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comments3.xml" ContentType="application/vnd.openxmlformats-officedocument.spreadsheetml.comments+xml"/>
  <Override PartName="/xl/tables/table1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unitednations.sharepoint.com/sites/JIAG-JointIntersectorAnalysisGroup/Shared Documents/04 - Technical support and HelpDesk/JIAF 2.0 Severity 5 Review Committee/South Sudan/"/>
    </mc:Choice>
  </mc:AlternateContent>
  <xr:revisionPtr revIDLastSave="416" documentId="8_{3C228E7F-198F-46FE-9FDB-594DB2E37DDF}" xr6:coauthVersionLast="47" xr6:coauthVersionMax="47" xr10:uidLastSave="{9D4E44A5-74B0-41DF-B569-098535EA5B99}"/>
  <bookViews>
    <workbookView xWindow="-28920" yWindow="-120" windowWidth="29040" windowHeight="15840" tabRatio="825" firstSheet="8" activeTab="15" xr2:uid="{D7B6F9FA-E942-409C-A119-37236683EDB5}"/>
  </bookViews>
  <sheets>
    <sheet name="Read Me" sheetId="35" state="hidden" r:id="rId1"/>
    <sheet name="Thresholds" sheetId="44" state="hidden" r:id="rId2"/>
    <sheet name="COD" sheetId="117" r:id="rId3"/>
    <sheet name="Pivots-graphs" sheetId="116" r:id="rId4"/>
    <sheet name="Summary 2026" sheetId="118" r:id="rId5"/>
    <sheet name="County-SADD-PIN" sheetId="125" r:id="rId6"/>
    <sheet name="County-SADD-Target(1&amp;2)50% (3)" sheetId="126" r:id="rId7"/>
    <sheet name="Sectoral Target out of severity" sheetId="120" r:id="rId8"/>
    <sheet name="Sectoral Target out of priorit" sheetId="121" r:id="rId9"/>
    <sheet name="Target out of PiN" sheetId="119" r:id="rId10"/>
    <sheet name="WS - 3.1 Overall PiN" sheetId="27" r:id="rId11"/>
    <sheet name="Overall Target (1&amp;2) (3)50%" sheetId="113" r:id="rId12"/>
    <sheet name="Overa Target 1&amp;2" sheetId="124" r:id="rId13"/>
    <sheet name="PiN Historical Trend" sheetId="92" state="hidden" r:id="rId14"/>
    <sheet name="PiN Visuals" sheetId="100" state="hidden" r:id="rId15"/>
    <sheet name="WS - 3.2 Intersectoral Severity" sheetId="93" r:id="rId16"/>
    <sheet name="Reference Table Indicators" sheetId="94" state="hidden" r:id="rId17"/>
    <sheet name="Requirements  (1&amp;2)50% (3)" sheetId="115" r:id="rId18"/>
    <sheet name="Requirement 1&amp;2" sheetId="123" r:id="rId19"/>
    <sheet name="Preliminary results graph" sheetId="105" state="hidden" r:id="rId20"/>
    <sheet name="PiN &amp; Sev - Corr Coeff" sheetId="108" state="hidden" r:id="rId21"/>
    <sheet name="PiN &amp; Sev - value overlapping" sheetId="110" state="hidden" r:id="rId22"/>
    <sheet name="PiN &amp; Sev - 1st &amp; 2nd highest" sheetId="112" state="hidden" r:id="rId23"/>
  </sheets>
  <externalReferences>
    <externalReference r:id="rId24"/>
    <externalReference r:id="rId25"/>
    <externalReference r:id="rId26"/>
    <externalReference r:id="rId27"/>
  </externalReferences>
  <definedNames>
    <definedName name="_xlnm._FilterDatabase" localSheetId="13" hidden="1">'PiN Historical Trend'!#REF!</definedName>
    <definedName name="_xlnm._FilterDatabase" localSheetId="14" hidden="1">'PiN Visuals'!$A$6:$F$20</definedName>
    <definedName name="_xlnm._FilterDatabase" localSheetId="16" hidden="1">'Reference Table Indicators'!#REF!</definedName>
    <definedName name="_xlnm._FilterDatabase" localSheetId="10" hidden="1">'WS - 3.1 Overall PiN'!$BK$3:$BL$3</definedName>
    <definedName name="_xlnm._FilterDatabase" localSheetId="15" hidden="1">'WS - 3.2 Intersectoral Severity'!$AU$3:$AV$3</definedName>
    <definedName name="flag_pin_historical">Thresholds!$D$13</definedName>
    <definedName name="flag_pin_perc">Thresholds!$D$12</definedName>
    <definedName name="perc_1st_2nd">Thresholds!$D$9</definedName>
    <definedName name="perc_1st_3rd">Thresholds!$D$10</definedName>
    <definedName name="pin_perc">'PiN Visuals'!$B$5:$F$16</definedName>
    <definedName name="sectors_sev_4">Thresholds!$D$29</definedName>
    <definedName name="sectors_sev_5">Thresholds!$D$28</definedName>
    <definedName name="zero_pin_thresh">Thresholds!$D$8</definedName>
  </definedNames>
  <calcPr calcId="191028"/>
  <pivotCaches>
    <pivotCache cacheId="0" r:id="rId28"/>
    <pivotCache cacheId="1" r:id="rId29"/>
    <pivotCache cacheId="2"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7" l="1"/>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20" i="27"/>
  <c r="A221" i="27"/>
  <c r="A222" i="27"/>
  <c r="A223" i="27"/>
  <c r="A224" i="27"/>
  <c r="A225" i="27"/>
  <c r="A226" i="27"/>
  <c r="A227" i="27"/>
  <c r="A228" i="27"/>
  <c r="A229" i="27"/>
  <c r="A230" i="27"/>
  <c r="A231" i="27"/>
  <c r="A232" i="27"/>
  <c r="A233" i="27"/>
  <c r="A234" i="27"/>
  <c r="A235" i="27"/>
  <c r="A236" i="27"/>
  <c r="A237" i="27"/>
  <c r="A238" i="27"/>
  <c r="A239" i="27"/>
  <c r="A240" i="27"/>
  <c r="A4" i="93"/>
  <c r="A5" i="93"/>
  <c r="A6" i="93"/>
  <c r="A7" i="93"/>
  <c r="A8" i="93"/>
  <c r="A9" i="93"/>
  <c r="A10" i="93"/>
  <c r="A11" i="93"/>
  <c r="A12" i="93"/>
  <c r="A13" i="93"/>
  <c r="A14" i="93"/>
  <c r="A15" i="93"/>
  <c r="A16" i="93"/>
  <c r="A17" i="93"/>
  <c r="A18" i="93"/>
  <c r="A19" i="93"/>
  <c r="A20" i="93"/>
  <c r="A21" i="93"/>
  <c r="A22" i="93"/>
  <c r="A23" i="93"/>
  <c r="A24" i="93"/>
  <c r="A25" i="93"/>
  <c r="A26" i="93"/>
  <c r="A27" i="93"/>
  <c r="A28" i="93"/>
  <c r="A29" i="93"/>
  <c r="A30" i="93"/>
  <c r="A31" i="93"/>
  <c r="A32" i="93"/>
  <c r="A33" i="93"/>
  <c r="A34" i="93"/>
  <c r="A35" i="93"/>
  <c r="A36" i="93"/>
  <c r="A37" i="93"/>
  <c r="A38" i="93"/>
  <c r="A39" i="93"/>
  <c r="A40" i="93"/>
  <c r="A41" i="93"/>
  <c r="A42" i="93"/>
  <c r="A43" i="93"/>
  <c r="A44" i="93"/>
  <c r="A45" i="93"/>
  <c r="A46" i="93"/>
  <c r="A47" i="93"/>
  <c r="A48" i="93"/>
  <c r="A49" i="93"/>
  <c r="A50" i="93"/>
  <c r="A51" i="93"/>
  <c r="A52" i="93"/>
  <c r="A53" i="93"/>
  <c r="A54" i="93"/>
  <c r="A55" i="93"/>
  <c r="A56" i="93"/>
  <c r="A57" i="93"/>
  <c r="A58" i="93"/>
  <c r="A59" i="93"/>
  <c r="A60" i="93"/>
  <c r="A61" i="93"/>
  <c r="A62" i="93"/>
  <c r="A63" i="93"/>
  <c r="A64" i="93"/>
  <c r="A65" i="93"/>
  <c r="A66" i="93"/>
  <c r="A67" i="93"/>
  <c r="A68" i="93"/>
  <c r="A69" i="93"/>
  <c r="A70" i="93"/>
  <c r="A71" i="93"/>
  <c r="A72" i="93"/>
  <c r="A73" i="93"/>
  <c r="A74" i="93"/>
  <c r="A75" i="93"/>
  <c r="A76" i="93"/>
  <c r="A77" i="93"/>
  <c r="A78" i="93"/>
  <c r="A79" i="93"/>
  <c r="A80" i="93"/>
  <c r="A81" i="93"/>
  <c r="A82" i="93"/>
  <c r="AF1" i="126"/>
  <c r="F121" i="116"/>
  <c r="AD8" i="125"/>
  <c r="AC8" i="125"/>
  <c r="AB8" i="125"/>
  <c r="AD6" i="125"/>
  <c r="AC6" i="125"/>
  <c r="AB6" i="125"/>
  <c r="E1" i="126"/>
  <c r="G5" i="126"/>
  <c r="W5" i="126" s="1"/>
  <c r="AN5" i="126" s="1"/>
  <c r="G6" i="126"/>
  <c r="I6" i="126" s="1"/>
  <c r="G7" i="126"/>
  <c r="K7" i="126" s="1"/>
  <c r="G8" i="126"/>
  <c r="U8" i="126" s="1"/>
  <c r="AM8" i="126" s="1"/>
  <c r="G9" i="126"/>
  <c r="O9" i="126" s="1"/>
  <c r="G10" i="126"/>
  <c r="K10" i="126" s="1"/>
  <c r="G11" i="126"/>
  <c r="M11" i="126" s="1"/>
  <c r="G12" i="126"/>
  <c r="M12" i="126" s="1"/>
  <c r="G13" i="126"/>
  <c r="U13" i="126" s="1"/>
  <c r="AM13" i="126" s="1"/>
  <c r="G29" i="126"/>
  <c r="K29" i="126" s="1"/>
  <c r="G30" i="126"/>
  <c r="O30" i="126" s="1"/>
  <c r="G31" i="126"/>
  <c r="M31" i="126" s="1"/>
  <c r="G32" i="126"/>
  <c r="I32" i="126" s="1"/>
  <c r="G33" i="126"/>
  <c r="G37" i="126"/>
  <c r="G38" i="126"/>
  <c r="S38" i="126" s="1"/>
  <c r="AL38" i="126" s="1"/>
  <c r="G45" i="126"/>
  <c r="K45" i="126" s="1"/>
  <c r="G46" i="126"/>
  <c r="M46" i="126" s="1"/>
  <c r="G47" i="126"/>
  <c r="I47" i="126" s="1"/>
  <c r="G48" i="126"/>
  <c r="S48" i="126" s="1"/>
  <c r="AL48" i="126" s="1"/>
  <c r="G49" i="126"/>
  <c r="O49" i="126" s="1"/>
  <c r="G50" i="126"/>
  <c r="W50" i="126" s="1"/>
  <c r="AN50" i="126" s="1"/>
  <c r="G51" i="126"/>
  <c r="M51" i="126" s="1"/>
  <c r="G52" i="126"/>
  <c r="G53" i="126"/>
  <c r="G69" i="126"/>
  <c r="G70" i="126"/>
  <c r="W70" i="126" s="1"/>
  <c r="AN70" i="126" s="1"/>
  <c r="G71" i="126"/>
  <c r="M71" i="126" s="1"/>
  <c r="G72" i="126"/>
  <c r="K72" i="126" s="1"/>
  <c r="G73" i="126"/>
  <c r="M73" i="126" s="1"/>
  <c r="G76" i="126"/>
  <c r="M76" i="126" s="1"/>
  <c r="G77" i="126"/>
  <c r="W77" i="126" s="1"/>
  <c r="AN77" i="126" s="1"/>
  <c r="G78" i="126"/>
  <c r="M78" i="126" s="1"/>
  <c r="G79" i="126"/>
  <c r="K79" i="126" s="1"/>
  <c r="G3" i="125"/>
  <c r="M3" i="125" s="1"/>
  <c r="G4" i="125"/>
  <c r="W4" i="125" s="1"/>
  <c r="AO4" i="125" s="1"/>
  <c r="G5" i="125"/>
  <c r="G7" i="125"/>
  <c r="G8" i="125"/>
  <c r="G11" i="125"/>
  <c r="W11" i="125" s="1"/>
  <c r="AO11" i="125" s="1"/>
  <c r="G12" i="125"/>
  <c r="G14" i="125"/>
  <c r="S14" i="125" s="1"/>
  <c r="AM14" i="125" s="1"/>
  <c r="G15" i="125"/>
  <c r="G18" i="125"/>
  <c r="O18" i="125" s="1"/>
  <c r="G23" i="125"/>
  <c r="G24" i="125"/>
  <c r="G25" i="125"/>
  <c r="G27" i="125"/>
  <c r="W27" i="125" s="1"/>
  <c r="AO27" i="125" s="1"/>
  <c r="G28" i="125"/>
  <c r="W28" i="125" s="1"/>
  <c r="AO28" i="125" s="1"/>
  <c r="G31" i="125"/>
  <c r="U31" i="125" s="1"/>
  <c r="AN31" i="125" s="1"/>
  <c r="G32" i="125"/>
  <c r="W32" i="125" s="1"/>
  <c r="AO32" i="125" s="1"/>
  <c r="G34" i="125"/>
  <c r="G35" i="125"/>
  <c r="G43" i="125"/>
  <c r="O43" i="125" s="1"/>
  <c r="G44" i="125"/>
  <c r="G45" i="125"/>
  <c r="G47" i="125"/>
  <c r="W47" i="125" s="1"/>
  <c r="AO47" i="125" s="1"/>
  <c r="G48" i="125"/>
  <c r="S48" i="125" s="1"/>
  <c r="AM48" i="125" s="1"/>
  <c r="G51" i="125"/>
  <c r="W51" i="125" s="1"/>
  <c r="AO51" i="125" s="1"/>
  <c r="G52" i="125"/>
  <c r="G54" i="125"/>
  <c r="G55" i="125"/>
  <c r="G63" i="125"/>
  <c r="G64" i="125"/>
  <c r="W64" i="125" s="1"/>
  <c r="AO64" i="125" s="1"/>
  <c r="G65" i="125"/>
  <c r="U65" i="125" s="1"/>
  <c r="AN65" i="125" s="1"/>
  <c r="G67" i="125"/>
  <c r="W67" i="125" s="1"/>
  <c r="AO67" i="125" s="1"/>
  <c r="G68" i="125"/>
  <c r="G71" i="125"/>
  <c r="W71" i="125" s="1"/>
  <c r="AO71" i="125" s="1"/>
  <c r="G72" i="125"/>
  <c r="G74" i="125"/>
  <c r="G75" i="125"/>
  <c r="F1" i="126"/>
  <c r="G18" i="126"/>
  <c r="G20" i="126"/>
  <c r="Q20" i="126" s="1"/>
  <c r="AK20" i="126" s="1"/>
  <c r="G21" i="126"/>
  <c r="M21" i="126" s="1"/>
  <c r="G22" i="126"/>
  <c r="I22" i="126" s="1"/>
  <c r="G26" i="126"/>
  <c r="M26" i="126" s="1"/>
  <c r="G27" i="126"/>
  <c r="W27" i="126" s="1"/>
  <c r="AN27" i="126" s="1"/>
  <c r="G28" i="126"/>
  <c r="G40" i="126"/>
  <c r="G41" i="126"/>
  <c r="G42" i="126"/>
  <c r="G58" i="126"/>
  <c r="M58" i="126" s="1"/>
  <c r="G59" i="126"/>
  <c r="K59" i="126" s="1"/>
  <c r="G60" i="126"/>
  <c r="W60" i="126" s="1"/>
  <c r="AN60" i="126" s="1"/>
  <c r="G62" i="126"/>
  <c r="K62" i="126" s="1"/>
  <c r="G66" i="126"/>
  <c r="M66" i="126" s="1"/>
  <c r="G67" i="126"/>
  <c r="W67" i="126" s="1"/>
  <c r="AN67" i="126" s="1"/>
  <c r="G68" i="126"/>
  <c r="M68" i="126" s="1"/>
  <c r="G80" i="126"/>
  <c r="W80" i="126" s="1"/>
  <c r="AN80" i="126" s="1"/>
  <c r="G81" i="126"/>
  <c r="M81" i="126" s="1"/>
  <c r="G75" i="126"/>
  <c r="S75" i="126" s="1"/>
  <c r="AL75" i="126" s="1"/>
  <c r="G74" i="126"/>
  <c r="M74" i="126" s="1"/>
  <c r="G65" i="126"/>
  <c r="O65" i="126" s="1"/>
  <c r="G64" i="126"/>
  <c r="K64" i="126" s="1"/>
  <c r="G63" i="126"/>
  <c r="M63" i="126" s="1"/>
  <c r="G61" i="126"/>
  <c r="M61" i="126" s="1"/>
  <c r="G57" i="126"/>
  <c r="W57" i="126" s="1"/>
  <c r="AN57" i="126" s="1"/>
  <c r="G56" i="126"/>
  <c r="M56" i="126" s="1"/>
  <c r="G55" i="126"/>
  <c r="W55" i="126" s="1"/>
  <c r="AN55" i="126" s="1"/>
  <c r="G54" i="126"/>
  <c r="G44" i="126"/>
  <c r="G43" i="126"/>
  <c r="S43" i="126" s="1"/>
  <c r="AL43" i="126" s="1"/>
  <c r="G39" i="126"/>
  <c r="I39" i="126" s="1"/>
  <c r="G36" i="126"/>
  <c r="K36" i="126" s="1"/>
  <c r="G35" i="126"/>
  <c r="M35" i="126" s="1"/>
  <c r="G34" i="126"/>
  <c r="I34" i="126" s="1"/>
  <c r="G25" i="126"/>
  <c r="M25" i="126" s="1"/>
  <c r="G24" i="126"/>
  <c r="K24" i="126" s="1"/>
  <c r="G23" i="126"/>
  <c r="S23" i="126" s="1"/>
  <c r="AL23" i="126" s="1"/>
  <c r="G19" i="126"/>
  <c r="O19" i="126" s="1"/>
  <c r="G17" i="126"/>
  <c r="K17" i="126" s="1"/>
  <c r="G16" i="126"/>
  <c r="M16" i="126" s="1"/>
  <c r="G15" i="126"/>
  <c r="U15" i="126" s="1"/>
  <c r="AM15" i="126" s="1"/>
  <c r="G14" i="126"/>
  <c r="I14" i="126" s="1"/>
  <c r="G4" i="126"/>
  <c r="M4" i="126" s="1"/>
  <c r="G3" i="126"/>
  <c r="S3" i="126" s="1"/>
  <c r="AL3" i="126" s="1"/>
  <c r="X1" i="126"/>
  <c r="G6" i="125"/>
  <c r="G9" i="125"/>
  <c r="W9" i="125" s="1"/>
  <c r="AO9" i="125" s="1"/>
  <c r="G10" i="125"/>
  <c r="U10" i="125" s="1"/>
  <c r="AN10" i="125" s="1"/>
  <c r="G13" i="125"/>
  <c r="W13" i="125" s="1"/>
  <c r="AO13" i="125" s="1"/>
  <c r="G16" i="125"/>
  <c r="W16" i="125" s="1"/>
  <c r="AO16" i="125" s="1"/>
  <c r="G17" i="125"/>
  <c r="W17" i="125" s="1"/>
  <c r="AO17" i="125" s="1"/>
  <c r="G19" i="125"/>
  <c r="S19" i="125" s="1"/>
  <c r="AM19" i="125" s="1"/>
  <c r="G20" i="125"/>
  <c r="I20" i="125" s="1"/>
  <c r="G21" i="125"/>
  <c r="U21" i="125" s="1"/>
  <c r="AN21" i="125" s="1"/>
  <c r="G22" i="125"/>
  <c r="G26" i="125"/>
  <c r="G29" i="125"/>
  <c r="O29" i="125" s="1"/>
  <c r="G30" i="125"/>
  <c r="W30" i="125" s="1"/>
  <c r="AO30" i="125" s="1"/>
  <c r="G33" i="125"/>
  <c r="G36" i="125"/>
  <c r="Q36" i="125" s="1"/>
  <c r="AL36" i="125" s="1"/>
  <c r="G37" i="125"/>
  <c r="O37" i="125" s="1"/>
  <c r="G38" i="125"/>
  <c r="K38" i="125" s="1"/>
  <c r="G39" i="125"/>
  <c r="K39" i="125" s="1"/>
  <c r="G40" i="125"/>
  <c r="U40" i="125" s="1"/>
  <c r="AN40" i="125" s="1"/>
  <c r="G41" i="125"/>
  <c r="Q41" i="125" s="1"/>
  <c r="AL41" i="125" s="1"/>
  <c r="G42" i="125"/>
  <c r="W42" i="125" s="1"/>
  <c r="AO42" i="125" s="1"/>
  <c r="G46" i="125"/>
  <c r="W46" i="125" s="1"/>
  <c r="AO46" i="125" s="1"/>
  <c r="G49" i="125"/>
  <c r="G50" i="125"/>
  <c r="U50" i="125" s="1"/>
  <c r="AN50" i="125" s="1"/>
  <c r="G53" i="125"/>
  <c r="G56" i="125"/>
  <c r="U56" i="125" s="1"/>
  <c r="AN56" i="125" s="1"/>
  <c r="G57" i="125"/>
  <c r="G58" i="125"/>
  <c r="S58" i="125" s="1"/>
  <c r="AM58" i="125" s="1"/>
  <c r="G59" i="125"/>
  <c r="M59" i="125" s="1"/>
  <c r="G60" i="125"/>
  <c r="K60" i="125" s="1"/>
  <c r="G61" i="125"/>
  <c r="Q61" i="125" s="1"/>
  <c r="AL61" i="125" s="1"/>
  <c r="G62" i="125"/>
  <c r="G66" i="125"/>
  <c r="W66" i="125" s="1"/>
  <c r="AO66" i="125" s="1"/>
  <c r="G69" i="125"/>
  <c r="G70" i="125"/>
  <c r="K70" i="125" s="1"/>
  <c r="G73" i="125"/>
  <c r="G76" i="125"/>
  <c r="W76" i="125" s="1"/>
  <c r="AO76" i="125" s="1"/>
  <c r="G77" i="125"/>
  <c r="G78" i="125"/>
  <c r="S78" i="125" s="1"/>
  <c r="AM78" i="125" s="1"/>
  <c r="G79" i="125"/>
  <c r="O79" i="125" s="1"/>
  <c r="G80" i="125"/>
  <c r="W80" i="125" s="1"/>
  <c r="AO80" i="125" s="1"/>
  <c r="G81" i="125"/>
  <c r="S81" i="125" s="1"/>
  <c r="AM81" i="125" s="1"/>
  <c r="F1" i="125"/>
  <c r="U76" i="125"/>
  <c r="AN76" i="125" s="1"/>
  <c r="O66" i="125"/>
  <c r="M66" i="125"/>
  <c r="W56" i="125"/>
  <c r="AO56" i="125" s="1"/>
  <c r="Q56" i="125"/>
  <c r="AL56" i="125" s="1"/>
  <c r="O46" i="125"/>
  <c r="X1" i="125"/>
  <c r="G111" i="116"/>
  <c r="G110" i="116"/>
  <c r="G109" i="116"/>
  <c r="S38" i="125" l="1"/>
  <c r="AM38" i="125" s="1"/>
  <c r="S13" i="125"/>
  <c r="AM13" i="125" s="1"/>
  <c r="W38" i="125"/>
  <c r="AO38" i="125" s="1"/>
  <c r="O19" i="125"/>
  <c r="O39" i="125"/>
  <c r="M9" i="125"/>
  <c r="S39" i="125"/>
  <c r="AM39" i="125" s="1"/>
  <c r="Q16" i="125"/>
  <c r="AL16" i="125" s="1"/>
  <c r="M19" i="125"/>
  <c r="U41" i="125"/>
  <c r="AN41" i="125" s="1"/>
  <c r="M46" i="125"/>
  <c r="K75" i="125"/>
  <c r="U75" i="125"/>
  <c r="AN75" i="125" s="1"/>
  <c r="S75" i="125"/>
  <c r="AM75" i="125" s="1"/>
  <c r="Q75" i="125"/>
  <c r="AL75" i="125" s="1"/>
  <c r="M75" i="125"/>
  <c r="O75" i="125"/>
  <c r="M55" i="125"/>
  <c r="O55" i="125"/>
  <c r="U55" i="125"/>
  <c r="AN55" i="125" s="1"/>
  <c r="S35" i="125"/>
  <c r="AM35" i="125" s="1"/>
  <c r="W35" i="125"/>
  <c r="AO35" i="125" s="1"/>
  <c r="K35" i="125"/>
  <c r="AK35" i="125" s="1"/>
  <c r="Q35" i="125"/>
  <c r="AL35" i="125" s="1"/>
  <c r="K15" i="125"/>
  <c r="S15" i="125"/>
  <c r="AM15" i="125" s="1"/>
  <c r="Q15" i="125"/>
  <c r="AL15" i="125" s="1"/>
  <c r="M15" i="125"/>
  <c r="O15" i="125"/>
  <c r="U15" i="125"/>
  <c r="AN15" i="125" s="1"/>
  <c r="W15" i="125"/>
  <c r="AO15" i="125" s="1"/>
  <c r="M74" i="125"/>
  <c r="W74" i="125"/>
  <c r="AO74" i="125" s="1"/>
  <c r="O74" i="125"/>
  <c r="W54" i="125"/>
  <c r="AO54" i="125" s="1"/>
  <c r="M54" i="125"/>
  <c r="W34" i="125"/>
  <c r="AO34" i="125" s="1"/>
  <c r="M34" i="125"/>
  <c r="W52" i="125"/>
  <c r="AO52" i="125" s="1"/>
  <c r="K52" i="125"/>
  <c r="W7" i="125"/>
  <c r="AO7" i="125" s="1"/>
  <c r="K7" i="125"/>
  <c r="U5" i="125"/>
  <c r="AN5" i="125" s="1"/>
  <c r="I5" i="125"/>
  <c r="K5" i="125"/>
  <c r="AK5" i="125" s="1"/>
  <c r="K44" i="125"/>
  <c r="I44" i="125"/>
  <c r="U45" i="125"/>
  <c r="AN45" i="125" s="1"/>
  <c r="W45" i="125"/>
  <c r="AO45" i="125" s="1"/>
  <c r="W25" i="125"/>
  <c r="AO25" i="125" s="1"/>
  <c r="U25" i="125"/>
  <c r="AN25" i="125" s="1"/>
  <c r="W61" i="125"/>
  <c r="AO61" i="125" s="1"/>
  <c r="E1" i="125"/>
  <c r="K20" i="125"/>
  <c r="S66" i="125"/>
  <c r="AM66" i="125" s="1"/>
  <c r="W41" i="125"/>
  <c r="AO41" i="125" s="1"/>
  <c r="M20" i="125"/>
  <c r="U66" i="125"/>
  <c r="AN66" i="125" s="1"/>
  <c r="Q20" i="125"/>
  <c r="AL20" i="125" s="1"/>
  <c r="Q66" i="125"/>
  <c r="AL66" i="125" s="1"/>
  <c r="O20" i="125"/>
  <c r="K13" i="125"/>
  <c r="M56" i="125"/>
  <c r="Q76" i="125"/>
  <c r="AL76" i="125" s="1"/>
  <c r="W36" i="125"/>
  <c r="AO36" i="125" s="1"/>
  <c r="O56" i="125"/>
  <c r="S76" i="125"/>
  <c r="AM76" i="125" s="1"/>
  <c r="S56" i="125"/>
  <c r="AM56" i="125" s="1"/>
  <c r="U80" i="125"/>
  <c r="AN80" i="125" s="1"/>
  <c r="I80" i="125"/>
  <c r="U81" i="125"/>
  <c r="AN81" i="125" s="1"/>
  <c r="M41" i="126"/>
  <c r="U41" i="126"/>
  <c r="AM41" i="126" s="1"/>
  <c r="W41" i="126"/>
  <c r="AN41" i="126" s="1"/>
  <c r="W81" i="126"/>
  <c r="AN81" i="126" s="1"/>
  <c r="U81" i="126"/>
  <c r="AM81" i="126" s="1"/>
  <c r="O51" i="126"/>
  <c r="O75" i="126"/>
  <c r="S51" i="126"/>
  <c r="AL51" i="126" s="1"/>
  <c r="Q51" i="126"/>
  <c r="AK51" i="126" s="1"/>
  <c r="Q10" i="126"/>
  <c r="AK10" i="126" s="1"/>
  <c r="W61" i="126"/>
  <c r="AN61" i="126" s="1"/>
  <c r="W72" i="126"/>
  <c r="AN72" i="126" s="1"/>
  <c r="U61" i="126"/>
  <c r="AM61" i="126" s="1"/>
  <c r="S41" i="126"/>
  <c r="AL41" i="126" s="1"/>
  <c r="O10" i="126"/>
  <c r="AJ10" i="126" s="1"/>
  <c r="S10" i="126"/>
  <c r="AL10" i="126" s="1"/>
  <c r="K6" i="126"/>
  <c r="M6" i="126"/>
  <c r="AI6" i="126" s="1"/>
  <c r="W46" i="126"/>
  <c r="AN46" i="126" s="1"/>
  <c r="Q68" i="126"/>
  <c r="AK68" i="126" s="1"/>
  <c r="I31" i="126"/>
  <c r="AI31" i="126" s="1"/>
  <c r="O6" i="126"/>
  <c r="Q25" i="126"/>
  <c r="AK25" i="126" s="1"/>
  <c r="S46" i="126"/>
  <c r="AL46" i="126" s="1"/>
  <c r="Q76" i="126"/>
  <c r="AK76" i="126" s="1"/>
  <c r="U25" i="126"/>
  <c r="AM25" i="126" s="1"/>
  <c r="U56" i="126"/>
  <c r="AM56" i="126" s="1"/>
  <c r="I27" i="126"/>
  <c r="K9" i="126"/>
  <c r="AJ9" i="126" s="1"/>
  <c r="U10" i="126"/>
  <c r="AM10" i="126" s="1"/>
  <c r="U31" i="126"/>
  <c r="AM31" i="126" s="1"/>
  <c r="U51" i="126"/>
  <c r="AM51" i="126" s="1"/>
  <c r="W74" i="126"/>
  <c r="AN74" i="126" s="1"/>
  <c r="O25" i="126"/>
  <c r="W12" i="126"/>
  <c r="AN12" i="126" s="1"/>
  <c r="W25" i="126"/>
  <c r="AN25" i="126" s="1"/>
  <c r="W56" i="126"/>
  <c r="AN56" i="126" s="1"/>
  <c r="S68" i="126"/>
  <c r="AL68" i="126" s="1"/>
  <c r="W47" i="126"/>
  <c r="AN47" i="126" s="1"/>
  <c r="W10" i="126"/>
  <c r="AN10" i="126" s="1"/>
  <c r="W31" i="126"/>
  <c r="AN31" i="126" s="1"/>
  <c r="Q6" i="126"/>
  <c r="AK6" i="126" s="1"/>
  <c r="U46" i="126"/>
  <c r="AM46" i="126" s="1"/>
  <c r="S76" i="126"/>
  <c r="AL76" i="126" s="1"/>
  <c r="S36" i="126"/>
  <c r="AL36" i="126" s="1"/>
  <c r="I8" i="126"/>
  <c r="K27" i="126"/>
  <c r="W19" i="126"/>
  <c r="AN19" i="126" s="1"/>
  <c r="I76" i="126"/>
  <c r="AI76" i="126" s="1"/>
  <c r="K12" i="126"/>
  <c r="O76" i="126"/>
  <c r="S25" i="126"/>
  <c r="AL25" i="126" s="1"/>
  <c r="I66" i="126"/>
  <c r="AI66" i="126" s="1"/>
  <c r="S56" i="126"/>
  <c r="AL56" i="126" s="1"/>
  <c r="S13" i="126"/>
  <c r="AL13" i="126" s="1"/>
  <c r="W36" i="126"/>
  <c r="AN36" i="126" s="1"/>
  <c r="S71" i="126"/>
  <c r="AL71" i="126" s="1"/>
  <c r="M9" i="126"/>
  <c r="W17" i="126"/>
  <c r="AN17" i="126" s="1"/>
  <c r="I50" i="126"/>
  <c r="W71" i="126"/>
  <c r="AN71" i="126" s="1"/>
  <c r="I12" i="126"/>
  <c r="AI12" i="126" s="1"/>
  <c r="Q36" i="126"/>
  <c r="AK36" i="126" s="1"/>
  <c r="W76" i="126"/>
  <c r="AN76" i="126" s="1"/>
  <c r="U36" i="126"/>
  <c r="AM36" i="126" s="1"/>
  <c r="K47" i="126"/>
  <c r="Q60" i="126"/>
  <c r="AK60" i="126" s="1"/>
  <c r="U71" i="126"/>
  <c r="AM71" i="126" s="1"/>
  <c r="I61" i="126"/>
  <c r="AI61" i="126" s="1"/>
  <c r="S81" i="126"/>
  <c r="AL81" i="126" s="1"/>
  <c r="O29" i="126"/>
  <c r="AJ29" i="126" s="1"/>
  <c r="I30" i="126"/>
  <c r="U35" i="126"/>
  <c r="AM35" i="126" s="1"/>
  <c r="K39" i="126"/>
  <c r="O45" i="126"/>
  <c r="AJ45" i="126" s="1"/>
  <c r="K49" i="126"/>
  <c r="AJ49" i="126" s="1"/>
  <c r="O55" i="126"/>
  <c r="O70" i="126"/>
  <c r="S78" i="126"/>
  <c r="AL78" i="126" s="1"/>
  <c r="Q63" i="126"/>
  <c r="AK63" i="126" s="1"/>
  <c r="S7" i="126"/>
  <c r="AL7" i="126" s="1"/>
  <c r="K30" i="126"/>
  <c r="AJ30" i="126" s="1"/>
  <c r="W35" i="126"/>
  <c r="AN35" i="126" s="1"/>
  <c r="M39" i="126"/>
  <c r="AI39" i="126" s="1"/>
  <c r="Q45" i="126"/>
  <c r="AK45" i="126" s="1"/>
  <c r="M49" i="126"/>
  <c r="Q55" i="126"/>
  <c r="AK55" i="126" s="1"/>
  <c r="I60" i="126"/>
  <c r="Q70" i="126"/>
  <c r="AK70" i="126" s="1"/>
  <c r="O58" i="126"/>
  <c r="M20" i="126"/>
  <c r="I4" i="126"/>
  <c r="AI4" i="126" s="1"/>
  <c r="I15" i="126"/>
  <c r="Q35" i="126"/>
  <c r="AK35" i="126" s="1"/>
  <c r="O78" i="126"/>
  <c r="I49" i="126"/>
  <c r="S73" i="126"/>
  <c r="AL73" i="126" s="1"/>
  <c r="Q7" i="126"/>
  <c r="AK7" i="126" s="1"/>
  <c r="Q4" i="126"/>
  <c r="AK4" i="126" s="1"/>
  <c r="Q11" i="126"/>
  <c r="AK11" i="126" s="1"/>
  <c r="M30" i="126"/>
  <c r="O39" i="126"/>
  <c r="S45" i="126"/>
  <c r="AL45" i="126" s="1"/>
  <c r="S70" i="126"/>
  <c r="AL70" i="126" s="1"/>
  <c r="S4" i="126"/>
  <c r="AL4" i="126" s="1"/>
  <c r="S11" i="126"/>
  <c r="AL11" i="126" s="1"/>
  <c r="Q16" i="126"/>
  <c r="AK16" i="126" s="1"/>
  <c r="O21" i="126"/>
  <c r="O26" i="126"/>
  <c r="W39" i="126"/>
  <c r="AN39" i="126" s="1"/>
  <c r="U45" i="126"/>
  <c r="AM45" i="126" s="1"/>
  <c r="W49" i="126"/>
  <c r="AN49" i="126" s="1"/>
  <c r="U55" i="126"/>
  <c r="AM55" i="126" s="1"/>
  <c r="S60" i="126"/>
  <c r="AL60" i="126" s="1"/>
  <c r="O66" i="126"/>
  <c r="U70" i="126"/>
  <c r="AM70" i="126" s="1"/>
  <c r="I79" i="126"/>
  <c r="M29" i="126"/>
  <c r="Q58" i="126"/>
  <c r="AK58" i="126" s="1"/>
  <c r="S58" i="126"/>
  <c r="AL58" i="126" s="1"/>
  <c r="W29" i="126"/>
  <c r="AN29" i="126" s="1"/>
  <c r="S15" i="126"/>
  <c r="AL15" i="126" s="1"/>
  <c r="I11" i="126"/>
  <c r="AI11" i="126" s="1"/>
  <c r="O4" i="126"/>
  <c r="W7" i="126"/>
  <c r="AN7" i="126" s="1"/>
  <c r="U4" i="126"/>
  <c r="AM4" i="126" s="1"/>
  <c r="U11" i="126"/>
  <c r="AM11" i="126" s="1"/>
  <c r="S16" i="126"/>
  <c r="AL16" i="126" s="1"/>
  <c r="Q21" i="126"/>
  <c r="AK21" i="126" s="1"/>
  <c r="Q26" i="126"/>
  <c r="AK26" i="126" s="1"/>
  <c r="W45" i="126"/>
  <c r="AN45" i="126" s="1"/>
  <c r="Q66" i="126"/>
  <c r="AK66" i="126" s="1"/>
  <c r="M75" i="126"/>
  <c r="M79" i="126"/>
  <c r="W3" i="126"/>
  <c r="AN3" i="126" s="1"/>
  <c r="K20" i="126"/>
  <c r="O73" i="126"/>
  <c r="Q73" i="126"/>
  <c r="AK73" i="126" s="1"/>
  <c r="K4" i="126"/>
  <c r="O20" i="126"/>
  <c r="M45" i="126"/>
  <c r="Q78" i="126"/>
  <c r="AK78" i="126" s="1"/>
  <c r="I21" i="126"/>
  <c r="AI21" i="126" s="1"/>
  <c r="W4" i="126"/>
  <c r="AN4" i="126" s="1"/>
  <c r="W11" i="126"/>
  <c r="AN11" i="126" s="1"/>
  <c r="S26" i="126"/>
  <c r="AL26" i="126" s="1"/>
  <c r="S66" i="126"/>
  <c r="AL66" i="126" s="1"/>
  <c r="W16" i="126"/>
  <c r="AN16" i="126" s="1"/>
  <c r="U21" i="126"/>
  <c r="AM21" i="126" s="1"/>
  <c r="U26" i="126"/>
  <c r="AM26" i="126" s="1"/>
  <c r="O31" i="126"/>
  <c r="I36" i="126"/>
  <c r="I41" i="126"/>
  <c r="I46" i="126"/>
  <c r="AI46" i="126" s="1"/>
  <c r="K50" i="126"/>
  <c r="AJ50" i="126" s="1"/>
  <c r="I56" i="126"/>
  <c r="AI56" i="126" s="1"/>
  <c r="O61" i="126"/>
  <c r="U66" i="126"/>
  <c r="AM66" i="126" s="1"/>
  <c r="I71" i="126"/>
  <c r="AI71" i="126" s="1"/>
  <c r="Q75" i="126"/>
  <c r="AK75" i="126" s="1"/>
  <c r="I20" i="126"/>
  <c r="I7" i="126"/>
  <c r="S63" i="126"/>
  <c r="AL63" i="126" s="1"/>
  <c r="M7" i="126"/>
  <c r="S35" i="126"/>
  <c r="AL35" i="126" s="1"/>
  <c r="M70" i="126"/>
  <c r="O11" i="126"/>
  <c r="O16" i="126"/>
  <c r="S21" i="126"/>
  <c r="AL21" i="126" s="1"/>
  <c r="W21" i="126"/>
  <c r="AN21" i="126" s="1"/>
  <c r="W26" i="126"/>
  <c r="AN26" i="126" s="1"/>
  <c r="Q31" i="126"/>
  <c r="AK31" i="126" s="1"/>
  <c r="M36" i="126"/>
  <c r="O41" i="126"/>
  <c r="O46" i="126"/>
  <c r="O56" i="126"/>
  <c r="Q61" i="126"/>
  <c r="AK61" i="126" s="1"/>
  <c r="W66" i="126"/>
  <c r="AN66" i="126" s="1"/>
  <c r="O71" i="126"/>
  <c r="M80" i="126"/>
  <c r="O63" i="126"/>
  <c r="O35" i="126"/>
  <c r="O7" i="126"/>
  <c r="AJ7" i="126" s="1"/>
  <c r="W59" i="126"/>
  <c r="AN59" i="126" s="1"/>
  <c r="I16" i="126"/>
  <c r="AI16" i="126" s="1"/>
  <c r="I26" i="126"/>
  <c r="AI26" i="126" s="1"/>
  <c r="S55" i="126"/>
  <c r="AL55" i="126" s="1"/>
  <c r="U16" i="126"/>
  <c r="AM16" i="126" s="1"/>
  <c r="W79" i="126"/>
  <c r="AN79" i="126" s="1"/>
  <c r="S31" i="126"/>
  <c r="AL31" i="126" s="1"/>
  <c r="O36" i="126"/>
  <c r="AJ36" i="126" s="1"/>
  <c r="Q41" i="126"/>
  <c r="AK41" i="126" s="1"/>
  <c r="Q46" i="126"/>
  <c r="AK46" i="126" s="1"/>
  <c r="I51" i="126"/>
  <c r="AI51" i="126" s="1"/>
  <c r="Q56" i="126"/>
  <c r="AK56" i="126" s="1"/>
  <c r="S61" i="126"/>
  <c r="AL61" i="126" s="1"/>
  <c r="Q71" i="126"/>
  <c r="AK71" i="126" s="1"/>
  <c r="O80" i="126"/>
  <c r="I81" i="126"/>
  <c r="AI81" i="126" s="1"/>
  <c r="M19" i="126"/>
  <c r="O81" i="126"/>
  <c r="M10" i="126"/>
  <c r="W51" i="126"/>
  <c r="AN51" i="126" s="1"/>
  <c r="O68" i="126"/>
  <c r="U76" i="126"/>
  <c r="AM76" i="126" s="1"/>
  <c r="Q81" i="126"/>
  <c r="AK81" i="126" s="1"/>
  <c r="W8" i="126"/>
  <c r="AN8" i="126" s="1"/>
  <c r="S40" i="126"/>
  <c r="AL40" i="126" s="1"/>
  <c r="Q40" i="126"/>
  <c r="AK40" i="126" s="1"/>
  <c r="O40" i="126"/>
  <c r="U40" i="126"/>
  <c r="AM40" i="126" s="1"/>
  <c r="M60" i="126"/>
  <c r="U30" i="126"/>
  <c r="AM30" i="126" s="1"/>
  <c r="S30" i="126"/>
  <c r="AL30" i="126" s="1"/>
  <c r="Q30" i="126"/>
  <c r="AK30" i="126" s="1"/>
  <c r="W40" i="126"/>
  <c r="AN40" i="126" s="1"/>
  <c r="O60" i="126"/>
  <c r="M53" i="126"/>
  <c r="K53" i="126"/>
  <c r="I53" i="126"/>
  <c r="W53" i="126"/>
  <c r="AN53" i="126" s="1"/>
  <c r="U53" i="126"/>
  <c r="AM53" i="126" s="1"/>
  <c r="M28" i="126"/>
  <c r="K28" i="126"/>
  <c r="I28" i="126"/>
  <c r="U28" i="126"/>
  <c r="AM28" i="126" s="1"/>
  <c r="W28" i="126"/>
  <c r="AN28" i="126" s="1"/>
  <c r="S28" i="126"/>
  <c r="AL28" i="126" s="1"/>
  <c r="Q28" i="126"/>
  <c r="AK28" i="126" s="1"/>
  <c r="O28" i="126"/>
  <c r="Q23" i="126"/>
  <c r="AK23" i="126" s="1"/>
  <c r="U42" i="126"/>
  <c r="AM42" i="126" s="1"/>
  <c r="S42" i="126"/>
  <c r="AL42" i="126" s="1"/>
  <c r="Q42" i="126"/>
  <c r="AK42" i="126" s="1"/>
  <c r="O42" i="126"/>
  <c r="M42" i="126"/>
  <c r="W42" i="126"/>
  <c r="AN42" i="126" s="1"/>
  <c r="K42" i="126"/>
  <c r="I42" i="126"/>
  <c r="M33" i="126"/>
  <c r="K33" i="126"/>
  <c r="I33" i="126"/>
  <c r="W33" i="126"/>
  <c r="AN33" i="126" s="1"/>
  <c r="U33" i="126"/>
  <c r="AM33" i="126" s="1"/>
  <c r="O33" i="126"/>
  <c r="U60" i="126"/>
  <c r="AM60" i="126" s="1"/>
  <c r="U69" i="126"/>
  <c r="AM69" i="126" s="1"/>
  <c r="S69" i="126"/>
  <c r="AL69" i="126" s="1"/>
  <c r="Q69" i="126"/>
  <c r="AK69" i="126" s="1"/>
  <c r="O69" i="126"/>
  <c r="M69" i="126"/>
  <c r="K69" i="126"/>
  <c r="I69" i="126"/>
  <c r="I77" i="126"/>
  <c r="M23" i="126"/>
  <c r="K23" i="126"/>
  <c r="I23" i="126"/>
  <c r="U23" i="126"/>
  <c r="AM23" i="126" s="1"/>
  <c r="W23" i="126"/>
  <c r="AN23" i="126" s="1"/>
  <c r="M8" i="126"/>
  <c r="Q5" i="126"/>
  <c r="AK5" i="126" s="1"/>
  <c r="M5" i="126"/>
  <c r="O5" i="126"/>
  <c r="K5" i="126"/>
  <c r="I62" i="126"/>
  <c r="U14" i="126"/>
  <c r="AM14" i="126" s="1"/>
  <c r="S14" i="126"/>
  <c r="AL14" i="126" s="1"/>
  <c r="Q14" i="126"/>
  <c r="AK14" i="126" s="1"/>
  <c r="W14" i="126"/>
  <c r="AN14" i="126" s="1"/>
  <c r="M18" i="126"/>
  <c r="K18" i="126"/>
  <c r="I18" i="126"/>
  <c r="U18" i="126"/>
  <c r="AM18" i="126" s="1"/>
  <c r="W18" i="126"/>
  <c r="AN18" i="126" s="1"/>
  <c r="S18" i="126"/>
  <c r="AL18" i="126" s="1"/>
  <c r="Q18" i="126"/>
  <c r="AK18" i="126" s="1"/>
  <c r="K14" i="126"/>
  <c r="Q33" i="126"/>
  <c r="AK33" i="126" s="1"/>
  <c r="U44" i="126"/>
  <c r="AM44" i="126" s="1"/>
  <c r="S44" i="126"/>
  <c r="AL44" i="126" s="1"/>
  <c r="Q44" i="126"/>
  <c r="AK44" i="126" s="1"/>
  <c r="O44" i="126"/>
  <c r="M44" i="126"/>
  <c r="K44" i="126"/>
  <c r="U52" i="126"/>
  <c r="AM52" i="126" s="1"/>
  <c r="M52" i="126"/>
  <c r="S52" i="126"/>
  <c r="AL52" i="126" s="1"/>
  <c r="Q52" i="126"/>
  <c r="AK52" i="126" s="1"/>
  <c r="O52" i="126"/>
  <c r="W52" i="126"/>
  <c r="AN52" i="126" s="1"/>
  <c r="K52" i="126"/>
  <c r="I52" i="126"/>
  <c r="W69" i="126"/>
  <c r="AN69" i="126" s="1"/>
  <c r="W75" i="126"/>
  <c r="AN75" i="126" s="1"/>
  <c r="U75" i="126"/>
  <c r="AM75" i="126" s="1"/>
  <c r="K77" i="126"/>
  <c r="I10" i="126"/>
  <c r="M14" i="126"/>
  <c r="AI14" i="126" s="1"/>
  <c r="W20" i="126"/>
  <c r="AN20" i="126" s="1"/>
  <c r="U20" i="126"/>
  <c r="AM20" i="126" s="1"/>
  <c r="S20" i="126"/>
  <c r="AL20" i="126" s="1"/>
  <c r="W30" i="126"/>
  <c r="AN30" i="126" s="1"/>
  <c r="S33" i="126"/>
  <c r="AL33" i="126" s="1"/>
  <c r="I44" i="126"/>
  <c r="U47" i="126"/>
  <c r="AM47" i="126" s="1"/>
  <c r="S47" i="126"/>
  <c r="AL47" i="126" s="1"/>
  <c r="Q47" i="126"/>
  <c r="AK47" i="126" s="1"/>
  <c r="O47" i="126"/>
  <c r="M47" i="126"/>
  <c r="AI47" i="126" s="1"/>
  <c r="I75" i="126"/>
  <c r="S53" i="126"/>
  <c r="AL53" i="126" s="1"/>
  <c r="U37" i="126"/>
  <c r="AM37" i="126" s="1"/>
  <c r="S37" i="126"/>
  <c r="AL37" i="126" s="1"/>
  <c r="Q37" i="126"/>
  <c r="AK37" i="126" s="1"/>
  <c r="O37" i="126"/>
  <c r="M37" i="126"/>
  <c r="W64" i="126"/>
  <c r="AN64" i="126" s="1"/>
  <c r="K37" i="126"/>
  <c r="U77" i="126"/>
  <c r="AM77" i="126" s="1"/>
  <c r="S77" i="126"/>
  <c r="AL77" i="126" s="1"/>
  <c r="Q77" i="126"/>
  <c r="AK77" i="126" s="1"/>
  <c r="O77" i="126"/>
  <c r="M77" i="126"/>
  <c r="U22" i="126"/>
  <c r="AM22" i="126" s="1"/>
  <c r="S22" i="126"/>
  <c r="AL22" i="126" s="1"/>
  <c r="Q22" i="126"/>
  <c r="AK22" i="126" s="1"/>
  <c r="O22" i="126"/>
  <c r="W22" i="126"/>
  <c r="AN22" i="126" s="1"/>
  <c r="M22" i="126"/>
  <c r="AI22" i="126" s="1"/>
  <c r="U12" i="126"/>
  <c r="AM12" i="126" s="1"/>
  <c r="Q12" i="126"/>
  <c r="AK12" i="126" s="1"/>
  <c r="S12" i="126"/>
  <c r="AL12" i="126" s="1"/>
  <c r="O12" i="126"/>
  <c r="O14" i="126"/>
  <c r="K22" i="126"/>
  <c r="W44" i="126"/>
  <c r="AN44" i="126" s="1"/>
  <c r="K75" i="126"/>
  <c r="S8" i="126"/>
  <c r="AL8" i="126" s="1"/>
  <c r="Q8" i="126"/>
  <c r="AK8" i="126" s="1"/>
  <c r="O8" i="126"/>
  <c r="Q15" i="126"/>
  <c r="AK15" i="126" s="1"/>
  <c r="K15" i="126"/>
  <c r="O15" i="126"/>
  <c r="M15" i="126"/>
  <c r="S50" i="126"/>
  <c r="AL50" i="126" s="1"/>
  <c r="Q50" i="126"/>
  <c r="AK50" i="126" s="1"/>
  <c r="O50" i="126"/>
  <c r="O23" i="126"/>
  <c r="M50" i="126"/>
  <c r="Q53" i="126"/>
  <c r="AK53" i="126" s="1"/>
  <c r="I64" i="126"/>
  <c r="K8" i="126"/>
  <c r="O53" i="126"/>
  <c r="U64" i="126"/>
  <c r="AM64" i="126" s="1"/>
  <c r="S64" i="126"/>
  <c r="AL64" i="126" s="1"/>
  <c r="Q64" i="126"/>
  <c r="AK64" i="126" s="1"/>
  <c r="O64" i="126"/>
  <c r="AJ64" i="126" s="1"/>
  <c r="I5" i="126"/>
  <c r="O18" i="126"/>
  <c r="W37" i="126"/>
  <c r="AN37" i="126" s="1"/>
  <c r="I40" i="126"/>
  <c r="M43" i="126"/>
  <c r="K43" i="126"/>
  <c r="I43" i="126"/>
  <c r="W43" i="126"/>
  <c r="AN43" i="126" s="1"/>
  <c r="U43" i="126"/>
  <c r="AM43" i="126" s="1"/>
  <c r="U54" i="126"/>
  <c r="AM54" i="126" s="1"/>
  <c r="S54" i="126"/>
  <c r="AL54" i="126" s="1"/>
  <c r="Q54" i="126"/>
  <c r="AK54" i="126" s="1"/>
  <c r="O54" i="126"/>
  <c r="W54" i="126"/>
  <c r="AN54" i="126" s="1"/>
  <c r="M54" i="126"/>
  <c r="K54" i="126"/>
  <c r="W65" i="126"/>
  <c r="AN65" i="126" s="1"/>
  <c r="U65" i="126"/>
  <c r="AM65" i="126" s="1"/>
  <c r="S65" i="126"/>
  <c r="AL65" i="126" s="1"/>
  <c r="M65" i="126"/>
  <c r="K65" i="126"/>
  <c r="AJ65" i="126" s="1"/>
  <c r="I65" i="126"/>
  <c r="U50" i="126"/>
  <c r="AM50" i="126" s="1"/>
  <c r="M64" i="126"/>
  <c r="I37" i="126"/>
  <c r="U62" i="126"/>
  <c r="AM62" i="126" s="1"/>
  <c r="S62" i="126"/>
  <c r="AL62" i="126" s="1"/>
  <c r="Q62" i="126"/>
  <c r="AK62" i="126" s="1"/>
  <c r="O62" i="126"/>
  <c r="AJ62" i="126" s="1"/>
  <c r="M62" i="126"/>
  <c r="S5" i="126"/>
  <c r="AL5" i="126" s="1"/>
  <c r="U24" i="126"/>
  <c r="AM24" i="126" s="1"/>
  <c r="S24" i="126"/>
  <c r="AL24" i="126" s="1"/>
  <c r="Q24" i="126"/>
  <c r="AK24" i="126" s="1"/>
  <c r="W24" i="126"/>
  <c r="AN24" i="126" s="1"/>
  <c r="O24" i="126"/>
  <c r="AJ24" i="126" s="1"/>
  <c r="M24" i="126"/>
  <c r="K40" i="126"/>
  <c r="O43" i="126"/>
  <c r="I54" i="126"/>
  <c r="W62" i="126"/>
  <c r="AN62" i="126" s="1"/>
  <c r="U34" i="126"/>
  <c r="AM34" i="126" s="1"/>
  <c r="S34" i="126"/>
  <c r="AL34" i="126" s="1"/>
  <c r="Q34" i="126"/>
  <c r="AK34" i="126" s="1"/>
  <c r="W34" i="126"/>
  <c r="AN34" i="126" s="1"/>
  <c r="O34" i="126"/>
  <c r="M34" i="126"/>
  <c r="AI34" i="126" s="1"/>
  <c r="W15" i="126"/>
  <c r="AN15" i="126" s="1"/>
  <c r="K34" i="126"/>
  <c r="U5" i="126"/>
  <c r="AM5" i="126" s="1"/>
  <c r="I24" i="126"/>
  <c r="U32" i="126"/>
  <c r="AM32" i="126" s="1"/>
  <c r="M32" i="126"/>
  <c r="AI32" i="126" s="1"/>
  <c r="S32" i="126"/>
  <c r="AL32" i="126" s="1"/>
  <c r="Q32" i="126"/>
  <c r="AK32" i="126" s="1"/>
  <c r="O32" i="126"/>
  <c r="W32" i="126"/>
  <c r="AN32" i="126" s="1"/>
  <c r="K32" i="126"/>
  <c r="M40" i="126"/>
  <c r="Q43" i="126"/>
  <c r="AK43" i="126" s="1"/>
  <c r="K60" i="126"/>
  <c r="Q65" i="126"/>
  <c r="AK65" i="126" s="1"/>
  <c r="U79" i="126"/>
  <c r="AM79" i="126" s="1"/>
  <c r="S79" i="126"/>
  <c r="AL79" i="126" s="1"/>
  <c r="Q79" i="126"/>
  <c r="AK79" i="126" s="1"/>
  <c r="O79" i="126"/>
  <c r="AJ79" i="126" s="1"/>
  <c r="M38" i="126"/>
  <c r="K38" i="126"/>
  <c r="I38" i="126"/>
  <c r="U38" i="126"/>
  <c r="AM38" i="126" s="1"/>
  <c r="W38" i="126"/>
  <c r="AN38" i="126" s="1"/>
  <c r="M48" i="126"/>
  <c r="K48" i="126"/>
  <c r="I48" i="126"/>
  <c r="U48" i="126"/>
  <c r="AM48" i="126" s="1"/>
  <c r="W48" i="126"/>
  <c r="AN48" i="126" s="1"/>
  <c r="U67" i="126"/>
  <c r="AM67" i="126" s="1"/>
  <c r="S67" i="126"/>
  <c r="AL67" i="126" s="1"/>
  <c r="Q67" i="126"/>
  <c r="AK67" i="126" s="1"/>
  <c r="O67" i="126"/>
  <c r="M67" i="126"/>
  <c r="U9" i="126"/>
  <c r="AM9" i="126" s="1"/>
  <c r="S9" i="126"/>
  <c r="AL9" i="126" s="1"/>
  <c r="Q9" i="126"/>
  <c r="AK9" i="126" s="1"/>
  <c r="O38" i="126"/>
  <c r="O48" i="126"/>
  <c r="I67" i="126"/>
  <c r="I80" i="126"/>
  <c r="AI80" i="126" s="1"/>
  <c r="I9" i="126"/>
  <c r="Q38" i="126"/>
  <c r="AK38" i="126" s="1"/>
  <c r="Q48" i="126"/>
  <c r="AK48" i="126" s="1"/>
  <c r="K67" i="126"/>
  <c r="K80" i="126"/>
  <c r="Q80" i="126"/>
  <c r="AK80" i="126" s="1"/>
  <c r="Q3" i="126"/>
  <c r="M13" i="126"/>
  <c r="K13" i="126"/>
  <c r="I13" i="126"/>
  <c r="W13" i="126"/>
  <c r="AN13" i="126" s="1"/>
  <c r="U19" i="126"/>
  <c r="AM19" i="126" s="1"/>
  <c r="S19" i="126"/>
  <c r="AL19" i="126" s="1"/>
  <c r="Q19" i="126"/>
  <c r="AK19" i="126" s="1"/>
  <c r="I25" i="126"/>
  <c r="AI25" i="126" s="1"/>
  <c r="I55" i="126"/>
  <c r="U57" i="126"/>
  <c r="AM57" i="126" s="1"/>
  <c r="S57" i="126"/>
  <c r="AL57" i="126" s="1"/>
  <c r="Q57" i="126"/>
  <c r="AK57" i="126" s="1"/>
  <c r="O57" i="126"/>
  <c r="M57" i="126"/>
  <c r="U74" i="126"/>
  <c r="AM74" i="126" s="1"/>
  <c r="S74" i="126"/>
  <c r="AL74" i="126" s="1"/>
  <c r="Q74" i="126"/>
  <c r="AK74" i="126" s="1"/>
  <c r="O74" i="126"/>
  <c r="S80" i="126"/>
  <c r="AL80" i="126" s="1"/>
  <c r="O13" i="126"/>
  <c r="U17" i="126"/>
  <c r="AM17" i="126" s="1"/>
  <c r="M17" i="126"/>
  <c r="S17" i="126"/>
  <c r="AL17" i="126" s="1"/>
  <c r="Q17" i="126"/>
  <c r="AK17" i="126" s="1"/>
  <c r="O17" i="126"/>
  <c r="AJ17" i="126" s="1"/>
  <c r="I19" i="126"/>
  <c r="K25" i="126"/>
  <c r="U29" i="126"/>
  <c r="AM29" i="126" s="1"/>
  <c r="S29" i="126"/>
  <c r="AL29" i="126" s="1"/>
  <c r="Q29" i="126"/>
  <c r="AK29" i="126" s="1"/>
  <c r="K35" i="126"/>
  <c r="AJ35" i="126" s="1"/>
  <c r="I45" i="126"/>
  <c r="AI45" i="126" s="1"/>
  <c r="K55" i="126"/>
  <c r="I57" i="126"/>
  <c r="I70" i="126"/>
  <c r="U72" i="126"/>
  <c r="AM72" i="126" s="1"/>
  <c r="S72" i="126"/>
  <c r="AL72" i="126" s="1"/>
  <c r="Q72" i="126"/>
  <c r="AK72" i="126" s="1"/>
  <c r="O72" i="126"/>
  <c r="AJ72" i="126" s="1"/>
  <c r="M72" i="126"/>
  <c r="I74" i="126"/>
  <c r="AI74" i="126" s="1"/>
  <c r="U80" i="126"/>
  <c r="AM80" i="126" s="1"/>
  <c r="G1" i="126"/>
  <c r="O3" i="126"/>
  <c r="K3" i="126"/>
  <c r="M3" i="126"/>
  <c r="I3" i="126"/>
  <c r="U59" i="126"/>
  <c r="AM59" i="126" s="1"/>
  <c r="S59" i="126"/>
  <c r="AL59" i="126" s="1"/>
  <c r="Q59" i="126"/>
  <c r="AK59" i="126" s="1"/>
  <c r="O59" i="126"/>
  <c r="AJ59" i="126" s="1"/>
  <c r="W9" i="126"/>
  <c r="AN9" i="126" s="1"/>
  <c r="I35" i="126"/>
  <c r="AI35" i="126" s="1"/>
  <c r="I59" i="126"/>
  <c r="U3" i="126"/>
  <c r="Q13" i="126"/>
  <c r="AK13" i="126" s="1"/>
  <c r="I17" i="126"/>
  <c r="K19" i="126"/>
  <c r="AJ19" i="126" s="1"/>
  <c r="U27" i="126"/>
  <c r="AM27" i="126" s="1"/>
  <c r="S27" i="126"/>
  <c r="AL27" i="126" s="1"/>
  <c r="Q27" i="126"/>
  <c r="AK27" i="126" s="1"/>
  <c r="O27" i="126"/>
  <c r="M27" i="126"/>
  <c r="I29" i="126"/>
  <c r="U39" i="126"/>
  <c r="AM39" i="126" s="1"/>
  <c r="S39" i="126"/>
  <c r="AL39" i="126" s="1"/>
  <c r="Q39" i="126"/>
  <c r="AK39" i="126" s="1"/>
  <c r="U49" i="126"/>
  <c r="AM49" i="126" s="1"/>
  <c r="S49" i="126"/>
  <c r="AL49" i="126" s="1"/>
  <c r="Q49" i="126"/>
  <c r="AK49" i="126" s="1"/>
  <c r="M55" i="126"/>
  <c r="K57" i="126"/>
  <c r="M59" i="126"/>
  <c r="K70" i="126"/>
  <c r="I72" i="126"/>
  <c r="K74" i="126"/>
  <c r="U58" i="126"/>
  <c r="AM58" i="126" s="1"/>
  <c r="U63" i="126"/>
  <c r="AM63" i="126" s="1"/>
  <c r="U68" i="126"/>
  <c r="AM68" i="126" s="1"/>
  <c r="U73" i="126"/>
  <c r="AM73" i="126" s="1"/>
  <c r="U78" i="126"/>
  <c r="AM78" i="126" s="1"/>
  <c r="S6" i="126"/>
  <c r="AL6" i="126" s="1"/>
  <c r="U7" i="126"/>
  <c r="AM7" i="126" s="1"/>
  <c r="W58" i="126"/>
  <c r="AN58" i="126" s="1"/>
  <c r="W63" i="126"/>
  <c r="AN63" i="126" s="1"/>
  <c r="W68" i="126"/>
  <c r="AN68" i="126" s="1"/>
  <c r="W73" i="126"/>
  <c r="AN73" i="126" s="1"/>
  <c r="W78" i="126"/>
  <c r="AN78" i="126" s="1"/>
  <c r="U6" i="126"/>
  <c r="AM6" i="126" s="1"/>
  <c r="W6" i="126"/>
  <c r="AN6" i="126" s="1"/>
  <c r="K11" i="126"/>
  <c r="K16" i="126"/>
  <c r="AJ16" i="126" s="1"/>
  <c r="K21" i="126"/>
  <c r="K26" i="126"/>
  <c r="K31" i="126"/>
  <c r="K41" i="126"/>
  <c r="K46" i="126"/>
  <c r="K51" i="126"/>
  <c r="K56" i="126"/>
  <c r="K61" i="126"/>
  <c r="K66" i="126"/>
  <c r="K71" i="126"/>
  <c r="K76" i="126"/>
  <c r="K81" i="126"/>
  <c r="I58" i="126"/>
  <c r="AI58" i="126" s="1"/>
  <c r="I63" i="126"/>
  <c r="AI63" i="126" s="1"/>
  <c r="I68" i="126"/>
  <c r="AI68" i="126" s="1"/>
  <c r="I73" i="126"/>
  <c r="AI73" i="126" s="1"/>
  <c r="I78" i="126"/>
  <c r="AI78" i="126" s="1"/>
  <c r="K58" i="126"/>
  <c r="K63" i="126"/>
  <c r="AJ63" i="126" s="1"/>
  <c r="K68" i="126"/>
  <c r="K73" i="126"/>
  <c r="K78" i="126"/>
  <c r="I70" i="125"/>
  <c r="AJ70" i="125" s="1"/>
  <c r="K3" i="125"/>
  <c r="M29" i="125"/>
  <c r="S43" i="125"/>
  <c r="AM43" i="125" s="1"/>
  <c r="O3" i="125"/>
  <c r="M60" i="125"/>
  <c r="S46" i="125"/>
  <c r="AM46" i="125" s="1"/>
  <c r="Q3" i="125"/>
  <c r="AL3" i="125" s="1"/>
  <c r="S16" i="125"/>
  <c r="AM16" i="125" s="1"/>
  <c r="Q46" i="125"/>
  <c r="AL46" i="125" s="1"/>
  <c r="U3" i="125"/>
  <c r="AN3" i="125" s="1"/>
  <c r="U16" i="125"/>
  <c r="AN16" i="125" s="1"/>
  <c r="Q60" i="125"/>
  <c r="AL60" i="125" s="1"/>
  <c r="W3" i="125"/>
  <c r="AO3" i="125" s="1"/>
  <c r="U35" i="125"/>
  <c r="AN35" i="125" s="1"/>
  <c r="U46" i="125"/>
  <c r="AN46" i="125" s="1"/>
  <c r="W60" i="125"/>
  <c r="AO60" i="125" s="1"/>
  <c r="W75" i="125"/>
  <c r="AO75" i="125" s="1"/>
  <c r="S61" i="125"/>
  <c r="AM61" i="125" s="1"/>
  <c r="M76" i="125"/>
  <c r="S18" i="125"/>
  <c r="AM18" i="125" s="1"/>
  <c r="K19" i="125"/>
  <c r="AK19" i="125" s="1"/>
  <c r="U61" i="125"/>
  <c r="AN61" i="125" s="1"/>
  <c r="O76" i="125"/>
  <c r="K80" i="125"/>
  <c r="U20" i="125"/>
  <c r="AN20" i="125" s="1"/>
  <c r="O40" i="125"/>
  <c r="O81" i="125"/>
  <c r="S25" i="125"/>
  <c r="AM25" i="125" s="1"/>
  <c r="S41" i="125"/>
  <c r="AM41" i="125" s="1"/>
  <c r="W55" i="125"/>
  <c r="AO55" i="125" s="1"/>
  <c r="Q70" i="125"/>
  <c r="AL70" i="125" s="1"/>
  <c r="Q81" i="125"/>
  <c r="AL81" i="125" s="1"/>
  <c r="S50" i="125"/>
  <c r="AM50" i="125" s="1"/>
  <c r="O44" i="125"/>
  <c r="U4" i="125"/>
  <c r="AN4" i="125" s="1"/>
  <c r="K40" i="125"/>
  <c r="AK40" i="125" s="1"/>
  <c r="W50" i="125"/>
  <c r="AO50" i="125" s="1"/>
  <c r="W70" i="125"/>
  <c r="AO70" i="125" s="1"/>
  <c r="Q31" i="125"/>
  <c r="AL31" i="125" s="1"/>
  <c r="M44" i="125"/>
  <c r="AJ44" i="125" s="1"/>
  <c r="I50" i="125"/>
  <c r="K10" i="125"/>
  <c r="AK10" i="125" s="1"/>
  <c r="O21" i="125"/>
  <c r="O50" i="125"/>
  <c r="S70" i="125"/>
  <c r="AM70" i="125" s="1"/>
  <c r="M10" i="125"/>
  <c r="W44" i="125"/>
  <c r="AO44" i="125" s="1"/>
  <c r="O64" i="125"/>
  <c r="I4" i="125"/>
  <c r="S21" i="125"/>
  <c r="AM21" i="125" s="1"/>
  <c r="Q40" i="125"/>
  <c r="AL40" i="125" s="1"/>
  <c r="I45" i="125"/>
  <c r="M51" i="125"/>
  <c r="Q65" i="125"/>
  <c r="AL65" i="125" s="1"/>
  <c r="K45" i="125"/>
  <c r="AK45" i="125" s="1"/>
  <c r="O51" i="125"/>
  <c r="M65" i="125"/>
  <c r="O71" i="125"/>
  <c r="W10" i="125"/>
  <c r="AO10" i="125" s="1"/>
  <c r="I25" i="125"/>
  <c r="W40" i="125"/>
  <c r="AO40" i="125" s="1"/>
  <c r="M45" i="125"/>
  <c r="O59" i="125"/>
  <c r="S65" i="125"/>
  <c r="AM65" i="125" s="1"/>
  <c r="K25" i="125"/>
  <c r="Q45" i="125"/>
  <c r="AL45" i="125" s="1"/>
  <c r="U60" i="125"/>
  <c r="AN60" i="125" s="1"/>
  <c r="S71" i="125"/>
  <c r="AM71" i="125" s="1"/>
  <c r="S4" i="125"/>
  <c r="AM4" i="125" s="1"/>
  <c r="S11" i="125"/>
  <c r="AM11" i="125" s="1"/>
  <c r="K18" i="125"/>
  <c r="AK18" i="125" s="1"/>
  <c r="M25" i="125"/>
  <c r="O35" i="125"/>
  <c r="O41" i="125"/>
  <c r="S45" i="125"/>
  <c r="AM45" i="125" s="1"/>
  <c r="U51" i="125"/>
  <c r="AN51" i="125" s="1"/>
  <c r="I60" i="125"/>
  <c r="W65" i="125"/>
  <c r="AO65" i="125" s="1"/>
  <c r="U71" i="125"/>
  <c r="AN71" i="125" s="1"/>
  <c r="M79" i="125"/>
  <c r="M70" i="125"/>
  <c r="Q10" i="125"/>
  <c r="AL10" i="125" s="1"/>
  <c r="S31" i="125"/>
  <c r="AM31" i="125" s="1"/>
  <c r="K64" i="125"/>
  <c r="O70" i="125"/>
  <c r="AK70" i="125" s="1"/>
  <c r="W81" i="125"/>
  <c r="AO81" i="125" s="1"/>
  <c r="S44" i="125"/>
  <c r="AM44" i="125" s="1"/>
  <c r="M64" i="125"/>
  <c r="Q21" i="125"/>
  <c r="AL21" i="125" s="1"/>
  <c r="U70" i="125"/>
  <c r="AN70" i="125" s="1"/>
  <c r="O10" i="125"/>
  <c r="O45" i="125"/>
  <c r="K4" i="125"/>
  <c r="S10" i="125"/>
  <c r="AM10" i="125" s="1"/>
  <c r="S40" i="125"/>
  <c r="AM40" i="125" s="1"/>
  <c r="M71" i="125"/>
  <c r="M4" i="125"/>
  <c r="O17" i="125"/>
  <c r="Q25" i="125"/>
  <c r="AL25" i="125" s="1"/>
  <c r="O4" i="125"/>
  <c r="Q51" i="125"/>
  <c r="AL51" i="125" s="1"/>
  <c r="Q71" i="125"/>
  <c r="AL71" i="125" s="1"/>
  <c r="Q4" i="125"/>
  <c r="AL4" i="125" s="1"/>
  <c r="Q11" i="125"/>
  <c r="AL11" i="125" s="1"/>
  <c r="W18" i="125"/>
  <c r="AO18" i="125" s="1"/>
  <c r="M35" i="125"/>
  <c r="M41" i="125"/>
  <c r="S51" i="125"/>
  <c r="AM51" i="125" s="1"/>
  <c r="O25" i="125"/>
  <c r="M5" i="125"/>
  <c r="O5" i="125"/>
  <c r="M61" i="125"/>
  <c r="M80" i="125"/>
  <c r="Q5" i="125"/>
  <c r="AL5" i="125" s="1"/>
  <c r="K28" i="125"/>
  <c r="K43" i="125"/>
  <c r="AK43" i="125" s="1"/>
  <c r="O61" i="125"/>
  <c r="I75" i="125"/>
  <c r="AJ75" i="125" s="1"/>
  <c r="M81" i="125"/>
  <c r="AK15" i="125"/>
  <c r="U49" i="125"/>
  <c r="AN49" i="125" s="1"/>
  <c r="Q49" i="125"/>
  <c r="AL49" i="125" s="1"/>
  <c r="O49" i="125"/>
  <c r="M49" i="125"/>
  <c r="K49" i="125"/>
  <c r="I49" i="125"/>
  <c r="W49" i="125"/>
  <c r="AO49" i="125" s="1"/>
  <c r="U22" i="125"/>
  <c r="AN22" i="125" s="1"/>
  <c r="S22" i="125"/>
  <c r="AM22" i="125" s="1"/>
  <c r="Q22" i="125"/>
  <c r="AL22" i="125" s="1"/>
  <c r="M22" i="125"/>
  <c r="I22" i="125"/>
  <c r="O22" i="125"/>
  <c r="W22" i="125"/>
  <c r="AO22" i="125" s="1"/>
  <c r="M6" i="125"/>
  <c r="K6" i="125"/>
  <c r="I6" i="125"/>
  <c r="S6" i="125"/>
  <c r="AM6" i="125" s="1"/>
  <c r="Q6" i="125"/>
  <c r="AL6" i="125" s="1"/>
  <c r="O6" i="125"/>
  <c r="W6" i="125"/>
  <c r="AO6" i="125" s="1"/>
  <c r="M26" i="125"/>
  <c r="K26" i="125"/>
  <c r="I26" i="125"/>
  <c r="W26" i="125"/>
  <c r="AO26" i="125" s="1"/>
  <c r="U26" i="125"/>
  <c r="AN26" i="125" s="1"/>
  <c r="S26" i="125"/>
  <c r="AM26" i="125" s="1"/>
  <c r="Q26" i="125"/>
  <c r="AL26" i="125" s="1"/>
  <c r="O26" i="125"/>
  <c r="U14" i="125"/>
  <c r="AN14" i="125" s="1"/>
  <c r="Q14" i="125"/>
  <c r="AL14" i="125" s="1"/>
  <c r="M14" i="125"/>
  <c r="K14" i="125"/>
  <c r="I14" i="125"/>
  <c r="AJ14" i="125" s="1"/>
  <c r="W14" i="125"/>
  <c r="AO14" i="125" s="1"/>
  <c r="U6" i="125"/>
  <c r="O14" i="125"/>
  <c r="U57" i="125"/>
  <c r="AN57" i="125" s="1"/>
  <c r="S57" i="125"/>
  <c r="AM57" i="125" s="1"/>
  <c r="Q57" i="125"/>
  <c r="AL57" i="125" s="1"/>
  <c r="O57" i="125"/>
  <c r="M57" i="125"/>
  <c r="I57" i="125"/>
  <c r="W57" i="125"/>
  <c r="AO57" i="125" s="1"/>
  <c r="K57" i="125"/>
  <c r="K22" i="125"/>
  <c r="S49" i="125"/>
  <c r="AM49" i="125" s="1"/>
  <c r="U62" i="125"/>
  <c r="AN62" i="125" s="1"/>
  <c r="S62" i="125"/>
  <c r="AM62" i="125" s="1"/>
  <c r="Q62" i="125"/>
  <c r="AL62" i="125" s="1"/>
  <c r="O62" i="125"/>
  <c r="M62" i="125"/>
  <c r="I62" i="125"/>
  <c r="AJ62" i="125" s="1"/>
  <c r="K62" i="125"/>
  <c r="AK62" i="125" s="1"/>
  <c r="W62" i="125"/>
  <c r="AO62" i="125" s="1"/>
  <c r="M63" i="125"/>
  <c r="K63" i="125"/>
  <c r="I63" i="125"/>
  <c r="AJ63" i="125" s="1"/>
  <c r="W63" i="125"/>
  <c r="AO63" i="125" s="1"/>
  <c r="U63" i="125"/>
  <c r="AN63" i="125" s="1"/>
  <c r="Q63" i="125"/>
  <c r="AL63" i="125" s="1"/>
  <c r="S63" i="125"/>
  <c r="AM63" i="125" s="1"/>
  <c r="M23" i="125"/>
  <c r="I23" i="125"/>
  <c r="U23" i="125"/>
  <c r="AN23" i="125" s="1"/>
  <c r="Q23" i="125"/>
  <c r="AL23" i="125" s="1"/>
  <c r="S23" i="125"/>
  <c r="AM23" i="125" s="1"/>
  <c r="O23" i="125"/>
  <c r="K23" i="125"/>
  <c r="M33" i="125"/>
  <c r="I33" i="125"/>
  <c r="U33" i="125"/>
  <c r="AN33" i="125" s="1"/>
  <c r="Q33" i="125"/>
  <c r="AL33" i="125" s="1"/>
  <c r="W33" i="125"/>
  <c r="AO33" i="125" s="1"/>
  <c r="S33" i="125"/>
  <c r="AM33" i="125" s="1"/>
  <c r="O33" i="125"/>
  <c r="K33" i="125"/>
  <c r="O63" i="125"/>
  <c r="W23" i="125"/>
  <c r="AO23" i="125" s="1"/>
  <c r="U72" i="125"/>
  <c r="AN72" i="125" s="1"/>
  <c r="S72" i="125"/>
  <c r="AM72" i="125" s="1"/>
  <c r="O72" i="125"/>
  <c r="Q72" i="125"/>
  <c r="AL72" i="125" s="1"/>
  <c r="M72" i="125"/>
  <c r="I72" i="125"/>
  <c r="W72" i="125"/>
  <c r="AO72" i="125" s="1"/>
  <c r="M8" i="125"/>
  <c r="I8" i="125"/>
  <c r="U8" i="125"/>
  <c r="AN8" i="125" s="1"/>
  <c r="Q8" i="125"/>
  <c r="AL8" i="125" s="1"/>
  <c r="W8" i="125"/>
  <c r="AO8" i="125" s="1"/>
  <c r="S8" i="125"/>
  <c r="AM8" i="125" s="1"/>
  <c r="O8" i="125"/>
  <c r="U24" i="125"/>
  <c r="AN24" i="125" s="1"/>
  <c r="Q24" i="125"/>
  <c r="AL24" i="125" s="1"/>
  <c r="W24" i="125"/>
  <c r="AO24" i="125" s="1"/>
  <c r="K24" i="125"/>
  <c r="S24" i="125"/>
  <c r="AM24" i="125" s="1"/>
  <c r="O24" i="125"/>
  <c r="M24" i="125"/>
  <c r="K72" i="125"/>
  <c r="K8" i="125"/>
  <c r="I24" i="125"/>
  <c r="M68" i="125"/>
  <c r="K68" i="125"/>
  <c r="I68" i="125"/>
  <c r="W68" i="125"/>
  <c r="AO68" i="125" s="1"/>
  <c r="U68" i="125"/>
  <c r="AN68" i="125" s="1"/>
  <c r="Q68" i="125"/>
  <c r="AL68" i="125" s="1"/>
  <c r="S68" i="125"/>
  <c r="AM68" i="125" s="1"/>
  <c r="O68" i="125"/>
  <c r="U12" i="125"/>
  <c r="AN12" i="125" s="1"/>
  <c r="S12" i="125"/>
  <c r="AM12" i="125" s="1"/>
  <c r="Q12" i="125"/>
  <c r="AL12" i="125" s="1"/>
  <c r="M12" i="125"/>
  <c r="I12" i="125"/>
  <c r="W12" i="125"/>
  <c r="AO12" i="125" s="1"/>
  <c r="O12" i="125"/>
  <c r="K12" i="125"/>
  <c r="AJ20" i="125"/>
  <c r="AK39" i="125"/>
  <c r="M73" i="125"/>
  <c r="K73" i="125"/>
  <c r="I73" i="125"/>
  <c r="W73" i="125"/>
  <c r="AO73" i="125" s="1"/>
  <c r="U73" i="125"/>
  <c r="AN73" i="125" s="1"/>
  <c r="Q73" i="125"/>
  <c r="AL73" i="125" s="1"/>
  <c r="O73" i="125"/>
  <c r="S73" i="125"/>
  <c r="AM73" i="125" s="1"/>
  <c r="U77" i="125"/>
  <c r="AN77" i="125" s="1"/>
  <c r="S77" i="125"/>
  <c r="AM77" i="125" s="1"/>
  <c r="O77" i="125"/>
  <c r="Q77" i="125"/>
  <c r="AL77" i="125" s="1"/>
  <c r="M77" i="125"/>
  <c r="I77" i="125"/>
  <c r="W77" i="125"/>
  <c r="AO77" i="125" s="1"/>
  <c r="K77" i="125"/>
  <c r="W39" i="125"/>
  <c r="AO39" i="125" s="1"/>
  <c r="U69" i="125"/>
  <c r="AN69" i="125" s="1"/>
  <c r="S69" i="125"/>
  <c r="AM69" i="125" s="1"/>
  <c r="Q69" i="125"/>
  <c r="AL69" i="125" s="1"/>
  <c r="S5" i="125"/>
  <c r="AM5" i="125" s="1"/>
  <c r="U7" i="125"/>
  <c r="AN7" i="125" s="1"/>
  <c r="S7" i="125"/>
  <c r="AM7" i="125" s="1"/>
  <c r="Q7" i="125"/>
  <c r="AL7" i="125" s="1"/>
  <c r="I7" i="125"/>
  <c r="S20" i="125"/>
  <c r="AM20" i="125" s="1"/>
  <c r="M28" i="125"/>
  <c r="I28" i="125"/>
  <c r="U28" i="125"/>
  <c r="AN28" i="125" s="1"/>
  <c r="Q28" i="125"/>
  <c r="AL28" i="125" s="1"/>
  <c r="K30" i="125"/>
  <c r="O60" i="125"/>
  <c r="AK60" i="125" s="1"/>
  <c r="I69" i="125"/>
  <c r="O80" i="125"/>
  <c r="U32" i="125"/>
  <c r="AN32" i="125" s="1"/>
  <c r="S32" i="125"/>
  <c r="AM32" i="125" s="1"/>
  <c r="Q32" i="125"/>
  <c r="AL32" i="125" s="1"/>
  <c r="M32" i="125"/>
  <c r="I32" i="125"/>
  <c r="AJ32" i="125" s="1"/>
  <c r="U54" i="125"/>
  <c r="AN54" i="125" s="1"/>
  <c r="Q54" i="125"/>
  <c r="AL54" i="125" s="1"/>
  <c r="K69" i="125"/>
  <c r="Q80" i="125"/>
  <c r="AL80" i="125" s="1"/>
  <c r="U9" i="125"/>
  <c r="AN9" i="125" s="1"/>
  <c r="Q9" i="125"/>
  <c r="AL9" i="125" s="1"/>
  <c r="M30" i="125"/>
  <c r="U34" i="125"/>
  <c r="AN34" i="125" s="1"/>
  <c r="Q34" i="125"/>
  <c r="AL34" i="125" s="1"/>
  <c r="I9" i="125"/>
  <c r="W20" i="125"/>
  <c r="AO20" i="125" s="1"/>
  <c r="O28" i="125"/>
  <c r="K32" i="125"/>
  <c r="I34" i="125"/>
  <c r="AJ34" i="125" s="1"/>
  <c r="M36" i="125"/>
  <c r="K36" i="125"/>
  <c r="I36" i="125"/>
  <c r="K50" i="125"/>
  <c r="I54" i="125"/>
  <c r="AJ54" i="125" s="1"/>
  <c r="M58" i="125"/>
  <c r="K58" i="125"/>
  <c r="I58" i="125"/>
  <c r="W58" i="125"/>
  <c r="AO58" i="125" s="1"/>
  <c r="U58" i="125"/>
  <c r="AN58" i="125" s="1"/>
  <c r="Q58" i="125"/>
  <c r="AL58" i="125" s="1"/>
  <c r="S60" i="125"/>
  <c r="AM60" i="125" s="1"/>
  <c r="I65" i="125"/>
  <c r="U67" i="125"/>
  <c r="AN67" i="125" s="1"/>
  <c r="O67" i="125"/>
  <c r="S67" i="125"/>
  <c r="AM67" i="125" s="1"/>
  <c r="Q67" i="125"/>
  <c r="AL67" i="125" s="1"/>
  <c r="M67" i="125"/>
  <c r="I67" i="125"/>
  <c r="AJ67" i="125" s="1"/>
  <c r="M69" i="125"/>
  <c r="M78" i="125"/>
  <c r="K78" i="125"/>
  <c r="I78" i="125"/>
  <c r="W78" i="125"/>
  <c r="AO78" i="125" s="1"/>
  <c r="U78" i="125"/>
  <c r="AN78" i="125" s="1"/>
  <c r="Q78" i="125"/>
  <c r="AL78" i="125" s="1"/>
  <c r="S80" i="125"/>
  <c r="AM80" i="125" s="1"/>
  <c r="W5" i="125"/>
  <c r="AO5" i="125" s="1"/>
  <c r="M7" i="125"/>
  <c r="M11" i="125"/>
  <c r="K11" i="125"/>
  <c r="I11" i="125"/>
  <c r="O30" i="125"/>
  <c r="O7" i="125"/>
  <c r="K9" i="125"/>
  <c r="O11" i="125"/>
  <c r="I15" i="125"/>
  <c r="S28" i="125"/>
  <c r="AM28" i="125" s="1"/>
  <c r="Q30" i="125"/>
  <c r="AL30" i="125" s="1"/>
  <c r="O32" i="125"/>
  <c r="K34" i="125"/>
  <c r="O36" i="125"/>
  <c r="I40" i="125"/>
  <c r="U44" i="125"/>
  <c r="AN44" i="125" s="1"/>
  <c r="Q44" i="125"/>
  <c r="AL44" i="125" s="1"/>
  <c r="M50" i="125"/>
  <c r="U52" i="125"/>
  <c r="AN52" i="125" s="1"/>
  <c r="S52" i="125"/>
  <c r="AM52" i="125" s="1"/>
  <c r="Q52" i="125"/>
  <c r="AL52" i="125" s="1"/>
  <c r="O52" i="125"/>
  <c r="M52" i="125"/>
  <c r="I52" i="125"/>
  <c r="K54" i="125"/>
  <c r="O58" i="125"/>
  <c r="K65" i="125"/>
  <c r="K67" i="125"/>
  <c r="O69" i="125"/>
  <c r="O78" i="125"/>
  <c r="U74" i="125"/>
  <c r="AN74" i="125" s="1"/>
  <c r="S74" i="125"/>
  <c r="AM74" i="125" s="1"/>
  <c r="Q74" i="125"/>
  <c r="AL74" i="125" s="1"/>
  <c r="I30" i="125"/>
  <c r="M48" i="125"/>
  <c r="I48" i="125"/>
  <c r="W48" i="125"/>
  <c r="AO48" i="125" s="1"/>
  <c r="U48" i="125"/>
  <c r="AN48" i="125" s="1"/>
  <c r="Q48" i="125"/>
  <c r="AL48" i="125" s="1"/>
  <c r="U17" i="125"/>
  <c r="AN17" i="125" s="1"/>
  <c r="S17" i="125"/>
  <c r="AM17" i="125" s="1"/>
  <c r="Q17" i="125"/>
  <c r="AL17" i="125" s="1"/>
  <c r="M17" i="125"/>
  <c r="I17" i="125"/>
  <c r="AJ17" i="125" s="1"/>
  <c r="U19" i="125"/>
  <c r="AN19" i="125" s="1"/>
  <c r="Q19" i="125"/>
  <c r="AL19" i="125" s="1"/>
  <c r="U30" i="125"/>
  <c r="AN30" i="125" s="1"/>
  <c r="O34" i="125"/>
  <c r="S36" i="125"/>
  <c r="AM36" i="125" s="1"/>
  <c r="M40" i="125"/>
  <c r="U42" i="125"/>
  <c r="AN42" i="125" s="1"/>
  <c r="S42" i="125"/>
  <c r="AM42" i="125" s="1"/>
  <c r="O42" i="125"/>
  <c r="Q42" i="125"/>
  <c r="AL42" i="125" s="1"/>
  <c r="M42" i="125"/>
  <c r="I42" i="125"/>
  <c r="K48" i="125"/>
  <c r="Q50" i="125"/>
  <c r="AL50" i="125" s="1"/>
  <c r="O54" i="125"/>
  <c r="O65" i="125"/>
  <c r="I74" i="125"/>
  <c r="AJ74" i="125" s="1"/>
  <c r="M13" i="125"/>
  <c r="I13" i="125"/>
  <c r="U13" i="125"/>
  <c r="AN13" i="125" s="1"/>
  <c r="Q13" i="125"/>
  <c r="AL13" i="125" s="1"/>
  <c r="S30" i="125"/>
  <c r="AM30" i="125" s="1"/>
  <c r="M38" i="125"/>
  <c r="I38" i="125"/>
  <c r="U38" i="125"/>
  <c r="AN38" i="125" s="1"/>
  <c r="Q38" i="125"/>
  <c r="AL38" i="125" s="1"/>
  <c r="W69" i="125"/>
  <c r="AO69" i="125" s="1"/>
  <c r="G1" i="125"/>
  <c r="O9" i="125"/>
  <c r="I3" i="125"/>
  <c r="S9" i="125"/>
  <c r="AM9" i="125" s="1"/>
  <c r="U11" i="125"/>
  <c r="AN11" i="125" s="1"/>
  <c r="O13" i="125"/>
  <c r="K17" i="125"/>
  <c r="I19" i="125"/>
  <c r="AJ19" i="125" s="1"/>
  <c r="M21" i="125"/>
  <c r="K21" i="125"/>
  <c r="I21" i="125"/>
  <c r="S34" i="125"/>
  <c r="AM34" i="125" s="1"/>
  <c r="U36" i="125"/>
  <c r="AN36" i="125" s="1"/>
  <c r="O38" i="125"/>
  <c r="AK38" i="125" s="1"/>
  <c r="K42" i="125"/>
  <c r="O48" i="125"/>
  <c r="S54" i="125"/>
  <c r="AM54" i="125" s="1"/>
  <c r="K74" i="125"/>
  <c r="AK74" i="125" s="1"/>
  <c r="U27" i="125"/>
  <c r="AN27" i="125" s="1"/>
  <c r="S27" i="125"/>
  <c r="AM27" i="125" s="1"/>
  <c r="Q27" i="125"/>
  <c r="AL27" i="125" s="1"/>
  <c r="M27" i="125"/>
  <c r="I27" i="125"/>
  <c r="U29" i="125"/>
  <c r="AN29" i="125" s="1"/>
  <c r="Q29" i="125"/>
  <c r="AL29" i="125" s="1"/>
  <c r="U59" i="125"/>
  <c r="AN59" i="125" s="1"/>
  <c r="S59" i="125"/>
  <c r="AM59" i="125" s="1"/>
  <c r="Q59" i="125"/>
  <c r="AL59" i="125" s="1"/>
  <c r="U79" i="125"/>
  <c r="AN79" i="125" s="1"/>
  <c r="S79" i="125"/>
  <c r="AM79" i="125" s="1"/>
  <c r="Q79" i="125"/>
  <c r="AL79" i="125" s="1"/>
  <c r="K27" i="125"/>
  <c r="I29" i="125"/>
  <c r="M31" i="125"/>
  <c r="K31" i="125"/>
  <c r="I31" i="125"/>
  <c r="I55" i="125"/>
  <c r="I59" i="125"/>
  <c r="AJ59" i="125" s="1"/>
  <c r="I79" i="125"/>
  <c r="S3" i="125"/>
  <c r="I10" i="125"/>
  <c r="W19" i="125"/>
  <c r="AO19" i="125" s="1"/>
  <c r="W21" i="125"/>
  <c r="AO21" i="125" s="1"/>
  <c r="O27" i="125"/>
  <c r="K29" i="125"/>
  <c r="AK29" i="125" s="1"/>
  <c r="O31" i="125"/>
  <c r="I35" i="125"/>
  <c r="K55" i="125"/>
  <c r="K59" i="125"/>
  <c r="K79" i="125"/>
  <c r="AK79" i="125" s="1"/>
  <c r="M53" i="125"/>
  <c r="I53" i="125"/>
  <c r="W53" i="125"/>
  <c r="AO53" i="125" s="1"/>
  <c r="U53" i="125"/>
  <c r="AN53" i="125" s="1"/>
  <c r="Q53" i="125"/>
  <c r="AL53" i="125" s="1"/>
  <c r="AK75" i="125"/>
  <c r="M16" i="125"/>
  <c r="K16" i="125"/>
  <c r="I16" i="125"/>
  <c r="AJ16" i="125" s="1"/>
  <c r="S29" i="125"/>
  <c r="AM29" i="125" s="1"/>
  <c r="K37" i="125"/>
  <c r="AK37" i="125" s="1"/>
  <c r="I39" i="125"/>
  <c r="U47" i="125"/>
  <c r="AN47" i="125" s="1"/>
  <c r="O47" i="125"/>
  <c r="S47" i="125"/>
  <c r="AM47" i="125" s="1"/>
  <c r="Q47" i="125"/>
  <c r="AL47" i="125" s="1"/>
  <c r="M47" i="125"/>
  <c r="I47" i="125"/>
  <c r="K53" i="125"/>
  <c r="AK53" i="125" s="1"/>
  <c r="Q55" i="125"/>
  <c r="AL55" i="125" s="1"/>
  <c r="W59" i="125"/>
  <c r="AO59" i="125" s="1"/>
  <c r="U64" i="125"/>
  <c r="AN64" i="125" s="1"/>
  <c r="S64" i="125"/>
  <c r="AM64" i="125" s="1"/>
  <c r="Q64" i="125"/>
  <c r="AL64" i="125" s="1"/>
  <c r="W79" i="125"/>
  <c r="AO79" i="125" s="1"/>
  <c r="O16" i="125"/>
  <c r="W29" i="125"/>
  <c r="AO29" i="125" s="1"/>
  <c r="W31" i="125"/>
  <c r="AO31" i="125" s="1"/>
  <c r="M43" i="125"/>
  <c r="I43" i="125"/>
  <c r="AJ43" i="125" s="1"/>
  <c r="W43" i="125"/>
  <c r="AO43" i="125" s="1"/>
  <c r="U43" i="125"/>
  <c r="AN43" i="125" s="1"/>
  <c r="Q43" i="125"/>
  <c r="AL43" i="125" s="1"/>
  <c r="K47" i="125"/>
  <c r="AK47" i="125" s="1"/>
  <c r="O53" i="125"/>
  <c r="S55" i="125"/>
  <c r="AM55" i="125" s="1"/>
  <c r="I64" i="125"/>
  <c r="U37" i="125"/>
  <c r="AN37" i="125" s="1"/>
  <c r="S37" i="125"/>
  <c r="AM37" i="125" s="1"/>
  <c r="Q37" i="125"/>
  <c r="AL37" i="125" s="1"/>
  <c r="M37" i="125"/>
  <c r="I37" i="125"/>
  <c r="U39" i="125"/>
  <c r="AN39" i="125" s="1"/>
  <c r="Q39" i="125"/>
  <c r="AL39" i="125" s="1"/>
  <c r="M18" i="125"/>
  <c r="I18" i="125"/>
  <c r="U18" i="125"/>
  <c r="AN18" i="125" s="1"/>
  <c r="Q18" i="125"/>
  <c r="AL18" i="125" s="1"/>
  <c r="W37" i="125"/>
  <c r="AO37" i="125" s="1"/>
  <c r="M39" i="125"/>
  <c r="S53" i="125"/>
  <c r="AM53" i="125" s="1"/>
  <c r="I41" i="125"/>
  <c r="I46" i="125"/>
  <c r="AJ46" i="125" s="1"/>
  <c r="I51" i="125"/>
  <c r="I56" i="125"/>
  <c r="I61" i="125"/>
  <c r="I66" i="125"/>
  <c r="AJ66" i="125" s="1"/>
  <c r="I71" i="125"/>
  <c r="I76" i="125"/>
  <c r="I81" i="125"/>
  <c r="K41" i="125"/>
  <c r="AK41" i="125" s="1"/>
  <c r="K46" i="125"/>
  <c r="AK46" i="125" s="1"/>
  <c r="K51" i="125"/>
  <c r="AK51" i="125" s="1"/>
  <c r="K56" i="125"/>
  <c r="AK56" i="125" s="1"/>
  <c r="K61" i="125"/>
  <c r="K66" i="125"/>
  <c r="AK66" i="125" s="1"/>
  <c r="K71" i="125"/>
  <c r="K76" i="125"/>
  <c r="K81" i="125"/>
  <c r="AI67" i="126" l="1"/>
  <c r="AJ25" i="126"/>
  <c r="AJ41" i="126"/>
  <c r="AJ26" i="126"/>
  <c r="AJ56" i="125"/>
  <c r="AJ6" i="125"/>
  <c r="AK3" i="125"/>
  <c r="AK78" i="125"/>
  <c r="AJ77" i="125"/>
  <c r="AK13" i="125"/>
  <c r="AJ79" i="125"/>
  <c r="AK76" i="125"/>
  <c r="AK16" i="125"/>
  <c r="AP16" i="125" s="1"/>
  <c r="AJ15" i="125"/>
  <c r="AP15" i="125" s="1"/>
  <c r="AJ33" i="125"/>
  <c r="AK20" i="125"/>
  <c r="AJ28" i="125"/>
  <c r="AP28" i="125" s="1"/>
  <c r="AJ29" i="125"/>
  <c r="AP29" i="125" s="1"/>
  <c r="AJ23" i="125"/>
  <c r="AK80" i="125"/>
  <c r="AJ55" i="125"/>
  <c r="AJ9" i="125"/>
  <c r="AK7" i="125"/>
  <c r="AJ5" i="125"/>
  <c r="AP5" i="125" s="1"/>
  <c r="AK55" i="125"/>
  <c r="AK28" i="125"/>
  <c r="AJ81" i="125"/>
  <c r="AK52" i="125"/>
  <c r="AJ80" i="125"/>
  <c r="AP80" i="125" s="1"/>
  <c r="AK44" i="125"/>
  <c r="AI41" i="126"/>
  <c r="AI30" i="126"/>
  <c r="AO30" i="126" s="1"/>
  <c r="AJ51" i="126"/>
  <c r="AO51" i="126" s="1"/>
  <c r="AJ71" i="126"/>
  <c r="AO71" i="126" s="1"/>
  <c r="AI17" i="126"/>
  <c r="AO17" i="126" s="1"/>
  <c r="AJ46" i="126"/>
  <c r="AO46" i="126" s="1"/>
  <c r="AO41" i="126"/>
  <c r="AI70" i="126"/>
  <c r="AI50" i="126"/>
  <c r="AO50" i="126" s="1"/>
  <c r="AI9" i="126"/>
  <c r="AI72" i="126"/>
  <c r="AO72" i="126" s="1"/>
  <c r="AI8" i="126"/>
  <c r="AI54" i="126"/>
  <c r="AJ37" i="126"/>
  <c r="AJ42" i="126"/>
  <c r="AI7" i="126"/>
  <c r="AJ75" i="126"/>
  <c r="AO7" i="126"/>
  <c r="AJ22" i="126"/>
  <c r="AO22" i="126" s="1"/>
  <c r="AJ31" i="126"/>
  <c r="AO31" i="126" s="1"/>
  <c r="AJ52" i="126"/>
  <c r="AJ39" i="126"/>
  <c r="AO39" i="126" s="1"/>
  <c r="AI59" i="126"/>
  <c r="AO59" i="126" s="1"/>
  <c r="AJ11" i="126"/>
  <c r="AO11" i="126" s="1"/>
  <c r="AJ44" i="126"/>
  <c r="AJ47" i="126"/>
  <c r="AO47" i="126" s="1"/>
  <c r="AJ58" i="126"/>
  <c r="AO58" i="126" s="1"/>
  <c r="AI44" i="126"/>
  <c r="AO44" i="126" s="1"/>
  <c r="AJ5" i="126"/>
  <c r="AI36" i="126"/>
  <c r="AO36" i="126" s="1"/>
  <c r="AI19" i="126"/>
  <c r="AO19" i="126" s="1"/>
  <c r="AJ60" i="126"/>
  <c r="AI65" i="126"/>
  <c r="AO65" i="126" s="1"/>
  <c r="AI53" i="126"/>
  <c r="AO16" i="126"/>
  <c r="AJ27" i="126"/>
  <c r="AJ13" i="126"/>
  <c r="AI27" i="126"/>
  <c r="AO27" i="126" s="1"/>
  <c r="AJ4" i="126"/>
  <c r="AO4" i="126" s="1"/>
  <c r="AJ61" i="126"/>
  <c r="AO61" i="126" s="1"/>
  <c r="AJ76" i="126"/>
  <c r="AO76" i="126" s="1"/>
  <c r="AJ56" i="126"/>
  <c r="AO56" i="126" s="1"/>
  <c r="AI48" i="126"/>
  <c r="AJ12" i="126"/>
  <c r="AO12" i="126" s="1"/>
  <c r="AI20" i="126"/>
  <c r="AI64" i="126"/>
  <c r="AO64" i="126" s="1"/>
  <c r="AI18" i="126"/>
  <c r="AJ69" i="126"/>
  <c r="AI60" i="126"/>
  <c r="AJ70" i="126"/>
  <c r="AO9" i="126"/>
  <c r="AI38" i="126"/>
  <c r="AJ73" i="126"/>
  <c r="AO73" i="126" s="1"/>
  <c r="AJ21" i="126"/>
  <c r="AO21" i="126" s="1"/>
  <c r="AJ55" i="126"/>
  <c r="AJ38" i="126"/>
  <c r="AJ6" i="126"/>
  <c r="AO6" i="126" s="1"/>
  <c r="AO45" i="126"/>
  <c r="AJ15" i="126"/>
  <c r="AJ81" i="126"/>
  <c r="AO81" i="126" s="1"/>
  <c r="AI29" i="126"/>
  <c r="AO29" i="126" s="1"/>
  <c r="AJ28" i="126"/>
  <c r="AL1" i="126"/>
  <c r="AI5" i="126"/>
  <c r="AJ66" i="126"/>
  <c r="AO66" i="126" s="1"/>
  <c r="AI42" i="126"/>
  <c r="AI57" i="126"/>
  <c r="AJ40" i="126"/>
  <c r="AJ33" i="126"/>
  <c r="AI10" i="126"/>
  <c r="AO10" i="126" s="1"/>
  <c r="AI23" i="126"/>
  <c r="AO35" i="126"/>
  <c r="AJ80" i="126"/>
  <c r="AO80" i="126" s="1"/>
  <c r="AJ48" i="126"/>
  <c r="AJ54" i="126"/>
  <c r="AI79" i="126"/>
  <c r="AO79" i="126" s="1"/>
  <c r="AJ68" i="126"/>
  <c r="AO68" i="126" s="1"/>
  <c r="AJ74" i="126"/>
  <c r="AO74" i="126" s="1"/>
  <c r="AJ67" i="126"/>
  <c r="AO67" i="126" s="1"/>
  <c r="AJ20" i="126"/>
  <c r="AI49" i="126"/>
  <c r="AO49" i="126" s="1"/>
  <c r="AJ78" i="126"/>
  <c r="AO78" i="126" s="1"/>
  <c r="AI75" i="126"/>
  <c r="AI43" i="126"/>
  <c r="AO26" i="126"/>
  <c r="AI15" i="126"/>
  <c r="AI62" i="126"/>
  <c r="AO62" i="126" s="1"/>
  <c r="AI28" i="126"/>
  <c r="U1" i="126"/>
  <c r="AM3" i="126"/>
  <c r="AM1" i="126" s="1"/>
  <c r="AI24" i="126"/>
  <c r="AO24" i="126" s="1"/>
  <c r="AJ34" i="126"/>
  <c r="AO34" i="126" s="1"/>
  <c r="AJ77" i="126"/>
  <c r="AJ23" i="126"/>
  <c r="S1" i="126"/>
  <c r="AI55" i="126"/>
  <c r="AI77" i="126"/>
  <c r="AO25" i="126"/>
  <c r="AI69" i="126"/>
  <c r="AI3" i="126"/>
  <c r="I1" i="126"/>
  <c r="AI52" i="126"/>
  <c r="AO63" i="126"/>
  <c r="O1" i="126"/>
  <c r="AI37" i="126"/>
  <c r="AJ43" i="126"/>
  <c r="M1" i="126"/>
  <c r="AJ18" i="126"/>
  <c r="AJ3" i="126"/>
  <c r="K1" i="126"/>
  <c r="AI13" i="126"/>
  <c r="AI40" i="126"/>
  <c r="AJ32" i="126"/>
  <c r="AO32" i="126" s="1"/>
  <c r="Q1" i="126"/>
  <c r="AK3" i="126"/>
  <c r="AK1" i="126" s="1"/>
  <c r="AN1" i="126"/>
  <c r="AI33" i="126"/>
  <c r="W1" i="126"/>
  <c r="AB6" i="126" s="1"/>
  <c r="AJ57" i="126"/>
  <c r="AJ8" i="126"/>
  <c r="AJ14" i="126"/>
  <c r="AO14" i="126" s="1"/>
  <c r="AJ53" i="126"/>
  <c r="AJ73" i="125"/>
  <c r="AJ72" i="125"/>
  <c r="AJ10" i="125"/>
  <c r="AP10" i="125" s="1"/>
  <c r="AJ47" i="125"/>
  <c r="AP47" i="125" s="1"/>
  <c r="AJ60" i="125"/>
  <c r="AP60" i="125" s="1"/>
  <c r="AK21" i="125"/>
  <c r="AJ76" i="125"/>
  <c r="AP76" i="125" s="1"/>
  <c r="AJ61" i="125"/>
  <c r="AJ51" i="125"/>
  <c r="AP51" i="125" s="1"/>
  <c r="AJ4" i="125"/>
  <c r="AK81" i="125"/>
  <c r="AJ71" i="125"/>
  <c r="AP46" i="125"/>
  <c r="AK71" i="125"/>
  <c r="AK61" i="125"/>
  <c r="AP75" i="125"/>
  <c r="AJ31" i="125"/>
  <c r="AP70" i="125"/>
  <c r="AJ65" i="125"/>
  <c r="AJ13" i="125"/>
  <c r="AP13" i="125" s="1"/>
  <c r="AJ52" i="125"/>
  <c r="AJ25" i="125"/>
  <c r="AJ68" i="125"/>
  <c r="AK32" i="125"/>
  <c r="AP32" i="125" s="1"/>
  <c r="AK64" i="125"/>
  <c r="AP74" i="125"/>
  <c r="AP19" i="125"/>
  <c r="AJ64" i="125"/>
  <c r="AP64" i="125" s="1"/>
  <c r="AJ35" i="125"/>
  <c r="AP35" i="125" s="1"/>
  <c r="AK17" i="125"/>
  <c r="AK57" i="125"/>
  <c r="AP56" i="125"/>
  <c r="AJ50" i="125"/>
  <c r="AP50" i="125" s="1"/>
  <c r="AJ42" i="125"/>
  <c r="AJ48" i="125"/>
  <c r="AP44" i="125"/>
  <c r="AK12" i="125"/>
  <c r="AJ49" i="125"/>
  <c r="AK4" i="125"/>
  <c r="AP4" i="125" s="1"/>
  <c r="AK59" i="125"/>
  <c r="AK50" i="125"/>
  <c r="AJ26" i="125"/>
  <c r="AK49" i="125"/>
  <c r="AJ45" i="125"/>
  <c r="AP45" i="125" s="1"/>
  <c r="AK25" i="125"/>
  <c r="AK69" i="125"/>
  <c r="AP66" i="125"/>
  <c r="AJ41" i="125"/>
  <c r="AP41" i="125" s="1"/>
  <c r="AJ40" i="125"/>
  <c r="AP40" i="125" s="1"/>
  <c r="AJ78" i="125"/>
  <c r="AJ36" i="125"/>
  <c r="AK77" i="125"/>
  <c r="AP77" i="125" s="1"/>
  <c r="AK33" i="125"/>
  <c r="AP33" i="125" s="1"/>
  <c r="AK63" i="125"/>
  <c r="AP63" i="125" s="1"/>
  <c r="O1" i="125"/>
  <c r="AL1" i="125"/>
  <c r="AK36" i="125"/>
  <c r="AK24" i="125"/>
  <c r="AK65" i="125"/>
  <c r="AP65" i="125" s="1"/>
  <c r="AK9" i="125"/>
  <c r="AP9" i="125" s="1"/>
  <c r="AK27" i="125"/>
  <c r="AK54" i="125"/>
  <c r="AJ21" i="125"/>
  <c r="AP21" i="125" s="1"/>
  <c r="AJ11" i="125"/>
  <c r="AP23" i="125"/>
  <c r="AP17" i="125"/>
  <c r="AK11" i="125"/>
  <c r="AJ7" i="125"/>
  <c r="AP7" i="125" s="1"/>
  <c r="AJ8" i="125"/>
  <c r="AK23" i="125"/>
  <c r="U1" i="125"/>
  <c r="AN6" i="125"/>
  <c r="AN1" i="125" s="1"/>
  <c r="AP43" i="125"/>
  <c r="Q1" i="125"/>
  <c r="AJ30" i="125"/>
  <c r="AK72" i="125"/>
  <c r="AP79" i="125"/>
  <c r="AJ57" i="125"/>
  <c r="AK8" i="125"/>
  <c r="AM3" i="125"/>
  <c r="AM1" i="125" s="1"/>
  <c r="S1" i="125"/>
  <c r="AP54" i="125"/>
  <c r="AP59" i="125"/>
  <c r="AK34" i="125"/>
  <c r="AP34" i="125" s="1"/>
  <c r="AJ18" i="125"/>
  <c r="AP18" i="125" s="1"/>
  <c r="AP55" i="125"/>
  <c r="AJ38" i="125"/>
  <c r="AP38" i="125" s="1"/>
  <c r="AJ12" i="125"/>
  <c r="AP62" i="125"/>
  <c r="AO1" i="125"/>
  <c r="AP20" i="125"/>
  <c r="AK31" i="125"/>
  <c r="AJ69" i="125"/>
  <c r="AK26" i="125"/>
  <c r="W1" i="125"/>
  <c r="AK42" i="125"/>
  <c r="AJ37" i="125"/>
  <c r="AP37" i="125" s="1"/>
  <c r="AJ53" i="125"/>
  <c r="AP53" i="125" s="1"/>
  <c r="AK67" i="125"/>
  <c r="AP67" i="125" s="1"/>
  <c r="AK30" i="125"/>
  <c r="AK14" i="125"/>
  <c r="AP14" i="125" s="1"/>
  <c r="AK6" i="125"/>
  <c r="M1" i="125"/>
  <c r="AK48" i="125"/>
  <c r="AK68" i="125"/>
  <c r="AJ58" i="125"/>
  <c r="AK73" i="125"/>
  <c r="AJ39" i="125"/>
  <c r="AP39" i="125" s="1"/>
  <c r="AJ27" i="125"/>
  <c r="I1" i="125"/>
  <c r="AJ3" i="125"/>
  <c r="AK58" i="125"/>
  <c r="AJ24" i="125"/>
  <c r="AK22" i="125"/>
  <c r="AJ22" i="125"/>
  <c r="AP22" i="125" s="1"/>
  <c r="K1" i="125"/>
  <c r="AO13" i="126" l="1"/>
  <c r="AO8" i="126"/>
  <c r="AO54" i="126"/>
  <c r="AO38" i="126"/>
  <c r="AP48" i="125"/>
  <c r="AP36" i="125"/>
  <c r="AP78" i="125"/>
  <c r="AP12" i="125"/>
  <c r="AP52" i="125"/>
  <c r="AP72" i="125"/>
  <c r="AP61" i="125"/>
  <c r="AP49" i="125"/>
  <c r="AP81" i="125"/>
  <c r="AP68" i="125"/>
  <c r="AP71" i="125"/>
  <c r="AO37" i="126"/>
  <c r="AO70" i="126"/>
  <c r="AO28" i="126"/>
  <c r="AO42" i="126"/>
  <c r="AO75" i="126"/>
  <c r="AO69" i="126"/>
  <c r="AO20" i="126"/>
  <c r="AO53" i="126"/>
  <c r="AO60" i="126"/>
  <c r="AO52" i="126"/>
  <c r="AO18" i="126"/>
  <c r="AO55" i="126"/>
  <c r="AO5" i="126"/>
  <c r="AO57" i="126"/>
  <c r="AO23" i="126"/>
  <c r="AO48" i="126"/>
  <c r="AO33" i="126"/>
  <c r="AO43" i="126"/>
  <c r="AO40" i="126"/>
  <c r="AO15" i="126"/>
  <c r="AJ1" i="126"/>
  <c r="AO77" i="126"/>
  <c r="AC6" i="126"/>
  <c r="AD1" i="126"/>
  <c r="AD3" i="126" s="1"/>
  <c r="AB8" i="126"/>
  <c r="AG1" i="126"/>
  <c r="AG3" i="126" s="1"/>
  <c r="AF3" i="126"/>
  <c r="AE1" i="126"/>
  <c r="AE3" i="126" s="1"/>
  <c r="AC8" i="126"/>
  <c r="AD8" i="126"/>
  <c r="AA1" i="126"/>
  <c r="AA3" i="126" s="1"/>
  <c r="AC1" i="126"/>
  <c r="AC3" i="126" s="1"/>
  <c r="AO3" i="126"/>
  <c r="AI1" i="126"/>
  <c r="AB1" i="126"/>
  <c r="AB3" i="126" s="1"/>
  <c r="AD6" i="126"/>
  <c r="AP26" i="125"/>
  <c r="AP8" i="125"/>
  <c r="AP31" i="125"/>
  <c r="AP27" i="125"/>
  <c r="AP73" i="125"/>
  <c r="AP42" i="125"/>
  <c r="AP57" i="125"/>
  <c r="AP11" i="125"/>
  <c r="AP69" i="125"/>
  <c r="AP58" i="125"/>
  <c r="AP30" i="125"/>
  <c r="AP25" i="125"/>
  <c r="AK1" i="125"/>
  <c r="AG1" i="125"/>
  <c r="AG3" i="125" s="1"/>
  <c r="AP24" i="125"/>
  <c r="AD1" i="125"/>
  <c r="AD3" i="125" s="1"/>
  <c r="AB1" i="125"/>
  <c r="AB3" i="125" s="1"/>
  <c r="AP3" i="125"/>
  <c r="AJ1" i="125"/>
  <c r="AA1" i="125"/>
  <c r="AA3" i="125" s="1"/>
  <c r="AC1" i="125"/>
  <c r="AC3" i="125" s="1"/>
  <c r="AE1" i="125"/>
  <c r="AE3" i="125" s="1"/>
  <c r="AF1" i="125"/>
  <c r="AF3" i="125" s="1"/>
  <c r="AP6" i="125"/>
  <c r="AO1" i="126" l="1"/>
  <c r="AP1" i="125"/>
  <c r="L244" i="113" l="1"/>
  <c r="M244" i="113"/>
  <c r="N244" i="113"/>
  <c r="O244" i="113"/>
  <c r="P244" i="113"/>
  <c r="Q244" i="113"/>
  <c r="R244" i="113"/>
  <c r="K244" i="113"/>
  <c r="R243" i="113"/>
  <c r="Q243" i="113"/>
  <c r="P243" i="113"/>
  <c r="O243" i="113"/>
  <c r="N243" i="113"/>
  <c r="M243" i="113"/>
  <c r="L243" i="113"/>
  <c r="K243" i="113"/>
  <c r="N15" i="118" l="1"/>
  <c r="N14" i="118"/>
  <c r="M35" i="118" l="1"/>
  <c r="H15" i="118" l="1"/>
  <c r="H14" i="118"/>
  <c r="I15" i="118"/>
  <c r="M15" i="118" s="1"/>
  <c r="I14" i="118"/>
  <c r="M14" i="118" s="1"/>
  <c r="C154" i="116"/>
  <c r="B154" i="116"/>
  <c r="D153" i="116"/>
  <c r="D152" i="116"/>
  <c r="D151" i="116"/>
  <c r="D150" i="116"/>
  <c r="D149" i="116"/>
  <c r="D148" i="116"/>
  <c r="D147" i="116"/>
  <c r="D146" i="116"/>
  <c r="D145" i="116"/>
  <c r="D144" i="116"/>
  <c r="D143" i="116"/>
  <c r="M2" i="118"/>
  <c r="M3" i="118"/>
  <c r="M4" i="118"/>
  <c r="M5" i="118"/>
  <c r="M6" i="118"/>
  <c r="M7" i="118"/>
  <c r="M8" i="118"/>
  <c r="M9" i="118"/>
  <c r="M10" i="118"/>
  <c r="M11" i="118"/>
  <c r="M12" i="118"/>
  <c r="M13" i="118"/>
  <c r="L15" i="118" l="1"/>
  <c r="B23" i="118" l="1"/>
  <c r="C23" i="118"/>
  <c r="D23" i="118"/>
  <c r="J23" i="118" s="1"/>
  <c r="E23" i="118"/>
  <c r="F23" i="118"/>
  <c r="G23" i="118"/>
  <c r="H23" i="118"/>
  <c r="I23" i="118"/>
  <c r="N23" i="118" s="1"/>
  <c r="B24" i="118"/>
  <c r="C24" i="118"/>
  <c r="E24" i="118"/>
  <c r="F24" i="118"/>
  <c r="G24" i="118"/>
  <c r="H24" i="118"/>
  <c r="I24" i="118"/>
  <c r="N24" i="118" s="1"/>
  <c r="B25" i="118"/>
  <c r="C25" i="118"/>
  <c r="D25" i="118"/>
  <c r="E25" i="118"/>
  <c r="F25" i="118"/>
  <c r="G25" i="118"/>
  <c r="H25" i="118"/>
  <c r="I25" i="118"/>
  <c r="B26" i="118"/>
  <c r="C26" i="118"/>
  <c r="D26" i="118"/>
  <c r="E26" i="118"/>
  <c r="F26" i="118"/>
  <c r="G26" i="118"/>
  <c r="L26" i="118" s="1"/>
  <c r="H26" i="118"/>
  <c r="I26" i="118"/>
  <c r="N26" i="118" s="1"/>
  <c r="B27" i="118"/>
  <c r="C27" i="118"/>
  <c r="D27" i="118"/>
  <c r="J27" i="118" s="1"/>
  <c r="E27" i="118"/>
  <c r="F27" i="118"/>
  <c r="K27" i="118" s="1"/>
  <c r="G27" i="118"/>
  <c r="H27" i="118"/>
  <c r="I27" i="118"/>
  <c r="B28" i="118"/>
  <c r="C28" i="118"/>
  <c r="D28" i="118"/>
  <c r="E28" i="118"/>
  <c r="F28" i="118"/>
  <c r="G28" i="118"/>
  <c r="H28" i="118"/>
  <c r="I28" i="118"/>
  <c r="N28" i="118" s="1"/>
  <c r="B29" i="118"/>
  <c r="C29" i="118"/>
  <c r="K29" i="118" s="1"/>
  <c r="D29" i="118"/>
  <c r="E29" i="118"/>
  <c r="F29" i="118"/>
  <c r="G29" i="118"/>
  <c r="H29" i="118"/>
  <c r="I29" i="118"/>
  <c r="N29" i="118" s="1"/>
  <c r="B30" i="118"/>
  <c r="C30" i="118"/>
  <c r="D30" i="118"/>
  <c r="E30" i="118"/>
  <c r="F30" i="118"/>
  <c r="G30" i="118"/>
  <c r="H30" i="118"/>
  <c r="I30" i="118"/>
  <c r="B31" i="118"/>
  <c r="C31" i="118"/>
  <c r="D31" i="118"/>
  <c r="E31" i="118"/>
  <c r="F31" i="118"/>
  <c r="G31" i="118"/>
  <c r="L31" i="118" s="1"/>
  <c r="H31" i="118"/>
  <c r="I31" i="118"/>
  <c r="N31" i="118" s="1"/>
  <c r="B32" i="118"/>
  <c r="C32" i="118"/>
  <c r="D32" i="118"/>
  <c r="E32" i="118"/>
  <c r="F32" i="118"/>
  <c r="G32" i="118"/>
  <c r="H32" i="118"/>
  <c r="I32" i="118"/>
  <c r="B33" i="118"/>
  <c r="C33" i="118"/>
  <c r="D33" i="118"/>
  <c r="J33" i="118" s="1"/>
  <c r="E33" i="118"/>
  <c r="F33" i="118"/>
  <c r="K33" i="118" s="1"/>
  <c r="G33" i="118"/>
  <c r="H33" i="118"/>
  <c r="I33" i="118"/>
  <c r="B34" i="118"/>
  <c r="C34" i="118"/>
  <c r="K34" i="118" s="1"/>
  <c r="D34" i="118"/>
  <c r="E34" i="118"/>
  <c r="F34" i="118"/>
  <c r="G34" i="118"/>
  <c r="H34" i="118"/>
  <c r="I34" i="118"/>
  <c r="B35" i="118"/>
  <c r="C35" i="118"/>
  <c r="G35" i="118"/>
  <c r="H35" i="118"/>
  <c r="I35" i="118"/>
  <c r="D22" i="118"/>
  <c r="E22" i="118"/>
  <c r="F22" i="118"/>
  <c r="G22" i="118"/>
  <c r="H22" i="118"/>
  <c r="I22" i="118"/>
  <c r="C22" i="118"/>
  <c r="J25" i="118"/>
  <c r="B22" i="118"/>
  <c r="J22" i="118" s="1"/>
  <c r="L24" i="118"/>
  <c r="L2" i="118"/>
  <c r="L3" i="118"/>
  <c r="L4" i="118"/>
  <c r="L5" i="118"/>
  <c r="L6" i="118"/>
  <c r="L7" i="118"/>
  <c r="L8" i="118"/>
  <c r="L9" i="118"/>
  <c r="L10" i="118"/>
  <c r="L11" i="118"/>
  <c r="L12" i="118"/>
  <c r="L13" i="118"/>
  <c r="L30" i="118" l="1"/>
  <c r="N30" i="118"/>
  <c r="L25" i="118"/>
  <c r="N25" i="118"/>
  <c r="L32" i="118"/>
  <c r="N32" i="118"/>
  <c r="L29" i="118"/>
  <c r="J34" i="118"/>
  <c r="J29" i="118"/>
  <c r="K24" i="118"/>
  <c r="K26" i="118"/>
  <c r="K22" i="118"/>
  <c r="L33" i="118"/>
  <c r="N33" i="118"/>
  <c r="K23" i="118"/>
  <c r="K28" i="118"/>
  <c r="L27" i="118"/>
  <c r="N27" i="118"/>
  <c r="L35" i="118"/>
  <c r="N35" i="118"/>
  <c r="L34" i="118"/>
  <c r="N34" i="118"/>
  <c r="L22" i="118"/>
  <c r="N22" i="118"/>
  <c r="L23" i="118"/>
  <c r="L28" i="118"/>
  <c r="J24" i="118"/>
  <c r="J26" i="118"/>
  <c r="J28" i="118"/>
  <c r="K25" i="118"/>
  <c r="F15" i="118"/>
  <c r="F35" i="118" s="1"/>
  <c r="K35" i="118" s="1"/>
  <c r="E15" i="118"/>
  <c r="E35" i="118" s="1"/>
  <c r="W240" i="123"/>
  <c r="A240" i="123"/>
  <c r="W239" i="123"/>
  <c r="A239" i="123"/>
  <c r="W238" i="123"/>
  <c r="A238" i="123"/>
  <c r="W237" i="123"/>
  <c r="A237" i="123"/>
  <c r="W236" i="123"/>
  <c r="A236" i="123"/>
  <c r="W235" i="123"/>
  <c r="A235" i="123"/>
  <c r="W234" i="123"/>
  <c r="A234" i="123"/>
  <c r="W233" i="123"/>
  <c r="A233" i="123"/>
  <c r="W232" i="123"/>
  <c r="A232" i="123"/>
  <c r="W231" i="123"/>
  <c r="A231" i="123"/>
  <c r="W230" i="123"/>
  <c r="A230" i="123"/>
  <c r="W229" i="123"/>
  <c r="A229" i="123"/>
  <c r="W228" i="123"/>
  <c r="A228" i="123"/>
  <c r="W227" i="123"/>
  <c r="A227" i="123"/>
  <c r="W226" i="123"/>
  <c r="A226" i="123"/>
  <c r="W225" i="123"/>
  <c r="A225" i="123"/>
  <c r="W224" i="123"/>
  <c r="A224" i="123"/>
  <c r="W223" i="123"/>
  <c r="A223" i="123"/>
  <c r="W222" i="123"/>
  <c r="A222" i="123"/>
  <c r="W221" i="123"/>
  <c r="A221" i="123"/>
  <c r="W220" i="123"/>
  <c r="A220" i="123"/>
  <c r="W219" i="123"/>
  <c r="A219" i="123"/>
  <c r="W218" i="123"/>
  <c r="A218" i="123"/>
  <c r="W217" i="123"/>
  <c r="A217" i="123"/>
  <c r="W216" i="123"/>
  <c r="A216" i="123"/>
  <c r="W215" i="123"/>
  <c r="A215" i="123"/>
  <c r="W214" i="123"/>
  <c r="A214" i="123"/>
  <c r="W213" i="123"/>
  <c r="A213" i="123"/>
  <c r="W212" i="123"/>
  <c r="A212" i="123"/>
  <c r="W211" i="123"/>
  <c r="A211" i="123"/>
  <c r="W210" i="123"/>
  <c r="A210" i="123"/>
  <c r="W209" i="123"/>
  <c r="A209" i="123"/>
  <c r="W208" i="123"/>
  <c r="A208" i="123"/>
  <c r="W207" i="123"/>
  <c r="A207" i="123"/>
  <c r="W206" i="123"/>
  <c r="A206" i="123"/>
  <c r="W205" i="123"/>
  <c r="A205" i="123"/>
  <c r="W204" i="123"/>
  <c r="A204" i="123"/>
  <c r="W203" i="123"/>
  <c r="A203" i="123"/>
  <c r="W202" i="123"/>
  <c r="A202" i="123"/>
  <c r="W201" i="123"/>
  <c r="A201" i="123"/>
  <c r="W200" i="123"/>
  <c r="A200" i="123"/>
  <c r="W199" i="123"/>
  <c r="A199" i="123"/>
  <c r="W198" i="123"/>
  <c r="A198" i="123"/>
  <c r="W197" i="123"/>
  <c r="A197" i="123"/>
  <c r="W196" i="123"/>
  <c r="A196" i="123"/>
  <c r="W195" i="123"/>
  <c r="A195" i="123"/>
  <c r="W194" i="123"/>
  <c r="A194" i="123"/>
  <c r="W193" i="123"/>
  <c r="A193" i="123"/>
  <c r="W192" i="123"/>
  <c r="A192" i="123"/>
  <c r="W191" i="123"/>
  <c r="A191" i="123"/>
  <c r="W190" i="123"/>
  <c r="A190" i="123"/>
  <c r="W189" i="123"/>
  <c r="A189" i="123"/>
  <c r="W188" i="123"/>
  <c r="A188" i="123"/>
  <c r="W187" i="123"/>
  <c r="A187" i="123"/>
  <c r="W186" i="123"/>
  <c r="A186" i="123"/>
  <c r="W185" i="123"/>
  <c r="A185" i="123"/>
  <c r="W184" i="123"/>
  <c r="A184" i="123"/>
  <c r="W183" i="123"/>
  <c r="A183" i="123"/>
  <c r="W182" i="123"/>
  <c r="A182" i="123"/>
  <c r="W181" i="123"/>
  <c r="A181" i="123"/>
  <c r="W180" i="123"/>
  <c r="A180" i="123"/>
  <c r="W179" i="123"/>
  <c r="A179" i="123"/>
  <c r="W178" i="123"/>
  <c r="A178" i="123"/>
  <c r="W177" i="123"/>
  <c r="A177" i="123"/>
  <c r="W176" i="123"/>
  <c r="A176" i="123"/>
  <c r="W175" i="123"/>
  <c r="A175" i="123"/>
  <c r="W174" i="123"/>
  <c r="A174" i="123"/>
  <c r="W173" i="123"/>
  <c r="A173" i="123"/>
  <c r="W172" i="123"/>
  <c r="A172" i="123"/>
  <c r="W171" i="123"/>
  <c r="A171" i="123"/>
  <c r="W170" i="123"/>
  <c r="A170" i="123"/>
  <c r="W169" i="123"/>
  <c r="A169" i="123"/>
  <c r="W168" i="123"/>
  <c r="A168" i="123"/>
  <c r="W167" i="123"/>
  <c r="A167" i="123"/>
  <c r="W166" i="123"/>
  <c r="A166" i="123"/>
  <c r="W165" i="123"/>
  <c r="A165" i="123"/>
  <c r="W164" i="123"/>
  <c r="A164" i="123"/>
  <c r="W163" i="123"/>
  <c r="A163" i="123"/>
  <c r="W162" i="123"/>
  <c r="A162" i="123"/>
  <c r="W161" i="123"/>
  <c r="A161" i="123"/>
  <c r="W160" i="123"/>
  <c r="A160" i="123"/>
  <c r="W159" i="123"/>
  <c r="A159" i="123"/>
  <c r="W158" i="123"/>
  <c r="A158" i="123"/>
  <c r="W157" i="123"/>
  <c r="A157" i="123"/>
  <c r="W156" i="123"/>
  <c r="A156" i="123"/>
  <c r="W155" i="123"/>
  <c r="A155" i="123"/>
  <c r="W154" i="123"/>
  <c r="A154" i="123"/>
  <c r="W153" i="123"/>
  <c r="A153" i="123"/>
  <c r="W152" i="123"/>
  <c r="A152" i="123"/>
  <c r="W151" i="123"/>
  <c r="A151" i="123"/>
  <c r="W150" i="123"/>
  <c r="A150" i="123"/>
  <c r="W149" i="123"/>
  <c r="A149" i="123"/>
  <c r="W148" i="123"/>
  <c r="A148" i="123"/>
  <c r="W147" i="123"/>
  <c r="A147" i="123"/>
  <c r="W146" i="123"/>
  <c r="A146" i="123"/>
  <c r="W145" i="123"/>
  <c r="A145" i="123"/>
  <c r="W144" i="123"/>
  <c r="A144" i="123"/>
  <c r="W143" i="123"/>
  <c r="A143" i="123"/>
  <c r="W142" i="123"/>
  <c r="A142" i="123"/>
  <c r="W141" i="123"/>
  <c r="A141" i="123"/>
  <c r="W140" i="123"/>
  <c r="A140" i="123"/>
  <c r="W139" i="123"/>
  <c r="A139" i="123"/>
  <c r="W138" i="123"/>
  <c r="A138" i="123"/>
  <c r="W137" i="123"/>
  <c r="A137" i="123"/>
  <c r="W136" i="123"/>
  <c r="A136" i="123"/>
  <c r="W135" i="123"/>
  <c r="A135" i="123"/>
  <c r="W134" i="123"/>
  <c r="A134" i="123"/>
  <c r="W133" i="123"/>
  <c r="A133" i="123"/>
  <c r="W132" i="123"/>
  <c r="A132" i="123"/>
  <c r="W131" i="123"/>
  <c r="A131" i="123"/>
  <c r="W130" i="123"/>
  <c r="A130" i="123"/>
  <c r="W129" i="123"/>
  <c r="A129" i="123"/>
  <c r="W128" i="123"/>
  <c r="A128" i="123"/>
  <c r="W127" i="123"/>
  <c r="A127" i="123"/>
  <c r="W126" i="123"/>
  <c r="A126" i="123"/>
  <c r="W125" i="123"/>
  <c r="A125" i="123"/>
  <c r="W124" i="123"/>
  <c r="A124" i="123"/>
  <c r="W123" i="123"/>
  <c r="A123" i="123"/>
  <c r="W122" i="123"/>
  <c r="A122" i="123"/>
  <c r="W121" i="123"/>
  <c r="A121" i="123"/>
  <c r="W120" i="123"/>
  <c r="A120" i="123"/>
  <c r="W119" i="123"/>
  <c r="A119" i="123"/>
  <c r="W118" i="123"/>
  <c r="A118" i="123"/>
  <c r="W117" i="123"/>
  <c r="A117" i="123"/>
  <c r="W116" i="123"/>
  <c r="A116" i="123"/>
  <c r="W115" i="123"/>
  <c r="A115" i="123"/>
  <c r="W114" i="123"/>
  <c r="A114" i="123"/>
  <c r="W113" i="123"/>
  <c r="A113" i="123"/>
  <c r="W112" i="123"/>
  <c r="A112" i="123"/>
  <c r="W111" i="123"/>
  <c r="A111" i="123"/>
  <c r="W110" i="123"/>
  <c r="A110" i="123"/>
  <c r="W109" i="123"/>
  <c r="A109" i="123"/>
  <c r="W108" i="123"/>
  <c r="A108" i="123"/>
  <c r="W107" i="123"/>
  <c r="A107" i="123"/>
  <c r="W106" i="123"/>
  <c r="A106" i="123"/>
  <c r="W105" i="123"/>
  <c r="A105" i="123"/>
  <c r="W104" i="123"/>
  <c r="A104" i="123"/>
  <c r="W103" i="123"/>
  <c r="A103" i="123"/>
  <c r="W102" i="123"/>
  <c r="A102" i="123"/>
  <c r="W101" i="123"/>
  <c r="A101" i="123"/>
  <c r="W100" i="123"/>
  <c r="A100" i="123"/>
  <c r="W99" i="123"/>
  <c r="A99" i="123"/>
  <c r="W98" i="123"/>
  <c r="A98" i="123"/>
  <c r="W97" i="123"/>
  <c r="A97" i="123"/>
  <c r="W96" i="123"/>
  <c r="A96" i="123"/>
  <c r="W95" i="123"/>
  <c r="A95" i="123"/>
  <c r="W94" i="123"/>
  <c r="A94" i="123"/>
  <c r="W93" i="123"/>
  <c r="A93" i="123"/>
  <c r="W92" i="123"/>
  <c r="A92" i="123"/>
  <c r="W91" i="123"/>
  <c r="A91" i="123"/>
  <c r="W90" i="123"/>
  <c r="A90" i="123"/>
  <c r="W89" i="123"/>
  <c r="A89" i="123"/>
  <c r="W88" i="123"/>
  <c r="A88" i="123"/>
  <c r="W87" i="123"/>
  <c r="A87" i="123"/>
  <c r="W86" i="123"/>
  <c r="A86" i="123"/>
  <c r="W85" i="123"/>
  <c r="A85" i="123"/>
  <c r="W84" i="123"/>
  <c r="A84" i="123"/>
  <c r="W83" i="123"/>
  <c r="A83" i="123"/>
  <c r="W82" i="123"/>
  <c r="A82" i="123"/>
  <c r="W81" i="123"/>
  <c r="A81" i="123"/>
  <c r="W80" i="123"/>
  <c r="A80" i="123"/>
  <c r="W79" i="123"/>
  <c r="A79" i="123"/>
  <c r="W78" i="123"/>
  <c r="A78" i="123"/>
  <c r="W77" i="123"/>
  <c r="A77" i="123"/>
  <c r="W76" i="123"/>
  <c r="A76" i="123"/>
  <c r="W75" i="123"/>
  <c r="A75" i="123"/>
  <c r="W74" i="123"/>
  <c r="A74" i="123"/>
  <c r="W73" i="123"/>
  <c r="A73" i="123"/>
  <c r="W72" i="123"/>
  <c r="A72" i="123"/>
  <c r="W71" i="123"/>
  <c r="A71" i="123"/>
  <c r="W70" i="123"/>
  <c r="A70" i="123"/>
  <c r="W69" i="123"/>
  <c r="A69" i="123"/>
  <c r="W68" i="123"/>
  <c r="A68" i="123"/>
  <c r="W67" i="123"/>
  <c r="A67" i="123"/>
  <c r="W66" i="123"/>
  <c r="A66" i="123"/>
  <c r="W65" i="123"/>
  <c r="A65" i="123"/>
  <c r="W64" i="123"/>
  <c r="A64" i="123"/>
  <c r="W63" i="123"/>
  <c r="A63" i="123"/>
  <c r="W62" i="123"/>
  <c r="A62" i="123"/>
  <c r="W61" i="123"/>
  <c r="A61" i="123"/>
  <c r="W60" i="123"/>
  <c r="A60" i="123"/>
  <c r="W59" i="123"/>
  <c r="A59" i="123"/>
  <c r="W58" i="123"/>
  <c r="A58" i="123"/>
  <c r="W57" i="123"/>
  <c r="A57" i="123"/>
  <c r="W56" i="123"/>
  <c r="A56" i="123"/>
  <c r="W55" i="123"/>
  <c r="A55" i="123"/>
  <c r="W54" i="123"/>
  <c r="A54" i="123"/>
  <c r="W53" i="123"/>
  <c r="A53" i="123"/>
  <c r="W52" i="123"/>
  <c r="A52" i="123"/>
  <c r="W51" i="123"/>
  <c r="A51" i="123"/>
  <c r="W50" i="123"/>
  <c r="A50" i="123"/>
  <c r="W49" i="123"/>
  <c r="A49" i="123"/>
  <c r="W48" i="123"/>
  <c r="A48" i="123"/>
  <c r="W47" i="123"/>
  <c r="A47" i="123"/>
  <c r="W46" i="123"/>
  <c r="A46" i="123"/>
  <c r="W45" i="123"/>
  <c r="A45" i="123"/>
  <c r="W44" i="123"/>
  <c r="A44" i="123"/>
  <c r="W43" i="123"/>
  <c r="A43" i="123"/>
  <c r="W42" i="123"/>
  <c r="A42" i="123"/>
  <c r="W41" i="123"/>
  <c r="A41" i="123"/>
  <c r="W40" i="123"/>
  <c r="A40" i="123"/>
  <c r="W39" i="123"/>
  <c r="A39" i="123"/>
  <c r="W38" i="123"/>
  <c r="A38" i="123"/>
  <c r="W37" i="123"/>
  <c r="A37" i="123"/>
  <c r="W36" i="123"/>
  <c r="A36" i="123"/>
  <c r="W35" i="123"/>
  <c r="A35" i="123"/>
  <c r="W34" i="123"/>
  <c r="A34" i="123"/>
  <c r="W33" i="123"/>
  <c r="A33" i="123"/>
  <c r="W32" i="123"/>
  <c r="A32" i="123"/>
  <c r="W31" i="123"/>
  <c r="A31" i="123"/>
  <c r="W30" i="123"/>
  <c r="A30" i="123"/>
  <c r="W29" i="123"/>
  <c r="A29" i="123"/>
  <c r="W28" i="123"/>
  <c r="A28" i="123"/>
  <c r="W27" i="123"/>
  <c r="A27" i="123"/>
  <c r="W26" i="123"/>
  <c r="A26" i="123"/>
  <c r="W25" i="123"/>
  <c r="A25" i="123"/>
  <c r="W24" i="123"/>
  <c r="A24" i="123"/>
  <c r="W23" i="123"/>
  <c r="A23" i="123"/>
  <c r="W22" i="123"/>
  <c r="A22" i="123"/>
  <c r="W21" i="123"/>
  <c r="A21" i="123"/>
  <c r="W20" i="123"/>
  <c r="A20" i="123"/>
  <c r="W19" i="123"/>
  <c r="A19" i="123"/>
  <c r="W18" i="123"/>
  <c r="A18" i="123"/>
  <c r="W17" i="123"/>
  <c r="A17" i="123"/>
  <c r="W16" i="123"/>
  <c r="A16" i="123"/>
  <c r="W15" i="123"/>
  <c r="A15" i="123"/>
  <c r="W14" i="123"/>
  <c r="A14" i="123"/>
  <c r="W13" i="123"/>
  <c r="A13" i="123"/>
  <c r="W12" i="123"/>
  <c r="A12" i="123"/>
  <c r="W11" i="123"/>
  <c r="A11" i="123"/>
  <c r="W10" i="123"/>
  <c r="A10" i="123"/>
  <c r="W9" i="123"/>
  <c r="A9" i="123"/>
  <c r="W8" i="123"/>
  <c r="A8" i="123"/>
  <c r="W7" i="123"/>
  <c r="A7" i="123"/>
  <c r="W6" i="123"/>
  <c r="A6" i="123"/>
  <c r="W5" i="123"/>
  <c r="A5" i="123"/>
  <c r="W4" i="123"/>
  <c r="A4" i="123"/>
  <c r="V1" i="123"/>
  <c r="U1" i="123"/>
  <c r="T1" i="123"/>
  <c r="S1" i="123"/>
  <c r="R1" i="123"/>
  <c r="Q1" i="123"/>
  <c r="P1" i="123"/>
  <c r="O1" i="123"/>
  <c r="N1" i="123"/>
  <c r="M1" i="123"/>
  <c r="L1" i="123"/>
  <c r="K1" i="123"/>
  <c r="AL22" i="124"/>
  <c r="W23" i="124"/>
  <c r="W42" i="124"/>
  <c r="W43" i="124"/>
  <c r="AL62" i="124"/>
  <c r="AL63" i="124"/>
  <c r="AL82" i="124"/>
  <c r="AL83" i="124"/>
  <c r="W102" i="124"/>
  <c r="AI103" i="124"/>
  <c r="AO103" i="124" s="1" a="1"/>
  <c r="AO103" i="124" s="1"/>
  <c r="W108" i="124"/>
  <c r="W112" i="124"/>
  <c r="AL122" i="124"/>
  <c r="W123" i="124"/>
  <c r="AL124" i="124"/>
  <c r="W127" i="124"/>
  <c r="AL129" i="124"/>
  <c r="W132" i="124"/>
  <c r="AL136" i="124"/>
  <c r="W138" i="124"/>
  <c r="W142" i="124"/>
  <c r="AI143" i="124"/>
  <c r="W144" i="124"/>
  <c r="W145" i="124"/>
  <c r="AL148" i="124"/>
  <c r="AI149" i="124"/>
  <c r="AK149" i="124" s="1"/>
  <c r="AM149" i="124" s="1"/>
  <c r="AL156" i="124"/>
  <c r="AI157" i="124"/>
  <c r="AI158" i="124"/>
  <c r="W162" i="124"/>
  <c r="AL163" i="124"/>
  <c r="AL165" i="124"/>
  <c r="AI167" i="124"/>
  <c r="AO167" i="124" s="1" a="1"/>
  <c r="AO167" i="124" s="1"/>
  <c r="W168" i="124"/>
  <c r="W169" i="124"/>
  <c r="W176" i="124"/>
  <c r="W178" i="124"/>
  <c r="W182" i="124"/>
  <c r="W183" i="124"/>
  <c r="W184" i="124"/>
  <c r="W185" i="124"/>
  <c r="W186" i="124"/>
  <c r="W188" i="124"/>
  <c r="W189" i="124"/>
  <c r="AI190" i="124"/>
  <c r="AL191" i="124"/>
  <c r="W196" i="124"/>
  <c r="W197" i="124"/>
  <c r="W198" i="124"/>
  <c r="W202" i="124"/>
  <c r="W203" i="124"/>
  <c r="AL206" i="124"/>
  <c r="AI207" i="124"/>
  <c r="AK207" i="124" s="1"/>
  <c r="W208" i="124"/>
  <c r="AI209" i="124"/>
  <c r="AO209" i="124" s="1" a="1"/>
  <c r="AO209" i="124" s="1"/>
  <c r="W210" i="124"/>
  <c r="W211" i="124"/>
  <c r="W212" i="124"/>
  <c r="AL216" i="124"/>
  <c r="AL217" i="124"/>
  <c r="W218" i="124"/>
  <c r="W219" i="124"/>
  <c r="AL222" i="124"/>
  <c r="AL223" i="124"/>
  <c r="AL224" i="124"/>
  <c r="AL225" i="124"/>
  <c r="W227" i="124"/>
  <c r="W228" i="124"/>
  <c r="AL229" i="124"/>
  <c r="AL232" i="124"/>
  <c r="W236" i="124"/>
  <c r="AI238" i="124"/>
  <c r="AI239" i="124"/>
  <c r="AK239" i="124" s="1"/>
  <c r="AL240" i="124"/>
  <c r="V241" i="124"/>
  <c r="U241" i="124"/>
  <c r="T241" i="124"/>
  <c r="S241" i="124"/>
  <c r="R241" i="124"/>
  <c r="Q241" i="124"/>
  <c r="P241" i="124"/>
  <c r="O241" i="124"/>
  <c r="N241" i="124"/>
  <c r="M241" i="124"/>
  <c r="L241" i="124"/>
  <c r="K241" i="124"/>
  <c r="AI240" i="124"/>
  <c r="AO240" i="124" s="1" a="1"/>
  <c r="AO240" i="124" s="1"/>
  <c r="AH240" i="124"/>
  <c r="AG240" i="124"/>
  <c r="AF240" i="124"/>
  <c r="AE240" i="124"/>
  <c r="AD240" i="124"/>
  <c r="AC240" i="124"/>
  <c r="AB240" i="124"/>
  <c r="AA240" i="124"/>
  <c r="Z240" i="124"/>
  <c r="Y240" i="124"/>
  <c r="X240" i="124"/>
  <c r="W240" i="124"/>
  <c r="A240" i="124"/>
  <c r="AL239" i="124"/>
  <c r="AH239" i="124"/>
  <c r="AG239" i="124"/>
  <c r="AF239" i="124"/>
  <c r="AE239" i="124"/>
  <c r="AD239" i="124"/>
  <c r="AC239" i="124"/>
  <c r="AB239" i="124"/>
  <c r="AA239" i="124"/>
  <c r="Z239" i="124"/>
  <c r="Y239" i="124"/>
  <c r="X239" i="124"/>
  <c r="W239" i="124"/>
  <c r="A239" i="124"/>
  <c r="AL238" i="124"/>
  <c r="AH238" i="124"/>
  <c r="AG238" i="124"/>
  <c r="AF238" i="124"/>
  <c r="AE238" i="124"/>
  <c r="AD238" i="124"/>
  <c r="AC238" i="124"/>
  <c r="AB238" i="124"/>
  <c r="AA238" i="124"/>
  <c r="Z238" i="124"/>
  <c r="Y238" i="124"/>
  <c r="X238" i="124"/>
  <c r="W238" i="124"/>
  <c r="A238" i="124"/>
  <c r="AL237" i="124"/>
  <c r="AI237" i="124"/>
  <c r="AH237" i="124"/>
  <c r="AG237" i="124"/>
  <c r="AF237" i="124"/>
  <c r="AE237" i="124"/>
  <c r="AD237" i="124"/>
  <c r="AC237" i="124"/>
  <c r="AB237" i="124"/>
  <c r="AA237" i="124"/>
  <c r="Z237" i="124"/>
  <c r="Y237" i="124"/>
  <c r="X237" i="124"/>
  <c r="W237" i="124"/>
  <c r="A237" i="124"/>
  <c r="BC236" i="124" a="1"/>
  <c r="BC236" i="124" s="1"/>
  <c r="AL236" i="124"/>
  <c r="AI236" i="124"/>
  <c r="AH236" i="124"/>
  <c r="AG236" i="124"/>
  <c r="AF236" i="124"/>
  <c r="AE236" i="124"/>
  <c r="AD236" i="124"/>
  <c r="AC236" i="124"/>
  <c r="AB236" i="124"/>
  <c r="AA236" i="124"/>
  <c r="Z236" i="124"/>
  <c r="Y236" i="124"/>
  <c r="X236" i="124"/>
  <c r="A236" i="124"/>
  <c r="BA236" i="124" s="1" a="1"/>
  <c r="BA236" i="124" s="1"/>
  <c r="AL235" i="124"/>
  <c r="AI235" i="124"/>
  <c r="AH235" i="124"/>
  <c r="AG235" i="124"/>
  <c r="AF235" i="124"/>
  <c r="AE235" i="124"/>
  <c r="AD235" i="124"/>
  <c r="AC235" i="124"/>
  <c r="AB235" i="124"/>
  <c r="AA235" i="124"/>
  <c r="Z235" i="124"/>
  <c r="Y235" i="124"/>
  <c r="X235" i="124"/>
  <c r="W235" i="124"/>
  <c r="A235" i="124"/>
  <c r="BA235" i="124" s="1" a="1"/>
  <c r="BA235" i="124" s="1"/>
  <c r="AL234" i="124"/>
  <c r="AI234" i="124"/>
  <c r="AK234" i="124" s="1"/>
  <c r="AH234" i="124"/>
  <c r="AG234" i="124"/>
  <c r="AF234" i="124"/>
  <c r="AE234" i="124"/>
  <c r="AD234" i="124"/>
  <c r="AC234" i="124"/>
  <c r="AB234" i="124"/>
  <c r="AA234" i="124"/>
  <c r="Z234" i="124"/>
  <c r="Y234" i="124"/>
  <c r="X234" i="124"/>
  <c r="W234" i="124"/>
  <c r="A234" i="124"/>
  <c r="AL233" i="124"/>
  <c r="AI233" i="124"/>
  <c r="AO233" i="124" s="1" a="1"/>
  <c r="AO233" i="124" s="1"/>
  <c r="AH233" i="124"/>
  <c r="AG233" i="124"/>
  <c r="AF233" i="124"/>
  <c r="AE233" i="124"/>
  <c r="AD233" i="124"/>
  <c r="AC233" i="124"/>
  <c r="AB233" i="124"/>
  <c r="AA233" i="124"/>
  <c r="Z233" i="124"/>
  <c r="Y233" i="124"/>
  <c r="X233" i="124"/>
  <c r="W233" i="124"/>
  <c r="A233" i="124"/>
  <c r="AI232" i="124"/>
  <c r="AK232" i="124" s="1"/>
  <c r="AH232" i="124"/>
  <c r="AG232" i="124"/>
  <c r="AF232" i="124"/>
  <c r="AE232" i="124"/>
  <c r="AD232" i="124"/>
  <c r="AC232" i="124"/>
  <c r="AB232" i="124"/>
  <c r="AA232" i="124"/>
  <c r="Z232" i="124"/>
  <c r="Y232" i="124"/>
  <c r="X232" i="124"/>
  <c r="A232" i="124"/>
  <c r="BC231" i="124" a="1"/>
  <c r="BC231" i="124" s="1"/>
  <c r="AL231" i="124"/>
  <c r="AI231" i="124"/>
  <c r="AH231" i="124"/>
  <c r="AG231" i="124"/>
  <c r="AF231" i="124"/>
  <c r="AE231" i="124"/>
  <c r="AD231" i="124"/>
  <c r="AC231" i="124"/>
  <c r="AB231" i="124"/>
  <c r="AA231" i="124"/>
  <c r="Z231" i="124"/>
  <c r="Y231" i="124"/>
  <c r="X231" i="124"/>
  <c r="W231" i="124"/>
  <c r="A231" i="124"/>
  <c r="BA231" i="124" s="1" a="1"/>
  <c r="BA231" i="124" s="1"/>
  <c r="AL230" i="124"/>
  <c r="AI230" i="124"/>
  <c r="AO230" i="124" s="1" a="1"/>
  <c r="AO230" i="124" s="1"/>
  <c r="AH230" i="124"/>
  <c r="AG230" i="124"/>
  <c r="AF230" i="124"/>
  <c r="AE230" i="124"/>
  <c r="AD230" i="124"/>
  <c r="AC230" i="124"/>
  <c r="AB230" i="124"/>
  <c r="AA230" i="124"/>
  <c r="Z230" i="124"/>
  <c r="Y230" i="124"/>
  <c r="X230" i="124"/>
  <c r="W230" i="124"/>
  <c r="A230" i="124"/>
  <c r="BA230" i="124" s="1" a="1"/>
  <c r="BA230" i="124" s="1"/>
  <c r="AH229" i="124"/>
  <c r="AG229" i="124"/>
  <c r="AF229" i="124"/>
  <c r="AE229" i="124"/>
  <c r="AD229" i="124"/>
  <c r="AC229" i="124"/>
  <c r="AB229" i="124"/>
  <c r="AA229" i="124"/>
  <c r="Z229" i="124"/>
  <c r="Y229" i="124"/>
  <c r="X229" i="124"/>
  <c r="A229" i="124"/>
  <c r="AL228" i="124"/>
  <c r="AI228" i="124"/>
  <c r="AH228" i="124"/>
  <c r="AG228" i="124"/>
  <c r="AF228" i="124"/>
  <c r="AE228" i="124"/>
  <c r="AD228" i="124"/>
  <c r="AC228" i="124"/>
  <c r="AB228" i="124"/>
  <c r="AA228" i="124"/>
  <c r="Z228" i="124"/>
  <c r="Y228" i="124"/>
  <c r="X228" i="124"/>
  <c r="A228" i="124"/>
  <c r="BC228" i="124" s="1" a="1"/>
  <c r="BC228" i="124" s="1"/>
  <c r="AH227" i="124"/>
  <c r="AG227" i="124"/>
  <c r="AF227" i="124"/>
  <c r="AE227" i="124"/>
  <c r="AD227" i="124"/>
  <c r="AC227" i="124"/>
  <c r="AB227" i="124"/>
  <c r="AA227" i="124"/>
  <c r="Z227" i="124"/>
  <c r="Y227" i="124"/>
  <c r="X227" i="124"/>
  <c r="A227" i="124"/>
  <c r="BA226" i="124" a="1"/>
  <c r="BA226" i="124" s="1"/>
  <c r="AL226" i="124"/>
  <c r="AI226" i="124"/>
  <c r="AH226" i="124"/>
  <c r="AG226" i="124"/>
  <c r="AF226" i="124"/>
  <c r="AE226" i="124"/>
  <c r="AD226" i="124"/>
  <c r="AC226" i="124"/>
  <c r="AB226" i="124"/>
  <c r="AA226" i="124"/>
  <c r="Z226" i="124"/>
  <c r="Y226" i="124"/>
  <c r="X226" i="124"/>
  <c r="W226" i="124"/>
  <c r="A226" i="124"/>
  <c r="BC226" i="124" s="1" a="1"/>
  <c r="BC226" i="124" s="1"/>
  <c r="AH225" i="124"/>
  <c r="AG225" i="124"/>
  <c r="AF225" i="124"/>
  <c r="AE225" i="124"/>
  <c r="AD225" i="124"/>
  <c r="AC225" i="124"/>
  <c r="AB225" i="124"/>
  <c r="AA225" i="124"/>
  <c r="Z225" i="124"/>
  <c r="Y225" i="124"/>
  <c r="X225" i="124"/>
  <c r="W225" i="124"/>
  <c r="A225" i="124"/>
  <c r="BA225" i="124" s="1" a="1"/>
  <c r="BA225" i="124" s="1"/>
  <c r="AI224" i="124"/>
  <c r="AH224" i="124"/>
  <c r="AG224" i="124"/>
  <c r="AF224" i="124"/>
  <c r="AE224" i="124"/>
  <c r="AD224" i="124"/>
  <c r="AC224" i="124"/>
  <c r="AB224" i="124"/>
  <c r="AA224" i="124"/>
  <c r="Z224" i="124"/>
  <c r="Y224" i="124"/>
  <c r="X224" i="124"/>
  <c r="W224" i="124"/>
  <c r="A224" i="124"/>
  <c r="BC224" i="124" s="1" a="1"/>
  <c r="BC224" i="124" s="1"/>
  <c r="AH223" i="124"/>
  <c r="AG223" i="124"/>
  <c r="AF223" i="124"/>
  <c r="AE223" i="124"/>
  <c r="AD223" i="124"/>
  <c r="AC223" i="124"/>
  <c r="AB223" i="124"/>
  <c r="AA223" i="124"/>
  <c r="Z223" i="124"/>
  <c r="Y223" i="124"/>
  <c r="X223" i="124"/>
  <c r="W223" i="124"/>
  <c r="A223" i="124"/>
  <c r="BC223" i="124" s="1" a="1"/>
  <c r="BC223" i="124" s="1"/>
  <c r="AH222" i="124"/>
  <c r="AG222" i="124"/>
  <c r="AF222" i="124"/>
  <c r="AE222" i="124"/>
  <c r="AD222" i="124"/>
  <c r="AC222" i="124"/>
  <c r="AB222" i="124"/>
  <c r="AA222" i="124"/>
  <c r="Z222" i="124"/>
  <c r="Y222" i="124"/>
  <c r="X222" i="124"/>
  <c r="A222" i="124"/>
  <c r="BA221" i="124" a="1"/>
  <c r="BA221" i="124" s="1"/>
  <c r="AL221" i="124"/>
  <c r="AI221" i="124"/>
  <c r="AH221" i="124"/>
  <c r="AG221" i="124"/>
  <c r="AF221" i="124"/>
  <c r="AE221" i="124"/>
  <c r="AD221" i="124"/>
  <c r="AC221" i="124"/>
  <c r="AB221" i="124"/>
  <c r="AA221" i="124"/>
  <c r="Z221" i="124"/>
  <c r="Y221" i="124"/>
  <c r="X221" i="124"/>
  <c r="W221" i="124"/>
  <c r="A221" i="124"/>
  <c r="AL220" i="124"/>
  <c r="AI220" i="124"/>
  <c r="AJ220" i="124" s="1" a="1"/>
  <c r="AJ220" i="124" s="1"/>
  <c r="AN220" i="124" s="1" a="1"/>
  <c r="AN220" i="124" s="1"/>
  <c r="AH220" i="124"/>
  <c r="AG220" i="124"/>
  <c r="AF220" i="124"/>
  <c r="AE220" i="124"/>
  <c r="AD220" i="124"/>
  <c r="AC220" i="124"/>
  <c r="AB220" i="124"/>
  <c r="AA220" i="124"/>
  <c r="Z220" i="124"/>
  <c r="Y220" i="124"/>
  <c r="X220" i="124"/>
  <c r="W220" i="124"/>
  <c r="A220" i="124"/>
  <c r="AL219" i="124"/>
  <c r="AI219" i="124"/>
  <c r="AJ219" i="124" s="1" a="1"/>
  <c r="AJ219" i="124" s="1"/>
  <c r="AH219" i="124"/>
  <c r="AG219" i="124"/>
  <c r="AF219" i="124"/>
  <c r="AE219" i="124"/>
  <c r="AD219" i="124"/>
  <c r="AC219" i="124"/>
  <c r="AB219" i="124"/>
  <c r="AA219" i="124"/>
  <c r="Z219" i="124"/>
  <c r="Y219" i="124"/>
  <c r="X219" i="124"/>
  <c r="A219" i="124"/>
  <c r="BC219" i="124" s="1" a="1"/>
  <c r="BC219" i="124" s="1"/>
  <c r="AL218" i="124"/>
  <c r="AH218" i="124"/>
  <c r="AG218" i="124"/>
  <c r="AF218" i="124"/>
  <c r="AE218" i="124"/>
  <c r="AD218" i="124"/>
  <c r="AC218" i="124"/>
  <c r="AB218" i="124"/>
  <c r="AA218" i="124"/>
  <c r="Z218" i="124"/>
  <c r="Y218" i="124"/>
  <c r="X218" i="124"/>
  <c r="A218" i="124"/>
  <c r="AI217" i="124"/>
  <c r="AH217" i="124"/>
  <c r="AG217" i="124"/>
  <c r="AF217" i="124"/>
  <c r="AE217" i="124"/>
  <c r="AD217" i="124"/>
  <c r="AC217" i="124"/>
  <c r="AB217" i="124"/>
  <c r="AA217" i="124"/>
  <c r="Z217" i="124"/>
  <c r="Y217" i="124"/>
  <c r="X217" i="124"/>
  <c r="W217" i="124"/>
  <c r="A217" i="124"/>
  <c r="BC217" i="124" s="1" a="1"/>
  <c r="BC217" i="124" s="1"/>
  <c r="BA216" i="124" a="1"/>
  <c r="BA216" i="124" s="1"/>
  <c r="AH216" i="124"/>
  <c r="AG216" i="124"/>
  <c r="AF216" i="124"/>
  <c r="AE216" i="124"/>
  <c r="AD216" i="124"/>
  <c r="AC216" i="124"/>
  <c r="AB216" i="124"/>
  <c r="AA216" i="124"/>
  <c r="Z216" i="124"/>
  <c r="Y216" i="124"/>
  <c r="X216" i="124"/>
  <c r="W216" i="124"/>
  <c r="A216" i="124"/>
  <c r="AL215" i="124"/>
  <c r="AI215" i="124"/>
  <c r="AK215" i="124" s="1"/>
  <c r="AH215" i="124"/>
  <c r="AG215" i="124"/>
  <c r="AF215" i="124"/>
  <c r="AE215" i="124"/>
  <c r="AD215" i="124"/>
  <c r="AC215" i="124"/>
  <c r="AB215" i="124"/>
  <c r="AA215" i="124"/>
  <c r="Z215" i="124"/>
  <c r="Y215" i="124"/>
  <c r="X215" i="124"/>
  <c r="W215" i="124"/>
  <c r="A215" i="124"/>
  <c r="BC215" i="124" s="1" a="1"/>
  <c r="BC215" i="124" s="1"/>
  <c r="AL214" i="124"/>
  <c r="AI214" i="124"/>
  <c r="AJ214" i="124" s="1" a="1"/>
  <c r="AJ214" i="124" s="1"/>
  <c r="AN214" i="124" s="1" a="1"/>
  <c r="AN214" i="124" s="1"/>
  <c r="AH214" i="124"/>
  <c r="AG214" i="124"/>
  <c r="AF214" i="124"/>
  <c r="AE214" i="124"/>
  <c r="AD214" i="124"/>
  <c r="AC214" i="124"/>
  <c r="AB214" i="124"/>
  <c r="AA214" i="124"/>
  <c r="Z214" i="124"/>
  <c r="Y214" i="124"/>
  <c r="X214" i="124"/>
  <c r="W214" i="124"/>
  <c r="A214" i="124"/>
  <c r="AL213" i="124"/>
  <c r="AI213" i="124"/>
  <c r="AH213" i="124"/>
  <c r="AG213" i="124"/>
  <c r="AF213" i="124"/>
  <c r="AE213" i="124"/>
  <c r="AD213" i="124"/>
  <c r="AC213" i="124"/>
  <c r="AB213" i="124"/>
  <c r="AA213" i="124"/>
  <c r="Z213" i="124"/>
  <c r="Y213" i="124"/>
  <c r="X213" i="124"/>
  <c r="W213" i="124"/>
  <c r="A213" i="124"/>
  <c r="BC213" i="124" s="1" a="1"/>
  <c r="BC213" i="124" s="1"/>
  <c r="BC212" i="124" a="1"/>
  <c r="BC212" i="124" s="1"/>
  <c r="AL212" i="124"/>
  <c r="AI212" i="124"/>
  <c r="AH212" i="124"/>
  <c r="AG212" i="124"/>
  <c r="AF212" i="124"/>
  <c r="AE212" i="124"/>
  <c r="AD212" i="124"/>
  <c r="AC212" i="124"/>
  <c r="AB212" i="124"/>
  <c r="AA212" i="124"/>
  <c r="Z212" i="124"/>
  <c r="Y212" i="124"/>
  <c r="X212" i="124"/>
  <c r="A212" i="124"/>
  <c r="AL211" i="124"/>
  <c r="AI211" i="124"/>
  <c r="AO211" i="124" s="1" a="1"/>
  <c r="AO211" i="124" s="1"/>
  <c r="AH211" i="124"/>
  <c r="AG211" i="124"/>
  <c r="AF211" i="124"/>
  <c r="AE211" i="124"/>
  <c r="AD211" i="124"/>
  <c r="AC211" i="124"/>
  <c r="AB211" i="124"/>
  <c r="AA211" i="124"/>
  <c r="Z211" i="124"/>
  <c r="Y211" i="124"/>
  <c r="X211" i="124"/>
  <c r="A211" i="124"/>
  <c r="AI210" i="124"/>
  <c r="AO210" i="124" s="1" a="1"/>
  <c r="AO210" i="124" s="1"/>
  <c r="AH210" i="124"/>
  <c r="AG210" i="124"/>
  <c r="AF210" i="124"/>
  <c r="AE210" i="124"/>
  <c r="AD210" i="124"/>
  <c r="AC210" i="124"/>
  <c r="AB210" i="124"/>
  <c r="AA210" i="124"/>
  <c r="Z210" i="124"/>
  <c r="Y210" i="124"/>
  <c r="X210" i="124"/>
  <c r="A210" i="124"/>
  <c r="AL209" i="124"/>
  <c r="AH209" i="124"/>
  <c r="AG209" i="124"/>
  <c r="AF209" i="124"/>
  <c r="AE209" i="124"/>
  <c r="AD209" i="124"/>
  <c r="AC209" i="124"/>
  <c r="AB209" i="124"/>
  <c r="AA209" i="124"/>
  <c r="Z209" i="124"/>
  <c r="Y209" i="124"/>
  <c r="X209" i="124"/>
  <c r="W209" i="124"/>
  <c r="A209" i="124"/>
  <c r="AH208" i="124"/>
  <c r="AG208" i="124"/>
  <c r="AF208" i="124"/>
  <c r="AE208" i="124"/>
  <c r="AD208" i="124"/>
  <c r="AC208" i="124"/>
  <c r="AB208" i="124"/>
  <c r="AA208" i="124"/>
  <c r="Z208" i="124"/>
  <c r="Y208" i="124"/>
  <c r="X208" i="124"/>
  <c r="A208" i="124"/>
  <c r="AL207" i="124"/>
  <c r="AH207" i="124"/>
  <c r="AG207" i="124"/>
  <c r="AF207" i="124"/>
  <c r="AE207" i="124"/>
  <c r="AD207" i="124"/>
  <c r="AC207" i="124"/>
  <c r="AB207" i="124"/>
  <c r="AA207" i="124"/>
  <c r="Z207" i="124"/>
  <c r="Y207" i="124"/>
  <c r="X207" i="124"/>
  <c r="W207" i="124"/>
  <c r="A207" i="124"/>
  <c r="BA207" i="124" s="1" a="1"/>
  <c r="BA207" i="124" s="1"/>
  <c r="BC206" i="124" a="1"/>
  <c r="BC206" i="124" s="1"/>
  <c r="AH206" i="124"/>
  <c r="AG206" i="124"/>
  <c r="AF206" i="124"/>
  <c r="AE206" i="124"/>
  <c r="AD206" i="124"/>
  <c r="AC206" i="124"/>
  <c r="AB206" i="124"/>
  <c r="AA206" i="124"/>
  <c r="Z206" i="124"/>
  <c r="Y206" i="124"/>
  <c r="X206" i="124"/>
  <c r="W206" i="124"/>
  <c r="A206" i="124"/>
  <c r="BA206" i="124" s="1" a="1"/>
  <c r="BA206" i="124" s="1"/>
  <c r="AL205" i="124"/>
  <c r="AI205" i="124"/>
  <c r="AO205" i="124" s="1" a="1"/>
  <c r="AO205" i="124" s="1"/>
  <c r="AH205" i="124"/>
  <c r="AG205" i="124"/>
  <c r="AF205" i="124"/>
  <c r="AE205" i="124"/>
  <c r="AD205" i="124"/>
  <c r="AC205" i="124"/>
  <c r="AB205" i="124"/>
  <c r="AA205" i="124"/>
  <c r="Z205" i="124"/>
  <c r="Y205" i="124"/>
  <c r="X205" i="124"/>
  <c r="W205" i="124"/>
  <c r="A205" i="124"/>
  <c r="BC204" i="124" a="1"/>
  <c r="BC204" i="124" s="1"/>
  <c r="BA204" i="124" a="1"/>
  <c r="BA204" i="124" s="1"/>
  <c r="AL204" i="124"/>
  <c r="AI204" i="124"/>
  <c r="AH204" i="124"/>
  <c r="AG204" i="124"/>
  <c r="AF204" i="124"/>
  <c r="AE204" i="124"/>
  <c r="AD204" i="124"/>
  <c r="AC204" i="124"/>
  <c r="AB204" i="124"/>
  <c r="AA204" i="124"/>
  <c r="Z204" i="124"/>
  <c r="Y204" i="124"/>
  <c r="X204" i="124"/>
  <c r="W204" i="124"/>
  <c r="A204" i="124"/>
  <c r="AH203" i="124"/>
  <c r="AG203" i="124"/>
  <c r="AF203" i="124"/>
  <c r="AE203" i="124"/>
  <c r="AD203" i="124"/>
  <c r="AC203" i="124"/>
  <c r="AB203" i="124"/>
  <c r="AA203" i="124"/>
  <c r="Z203" i="124"/>
  <c r="Y203" i="124"/>
  <c r="X203" i="124"/>
  <c r="A203" i="124"/>
  <c r="BC203" i="124" s="1" a="1"/>
  <c r="BC203" i="124" s="1"/>
  <c r="AH202" i="124"/>
  <c r="AG202" i="124"/>
  <c r="AF202" i="124"/>
  <c r="AE202" i="124"/>
  <c r="AD202" i="124"/>
  <c r="AC202" i="124"/>
  <c r="AB202" i="124"/>
  <c r="AA202" i="124"/>
  <c r="Z202" i="124"/>
  <c r="Y202" i="124"/>
  <c r="X202" i="124"/>
  <c r="A202" i="124"/>
  <c r="AL201" i="124"/>
  <c r="AI201" i="124"/>
  <c r="AO201" i="124" s="1" a="1"/>
  <c r="AO201" i="124" s="1"/>
  <c r="AH201" i="124"/>
  <c r="AG201" i="124"/>
  <c r="AF201" i="124"/>
  <c r="AE201" i="124"/>
  <c r="AD201" i="124"/>
  <c r="AC201" i="124"/>
  <c r="AB201" i="124"/>
  <c r="AA201" i="124"/>
  <c r="Z201" i="124"/>
  <c r="Y201" i="124"/>
  <c r="X201" i="124"/>
  <c r="W201" i="124"/>
  <c r="A201" i="124"/>
  <c r="BC201" i="124" s="1" a="1"/>
  <c r="BC201" i="124" s="1"/>
  <c r="BA200" i="124" a="1"/>
  <c r="BA200" i="124" s="1"/>
  <c r="AL200" i="124"/>
  <c r="AI200" i="124"/>
  <c r="AH200" i="124"/>
  <c r="AG200" i="124"/>
  <c r="AF200" i="124"/>
  <c r="AE200" i="124"/>
  <c r="AD200" i="124"/>
  <c r="AC200" i="124"/>
  <c r="AB200" i="124"/>
  <c r="AA200" i="124"/>
  <c r="Z200" i="124"/>
  <c r="Y200" i="124"/>
  <c r="X200" i="124"/>
  <c r="W200" i="124"/>
  <c r="A200" i="124"/>
  <c r="BC200" i="124" s="1" a="1"/>
  <c r="BC200" i="124" s="1"/>
  <c r="AL199" i="124"/>
  <c r="AI199" i="124"/>
  <c r="AO199" i="124" s="1" a="1"/>
  <c r="AO199" i="124" s="1"/>
  <c r="AH199" i="124"/>
  <c r="AG199" i="124"/>
  <c r="AF199" i="124"/>
  <c r="AE199" i="124"/>
  <c r="AD199" i="124"/>
  <c r="AC199" i="124"/>
  <c r="AB199" i="124"/>
  <c r="AA199" i="124"/>
  <c r="Z199" i="124"/>
  <c r="Y199" i="124"/>
  <c r="X199" i="124"/>
  <c r="W199" i="124"/>
  <c r="A199" i="124"/>
  <c r="AI198" i="124"/>
  <c r="AO198" i="124" s="1" a="1"/>
  <c r="AO198" i="124" s="1"/>
  <c r="AH198" i="124"/>
  <c r="AG198" i="124"/>
  <c r="AF198" i="124"/>
  <c r="AE198" i="124"/>
  <c r="AD198" i="124"/>
  <c r="AC198" i="124"/>
  <c r="AB198" i="124"/>
  <c r="AA198" i="124"/>
  <c r="Z198" i="124"/>
  <c r="Y198" i="124"/>
  <c r="X198" i="124"/>
  <c r="A198" i="124"/>
  <c r="AI197" i="124"/>
  <c r="AO197" i="124" s="1" a="1"/>
  <c r="AO197" i="124" s="1"/>
  <c r="AH197" i="124"/>
  <c r="AG197" i="124"/>
  <c r="AF197" i="124"/>
  <c r="AE197" i="124"/>
  <c r="AD197" i="124"/>
  <c r="AC197" i="124"/>
  <c r="AB197" i="124"/>
  <c r="AA197" i="124"/>
  <c r="Z197" i="124"/>
  <c r="Y197" i="124"/>
  <c r="X197" i="124"/>
  <c r="A197" i="124"/>
  <c r="BA197" i="124" s="1" a="1"/>
  <c r="BA197" i="124" s="1"/>
  <c r="AH196" i="124"/>
  <c r="AG196" i="124"/>
  <c r="AF196" i="124"/>
  <c r="AE196" i="124"/>
  <c r="AD196" i="124"/>
  <c r="AC196" i="124"/>
  <c r="AB196" i="124"/>
  <c r="AA196" i="124"/>
  <c r="Z196" i="124"/>
  <c r="Y196" i="124"/>
  <c r="X196" i="124"/>
  <c r="A196" i="124"/>
  <c r="AL195" i="124"/>
  <c r="AI195" i="124"/>
  <c r="AH195" i="124"/>
  <c r="AG195" i="124"/>
  <c r="AF195" i="124"/>
  <c r="AE195" i="124"/>
  <c r="AD195" i="124"/>
  <c r="AC195" i="124"/>
  <c r="AB195" i="124"/>
  <c r="AA195" i="124"/>
  <c r="Z195" i="124"/>
  <c r="Y195" i="124"/>
  <c r="X195" i="124"/>
  <c r="W195" i="124"/>
  <c r="A195" i="124"/>
  <c r="BC195" i="124" s="1" a="1"/>
  <c r="BC195" i="124" s="1"/>
  <c r="BA194" i="124" a="1"/>
  <c r="BA194" i="124" s="1"/>
  <c r="AL194" i="124"/>
  <c r="AI194" i="124"/>
  <c r="AO194" i="124" s="1" a="1"/>
  <c r="AO194" i="124" s="1"/>
  <c r="AH194" i="124"/>
  <c r="AG194" i="124"/>
  <c r="AF194" i="124"/>
  <c r="AE194" i="124"/>
  <c r="AD194" i="124"/>
  <c r="AC194" i="124"/>
  <c r="AB194" i="124"/>
  <c r="AA194" i="124"/>
  <c r="Z194" i="124"/>
  <c r="Y194" i="124"/>
  <c r="X194" i="124"/>
  <c r="W194" i="124"/>
  <c r="A194" i="124"/>
  <c r="BC194" i="124" s="1" a="1"/>
  <c r="BC194" i="124" s="1"/>
  <c r="AL193" i="124"/>
  <c r="AI193" i="124"/>
  <c r="AH193" i="124"/>
  <c r="AG193" i="124"/>
  <c r="AF193" i="124"/>
  <c r="AE193" i="124"/>
  <c r="AD193" i="124"/>
  <c r="AC193" i="124"/>
  <c r="AB193" i="124"/>
  <c r="AA193" i="124"/>
  <c r="Z193" i="124"/>
  <c r="Y193" i="124"/>
  <c r="X193" i="124"/>
  <c r="W193" i="124"/>
  <c r="A193" i="124"/>
  <c r="BA193" i="124" s="1" a="1"/>
  <c r="BA193" i="124" s="1"/>
  <c r="AL192" i="124"/>
  <c r="AI192" i="124"/>
  <c r="AH192" i="124"/>
  <c r="AG192" i="124"/>
  <c r="AF192" i="124"/>
  <c r="AE192" i="124"/>
  <c r="AD192" i="124"/>
  <c r="AC192" i="124"/>
  <c r="AB192" i="124"/>
  <c r="AA192" i="124"/>
  <c r="Z192" i="124"/>
  <c r="Y192" i="124"/>
  <c r="X192" i="124"/>
  <c r="W192" i="124"/>
  <c r="A192" i="124"/>
  <c r="AH191" i="124"/>
  <c r="AG191" i="124"/>
  <c r="AF191" i="124"/>
  <c r="AE191" i="124"/>
  <c r="AD191" i="124"/>
  <c r="AC191" i="124"/>
  <c r="AB191" i="124"/>
  <c r="AA191" i="124"/>
  <c r="Z191" i="124"/>
  <c r="Y191" i="124"/>
  <c r="X191" i="124"/>
  <c r="W191" i="124"/>
  <c r="A191" i="124"/>
  <c r="AL190" i="124"/>
  <c r="AH190" i="124"/>
  <c r="AG190" i="124"/>
  <c r="AF190" i="124"/>
  <c r="AE190" i="124"/>
  <c r="AD190" i="124"/>
  <c r="AC190" i="124"/>
  <c r="AB190" i="124"/>
  <c r="AA190" i="124"/>
  <c r="Z190" i="124"/>
  <c r="Y190" i="124"/>
  <c r="X190" i="124"/>
  <c r="W190" i="124"/>
  <c r="A190" i="124"/>
  <c r="AL189" i="124"/>
  <c r="AI189" i="124"/>
  <c r="AO189" i="124" s="1" a="1"/>
  <c r="AO189" i="124" s="1"/>
  <c r="AH189" i="124"/>
  <c r="AG189" i="124"/>
  <c r="AF189" i="124"/>
  <c r="AE189" i="124"/>
  <c r="AD189" i="124"/>
  <c r="AC189" i="124"/>
  <c r="AB189" i="124"/>
  <c r="AA189" i="124"/>
  <c r="Z189" i="124"/>
  <c r="Y189" i="124"/>
  <c r="X189" i="124"/>
  <c r="A189" i="124"/>
  <c r="BC189" i="124" s="1" a="1"/>
  <c r="BC189" i="124" s="1"/>
  <c r="AL188" i="124"/>
  <c r="AI188" i="124"/>
  <c r="AJ188" i="124" s="1" a="1"/>
  <c r="AJ188" i="124" s="1"/>
  <c r="AN188" i="124" s="1" a="1"/>
  <c r="AN188" i="124" s="1"/>
  <c r="AH188" i="124"/>
  <c r="AG188" i="124"/>
  <c r="AF188" i="124"/>
  <c r="AE188" i="124"/>
  <c r="AD188" i="124"/>
  <c r="AC188" i="124"/>
  <c r="AB188" i="124"/>
  <c r="AA188" i="124"/>
  <c r="Z188" i="124"/>
  <c r="Y188" i="124"/>
  <c r="X188" i="124"/>
  <c r="A188" i="124"/>
  <c r="AL187" i="124"/>
  <c r="AI187" i="124"/>
  <c r="AK187" i="124" s="1"/>
  <c r="AH187" i="124"/>
  <c r="AG187" i="124"/>
  <c r="AF187" i="124"/>
  <c r="AE187" i="124"/>
  <c r="AD187" i="124"/>
  <c r="AC187" i="124"/>
  <c r="AB187" i="124"/>
  <c r="AA187" i="124"/>
  <c r="Z187" i="124"/>
  <c r="Y187" i="124"/>
  <c r="X187" i="124"/>
  <c r="W187" i="124"/>
  <c r="A187" i="124"/>
  <c r="BC186" i="124" a="1"/>
  <c r="BC186" i="124" s="1"/>
  <c r="BA186" i="124" a="1"/>
  <c r="BA186" i="124" s="1"/>
  <c r="AL186" i="124"/>
  <c r="AI186" i="124"/>
  <c r="AH186" i="124"/>
  <c r="AG186" i="124"/>
  <c r="AF186" i="124"/>
  <c r="AE186" i="124"/>
  <c r="AD186" i="124"/>
  <c r="AC186" i="124"/>
  <c r="AB186" i="124"/>
  <c r="AA186" i="124"/>
  <c r="Z186" i="124"/>
  <c r="Y186" i="124"/>
  <c r="X186" i="124"/>
  <c r="A186" i="124"/>
  <c r="AI185" i="124"/>
  <c r="AJ185" i="124" s="1" a="1"/>
  <c r="AJ185" i="124" s="1"/>
  <c r="AH185" i="124"/>
  <c r="AG185" i="124"/>
  <c r="AF185" i="124"/>
  <c r="AE185" i="124"/>
  <c r="AD185" i="124"/>
  <c r="AC185" i="124"/>
  <c r="AB185" i="124"/>
  <c r="AA185" i="124"/>
  <c r="Z185" i="124"/>
  <c r="Y185" i="124"/>
  <c r="X185" i="124"/>
  <c r="A185" i="124"/>
  <c r="BC185" i="124" s="1" a="1"/>
  <c r="BC185" i="124" s="1"/>
  <c r="AH184" i="124"/>
  <c r="AG184" i="124"/>
  <c r="AF184" i="124"/>
  <c r="AE184" i="124"/>
  <c r="AD184" i="124"/>
  <c r="AC184" i="124"/>
  <c r="AB184" i="124"/>
  <c r="AA184" i="124"/>
  <c r="Z184" i="124"/>
  <c r="Y184" i="124"/>
  <c r="X184" i="124"/>
  <c r="A184" i="124"/>
  <c r="BA184" i="124" s="1" a="1"/>
  <c r="BA184" i="124" s="1"/>
  <c r="AH183" i="124"/>
  <c r="AG183" i="124"/>
  <c r="AF183" i="124"/>
  <c r="AE183" i="124"/>
  <c r="AD183" i="124"/>
  <c r="AC183" i="124"/>
  <c r="AB183" i="124"/>
  <c r="AA183" i="124"/>
  <c r="Z183" i="124"/>
  <c r="Y183" i="124"/>
  <c r="X183" i="124"/>
  <c r="A183" i="124"/>
  <c r="AH182" i="124"/>
  <c r="AG182" i="124"/>
  <c r="AF182" i="124"/>
  <c r="AE182" i="124"/>
  <c r="AD182" i="124"/>
  <c r="AC182" i="124"/>
  <c r="AB182" i="124"/>
  <c r="AA182" i="124"/>
  <c r="Z182" i="124"/>
  <c r="Y182" i="124"/>
  <c r="X182" i="124"/>
  <c r="A182" i="124"/>
  <c r="AL181" i="124"/>
  <c r="AI181" i="124"/>
  <c r="AJ181" i="124" s="1" a="1"/>
  <c r="AJ181" i="124" s="1"/>
  <c r="AH181" i="124"/>
  <c r="AG181" i="124"/>
  <c r="AF181" i="124"/>
  <c r="AE181" i="124"/>
  <c r="AD181" i="124"/>
  <c r="AC181" i="124"/>
  <c r="AB181" i="124"/>
  <c r="AA181" i="124"/>
  <c r="Z181" i="124"/>
  <c r="Y181" i="124"/>
  <c r="X181" i="124"/>
  <c r="W181" i="124"/>
  <c r="A181" i="124"/>
  <c r="BC180" i="124" a="1"/>
  <c r="BC180" i="124" s="1"/>
  <c r="AL180" i="124"/>
  <c r="AI180" i="124"/>
  <c r="AK180" i="124" s="1"/>
  <c r="AM180" i="124" s="1"/>
  <c r="AH180" i="124"/>
  <c r="AG180" i="124"/>
  <c r="AF180" i="124"/>
  <c r="AE180" i="124"/>
  <c r="AD180" i="124"/>
  <c r="AC180" i="124"/>
  <c r="AB180" i="124"/>
  <c r="AA180" i="124"/>
  <c r="Z180" i="124"/>
  <c r="Y180" i="124"/>
  <c r="X180" i="124"/>
  <c r="W180" i="124"/>
  <c r="A180" i="124"/>
  <c r="BA180" i="124" s="1" a="1"/>
  <c r="BA180" i="124" s="1"/>
  <c r="AL179" i="124"/>
  <c r="AI179" i="124"/>
  <c r="AH179" i="124"/>
  <c r="AG179" i="124"/>
  <c r="AF179" i="124"/>
  <c r="AE179" i="124"/>
  <c r="AD179" i="124"/>
  <c r="AC179" i="124"/>
  <c r="AB179" i="124"/>
  <c r="AA179" i="124"/>
  <c r="Z179" i="124"/>
  <c r="Y179" i="124"/>
  <c r="X179" i="124"/>
  <c r="W179" i="124"/>
  <c r="A179" i="124"/>
  <c r="AL178" i="124"/>
  <c r="AI178" i="124"/>
  <c r="AO178" i="124" s="1" a="1"/>
  <c r="AO178" i="124" s="1"/>
  <c r="AH178" i="124"/>
  <c r="AG178" i="124"/>
  <c r="AF178" i="124"/>
  <c r="AE178" i="124"/>
  <c r="AD178" i="124"/>
  <c r="AC178" i="124"/>
  <c r="AB178" i="124"/>
  <c r="AA178" i="124"/>
  <c r="Z178" i="124"/>
  <c r="Y178" i="124"/>
  <c r="X178" i="124"/>
  <c r="A178" i="124"/>
  <c r="AL177" i="124"/>
  <c r="AI177" i="124"/>
  <c r="AK177" i="124" s="1"/>
  <c r="AH177" i="124"/>
  <c r="AG177" i="124"/>
  <c r="AF177" i="124"/>
  <c r="AE177" i="124"/>
  <c r="AD177" i="124"/>
  <c r="AC177" i="124"/>
  <c r="AB177" i="124"/>
  <c r="AA177" i="124"/>
  <c r="Z177" i="124"/>
  <c r="Y177" i="124"/>
  <c r="X177" i="124"/>
  <c r="W177" i="124"/>
  <c r="A177" i="124"/>
  <c r="BC177" i="124" s="1" a="1"/>
  <c r="BC177" i="124" s="1"/>
  <c r="AH176" i="124"/>
  <c r="AG176" i="124"/>
  <c r="AF176" i="124"/>
  <c r="AE176" i="124"/>
  <c r="AD176" i="124"/>
  <c r="AC176" i="124"/>
  <c r="AB176" i="124"/>
  <c r="AA176" i="124"/>
  <c r="Z176" i="124"/>
  <c r="Y176" i="124"/>
  <c r="X176" i="124"/>
  <c r="A176" i="124"/>
  <c r="BA176" i="124" s="1" a="1"/>
  <c r="BA176" i="124" s="1"/>
  <c r="AL175" i="124"/>
  <c r="AI175" i="124"/>
  <c r="AH175" i="124"/>
  <c r="AG175" i="124"/>
  <c r="AF175" i="124"/>
  <c r="AE175" i="124"/>
  <c r="AD175" i="124"/>
  <c r="AC175" i="124"/>
  <c r="AB175" i="124"/>
  <c r="AA175" i="124"/>
  <c r="Z175" i="124"/>
  <c r="Y175" i="124"/>
  <c r="X175" i="124"/>
  <c r="W175" i="124"/>
  <c r="A175" i="124"/>
  <c r="BC175" i="124" s="1" a="1"/>
  <c r="BC175" i="124" s="1"/>
  <c r="AL174" i="124"/>
  <c r="AI174" i="124"/>
  <c r="AO174" i="124" s="1" a="1"/>
  <c r="AO174" i="124" s="1"/>
  <c r="AU174" i="124" s="1" a="1"/>
  <c r="AU174" i="124" s="1"/>
  <c r="AH174" i="124"/>
  <c r="AG174" i="124"/>
  <c r="AF174" i="124"/>
  <c r="AE174" i="124"/>
  <c r="AD174" i="124"/>
  <c r="AC174" i="124"/>
  <c r="AB174" i="124"/>
  <c r="AA174" i="124"/>
  <c r="Z174" i="124"/>
  <c r="Y174" i="124"/>
  <c r="X174" i="124"/>
  <c r="W174" i="124"/>
  <c r="A174" i="124"/>
  <c r="BC174" i="124" s="1" a="1"/>
  <c r="BC174" i="124" s="1"/>
  <c r="BC173" i="124" a="1"/>
  <c r="BC173" i="124" s="1"/>
  <c r="AL173" i="124"/>
  <c r="AI173" i="124"/>
  <c r="AK173" i="124" s="1"/>
  <c r="AH173" i="124"/>
  <c r="AG173" i="124"/>
  <c r="AF173" i="124"/>
  <c r="AE173" i="124"/>
  <c r="AD173" i="124"/>
  <c r="AC173" i="124"/>
  <c r="AB173" i="124"/>
  <c r="AA173" i="124"/>
  <c r="Z173" i="124"/>
  <c r="Y173" i="124"/>
  <c r="X173" i="124"/>
  <c r="W173" i="124"/>
  <c r="A173" i="124"/>
  <c r="AL172" i="124"/>
  <c r="AI172" i="124"/>
  <c r="AK172" i="124" s="1"/>
  <c r="AH172" i="124"/>
  <c r="AG172" i="124"/>
  <c r="AF172" i="124"/>
  <c r="AE172" i="124"/>
  <c r="AD172" i="124"/>
  <c r="AC172" i="124"/>
  <c r="AB172" i="124"/>
  <c r="AA172" i="124"/>
  <c r="Z172" i="124"/>
  <c r="Y172" i="124"/>
  <c r="X172" i="124"/>
  <c r="W172" i="124"/>
  <c r="A172" i="124"/>
  <c r="BC172" i="124" s="1" a="1"/>
  <c r="BC172" i="124" s="1"/>
  <c r="AL171" i="124"/>
  <c r="AI171" i="124"/>
  <c r="AH171" i="124"/>
  <c r="AG171" i="124"/>
  <c r="AF171" i="124"/>
  <c r="AE171" i="124"/>
  <c r="AD171" i="124"/>
  <c r="AC171" i="124"/>
  <c r="AB171" i="124"/>
  <c r="AA171" i="124"/>
  <c r="Z171" i="124"/>
  <c r="Y171" i="124"/>
  <c r="X171" i="124"/>
  <c r="W171" i="124"/>
  <c r="A171" i="124"/>
  <c r="BA171" i="124" s="1" a="1"/>
  <c r="BA171" i="124" s="1"/>
  <c r="AL170" i="124"/>
  <c r="AI170" i="124"/>
  <c r="AH170" i="124"/>
  <c r="AG170" i="124"/>
  <c r="AF170" i="124"/>
  <c r="AE170" i="124"/>
  <c r="AD170" i="124"/>
  <c r="AC170" i="124"/>
  <c r="AB170" i="124"/>
  <c r="AA170" i="124"/>
  <c r="Z170" i="124"/>
  <c r="Y170" i="124"/>
  <c r="X170" i="124"/>
  <c r="W170" i="124"/>
  <c r="A170" i="124"/>
  <c r="BC170" i="124" s="1" a="1"/>
  <c r="BC170" i="124" s="1"/>
  <c r="AL169" i="124"/>
  <c r="AI169" i="124"/>
  <c r="AK169" i="124" s="1"/>
  <c r="AM169" i="124" s="1"/>
  <c r="AH169" i="124"/>
  <c r="AG169" i="124"/>
  <c r="AF169" i="124"/>
  <c r="AE169" i="124"/>
  <c r="AD169" i="124"/>
  <c r="AC169" i="124"/>
  <c r="AB169" i="124"/>
  <c r="AA169" i="124"/>
  <c r="Z169" i="124"/>
  <c r="Y169" i="124"/>
  <c r="X169" i="124"/>
  <c r="A169" i="124"/>
  <c r="AL168" i="124"/>
  <c r="AI168" i="124"/>
  <c r="AH168" i="124"/>
  <c r="AG168" i="124"/>
  <c r="AF168" i="124"/>
  <c r="AE168" i="124"/>
  <c r="AD168" i="124"/>
  <c r="AC168" i="124"/>
  <c r="AB168" i="124"/>
  <c r="AA168" i="124"/>
  <c r="Z168" i="124"/>
  <c r="Y168" i="124"/>
  <c r="X168" i="124"/>
  <c r="A168" i="124"/>
  <c r="BA168" i="124" s="1" a="1"/>
  <c r="BA168" i="124" s="1"/>
  <c r="AL167" i="124"/>
  <c r="AH167" i="124"/>
  <c r="AG167" i="124"/>
  <c r="AF167" i="124"/>
  <c r="AE167" i="124"/>
  <c r="AD167" i="124"/>
  <c r="AC167" i="124"/>
  <c r="AB167" i="124"/>
  <c r="AA167" i="124"/>
  <c r="Z167" i="124"/>
  <c r="Y167" i="124"/>
  <c r="X167" i="124"/>
  <c r="W167" i="124"/>
  <c r="A167" i="124"/>
  <c r="BC166" i="124" a="1"/>
  <c r="BC166" i="124" s="1"/>
  <c r="AL166" i="124"/>
  <c r="AI166" i="124"/>
  <c r="AJ166" i="124" s="1" a="1"/>
  <c r="AJ166" i="124" s="1"/>
  <c r="AH166" i="124"/>
  <c r="AG166" i="124"/>
  <c r="AF166" i="124"/>
  <c r="AE166" i="124"/>
  <c r="AD166" i="124"/>
  <c r="AC166" i="124"/>
  <c r="AB166" i="124"/>
  <c r="AA166" i="124"/>
  <c r="Z166" i="124"/>
  <c r="Y166" i="124"/>
  <c r="X166" i="124"/>
  <c r="W166" i="124"/>
  <c r="A166" i="124"/>
  <c r="AH165" i="124"/>
  <c r="AG165" i="124"/>
  <c r="AF165" i="124"/>
  <c r="AE165" i="124"/>
  <c r="AD165" i="124"/>
  <c r="AC165" i="124"/>
  <c r="AB165" i="124"/>
  <c r="AA165" i="124"/>
  <c r="Z165" i="124"/>
  <c r="Y165" i="124"/>
  <c r="X165" i="124"/>
  <c r="W165" i="124"/>
  <c r="A165" i="124"/>
  <c r="AL164" i="124"/>
  <c r="AI164" i="124"/>
  <c r="AK164" i="124" s="1"/>
  <c r="AH164" i="124"/>
  <c r="AG164" i="124"/>
  <c r="AF164" i="124"/>
  <c r="AE164" i="124"/>
  <c r="AD164" i="124"/>
  <c r="AC164" i="124"/>
  <c r="AB164" i="124"/>
  <c r="AA164" i="124"/>
  <c r="Z164" i="124"/>
  <c r="Y164" i="124"/>
  <c r="X164" i="124"/>
  <c r="W164" i="124"/>
  <c r="A164" i="124"/>
  <c r="BA163" i="124" a="1"/>
  <c r="BA163" i="124" s="1"/>
  <c r="AH163" i="124"/>
  <c r="AG163" i="124"/>
  <c r="AF163" i="124"/>
  <c r="AE163" i="124"/>
  <c r="AD163" i="124"/>
  <c r="AC163" i="124"/>
  <c r="AB163" i="124"/>
  <c r="AA163" i="124"/>
  <c r="Z163" i="124"/>
  <c r="Y163" i="124"/>
  <c r="X163" i="124"/>
  <c r="A163" i="124"/>
  <c r="AH162" i="124"/>
  <c r="AG162" i="124"/>
  <c r="AF162" i="124"/>
  <c r="AE162" i="124"/>
  <c r="AD162" i="124"/>
  <c r="AC162" i="124"/>
  <c r="AB162" i="124"/>
  <c r="AA162" i="124"/>
  <c r="Z162" i="124"/>
  <c r="Y162" i="124"/>
  <c r="X162" i="124"/>
  <c r="A162" i="124"/>
  <c r="BA162" i="124" s="1" a="1"/>
  <c r="BA162" i="124" s="1"/>
  <c r="AL161" i="124"/>
  <c r="AI161" i="124"/>
  <c r="AH161" i="124"/>
  <c r="AG161" i="124"/>
  <c r="AF161" i="124"/>
  <c r="AE161" i="124"/>
  <c r="AD161" i="124"/>
  <c r="AC161" i="124"/>
  <c r="AB161" i="124"/>
  <c r="AA161" i="124"/>
  <c r="Z161" i="124"/>
  <c r="Y161" i="124"/>
  <c r="X161" i="124"/>
  <c r="W161" i="124"/>
  <c r="A161" i="124"/>
  <c r="AL160" i="124"/>
  <c r="AI160" i="124"/>
  <c r="AO160" i="124" s="1" a="1"/>
  <c r="AO160" i="124" s="1"/>
  <c r="AH160" i="124"/>
  <c r="AG160" i="124"/>
  <c r="AF160" i="124"/>
  <c r="AE160" i="124"/>
  <c r="AD160" i="124"/>
  <c r="AC160" i="124"/>
  <c r="AB160" i="124"/>
  <c r="AA160" i="124"/>
  <c r="Z160" i="124"/>
  <c r="Y160" i="124"/>
  <c r="X160" i="124"/>
  <c r="W160" i="124"/>
  <c r="A160" i="124"/>
  <c r="BC160" i="124" s="1" a="1"/>
  <c r="BC160" i="124" s="1"/>
  <c r="AL159" i="124"/>
  <c r="AI159" i="124"/>
  <c r="AO159" i="124" s="1" a="1"/>
  <c r="AO159" i="124" s="1"/>
  <c r="AH159" i="124"/>
  <c r="AG159" i="124"/>
  <c r="AF159" i="124"/>
  <c r="AE159" i="124"/>
  <c r="AD159" i="124"/>
  <c r="AC159" i="124"/>
  <c r="AB159" i="124"/>
  <c r="AA159" i="124"/>
  <c r="Z159" i="124"/>
  <c r="Y159" i="124"/>
  <c r="X159" i="124"/>
  <c r="W159" i="124"/>
  <c r="A159" i="124"/>
  <c r="BA159" i="124" s="1" a="1"/>
  <c r="BA159" i="124" s="1"/>
  <c r="AL158" i="124"/>
  <c r="AH158" i="124"/>
  <c r="AG158" i="124"/>
  <c r="AF158" i="124"/>
  <c r="AE158" i="124"/>
  <c r="AD158" i="124"/>
  <c r="AC158" i="124"/>
  <c r="AB158" i="124"/>
  <c r="AA158" i="124"/>
  <c r="Z158" i="124"/>
  <c r="Y158" i="124"/>
  <c r="X158" i="124"/>
  <c r="W158" i="124"/>
  <c r="A158" i="124"/>
  <c r="AL157" i="124"/>
  <c r="AH157" i="124"/>
  <c r="AG157" i="124"/>
  <c r="AF157" i="124"/>
  <c r="AE157" i="124"/>
  <c r="AD157" i="124"/>
  <c r="AC157" i="124"/>
  <c r="AB157" i="124"/>
  <c r="AA157" i="124"/>
  <c r="Z157" i="124"/>
  <c r="Y157" i="124"/>
  <c r="X157" i="124"/>
  <c r="W157" i="124"/>
  <c r="A157" i="124"/>
  <c r="BC157" i="124" s="1" a="1"/>
  <c r="BC157" i="124" s="1"/>
  <c r="AI156" i="124"/>
  <c r="AH156" i="124"/>
  <c r="AG156" i="124"/>
  <c r="AF156" i="124"/>
  <c r="AE156" i="124"/>
  <c r="AD156" i="124"/>
  <c r="AC156" i="124"/>
  <c r="AB156" i="124"/>
  <c r="AA156" i="124"/>
  <c r="Z156" i="124"/>
  <c r="Y156" i="124"/>
  <c r="X156" i="124"/>
  <c r="W156" i="124"/>
  <c r="A156" i="124"/>
  <c r="BC156" i="124" s="1" a="1"/>
  <c r="BC156" i="124" s="1"/>
  <c r="AL155" i="124"/>
  <c r="AI155" i="124"/>
  <c r="AO155" i="124" s="1" a="1"/>
  <c r="AO155" i="124" s="1"/>
  <c r="AH155" i="124"/>
  <c r="AG155" i="124"/>
  <c r="AF155" i="124"/>
  <c r="AE155" i="124"/>
  <c r="AD155" i="124"/>
  <c r="AC155" i="124"/>
  <c r="AB155" i="124"/>
  <c r="AA155" i="124"/>
  <c r="Z155" i="124"/>
  <c r="Y155" i="124"/>
  <c r="X155" i="124"/>
  <c r="W155" i="124"/>
  <c r="A155" i="124"/>
  <c r="BC154" i="124" a="1"/>
  <c r="BC154" i="124" s="1"/>
  <c r="AL154" i="124"/>
  <c r="AI154" i="124"/>
  <c r="AH154" i="124"/>
  <c r="AG154" i="124"/>
  <c r="AF154" i="124"/>
  <c r="AE154" i="124"/>
  <c r="AD154" i="124"/>
  <c r="AC154" i="124"/>
  <c r="AB154" i="124"/>
  <c r="AA154" i="124"/>
  <c r="Z154" i="124"/>
  <c r="Y154" i="124"/>
  <c r="X154" i="124"/>
  <c r="W154" i="124"/>
  <c r="A154" i="124"/>
  <c r="BA154" i="124" s="1" a="1"/>
  <c r="BA154" i="124" s="1"/>
  <c r="AL153" i="124"/>
  <c r="AI153" i="124"/>
  <c r="AH153" i="124"/>
  <c r="AG153" i="124"/>
  <c r="AF153" i="124"/>
  <c r="AE153" i="124"/>
  <c r="AD153" i="124"/>
  <c r="AC153" i="124"/>
  <c r="AB153" i="124"/>
  <c r="AA153" i="124"/>
  <c r="Z153" i="124"/>
  <c r="Y153" i="124"/>
  <c r="X153" i="124"/>
  <c r="W153" i="124"/>
  <c r="A153" i="124"/>
  <c r="BC153" i="124" s="1" a="1"/>
  <c r="BC153" i="124" s="1"/>
  <c r="AL152" i="124"/>
  <c r="AI152" i="124"/>
  <c r="AH152" i="124"/>
  <c r="AG152" i="124"/>
  <c r="AF152" i="124"/>
  <c r="AE152" i="124"/>
  <c r="AD152" i="124"/>
  <c r="AC152" i="124"/>
  <c r="AB152" i="124"/>
  <c r="AA152" i="124"/>
  <c r="Z152" i="124"/>
  <c r="Y152" i="124"/>
  <c r="X152" i="124"/>
  <c r="W152" i="124"/>
  <c r="A152" i="124"/>
  <c r="BC152" i="124" s="1" a="1"/>
  <c r="BC152" i="124" s="1"/>
  <c r="BC151" i="124" a="1"/>
  <c r="BC151" i="124" s="1"/>
  <c r="AL151" i="124"/>
  <c r="AI151" i="124"/>
  <c r="AO151" i="124" s="1" a="1"/>
  <c r="AO151" i="124" s="1"/>
  <c r="AH151" i="124"/>
  <c r="AG151" i="124"/>
  <c r="AF151" i="124"/>
  <c r="AE151" i="124"/>
  <c r="AD151" i="124"/>
  <c r="AC151" i="124"/>
  <c r="AB151" i="124"/>
  <c r="AA151" i="124"/>
  <c r="Z151" i="124"/>
  <c r="Y151" i="124"/>
  <c r="X151" i="124"/>
  <c r="W151" i="124"/>
  <c r="A151" i="124"/>
  <c r="AL150" i="124"/>
  <c r="AI150" i="124"/>
  <c r="AJ150" i="124" s="1" a="1"/>
  <c r="AJ150" i="124" s="1"/>
  <c r="AH150" i="124"/>
  <c r="AG150" i="124"/>
  <c r="AF150" i="124"/>
  <c r="AE150" i="124"/>
  <c r="AD150" i="124"/>
  <c r="AC150" i="124"/>
  <c r="AB150" i="124"/>
  <c r="AA150" i="124"/>
  <c r="Z150" i="124"/>
  <c r="Y150" i="124"/>
  <c r="X150" i="124"/>
  <c r="W150" i="124"/>
  <c r="A150" i="124"/>
  <c r="BC150" i="124" s="1" a="1"/>
  <c r="BC150" i="124" s="1"/>
  <c r="AL149" i="124"/>
  <c r="AH149" i="124"/>
  <c r="AG149" i="124"/>
  <c r="AF149" i="124"/>
  <c r="AE149" i="124"/>
  <c r="AD149" i="124"/>
  <c r="AC149" i="124"/>
  <c r="AB149" i="124"/>
  <c r="AA149" i="124"/>
  <c r="Z149" i="124"/>
  <c r="Y149" i="124"/>
  <c r="X149" i="124"/>
  <c r="W149" i="124"/>
  <c r="A149" i="124"/>
  <c r="BC149" i="124" s="1" a="1"/>
  <c r="BC149" i="124" s="1"/>
  <c r="AH148" i="124"/>
  <c r="AG148" i="124"/>
  <c r="AF148" i="124"/>
  <c r="AE148" i="124"/>
  <c r="AD148" i="124"/>
  <c r="AC148" i="124"/>
  <c r="AB148" i="124"/>
  <c r="AA148" i="124"/>
  <c r="Z148" i="124"/>
  <c r="Y148" i="124"/>
  <c r="X148" i="124"/>
  <c r="W148" i="124"/>
  <c r="A148" i="124"/>
  <c r="BA147" i="124" a="1"/>
  <c r="BA147" i="124" s="1"/>
  <c r="AL147" i="124"/>
  <c r="AI147" i="124"/>
  <c r="AK147" i="124" s="1"/>
  <c r="AH147" i="124"/>
  <c r="AG147" i="124"/>
  <c r="AF147" i="124"/>
  <c r="AE147" i="124"/>
  <c r="AD147" i="124"/>
  <c r="AC147" i="124"/>
  <c r="AB147" i="124"/>
  <c r="AA147" i="124"/>
  <c r="Z147" i="124"/>
  <c r="Y147" i="124"/>
  <c r="X147" i="124"/>
  <c r="W147" i="124"/>
  <c r="A147" i="124"/>
  <c r="BA146" i="124" a="1"/>
  <c r="BA146" i="124" s="1"/>
  <c r="AL146" i="124"/>
  <c r="AI146" i="124"/>
  <c r="AH146" i="124"/>
  <c r="AG146" i="124"/>
  <c r="AF146" i="124"/>
  <c r="AE146" i="124"/>
  <c r="AD146" i="124"/>
  <c r="AC146" i="124"/>
  <c r="AB146" i="124"/>
  <c r="AA146" i="124"/>
  <c r="Z146" i="124"/>
  <c r="Y146" i="124"/>
  <c r="X146" i="124"/>
  <c r="W146" i="124"/>
  <c r="A146" i="124"/>
  <c r="BC145" i="124" a="1"/>
  <c r="BC145" i="124" s="1"/>
  <c r="BA145" i="124" a="1"/>
  <c r="BA145" i="124" s="1"/>
  <c r="AL145" i="124"/>
  <c r="AI145" i="124"/>
  <c r="AH145" i="124"/>
  <c r="AG145" i="124"/>
  <c r="AF145" i="124"/>
  <c r="AE145" i="124"/>
  <c r="AD145" i="124"/>
  <c r="AC145" i="124"/>
  <c r="AB145" i="124"/>
  <c r="AA145" i="124"/>
  <c r="Z145" i="124"/>
  <c r="Y145" i="124"/>
  <c r="X145" i="124"/>
  <c r="A145" i="124"/>
  <c r="AL144" i="124"/>
  <c r="AI144" i="124"/>
  <c r="AO144" i="124" s="1" a="1"/>
  <c r="AO144" i="124" s="1"/>
  <c r="AH144" i="124"/>
  <c r="AG144" i="124"/>
  <c r="AF144" i="124"/>
  <c r="AE144" i="124"/>
  <c r="AD144" i="124"/>
  <c r="AC144" i="124"/>
  <c r="AB144" i="124"/>
  <c r="AA144" i="124"/>
  <c r="Z144" i="124"/>
  <c r="Y144" i="124"/>
  <c r="X144" i="124"/>
  <c r="A144" i="124"/>
  <c r="BA144" i="124" s="1" a="1"/>
  <c r="BA144" i="124" s="1"/>
  <c r="BA143" i="124" a="1"/>
  <c r="BA143" i="124" s="1"/>
  <c r="AL143" i="124"/>
  <c r="AH143" i="124"/>
  <c r="AG143" i="124"/>
  <c r="AF143" i="124"/>
  <c r="AE143" i="124"/>
  <c r="AD143" i="124"/>
  <c r="AC143" i="124"/>
  <c r="AB143" i="124"/>
  <c r="AA143" i="124"/>
  <c r="Z143" i="124"/>
  <c r="Y143" i="124"/>
  <c r="X143" i="124"/>
  <c r="A143" i="124"/>
  <c r="AH142" i="124"/>
  <c r="AG142" i="124"/>
  <c r="AF142" i="124"/>
  <c r="AE142" i="124"/>
  <c r="AD142" i="124"/>
  <c r="AC142" i="124"/>
  <c r="AB142" i="124"/>
  <c r="AA142" i="124"/>
  <c r="Z142" i="124"/>
  <c r="Y142" i="124"/>
  <c r="X142" i="124"/>
  <c r="A142" i="124"/>
  <c r="BC142" i="124" s="1" a="1"/>
  <c r="BC142" i="124" s="1"/>
  <c r="AL141" i="124"/>
  <c r="AI141" i="124"/>
  <c r="AH141" i="124"/>
  <c r="AG141" i="124"/>
  <c r="AF141" i="124"/>
  <c r="AE141" i="124"/>
  <c r="AD141" i="124"/>
  <c r="AC141" i="124"/>
  <c r="AB141" i="124"/>
  <c r="AA141" i="124"/>
  <c r="Z141" i="124"/>
  <c r="Y141" i="124"/>
  <c r="X141" i="124"/>
  <c r="W141" i="124"/>
  <c r="A141" i="124"/>
  <c r="AL140" i="124"/>
  <c r="AI140" i="124"/>
  <c r="AH140" i="124"/>
  <c r="AG140" i="124"/>
  <c r="AF140" i="124"/>
  <c r="AE140" i="124"/>
  <c r="AD140" i="124"/>
  <c r="AC140" i="124"/>
  <c r="AB140" i="124"/>
  <c r="AA140" i="124"/>
  <c r="Z140" i="124"/>
  <c r="Y140" i="124"/>
  <c r="X140" i="124"/>
  <c r="W140" i="124"/>
  <c r="A140" i="124"/>
  <c r="AL139" i="124"/>
  <c r="AI139" i="124"/>
  <c r="AO139" i="124" s="1" a="1"/>
  <c r="AO139" i="124" s="1"/>
  <c r="AQ139" i="124" s="1"/>
  <c r="AH139" i="124"/>
  <c r="AG139" i="124"/>
  <c r="AF139" i="124"/>
  <c r="AE139" i="124"/>
  <c r="AD139" i="124"/>
  <c r="AC139" i="124"/>
  <c r="AB139" i="124"/>
  <c r="AA139" i="124"/>
  <c r="Z139" i="124"/>
  <c r="Y139" i="124"/>
  <c r="X139" i="124"/>
  <c r="W139" i="124"/>
  <c r="A139" i="124"/>
  <c r="AL138" i="124"/>
  <c r="AI138" i="124"/>
  <c r="AH138" i="124"/>
  <c r="AG138" i="124"/>
  <c r="AF138" i="124"/>
  <c r="AE138" i="124"/>
  <c r="AD138" i="124"/>
  <c r="AC138" i="124"/>
  <c r="AB138" i="124"/>
  <c r="AA138" i="124"/>
  <c r="Z138" i="124"/>
  <c r="Y138" i="124"/>
  <c r="X138" i="124"/>
  <c r="A138" i="124"/>
  <c r="BC138" i="124" s="1" a="1"/>
  <c r="BC138" i="124" s="1"/>
  <c r="AL137" i="124"/>
  <c r="AI137" i="124"/>
  <c r="AO137" i="124" s="1" a="1"/>
  <c r="AO137" i="124" s="1"/>
  <c r="AH137" i="124"/>
  <c r="AG137" i="124"/>
  <c r="AF137" i="124"/>
  <c r="AE137" i="124"/>
  <c r="AD137" i="124"/>
  <c r="AC137" i="124"/>
  <c r="AB137" i="124"/>
  <c r="AA137" i="124"/>
  <c r="Z137" i="124"/>
  <c r="Y137" i="124"/>
  <c r="X137" i="124"/>
  <c r="W137" i="124"/>
  <c r="A137" i="124"/>
  <c r="AH136" i="124"/>
  <c r="AG136" i="124"/>
  <c r="AF136" i="124"/>
  <c r="AE136" i="124"/>
  <c r="AD136" i="124"/>
  <c r="AC136" i="124"/>
  <c r="AB136" i="124"/>
  <c r="AA136" i="124"/>
  <c r="Z136" i="124"/>
  <c r="Y136" i="124"/>
  <c r="X136" i="124"/>
  <c r="W136" i="124"/>
  <c r="A136" i="124"/>
  <c r="AL135" i="124"/>
  <c r="AI135" i="124"/>
  <c r="AO135" i="124" s="1" a="1"/>
  <c r="AO135" i="124" s="1"/>
  <c r="AH135" i="124"/>
  <c r="AG135" i="124"/>
  <c r="AF135" i="124"/>
  <c r="AE135" i="124"/>
  <c r="AD135" i="124"/>
  <c r="AC135" i="124"/>
  <c r="AB135" i="124"/>
  <c r="AA135" i="124"/>
  <c r="Z135" i="124"/>
  <c r="Y135" i="124"/>
  <c r="X135" i="124"/>
  <c r="W135" i="124"/>
  <c r="A135" i="124"/>
  <c r="AL134" i="124"/>
  <c r="AI134" i="124"/>
  <c r="AH134" i="124"/>
  <c r="AG134" i="124"/>
  <c r="AF134" i="124"/>
  <c r="AE134" i="124"/>
  <c r="AD134" i="124"/>
  <c r="AC134" i="124"/>
  <c r="AB134" i="124"/>
  <c r="AA134" i="124"/>
  <c r="Z134" i="124"/>
  <c r="Y134" i="124"/>
  <c r="X134" i="124"/>
  <c r="W134" i="124"/>
  <c r="A134" i="124"/>
  <c r="AL133" i="124"/>
  <c r="AI133" i="124"/>
  <c r="AK133" i="124" s="1"/>
  <c r="AH133" i="124"/>
  <c r="AG133" i="124"/>
  <c r="AF133" i="124"/>
  <c r="AE133" i="124"/>
  <c r="AD133" i="124"/>
  <c r="AC133" i="124"/>
  <c r="AB133" i="124"/>
  <c r="AA133" i="124"/>
  <c r="Z133" i="124"/>
  <c r="Y133" i="124"/>
  <c r="X133" i="124"/>
  <c r="W133" i="124"/>
  <c r="A133" i="124"/>
  <c r="BC133" i="124" s="1" a="1"/>
  <c r="BC133" i="124" s="1"/>
  <c r="AI132" i="124"/>
  <c r="AO132" i="124" s="1" a="1"/>
  <c r="AO132" i="124" s="1"/>
  <c r="AH132" i="124"/>
  <c r="AG132" i="124"/>
  <c r="AF132" i="124"/>
  <c r="AE132" i="124"/>
  <c r="AD132" i="124"/>
  <c r="AC132" i="124"/>
  <c r="AB132" i="124"/>
  <c r="AA132" i="124"/>
  <c r="Z132" i="124"/>
  <c r="Y132" i="124"/>
  <c r="X132" i="124"/>
  <c r="A132" i="124"/>
  <c r="AL131" i="124"/>
  <c r="AI131" i="124"/>
  <c r="AJ131" i="124" s="1" a="1"/>
  <c r="AJ131" i="124" s="1"/>
  <c r="AH131" i="124"/>
  <c r="AG131" i="124"/>
  <c r="AF131" i="124"/>
  <c r="AE131" i="124"/>
  <c r="AD131" i="124"/>
  <c r="AC131" i="124"/>
  <c r="AB131" i="124"/>
  <c r="AA131" i="124"/>
  <c r="Z131" i="124"/>
  <c r="Y131" i="124"/>
  <c r="X131" i="124"/>
  <c r="W131" i="124"/>
  <c r="A131" i="124"/>
  <c r="BC131" i="124" s="1" a="1"/>
  <c r="BC131" i="124" s="1"/>
  <c r="AL130" i="124"/>
  <c r="AI130" i="124"/>
  <c r="AJ130" i="124" s="1" a="1"/>
  <c r="AJ130" i="124" s="1"/>
  <c r="AN130" i="124" s="1" a="1"/>
  <c r="AN130" i="124" s="1"/>
  <c r="AH130" i="124"/>
  <c r="AG130" i="124"/>
  <c r="AF130" i="124"/>
  <c r="AE130" i="124"/>
  <c r="AD130" i="124"/>
  <c r="AC130" i="124"/>
  <c r="AB130" i="124"/>
  <c r="AA130" i="124"/>
  <c r="Z130" i="124"/>
  <c r="Y130" i="124"/>
  <c r="X130" i="124"/>
  <c r="W130" i="124"/>
  <c r="A130" i="124"/>
  <c r="AH129" i="124"/>
  <c r="AG129" i="124"/>
  <c r="AF129" i="124"/>
  <c r="AE129" i="124"/>
  <c r="AD129" i="124"/>
  <c r="AC129" i="124"/>
  <c r="AB129" i="124"/>
  <c r="AA129" i="124"/>
  <c r="Z129" i="124"/>
  <c r="Y129" i="124"/>
  <c r="X129" i="124"/>
  <c r="W129" i="124"/>
  <c r="A129" i="124"/>
  <c r="AL128" i="124"/>
  <c r="AI128" i="124"/>
  <c r="AJ128" i="124" s="1" a="1"/>
  <c r="AJ128" i="124" s="1"/>
  <c r="AN128" i="124" s="1" a="1"/>
  <c r="AN128" i="124" s="1"/>
  <c r="AH128" i="124"/>
  <c r="AG128" i="124"/>
  <c r="AF128" i="124"/>
  <c r="AE128" i="124"/>
  <c r="AD128" i="124"/>
  <c r="AC128" i="124"/>
  <c r="AB128" i="124"/>
  <c r="AA128" i="124"/>
  <c r="Z128" i="124"/>
  <c r="Y128" i="124"/>
  <c r="X128" i="124"/>
  <c r="W128" i="124"/>
  <c r="A128" i="124"/>
  <c r="AL127" i="124"/>
  <c r="AI127" i="124"/>
  <c r="AO127" i="124" s="1" a="1"/>
  <c r="AO127" i="124" s="1"/>
  <c r="AH127" i="124"/>
  <c r="AG127" i="124"/>
  <c r="AF127" i="124"/>
  <c r="AE127" i="124"/>
  <c r="AD127" i="124"/>
  <c r="AC127" i="124"/>
  <c r="AB127" i="124"/>
  <c r="AA127" i="124"/>
  <c r="Z127" i="124"/>
  <c r="Y127" i="124"/>
  <c r="X127" i="124"/>
  <c r="A127" i="124"/>
  <c r="AL126" i="124"/>
  <c r="AI126" i="124"/>
  <c r="AJ126" i="124" s="1" a="1"/>
  <c r="AJ126" i="124" s="1"/>
  <c r="AH126" i="124"/>
  <c r="AG126" i="124"/>
  <c r="AF126" i="124"/>
  <c r="AE126" i="124"/>
  <c r="AD126" i="124"/>
  <c r="AC126" i="124"/>
  <c r="AB126" i="124"/>
  <c r="AA126" i="124"/>
  <c r="Z126" i="124"/>
  <c r="Y126" i="124"/>
  <c r="X126" i="124"/>
  <c r="W126" i="124"/>
  <c r="A126" i="124"/>
  <c r="BC126" i="124" s="1" a="1"/>
  <c r="BC126" i="124" s="1"/>
  <c r="AL125" i="124"/>
  <c r="AI125" i="124"/>
  <c r="AJ125" i="124" s="1" a="1"/>
  <c r="AJ125" i="124" s="1"/>
  <c r="AN125" i="124" s="1" a="1"/>
  <c r="AN125" i="124" s="1"/>
  <c r="AH125" i="124"/>
  <c r="AG125" i="124"/>
  <c r="AF125" i="124"/>
  <c r="AE125" i="124"/>
  <c r="AD125" i="124"/>
  <c r="AC125" i="124"/>
  <c r="AB125" i="124"/>
  <c r="AA125" i="124"/>
  <c r="Z125" i="124"/>
  <c r="Y125" i="124"/>
  <c r="X125" i="124"/>
  <c r="W125" i="124"/>
  <c r="A125" i="124"/>
  <c r="AI124" i="124"/>
  <c r="AO124" i="124" s="1" a="1"/>
  <c r="AO124" i="124" s="1"/>
  <c r="AH124" i="124"/>
  <c r="AG124" i="124"/>
  <c r="AF124" i="124"/>
  <c r="AE124" i="124"/>
  <c r="AD124" i="124"/>
  <c r="AC124" i="124"/>
  <c r="AB124" i="124"/>
  <c r="AA124" i="124"/>
  <c r="Z124" i="124"/>
  <c r="Y124" i="124"/>
  <c r="X124" i="124"/>
  <c r="W124" i="124"/>
  <c r="A124" i="124"/>
  <c r="AH123" i="124"/>
  <c r="AG123" i="124"/>
  <c r="AF123" i="124"/>
  <c r="AE123" i="124"/>
  <c r="AD123" i="124"/>
  <c r="AC123" i="124"/>
  <c r="AB123" i="124"/>
  <c r="AA123" i="124"/>
  <c r="Z123" i="124"/>
  <c r="Y123" i="124"/>
  <c r="X123" i="124"/>
  <c r="A123" i="124"/>
  <c r="AH122" i="124"/>
  <c r="AG122" i="124"/>
  <c r="AF122" i="124"/>
  <c r="AE122" i="124"/>
  <c r="AD122" i="124"/>
  <c r="AC122" i="124"/>
  <c r="AB122" i="124"/>
  <c r="AA122" i="124"/>
  <c r="Z122" i="124"/>
  <c r="Y122" i="124"/>
  <c r="X122" i="124"/>
  <c r="W122" i="124"/>
  <c r="A122" i="124"/>
  <c r="BA122" i="124" s="1" a="1"/>
  <c r="BA122" i="124" s="1"/>
  <c r="AL121" i="124"/>
  <c r="AI121" i="124"/>
  <c r="AH121" i="124"/>
  <c r="AG121" i="124"/>
  <c r="AF121" i="124"/>
  <c r="AE121" i="124"/>
  <c r="AD121" i="124"/>
  <c r="AC121" i="124"/>
  <c r="AB121" i="124"/>
  <c r="AA121" i="124"/>
  <c r="Z121" i="124"/>
  <c r="Y121" i="124"/>
  <c r="X121" i="124"/>
  <c r="W121" i="124"/>
  <c r="A121" i="124"/>
  <c r="AL120" i="124"/>
  <c r="AI120" i="124"/>
  <c r="AH120" i="124"/>
  <c r="AG120" i="124"/>
  <c r="AF120" i="124"/>
  <c r="AE120" i="124"/>
  <c r="AD120" i="124"/>
  <c r="AC120" i="124"/>
  <c r="AB120" i="124"/>
  <c r="AA120" i="124"/>
  <c r="Z120" i="124"/>
  <c r="Y120" i="124"/>
  <c r="X120" i="124"/>
  <c r="W120" i="124"/>
  <c r="A120" i="124"/>
  <c r="AL119" i="124"/>
  <c r="AI119" i="124"/>
  <c r="AH119" i="124"/>
  <c r="AG119" i="124"/>
  <c r="AF119" i="124"/>
  <c r="AE119" i="124"/>
  <c r="AD119" i="124"/>
  <c r="AC119" i="124"/>
  <c r="AB119" i="124"/>
  <c r="AA119" i="124"/>
  <c r="Z119" i="124"/>
  <c r="Y119" i="124"/>
  <c r="X119" i="124"/>
  <c r="W119" i="124"/>
  <c r="A119" i="124"/>
  <c r="BA119" i="124" s="1" a="1"/>
  <c r="BA119" i="124" s="1"/>
  <c r="AL118" i="124"/>
  <c r="AI118" i="124"/>
  <c r="AK118" i="124" s="1"/>
  <c r="AH118" i="124"/>
  <c r="AG118" i="124"/>
  <c r="AF118" i="124"/>
  <c r="AE118" i="124"/>
  <c r="AD118" i="124"/>
  <c r="AC118" i="124"/>
  <c r="AB118" i="124"/>
  <c r="AA118" i="124"/>
  <c r="Z118" i="124"/>
  <c r="Y118" i="124"/>
  <c r="X118" i="124"/>
  <c r="W118" i="124"/>
  <c r="A118" i="124"/>
  <c r="BC118" i="124" s="1" a="1"/>
  <c r="BC118" i="124" s="1"/>
  <c r="AL117" i="124"/>
  <c r="AI117" i="124"/>
  <c r="AK117" i="124" s="1"/>
  <c r="AH117" i="124"/>
  <c r="AG117" i="124"/>
  <c r="AF117" i="124"/>
  <c r="AE117" i="124"/>
  <c r="AD117" i="124"/>
  <c r="AC117" i="124"/>
  <c r="AB117" i="124"/>
  <c r="AA117" i="124"/>
  <c r="Z117" i="124"/>
  <c r="Y117" i="124"/>
  <c r="X117" i="124"/>
  <c r="W117" i="124"/>
  <c r="A117" i="124"/>
  <c r="BC117" i="124" s="1" a="1"/>
  <c r="BC117" i="124" s="1"/>
  <c r="AL116" i="124"/>
  <c r="AI116" i="124"/>
  <c r="AO116" i="124" s="1" a="1"/>
  <c r="AO116" i="124" s="1"/>
  <c r="AH116" i="124"/>
  <c r="AG116" i="124"/>
  <c r="AF116" i="124"/>
  <c r="AE116" i="124"/>
  <c r="AD116" i="124"/>
  <c r="AC116" i="124"/>
  <c r="AB116" i="124"/>
  <c r="AA116" i="124"/>
  <c r="Z116" i="124"/>
  <c r="Y116" i="124"/>
  <c r="X116" i="124"/>
  <c r="W116" i="124"/>
  <c r="A116" i="124"/>
  <c r="BC116" i="124" s="1" a="1"/>
  <c r="BC116" i="124" s="1"/>
  <c r="AL115" i="124"/>
  <c r="AI115" i="124"/>
  <c r="AJ115" i="124" s="1" a="1"/>
  <c r="AJ115" i="124" s="1"/>
  <c r="AN115" i="124" s="1" a="1"/>
  <c r="AN115" i="124" s="1"/>
  <c r="AH115" i="124"/>
  <c r="AG115" i="124"/>
  <c r="AF115" i="124"/>
  <c r="AE115" i="124"/>
  <c r="AD115" i="124"/>
  <c r="AC115" i="124"/>
  <c r="AB115" i="124"/>
  <c r="AA115" i="124"/>
  <c r="Z115" i="124"/>
  <c r="Y115" i="124"/>
  <c r="X115" i="124"/>
  <c r="W115" i="124"/>
  <c r="A115" i="124"/>
  <c r="AL114" i="124"/>
  <c r="AI114" i="124"/>
  <c r="AO114" i="124" s="1" a="1"/>
  <c r="AO114" i="124" s="1"/>
  <c r="AH114" i="124"/>
  <c r="AG114" i="124"/>
  <c r="AF114" i="124"/>
  <c r="AE114" i="124"/>
  <c r="AD114" i="124"/>
  <c r="AC114" i="124"/>
  <c r="AB114" i="124"/>
  <c r="AA114" i="124"/>
  <c r="Z114" i="124"/>
  <c r="Y114" i="124"/>
  <c r="X114" i="124"/>
  <c r="W114" i="124"/>
  <c r="A114" i="124"/>
  <c r="BC114" i="124" s="1" a="1"/>
  <c r="BC114" i="124" s="1"/>
  <c r="AL113" i="124"/>
  <c r="AI113" i="124"/>
  <c r="AH113" i="124"/>
  <c r="AG113" i="124"/>
  <c r="AF113" i="124"/>
  <c r="AE113" i="124"/>
  <c r="AD113" i="124"/>
  <c r="AC113" i="124"/>
  <c r="AB113" i="124"/>
  <c r="AA113" i="124"/>
  <c r="Z113" i="124"/>
  <c r="Y113" i="124"/>
  <c r="X113" i="124"/>
  <c r="W113" i="124"/>
  <c r="A113" i="124"/>
  <c r="BC113" i="124" s="1" a="1"/>
  <c r="BC113" i="124" s="1"/>
  <c r="AL112" i="124"/>
  <c r="AI112" i="124"/>
  <c r="AH112" i="124"/>
  <c r="AG112" i="124"/>
  <c r="AF112" i="124"/>
  <c r="AE112" i="124"/>
  <c r="AD112" i="124"/>
  <c r="AC112" i="124"/>
  <c r="AB112" i="124"/>
  <c r="AA112" i="124"/>
  <c r="Z112" i="124"/>
  <c r="Y112" i="124"/>
  <c r="X112" i="124"/>
  <c r="A112" i="124"/>
  <c r="BC112" i="124" s="1" a="1"/>
  <c r="BC112" i="124" s="1"/>
  <c r="AL111" i="124"/>
  <c r="AI111" i="124"/>
  <c r="AH111" i="124"/>
  <c r="AG111" i="124"/>
  <c r="AF111" i="124"/>
  <c r="AE111" i="124"/>
  <c r="AD111" i="124"/>
  <c r="AC111" i="124"/>
  <c r="AB111" i="124"/>
  <c r="AA111" i="124"/>
  <c r="Z111" i="124"/>
  <c r="Y111" i="124"/>
  <c r="X111" i="124"/>
  <c r="W111" i="124"/>
  <c r="A111" i="124"/>
  <c r="BA111" i="124" s="1" a="1"/>
  <c r="BA111" i="124" s="1"/>
  <c r="AL110" i="124"/>
  <c r="AI110" i="124"/>
  <c r="AO110" i="124" s="1" a="1"/>
  <c r="AO110" i="124" s="1"/>
  <c r="AH110" i="124"/>
  <c r="AG110" i="124"/>
  <c r="AF110" i="124"/>
  <c r="AE110" i="124"/>
  <c r="AD110" i="124"/>
  <c r="AC110" i="124"/>
  <c r="AB110" i="124"/>
  <c r="AA110" i="124"/>
  <c r="Z110" i="124"/>
  <c r="Y110" i="124"/>
  <c r="X110" i="124"/>
  <c r="W110" i="124"/>
  <c r="A110" i="124"/>
  <c r="BC110" i="124" s="1" a="1"/>
  <c r="BC110" i="124" s="1"/>
  <c r="AL109" i="124"/>
  <c r="AI109" i="124"/>
  <c r="AH109" i="124"/>
  <c r="AG109" i="124"/>
  <c r="AF109" i="124"/>
  <c r="AE109" i="124"/>
  <c r="AD109" i="124"/>
  <c r="AC109" i="124"/>
  <c r="AB109" i="124"/>
  <c r="AA109" i="124"/>
  <c r="Z109" i="124"/>
  <c r="Y109" i="124"/>
  <c r="X109" i="124"/>
  <c r="W109" i="124"/>
  <c r="A109" i="124"/>
  <c r="BA109" i="124" s="1" a="1"/>
  <c r="BA109" i="124" s="1"/>
  <c r="AL108" i="124"/>
  <c r="AH108" i="124"/>
  <c r="AG108" i="124"/>
  <c r="AF108" i="124"/>
  <c r="AE108" i="124"/>
  <c r="AD108" i="124"/>
  <c r="AC108" i="124"/>
  <c r="AB108" i="124"/>
  <c r="AA108" i="124"/>
  <c r="Z108" i="124"/>
  <c r="Y108" i="124"/>
  <c r="X108" i="124"/>
  <c r="A108" i="124"/>
  <c r="BA108" i="124" s="1" a="1"/>
  <c r="BA108" i="124" s="1"/>
  <c r="AL107" i="124"/>
  <c r="AI107" i="124"/>
  <c r="AK107" i="124" s="1"/>
  <c r="AH107" i="124"/>
  <c r="AG107" i="124"/>
  <c r="AF107" i="124"/>
  <c r="AE107" i="124"/>
  <c r="AD107" i="124"/>
  <c r="AC107" i="124"/>
  <c r="AB107" i="124"/>
  <c r="AA107" i="124"/>
  <c r="Z107" i="124"/>
  <c r="Y107" i="124"/>
  <c r="X107" i="124"/>
  <c r="W107" i="124"/>
  <c r="A107" i="124"/>
  <c r="BC107" i="124" s="1" a="1"/>
  <c r="BC107" i="124" s="1"/>
  <c r="BA106" i="124" a="1"/>
  <c r="BA106" i="124" s="1"/>
  <c r="AL106" i="124"/>
  <c r="AI106" i="124"/>
  <c r="AH106" i="124"/>
  <c r="AG106" i="124"/>
  <c r="AF106" i="124"/>
  <c r="AE106" i="124"/>
  <c r="AD106" i="124"/>
  <c r="AC106" i="124"/>
  <c r="AB106" i="124"/>
  <c r="AA106" i="124"/>
  <c r="Z106" i="124"/>
  <c r="Y106" i="124"/>
  <c r="X106" i="124"/>
  <c r="W106" i="124"/>
  <c r="A106" i="124"/>
  <c r="AL105" i="124"/>
  <c r="AI105" i="124"/>
  <c r="AH105" i="124"/>
  <c r="AG105" i="124"/>
  <c r="AF105" i="124"/>
  <c r="AE105" i="124"/>
  <c r="AD105" i="124"/>
  <c r="AC105" i="124"/>
  <c r="AB105" i="124"/>
  <c r="AA105" i="124"/>
  <c r="Z105" i="124"/>
  <c r="Y105" i="124"/>
  <c r="X105" i="124"/>
  <c r="W105" i="124"/>
  <c r="A105" i="124"/>
  <c r="BC105" i="124" s="1" a="1"/>
  <c r="BC105" i="124" s="1"/>
  <c r="AL104" i="124"/>
  <c r="AI104" i="124"/>
  <c r="AH104" i="124"/>
  <c r="AG104" i="124"/>
  <c r="AF104" i="124"/>
  <c r="AE104" i="124"/>
  <c r="AD104" i="124"/>
  <c r="AC104" i="124"/>
  <c r="AB104" i="124"/>
  <c r="AA104" i="124"/>
  <c r="Z104" i="124"/>
  <c r="Y104" i="124"/>
  <c r="X104" i="124"/>
  <c r="W104" i="124"/>
  <c r="A104" i="124"/>
  <c r="BC104" i="124" s="1" a="1"/>
  <c r="BC104" i="124" s="1"/>
  <c r="AL103" i="124"/>
  <c r="AH103" i="124"/>
  <c r="AG103" i="124"/>
  <c r="AF103" i="124"/>
  <c r="AE103" i="124"/>
  <c r="AD103" i="124"/>
  <c r="AC103" i="124"/>
  <c r="AB103" i="124"/>
  <c r="AA103" i="124"/>
  <c r="Z103" i="124"/>
  <c r="Y103" i="124"/>
  <c r="X103" i="124"/>
  <c r="A103" i="124"/>
  <c r="AI102" i="124"/>
  <c r="AO102" i="124" s="1" a="1"/>
  <c r="AO102" i="124" s="1"/>
  <c r="AQ102" i="124" s="1"/>
  <c r="AH102" i="124"/>
  <c r="AG102" i="124"/>
  <c r="AF102" i="124"/>
  <c r="AE102" i="124"/>
  <c r="AD102" i="124"/>
  <c r="AC102" i="124"/>
  <c r="AB102" i="124"/>
  <c r="AA102" i="124"/>
  <c r="Z102" i="124"/>
  <c r="Y102" i="124"/>
  <c r="X102" i="124"/>
  <c r="A102" i="124"/>
  <c r="BC102" i="124" s="1" a="1"/>
  <c r="BC102" i="124" s="1"/>
  <c r="AL101" i="124"/>
  <c r="AI101" i="124"/>
  <c r="AJ101" i="124" s="1" a="1"/>
  <c r="AJ101" i="124" s="1"/>
  <c r="AN101" i="124" s="1" a="1"/>
  <c r="AN101" i="124" s="1"/>
  <c r="AH101" i="124"/>
  <c r="AG101" i="124"/>
  <c r="AF101" i="124"/>
  <c r="AE101" i="124"/>
  <c r="AD101" i="124"/>
  <c r="AC101" i="124"/>
  <c r="AB101" i="124"/>
  <c r="AA101" i="124"/>
  <c r="Z101" i="124"/>
  <c r="Y101" i="124"/>
  <c r="X101" i="124"/>
  <c r="W101" i="124"/>
  <c r="A101" i="124"/>
  <c r="BA101" i="124" s="1" a="1"/>
  <c r="BA101" i="124" s="1"/>
  <c r="AL100" i="124"/>
  <c r="AI100" i="124"/>
  <c r="AH100" i="124"/>
  <c r="AG100" i="124"/>
  <c r="AF100" i="124"/>
  <c r="AE100" i="124"/>
  <c r="AD100" i="124"/>
  <c r="AC100" i="124"/>
  <c r="AB100" i="124"/>
  <c r="AA100" i="124"/>
  <c r="Z100" i="124"/>
  <c r="Y100" i="124"/>
  <c r="X100" i="124"/>
  <c r="W100" i="124"/>
  <c r="A100" i="124"/>
  <c r="BC100" i="124" s="1" a="1"/>
  <c r="BC100" i="124" s="1"/>
  <c r="BA99" i="124" a="1"/>
  <c r="BA99" i="124" s="1"/>
  <c r="AL99" i="124"/>
  <c r="AI99" i="124"/>
  <c r="AO99" i="124" s="1" a="1"/>
  <c r="AO99" i="124" s="1"/>
  <c r="AQ99" i="124" s="1"/>
  <c r="AH99" i="124"/>
  <c r="AG99" i="124"/>
  <c r="AF99" i="124"/>
  <c r="AE99" i="124"/>
  <c r="AD99" i="124"/>
  <c r="AC99" i="124"/>
  <c r="AB99" i="124"/>
  <c r="AA99" i="124"/>
  <c r="Z99" i="124"/>
  <c r="Y99" i="124"/>
  <c r="X99" i="124"/>
  <c r="W99" i="124"/>
  <c r="A99" i="124"/>
  <c r="AL98" i="124"/>
  <c r="AI98" i="124"/>
  <c r="AK98" i="124" s="1"/>
  <c r="AH98" i="124"/>
  <c r="AG98" i="124"/>
  <c r="AF98" i="124"/>
  <c r="AE98" i="124"/>
  <c r="AD98" i="124"/>
  <c r="AC98" i="124"/>
  <c r="AB98" i="124"/>
  <c r="AA98" i="124"/>
  <c r="Z98" i="124"/>
  <c r="Y98" i="124"/>
  <c r="X98" i="124"/>
  <c r="W98" i="124"/>
  <c r="A98" i="124"/>
  <c r="AL97" i="124"/>
  <c r="AI97" i="124"/>
  <c r="AK97" i="124" s="1"/>
  <c r="AH97" i="124"/>
  <c r="AG97" i="124"/>
  <c r="AF97" i="124"/>
  <c r="AE97" i="124"/>
  <c r="AD97" i="124"/>
  <c r="AC97" i="124"/>
  <c r="AB97" i="124"/>
  <c r="AA97" i="124"/>
  <c r="Z97" i="124"/>
  <c r="Y97" i="124"/>
  <c r="X97" i="124"/>
  <c r="W97" i="124"/>
  <c r="A97" i="124"/>
  <c r="BC97" i="124" s="1" a="1"/>
  <c r="BC97" i="124" s="1"/>
  <c r="AL96" i="124"/>
  <c r="AI96" i="124"/>
  <c r="AH96" i="124"/>
  <c r="AG96" i="124"/>
  <c r="AF96" i="124"/>
  <c r="AE96" i="124"/>
  <c r="AD96" i="124"/>
  <c r="AC96" i="124"/>
  <c r="AB96" i="124"/>
  <c r="AA96" i="124"/>
  <c r="Z96" i="124"/>
  <c r="Y96" i="124"/>
  <c r="X96" i="124"/>
  <c r="W96" i="124"/>
  <c r="A96" i="124"/>
  <c r="BA95" i="124" a="1"/>
  <c r="BA95" i="124" s="1"/>
  <c r="AL95" i="124"/>
  <c r="AI95" i="124"/>
  <c r="AJ95" i="124" s="1" a="1"/>
  <c r="AJ95" i="124" s="1"/>
  <c r="AH95" i="124"/>
  <c r="AG95" i="124"/>
  <c r="AF95" i="124"/>
  <c r="AE95" i="124"/>
  <c r="AD95" i="124"/>
  <c r="AC95" i="124"/>
  <c r="AB95" i="124"/>
  <c r="AA95" i="124"/>
  <c r="Z95" i="124"/>
  <c r="Y95" i="124"/>
  <c r="X95" i="124"/>
  <c r="W95" i="124"/>
  <c r="A95" i="124"/>
  <c r="BA94" i="124" a="1"/>
  <c r="BA94" i="124" s="1"/>
  <c r="AL94" i="124"/>
  <c r="AI94" i="124"/>
  <c r="AK94" i="124" s="1"/>
  <c r="AH94" i="124"/>
  <c r="AG94" i="124"/>
  <c r="AF94" i="124"/>
  <c r="AE94" i="124"/>
  <c r="AD94" i="124"/>
  <c r="AC94" i="124"/>
  <c r="AB94" i="124"/>
  <c r="AA94" i="124"/>
  <c r="Z94" i="124"/>
  <c r="Y94" i="124"/>
  <c r="X94" i="124"/>
  <c r="W94" i="124"/>
  <c r="A94" i="124"/>
  <c r="AL93" i="124"/>
  <c r="AI93" i="124"/>
  <c r="AJ93" i="124" s="1" a="1"/>
  <c r="AJ93" i="124" s="1"/>
  <c r="AH93" i="124"/>
  <c r="AG93" i="124"/>
  <c r="AF93" i="124"/>
  <c r="AE93" i="124"/>
  <c r="AD93" i="124"/>
  <c r="AC93" i="124"/>
  <c r="AB93" i="124"/>
  <c r="AA93" i="124"/>
  <c r="Z93" i="124"/>
  <c r="Y93" i="124"/>
  <c r="X93" i="124"/>
  <c r="W93" i="124"/>
  <c r="A93" i="124"/>
  <c r="AL92" i="124"/>
  <c r="AI92" i="124"/>
  <c r="AH92" i="124"/>
  <c r="AG92" i="124"/>
  <c r="AF92" i="124"/>
  <c r="AE92" i="124"/>
  <c r="AD92" i="124"/>
  <c r="AC92" i="124"/>
  <c r="AB92" i="124"/>
  <c r="AA92" i="124"/>
  <c r="Z92" i="124"/>
  <c r="Y92" i="124"/>
  <c r="X92" i="124"/>
  <c r="W92" i="124"/>
  <c r="A92" i="124"/>
  <c r="AL91" i="124"/>
  <c r="AI91" i="124"/>
  <c r="AH91" i="124"/>
  <c r="AG91" i="124"/>
  <c r="AF91" i="124"/>
  <c r="AE91" i="124"/>
  <c r="AD91" i="124"/>
  <c r="AC91" i="124"/>
  <c r="AB91" i="124"/>
  <c r="AA91" i="124"/>
  <c r="Z91" i="124"/>
  <c r="Y91" i="124"/>
  <c r="X91" i="124"/>
  <c r="W91" i="124"/>
  <c r="A91" i="124"/>
  <c r="BA91" i="124" s="1" a="1"/>
  <c r="BA91" i="124" s="1"/>
  <c r="BC90" i="124" a="1"/>
  <c r="BC90" i="124" s="1"/>
  <c r="AL90" i="124"/>
  <c r="AI90" i="124"/>
  <c r="AH90" i="124"/>
  <c r="AG90" i="124"/>
  <c r="AF90" i="124"/>
  <c r="AE90" i="124"/>
  <c r="AD90" i="124"/>
  <c r="AC90" i="124"/>
  <c r="AB90" i="124"/>
  <c r="AA90" i="124"/>
  <c r="Z90" i="124"/>
  <c r="Y90" i="124"/>
  <c r="X90" i="124"/>
  <c r="W90" i="124"/>
  <c r="A90" i="124"/>
  <c r="BA90" i="124" s="1" a="1"/>
  <c r="BA90" i="124" s="1"/>
  <c r="AL89" i="124"/>
  <c r="AI89" i="124"/>
  <c r="AJ89" i="124" s="1" a="1"/>
  <c r="AJ89" i="124" s="1"/>
  <c r="AH89" i="124"/>
  <c r="AG89" i="124"/>
  <c r="AF89" i="124"/>
  <c r="AE89" i="124"/>
  <c r="AD89" i="124"/>
  <c r="AC89" i="124"/>
  <c r="AB89" i="124"/>
  <c r="AA89" i="124"/>
  <c r="Z89" i="124"/>
  <c r="Y89" i="124"/>
  <c r="X89" i="124"/>
  <c r="W89" i="124"/>
  <c r="A89" i="124"/>
  <c r="BC89" i="124" s="1" a="1"/>
  <c r="BC89" i="124" s="1"/>
  <c r="AL88" i="124"/>
  <c r="AI88" i="124"/>
  <c r="AJ88" i="124" s="1" a="1"/>
  <c r="AJ88" i="124" s="1"/>
  <c r="AH88" i="124"/>
  <c r="AG88" i="124"/>
  <c r="AF88" i="124"/>
  <c r="AE88" i="124"/>
  <c r="AD88" i="124"/>
  <c r="AC88" i="124"/>
  <c r="AB88" i="124"/>
  <c r="AA88" i="124"/>
  <c r="Z88" i="124"/>
  <c r="Y88" i="124"/>
  <c r="X88" i="124"/>
  <c r="W88" i="124"/>
  <c r="A88" i="124"/>
  <c r="AL87" i="124"/>
  <c r="AI87" i="124"/>
  <c r="AH87" i="124"/>
  <c r="AG87" i="124"/>
  <c r="AF87" i="124"/>
  <c r="AE87" i="124"/>
  <c r="AD87" i="124"/>
  <c r="AC87" i="124"/>
  <c r="AB87" i="124"/>
  <c r="AA87" i="124"/>
  <c r="Z87" i="124"/>
  <c r="Y87" i="124"/>
  <c r="X87" i="124"/>
  <c r="W87" i="124"/>
  <c r="A87" i="124"/>
  <c r="AL86" i="124"/>
  <c r="AI86" i="124"/>
  <c r="AH86" i="124"/>
  <c r="AG86" i="124"/>
  <c r="AF86" i="124"/>
  <c r="AE86" i="124"/>
  <c r="AD86" i="124"/>
  <c r="AC86" i="124"/>
  <c r="AB86" i="124"/>
  <c r="AA86" i="124"/>
  <c r="Z86" i="124"/>
  <c r="Y86" i="124"/>
  <c r="X86" i="124"/>
  <c r="W86" i="124"/>
  <c r="A86" i="124"/>
  <c r="AL85" i="124"/>
  <c r="AI85" i="124"/>
  <c r="AH85" i="124"/>
  <c r="AG85" i="124"/>
  <c r="AF85" i="124"/>
  <c r="AE85" i="124"/>
  <c r="AD85" i="124"/>
  <c r="AC85" i="124"/>
  <c r="AB85" i="124"/>
  <c r="AA85" i="124"/>
  <c r="Z85" i="124"/>
  <c r="Y85" i="124"/>
  <c r="X85" i="124"/>
  <c r="W85" i="124"/>
  <c r="A85" i="124"/>
  <c r="BA85" i="124" s="1" a="1"/>
  <c r="BA85" i="124" s="1"/>
  <c r="BC84" i="124" a="1"/>
  <c r="BC84" i="124" s="1"/>
  <c r="AL84" i="124"/>
  <c r="AI84" i="124"/>
  <c r="AH84" i="124"/>
  <c r="AG84" i="124"/>
  <c r="AF84" i="124"/>
  <c r="AE84" i="124"/>
  <c r="AD84" i="124"/>
  <c r="AC84" i="124"/>
  <c r="AB84" i="124"/>
  <c r="AA84" i="124"/>
  <c r="Z84" i="124"/>
  <c r="Y84" i="124"/>
  <c r="X84" i="124"/>
  <c r="W84" i="124"/>
  <c r="A84" i="124"/>
  <c r="AH83" i="124"/>
  <c r="AG83" i="124"/>
  <c r="AF83" i="124"/>
  <c r="AE83" i="124"/>
  <c r="AD83" i="124"/>
  <c r="AC83" i="124"/>
  <c r="AB83" i="124"/>
  <c r="AA83" i="124"/>
  <c r="Z83" i="124"/>
  <c r="Y83" i="124"/>
  <c r="X83" i="124"/>
  <c r="A83" i="124"/>
  <c r="BA82" i="124" a="1"/>
  <c r="BA82" i="124" s="1"/>
  <c r="AI82" i="124"/>
  <c r="AH82" i="124"/>
  <c r="AG82" i="124"/>
  <c r="AF82" i="124"/>
  <c r="AE82" i="124"/>
  <c r="AD82" i="124"/>
  <c r="AC82" i="124"/>
  <c r="AB82" i="124"/>
  <c r="AA82" i="124"/>
  <c r="Z82" i="124"/>
  <c r="Y82" i="124"/>
  <c r="X82" i="124"/>
  <c r="A82" i="124"/>
  <c r="AL81" i="124"/>
  <c r="AI81" i="124"/>
  <c r="AH81" i="124"/>
  <c r="AG81" i="124"/>
  <c r="AF81" i="124"/>
  <c r="AE81" i="124"/>
  <c r="AD81" i="124"/>
  <c r="AC81" i="124"/>
  <c r="AB81" i="124"/>
  <c r="AA81" i="124"/>
  <c r="Z81" i="124"/>
  <c r="Y81" i="124"/>
  <c r="X81" i="124"/>
  <c r="W81" i="124"/>
  <c r="A81" i="124"/>
  <c r="AL80" i="124"/>
  <c r="AI80" i="124"/>
  <c r="AH80" i="124"/>
  <c r="AG80" i="124"/>
  <c r="AF80" i="124"/>
  <c r="AE80" i="124"/>
  <c r="AD80" i="124"/>
  <c r="AC80" i="124"/>
  <c r="AB80" i="124"/>
  <c r="AA80" i="124"/>
  <c r="Z80" i="124"/>
  <c r="Y80" i="124"/>
  <c r="X80" i="124"/>
  <c r="W80" i="124"/>
  <c r="A80" i="124"/>
  <c r="BA80" i="124" s="1" a="1"/>
  <c r="BA80" i="124" s="1"/>
  <c r="AL79" i="124"/>
  <c r="AI79" i="124"/>
  <c r="AK79" i="124" s="1"/>
  <c r="AM79" i="124" s="1"/>
  <c r="AH79" i="124"/>
  <c r="AG79" i="124"/>
  <c r="AF79" i="124"/>
  <c r="AE79" i="124"/>
  <c r="AD79" i="124"/>
  <c r="AC79" i="124"/>
  <c r="AB79" i="124"/>
  <c r="AA79" i="124"/>
  <c r="Z79" i="124"/>
  <c r="Y79" i="124"/>
  <c r="X79" i="124"/>
  <c r="W79" i="124"/>
  <c r="A79" i="124"/>
  <c r="BC79" i="124" s="1" a="1"/>
  <c r="BC79" i="124" s="1"/>
  <c r="AL78" i="124"/>
  <c r="AI78" i="124"/>
  <c r="AJ78" i="124" s="1" a="1"/>
  <c r="AJ78" i="124" s="1"/>
  <c r="AH78" i="124"/>
  <c r="AG78" i="124"/>
  <c r="AF78" i="124"/>
  <c r="AE78" i="124"/>
  <c r="AD78" i="124"/>
  <c r="AC78" i="124"/>
  <c r="AB78" i="124"/>
  <c r="AA78" i="124"/>
  <c r="Z78" i="124"/>
  <c r="Y78" i="124"/>
  <c r="X78" i="124"/>
  <c r="W78" i="124"/>
  <c r="A78" i="124"/>
  <c r="BC77" i="124" a="1"/>
  <c r="BC77" i="124" s="1"/>
  <c r="AL77" i="124"/>
  <c r="AI77" i="124"/>
  <c r="AH77" i="124"/>
  <c r="AG77" i="124"/>
  <c r="AF77" i="124"/>
  <c r="AE77" i="124"/>
  <c r="AD77" i="124"/>
  <c r="AC77" i="124"/>
  <c r="AB77" i="124"/>
  <c r="AA77" i="124"/>
  <c r="Z77" i="124"/>
  <c r="Y77" i="124"/>
  <c r="X77" i="124"/>
  <c r="W77" i="124"/>
  <c r="A77" i="124"/>
  <c r="AL76" i="124"/>
  <c r="AI76" i="124"/>
  <c r="AJ76" i="124" s="1" a="1"/>
  <c r="AJ76" i="124" s="1"/>
  <c r="AH76" i="124"/>
  <c r="AG76" i="124"/>
  <c r="AF76" i="124"/>
  <c r="AE76" i="124"/>
  <c r="AD76" i="124"/>
  <c r="AC76" i="124"/>
  <c r="AB76" i="124"/>
  <c r="AA76" i="124"/>
  <c r="Z76" i="124"/>
  <c r="Y76" i="124"/>
  <c r="X76" i="124"/>
  <c r="W76" i="124"/>
  <c r="A76" i="124"/>
  <c r="BA76" i="124" s="1" a="1"/>
  <c r="BA76" i="124" s="1"/>
  <c r="AL75" i="124"/>
  <c r="AI75" i="124"/>
  <c r="AH75" i="124"/>
  <c r="AG75" i="124"/>
  <c r="AF75" i="124"/>
  <c r="AE75" i="124"/>
  <c r="AD75" i="124"/>
  <c r="AC75" i="124"/>
  <c r="AB75" i="124"/>
  <c r="AA75" i="124"/>
  <c r="Z75" i="124"/>
  <c r="Y75" i="124"/>
  <c r="X75" i="124"/>
  <c r="W75" i="124"/>
  <c r="A75" i="124"/>
  <c r="BA75" i="124" s="1" a="1"/>
  <c r="BA75" i="124" s="1"/>
  <c r="AL74" i="124"/>
  <c r="AI74" i="124"/>
  <c r="AK74" i="124" s="1"/>
  <c r="AH74" i="124"/>
  <c r="AG74" i="124"/>
  <c r="AF74" i="124"/>
  <c r="AE74" i="124"/>
  <c r="AD74" i="124"/>
  <c r="AC74" i="124"/>
  <c r="AB74" i="124"/>
  <c r="AA74" i="124"/>
  <c r="Z74" i="124"/>
  <c r="Y74" i="124"/>
  <c r="X74" i="124"/>
  <c r="W74" i="124"/>
  <c r="A74" i="124"/>
  <c r="AL73" i="124"/>
  <c r="AI73" i="124"/>
  <c r="AK73" i="124" s="1"/>
  <c r="AM73" i="124" s="1"/>
  <c r="AH73" i="124"/>
  <c r="AG73" i="124"/>
  <c r="AF73" i="124"/>
  <c r="AE73" i="124"/>
  <c r="AD73" i="124"/>
  <c r="AC73" i="124"/>
  <c r="AB73" i="124"/>
  <c r="AA73" i="124"/>
  <c r="Z73" i="124"/>
  <c r="Y73" i="124"/>
  <c r="X73" i="124"/>
  <c r="W73" i="124"/>
  <c r="A73" i="124"/>
  <c r="AL72" i="124"/>
  <c r="AI72" i="124"/>
  <c r="AO72" i="124" s="1" a="1"/>
  <c r="AO72" i="124" s="1"/>
  <c r="AH72" i="124"/>
  <c r="AG72" i="124"/>
  <c r="AF72" i="124"/>
  <c r="AE72" i="124"/>
  <c r="AD72" i="124"/>
  <c r="AC72" i="124"/>
  <c r="AB72" i="124"/>
  <c r="AA72" i="124"/>
  <c r="Z72" i="124"/>
  <c r="Y72" i="124"/>
  <c r="X72" i="124"/>
  <c r="W72" i="124"/>
  <c r="A72" i="124"/>
  <c r="BA72" i="124" s="1" a="1"/>
  <c r="BA72" i="124" s="1"/>
  <c r="AL71" i="124"/>
  <c r="AI71" i="124"/>
  <c r="AK71" i="124" s="1"/>
  <c r="AH71" i="124"/>
  <c r="AG71" i="124"/>
  <c r="AF71" i="124"/>
  <c r="AE71" i="124"/>
  <c r="AD71" i="124"/>
  <c r="AC71" i="124"/>
  <c r="AB71" i="124"/>
  <c r="AA71" i="124"/>
  <c r="Z71" i="124"/>
  <c r="Y71" i="124"/>
  <c r="X71" i="124"/>
  <c r="W71" i="124"/>
  <c r="A71" i="124"/>
  <c r="BA71" i="124" s="1" a="1"/>
  <c r="BA71" i="124" s="1"/>
  <c r="AL70" i="124"/>
  <c r="AI70" i="124"/>
  <c r="AK70" i="124" s="1"/>
  <c r="AM70" i="124" s="1"/>
  <c r="AH70" i="124"/>
  <c r="AG70" i="124"/>
  <c r="AF70" i="124"/>
  <c r="AE70" i="124"/>
  <c r="AD70" i="124"/>
  <c r="AC70" i="124"/>
  <c r="AB70" i="124"/>
  <c r="AA70" i="124"/>
  <c r="Z70" i="124"/>
  <c r="Y70" i="124"/>
  <c r="X70" i="124"/>
  <c r="W70" i="124"/>
  <c r="A70" i="124"/>
  <c r="BA70" i="124" s="1" a="1"/>
  <c r="BA70" i="124" s="1"/>
  <c r="AL69" i="124"/>
  <c r="AI69" i="124"/>
  <c r="AK69" i="124" s="1"/>
  <c r="AH69" i="124"/>
  <c r="AG69" i="124"/>
  <c r="AF69" i="124"/>
  <c r="AE69" i="124"/>
  <c r="AD69" i="124"/>
  <c r="AC69" i="124"/>
  <c r="AB69" i="124"/>
  <c r="AA69" i="124"/>
  <c r="Z69" i="124"/>
  <c r="Y69" i="124"/>
  <c r="X69" i="124"/>
  <c r="W69" i="124"/>
  <c r="A69" i="124"/>
  <c r="BC69" i="124" s="1" a="1"/>
  <c r="BC69" i="124" s="1"/>
  <c r="AL68" i="124"/>
  <c r="AI68" i="124"/>
  <c r="AH68" i="124"/>
  <c r="AG68" i="124"/>
  <c r="AF68" i="124"/>
  <c r="AE68" i="124"/>
  <c r="AD68" i="124"/>
  <c r="AC68" i="124"/>
  <c r="AB68" i="124"/>
  <c r="AA68" i="124"/>
  <c r="Z68" i="124"/>
  <c r="Y68" i="124"/>
  <c r="X68" i="124"/>
  <c r="W68" i="124"/>
  <c r="A68" i="124"/>
  <c r="BC67" i="124" a="1"/>
  <c r="BC67" i="124" s="1"/>
  <c r="AL67" i="124"/>
  <c r="AI67" i="124"/>
  <c r="AH67" i="124"/>
  <c r="AG67" i="124"/>
  <c r="AF67" i="124"/>
  <c r="AE67" i="124"/>
  <c r="AD67" i="124"/>
  <c r="AC67" i="124"/>
  <c r="AB67" i="124"/>
  <c r="AA67" i="124"/>
  <c r="Z67" i="124"/>
  <c r="Y67" i="124"/>
  <c r="X67" i="124"/>
  <c r="W67" i="124"/>
  <c r="A67" i="124"/>
  <c r="BA67" i="124" s="1" a="1"/>
  <c r="BA67" i="124" s="1"/>
  <c r="AL66" i="124"/>
  <c r="AI66" i="124"/>
  <c r="AH66" i="124"/>
  <c r="AG66" i="124"/>
  <c r="AF66" i="124"/>
  <c r="AE66" i="124"/>
  <c r="AD66" i="124"/>
  <c r="AC66" i="124"/>
  <c r="AB66" i="124"/>
  <c r="AA66" i="124"/>
  <c r="Z66" i="124"/>
  <c r="Y66" i="124"/>
  <c r="X66" i="124"/>
  <c r="W66" i="124"/>
  <c r="A66" i="124"/>
  <c r="BA66" i="124" s="1" a="1"/>
  <c r="BA66" i="124" s="1"/>
  <c r="AL65" i="124"/>
  <c r="AI65" i="124"/>
  <c r="AO65" i="124" s="1" a="1"/>
  <c r="AO65" i="124" s="1"/>
  <c r="AH65" i="124"/>
  <c r="AG65" i="124"/>
  <c r="AF65" i="124"/>
  <c r="AE65" i="124"/>
  <c r="AD65" i="124"/>
  <c r="AC65" i="124"/>
  <c r="AB65" i="124"/>
  <c r="AA65" i="124"/>
  <c r="Z65" i="124"/>
  <c r="Y65" i="124"/>
  <c r="X65" i="124"/>
  <c r="W65" i="124"/>
  <c r="A65" i="124"/>
  <c r="BA65" i="124" s="1" a="1"/>
  <c r="BA65" i="124" s="1"/>
  <c r="AL64" i="124"/>
  <c r="AI64" i="124"/>
  <c r="AO64" i="124" s="1" a="1"/>
  <c r="AO64" i="124" s="1"/>
  <c r="AH64" i="124"/>
  <c r="AG64" i="124"/>
  <c r="AF64" i="124"/>
  <c r="AE64" i="124"/>
  <c r="AD64" i="124"/>
  <c r="AC64" i="124"/>
  <c r="AB64" i="124"/>
  <c r="AA64" i="124"/>
  <c r="Z64" i="124"/>
  <c r="Y64" i="124"/>
  <c r="X64" i="124"/>
  <c r="W64" i="124"/>
  <c r="A64" i="124"/>
  <c r="AH63" i="124"/>
  <c r="AG63" i="124"/>
  <c r="AF63" i="124"/>
  <c r="AE63" i="124"/>
  <c r="AD63" i="124"/>
  <c r="AC63" i="124"/>
  <c r="AB63" i="124"/>
  <c r="AA63" i="124"/>
  <c r="Z63" i="124"/>
  <c r="Y63" i="124"/>
  <c r="X63" i="124"/>
  <c r="A63" i="124"/>
  <c r="AH62" i="124"/>
  <c r="AG62" i="124"/>
  <c r="AF62" i="124"/>
  <c r="AE62" i="124"/>
  <c r="AD62" i="124"/>
  <c r="AC62" i="124"/>
  <c r="AB62" i="124"/>
  <c r="AA62" i="124"/>
  <c r="Z62" i="124"/>
  <c r="Y62" i="124"/>
  <c r="X62" i="124"/>
  <c r="A62" i="124"/>
  <c r="BC62" i="124" s="1" a="1"/>
  <c r="BC62" i="124" s="1"/>
  <c r="AL61" i="124"/>
  <c r="AI61" i="124"/>
  <c r="AK61" i="124" s="1"/>
  <c r="AH61" i="124"/>
  <c r="AG61" i="124"/>
  <c r="AF61" i="124"/>
  <c r="AE61" i="124"/>
  <c r="AD61" i="124"/>
  <c r="AC61" i="124"/>
  <c r="AB61" i="124"/>
  <c r="AA61" i="124"/>
  <c r="Z61" i="124"/>
  <c r="Y61" i="124"/>
  <c r="X61" i="124"/>
  <c r="W61" i="124"/>
  <c r="A61" i="124"/>
  <c r="BA61" i="124" s="1" a="1"/>
  <c r="BA61" i="124" s="1"/>
  <c r="AL60" i="124"/>
  <c r="AI60" i="124"/>
  <c r="AK60" i="124" s="1"/>
  <c r="AM60" i="124" s="1"/>
  <c r="AH60" i="124"/>
  <c r="AG60" i="124"/>
  <c r="AF60" i="124"/>
  <c r="AE60" i="124"/>
  <c r="AD60" i="124"/>
  <c r="AC60" i="124"/>
  <c r="AB60" i="124"/>
  <c r="AA60" i="124"/>
  <c r="Z60" i="124"/>
  <c r="Y60" i="124"/>
  <c r="X60" i="124"/>
  <c r="W60" i="124"/>
  <c r="A60" i="124"/>
  <c r="BA60" i="124" s="1" a="1"/>
  <c r="BA60" i="124" s="1"/>
  <c r="AL59" i="124"/>
  <c r="AI59" i="124"/>
  <c r="AH59" i="124"/>
  <c r="AG59" i="124"/>
  <c r="AF59" i="124"/>
  <c r="AE59" i="124"/>
  <c r="AD59" i="124"/>
  <c r="AC59" i="124"/>
  <c r="AB59" i="124"/>
  <c r="AA59" i="124"/>
  <c r="Z59" i="124"/>
  <c r="Y59" i="124"/>
  <c r="X59" i="124"/>
  <c r="W59" i="124"/>
  <c r="A59" i="124"/>
  <c r="BA59" i="124" s="1" a="1"/>
  <c r="BA59" i="124" s="1"/>
  <c r="AL58" i="124"/>
  <c r="AI58" i="124"/>
  <c r="AH58" i="124"/>
  <c r="AG58" i="124"/>
  <c r="AF58" i="124"/>
  <c r="AE58" i="124"/>
  <c r="AD58" i="124"/>
  <c r="AC58" i="124"/>
  <c r="AB58" i="124"/>
  <c r="AA58" i="124"/>
  <c r="Z58" i="124"/>
  <c r="Y58" i="124"/>
  <c r="X58" i="124"/>
  <c r="W58" i="124"/>
  <c r="A58" i="124"/>
  <c r="AL57" i="124"/>
  <c r="AI57" i="124"/>
  <c r="AO57" i="124" s="1" a="1"/>
  <c r="AO57" i="124" s="1"/>
  <c r="AH57" i="124"/>
  <c r="AG57" i="124"/>
  <c r="AF57" i="124"/>
  <c r="AE57" i="124"/>
  <c r="AD57" i="124"/>
  <c r="AC57" i="124"/>
  <c r="AB57" i="124"/>
  <c r="AA57" i="124"/>
  <c r="Z57" i="124"/>
  <c r="Y57" i="124"/>
  <c r="X57" i="124"/>
  <c r="W57" i="124"/>
  <c r="A57" i="124"/>
  <c r="BC57" i="124" s="1" a="1"/>
  <c r="BC57" i="124" s="1"/>
  <c r="AL56" i="124"/>
  <c r="AI56" i="124"/>
  <c r="AK56" i="124" s="1"/>
  <c r="AH56" i="124"/>
  <c r="AG56" i="124"/>
  <c r="AF56" i="124"/>
  <c r="AE56" i="124"/>
  <c r="AD56" i="124"/>
  <c r="AC56" i="124"/>
  <c r="AB56" i="124"/>
  <c r="AA56" i="124"/>
  <c r="Z56" i="124"/>
  <c r="Y56" i="124"/>
  <c r="X56" i="124"/>
  <c r="W56" i="124"/>
  <c r="A56" i="124"/>
  <c r="AL55" i="124"/>
  <c r="AI55" i="124"/>
  <c r="AO55" i="124" s="1" a="1"/>
  <c r="AO55" i="124" s="1"/>
  <c r="AU55" i="124" s="1" a="1"/>
  <c r="AU55" i="124" s="1"/>
  <c r="AH55" i="124"/>
  <c r="AG55" i="124"/>
  <c r="AF55" i="124"/>
  <c r="AE55" i="124"/>
  <c r="AD55" i="124"/>
  <c r="AC55" i="124"/>
  <c r="AB55" i="124"/>
  <c r="AA55" i="124"/>
  <c r="Z55" i="124"/>
  <c r="Y55" i="124"/>
  <c r="X55" i="124"/>
  <c r="W55" i="124"/>
  <c r="A55" i="124"/>
  <c r="BA55" i="124" s="1" a="1"/>
  <c r="BA55" i="124" s="1"/>
  <c r="AL54" i="124"/>
  <c r="AI54" i="124"/>
  <c r="AH54" i="124"/>
  <c r="AG54" i="124"/>
  <c r="AF54" i="124"/>
  <c r="AE54" i="124"/>
  <c r="AD54" i="124"/>
  <c r="AC54" i="124"/>
  <c r="AB54" i="124"/>
  <c r="AA54" i="124"/>
  <c r="Z54" i="124"/>
  <c r="Y54" i="124"/>
  <c r="X54" i="124"/>
  <c r="W54" i="124"/>
  <c r="A54" i="124"/>
  <c r="BA54" i="124" s="1" a="1"/>
  <c r="BA54" i="124" s="1"/>
  <c r="AL53" i="124"/>
  <c r="AI53" i="124"/>
  <c r="AK53" i="124" s="1"/>
  <c r="AM53" i="124" s="1"/>
  <c r="AH53" i="124"/>
  <c r="AG53" i="124"/>
  <c r="AF53" i="124"/>
  <c r="AE53" i="124"/>
  <c r="AD53" i="124"/>
  <c r="AC53" i="124"/>
  <c r="AB53" i="124"/>
  <c r="AA53" i="124"/>
  <c r="Z53" i="124"/>
  <c r="Y53" i="124"/>
  <c r="X53" i="124"/>
  <c r="W53" i="124"/>
  <c r="A53" i="124"/>
  <c r="AL52" i="124"/>
  <c r="AI52" i="124"/>
  <c r="AJ52" i="124" s="1" a="1"/>
  <c r="AJ52" i="124" s="1"/>
  <c r="AN52" i="124" s="1" a="1"/>
  <c r="AN52" i="124" s="1"/>
  <c r="AH52" i="124"/>
  <c r="AG52" i="124"/>
  <c r="AF52" i="124"/>
  <c r="AE52" i="124"/>
  <c r="AD52" i="124"/>
  <c r="AC52" i="124"/>
  <c r="AB52" i="124"/>
  <c r="AA52" i="124"/>
  <c r="Z52" i="124"/>
  <c r="Y52" i="124"/>
  <c r="X52" i="124"/>
  <c r="W52" i="124"/>
  <c r="A52" i="124"/>
  <c r="BC52" i="124" s="1" a="1"/>
  <c r="BC52" i="124" s="1"/>
  <c r="AL51" i="124"/>
  <c r="AI51" i="124"/>
  <c r="AK51" i="124" s="1"/>
  <c r="AH51" i="124"/>
  <c r="AG51" i="124"/>
  <c r="AF51" i="124"/>
  <c r="AE51" i="124"/>
  <c r="AD51" i="124"/>
  <c r="AC51" i="124"/>
  <c r="AB51" i="124"/>
  <c r="AA51" i="124"/>
  <c r="Z51" i="124"/>
  <c r="Y51" i="124"/>
  <c r="X51" i="124"/>
  <c r="W51" i="124"/>
  <c r="A51" i="124"/>
  <c r="BA51" i="124" s="1" a="1"/>
  <c r="BA51" i="124" s="1"/>
  <c r="AL50" i="124"/>
  <c r="AI50" i="124"/>
  <c r="AJ50" i="124" s="1" a="1"/>
  <c r="AJ50" i="124" s="1"/>
  <c r="AH50" i="124"/>
  <c r="AG50" i="124"/>
  <c r="AF50" i="124"/>
  <c r="AE50" i="124"/>
  <c r="AD50" i="124"/>
  <c r="AC50" i="124"/>
  <c r="AB50" i="124"/>
  <c r="AA50" i="124"/>
  <c r="Z50" i="124"/>
  <c r="Y50" i="124"/>
  <c r="X50" i="124"/>
  <c r="W50" i="124"/>
  <c r="A50" i="124"/>
  <c r="BA50" i="124" s="1" a="1"/>
  <c r="BA50" i="124" s="1"/>
  <c r="AL49" i="124"/>
  <c r="AI49" i="124"/>
  <c r="AH49" i="124"/>
  <c r="AG49" i="124"/>
  <c r="AF49" i="124"/>
  <c r="AE49" i="124"/>
  <c r="AD49" i="124"/>
  <c r="AC49" i="124"/>
  <c r="AB49" i="124"/>
  <c r="AA49" i="124"/>
  <c r="Z49" i="124"/>
  <c r="Y49" i="124"/>
  <c r="X49" i="124"/>
  <c r="W49" i="124"/>
  <c r="A49" i="124"/>
  <c r="BC49" i="124" s="1" a="1"/>
  <c r="BC49" i="124" s="1"/>
  <c r="AL48" i="124"/>
  <c r="AI48" i="124"/>
  <c r="AH48" i="124"/>
  <c r="AG48" i="124"/>
  <c r="AF48" i="124"/>
  <c r="AE48" i="124"/>
  <c r="AD48" i="124"/>
  <c r="AC48" i="124"/>
  <c r="AB48" i="124"/>
  <c r="AA48" i="124"/>
  <c r="Z48" i="124"/>
  <c r="Y48" i="124"/>
  <c r="X48" i="124"/>
  <c r="W48" i="124"/>
  <c r="A48" i="124"/>
  <c r="AL47" i="124"/>
  <c r="AI47" i="124"/>
  <c r="AH47" i="124"/>
  <c r="AG47" i="124"/>
  <c r="AF47" i="124"/>
  <c r="AE47" i="124"/>
  <c r="AD47" i="124"/>
  <c r="AC47" i="124"/>
  <c r="AB47" i="124"/>
  <c r="AA47" i="124"/>
  <c r="Z47" i="124"/>
  <c r="Y47" i="124"/>
  <c r="X47" i="124"/>
  <c r="W47" i="124"/>
  <c r="A47" i="124"/>
  <c r="AL46" i="124"/>
  <c r="AI46" i="124"/>
  <c r="AK46" i="124" s="1"/>
  <c r="AH46" i="124"/>
  <c r="AG46" i="124"/>
  <c r="AF46" i="124"/>
  <c r="AE46" i="124"/>
  <c r="AD46" i="124"/>
  <c r="AC46" i="124"/>
  <c r="AB46" i="124"/>
  <c r="AA46" i="124"/>
  <c r="Z46" i="124"/>
  <c r="Y46" i="124"/>
  <c r="X46" i="124"/>
  <c r="W46" i="124"/>
  <c r="A46" i="124"/>
  <c r="BC45" i="124" a="1"/>
  <c r="BC45" i="124" s="1"/>
  <c r="AL45" i="124"/>
  <c r="AI45" i="124"/>
  <c r="AJ45" i="124" s="1" a="1"/>
  <c r="AJ45" i="124" s="1"/>
  <c r="AH45" i="124"/>
  <c r="AG45" i="124"/>
  <c r="AF45" i="124"/>
  <c r="AE45" i="124"/>
  <c r="AD45" i="124"/>
  <c r="AC45" i="124"/>
  <c r="AB45" i="124"/>
  <c r="AA45" i="124"/>
  <c r="Z45" i="124"/>
  <c r="Y45" i="124"/>
  <c r="X45" i="124"/>
  <c r="W45" i="124"/>
  <c r="A45" i="124"/>
  <c r="BA45" i="124" s="1" a="1"/>
  <c r="BA45" i="124" s="1"/>
  <c r="AL44" i="124"/>
  <c r="AI44" i="124"/>
  <c r="AO44" i="124" s="1" a="1"/>
  <c r="AO44" i="124" s="1"/>
  <c r="AH44" i="124"/>
  <c r="AG44" i="124"/>
  <c r="AF44" i="124"/>
  <c r="AE44" i="124"/>
  <c r="AD44" i="124"/>
  <c r="AC44" i="124"/>
  <c r="AB44" i="124"/>
  <c r="AA44" i="124"/>
  <c r="Z44" i="124"/>
  <c r="Y44" i="124"/>
  <c r="X44" i="124"/>
  <c r="W44" i="124"/>
  <c r="A44" i="124"/>
  <c r="AH43" i="124"/>
  <c r="AG43" i="124"/>
  <c r="AF43" i="124"/>
  <c r="AE43" i="124"/>
  <c r="AD43" i="124"/>
  <c r="AC43" i="124"/>
  <c r="AB43" i="124"/>
  <c r="AA43" i="124"/>
  <c r="Z43" i="124"/>
  <c r="Y43" i="124"/>
  <c r="X43" i="124"/>
  <c r="A43" i="124"/>
  <c r="AH42" i="124"/>
  <c r="AG42" i="124"/>
  <c r="AF42" i="124"/>
  <c r="AE42" i="124"/>
  <c r="AD42" i="124"/>
  <c r="AC42" i="124"/>
  <c r="AB42" i="124"/>
  <c r="AA42" i="124"/>
  <c r="Z42" i="124"/>
  <c r="Y42" i="124"/>
  <c r="X42" i="124"/>
  <c r="A42" i="124"/>
  <c r="AL41" i="124"/>
  <c r="AI41" i="124"/>
  <c r="AH41" i="124"/>
  <c r="AG41" i="124"/>
  <c r="AF41" i="124"/>
  <c r="AE41" i="124"/>
  <c r="AD41" i="124"/>
  <c r="AC41" i="124"/>
  <c r="AB41" i="124"/>
  <c r="AA41" i="124"/>
  <c r="Z41" i="124"/>
  <c r="Y41" i="124"/>
  <c r="X41" i="124"/>
  <c r="W41" i="124"/>
  <c r="A41" i="124"/>
  <c r="BA41" i="124" s="1" a="1"/>
  <c r="BA41" i="124" s="1"/>
  <c r="AL40" i="124"/>
  <c r="AI40" i="124"/>
  <c r="AO40" i="124" s="1" a="1"/>
  <c r="AO40" i="124" s="1"/>
  <c r="AH40" i="124"/>
  <c r="AG40" i="124"/>
  <c r="AF40" i="124"/>
  <c r="AE40" i="124"/>
  <c r="AD40" i="124"/>
  <c r="AC40" i="124"/>
  <c r="AB40" i="124"/>
  <c r="AA40" i="124"/>
  <c r="Z40" i="124"/>
  <c r="Y40" i="124"/>
  <c r="X40" i="124"/>
  <c r="W40" i="124"/>
  <c r="A40" i="124"/>
  <c r="BC40" i="124" s="1" a="1"/>
  <c r="BC40" i="124" s="1"/>
  <c r="AL39" i="124"/>
  <c r="AI39" i="124"/>
  <c r="AH39" i="124"/>
  <c r="AG39" i="124"/>
  <c r="AF39" i="124"/>
  <c r="AE39" i="124"/>
  <c r="AD39" i="124"/>
  <c r="AC39" i="124"/>
  <c r="AB39" i="124"/>
  <c r="AA39" i="124"/>
  <c r="Z39" i="124"/>
  <c r="Y39" i="124"/>
  <c r="X39" i="124"/>
  <c r="W39" i="124"/>
  <c r="A39" i="124"/>
  <c r="BC39" i="124" s="1" a="1"/>
  <c r="BC39" i="124" s="1"/>
  <c r="AL38" i="124"/>
  <c r="AI38" i="124"/>
  <c r="AH38" i="124"/>
  <c r="AG38" i="124"/>
  <c r="AF38" i="124"/>
  <c r="AE38" i="124"/>
  <c r="AD38" i="124"/>
  <c r="AC38" i="124"/>
  <c r="AB38" i="124"/>
  <c r="AA38" i="124"/>
  <c r="Z38" i="124"/>
  <c r="Y38" i="124"/>
  <c r="X38" i="124"/>
  <c r="W38" i="124"/>
  <c r="A38" i="124"/>
  <c r="AL37" i="124"/>
  <c r="AI37" i="124"/>
  <c r="AH37" i="124"/>
  <c r="AG37" i="124"/>
  <c r="AF37" i="124"/>
  <c r="AE37" i="124"/>
  <c r="AD37" i="124"/>
  <c r="AC37" i="124"/>
  <c r="AB37" i="124"/>
  <c r="AA37" i="124"/>
  <c r="Z37" i="124"/>
  <c r="Y37" i="124"/>
  <c r="X37" i="124"/>
  <c r="W37" i="124"/>
  <c r="A37" i="124"/>
  <c r="BC37" i="124" s="1" a="1"/>
  <c r="BC37" i="124" s="1"/>
  <c r="BC36" i="124" a="1"/>
  <c r="BC36" i="124" s="1"/>
  <c r="AL36" i="124"/>
  <c r="AI36" i="124"/>
  <c r="AO36" i="124" s="1" a="1"/>
  <c r="AO36" i="124" s="1"/>
  <c r="AH36" i="124"/>
  <c r="AG36" i="124"/>
  <c r="AF36" i="124"/>
  <c r="AE36" i="124"/>
  <c r="AD36" i="124"/>
  <c r="AC36" i="124"/>
  <c r="AB36" i="124"/>
  <c r="AA36" i="124"/>
  <c r="Z36" i="124"/>
  <c r="Y36" i="124"/>
  <c r="X36" i="124"/>
  <c r="W36" i="124"/>
  <c r="A36" i="124"/>
  <c r="AL35" i="124"/>
  <c r="AI35" i="124"/>
  <c r="AO35" i="124" s="1" a="1"/>
  <c r="AO35" i="124" s="1"/>
  <c r="AP35" i="124" s="1" a="1"/>
  <c r="AP35" i="124" s="1"/>
  <c r="AH35" i="124"/>
  <c r="AG35" i="124"/>
  <c r="AF35" i="124"/>
  <c r="AE35" i="124"/>
  <c r="AD35" i="124"/>
  <c r="AC35" i="124"/>
  <c r="AB35" i="124"/>
  <c r="AA35" i="124"/>
  <c r="Z35" i="124"/>
  <c r="Y35" i="124"/>
  <c r="X35" i="124"/>
  <c r="W35" i="124"/>
  <c r="A35" i="124"/>
  <c r="BC35" i="124" s="1" a="1"/>
  <c r="BC35" i="124" s="1"/>
  <c r="AL34" i="124"/>
  <c r="AI34" i="124"/>
  <c r="AH34" i="124"/>
  <c r="AG34" i="124"/>
  <c r="AF34" i="124"/>
  <c r="AE34" i="124"/>
  <c r="AD34" i="124"/>
  <c r="AC34" i="124"/>
  <c r="AB34" i="124"/>
  <c r="AA34" i="124"/>
  <c r="Z34" i="124"/>
  <c r="Y34" i="124"/>
  <c r="X34" i="124"/>
  <c r="W34" i="124"/>
  <c r="A34" i="124"/>
  <c r="AL33" i="124"/>
  <c r="AI33" i="124"/>
  <c r="AJ33" i="124" s="1" a="1"/>
  <c r="AJ33" i="124" s="1"/>
  <c r="AN33" i="124" s="1" a="1"/>
  <c r="AN33" i="124" s="1"/>
  <c r="AH33" i="124"/>
  <c r="AG33" i="124"/>
  <c r="AF33" i="124"/>
  <c r="AE33" i="124"/>
  <c r="AD33" i="124"/>
  <c r="AC33" i="124"/>
  <c r="AB33" i="124"/>
  <c r="AA33" i="124"/>
  <c r="Z33" i="124"/>
  <c r="Y33" i="124"/>
  <c r="X33" i="124"/>
  <c r="W33" i="124"/>
  <c r="A33" i="124"/>
  <c r="BC33" i="124" s="1" a="1"/>
  <c r="BC33" i="124" s="1"/>
  <c r="AL32" i="124"/>
  <c r="AI32" i="124"/>
  <c r="AH32" i="124"/>
  <c r="AG32" i="124"/>
  <c r="AF32" i="124"/>
  <c r="AE32" i="124"/>
  <c r="AD32" i="124"/>
  <c r="AC32" i="124"/>
  <c r="AB32" i="124"/>
  <c r="AA32" i="124"/>
  <c r="Z32" i="124"/>
  <c r="Y32" i="124"/>
  <c r="X32" i="124"/>
  <c r="W32" i="124"/>
  <c r="A32" i="124"/>
  <c r="BC31" i="124" a="1"/>
  <c r="BC31" i="124" s="1"/>
  <c r="BA31" i="124" a="1"/>
  <c r="BA31" i="124" s="1"/>
  <c r="AL31" i="124"/>
  <c r="AI31" i="124"/>
  <c r="AO31" i="124" s="1" a="1"/>
  <c r="AO31" i="124" s="1"/>
  <c r="AH31" i="124"/>
  <c r="AG31" i="124"/>
  <c r="AF31" i="124"/>
  <c r="AE31" i="124"/>
  <c r="AD31" i="124"/>
  <c r="AC31" i="124"/>
  <c r="AB31" i="124"/>
  <c r="AA31" i="124"/>
  <c r="Z31" i="124"/>
  <c r="Y31" i="124"/>
  <c r="X31" i="124"/>
  <c r="W31" i="124"/>
  <c r="A31" i="124"/>
  <c r="AL30" i="124"/>
  <c r="AI30" i="124"/>
  <c r="AH30" i="124"/>
  <c r="AG30" i="124"/>
  <c r="AF30" i="124"/>
  <c r="AE30" i="124"/>
  <c r="AD30" i="124"/>
  <c r="AC30" i="124"/>
  <c r="AB30" i="124"/>
  <c r="AA30" i="124"/>
  <c r="Z30" i="124"/>
  <c r="Y30" i="124"/>
  <c r="X30" i="124"/>
  <c r="W30" i="124"/>
  <c r="A30" i="124"/>
  <c r="AL29" i="124"/>
  <c r="AI29" i="124"/>
  <c r="AK29" i="124" s="1"/>
  <c r="AH29" i="124"/>
  <c r="AG29" i="124"/>
  <c r="AF29" i="124"/>
  <c r="AE29" i="124"/>
  <c r="AD29" i="124"/>
  <c r="AC29" i="124"/>
  <c r="AB29" i="124"/>
  <c r="AA29" i="124"/>
  <c r="Z29" i="124"/>
  <c r="Y29" i="124"/>
  <c r="X29" i="124"/>
  <c r="W29" i="124"/>
  <c r="A29" i="124"/>
  <c r="AL28" i="124"/>
  <c r="AI28" i="124"/>
  <c r="AH28" i="124"/>
  <c r="AG28" i="124"/>
  <c r="AF28" i="124"/>
  <c r="AE28" i="124"/>
  <c r="AD28" i="124"/>
  <c r="AC28" i="124"/>
  <c r="AB28" i="124"/>
  <c r="AA28" i="124"/>
  <c r="Z28" i="124"/>
  <c r="Y28" i="124"/>
  <c r="X28" i="124"/>
  <c r="W28" i="124"/>
  <c r="A28" i="124"/>
  <c r="BC28" i="124" s="1" a="1"/>
  <c r="BC28" i="124" s="1"/>
  <c r="AL27" i="124"/>
  <c r="AI27" i="124"/>
  <c r="AH27" i="124"/>
  <c r="AG27" i="124"/>
  <c r="AF27" i="124"/>
  <c r="AE27" i="124"/>
  <c r="AD27" i="124"/>
  <c r="AC27" i="124"/>
  <c r="AB27" i="124"/>
  <c r="AA27" i="124"/>
  <c r="Z27" i="124"/>
  <c r="Y27" i="124"/>
  <c r="X27" i="124"/>
  <c r="W27" i="124"/>
  <c r="A27" i="124"/>
  <c r="BC27" i="124" s="1" a="1"/>
  <c r="BC27" i="124" s="1"/>
  <c r="BC26" i="124" a="1"/>
  <c r="BC26" i="124" s="1"/>
  <c r="AL26" i="124"/>
  <c r="AI26" i="124"/>
  <c r="AJ26" i="124" s="1" a="1"/>
  <c r="AJ26" i="124" s="1"/>
  <c r="AH26" i="124"/>
  <c r="AG26" i="124"/>
  <c r="AF26" i="124"/>
  <c r="AE26" i="124"/>
  <c r="AD26" i="124"/>
  <c r="AC26" i="124"/>
  <c r="AB26" i="124"/>
  <c r="AA26" i="124"/>
  <c r="Z26" i="124"/>
  <c r="Y26" i="124"/>
  <c r="X26" i="124"/>
  <c r="W26" i="124"/>
  <c r="A26" i="124"/>
  <c r="BA26" i="124" s="1" a="1"/>
  <c r="BA26" i="124" s="1"/>
  <c r="BC25" i="124" a="1"/>
  <c r="BC25" i="124" s="1"/>
  <c r="AL25" i="124"/>
  <c r="AI25" i="124"/>
  <c r="AH25" i="124"/>
  <c r="AG25" i="124"/>
  <c r="AF25" i="124"/>
  <c r="AE25" i="124"/>
  <c r="AD25" i="124"/>
  <c r="AC25" i="124"/>
  <c r="AB25" i="124"/>
  <c r="AA25" i="124"/>
  <c r="Z25" i="124"/>
  <c r="Y25" i="124"/>
  <c r="X25" i="124"/>
  <c r="W25" i="124"/>
  <c r="A25" i="124"/>
  <c r="BA25" i="124" s="1" a="1"/>
  <c r="BA25" i="124" s="1"/>
  <c r="BC24" i="124" a="1"/>
  <c r="BC24" i="124" s="1"/>
  <c r="AL24" i="124"/>
  <c r="AI24" i="124"/>
  <c r="AK24" i="124" s="1"/>
  <c r="AH24" i="124"/>
  <c r="AG24" i="124"/>
  <c r="AF24" i="124"/>
  <c r="AE24" i="124"/>
  <c r="AD24" i="124"/>
  <c r="AC24" i="124"/>
  <c r="AB24" i="124"/>
  <c r="AA24" i="124"/>
  <c r="Z24" i="124"/>
  <c r="Y24" i="124"/>
  <c r="X24" i="124"/>
  <c r="W24" i="124"/>
  <c r="A24" i="124"/>
  <c r="AH23" i="124"/>
  <c r="AG23" i="124"/>
  <c r="AF23" i="124"/>
  <c r="AE23" i="124"/>
  <c r="AD23" i="124"/>
  <c r="AC23" i="124"/>
  <c r="AB23" i="124"/>
  <c r="AA23" i="124"/>
  <c r="Z23" i="124"/>
  <c r="Y23" i="124"/>
  <c r="X23" i="124"/>
  <c r="A23" i="124"/>
  <c r="AH22" i="124"/>
  <c r="AG22" i="124"/>
  <c r="AF22" i="124"/>
  <c r="AE22" i="124"/>
  <c r="AD22" i="124"/>
  <c r="AC22" i="124"/>
  <c r="AB22" i="124"/>
  <c r="AA22" i="124"/>
  <c r="Z22" i="124"/>
  <c r="Y22" i="124"/>
  <c r="X22" i="124"/>
  <c r="W22" i="124"/>
  <c r="A22" i="124"/>
  <c r="AL21" i="124"/>
  <c r="AI21" i="124"/>
  <c r="AH21" i="124"/>
  <c r="AG21" i="124"/>
  <c r="AF21" i="124"/>
  <c r="AE21" i="124"/>
  <c r="AD21" i="124"/>
  <c r="AC21" i="124"/>
  <c r="AB21" i="124"/>
  <c r="AA21" i="124"/>
  <c r="Z21" i="124"/>
  <c r="Y21" i="124"/>
  <c r="X21" i="124"/>
  <c r="W21" i="124"/>
  <c r="A21" i="124"/>
  <c r="BA21" i="124" s="1" a="1"/>
  <c r="BA21" i="124" s="1"/>
  <c r="BC20" i="124" a="1"/>
  <c r="BC20" i="124" s="1"/>
  <c r="BA20" i="124" a="1"/>
  <c r="BA20" i="124" s="1"/>
  <c r="AL20" i="124"/>
  <c r="AI20" i="124"/>
  <c r="AH20" i="124"/>
  <c r="AG20" i="124"/>
  <c r="AF20" i="124"/>
  <c r="AE20" i="124"/>
  <c r="AD20" i="124"/>
  <c r="AC20" i="124"/>
  <c r="AB20" i="124"/>
  <c r="AA20" i="124"/>
  <c r="Z20" i="124"/>
  <c r="Y20" i="124"/>
  <c r="X20" i="124"/>
  <c r="W20" i="124"/>
  <c r="A20" i="124"/>
  <c r="BA19" i="124" a="1"/>
  <c r="BA19" i="124" s="1"/>
  <c r="AL19" i="124"/>
  <c r="AI19" i="124"/>
  <c r="AK19" i="124" s="1"/>
  <c r="AH19" i="124"/>
  <c r="AG19" i="124"/>
  <c r="AF19" i="124"/>
  <c r="AE19" i="124"/>
  <c r="AD19" i="124"/>
  <c r="AC19" i="124"/>
  <c r="AB19" i="124"/>
  <c r="AA19" i="124"/>
  <c r="Z19" i="124"/>
  <c r="Y19" i="124"/>
  <c r="X19" i="124"/>
  <c r="W19" i="124"/>
  <c r="A19" i="124"/>
  <c r="AL18" i="124"/>
  <c r="AI18" i="124"/>
  <c r="AH18" i="124"/>
  <c r="AG18" i="124"/>
  <c r="AF18" i="124"/>
  <c r="AE18" i="124"/>
  <c r="AD18" i="124"/>
  <c r="AC18" i="124"/>
  <c r="AB18" i="124"/>
  <c r="AA18" i="124"/>
  <c r="Z18" i="124"/>
  <c r="Y18" i="124"/>
  <c r="X18" i="124"/>
  <c r="W18" i="124"/>
  <c r="A18" i="124"/>
  <c r="AL17" i="124"/>
  <c r="AI17" i="124"/>
  <c r="AO17" i="124" s="1" a="1"/>
  <c r="AO17" i="124" s="1"/>
  <c r="AH17" i="124"/>
  <c r="AG17" i="124"/>
  <c r="AF17" i="124"/>
  <c r="AE17" i="124"/>
  <c r="AD17" i="124"/>
  <c r="AC17" i="124"/>
  <c r="AB17" i="124"/>
  <c r="AA17" i="124"/>
  <c r="Z17" i="124"/>
  <c r="Y17" i="124"/>
  <c r="X17" i="124"/>
  <c r="W17" i="124"/>
  <c r="A17" i="124"/>
  <c r="BC17" i="124" s="1" a="1"/>
  <c r="BC17" i="124" s="1"/>
  <c r="AL16" i="124"/>
  <c r="AI16" i="124"/>
  <c r="AH16" i="124"/>
  <c r="AG16" i="124"/>
  <c r="AF16" i="124"/>
  <c r="AE16" i="124"/>
  <c r="AD16" i="124"/>
  <c r="AC16" i="124"/>
  <c r="AB16" i="124"/>
  <c r="AA16" i="124"/>
  <c r="Z16" i="124"/>
  <c r="Y16" i="124"/>
  <c r="X16" i="124"/>
  <c r="W16" i="124"/>
  <c r="A16" i="124"/>
  <c r="BA16" i="124" s="1" a="1"/>
  <c r="BA16" i="124" s="1"/>
  <c r="AL15" i="124"/>
  <c r="AI15" i="124"/>
  <c r="AO15" i="124" s="1" a="1"/>
  <c r="AO15" i="124" s="1"/>
  <c r="AH15" i="124"/>
  <c r="AG15" i="124"/>
  <c r="AF15" i="124"/>
  <c r="AE15" i="124"/>
  <c r="AD15" i="124"/>
  <c r="AC15" i="124"/>
  <c r="AB15" i="124"/>
  <c r="AA15" i="124"/>
  <c r="Z15" i="124"/>
  <c r="Y15" i="124"/>
  <c r="X15" i="124"/>
  <c r="W15" i="124"/>
  <c r="A15" i="124"/>
  <c r="BC15" i="124" s="1" a="1"/>
  <c r="BC15" i="124" s="1"/>
  <c r="AL14" i="124"/>
  <c r="AI14" i="124"/>
  <c r="AO14" i="124" s="1" a="1"/>
  <c r="AO14" i="124" s="1"/>
  <c r="AH14" i="124"/>
  <c r="AG14" i="124"/>
  <c r="AF14" i="124"/>
  <c r="AE14" i="124"/>
  <c r="AD14" i="124"/>
  <c r="AC14" i="124"/>
  <c r="AB14" i="124"/>
  <c r="AA14" i="124"/>
  <c r="Z14" i="124"/>
  <c r="Y14" i="124"/>
  <c r="X14" i="124"/>
  <c r="W14" i="124"/>
  <c r="A14" i="124"/>
  <c r="AL13" i="124"/>
  <c r="AI13" i="124"/>
  <c r="AH13" i="124"/>
  <c r="AG13" i="124"/>
  <c r="AF13" i="124"/>
  <c r="AE13" i="124"/>
  <c r="AD13" i="124"/>
  <c r="AC13" i="124"/>
  <c r="AB13" i="124"/>
  <c r="AA13" i="124"/>
  <c r="Z13" i="124"/>
  <c r="Y13" i="124"/>
  <c r="X13" i="124"/>
  <c r="W13" i="124"/>
  <c r="A13" i="124"/>
  <c r="BC13" i="124" s="1" a="1"/>
  <c r="BC13" i="124" s="1"/>
  <c r="AL12" i="124"/>
  <c r="AI12" i="124"/>
  <c r="AH12" i="124"/>
  <c r="AG12" i="124"/>
  <c r="AF12" i="124"/>
  <c r="AE12" i="124"/>
  <c r="AD12" i="124"/>
  <c r="AC12" i="124"/>
  <c r="AB12" i="124"/>
  <c r="AA12" i="124"/>
  <c r="Z12" i="124"/>
  <c r="Y12" i="124"/>
  <c r="X12" i="124"/>
  <c r="W12" i="124"/>
  <c r="A12" i="124"/>
  <c r="BC12" i="124" s="1" a="1"/>
  <c r="BC12" i="124" s="1"/>
  <c r="AL11" i="124"/>
  <c r="AI11" i="124"/>
  <c r="AH11" i="124"/>
  <c r="AG11" i="124"/>
  <c r="AF11" i="124"/>
  <c r="AE11" i="124"/>
  <c r="AD11" i="124"/>
  <c r="AC11" i="124"/>
  <c r="AB11" i="124"/>
  <c r="AA11" i="124"/>
  <c r="Z11" i="124"/>
  <c r="Y11" i="124"/>
  <c r="X11" i="124"/>
  <c r="W11" i="124"/>
  <c r="A11" i="124"/>
  <c r="AL10" i="124"/>
  <c r="AI10" i="124"/>
  <c r="AO10" i="124" s="1" a="1"/>
  <c r="AO10" i="124" s="1"/>
  <c r="AP10" i="124" s="1" a="1"/>
  <c r="AP10" i="124" s="1"/>
  <c r="AH10" i="124"/>
  <c r="AG10" i="124"/>
  <c r="AF10" i="124"/>
  <c r="AE10" i="124"/>
  <c r="AD10" i="124"/>
  <c r="AC10" i="124"/>
  <c r="AB10" i="124"/>
  <c r="AA10" i="124"/>
  <c r="Z10" i="124"/>
  <c r="Y10" i="124"/>
  <c r="X10" i="124"/>
  <c r="W10" i="124"/>
  <c r="A10" i="124"/>
  <c r="BA10" i="124" s="1" a="1"/>
  <c r="BA10" i="124" s="1"/>
  <c r="AL9" i="124"/>
  <c r="AI9" i="124"/>
  <c r="AO9" i="124" s="1" a="1"/>
  <c r="AO9" i="124" s="1"/>
  <c r="AS9" i="124" s="1"/>
  <c r="AT9" i="124" s="1" a="1"/>
  <c r="AT9" i="124" s="1"/>
  <c r="AH9" i="124"/>
  <c r="AG9" i="124"/>
  <c r="AF9" i="124"/>
  <c r="AE9" i="124"/>
  <c r="AD9" i="124"/>
  <c r="AC9" i="124"/>
  <c r="AB9" i="124"/>
  <c r="AA9" i="124"/>
  <c r="Z9" i="124"/>
  <c r="Y9" i="124"/>
  <c r="X9" i="124"/>
  <c r="W9" i="124"/>
  <c r="A9" i="124"/>
  <c r="AL8" i="124"/>
  <c r="AI8" i="124"/>
  <c r="AJ8" i="124" s="1" a="1"/>
  <c r="AJ8" i="124" s="1"/>
  <c r="AN8" i="124" s="1" a="1"/>
  <c r="AN8" i="124" s="1"/>
  <c r="AH8" i="124"/>
  <c r="AG8" i="124"/>
  <c r="AF8" i="124"/>
  <c r="AE8" i="124"/>
  <c r="AD8" i="124"/>
  <c r="AC8" i="124"/>
  <c r="AB8" i="124"/>
  <c r="AA8" i="124"/>
  <c r="Z8" i="124"/>
  <c r="Y8" i="124"/>
  <c r="X8" i="124"/>
  <c r="W8" i="124"/>
  <c r="A8" i="124"/>
  <c r="BC8" i="124" s="1" a="1"/>
  <c r="BC8" i="124" s="1"/>
  <c r="AL7" i="124"/>
  <c r="AI7" i="124"/>
  <c r="AO7" i="124" s="1" a="1"/>
  <c r="AO7" i="124" s="1"/>
  <c r="AH7" i="124"/>
  <c r="AG7" i="124"/>
  <c r="AF7" i="124"/>
  <c r="AE7" i="124"/>
  <c r="AD7" i="124"/>
  <c r="AC7" i="124"/>
  <c r="AB7" i="124"/>
  <c r="AA7" i="124"/>
  <c r="Z7" i="124"/>
  <c r="Y7" i="124"/>
  <c r="X7" i="124"/>
  <c r="W7" i="124"/>
  <c r="A7" i="124"/>
  <c r="BC7" i="124" s="1" a="1"/>
  <c r="BC7" i="124" s="1"/>
  <c r="AL6" i="124"/>
  <c r="AI6" i="124"/>
  <c r="AK6" i="124" s="1"/>
  <c r="AH6" i="124"/>
  <c r="AG6" i="124"/>
  <c r="AF6" i="124"/>
  <c r="AE6" i="124"/>
  <c r="AD6" i="124"/>
  <c r="AC6" i="124"/>
  <c r="AB6" i="124"/>
  <c r="AA6" i="124"/>
  <c r="Z6" i="124"/>
  <c r="Y6" i="124"/>
  <c r="X6" i="124"/>
  <c r="W6" i="124"/>
  <c r="A6" i="124"/>
  <c r="AL5" i="124"/>
  <c r="AI5" i="124"/>
  <c r="AO5" i="124" s="1" a="1"/>
  <c r="AO5" i="124" s="1"/>
  <c r="AP5" i="124" s="1" a="1"/>
  <c r="AP5" i="124" s="1"/>
  <c r="AH5" i="124"/>
  <c r="AG5" i="124"/>
  <c r="AF5" i="124"/>
  <c r="AE5" i="124"/>
  <c r="AD5" i="124"/>
  <c r="AC5" i="124"/>
  <c r="AB5" i="124"/>
  <c r="AA5" i="124"/>
  <c r="Z5" i="124"/>
  <c r="Y5" i="124"/>
  <c r="X5" i="124"/>
  <c r="W5" i="124"/>
  <c r="A5" i="124"/>
  <c r="AL4" i="124"/>
  <c r="AI4" i="124"/>
  <c r="AK4" i="124" s="1"/>
  <c r="AH4" i="124"/>
  <c r="AG4" i="124"/>
  <c r="AF4" i="124"/>
  <c r="AE4" i="124"/>
  <c r="AD4" i="124"/>
  <c r="AC4" i="124"/>
  <c r="AB4" i="124"/>
  <c r="AA4" i="124"/>
  <c r="Z4" i="124"/>
  <c r="Y4" i="124"/>
  <c r="X4" i="124"/>
  <c r="W4" i="124"/>
  <c r="A4" i="124"/>
  <c r="BG1" i="124"/>
  <c r="BC197" i="124" l="1" a="1"/>
  <c r="BC197" i="124" s="1"/>
  <c r="BA35" i="124" a="1"/>
  <c r="BA35" i="124" s="1"/>
  <c r="BC80" i="124" a="1"/>
  <c r="BC80" i="124" s="1"/>
  <c r="BC108" i="124" a="1"/>
  <c r="BC108" i="124" s="1"/>
  <c r="BA116" i="124" a="1"/>
  <c r="BA116" i="124" s="1"/>
  <c r="BA157" i="124" a="1"/>
  <c r="BA157" i="124" s="1"/>
  <c r="BA17" i="124" a="1"/>
  <c r="BA17" i="124" s="1"/>
  <c r="BC59" i="124" a="1"/>
  <c r="BC59" i="124" s="1"/>
  <c r="BA79" i="124" a="1"/>
  <c r="BA79" i="124" s="1"/>
  <c r="BC50" i="124" a="1"/>
  <c r="BC50" i="124" s="1"/>
  <c r="BA152" i="124" a="1"/>
  <c r="BA152" i="124" s="1"/>
  <c r="BC16" i="124" a="1"/>
  <c r="BC16" i="124" s="1"/>
  <c r="BC21" i="124" a="1"/>
  <c r="BC21" i="124" s="1"/>
  <c r="BC54" i="124" a="1"/>
  <c r="BC54" i="124" s="1"/>
  <c r="BC70" i="124" a="1"/>
  <c r="BC70" i="124" s="1"/>
  <c r="BA195" i="124" a="1"/>
  <c r="BA195" i="124" s="1"/>
  <c r="BC85" i="124" a="1"/>
  <c r="BC85" i="124" s="1"/>
  <c r="BA52" i="124" a="1"/>
  <c r="BA52" i="124" s="1"/>
  <c r="BC193" i="124" a="1"/>
  <c r="BC193" i="124" s="1"/>
  <c r="BA158" i="124" a="1"/>
  <c r="BA158" i="124" s="1"/>
  <c r="BA183" i="124" a="1"/>
  <c r="BA183" i="124" s="1"/>
  <c r="BA135" i="124" a="1"/>
  <c r="BA135" i="124" s="1"/>
  <c r="BA153" i="124" a="1"/>
  <c r="BA153" i="124" s="1"/>
  <c r="BA170" i="124" a="1"/>
  <c r="BA170" i="124" s="1"/>
  <c r="BC183" i="124" a="1"/>
  <c r="BC183" i="124" s="1"/>
  <c r="BA215" i="124" a="1"/>
  <c r="BA215" i="124" s="1"/>
  <c r="BA223" i="124" a="1"/>
  <c r="BA223" i="124" s="1"/>
  <c r="BA13" i="124" a="1"/>
  <c r="BA13" i="124" s="1"/>
  <c r="BA32" i="124" a="1"/>
  <c r="BA32" i="124" s="1"/>
  <c r="BA47" i="124" a="1"/>
  <c r="BA47" i="124" s="1"/>
  <c r="BC135" i="124" a="1"/>
  <c r="BC135" i="124" s="1"/>
  <c r="BC19" i="124" a="1"/>
  <c r="BC19" i="124" s="1"/>
  <c r="BC32" i="124" a="1"/>
  <c r="BC32" i="124" s="1"/>
  <c r="BA38" i="124" a="1"/>
  <c r="BA38" i="124" s="1"/>
  <c r="BC47" i="124" a="1"/>
  <c r="BC47" i="124" s="1"/>
  <c r="BA175" i="124" a="1"/>
  <c r="BA175" i="124" s="1"/>
  <c r="BA214" i="124" a="1"/>
  <c r="BA214" i="124" s="1"/>
  <c r="BA7" i="124" a="1"/>
  <c r="BA7" i="124" s="1"/>
  <c r="BC38" i="124" a="1"/>
  <c r="BC38" i="124" s="1"/>
  <c r="BC214" i="124" a="1"/>
  <c r="BC214" i="124" s="1"/>
  <c r="BA12" i="124" a="1"/>
  <c r="BA12" i="124" s="1"/>
  <c r="BA42" i="124" a="1"/>
  <c r="BA42" i="124" s="1"/>
  <c r="BC191" i="124" a="1"/>
  <c r="BC191" i="124" s="1"/>
  <c r="BA30" i="124" a="1"/>
  <c r="BA30" i="124" s="1"/>
  <c r="BA37" i="124" a="1"/>
  <c r="BA37" i="124" s="1"/>
  <c r="BC75" i="124" a="1"/>
  <c r="BC75" i="124" s="1"/>
  <c r="BA100" i="124" a="1"/>
  <c r="BA100" i="124" s="1"/>
  <c r="BA104" i="124" a="1"/>
  <c r="BA104" i="124" s="1"/>
  <c r="BA201" i="124" a="1"/>
  <c r="BA201" i="124" s="1"/>
  <c r="BA6" i="124" a="1"/>
  <c r="BA6" i="124" s="1"/>
  <c r="BC6" i="124" a="1"/>
  <c r="BC6" i="124" s="1"/>
  <c r="BA11" i="124" a="1"/>
  <c r="BA11" i="124" s="1"/>
  <c r="BC30" i="124" a="1"/>
  <c r="BC30" i="124" s="1"/>
  <c r="BC65" i="124" a="1"/>
  <c r="BC65" i="124" s="1"/>
  <c r="BC109" i="124" a="1"/>
  <c r="BC109" i="124" s="1"/>
  <c r="BA114" i="124" a="1"/>
  <c r="BA114" i="124" s="1"/>
  <c r="BA196" i="124" a="1"/>
  <c r="BA196" i="124" s="1"/>
  <c r="BC11" i="124" a="1"/>
  <c r="BC11" i="124" s="1"/>
  <c r="BC196" i="124" a="1"/>
  <c r="BC196" i="124" s="1"/>
  <c r="BC146" i="124" a="1"/>
  <c r="BC146" i="124" s="1"/>
  <c r="BA190" i="124" a="1"/>
  <c r="BA190" i="124" s="1"/>
  <c r="BA113" i="124" a="1"/>
  <c r="BA113" i="124" s="1"/>
  <c r="BA150" i="124" a="1"/>
  <c r="BA150" i="124" s="1"/>
  <c r="BC190" i="124" a="1"/>
  <c r="BC190" i="124" s="1"/>
  <c r="BA185" i="124" a="1"/>
  <c r="BA185" i="124" s="1"/>
  <c r="BA208" i="124" a="1"/>
  <c r="BA208" i="124" s="1"/>
  <c r="BC229" i="124" a="1"/>
  <c r="BC229" i="124" s="1"/>
  <c r="BA177" i="124" a="1"/>
  <c r="BA177" i="124" s="1"/>
  <c r="BA211" i="124" a="1"/>
  <c r="BA211" i="124" s="1"/>
  <c r="BC221" i="124" a="1"/>
  <c r="BC221" i="124" s="1"/>
  <c r="BA238" i="124" a="1"/>
  <c r="BA238" i="124" s="1"/>
  <c r="BA15" i="124" a="1"/>
  <c r="BA15" i="124" s="1"/>
  <c r="BC22" i="124" a="1"/>
  <c r="BC22" i="124" s="1"/>
  <c r="BA28" i="124" a="1"/>
  <c r="BA28" i="124" s="1"/>
  <c r="BC55" i="124" a="1"/>
  <c r="BC55" i="124" s="1"/>
  <c r="BC60" i="124" a="1"/>
  <c r="BC60" i="124" s="1"/>
  <c r="BA149" i="124" a="1"/>
  <c r="BA149" i="124" s="1"/>
  <c r="BA172" i="124" a="1"/>
  <c r="BA172" i="124" s="1"/>
  <c r="BC211" i="124" a="1"/>
  <c r="BC211" i="124" s="1"/>
  <c r="BC238" i="124" a="1"/>
  <c r="BC238" i="124" s="1"/>
  <c r="BA22" i="124" a="1"/>
  <c r="BA22" i="124" s="1"/>
  <c r="BA49" i="124" a="1"/>
  <c r="BA49" i="124" s="1"/>
  <c r="BA27" i="124" a="1"/>
  <c r="BA27" i="124" s="1"/>
  <c r="BA34" i="124" a="1"/>
  <c r="BA34" i="124" s="1"/>
  <c r="BA87" i="124" a="1"/>
  <c r="BA87" i="124" s="1"/>
  <c r="BA97" i="124" a="1"/>
  <c r="BA97" i="124" s="1"/>
  <c r="BC184" i="124" a="1"/>
  <c r="BC184" i="124" s="1"/>
  <c r="BC216" i="124" a="1"/>
  <c r="BC216" i="124" s="1"/>
  <c r="BC159" i="124" a="1"/>
  <c r="BC159" i="124" s="1"/>
  <c r="BC207" i="124" a="1"/>
  <c r="BC207" i="124" s="1"/>
  <c r="BA228" i="124" a="1"/>
  <c r="BA228" i="124" s="1"/>
  <c r="W1" i="123"/>
  <c r="AJ90" i="124" a="1"/>
  <c r="AJ90" i="124" s="1"/>
  <c r="AO95" i="124" a="1"/>
  <c r="AO95" i="124" s="1"/>
  <c r="AQ95" i="124" s="1"/>
  <c r="AO130" i="124" a="1"/>
  <c r="AO130" i="124" s="1"/>
  <c r="AP130" i="124" s="1" a="1"/>
  <c r="AP130" i="124" s="1"/>
  <c r="AJ56" i="124" a="1"/>
  <c r="AJ56" i="124" s="1"/>
  <c r="AN56" i="124" s="1" a="1"/>
  <c r="AN56" i="124" s="1"/>
  <c r="AM187" i="124"/>
  <c r="AJ55" i="124" a="1"/>
  <c r="AJ55" i="124" s="1"/>
  <c r="AN55" i="124" s="1" a="1"/>
  <c r="AN55" i="124" s="1"/>
  <c r="AO115" i="124" a="1"/>
  <c r="AO115" i="124" s="1"/>
  <c r="AP115" i="124" s="1" a="1"/>
  <c r="AP115" i="124" s="1"/>
  <c r="AJ127" i="124" a="1"/>
  <c r="AJ127" i="124" s="1"/>
  <c r="AN127" i="124" s="1" a="1"/>
  <c r="AN127" i="124" s="1"/>
  <c r="AM74" i="124"/>
  <c r="AK127" i="124"/>
  <c r="AO181" i="124" a="1"/>
  <c r="AO181" i="124" s="1"/>
  <c r="AQ181" i="124" s="1"/>
  <c r="AK151" i="124"/>
  <c r="AM151" i="124" s="1"/>
  <c r="AK214" i="124"/>
  <c r="AM214" i="124" s="1"/>
  <c r="AJ70" i="124" a="1"/>
  <c r="AJ70" i="124" s="1"/>
  <c r="AJ116" i="124" a="1"/>
  <c r="AJ116" i="124" s="1"/>
  <c r="AO173" i="124" a="1"/>
  <c r="AO173" i="124" s="1"/>
  <c r="AS173" i="124" s="1"/>
  <c r="AT173" i="124" s="1" a="1"/>
  <c r="AT173" i="124" s="1"/>
  <c r="AK95" i="124"/>
  <c r="AM95" i="124" s="1"/>
  <c r="AO180" i="124" a="1"/>
  <c r="AO180" i="124" s="1"/>
  <c r="AJ17" i="124" a="1"/>
  <c r="AJ17" i="124" s="1"/>
  <c r="AN17" i="124" s="1" a="1"/>
  <c r="AN17" i="124" s="1"/>
  <c r="AO26" i="124" a="1"/>
  <c r="AO26" i="124" s="1"/>
  <c r="AR26" i="124" s="1"/>
  <c r="AK55" i="124"/>
  <c r="AM55" i="124" s="1"/>
  <c r="AO8" i="124" a="1"/>
  <c r="AO8" i="124" s="1"/>
  <c r="AS8" i="124" s="1"/>
  <c r="AT8" i="124" s="1" a="1"/>
  <c r="AT8" i="124" s="1"/>
  <c r="AK89" i="124"/>
  <c r="AM89" i="124" s="1"/>
  <c r="AK124" i="124"/>
  <c r="AM124" i="124" s="1"/>
  <c r="AK88" i="124"/>
  <c r="AM88" i="124" s="1"/>
  <c r="AR5" i="124"/>
  <c r="AK17" i="124"/>
  <c r="AM17" i="124" s="1"/>
  <c r="AJ9" i="124" a="1"/>
  <c r="AJ9" i="124" s="1"/>
  <c r="AM4" i="124"/>
  <c r="AK220" i="124"/>
  <c r="AM220" i="124" s="1"/>
  <c r="AO117" i="124" a="1"/>
  <c r="AO117" i="124" s="1"/>
  <c r="AU117" i="124" s="1" a="1"/>
  <c r="AU117" i="124" s="1"/>
  <c r="AK10" i="124"/>
  <c r="AM10" i="124" s="1"/>
  <c r="AK99" i="124"/>
  <c r="AM99" i="124" s="1"/>
  <c r="AK115" i="124"/>
  <c r="AM115" i="124" s="1"/>
  <c r="AO70" i="124" a="1"/>
  <c r="AO70" i="124" s="1"/>
  <c r="AS70" i="124" s="1"/>
  <c r="AT70" i="124" s="1" a="1"/>
  <c r="AT70" i="124" s="1"/>
  <c r="AO93" i="124" a="1"/>
  <c r="AO93" i="124" s="1"/>
  <c r="AS93" i="124" s="1"/>
  <c r="AT93" i="124" s="1" a="1"/>
  <c r="AT93" i="124" s="1"/>
  <c r="AK114" i="124"/>
  <c r="AM114" i="124" s="1"/>
  <c r="AK128" i="124"/>
  <c r="AM128" i="124" s="1"/>
  <c r="AJ232" i="124" a="1"/>
  <c r="AJ232" i="124" s="1"/>
  <c r="AK120" i="124"/>
  <c r="AM120" i="124" s="1"/>
  <c r="AO133" i="124" a="1"/>
  <c r="AO133" i="124" s="1"/>
  <c r="AO98" i="124" a="1"/>
  <c r="AO98" i="124" s="1"/>
  <c r="AQ98" i="124" s="1"/>
  <c r="AJ151" i="124" a="1"/>
  <c r="AJ151" i="124" s="1"/>
  <c r="AN151" i="124" s="1" a="1"/>
  <c r="AN151" i="124" s="1"/>
  <c r="AK80" i="124"/>
  <c r="AM80" i="124" s="1"/>
  <c r="AN131" i="124" a="1"/>
  <c r="AN131" i="124" s="1"/>
  <c r="AJ144" i="124" a="1"/>
  <c r="AJ144" i="124" s="1"/>
  <c r="AN144" i="124" s="1" a="1"/>
  <c r="AN144" i="124" s="1"/>
  <c r="AK179" i="124"/>
  <c r="AM179" i="124" s="1"/>
  <c r="AK35" i="124"/>
  <c r="AM35" i="124" s="1"/>
  <c r="AK45" i="124"/>
  <c r="AM45" i="124" s="1"/>
  <c r="AO90" i="124" a="1"/>
  <c r="AO90" i="124" s="1"/>
  <c r="AU90" i="124" s="1" a="1"/>
  <c r="AU90" i="124" s="1"/>
  <c r="AK130" i="124"/>
  <c r="AM130" i="124" s="1"/>
  <c r="AK131" i="124"/>
  <c r="AM131" i="124" s="1"/>
  <c r="AO164" i="124" a="1"/>
  <c r="AO164" i="124" s="1"/>
  <c r="AO179" i="124" a="1"/>
  <c r="AO179" i="124" s="1"/>
  <c r="AP179" i="124" s="1" a="1"/>
  <c r="AP179" i="124" s="1"/>
  <c r="AK5" i="124"/>
  <c r="AM5" i="124" s="1"/>
  <c r="AQ5" i="124"/>
  <c r="AK20" i="124"/>
  <c r="AM20" i="124" s="1"/>
  <c r="AK78" i="124"/>
  <c r="AM78" i="124" s="1"/>
  <c r="AM173" i="124"/>
  <c r="AJ178" i="124" a="1"/>
  <c r="AJ178" i="124" s="1"/>
  <c r="AN178" i="124" s="1" a="1"/>
  <c r="AN178" i="124" s="1"/>
  <c r="AO188" i="124" a="1"/>
  <c r="AO188" i="124" s="1"/>
  <c r="AS188" i="124" s="1"/>
  <c r="AT188" i="124" s="1" a="1"/>
  <c r="AT188" i="124" s="1"/>
  <c r="AO157" i="124" a="1"/>
  <c r="AO157" i="124" s="1"/>
  <c r="AU157" i="124" s="1" a="1"/>
  <c r="AU157" i="124" s="1"/>
  <c r="AV157" i="124" s="1" a="1"/>
  <c r="AV157" i="124" s="1"/>
  <c r="AK157" i="124"/>
  <c r="AM157" i="124" s="1"/>
  <c r="AJ157" i="124" a="1"/>
  <c r="AJ157" i="124" s="1"/>
  <c r="AN157" i="124" s="1" a="1"/>
  <c r="AN157" i="124" s="1"/>
  <c r="AW55" i="124"/>
  <c r="AV55" i="124" a="1"/>
  <c r="AV55" i="124" s="1"/>
  <c r="AP110" i="124" a="1"/>
  <c r="AP110" i="124" s="1"/>
  <c r="AQ110" i="124"/>
  <c r="AU110" i="124" a="1"/>
  <c r="AU110" i="124" s="1"/>
  <c r="AW110" i="124" s="1"/>
  <c r="AR110" i="124"/>
  <c r="AJ46" i="124" a="1"/>
  <c r="AJ46" i="124" s="1"/>
  <c r="AN46" i="124" s="1" a="1"/>
  <c r="AN46" i="124" s="1"/>
  <c r="W83" i="124"/>
  <c r="AJ197" i="124" a="1"/>
  <c r="AJ197" i="124" s="1"/>
  <c r="AN197" i="124" s="1" a="1"/>
  <c r="AN197" i="124" s="1"/>
  <c r="AO12" i="124" a="1"/>
  <c r="AO12" i="124" s="1"/>
  <c r="AU12" i="124" s="1" a="1"/>
  <c r="AU12" i="124" s="1"/>
  <c r="AK13" i="124"/>
  <c r="AM13" i="124" s="1"/>
  <c r="AK44" i="124"/>
  <c r="AM44" i="124" s="1"/>
  <c r="AO80" i="124" a="1"/>
  <c r="AO80" i="124" s="1"/>
  <c r="AS80" i="124" s="1"/>
  <c r="AT80" i="124" s="1" a="1"/>
  <c r="AT80" i="124" s="1"/>
  <c r="AL102" i="124"/>
  <c r="AI108" i="124"/>
  <c r="AS110" i="124"/>
  <c r="AT110" i="124" s="1" a="1"/>
  <c r="AT110" i="124" s="1"/>
  <c r="AJ132" i="124" a="1"/>
  <c r="AJ132" i="124" s="1"/>
  <c r="AN132" i="124" s="1" a="1"/>
  <c r="AN132" i="124" s="1"/>
  <c r="AI142" i="124"/>
  <c r="AO142" i="124" s="1" a="1"/>
  <c r="AO142" i="124" s="1"/>
  <c r="AU142" i="124" s="1" a="1"/>
  <c r="AU142" i="124" s="1"/>
  <c r="AI176" i="124"/>
  <c r="AJ176" i="124" s="1" a="1"/>
  <c r="AJ176" i="124" s="1"/>
  <c r="AI184" i="124"/>
  <c r="AO184" i="124" s="1" a="1"/>
  <c r="AO184" i="124" s="1"/>
  <c r="AL185" i="124"/>
  <c r="AO187" i="124" a="1"/>
  <c r="AO187" i="124" s="1"/>
  <c r="AP187" i="124" s="1" a="1"/>
  <c r="AP187" i="124" s="1"/>
  <c r="AJ193" i="124" a="1"/>
  <c r="AJ193" i="124" s="1"/>
  <c r="AN193" i="124" s="1" a="1"/>
  <c r="AN193" i="124" s="1"/>
  <c r="AI196" i="124"/>
  <c r="AK196" i="124" s="1"/>
  <c r="AM196" i="124" s="1"/>
  <c r="AL197" i="124"/>
  <c r="AL198" i="124"/>
  <c r="AL210" i="124"/>
  <c r="AK219" i="124"/>
  <c r="AM219" i="124" s="1"/>
  <c r="AO220" i="124" a="1"/>
  <c r="AO220" i="124" s="1"/>
  <c r="W222" i="124"/>
  <c r="W232" i="124"/>
  <c r="AI43" i="124"/>
  <c r="AO45" i="124" a="1"/>
  <c r="AO45" i="124" s="1"/>
  <c r="AU45" i="124" s="1" a="1"/>
  <c r="AU45" i="124" s="1"/>
  <c r="AX45" i="124" s="1"/>
  <c r="W63" i="124"/>
  <c r="AO73" i="124" a="1"/>
  <c r="AO73" i="124" s="1"/>
  <c r="AQ73" i="124" s="1"/>
  <c r="AL132" i="124"/>
  <c r="AL142" i="124"/>
  <c r="W163" i="124"/>
  <c r="AL176" i="124"/>
  <c r="AL183" i="124"/>
  <c r="AL184" i="124"/>
  <c r="AO185" i="124" a="1"/>
  <c r="AO185" i="124" s="1"/>
  <c r="AR185" i="124" s="1"/>
  <c r="AL196" i="124"/>
  <c r="AI203" i="124"/>
  <c r="AK203" i="124" s="1"/>
  <c r="AM203" i="124" s="1"/>
  <c r="AO13" i="124" a="1"/>
  <c r="AO13" i="124" s="1"/>
  <c r="AU13" i="124" s="1" a="1"/>
  <c r="AU13" i="124" s="1"/>
  <c r="AJ35" i="124" a="1"/>
  <c r="AJ35" i="124" s="1"/>
  <c r="AN35" i="124" s="1" a="1"/>
  <c r="AN35" i="124" s="1"/>
  <c r="W82" i="124"/>
  <c r="AK101" i="124"/>
  <c r="AM101" i="124" s="1"/>
  <c r="AO193" i="124" a="1"/>
  <c r="AO193" i="124" s="1"/>
  <c r="AS193" i="124" s="1"/>
  <c r="AT193" i="124" s="1" a="1"/>
  <c r="AT193" i="124" s="1"/>
  <c r="AL203" i="124"/>
  <c r="AI218" i="124"/>
  <c r="AO218" i="124" s="1" a="1"/>
  <c r="AO218" i="124" s="1"/>
  <c r="AK235" i="124"/>
  <c r="AM235" i="124" s="1"/>
  <c r="AI22" i="124"/>
  <c r="AI42" i="124"/>
  <c r="AO42" i="124" s="1" a="1"/>
  <c r="AO42" i="124" s="1"/>
  <c r="AP42" i="124" s="1" a="1"/>
  <c r="AP42" i="124" s="1"/>
  <c r="AL43" i="124"/>
  <c r="AI182" i="124"/>
  <c r="AI227" i="124"/>
  <c r="AK227" i="124" s="1"/>
  <c r="AM227" i="124" s="1"/>
  <c r="W229" i="124"/>
  <c r="AL42" i="124"/>
  <c r="W62" i="124"/>
  <c r="AL182" i="124"/>
  <c r="AL227" i="124"/>
  <c r="AK9" i="124"/>
  <c r="AM9" i="124" s="1"/>
  <c r="AJ31" i="124" a="1"/>
  <c r="AJ31" i="124" s="1"/>
  <c r="AN31" i="124" s="1" a="1"/>
  <c r="AN31" i="124" s="1"/>
  <c r="AK36" i="124"/>
  <c r="AM36" i="124" s="1"/>
  <c r="W103" i="124"/>
  <c r="W143" i="124"/>
  <c r="AN166" i="124" a="1"/>
  <c r="AN166" i="124" s="1"/>
  <c r="AJ13" i="124" a="1"/>
  <c r="AJ13" i="124" s="1"/>
  <c r="AN13" i="124" s="1" a="1"/>
  <c r="AN13" i="124" s="1"/>
  <c r="AK7" i="124"/>
  <c r="AM7" i="124" s="1"/>
  <c r="AK31" i="124"/>
  <c r="AM31" i="124" s="1"/>
  <c r="AK50" i="124"/>
  <c r="AM50" i="124" s="1"/>
  <c r="AI129" i="124"/>
  <c r="AO129" i="124" s="1" a="1"/>
  <c r="AO129" i="124" s="1"/>
  <c r="AI148" i="124"/>
  <c r="AI165" i="124"/>
  <c r="AI202" i="124"/>
  <c r="AO202" i="124" s="1" a="1"/>
  <c r="AO202" i="124" s="1"/>
  <c r="AI225" i="124"/>
  <c r="AJ225" i="124" s="1" a="1"/>
  <c r="AJ225" i="124" s="1"/>
  <c r="AN225" i="124" s="1" a="1"/>
  <c r="AN225" i="124" s="1"/>
  <c r="AJ240" i="124" a="1"/>
  <c r="AJ240" i="124" s="1"/>
  <c r="AN240" i="124" s="1" a="1"/>
  <c r="AN240" i="124" s="1"/>
  <c r="AI183" i="124"/>
  <c r="AJ198" i="124" a="1"/>
  <c r="AJ198" i="124" s="1"/>
  <c r="AN198" i="124" s="1" a="1"/>
  <c r="AN198" i="124" s="1"/>
  <c r="AI23" i="124"/>
  <c r="AJ23" i="124" s="1" a="1"/>
  <c r="AJ23" i="124" s="1"/>
  <c r="AL23" i="124"/>
  <c r="AI136" i="124"/>
  <c r="AI162" i="124"/>
  <c r="AI191" i="124"/>
  <c r="AO191" i="124" s="1" a="1"/>
  <c r="AO191" i="124" s="1"/>
  <c r="AL202" i="124"/>
  <c r="AI208" i="124"/>
  <c r="AK208" i="124" s="1"/>
  <c r="AM208" i="124" s="1"/>
  <c r="AI216" i="124"/>
  <c r="AM19" i="124"/>
  <c r="AI123" i="124"/>
  <c r="AL208" i="124"/>
  <c r="AL123" i="124"/>
  <c r="AL162" i="124"/>
  <c r="AJ171" i="124" a="1"/>
  <c r="AJ171" i="124" s="1"/>
  <c r="AN171" i="124" s="1" a="1"/>
  <c r="AN171" i="124" s="1"/>
  <c r="AI206" i="124"/>
  <c r="AO206" i="124" s="1" a="1"/>
  <c r="AO206" i="124" s="1"/>
  <c r="AJ215" i="124" a="1"/>
  <c r="AJ215" i="124" s="1"/>
  <c r="AN215" i="124" s="1" a="1"/>
  <c r="AN215" i="124" s="1"/>
  <c r="AI223" i="124"/>
  <c r="AO32" i="124" a="1"/>
  <c r="AO32" i="124" s="1"/>
  <c r="AQ32" i="124" s="1"/>
  <c r="AI83" i="124"/>
  <c r="AK83" i="124" s="1"/>
  <c r="AI122" i="124"/>
  <c r="AO147" i="124" a="1"/>
  <c r="AO147" i="124" s="1"/>
  <c r="AU147" i="124" s="1" a="1"/>
  <c r="AU147" i="124" s="1"/>
  <c r="AV147" i="124" s="1" a="1"/>
  <c r="AV147" i="124" s="1"/>
  <c r="AK171" i="124"/>
  <c r="AM171" i="124" s="1"/>
  <c r="AI222" i="124"/>
  <c r="AI63" i="124"/>
  <c r="AK63" i="124" s="1"/>
  <c r="AM63" i="124" s="1"/>
  <c r="AK112" i="124"/>
  <c r="AM112" i="124" s="1"/>
  <c r="AI163" i="124"/>
  <c r="AJ163" i="124" s="1" a="1"/>
  <c r="AJ163" i="124" s="1"/>
  <c r="AN163" i="124" s="1" a="1"/>
  <c r="AN163" i="124" s="1"/>
  <c r="AO171" i="124" a="1"/>
  <c r="AO171" i="124" s="1"/>
  <c r="AP171" i="124" s="1" a="1"/>
  <c r="AP171" i="124" s="1"/>
  <c r="AJ230" i="124" a="1"/>
  <c r="AJ230" i="124" s="1"/>
  <c r="AN230" i="124" s="1" a="1"/>
  <c r="AN230" i="124" s="1"/>
  <c r="AO54" i="124" a="1"/>
  <c r="AO54" i="124" s="1"/>
  <c r="AU54" i="124" s="1" a="1"/>
  <c r="AU54" i="124" s="1"/>
  <c r="AX54" i="124" s="1"/>
  <c r="AO68" i="124" a="1"/>
  <c r="AO68" i="124" s="1"/>
  <c r="AO112" i="124" a="1"/>
  <c r="AO112" i="124" s="1"/>
  <c r="AR112" i="124" s="1"/>
  <c r="AJ169" i="124" a="1"/>
  <c r="AJ169" i="124" s="1"/>
  <c r="AK188" i="124"/>
  <c r="AM188" i="124" s="1"/>
  <c r="AI229" i="124"/>
  <c r="AK230" i="124"/>
  <c r="AM230" i="124" s="1"/>
  <c r="AK144" i="124"/>
  <c r="AM144" i="124" s="1"/>
  <c r="AO232" i="124" a="1"/>
  <c r="AO232" i="124" s="1"/>
  <c r="AQ232" i="124" s="1"/>
  <c r="AI62" i="124"/>
  <c r="AJ80" i="124" a="1"/>
  <c r="AJ80" i="124" s="1"/>
  <c r="AK126" i="124"/>
  <c r="AM126" i="124" s="1"/>
  <c r="AK160" i="124"/>
  <c r="AM160" i="124" s="1"/>
  <c r="AO169" i="124" a="1"/>
  <c r="AO169" i="124" s="1"/>
  <c r="AR169" i="124" s="1"/>
  <c r="AJ187" i="124" a="1"/>
  <c r="AJ187" i="124" s="1"/>
  <c r="AN187" i="124" s="1" a="1"/>
  <c r="AN187" i="124" s="1"/>
  <c r="AU167" i="124" a="1"/>
  <c r="AU167" i="124" s="1"/>
  <c r="AW167" i="124" s="1"/>
  <c r="AQ167" i="124"/>
  <c r="AP167" i="124" a="1"/>
  <c r="AP167" i="124" s="1"/>
  <c r="AU36" i="124" a="1"/>
  <c r="AU36" i="124" s="1"/>
  <c r="AW36" i="124" s="1"/>
  <c r="AP36" i="124" a="1"/>
  <c r="AP36" i="124" s="1"/>
  <c r="AR36" i="124"/>
  <c r="AU72" i="124" a="1"/>
  <c r="AU72" i="124" s="1"/>
  <c r="AW72" i="124" s="1"/>
  <c r="AQ209" i="124"/>
  <c r="AU209" i="124" a="1"/>
  <c r="AU209" i="124" s="1"/>
  <c r="AV209" i="124" s="1" a="1"/>
  <c r="AV209" i="124" s="1"/>
  <c r="AS209" i="124"/>
  <c r="AT209" i="124" s="1" a="1"/>
  <c r="AT209" i="124" s="1"/>
  <c r="AP209" i="124" a="1"/>
  <c r="AP209" i="124" s="1"/>
  <c r="AS40" i="124"/>
  <c r="AT40" i="124" s="1" a="1"/>
  <c r="AT40" i="124" s="1"/>
  <c r="AQ40" i="124"/>
  <c r="AQ144" i="124"/>
  <c r="AU144" i="124" a="1"/>
  <c r="AU144" i="124" s="1"/>
  <c r="AX144" i="124" s="1"/>
  <c r="AU189" i="124" a="1"/>
  <c r="AU189" i="124" s="1"/>
  <c r="AV189" i="124" s="1" a="1"/>
  <c r="AV189" i="124" s="1"/>
  <c r="AQ198" i="124"/>
  <c r="AP198" i="124" a="1"/>
  <c r="AP198" i="124" s="1"/>
  <c r="AR14" i="124"/>
  <c r="AS14" i="124"/>
  <c r="AT14" i="124" s="1" a="1"/>
  <c r="AT14" i="124" s="1"/>
  <c r="AU14" i="124" a="1"/>
  <c r="AU14" i="124" s="1"/>
  <c r="AW14" i="124" s="1"/>
  <c r="AU159" i="124" a="1"/>
  <c r="AU159" i="124" s="1"/>
  <c r="AX159" i="124" s="1"/>
  <c r="AQ159" i="124"/>
  <c r="AO149" i="124" a="1"/>
  <c r="AO149" i="124" s="1"/>
  <c r="AJ210" i="124" a="1"/>
  <c r="AJ210" i="124" s="1"/>
  <c r="AN210" i="124" s="1" a="1"/>
  <c r="AN210" i="124" s="1"/>
  <c r="AK211" i="124"/>
  <c r="AM211" i="124" s="1"/>
  <c r="AJ79" i="124" a="1"/>
  <c r="AJ79" i="124" s="1"/>
  <c r="AN79" i="124" s="1" a="1"/>
  <c r="AN79" i="124" s="1"/>
  <c r="AM24" i="124"/>
  <c r="AJ30" i="124" a="1"/>
  <c r="AJ30" i="124" s="1"/>
  <c r="AN30" i="124" s="1" a="1"/>
  <c r="AN30" i="124" s="1"/>
  <c r="AO50" i="124" a="1"/>
  <c r="AO50" i="124" s="1"/>
  <c r="AO52" i="124" a="1"/>
  <c r="AO52" i="124" s="1"/>
  <c r="AP52" i="124" s="1" a="1"/>
  <c r="AP52" i="124" s="1"/>
  <c r="AK106" i="124"/>
  <c r="AM106" i="124" s="1"/>
  <c r="AJ159" i="124" a="1"/>
  <c r="AJ159" i="124" s="1"/>
  <c r="AN159" i="124" s="1" a="1"/>
  <c r="AN159" i="124" s="1"/>
  <c r="AO166" i="124" a="1"/>
  <c r="AO166" i="124" s="1"/>
  <c r="AP166" i="124" s="1" a="1"/>
  <c r="AP166" i="124" s="1"/>
  <c r="AJ167" i="124" a="1"/>
  <c r="AJ167" i="124" s="1"/>
  <c r="AN167" i="124" s="1" a="1"/>
  <c r="AN167" i="124" s="1"/>
  <c r="AK210" i="124"/>
  <c r="AM210" i="124" s="1"/>
  <c r="AJ212" i="124" a="1"/>
  <c r="AJ212" i="124" s="1"/>
  <c r="AN212" i="124" s="1" a="1"/>
  <c r="AN212" i="124" s="1"/>
  <c r="AR230" i="124"/>
  <c r="AJ237" i="124" a="1"/>
  <c r="AJ237" i="124" s="1"/>
  <c r="AK240" i="124"/>
  <c r="AM240" i="124" s="1"/>
  <c r="AJ27" i="124" a="1"/>
  <c r="AJ27" i="124" s="1"/>
  <c r="AN27" i="124" s="1" a="1"/>
  <c r="AN27" i="124" s="1"/>
  <c r="AO24" i="124" a="1"/>
  <c r="AO24" i="124" s="1"/>
  <c r="AS24" i="124" s="1"/>
  <c r="AT24" i="124" s="1" a="1"/>
  <c r="AT24" i="124" s="1"/>
  <c r="AK27" i="124"/>
  <c r="AM27" i="124" s="1"/>
  <c r="AK110" i="124"/>
  <c r="AM110" i="124" s="1"/>
  <c r="AJ112" i="124" a="1"/>
  <c r="AJ112" i="124" s="1"/>
  <c r="AN112" i="124" s="1" a="1"/>
  <c r="AN112" i="124" s="1"/>
  <c r="AK167" i="124"/>
  <c r="AM167" i="124" s="1"/>
  <c r="AO200" i="124" a="1"/>
  <c r="AO200" i="124" s="1"/>
  <c r="AS200" i="124" s="1"/>
  <c r="AT200" i="124" s="1" a="1"/>
  <c r="AT200" i="124" s="1"/>
  <c r="AK212" i="124"/>
  <c r="AM212" i="124" s="1"/>
  <c r="AK237" i="124"/>
  <c r="AM237" i="124" s="1"/>
  <c r="AO238" i="124" a="1"/>
  <c r="AO238" i="124" s="1"/>
  <c r="AS238" i="124" s="1"/>
  <c r="AT238" i="124" s="1" a="1"/>
  <c r="AT238" i="124" s="1"/>
  <c r="AO106" i="124" a="1"/>
  <c r="AO106" i="124" s="1"/>
  <c r="AN126" i="124" a="1"/>
  <c r="AN126" i="124" s="1"/>
  <c r="AK159" i="124"/>
  <c r="AM159" i="124" s="1"/>
  <c r="AO235" i="124" a="1"/>
  <c r="AO235" i="124" s="1"/>
  <c r="AS235" i="124" s="1"/>
  <c r="AT235" i="124" s="1" a="1"/>
  <c r="AT235" i="124" s="1"/>
  <c r="AO30" i="124" a="1"/>
  <c r="AO30" i="124" s="1"/>
  <c r="AR30" i="124" s="1"/>
  <c r="AO228" i="124" a="1"/>
  <c r="AO228" i="124" s="1"/>
  <c r="AS228" i="124" s="1"/>
  <c r="AT228" i="124" s="1" a="1"/>
  <c r="AT228" i="124" s="1"/>
  <c r="AO237" i="124" a="1"/>
  <c r="AO237" i="124" s="1"/>
  <c r="AS237" i="124" s="1"/>
  <c r="AT237" i="124" s="1" a="1"/>
  <c r="AT237" i="124" s="1"/>
  <c r="AN45" i="124" a="1"/>
  <c r="AN45" i="124" s="1"/>
  <c r="AN70" i="124" a="1"/>
  <c r="AN70" i="124" s="1"/>
  <c r="AJ75" i="124" a="1"/>
  <c r="AJ75" i="124" s="1"/>
  <c r="AN75" i="124" s="1" a="1"/>
  <c r="AN75" i="124" s="1"/>
  <c r="AO78" i="124" a="1"/>
  <c r="AO78" i="124" s="1"/>
  <c r="AR78" i="124" s="1"/>
  <c r="AJ103" i="124" a="1"/>
  <c r="AJ103" i="124" s="1"/>
  <c r="AN103" i="124" s="1" a="1"/>
  <c r="AN103" i="124" s="1"/>
  <c r="AJ113" i="124" a="1"/>
  <c r="AJ113" i="124" s="1"/>
  <c r="AN113" i="124" s="1" a="1"/>
  <c r="AN113" i="124" s="1"/>
  <c r="AJ117" i="124" a="1"/>
  <c r="AJ117" i="124" s="1"/>
  <c r="AN117" i="124" s="1" a="1"/>
  <c r="AN117" i="124" s="1"/>
  <c r="AJ139" i="124" a="1"/>
  <c r="AJ139" i="124" s="1"/>
  <c r="AJ160" i="124" a="1"/>
  <c r="AJ160" i="124" s="1"/>
  <c r="AN160" i="124" s="1" a="1"/>
  <c r="AN160" i="124" s="1"/>
  <c r="AK170" i="124"/>
  <c r="AM170" i="124" s="1"/>
  <c r="AJ179" i="124" a="1"/>
  <c r="AJ179" i="124" s="1"/>
  <c r="AK198" i="124"/>
  <c r="AM198" i="124" s="1"/>
  <c r="AO212" i="124" a="1"/>
  <c r="AO212" i="124" s="1"/>
  <c r="AP212" i="124" s="1" a="1"/>
  <c r="AP212" i="124" s="1"/>
  <c r="AJ224" i="124" a="1"/>
  <c r="AJ224" i="124" s="1"/>
  <c r="AO27" i="124" a="1"/>
  <c r="AO27" i="124" s="1"/>
  <c r="AP27" i="124" s="1" a="1"/>
  <c r="AP27" i="124" s="1"/>
  <c r="AO29" i="124" a="1"/>
  <c r="AO29" i="124" s="1"/>
  <c r="AP29" i="124" s="1" a="1"/>
  <c r="AP29" i="124" s="1"/>
  <c r="AK75" i="124"/>
  <c r="AM75" i="124" s="1"/>
  <c r="AO101" i="124" a="1"/>
  <c r="AO101" i="124" s="1"/>
  <c r="AQ101" i="124" s="1"/>
  <c r="AK113" i="124"/>
  <c r="AM113" i="124" s="1"/>
  <c r="AK139" i="124"/>
  <c r="AM139" i="124" s="1"/>
  <c r="AK193" i="124"/>
  <c r="AM193" i="124" s="1"/>
  <c r="AO213" i="124" a="1"/>
  <c r="AO213" i="124" s="1"/>
  <c r="AS213" i="124" s="1"/>
  <c r="AT213" i="124" s="1" a="1"/>
  <c r="AT213" i="124" s="1"/>
  <c r="AJ4" i="124" a="1"/>
  <c r="AJ4" i="124" s="1"/>
  <c r="AN4" i="124" s="1" a="1"/>
  <c r="AN4" i="124" s="1"/>
  <c r="AJ14" i="124" a="1"/>
  <c r="AJ14" i="124" s="1"/>
  <c r="AN14" i="124" s="1" a="1"/>
  <c r="AN14" i="124" s="1"/>
  <c r="AJ19" i="124" a="1"/>
  <c r="AJ19" i="124" s="1"/>
  <c r="AN19" i="124" s="1" a="1"/>
  <c r="AN19" i="124" s="1"/>
  <c r="AJ32" i="124" a="1"/>
  <c r="AJ32" i="124" s="1"/>
  <c r="AN32" i="124" s="1" a="1"/>
  <c r="AN32" i="124" s="1"/>
  <c r="AJ40" i="124" a="1"/>
  <c r="AJ40" i="124" s="1"/>
  <c r="AN40" i="124" s="1" a="1"/>
  <c r="AN40" i="124" s="1"/>
  <c r="AK68" i="124"/>
  <c r="AM68" i="124" s="1"/>
  <c r="AJ72" i="124" a="1"/>
  <c r="AJ72" i="124" s="1"/>
  <c r="AN72" i="124" s="1" a="1"/>
  <c r="AN72" i="124" s="1"/>
  <c r="AJ189" i="124" a="1"/>
  <c r="AJ189" i="124" s="1"/>
  <c r="AN189" i="124" s="1" a="1"/>
  <c r="AN189" i="124" s="1"/>
  <c r="AK14" i="124"/>
  <c r="AM14" i="124" s="1"/>
  <c r="AK32" i="124"/>
  <c r="AM32" i="124" s="1"/>
  <c r="AO75" i="124" a="1"/>
  <c r="AO75" i="124" s="1"/>
  <c r="AP75" i="124" s="1" a="1"/>
  <c r="AP75" i="124" s="1"/>
  <c r="AO170" i="124" a="1"/>
  <c r="AO170" i="124" s="1"/>
  <c r="AU170" i="124" s="1" a="1"/>
  <c r="AU170" i="124" s="1"/>
  <c r="AX170" i="124" s="1"/>
  <c r="AO4" i="124" a="1"/>
  <c r="AO4" i="124" s="1"/>
  <c r="AK15" i="124"/>
  <c r="AM15" i="124" s="1"/>
  <c r="AJ41" i="124" a="1"/>
  <c r="AJ41" i="124" s="1"/>
  <c r="AN41" i="124" s="1" a="1"/>
  <c r="AN41" i="124" s="1"/>
  <c r="AJ64" i="124" a="1"/>
  <c r="AJ64" i="124" s="1"/>
  <c r="AN64" i="124" s="1" a="1"/>
  <c r="AN64" i="124" s="1"/>
  <c r="AJ65" i="124" a="1"/>
  <c r="AJ65" i="124" s="1"/>
  <c r="AN65" i="124" s="1" a="1"/>
  <c r="AN65" i="124" s="1"/>
  <c r="AJ135" i="124" a="1"/>
  <c r="AJ135" i="124" s="1"/>
  <c r="AN135" i="124" s="1" a="1"/>
  <c r="AN135" i="124" s="1"/>
  <c r="AJ137" i="124" a="1"/>
  <c r="AJ137" i="124" s="1"/>
  <c r="AN137" i="124" s="1" a="1"/>
  <c r="AN137" i="124" s="1"/>
  <c r="AJ174" i="124" a="1"/>
  <c r="AJ174" i="124" s="1"/>
  <c r="AN174" i="124" s="1" a="1"/>
  <c r="AN174" i="124" s="1"/>
  <c r="AK175" i="124"/>
  <c r="AM175" i="124" s="1"/>
  <c r="AO19" i="124" a="1"/>
  <c r="AO19" i="124" s="1"/>
  <c r="AQ19" i="124" s="1"/>
  <c r="AJ20" i="124" a="1"/>
  <c r="AJ20" i="124" s="1"/>
  <c r="AN20" i="124" s="1" a="1"/>
  <c r="AN20" i="124" s="1"/>
  <c r="AJ36" i="124" a="1"/>
  <c r="AJ36" i="124" s="1"/>
  <c r="AN36" i="124" s="1" a="1"/>
  <c r="AN36" i="124" s="1"/>
  <c r="AK65" i="124"/>
  <c r="AM65" i="124" s="1"/>
  <c r="AJ87" i="124" a="1"/>
  <c r="AJ87" i="124" s="1"/>
  <c r="AN87" i="124" s="1" a="1"/>
  <c r="AN87" i="124" s="1"/>
  <c r="AK135" i="124"/>
  <c r="AM135" i="124" s="1"/>
  <c r="AK137" i="124"/>
  <c r="AM137" i="124" s="1"/>
  <c r="AK174" i="124"/>
  <c r="AM174" i="124" s="1"/>
  <c r="AR15" i="124"/>
  <c r="AJ85" i="124" a="1"/>
  <c r="AJ85" i="124" s="1"/>
  <c r="AN85" i="124" s="1" a="1"/>
  <c r="AN85" i="124" s="1"/>
  <c r="AJ205" i="124" a="1"/>
  <c r="AJ205" i="124" s="1"/>
  <c r="AN205" i="124" s="1" a="1"/>
  <c r="AN205" i="124" s="1"/>
  <c r="AK85" i="124"/>
  <c r="AM85" i="124" s="1"/>
  <c r="AK125" i="124"/>
  <c r="AM125" i="124" s="1"/>
  <c r="AK132" i="124"/>
  <c r="AM132" i="124" s="1"/>
  <c r="AJ149" i="124" a="1"/>
  <c r="AJ149" i="124" s="1"/>
  <c r="AN149" i="124" s="1" a="1"/>
  <c r="AN149" i="124" s="1"/>
  <c r="AJ194" i="124" a="1"/>
  <c r="AJ194" i="124" s="1"/>
  <c r="AN194" i="124" s="1" a="1"/>
  <c r="AN194" i="124" s="1"/>
  <c r="AO41" i="124" a="1"/>
  <c r="AO41" i="124" s="1"/>
  <c r="AU41" i="124" s="1" a="1"/>
  <c r="AU41" i="124" s="1"/>
  <c r="AJ60" i="124" a="1"/>
  <c r="AJ60" i="124" s="1"/>
  <c r="AN60" i="124" s="1" a="1"/>
  <c r="AN60" i="124" s="1"/>
  <c r="AO20" i="124" a="1"/>
  <c r="AO20" i="124" s="1"/>
  <c r="AK54" i="124"/>
  <c r="AM54" i="124" s="1"/>
  <c r="AO88" i="124" a="1"/>
  <c r="AO88" i="124" s="1"/>
  <c r="AN90" i="124" a="1"/>
  <c r="AN90" i="124" s="1"/>
  <c r="AK93" i="124"/>
  <c r="AM93" i="124" s="1"/>
  <c r="AJ133" i="124" a="1"/>
  <c r="AJ133" i="124" s="1"/>
  <c r="AN133" i="124" s="1" a="1"/>
  <c r="AN133" i="124" s="1"/>
  <c r="AK145" i="124"/>
  <c r="AM145" i="124" s="1"/>
  <c r="AK194" i="124"/>
  <c r="AM194" i="124" s="1"/>
  <c r="AK205" i="124"/>
  <c r="AM205" i="124" s="1"/>
  <c r="AR209" i="124"/>
  <c r="AK59" i="124"/>
  <c r="AM59" i="124" s="1"/>
  <c r="AO85" i="124" a="1"/>
  <c r="AO85" i="124" s="1"/>
  <c r="AU85" i="124" s="1" a="1"/>
  <c r="AU85" i="124" s="1"/>
  <c r="AX85" i="124" s="1"/>
  <c r="AJ209" i="124" a="1"/>
  <c r="AJ209" i="124" s="1"/>
  <c r="AN209" i="124" s="1" a="1"/>
  <c r="AN209" i="124" s="1"/>
  <c r="AJ54" i="124" a="1"/>
  <c r="AJ54" i="124" s="1"/>
  <c r="AN54" i="124" s="1" a="1"/>
  <c r="AN54" i="124" s="1"/>
  <c r="AJ59" i="124" a="1"/>
  <c r="AJ59" i="124" s="1"/>
  <c r="AN59" i="124" s="1" a="1"/>
  <c r="AN59" i="124" s="1"/>
  <c r="AO60" i="124" a="1"/>
  <c r="AO60" i="124" s="1"/>
  <c r="AQ60" i="124" s="1"/>
  <c r="AN80" i="124" a="1"/>
  <c r="AN80" i="124" s="1"/>
  <c r="AK90" i="124"/>
  <c r="AM90" i="124" s="1"/>
  <c r="AO125" i="124" a="1"/>
  <c r="AO125" i="124" s="1"/>
  <c r="AS125" i="124" s="1"/>
  <c r="AT125" i="124" s="1" a="1"/>
  <c r="AT125" i="124" s="1"/>
  <c r="AK209" i="124"/>
  <c r="AM209" i="124" s="1"/>
  <c r="AJ235" i="124" a="1"/>
  <c r="AJ235" i="124" s="1"/>
  <c r="AN235" i="124" s="1" a="1"/>
  <c r="AN235" i="124" s="1"/>
  <c r="AR240" i="124"/>
  <c r="AU7" i="124" a="1"/>
  <c r="AU7" i="124" s="1"/>
  <c r="AQ7" i="124"/>
  <c r="AP7" i="124" a="1"/>
  <c r="AP7" i="124" s="1"/>
  <c r="BA5" i="124" a="1"/>
  <c r="BA5" i="124" s="1"/>
  <c r="AJ6" i="124" a="1"/>
  <c r="AJ6" i="124" s="1"/>
  <c r="AN6" i="124" s="1" a="1"/>
  <c r="AN6" i="124" s="1"/>
  <c r="AQ31" i="124"/>
  <c r="AU31" i="124" a="1"/>
  <c r="AU31" i="124" s="1"/>
  <c r="AS31" i="124"/>
  <c r="AT31" i="124" s="1" a="1"/>
  <c r="AT31" i="124" s="1"/>
  <c r="AR31" i="124"/>
  <c r="AP31" i="124" a="1"/>
  <c r="AP31" i="124" s="1"/>
  <c r="BC23" i="124" a="1"/>
  <c r="BC23" i="124" s="1"/>
  <c r="BA23" i="124" a="1"/>
  <c r="BA23" i="124" s="1"/>
  <c r="AO6" i="124" a="1"/>
  <c r="AO6" i="124" s="1"/>
  <c r="AS6" i="124" s="1"/>
  <c r="AT6" i="124" s="1" a="1"/>
  <c r="AT6" i="124" s="1"/>
  <c r="AK21" i="124"/>
  <c r="AM21" i="124" s="1"/>
  <c r="AJ21" i="124" a="1"/>
  <c r="AJ21" i="124" s="1"/>
  <c r="AN21" i="124" s="1" a="1"/>
  <c r="AN21" i="124" s="1"/>
  <c r="AO21" i="124" a="1"/>
  <c r="AO21" i="124" s="1"/>
  <c r="AS21" i="124" s="1"/>
  <c r="AT21" i="124" s="1" a="1"/>
  <c r="AT21" i="124" s="1"/>
  <c r="AR7" i="124"/>
  <c r="BA8" i="124" a="1"/>
  <c r="BA8" i="124" s="1"/>
  <c r="AP15" i="124" a="1"/>
  <c r="AP15" i="124" s="1"/>
  <c r="AU15" i="124" a="1"/>
  <c r="AU15" i="124" s="1"/>
  <c r="AM6" i="124"/>
  <c r="AK12" i="124"/>
  <c r="AM12" i="124" s="1"/>
  <c r="AK28" i="124"/>
  <c r="AM28" i="124" s="1"/>
  <c r="AO28" i="124" a="1"/>
  <c r="AO28" i="124" s="1"/>
  <c r="AR28" i="124" s="1"/>
  <c r="AJ28" i="124" a="1"/>
  <c r="AJ28" i="124" s="1"/>
  <c r="AN28" i="124" s="1" a="1"/>
  <c r="AN28" i="124" s="1"/>
  <c r="AJ12" i="124" a="1"/>
  <c r="AJ12" i="124" s="1"/>
  <c r="AN12" i="124" s="1" a="1"/>
  <c r="AN12" i="124" s="1"/>
  <c r="BC10" i="124" a="1"/>
  <c r="BC10" i="124" s="1"/>
  <c r="AR10" i="124"/>
  <c r="AR9" i="124"/>
  <c r="BC4" i="124" a="1"/>
  <c r="BC4" i="124" s="1"/>
  <c r="AQ10" i="124"/>
  <c r="AK25" i="124"/>
  <c r="AM25" i="124" s="1"/>
  <c r="AJ25" i="124" a="1"/>
  <c r="AJ25" i="124" s="1"/>
  <c r="AN25" i="124" s="1" a="1"/>
  <c r="AN25" i="124" s="1"/>
  <c r="AO25" i="124" a="1"/>
  <c r="AO25" i="124" s="1"/>
  <c r="AR25" i="124" s="1"/>
  <c r="AU10" i="124" a="1"/>
  <c r="AU10" i="124" s="1"/>
  <c r="AQ15" i="124"/>
  <c r="AN26" i="124" a="1"/>
  <c r="AN26" i="124" s="1"/>
  <c r="AK34" i="124"/>
  <c r="AM34" i="124" s="1"/>
  <c r="AO34" i="124" a="1"/>
  <c r="AO34" i="124" s="1"/>
  <c r="AS34" i="124" s="1"/>
  <c r="AT34" i="124" s="1" a="1"/>
  <c r="AT34" i="124" s="1"/>
  <c r="AJ34" i="124" a="1"/>
  <c r="AJ34" i="124" s="1"/>
  <c r="AN34" i="124" s="1" a="1"/>
  <c r="AN34" i="124" s="1"/>
  <c r="AU17" i="124" a="1"/>
  <c r="AU17" i="124" s="1"/>
  <c r="AS17" i="124"/>
  <c r="AT17" i="124" s="1" a="1"/>
  <c r="AT17" i="124" s="1"/>
  <c r="AR17" i="124"/>
  <c r="AQ17" i="124"/>
  <c r="AO11" i="124" a="1"/>
  <c r="AO11" i="124" s="1"/>
  <c r="BC5" i="124" a="1"/>
  <c r="BC5" i="124" s="1"/>
  <c r="AJ11" i="124" a="1"/>
  <c r="AJ11" i="124" s="1"/>
  <c r="AN11" i="124" s="1" a="1"/>
  <c r="AN11" i="124" s="1"/>
  <c r="AP17" i="124" a="1"/>
  <c r="AP17" i="124" s="1"/>
  <c r="AU65" i="124" a="1"/>
  <c r="AU65" i="124" s="1"/>
  <c r="AS65" i="124"/>
  <c r="AT65" i="124" s="1" a="1"/>
  <c r="AT65" i="124" s="1"/>
  <c r="AQ65" i="124"/>
  <c r="AP65" i="124" a="1"/>
  <c r="AP65" i="124" s="1"/>
  <c r="AR65" i="124"/>
  <c r="AK11" i="124"/>
  <c r="AM11" i="124" s="1"/>
  <c r="AO16" i="124" a="1"/>
  <c r="AO16" i="124" s="1"/>
  <c r="AS16" i="124" s="1"/>
  <c r="AT16" i="124" s="1" a="1"/>
  <c r="AT16" i="124" s="1"/>
  <c r="BA4" i="124" a="1"/>
  <c r="BA4" i="124" s="1"/>
  <c r="AS7" i="124"/>
  <c r="AT7" i="124" s="1" a="1"/>
  <c r="AT7" i="124" s="1"/>
  <c r="AQ64" i="124"/>
  <c r="AU64" i="124" a="1"/>
  <c r="AU64" i="124" s="1"/>
  <c r="AX64" i="124" s="1"/>
  <c r="AR64" i="124"/>
  <c r="AP64" i="124" a="1"/>
  <c r="AP64" i="124" s="1"/>
  <c r="AQ9" i="124"/>
  <c r="AP9" i="124" a="1"/>
  <c r="AP9" i="124" s="1"/>
  <c r="AU9" i="124" a="1"/>
  <c r="AU9" i="124" s="1"/>
  <c r="AJ16" i="124" a="1"/>
  <c r="AJ16" i="124" s="1"/>
  <c r="AN16" i="124" s="1" a="1"/>
  <c r="AN16" i="124" s="1"/>
  <c r="BC29" i="124" a="1"/>
  <c r="BC29" i="124" s="1"/>
  <c r="BA29" i="124" a="1"/>
  <c r="BA29" i="124" s="1"/>
  <c r="AU5" i="124" a="1"/>
  <c r="AU5" i="124" s="1"/>
  <c r="AJ7" i="124" a="1"/>
  <c r="AJ7" i="124" s="1"/>
  <c r="AN7" i="124" s="1" a="1"/>
  <c r="AN7" i="124" s="1"/>
  <c r="AK16" i="124"/>
  <c r="AM16" i="124" s="1"/>
  <c r="BC14" i="124" a="1"/>
  <c r="BC14" i="124" s="1"/>
  <c r="BA14" i="124" a="1"/>
  <c r="BA14" i="124" s="1"/>
  <c r="BC9" i="124" a="1"/>
  <c r="BC9" i="124" s="1"/>
  <c r="BA9" i="124" a="1"/>
  <c r="BA9" i="124" s="1"/>
  <c r="AJ48" i="124" a="1"/>
  <c r="AJ48" i="124" s="1"/>
  <c r="AN48" i="124" s="1" a="1"/>
  <c r="AN48" i="124" s="1"/>
  <c r="AK48" i="124"/>
  <c r="AM48" i="124" s="1"/>
  <c r="AO48" i="124" a="1"/>
  <c r="AO48" i="124" s="1"/>
  <c r="AS48" i="124" s="1"/>
  <c r="AT48" i="124" s="1" a="1"/>
  <c r="AT48" i="124" s="1"/>
  <c r="AU57" i="124" a="1"/>
  <c r="AU57" i="124" s="1"/>
  <c r="AX57" i="124" s="1"/>
  <c r="AS57" i="124"/>
  <c r="AT57" i="124" s="1" a="1"/>
  <c r="AT57" i="124" s="1"/>
  <c r="AQ57" i="124"/>
  <c r="AP57" i="124" a="1"/>
  <c r="AP57" i="124" s="1"/>
  <c r="BA64" i="124" a="1"/>
  <c r="BA64" i="124" s="1"/>
  <c r="BC64" i="124" a="1"/>
  <c r="BC64" i="124" s="1"/>
  <c r="AS5" i="124"/>
  <c r="AT5" i="124" s="1" a="1"/>
  <c r="AT5" i="124" s="1"/>
  <c r="AN9" i="124" a="1"/>
  <c r="AN9" i="124" s="1"/>
  <c r="AS10" i="124"/>
  <c r="AT10" i="124" s="1" a="1"/>
  <c r="AT10" i="124" s="1"/>
  <c r="AS15" i="124"/>
  <c r="AT15" i="124" s="1" a="1"/>
  <c r="AT15" i="124" s="1"/>
  <c r="BC18" i="124" a="1"/>
  <c r="BC18" i="124" s="1"/>
  <c r="AK26" i="124"/>
  <c r="AM26" i="124" s="1"/>
  <c r="AK30" i="124"/>
  <c r="AM30" i="124" s="1"/>
  <c r="BC34" i="124" a="1"/>
  <c r="BC34" i="124" s="1"/>
  <c r="AK49" i="124"/>
  <c r="AM49" i="124" s="1"/>
  <c r="AJ49" i="124" a="1"/>
  <c r="AJ49" i="124" s="1"/>
  <c r="AN49" i="124" s="1" a="1"/>
  <c r="AN49" i="124" s="1"/>
  <c r="AO49" i="124" a="1"/>
  <c r="AO49" i="124" s="1"/>
  <c r="AP14" i="124" a="1"/>
  <c r="AP14" i="124" s="1"/>
  <c r="BC42" i="124" a="1"/>
  <c r="BC42" i="124" s="1"/>
  <c r="AK8" i="124"/>
  <c r="AM8" i="124" s="1"/>
  <c r="BC74" i="124" a="1"/>
  <c r="BC74" i="124" s="1"/>
  <c r="BA74" i="124" a="1"/>
  <c r="BA74" i="124" s="1"/>
  <c r="AQ14" i="124"/>
  <c r="AS36" i="124"/>
  <c r="AT36" i="124" s="1" a="1"/>
  <c r="AT36" i="124" s="1"/>
  <c r="AJ5" i="124" a="1"/>
  <c r="AJ5" i="124" s="1"/>
  <c r="AN5" i="124" s="1" a="1"/>
  <c r="AN5" i="124" s="1"/>
  <c r="AJ10" i="124" a="1"/>
  <c r="AJ10" i="124" s="1"/>
  <c r="AN10" i="124" s="1" a="1"/>
  <c r="AN10" i="124" s="1"/>
  <c r="AJ15" i="124" a="1"/>
  <c r="AJ15" i="124" s="1"/>
  <c r="AN15" i="124" s="1" a="1"/>
  <c r="AN15" i="124" s="1"/>
  <c r="AJ24" i="124" a="1"/>
  <c r="AJ24" i="124" s="1"/>
  <c r="AN24" i="124" s="1" a="1"/>
  <c r="AN24" i="124" s="1"/>
  <c r="BA24" i="124" a="1"/>
  <c r="BA24" i="124" s="1"/>
  <c r="BA36" i="124" a="1"/>
  <c r="BA36" i="124" s="1"/>
  <c r="AN50" i="124" a="1"/>
  <c r="AN50" i="124" s="1"/>
  <c r="AQ44" i="124"/>
  <c r="AP44" i="124" a="1"/>
  <c r="AP44" i="124" s="1"/>
  <c r="AJ58" i="124" a="1"/>
  <c r="AJ58" i="124" s="1"/>
  <c r="AN58" i="124" s="1" a="1"/>
  <c r="AN58" i="124" s="1"/>
  <c r="AO58" i="124" a="1"/>
  <c r="AO58" i="124" s="1"/>
  <c r="AS58" i="124" s="1"/>
  <c r="AT58" i="124" s="1" a="1"/>
  <c r="AT58" i="124" s="1"/>
  <c r="AK37" i="124"/>
  <c r="AM37" i="124" s="1"/>
  <c r="BA39" i="124" a="1"/>
  <c r="BA39" i="124" s="1"/>
  <c r="BC44" i="124" a="1"/>
  <c r="BC44" i="124" s="1"/>
  <c r="AR44" i="124"/>
  <c r="AJ37" i="124" a="1"/>
  <c r="AJ37" i="124" s="1"/>
  <c r="AN37" i="124" s="1" a="1"/>
  <c r="AN37" i="124" s="1"/>
  <c r="AK58" i="124"/>
  <c r="AM58" i="124" s="1"/>
  <c r="AO38" i="124" a="1"/>
  <c r="AO38" i="124" s="1"/>
  <c r="AR38" i="124" s="1"/>
  <c r="AU44" i="124" a="1"/>
  <c r="AU44" i="124" s="1"/>
  <c r="AX44" i="124" s="1"/>
  <c r="AQ35" i="124"/>
  <c r="AJ38" i="124" a="1"/>
  <c r="AJ38" i="124" s="1"/>
  <c r="AN38" i="124" s="1" a="1"/>
  <c r="AN38" i="124" s="1"/>
  <c r="AO39" i="124" a="1"/>
  <c r="AO39" i="124" s="1"/>
  <c r="BC46" i="124" a="1"/>
  <c r="BC46" i="124" s="1"/>
  <c r="BA46" i="124" a="1"/>
  <c r="BA46" i="124" s="1"/>
  <c r="AK47" i="124"/>
  <c r="AM47" i="124" s="1"/>
  <c r="AJ47" i="124" a="1"/>
  <c r="AJ47" i="124" s="1"/>
  <c r="AN47" i="124" s="1" a="1"/>
  <c r="AN47" i="124" s="1"/>
  <c r="AO47" i="124" a="1"/>
  <c r="AO47" i="124" s="1"/>
  <c r="AJ29" i="124" a="1"/>
  <c r="AJ29" i="124" s="1"/>
  <c r="AN29" i="124" s="1" a="1"/>
  <c r="AN29" i="124" s="1"/>
  <c r="AR35" i="124"/>
  <c r="AJ39" i="124" a="1"/>
  <c r="AJ39" i="124" s="1"/>
  <c r="AN39" i="124" s="1" a="1"/>
  <c r="AN39" i="124" s="1"/>
  <c r="AK33" i="124"/>
  <c r="AM33" i="124" s="1"/>
  <c r="AO33" i="124" a="1"/>
  <c r="AO33" i="124" s="1"/>
  <c r="AS35" i="124"/>
  <c r="AT35" i="124" s="1" a="1"/>
  <c r="AT35" i="124" s="1"/>
  <c r="AK38" i="124"/>
  <c r="AM38" i="124" s="1"/>
  <c r="AK39" i="124"/>
  <c r="AM39" i="124" s="1"/>
  <c r="BA44" i="124" a="1"/>
  <c r="BA44" i="124" s="1"/>
  <c r="BA33" i="124" a="1"/>
  <c r="BA33" i="124" s="1"/>
  <c r="AO37" i="124" a="1"/>
  <c r="AO37" i="124" s="1"/>
  <c r="BC53" i="124" a="1"/>
  <c r="BC53" i="124" s="1"/>
  <c r="BA53" i="124" a="1"/>
  <c r="BA53" i="124" s="1"/>
  <c r="BC58" i="124" a="1"/>
  <c r="BC58" i="124" s="1"/>
  <c r="BA58" i="124" a="1"/>
  <c r="BA58" i="124" s="1"/>
  <c r="AK18" i="124"/>
  <c r="AM18" i="124" s="1"/>
  <c r="AO18" i="124" a="1"/>
  <c r="AO18" i="124" s="1"/>
  <c r="AS18" i="124" s="1"/>
  <c r="AT18" i="124" s="1" a="1"/>
  <c r="AT18" i="124" s="1"/>
  <c r="AM29" i="124"/>
  <c r="AM51" i="124"/>
  <c r="AO51" i="124" a="1"/>
  <c r="AO51" i="124" s="1"/>
  <c r="AR51" i="124" s="1"/>
  <c r="AK67" i="124"/>
  <c r="AM67" i="124" s="1"/>
  <c r="AO67" i="124" a="1"/>
  <c r="AO67" i="124" s="1"/>
  <c r="AS67" i="124" s="1"/>
  <c r="AT67" i="124" s="1" a="1"/>
  <c r="AT67" i="124" s="1"/>
  <c r="AJ67" i="124" a="1"/>
  <c r="AJ67" i="124" s="1"/>
  <c r="AN67" i="124" s="1" a="1"/>
  <c r="AN67" i="124" s="1"/>
  <c r="AJ18" i="124" a="1"/>
  <c r="AJ18" i="124" s="1"/>
  <c r="AN18" i="124" s="1" a="1"/>
  <c r="AN18" i="124" s="1"/>
  <c r="BA18" i="124" a="1"/>
  <c r="BA18" i="124" s="1"/>
  <c r="AU35" i="124" a="1"/>
  <c r="AU35" i="124" s="1"/>
  <c r="AQ36" i="124"/>
  <c r="AU40" i="124" a="1"/>
  <c r="AU40" i="124" s="1"/>
  <c r="AX40" i="124" s="1"/>
  <c r="AP40" i="124" a="1"/>
  <c r="AP40" i="124" s="1"/>
  <c r="AJ51" i="124" a="1"/>
  <c r="AJ51" i="124" s="1"/>
  <c r="AN51" i="124" s="1" a="1"/>
  <c r="AN51" i="124" s="1"/>
  <c r="AK86" i="124"/>
  <c r="AM86" i="124" s="1"/>
  <c r="AJ86" i="124" a="1"/>
  <c r="AJ86" i="124" s="1"/>
  <c r="AN86" i="124" s="1" a="1"/>
  <c r="AN86" i="124" s="1"/>
  <c r="AO86" i="124" a="1"/>
  <c r="AO86" i="124" s="1"/>
  <c r="AR86" i="124" s="1"/>
  <c r="BC92" i="124" a="1"/>
  <c r="BC92" i="124" s="1"/>
  <c r="BA92" i="124" a="1"/>
  <c r="BA92" i="124" s="1"/>
  <c r="AJ100" i="124" a="1"/>
  <c r="AJ100" i="124" s="1"/>
  <c r="AN100" i="124" s="1" a="1"/>
  <c r="AN100" i="124" s="1"/>
  <c r="AO100" i="124" a="1"/>
  <c r="AO100" i="124" s="1"/>
  <c r="AK100" i="124"/>
  <c r="AM100" i="124" s="1"/>
  <c r="AM71" i="124"/>
  <c r="AO71" i="124" a="1"/>
  <c r="AO71" i="124" s="1"/>
  <c r="AS71" i="124" s="1"/>
  <c r="AT71" i="124" s="1" a="1"/>
  <c r="AT71" i="124" s="1"/>
  <c r="AJ71" i="124" a="1"/>
  <c r="AJ71" i="124" s="1"/>
  <c r="AN71" i="124" s="1" a="1"/>
  <c r="AN71" i="124" s="1"/>
  <c r="AU102" i="124" a="1"/>
  <c r="AU102" i="124" s="1"/>
  <c r="AX102" i="124" s="1"/>
  <c r="AP102" i="124" a="1"/>
  <c r="AP102" i="124" s="1"/>
  <c r="AS102" i="124"/>
  <c r="AT102" i="124" s="1" a="1"/>
  <c r="AT102" i="124" s="1"/>
  <c r="BA57" i="124" a="1"/>
  <c r="BA57" i="124" s="1"/>
  <c r="AM61" i="124"/>
  <c r="AO61" i="124" a="1"/>
  <c r="AO61" i="124" s="1"/>
  <c r="AR61" i="124" s="1"/>
  <c r="AJ61" i="124" a="1"/>
  <c r="AJ61" i="124" s="1"/>
  <c r="AN61" i="124" s="1" a="1"/>
  <c r="AN61" i="124" s="1"/>
  <c r="AO66" i="124" a="1"/>
  <c r="AO66" i="124" s="1"/>
  <c r="AP72" i="124" a="1"/>
  <c r="AP72" i="124" s="1"/>
  <c r="BC78" i="124" a="1"/>
  <c r="BC78" i="124" s="1"/>
  <c r="BA78" i="124" a="1"/>
  <c r="BA78" i="124" s="1"/>
  <c r="AO84" i="124" a="1"/>
  <c r="AO84" i="124" s="1"/>
  <c r="AS84" i="124" s="1"/>
  <c r="AT84" i="124" s="1" a="1"/>
  <c r="AT84" i="124" s="1"/>
  <c r="BC48" i="124" a="1"/>
  <c r="BC48" i="124" s="1"/>
  <c r="BA48" i="124" a="1"/>
  <c r="BA48" i="124" s="1"/>
  <c r="AJ53" i="124" a="1"/>
  <c r="AJ53" i="124" s="1"/>
  <c r="AN53" i="124" s="1" a="1"/>
  <c r="AN53" i="124" s="1"/>
  <c r="AO53" i="124" a="1"/>
  <c r="AO53" i="124" s="1"/>
  <c r="AP55" i="124" a="1"/>
  <c r="AP55" i="124" s="1"/>
  <c r="BA62" i="124" a="1"/>
  <c r="BA62" i="124" s="1"/>
  <c r="AJ66" i="124" a="1"/>
  <c r="AJ66" i="124" s="1"/>
  <c r="AN66" i="124" s="1" a="1"/>
  <c r="AN66" i="124" s="1"/>
  <c r="AJ84" i="124" a="1"/>
  <c r="AJ84" i="124" s="1"/>
  <c r="AN84" i="124" s="1" a="1"/>
  <c r="AN84" i="124" s="1"/>
  <c r="BC56" i="124" a="1"/>
  <c r="BC56" i="124" s="1"/>
  <c r="BA56" i="124" a="1"/>
  <c r="BA56" i="124" s="1"/>
  <c r="AQ72" i="124"/>
  <c r="AK77" i="124"/>
  <c r="AM77" i="124" s="1"/>
  <c r="AQ55" i="124"/>
  <c r="AK66" i="124"/>
  <c r="AM66" i="124" s="1"/>
  <c r="AS72" i="124"/>
  <c r="AT72" i="124" s="1" a="1"/>
  <c r="AT72" i="124" s="1"/>
  <c r="AJ77" i="124" a="1"/>
  <c r="AJ77" i="124" s="1"/>
  <c r="AK84" i="124"/>
  <c r="AM84" i="124" s="1"/>
  <c r="BC98" i="124" a="1"/>
  <c r="BC98" i="124" s="1"/>
  <c r="BA98" i="124" a="1"/>
  <c r="BA98" i="124" s="1"/>
  <c r="AU103" i="124" a="1"/>
  <c r="AU103" i="124" s="1"/>
  <c r="AX103" i="124" s="1"/>
  <c r="AQ103" i="124"/>
  <c r="AP103" i="124" a="1"/>
  <c r="AP103" i="124" s="1"/>
  <c r="AS44" i="124"/>
  <c r="AT44" i="124" s="1" a="1"/>
  <c r="AT44" i="124" s="1"/>
  <c r="AR55" i="124"/>
  <c r="AO74" i="124" a="1"/>
  <c r="AO74" i="124" s="1"/>
  <c r="BC86" i="124" a="1"/>
  <c r="BC86" i="124" s="1"/>
  <c r="BA86" i="124" a="1"/>
  <c r="BA86" i="124" s="1"/>
  <c r="AR40" i="124"/>
  <c r="AK40" i="124"/>
  <c r="AM40" i="124" s="1"/>
  <c r="AK41" i="124"/>
  <c r="AM41" i="124" s="1"/>
  <c r="AJ44" i="124" a="1"/>
  <c r="AJ44" i="124" s="1"/>
  <c r="AN44" i="124" s="1" a="1"/>
  <c r="AN44" i="124" s="1"/>
  <c r="AK52" i="124"/>
  <c r="AM52" i="124" s="1"/>
  <c r="AS55" i="124"/>
  <c r="AT55" i="124" s="1" a="1"/>
  <c r="AT55" i="124" s="1"/>
  <c r="BC71" i="124" a="1"/>
  <c r="BC71" i="124" s="1"/>
  <c r="AJ74" i="124" a="1"/>
  <c r="AJ74" i="124" s="1"/>
  <c r="AN74" i="124" s="1" a="1"/>
  <c r="AN74" i="124" s="1"/>
  <c r="AN77" i="124" a="1"/>
  <c r="AN77" i="124" s="1"/>
  <c r="BA96" i="124" a="1"/>
  <c r="BA96" i="124" s="1"/>
  <c r="BC96" i="124" a="1"/>
  <c r="BC96" i="124" s="1"/>
  <c r="BC66" i="124" a="1"/>
  <c r="BC66" i="124" s="1"/>
  <c r="AO69" i="124" a="1"/>
  <c r="AO69" i="124" s="1"/>
  <c r="AJ69" i="124" a="1"/>
  <c r="AJ69" i="124" s="1"/>
  <c r="AN69" i="124" s="1" a="1"/>
  <c r="AN69" i="124" s="1"/>
  <c r="AO77" i="124" a="1"/>
  <c r="AO77" i="124" s="1"/>
  <c r="AR77" i="124" s="1"/>
  <c r="AK91" i="124"/>
  <c r="AM91" i="124" s="1"/>
  <c r="AJ91" i="124" a="1"/>
  <c r="AJ91" i="124" s="1"/>
  <c r="AN91" i="124" s="1" a="1"/>
  <c r="AN91" i="124" s="1"/>
  <c r="AO91" i="124" a="1"/>
  <c r="AO91" i="124" s="1"/>
  <c r="AS91" i="124" s="1"/>
  <c r="AT91" i="124" s="1" a="1"/>
  <c r="AT91" i="124" s="1"/>
  <c r="BC72" i="124" a="1"/>
  <c r="BC72" i="124" s="1"/>
  <c r="BA77" i="124" a="1"/>
  <c r="BA77" i="124" s="1"/>
  <c r="AK82" i="124"/>
  <c r="AM82" i="124" s="1"/>
  <c r="AO82" i="124" a="1"/>
  <c r="AO82" i="124" s="1"/>
  <c r="AS82" i="124" s="1"/>
  <c r="AT82" i="124" s="1" a="1"/>
  <c r="AT82" i="124" s="1"/>
  <c r="AJ82" i="124" a="1"/>
  <c r="AJ82" i="124" s="1"/>
  <c r="AN82" i="124" s="1" a="1"/>
  <c r="AN82" i="124" s="1"/>
  <c r="AK76" i="124"/>
  <c r="AM76" i="124" s="1"/>
  <c r="AO76" i="124" a="1"/>
  <c r="AO76" i="124" s="1"/>
  <c r="AK92" i="124"/>
  <c r="AM92" i="124" s="1"/>
  <c r="AJ92" i="124" a="1"/>
  <c r="AJ92" i="124" s="1"/>
  <c r="AN92" i="124" s="1" a="1"/>
  <c r="AN92" i="124" s="1"/>
  <c r="AO92" i="124" a="1"/>
  <c r="AO92" i="124" s="1"/>
  <c r="BC81" i="124" a="1"/>
  <c r="BC81" i="124" s="1"/>
  <c r="BA40" i="124" a="1"/>
  <c r="BA40" i="124" s="1"/>
  <c r="BC41" i="124" a="1"/>
  <c r="BC41" i="124" s="1"/>
  <c r="BC43" i="124" a="1"/>
  <c r="BC43" i="124" s="1"/>
  <c r="BA43" i="124" a="1"/>
  <c r="BA43" i="124" s="1"/>
  <c r="AJ68" i="124" a="1"/>
  <c r="AJ68" i="124" s="1"/>
  <c r="AN68" i="124" s="1" a="1"/>
  <c r="AN68" i="124" s="1"/>
  <c r="AM69" i="124"/>
  <c r="BA81" i="124" a="1"/>
  <c r="BA81" i="124" s="1"/>
  <c r="AR57" i="124"/>
  <c r="AK57" i="124"/>
  <c r="AM57" i="124" s="1"/>
  <c r="AJ57" i="124" a="1"/>
  <c r="AJ57" i="124" s="1"/>
  <c r="AN57" i="124" s="1" a="1"/>
  <c r="AN57" i="124" s="1"/>
  <c r="AO59" i="124" a="1"/>
  <c r="AO59" i="124" s="1"/>
  <c r="AS59" i="124" s="1"/>
  <c r="AT59" i="124" s="1" a="1"/>
  <c r="AT59" i="124" s="1"/>
  <c r="AN76" i="124" a="1"/>
  <c r="AN76" i="124" s="1"/>
  <c r="BC63" i="124" a="1"/>
  <c r="BC63" i="124" s="1"/>
  <c r="BA63" i="124" a="1"/>
  <c r="BA63" i="124" s="1"/>
  <c r="BC73" i="124" a="1"/>
  <c r="BC73" i="124" s="1"/>
  <c r="BA73" i="124" a="1"/>
  <c r="BA73" i="124" s="1"/>
  <c r="AM46" i="124"/>
  <c r="AO46" i="124" a="1"/>
  <c r="AO46" i="124" s="1"/>
  <c r="BC51" i="124" a="1"/>
  <c r="BC51" i="124" s="1"/>
  <c r="BA69" i="124" a="1"/>
  <c r="BA69" i="124" s="1"/>
  <c r="BC76" i="124" a="1"/>
  <c r="BC76" i="124" s="1"/>
  <c r="BC83" i="124" a="1"/>
  <c r="BC83" i="124" s="1"/>
  <c r="BA83" i="124" a="1"/>
  <c r="BA83" i="124" s="1"/>
  <c r="BA103" i="124" a="1"/>
  <c r="BA103" i="124" s="1"/>
  <c r="AJ104" i="124" a="1"/>
  <c r="AJ104" i="124" s="1"/>
  <c r="AN104" i="124" s="1" a="1"/>
  <c r="AN104" i="124" s="1"/>
  <c r="AO104" i="124" a="1"/>
  <c r="AO104" i="124" s="1"/>
  <c r="AR104" i="124" s="1"/>
  <c r="AK104" i="124"/>
  <c r="AM104" i="124" s="1"/>
  <c r="AO87" i="124" a="1"/>
  <c r="AO87" i="124" s="1"/>
  <c r="AS87" i="124" s="1"/>
  <c r="AT87" i="124" s="1" a="1"/>
  <c r="AT87" i="124" s="1"/>
  <c r="AM97" i="124"/>
  <c r="AJ97" i="124" a="1"/>
  <c r="AJ97" i="124" s="1"/>
  <c r="AN97" i="124" s="1" a="1"/>
  <c r="AN97" i="124" s="1"/>
  <c r="AO97" i="124" a="1"/>
  <c r="AO97" i="124" s="1"/>
  <c r="BC68" i="124" a="1"/>
  <c r="BC68" i="124" s="1"/>
  <c r="BA68" i="124" a="1"/>
  <c r="BA68" i="124" s="1"/>
  <c r="BC87" i="124" a="1"/>
  <c r="BC87" i="124" s="1"/>
  <c r="BC103" i="124" a="1"/>
  <c r="BC103" i="124" s="1"/>
  <c r="AK81" i="124"/>
  <c r="AM81" i="124" s="1"/>
  <c r="AJ81" i="124" a="1"/>
  <c r="AJ81" i="124" s="1"/>
  <c r="AN81" i="124" s="1" a="1"/>
  <c r="AN81" i="124" s="1"/>
  <c r="AO81" i="124" a="1"/>
  <c r="AO81" i="124" s="1"/>
  <c r="AJ105" i="124" a="1"/>
  <c r="AJ105" i="124" s="1"/>
  <c r="AN105" i="124" s="1" a="1"/>
  <c r="AN105" i="124" s="1"/>
  <c r="AK105" i="124"/>
  <c r="AM105" i="124" s="1"/>
  <c r="AJ109" i="124" a="1"/>
  <c r="AJ109" i="124" s="1"/>
  <c r="AN109" i="124" s="1" a="1"/>
  <c r="AN109" i="124" s="1"/>
  <c r="AK109" i="124"/>
  <c r="AM109" i="124" s="1"/>
  <c r="AO109" i="124" a="1"/>
  <c r="AO109" i="124" s="1"/>
  <c r="AS109" i="124" s="1"/>
  <c r="AT109" i="124" s="1" a="1"/>
  <c r="AT109" i="124" s="1"/>
  <c r="AO94" i="124" a="1"/>
  <c r="AO94" i="124" s="1"/>
  <c r="AS94" i="124" s="1"/>
  <c r="AT94" i="124" s="1" a="1"/>
  <c r="AT94" i="124" s="1"/>
  <c r="AM94" i="124"/>
  <c r="AU99" i="124" a="1"/>
  <c r="AU99" i="124" s="1"/>
  <c r="AS99" i="124"/>
  <c r="AT99" i="124" s="1" a="1"/>
  <c r="AT99" i="124" s="1"/>
  <c r="AM56" i="124"/>
  <c r="AO56" i="124" a="1"/>
  <c r="AO56" i="124" s="1"/>
  <c r="BC61" i="124" a="1"/>
  <c r="BC61" i="124" s="1"/>
  <c r="AS64" i="124"/>
  <c r="AT64" i="124" s="1" a="1"/>
  <c r="AT64" i="124" s="1"/>
  <c r="BC82" i="124" a="1"/>
  <c r="BC82" i="124" s="1"/>
  <c r="BC91" i="124" a="1"/>
  <c r="BC91" i="124" s="1"/>
  <c r="AJ94" i="124" a="1"/>
  <c r="AJ94" i="124" s="1"/>
  <c r="AN94" i="124" s="1" a="1"/>
  <c r="AN94" i="124" s="1"/>
  <c r="BC95" i="124" a="1"/>
  <c r="BC95" i="124" s="1"/>
  <c r="AP99" i="124" a="1"/>
  <c r="AP99" i="124" s="1"/>
  <c r="AO105" i="124" a="1"/>
  <c r="AO105" i="124" s="1"/>
  <c r="AS105" i="124" s="1"/>
  <c r="AT105" i="124" s="1" a="1"/>
  <c r="AT105" i="124" s="1"/>
  <c r="AK121" i="124"/>
  <c r="AM121" i="124" s="1"/>
  <c r="AO121" i="124" a="1"/>
  <c r="AO121" i="124" s="1"/>
  <c r="AJ121" i="124" a="1"/>
  <c r="AJ121" i="124" s="1"/>
  <c r="AN121" i="124" s="1" a="1"/>
  <c r="AN121" i="124" s="1"/>
  <c r="AR72" i="124"/>
  <c r="AK72" i="124"/>
  <c r="AM72" i="124" s="1"/>
  <c r="AO89" i="124" a="1"/>
  <c r="AO89" i="124" s="1"/>
  <c r="AS89" i="124" s="1"/>
  <c r="AT89" i="124" s="1" a="1"/>
  <c r="AT89" i="124" s="1"/>
  <c r="AN89" i="124" a="1"/>
  <c r="AN89" i="124" s="1"/>
  <c r="AQ124" i="124"/>
  <c r="AU124" i="124" a="1"/>
  <c r="AU124" i="124" s="1"/>
  <c r="AX124" i="124" s="1"/>
  <c r="AS124" i="124"/>
  <c r="AT124" i="124" s="1" a="1"/>
  <c r="AT124" i="124" s="1"/>
  <c r="AP124" i="124" a="1"/>
  <c r="AP124" i="124" s="1"/>
  <c r="AU114" i="124" a="1"/>
  <c r="AU114" i="124" s="1"/>
  <c r="AX114" i="124" s="1"/>
  <c r="AS114" i="124"/>
  <c r="AT114" i="124" s="1" a="1"/>
  <c r="AT114" i="124" s="1"/>
  <c r="AQ114" i="124"/>
  <c r="AK64" i="124"/>
  <c r="AM64" i="124" s="1"/>
  <c r="AJ73" i="124" a="1"/>
  <c r="AJ73" i="124" s="1"/>
  <c r="AN73" i="124" s="1" a="1"/>
  <c r="AN73" i="124" s="1"/>
  <c r="AO79" i="124" a="1"/>
  <c r="AO79" i="124" s="1"/>
  <c r="AS79" i="124" s="1"/>
  <c r="AT79" i="124" s="1" a="1"/>
  <c r="AT79" i="124" s="1"/>
  <c r="AP114" i="124" a="1"/>
  <c r="AP114" i="124" s="1"/>
  <c r="AU116" i="124" a="1"/>
  <c r="AU116" i="124" s="1"/>
  <c r="AQ116" i="124"/>
  <c r="AR116" i="124"/>
  <c r="AP116" i="124" a="1"/>
  <c r="AP116" i="124" s="1"/>
  <c r="AO111" i="124" a="1"/>
  <c r="AO111" i="124" s="1"/>
  <c r="AR111" i="124" s="1"/>
  <c r="AK111" i="124"/>
  <c r="AM111" i="124" s="1"/>
  <c r="AJ111" i="124" a="1"/>
  <c r="AJ111" i="124" s="1"/>
  <c r="AN111" i="124" s="1" a="1"/>
  <c r="AN111" i="124" s="1"/>
  <c r="AK96" i="124"/>
  <c r="AM96" i="124" s="1"/>
  <c r="AU127" i="124" a="1"/>
  <c r="AU127" i="124" s="1"/>
  <c r="AS127" i="124"/>
  <c r="AT127" i="124" s="1" a="1"/>
  <c r="AT127" i="124" s="1"/>
  <c r="AR127" i="124"/>
  <c r="AQ127" i="124"/>
  <c r="AP127" i="124" a="1"/>
  <c r="AP127" i="124" s="1"/>
  <c r="AJ96" i="124" a="1"/>
  <c r="AJ96" i="124" s="1"/>
  <c r="AN96" i="124" s="1" a="1"/>
  <c r="AN96" i="124" s="1"/>
  <c r="BC115" i="124" a="1"/>
  <c r="BC115" i="124" s="1"/>
  <c r="BA115" i="124" a="1"/>
  <c r="BA115" i="124" s="1"/>
  <c r="BC93" i="124" a="1"/>
  <c r="BC93" i="124" s="1"/>
  <c r="BA93" i="124" a="1"/>
  <c r="BA93" i="124" s="1"/>
  <c r="AK87" i="124"/>
  <c r="AM87" i="124" s="1"/>
  <c r="BC88" i="124" a="1"/>
  <c r="BC88" i="124" s="1"/>
  <c r="BA88" i="124" a="1"/>
  <c r="BA88" i="124" s="1"/>
  <c r="AO96" i="124" a="1"/>
  <c r="AO96" i="124" s="1"/>
  <c r="BA107" i="124" a="1"/>
  <c r="BA107" i="124" s="1"/>
  <c r="BC111" i="124" a="1"/>
  <c r="BC111" i="124" s="1"/>
  <c r="AK102" i="124"/>
  <c r="AM102" i="124" s="1"/>
  <c r="BC125" i="124" a="1"/>
  <c r="BC125" i="124" s="1"/>
  <c r="BA125" i="124" a="1"/>
  <c r="BA125" i="124" s="1"/>
  <c r="BC130" i="124" a="1"/>
  <c r="BC130" i="124" s="1"/>
  <c r="BA130" i="124" a="1"/>
  <c r="BA130" i="124" s="1"/>
  <c r="AU137" i="124" a="1"/>
  <c r="AU137" i="124" s="1"/>
  <c r="AQ137" i="124"/>
  <c r="AP137" i="124" a="1"/>
  <c r="AP137" i="124" s="1"/>
  <c r="BC101" i="124" a="1"/>
  <c r="BC101" i="124" s="1"/>
  <c r="AJ102" i="124" a="1"/>
  <c r="AJ102" i="124" s="1"/>
  <c r="AN102" i="124" s="1" a="1"/>
  <c r="AN102" i="124" s="1"/>
  <c r="AJ120" i="124" a="1"/>
  <c r="AJ120" i="124" s="1"/>
  <c r="AN120" i="124" s="1" a="1"/>
  <c r="AN120" i="124" s="1"/>
  <c r="AO120" i="124" a="1"/>
  <c r="AO120" i="124" s="1"/>
  <c r="BC106" i="124" a="1"/>
  <c r="BC106" i="124" s="1"/>
  <c r="AM107" i="124"/>
  <c r="AJ119" i="124" a="1"/>
  <c r="AJ119" i="124" s="1"/>
  <c r="AN119" i="124" s="1" a="1"/>
  <c r="AN119" i="124" s="1"/>
  <c r="BC119" i="124" a="1"/>
  <c r="BC119" i="124" s="1"/>
  <c r="BA134" i="124" a="1"/>
  <c r="BA134" i="124" s="1"/>
  <c r="BC134" i="124" a="1"/>
  <c r="BC134" i="124" s="1"/>
  <c r="AO141" i="124" a="1"/>
  <c r="AO141" i="124" s="1"/>
  <c r="AR141" i="124" s="1"/>
  <c r="AK141" i="124"/>
  <c r="AM141" i="124" s="1"/>
  <c r="AJ141" i="124" a="1"/>
  <c r="AJ141" i="124" s="1"/>
  <c r="AN141" i="124" s="1" a="1"/>
  <c r="AN141" i="124" s="1"/>
  <c r="AX55" i="124"/>
  <c r="AN78" i="124" a="1"/>
  <c r="AN78" i="124" s="1"/>
  <c r="AN88" i="124" a="1"/>
  <c r="AN88" i="124" s="1"/>
  <c r="AN93" i="124" a="1"/>
  <c r="AN93" i="124" s="1"/>
  <c r="AN95" i="124" a="1"/>
  <c r="AN95" i="124" s="1"/>
  <c r="AR99" i="124"/>
  <c r="AJ99" i="124" a="1"/>
  <c r="AJ99" i="124" s="1"/>
  <c r="AN99" i="124" s="1" a="1"/>
  <c r="AN99" i="124" s="1"/>
  <c r="AJ107" i="124" a="1"/>
  <c r="AJ107" i="124" s="1"/>
  <c r="AN107" i="124" s="1" a="1"/>
  <c r="AN107" i="124" s="1"/>
  <c r="AR114" i="124"/>
  <c r="AJ114" i="124" a="1"/>
  <c r="AJ114" i="124" s="1"/>
  <c r="AN114" i="124" s="1" a="1"/>
  <c r="AN114" i="124" s="1"/>
  <c r="AM118" i="124"/>
  <c r="AO118" i="124" a="1"/>
  <c r="AO118" i="124" s="1"/>
  <c r="AS118" i="124" s="1"/>
  <c r="AT118" i="124" s="1" a="1"/>
  <c r="AT118" i="124" s="1"/>
  <c r="AJ118" i="124" a="1"/>
  <c r="AJ118" i="124" s="1"/>
  <c r="AN118" i="124" s="1" a="1"/>
  <c r="AN118" i="124" s="1"/>
  <c r="AK119" i="124"/>
  <c r="AM119" i="124" s="1"/>
  <c r="BA151" i="124" a="1"/>
  <c r="BA151" i="124" s="1"/>
  <c r="AS103" i="124"/>
  <c r="AT103" i="124" s="1" a="1"/>
  <c r="AT103" i="124" s="1"/>
  <c r="AR103" i="124"/>
  <c r="AU132" i="124" a="1"/>
  <c r="AU132" i="124" s="1"/>
  <c r="AQ132" i="124"/>
  <c r="BA140" i="124" a="1"/>
  <c r="BA140" i="124" s="1"/>
  <c r="BC140" i="124" a="1"/>
  <c r="BC140" i="124" s="1"/>
  <c r="AU151" i="124" a="1"/>
  <c r="AU151" i="124" s="1"/>
  <c r="AR151" i="124"/>
  <c r="AQ151" i="124"/>
  <c r="AP151" i="124" a="1"/>
  <c r="AP151" i="124" s="1"/>
  <c r="AS151" i="124"/>
  <c r="AT151" i="124" s="1" a="1"/>
  <c r="AT151" i="124" s="1"/>
  <c r="AK116" i="124"/>
  <c r="AM116" i="124" s="1"/>
  <c r="BA127" i="124" a="1"/>
  <c r="BA127" i="124" s="1"/>
  <c r="BC127" i="124" a="1"/>
  <c r="BC127" i="124" s="1"/>
  <c r="BA132" i="124" a="1"/>
  <c r="BA132" i="124" s="1"/>
  <c r="BC132" i="124" a="1"/>
  <c r="BC132" i="124" s="1"/>
  <c r="AP132" i="124" a="1"/>
  <c r="AP132" i="124" s="1"/>
  <c r="AK138" i="124"/>
  <c r="AM138" i="124" s="1"/>
  <c r="AJ138" i="124" a="1"/>
  <c r="AJ138" i="124" s="1"/>
  <c r="AN138" i="124" s="1" a="1"/>
  <c r="AN138" i="124" s="1"/>
  <c r="AO138" i="124" a="1"/>
  <c r="AO138" i="124" s="1"/>
  <c r="AR138" i="124" s="1"/>
  <c r="AP144" i="124" a="1"/>
  <c r="AP144" i="124" s="1"/>
  <c r="AS144" i="124"/>
  <c r="AT144" i="124" s="1" a="1"/>
  <c r="AT144" i="124" s="1"/>
  <c r="AQ135" i="124"/>
  <c r="AP135" i="124" a="1"/>
  <c r="AP135" i="124" s="1"/>
  <c r="BA102" i="124" a="1"/>
  <c r="BA102" i="124" s="1"/>
  <c r="AK103" i="124"/>
  <c r="AM103" i="124" s="1"/>
  <c r="BA112" i="124" a="1"/>
  <c r="BA112" i="124" s="1"/>
  <c r="AR132" i="124"/>
  <c r="AR135" i="124"/>
  <c r="AR144" i="124"/>
  <c r="BC99" i="124" a="1"/>
  <c r="BC99" i="124" s="1"/>
  <c r="AO107" i="124" a="1"/>
  <c r="AO107" i="124" s="1"/>
  <c r="AO119" i="124" a="1"/>
  <c r="AO119" i="124" s="1"/>
  <c r="AR119" i="124" s="1"/>
  <c r="AS132" i="124"/>
  <c r="AT132" i="124" s="1" a="1"/>
  <c r="AT132" i="124" s="1"/>
  <c r="AU135" i="124" a="1"/>
  <c r="AU135" i="124" s="1"/>
  <c r="AX135" i="124" s="1"/>
  <c r="BA117" i="124" a="1"/>
  <c r="BA117" i="124" s="1"/>
  <c r="BC124" i="124" a="1"/>
  <c r="BC124" i="124" s="1"/>
  <c r="BA124" i="124" a="1"/>
  <c r="BA124" i="124" s="1"/>
  <c r="BC129" i="124" a="1"/>
  <c r="BC129" i="124" s="1"/>
  <c r="BA129" i="124" a="1"/>
  <c r="BA129" i="124" s="1"/>
  <c r="BC141" i="124" a="1"/>
  <c r="BC141" i="124" s="1"/>
  <c r="BA141" i="124" a="1"/>
  <c r="BA141" i="124" s="1"/>
  <c r="BA148" i="124" a="1"/>
  <c r="BA148" i="124" s="1"/>
  <c r="BC148" i="124" a="1"/>
  <c r="BC148" i="124" s="1"/>
  <c r="AJ156" i="124" a="1"/>
  <c r="AJ156" i="124" s="1"/>
  <c r="AN156" i="124" s="1" a="1"/>
  <c r="AN156" i="124" s="1"/>
  <c r="AK156" i="124"/>
  <c r="AM156" i="124" s="1"/>
  <c r="AO156" i="124" a="1"/>
  <c r="AO156" i="124" s="1"/>
  <c r="AS156" i="124" s="1"/>
  <c r="AT156" i="124" s="1" a="1"/>
  <c r="AT156" i="124" s="1"/>
  <c r="AR102" i="124"/>
  <c r="AN116" i="124" a="1"/>
  <c r="AN116" i="124" s="1"/>
  <c r="AP117" i="124" a="1"/>
  <c r="AP117" i="124" s="1"/>
  <c r="BA118" i="124" a="1"/>
  <c r="BA118" i="124" s="1"/>
  <c r="AU155" i="124" a="1"/>
  <c r="AU155" i="124" s="1"/>
  <c r="AQ155" i="124"/>
  <c r="AP155" i="124" a="1"/>
  <c r="AP155" i="124" s="1"/>
  <c r="BA138" i="124" a="1"/>
  <c r="BA138" i="124" s="1"/>
  <c r="AO150" i="124" a="1"/>
  <c r="AO150" i="124" s="1"/>
  <c r="AN150" i="124" a="1"/>
  <c r="AN150" i="124" s="1"/>
  <c r="BA126" i="124" a="1"/>
  <c r="BA126" i="124" s="1"/>
  <c r="BA131" i="124" a="1"/>
  <c r="BA131" i="124" s="1"/>
  <c r="BA105" i="124" a="1"/>
  <c r="BA105" i="124" s="1"/>
  <c r="AS116" i="124"/>
  <c r="AT116" i="124" s="1" a="1"/>
  <c r="AT116" i="124" s="1"/>
  <c r="AS117" i="124"/>
  <c r="AT117" i="124" s="1" a="1"/>
  <c r="AT117" i="124" s="1"/>
  <c r="AO143" i="124" a="1"/>
  <c r="AO143" i="124" s="1"/>
  <c r="AS143" i="124" s="1"/>
  <c r="AT143" i="124" s="1" a="1"/>
  <c r="AT143" i="124" s="1"/>
  <c r="AK146" i="124"/>
  <c r="AM146" i="124" s="1"/>
  <c r="AO146" i="124" a="1"/>
  <c r="AO146" i="124" s="1"/>
  <c r="AR146" i="124" s="1"/>
  <c r="AJ146" i="124" a="1"/>
  <c r="AJ146" i="124" s="1"/>
  <c r="AN146" i="124" s="1" a="1"/>
  <c r="AN146" i="124" s="1"/>
  <c r="AK150" i="124"/>
  <c r="AM150" i="124" s="1"/>
  <c r="BA84" i="124" a="1"/>
  <c r="BA84" i="124" s="1"/>
  <c r="BA89" i="124" a="1"/>
  <c r="BA89" i="124" s="1"/>
  <c r="AJ110" i="124" a="1"/>
  <c r="AJ110" i="124" s="1"/>
  <c r="AN110" i="124" s="1" a="1"/>
  <c r="AN110" i="124" s="1"/>
  <c r="BA110" i="124" a="1"/>
  <c r="BA110" i="124" s="1"/>
  <c r="BA133" i="124" a="1"/>
  <c r="BA133" i="124" s="1"/>
  <c r="AJ143" i="124" a="1"/>
  <c r="AJ143" i="124" s="1"/>
  <c r="AN143" i="124" s="1" a="1"/>
  <c r="AN143" i="124" s="1"/>
  <c r="BA121" i="124" a="1"/>
  <c r="BA121" i="124" s="1"/>
  <c r="BC123" i="124" a="1"/>
  <c r="BC123" i="124" s="1"/>
  <c r="BA123" i="124" a="1"/>
  <c r="BA123" i="124" s="1"/>
  <c r="BA155" i="124" a="1"/>
  <c r="BA155" i="124" s="1"/>
  <c r="BC155" i="124" a="1"/>
  <c r="BC155" i="124" s="1"/>
  <c r="BC94" i="124" a="1"/>
  <c r="BC94" i="124" s="1"/>
  <c r="AM98" i="124"/>
  <c r="BC121" i="124" a="1"/>
  <c r="BC121" i="124" s="1"/>
  <c r="BC128" i="124" a="1"/>
  <c r="BC128" i="124" s="1"/>
  <c r="BA128" i="124" a="1"/>
  <c r="BA128" i="124" s="1"/>
  <c r="AK143" i="124"/>
  <c r="AM143" i="124" s="1"/>
  <c r="AJ98" i="124" a="1"/>
  <c r="AJ98" i="124" s="1"/>
  <c r="AN98" i="124" s="1" a="1"/>
  <c r="AN98" i="124" s="1"/>
  <c r="AJ106" i="124" a="1"/>
  <c r="AJ106" i="124" s="1"/>
  <c r="AN106" i="124" s="1" a="1"/>
  <c r="AN106" i="124" s="1"/>
  <c r="AU139" i="124" a="1"/>
  <c r="AU139" i="124" s="1"/>
  <c r="AP139" i="124" a="1"/>
  <c r="AP139" i="124" s="1"/>
  <c r="BC120" i="124" a="1"/>
  <c r="BC120" i="124" s="1"/>
  <c r="BA120" i="124" a="1"/>
  <c r="BA120" i="124" s="1"/>
  <c r="BC122" i="124" a="1"/>
  <c r="BC122" i="124" s="1"/>
  <c r="AO123" i="124" a="1"/>
  <c r="AO123" i="124" s="1"/>
  <c r="AS123" i="124" s="1"/>
  <c r="AT123" i="124" s="1" a="1"/>
  <c r="AT123" i="124" s="1"/>
  <c r="AS135" i="124"/>
  <c r="AT135" i="124" s="1" a="1"/>
  <c r="AT135" i="124" s="1"/>
  <c r="AR124" i="124"/>
  <c r="AJ124" i="124" a="1"/>
  <c r="AJ124" i="124" s="1"/>
  <c r="AN124" i="124" s="1" a="1"/>
  <c r="AN124" i="124" s="1"/>
  <c r="BA137" i="124" a="1"/>
  <c r="BA137" i="124" s="1"/>
  <c r="BC137" i="124" a="1"/>
  <c r="BC137" i="124" s="1"/>
  <c r="AP174" i="124" a="1"/>
  <c r="AP174" i="124" s="1"/>
  <c r="AR174" i="124"/>
  <c r="AQ174" i="124"/>
  <c r="AK134" i="124"/>
  <c r="AM134" i="124" s="1"/>
  <c r="AJ134" i="124" a="1"/>
  <c r="AJ134" i="124" s="1"/>
  <c r="AN134" i="124" s="1" a="1"/>
  <c r="AN134" i="124" s="1"/>
  <c r="AJ140" i="124" a="1"/>
  <c r="AJ140" i="124" s="1"/>
  <c r="AN140" i="124" s="1" a="1"/>
  <c r="AN140" i="124" s="1"/>
  <c r="AR155" i="124"/>
  <c r="AS155" i="124"/>
  <c r="AT155" i="124" s="1" a="1"/>
  <c r="AT155" i="124" s="1"/>
  <c r="AJ155" i="124" a="1"/>
  <c r="AJ155" i="124" s="1"/>
  <c r="AN155" i="124" a="1"/>
  <c r="AN155" i="124" s="1"/>
  <c r="AK155" i="124"/>
  <c r="AM155" i="124" s="1"/>
  <c r="AV174" i="124" a="1"/>
  <c r="AV174" i="124" s="1"/>
  <c r="AW174" i="124"/>
  <c r="AO113" i="124" a="1"/>
  <c r="AO113" i="124" s="1"/>
  <c r="AS113" i="124" s="1"/>
  <c r="AT113" i="124" s="1" a="1"/>
  <c r="AT113" i="124" s="1"/>
  <c r="AO126" i="124" a="1"/>
  <c r="AO126" i="124" s="1"/>
  <c r="BC136" i="124" a="1"/>
  <c r="BC136" i="124" s="1"/>
  <c r="BA136" i="124" a="1"/>
  <c r="BA136" i="124" s="1"/>
  <c r="AK140" i="124"/>
  <c r="AM140" i="124" s="1"/>
  <c r="AO128" i="124" a="1"/>
  <c r="AO128" i="124" s="1"/>
  <c r="AR128" i="124" s="1"/>
  <c r="AM133" i="124"/>
  <c r="AO140" i="124" a="1"/>
  <c r="AO140" i="124" s="1"/>
  <c r="AK153" i="124"/>
  <c r="AM153" i="124" s="1"/>
  <c r="AJ153" i="124" a="1"/>
  <c r="AJ153" i="124" s="1"/>
  <c r="AN153" i="124" s="1" a="1"/>
  <c r="AN153" i="124" s="1"/>
  <c r="AO153" i="124" a="1"/>
  <c r="AO153" i="124" s="1"/>
  <c r="AR153" i="124" s="1"/>
  <c r="AK192" i="124"/>
  <c r="AM192" i="124" s="1"/>
  <c r="AJ192" i="124" a="1"/>
  <c r="AJ192" i="124" s="1"/>
  <c r="AN192" i="124" s="1" a="1"/>
  <c r="AN192" i="124" s="1"/>
  <c r="AO192" i="124" a="1"/>
  <c r="AO192" i="124" s="1"/>
  <c r="AR192" i="124" s="1"/>
  <c r="AO131" i="124" a="1"/>
  <c r="AO131" i="124" s="1"/>
  <c r="AS131" i="124" s="1"/>
  <c r="AT131" i="124" s="1" a="1"/>
  <c r="AT131" i="124" s="1"/>
  <c r="AO134" i="124" a="1"/>
  <c r="AO134" i="124" s="1"/>
  <c r="AS139" i="124"/>
  <c r="AT139" i="124" s="1" a="1"/>
  <c r="AT139" i="124" s="1"/>
  <c r="AN139" i="124" a="1"/>
  <c r="AN139" i="124" s="1"/>
  <c r="AR139" i="124"/>
  <c r="BA142" i="124" a="1"/>
  <c r="BA142" i="124" s="1"/>
  <c r="BA165" i="124" a="1"/>
  <c r="BA165" i="124" s="1"/>
  <c r="BC165" i="124" a="1"/>
  <c r="BC165" i="124" s="1"/>
  <c r="AQ160" i="124"/>
  <c r="AP160" i="124" a="1"/>
  <c r="AP160" i="124" s="1"/>
  <c r="AU160" i="124" a="1"/>
  <c r="AU160" i="124" s="1"/>
  <c r="AX160" i="124" s="1"/>
  <c r="AO158" i="124" a="1"/>
  <c r="AO158" i="124" s="1"/>
  <c r="AR158" i="124" s="1"/>
  <c r="AJ158" i="124" a="1"/>
  <c r="AJ158" i="124" s="1"/>
  <c r="AN158" i="124" s="1" a="1"/>
  <c r="AN158" i="124" s="1"/>
  <c r="AK158" i="124"/>
  <c r="AM158" i="124" s="1"/>
  <c r="AS137" i="124"/>
  <c r="AT137" i="124" s="1" a="1"/>
  <c r="AT137" i="124" s="1"/>
  <c r="AR137" i="124"/>
  <c r="BA139" i="124" a="1"/>
  <c r="BA139" i="124" s="1"/>
  <c r="BC139" i="124" a="1"/>
  <c r="BC139" i="124" s="1"/>
  <c r="BA169" i="124" a="1"/>
  <c r="BA169" i="124" s="1"/>
  <c r="BC169" i="124" a="1"/>
  <c r="BC169" i="124" s="1"/>
  <c r="AK152" i="124"/>
  <c r="AM152" i="124" s="1"/>
  <c r="AO152" i="124" a="1"/>
  <c r="AO152" i="124" s="1"/>
  <c r="AS152" i="124" s="1"/>
  <c r="AT152" i="124" s="1" a="1"/>
  <c r="AT152" i="124" s="1"/>
  <c r="BA161" i="124" a="1"/>
  <c r="BA161" i="124" s="1"/>
  <c r="BC161" i="124" a="1"/>
  <c r="BC161" i="124" s="1"/>
  <c r="AJ152" i="124" a="1"/>
  <c r="AJ152" i="124" s="1"/>
  <c r="AN152" i="124" s="1" a="1"/>
  <c r="AN152" i="124" s="1"/>
  <c r="BA156" i="124" a="1"/>
  <c r="BA156" i="124" s="1"/>
  <c r="BA182" i="124" a="1"/>
  <c r="BA182" i="124" s="1"/>
  <c r="BC144" i="124" a="1"/>
  <c r="BC144" i="124" s="1"/>
  <c r="BC147" i="124" a="1"/>
  <c r="BC147" i="124" s="1"/>
  <c r="BA160" i="124" a="1"/>
  <c r="BA160" i="124" s="1"/>
  <c r="AJ161" i="124" a="1"/>
  <c r="AJ161" i="124" s="1"/>
  <c r="AK161" i="124"/>
  <c r="AM161" i="124" s="1"/>
  <c r="BC164" i="124" a="1"/>
  <c r="BC164" i="124" s="1"/>
  <c r="BC171" i="124" a="1"/>
  <c r="BC171" i="124" s="1"/>
  <c r="AR178" i="124"/>
  <c r="AQ178" i="124"/>
  <c r="AP178" i="124" a="1"/>
  <c r="AP178" i="124" s="1"/>
  <c r="AO145" i="124" a="1"/>
  <c r="AO145" i="124" s="1"/>
  <c r="AR145" i="124" s="1"/>
  <c r="BA167" i="124" a="1"/>
  <c r="BA167" i="124" s="1"/>
  <c r="BA173" i="124" a="1"/>
  <c r="BA173" i="124" s="1"/>
  <c r="AS178" i="124"/>
  <c r="AT178" i="124" s="1" a="1"/>
  <c r="AT178" i="124" s="1"/>
  <c r="BC182" i="124" a="1"/>
  <c r="BC182" i="124" s="1"/>
  <c r="AU199" i="124" a="1"/>
  <c r="AU199" i="124" s="1"/>
  <c r="AX199" i="124" s="1"/>
  <c r="AS199" i="124"/>
  <c r="AT199" i="124" s="1" a="1"/>
  <c r="AT199" i="124" s="1"/>
  <c r="AR199" i="124"/>
  <c r="AQ199" i="124"/>
  <c r="AP199" i="124" a="1"/>
  <c r="AP199" i="124" s="1"/>
  <c r="AM117" i="124"/>
  <c r="AM127" i="124"/>
  <c r="AJ145" i="124" a="1"/>
  <c r="AJ145" i="124" s="1"/>
  <c r="AN145" i="124" s="1" a="1"/>
  <c r="AN145" i="124" s="1"/>
  <c r="AN161" i="124" a="1"/>
  <c r="AN161" i="124" s="1"/>
  <c r="AR160" i="124"/>
  <c r="AS160" i="124"/>
  <c r="AT160" i="124" s="1" a="1"/>
  <c r="AT160" i="124" s="1"/>
  <c r="AO161" i="124" a="1"/>
  <c r="AO161" i="124" s="1"/>
  <c r="AM164" i="124"/>
  <c r="AJ164" i="124" a="1"/>
  <c r="AJ164" i="124" s="1"/>
  <c r="AN164" i="124" s="1" a="1"/>
  <c r="AN164" i="124" s="1"/>
  <c r="BA166" i="124" a="1"/>
  <c r="BA166" i="124" s="1"/>
  <c r="AM172" i="124"/>
  <c r="AO172" i="124" a="1"/>
  <c r="AO172" i="124" s="1"/>
  <c r="AJ172" i="124" a="1"/>
  <c r="AJ172" i="124" s="1"/>
  <c r="AN172" i="124" s="1" a="1"/>
  <c r="AN172" i="124" s="1"/>
  <c r="AU178" i="124" a="1"/>
  <c r="AU178" i="124" s="1"/>
  <c r="AU198" i="124" a="1"/>
  <c r="AU198" i="124" s="1"/>
  <c r="AR198" i="124"/>
  <c r="AS198" i="124"/>
  <c r="AT198" i="124" s="1" a="1"/>
  <c r="AT198" i="124" s="1"/>
  <c r="BA198" i="124" a="1"/>
  <c r="BA198" i="124" s="1"/>
  <c r="BC198" i="124" a="1"/>
  <c r="BC198" i="124" s="1"/>
  <c r="BC187" i="124" a="1"/>
  <c r="BC187" i="124" s="1"/>
  <c r="BA187" i="124" a="1"/>
  <c r="BA187" i="124" s="1"/>
  <c r="BA164" i="124" a="1"/>
  <c r="BA164" i="124" s="1"/>
  <c r="BA181" i="124" a="1"/>
  <c r="BA181" i="124" s="1"/>
  <c r="BC181" i="124" a="1"/>
  <c r="BC181" i="124" s="1"/>
  <c r="AK154" i="124"/>
  <c r="AM154" i="124" s="1"/>
  <c r="AJ154" i="124" a="1"/>
  <c r="AJ154" i="124" s="1"/>
  <c r="AN154" i="124" s="1" a="1"/>
  <c r="AN154" i="124" s="1"/>
  <c r="BC167" i="124" a="1"/>
  <c r="BC167" i="124" s="1"/>
  <c r="AS159" i="124"/>
  <c r="AT159" i="124" s="1" a="1"/>
  <c r="AT159" i="124" s="1"/>
  <c r="AR159" i="124"/>
  <c r="BA174" i="124" a="1"/>
  <c r="BA174" i="124" s="1"/>
  <c r="BC143" i="124" a="1"/>
  <c r="BC143" i="124" s="1"/>
  <c r="AM147" i="124"/>
  <c r="AP159" i="124" a="1"/>
  <c r="AP159" i="124" s="1"/>
  <c r="AS189" i="124"/>
  <c r="AT189" i="124" s="1" a="1"/>
  <c r="AT189" i="124" s="1"/>
  <c r="AP189" i="124" a="1"/>
  <c r="AP189" i="124" s="1"/>
  <c r="AR189" i="124"/>
  <c r="AJ147" i="124" a="1"/>
  <c r="AJ147" i="124" s="1"/>
  <c r="AN147" i="124" s="1" a="1"/>
  <c r="AN147" i="124" s="1"/>
  <c r="AO154" i="124" a="1"/>
  <c r="AO154" i="124" s="1"/>
  <c r="AS154" i="124" s="1"/>
  <c r="AT154" i="124" s="1" a="1"/>
  <c r="AT154" i="124" s="1"/>
  <c r="BC162" i="124" a="1"/>
  <c r="BC162" i="124" s="1"/>
  <c r="AQ189" i="124"/>
  <c r="AJ170" i="124" a="1"/>
  <c r="AJ170" i="124" s="1"/>
  <c r="AN170" i="124" s="1" a="1"/>
  <c r="AN170" i="124" s="1"/>
  <c r="AJ175" i="124" a="1"/>
  <c r="AJ175" i="124" s="1"/>
  <c r="AN175" i="124" s="1" a="1"/>
  <c r="AN175" i="124" s="1"/>
  <c r="AO175" i="124" a="1"/>
  <c r="AO175" i="124" s="1"/>
  <c r="AR175" i="124" s="1"/>
  <c r="BA179" i="124" a="1"/>
  <c r="BA179" i="124" s="1"/>
  <c r="BC179" i="124" a="1"/>
  <c r="BC179" i="124" s="1"/>
  <c r="BA209" i="124" a="1"/>
  <c r="BA209" i="124" s="1"/>
  <c r="BC209" i="124" a="1"/>
  <c r="BC209" i="124" s="1"/>
  <c r="AN181" i="124" a="1"/>
  <c r="AN181" i="124" s="1"/>
  <c r="AS181" i="124"/>
  <c r="AT181" i="124" s="1" a="1"/>
  <c r="AT181" i="124" s="1"/>
  <c r="AJ186" i="124" a="1"/>
  <c r="AJ186" i="124" s="1"/>
  <c r="AN186" i="124" s="1" a="1"/>
  <c r="AN186" i="124" s="1"/>
  <c r="AK186" i="124"/>
  <c r="AM186" i="124" s="1"/>
  <c r="AQ197" i="124"/>
  <c r="AU197" i="124" a="1"/>
  <c r="AU197" i="124" s="1"/>
  <c r="AX197" i="124" s="1"/>
  <c r="AP197" i="124" a="1"/>
  <c r="AP197" i="124" s="1"/>
  <c r="AO168" i="124" a="1"/>
  <c r="AO168" i="124" s="1"/>
  <c r="AK168" i="124"/>
  <c r="AM168" i="124" s="1"/>
  <c r="AK181" i="124"/>
  <c r="AM181" i="124" s="1"/>
  <c r="AO186" i="124" a="1"/>
  <c r="AO186" i="124" s="1"/>
  <c r="AS186" i="124" s="1"/>
  <c r="AT186" i="124" s="1" a="1"/>
  <c r="AT186" i="124" s="1"/>
  <c r="BA188" i="124" a="1"/>
  <c r="BA188" i="124" s="1"/>
  <c r="BC188" i="124" a="1"/>
  <c r="BC188" i="124" s="1"/>
  <c r="AJ168" i="124" a="1"/>
  <c r="AJ168" i="124" s="1"/>
  <c r="AN168" i="124" s="1" a="1"/>
  <c r="AN168" i="124" s="1"/>
  <c r="BA178" i="124" a="1"/>
  <c r="BA178" i="124" s="1"/>
  <c r="BC178" i="124" a="1"/>
  <c r="BC178" i="124" s="1"/>
  <c r="AM177" i="124"/>
  <c r="AO177" i="124" a="1"/>
  <c r="AO177" i="124" s="1"/>
  <c r="AJ177" i="124" a="1"/>
  <c r="AJ177" i="124" s="1"/>
  <c r="AN177" i="124" s="1" a="1"/>
  <c r="AN177" i="124" s="1"/>
  <c r="BC205" i="124" a="1"/>
  <c r="BC205" i="124" s="1"/>
  <c r="AP205" i="124" a="1"/>
  <c r="AP205" i="124" s="1"/>
  <c r="AU205" i="124" a="1"/>
  <c r="AU205" i="124" s="1"/>
  <c r="AS205" i="124"/>
  <c r="AT205" i="124" s="1" a="1"/>
  <c r="AT205" i="124" s="1"/>
  <c r="AQ205" i="124"/>
  <c r="BA205" i="124" a="1"/>
  <c r="BA205" i="124" s="1"/>
  <c r="AK195" i="124"/>
  <c r="AM195" i="124" s="1"/>
  <c r="AN195" i="124" a="1"/>
  <c r="AN195" i="124" s="1"/>
  <c r="AJ195" i="124" a="1"/>
  <c r="AJ195" i="124" s="1"/>
  <c r="AO195" i="124" a="1"/>
  <c r="AO195" i="124" s="1"/>
  <c r="AS201" i="124"/>
  <c r="AT201" i="124" s="1" a="1"/>
  <c r="AT201" i="124" s="1"/>
  <c r="AR201" i="124"/>
  <c r="AQ201" i="124"/>
  <c r="BA189" i="124" a="1"/>
  <c r="BA189" i="124" s="1"/>
  <c r="AP201" i="124" a="1"/>
  <c r="AP201" i="124" s="1"/>
  <c r="AO190" i="124" a="1"/>
  <c r="AO190" i="124" s="1"/>
  <c r="AK190" i="124"/>
  <c r="AM190" i="124" s="1"/>
  <c r="AJ190" i="124" a="1"/>
  <c r="AJ190" i="124" s="1"/>
  <c r="AN190" i="124" s="1" a="1"/>
  <c r="AN190" i="124" s="1"/>
  <c r="AU201" i="124" a="1"/>
  <c r="AU201" i="124" s="1"/>
  <c r="BA191" i="124" a="1"/>
  <c r="BA191" i="124" s="1"/>
  <c r="BA192" i="124" a="1"/>
  <c r="BA192" i="124" s="1"/>
  <c r="BC199" i="124" a="1"/>
  <c r="BC199" i="124" s="1"/>
  <c r="BA199" i="124" a="1"/>
  <c r="BA199" i="124" s="1"/>
  <c r="AO207" i="124" a="1"/>
  <c r="AO207" i="124" s="1"/>
  <c r="AM207" i="124"/>
  <c r="AJ207" i="124" a="1"/>
  <c r="AJ207" i="124" s="1"/>
  <c r="AN207" i="124" s="1" a="1"/>
  <c r="AN207" i="124" s="1"/>
  <c r="BA202" i="124" a="1"/>
  <c r="BA202" i="124" s="1"/>
  <c r="AP210" i="124" a="1"/>
  <c r="AP210" i="124" s="1"/>
  <c r="AU210" i="124" a="1"/>
  <c r="AU210" i="124" s="1"/>
  <c r="AX210" i="124" s="1"/>
  <c r="AQ210" i="124"/>
  <c r="AJ204" i="124" a="1"/>
  <c r="AJ204" i="124" s="1"/>
  <c r="AN204" i="124" s="1" a="1"/>
  <c r="AN204" i="124" s="1"/>
  <c r="AO204" i="124" a="1"/>
  <c r="AO204" i="124" s="1"/>
  <c r="AK204" i="124"/>
  <c r="AM204" i="124" s="1"/>
  <c r="AU211" i="124" a="1"/>
  <c r="AU211" i="124" s="1"/>
  <c r="AX211" i="124" s="1"/>
  <c r="AS211" i="124"/>
  <c r="AT211" i="124" s="1" a="1"/>
  <c r="AT211" i="124" s="1"/>
  <c r="AR211" i="124"/>
  <c r="AQ211" i="124"/>
  <c r="AP211" i="124" a="1"/>
  <c r="AP211" i="124" s="1"/>
  <c r="BC158" i="124" a="1"/>
  <c r="BC158" i="124" s="1"/>
  <c r="AR167" i="124"/>
  <c r="BC176" i="124" a="1"/>
  <c r="BC176" i="124" s="1"/>
  <c r="BC192" i="124" a="1"/>
  <c r="BC192" i="124" s="1"/>
  <c r="AR194" i="124"/>
  <c r="AQ194" i="124"/>
  <c r="AU194" i="124" a="1"/>
  <c r="AU194" i="124" s="1"/>
  <c r="AX194" i="124" s="1"/>
  <c r="AS210" i="124"/>
  <c r="AT210" i="124" s="1" a="1"/>
  <c r="AT210" i="124" s="1"/>
  <c r="AS167" i="124"/>
  <c r="AT167" i="124" s="1" a="1"/>
  <c r="AT167" i="124" s="1"/>
  <c r="AJ173" i="124" a="1"/>
  <c r="AJ173" i="124" s="1"/>
  <c r="AN173" i="124" s="1" a="1"/>
  <c r="AN173" i="124" s="1"/>
  <c r="AK178" i="124"/>
  <c r="AM178" i="124" s="1"/>
  <c r="AP194" i="124" a="1"/>
  <c r="AP194" i="124" s="1"/>
  <c r="BC202" i="124" a="1"/>
  <c r="BC202" i="124" s="1"/>
  <c r="BC163" i="124" a="1"/>
  <c r="BC163" i="124" s="1"/>
  <c r="AK166" i="124"/>
  <c r="AM166" i="124" s="1"/>
  <c r="BC168" i="124" a="1"/>
  <c r="BC168" i="124" s="1"/>
  <c r="AS194" i="124"/>
  <c r="AT194" i="124" s="1" a="1"/>
  <c r="AT194" i="124" s="1"/>
  <c r="AJ180" i="124" a="1"/>
  <c r="AJ180" i="124" s="1"/>
  <c r="AN180" i="124" s="1" a="1"/>
  <c r="AN180" i="124" s="1"/>
  <c r="AO217" i="124" a="1"/>
  <c r="AO217" i="124" s="1"/>
  <c r="AR217" i="124" s="1"/>
  <c r="AJ217" i="124" a="1"/>
  <c r="AJ217" i="124" s="1"/>
  <c r="AN217" i="124" s="1" a="1"/>
  <c r="AN217" i="124" s="1"/>
  <c r="AK217" i="124"/>
  <c r="AM217" i="124" s="1"/>
  <c r="AK185" i="124"/>
  <c r="AM185" i="124" s="1"/>
  <c r="AN185" i="124" a="1"/>
  <c r="AN185" i="124" s="1"/>
  <c r="AK197" i="124"/>
  <c r="AM197" i="124" s="1"/>
  <c r="AS197" i="124"/>
  <c r="AT197" i="124" s="1" a="1"/>
  <c r="AT197" i="124" s="1"/>
  <c r="AR197" i="124"/>
  <c r="BC218" i="124" a="1"/>
  <c r="BC218" i="124" s="1"/>
  <c r="BA218" i="124" a="1"/>
  <c r="BA218" i="124" s="1"/>
  <c r="AO221" i="124" a="1"/>
  <c r="AO221" i="124" s="1"/>
  <c r="AJ221" i="124" a="1"/>
  <c r="AJ221" i="124" s="1"/>
  <c r="AN221" i="124" s="1" a="1"/>
  <c r="AN221" i="124" s="1"/>
  <c r="AK221" i="124"/>
  <c r="AM221" i="124" s="1"/>
  <c r="AR233" i="124"/>
  <c r="AU233" i="124" a="1"/>
  <c r="AU233" i="124" s="1"/>
  <c r="AQ233" i="124"/>
  <c r="AP233" i="124" a="1"/>
  <c r="AP233" i="124" s="1"/>
  <c r="AK199" i="124"/>
  <c r="AM199" i="124" s="1"/>
  <c r="AJ199" i="124" a="1"/>
  <c r="AJ199" i="124" s="1"/>
  <c r="AN199" i="124" s="1" a="1"/>
  <c r="AN199" i="124" s="1"/>
  <c r="AN169" i="124" a="1"/>
  <c r="AN169" i="124" s="1"/>
  <c r="AS174" i="124"/>
  <c r="AT174" i="124" s="1" a="1"/>
  <c r="AT174" i="124" s="1"/>
  <c r="AX174" i="124"/>
  <c r="AN179" i="124" a="1"/>
  <c r="AN179" i="124" s="1"/>
  <c r="BA203" i="124" a="1"/>
  <c r="BA203" i="124" s="1"/>
  <c r="BA212" i="124" a="1"/>
  <c r="BA212" i="124" s="1"/>
  <c r="AM215" i="124"/>
  <c r="AP230" i="124" a="1"/>
  <c r="AP230" i="124" s="1"/>
  <c r="AU230" i="124" a="1"/>
  <c r="AU230" i="124" s="1"/>
  <c r="AS230" i="124"/>
  <c r="AT230" i="124" s="1" a="1"/>
  <c r="AT230" i="124" s="1"/>
  <c r="AQ230" i="124"/>
  <c r="BA233" i="124" a="1"/>
  <c r="BA233" i="124" s="1"/>
  <c r="BC233" i="124" a="1"/>
  <c r="BC233" i="124" s="1"/>
  <c r="AO231" i="124" a="1"/>
  <c r="AO231" i="124" s="1"/>
  <c r="AS231" i="124" s="1"/>
  <c r="AT231" i="124" s="1" a="1"/>
  <c r="AT231" i="124" s="1"/>
  <c r="AJ231" i="124" a="1"/>
  <c r="AJ231" i="124" s="1"/>
  <c r="AN231" i="124" s="1" a="1"/>
  <c r="AN231" i="124" s="1"/>
  <c r="BA213" i="124" a="1"/>
  <c r="BA213" i="124" s="1"/>
  <c r="AK231" i="124"/>
  <c r="AM231" i="124" s="1"/>
  <c r="AJ200" i="124" a="1"/>
  <c r="AJ200" i="124" s="1"/>
  <c r="AN200" i="124" s="1" a="1"/>
  <c r="AN200" i="124" s="1"/>
  <c r="AJ201" i="124" a="1"/>
  <c r="AJ201" i="124" s="1"/>
  <c r="AN201" i="124" s="1" a="1"/>
  <c r="AN201" i="124" s="1"/>
  <c r="AK201" i="124"/>
  <c r="AM201" i="124" s="1"/>
  <c r="BA219" i="124" a="1"/>
  <c r="BA219" i="124" s="1"/>
  <c r="AK189" i="124"/>
  <c r="AM189" i="124" s="1"/>
  <c r="AK200" i="124"/>
  <c r="AM200" i="124" s="1"/>
  <c r="AO214" i="124" a="1"/>
  <c r="AO214" i="124" s="1"/>
  <c r="AS214" i="124" s="1"/>
  <c r="AT214" i="124" s="1" a="1"/>
  <c r="AT214" i="124" s="1"/>
  <c r="AO215" i="124" a="1"/>
  <c r="AO215" i="124" s="1"/>
  <c r="AR215" i="124" s="1"/>
  <c r="BC210" i="124" a="1"/>
  <c r="BC210" i="124" s="1"/>
  <c r="AJ216" i="124" a="1"/>
  <c r="AJ216" i="124" s="1"/>
  <c r="AN216" i="124" s="1" a="1"/>
  <c r="AN216" i="124" s="1"/>
  <c r="AK216" i="124"/>
  <c r="AM216" i="124" s="1"/>
  <c r="BC220" i="124" a="1"/>
  <c r="BC220" i="124" s="1"/>
  <c r="BA220" i="124" a="1"/>
  <c r="BA220" i="124" s="1"/>
  <c r="BA210" i="124" a="1"/>
  <c r="BA210" i="124" s="1"/>
  <c r="BA232" i="124" a="1"/>
  <c r="BA232" i="124" s="1"/>
  <c r="BC232" i="124" a="1"/>
  <c r="BC232" i="124" s="1"/>
  <c r="AO216" i="124" a="1"/>
  <c r="AO216" i="124" s="1"/>
  <c r="AR205" i="124"/>
  <c r="AR210" i="124"/>
  <c r="AK224" i="124"/>
  <c r="AM224" i="124" s="1"/>
  <c r="BA229" i="124" a="1"/>
  <c r="BA229" i="124" s="1"/>
  <c r="AQ240" i="124"/>
  <c r="BA227" i="124" a="1"/>
  <c r="BA227" i="124" s="1"/>
  <c r="BC227" i="124" a="1"/>
  <c r="BC227" i="124" s="1"/>
  <c r="AS233" i="124"/>
  <c r="AT233" i="124" s="1" a="1"/>
  <c r="AT233" i="124" s="1"/>
  <c r="AJ211" i="124" a="1"/>
  <c r="AJ211" i="124" s="1"/>
  <c r="AN211" i="124" s="1" a="1"/>
  <c r="AN211" i="124" s="1"/>
  <c r="AO219" i="124" a="1"/>
  <c r="AO219" i="124" s="1"/>
  <c r="AN219" i="124" a="1"/>
  <c r="AN219" i="124" s="1"/>
  <c r="BC225" i="124" a="1"/>
  <c r="BC225" i="124" s="1"/>
  <c r="AO236" i="124" a="1"/>
  <c r="AO236" i="124" s="1"/>
  <c r="AS236" i="124" s="1"/>
  <c r="AT236" i="124" s="1" a="1"/>
  <c r="AT236" i="124" s="1"/>
  <c r="AK236" i="124"/>
  <c r="AM236" i="124" s="1"/>
  <c r="AJ236" i="124" a="1"/>
  <c r="AJ236" i="124" s="1"/>
  <c r="AN236" i="124" s="1" a="1"/>
  <c r="AN236" i="124" s="1"/>
  <c r="BA224" i="124" a="1"/>
  <c r="BA224" i="124" s="1"/>
  <c r="BA237" i="124" a="1"/>
  <c r="BA237" i="124" s="1"/>
  <c r="BC237" i="124" a="1"/>
  <c r="BC237" i="124" s="1"/>
  <c r="BA217" i="124" a="1"/>
  <c r="BA217" i="124" s="1"/>
  <c r="AN232" i="124" a="1"/>
  <c r="AN232" i="124" s="1"/>
  <c r="AM232" i="124"/>
  <c r="BA222" i="124" a="1"/>
  <c r="BA222" i="124" s="1"/>
  <c r="BC222" i="124" a="1"/>
  <c r="BC222" i="124" s="1"/>
  <c r="AO226" i="124" a="1"/>
  <c r="AO226" i="124" s="1"/>
  <c r="AS226" i="124" s="1"/>
  <c r="AT226" i="124" s="1" a="1"/>
  <c r="AT226" i="124" s="1"/>
  <c r="AJ226" i="124" a="1"/>
  <c r="AJ226" i="124" s="1"/>
  <c r="AN226" i="124" s="1" a="1"/>
  <c r="AN226" i="124" s="1"/>
  <c r="BC208" i="124" a="1"/>
  <c r="BC208" i="124" s="1"/>
  <c r="AK226" i="124"/>
  <c r="AM226" i="124" s="1"/>
  <c r="BC235" i="124" a="1"/>
  <c r="BC235" i="124" s="1"/>
  <c r="BC240" i="124" a="1"/>
  <c r="BC240" i="124" s="1"/>
  <c r="BA240" i="124" a="1"/>
  <c r="BA240" i="124" s="1"/>
  <c r="AO224" i="124" a="1"/>
  <c r="AO224" i="124" s="1"/>
  <c r="AS224" i="124" s="1"/>
  <c r="AT224" i="124" s="1" a="1"/>
  <c r="AT224" i="124" s="1"/>
  <c r="AN224" i="124" a="1"/>
  <c r="AN224" i="124" s="1"/>
  <c r="BC230" i="124" a="1"/>
  <c r="BC230" i="124" s="1"/>
  <c r="AJ234" i="124" a="1"/>
  <c r="AJ234" i="124" s="1"/>
  <c r="AN234" i="124" s="1" a="1"/>
  <c r="AN234" i="124" s="1"/>
  <c r="AO234" i="124" a="1"/>
  <c r="AO234" i="124" s="1"/>
  <c r="AM234" i="124"/>
  <c r="AN237" i="124" a="1"/>
  <c r="AN237" i="124" s="1"/>
  <c r="AP240" i="124" a="1"/>
  <c r="AP240" i="124" s="1"/>
  <c r="AU240" i="124" a="1"/>
  <c r="AU240" i="124" s="1"/>
  <c r="AS240" i="124"/>
  <c r="AT240" i="124" s="1" a="1"/>
  <c r="AT240" i="124" s="1"/>
  <c r="AM239" i="124"/>
  <c r="BA234" i="124" a="1"/>
  <c r="BA234" i="124" s="1"/>
  <c r="BA239" i="124" a="1"/>
  <c r="BA239" i="124" s="1"/>
  <c r="AO239" i="124" a="1"/>
  <c r="AO239" i="124" s="1"/>
  <c r="AJ213" i="124" a="1"/>
  <c r="AJ213" i="124" s="1"/>
  <c r="AN213" i="124" s="1" a="1"/>
  <c r="AN213" i="124" s="1"/>
  <c r="AJ228" i="124" a="1"/>
  <c r="AJ228" i="124" s="1"/>
  <c r="AN228" i="124" s="1" a="1"/>
  <c r="AN228" i="124" s="1"/>
  <c r="AJ233" i="124" a="1"/>
  <c r="AJ233" i="124" s="1"/>
  <c r="AN233" i="124" s="1" a="1"/>
  <c r="AN233" i="124" s="1"/>
  <c r="AJ238" i="124" a="1"/>
  <c r="AJ238" i="124" s="1"/>
  <c r="AN238" i="124" s="1" a="1"/>
  <c r="AN238" i="124" s="1"/>
  <c r="BC234" i="124" a="1"/>
  <c r="BC234" i="124" s="1"/>
  <c r="BC239" i="124" a="1"/>
  <c r="BC239" i="124" s="1"/>
  <c r="AK213" i="124"/>
  <c r="AM213" i="124" s="1"/>
  <c r="AK228" i="124"/>
  <c r="AM228" i="124" s="1"/>
  <c r="AK233" i="124"/>
  <c r="AM233" i="124" s="1"/>
  <c r="AK238" i="124"/>
  <c r="AM238" i="124" s="1"/>
  <c r="AJ239" i="124" a="1"/>
  <c r="AJ239" i="124" s="1"/>
  <c r="AN239" i="124" s="1" a="1"/>
  <c r="AN239" i="124" s="1"/>
  <c r="AR220" i="124" l="1"/>
  <c r="AU220" i="124" a="1"/>
  <c r="AU220" i="124" s="1"/>
  <c r="AS220" i="124"/>
  <c r="AT220" i="124" s="1" a="1"/>
  <c r="AT220" i="124" s="1"/>
  <c r="AO148" i="124" a="1"/>
  <c r="AO148" i="124" s="1"/>
  <c r="AS148" i="124" s="1"/>
  <c r="AT148" i="124" s="1" a="1"/>
  <c r="AT148" i="124" s="1"/>
  <c r="AR148" i="124"/>
  <c r="AJ229" i="124" a="1"/>
  <c r="AJ229" i="124" s="1"/>
  <c r="AK229" i="124"/>
  <c r="AM229" i="124" s="1"/>
  <c r="AP220" i="124" a="1"/>
  <c r="AP220" i="124" s="1"/>
  <c r="AQ171" i="124"/>
  <c r="AR171" i="124"/>
  <c r="AR212" i="124"/>
  <c r="AK191" i="124"/>
  <c r="AM191" i="124" s="1"/>
  <c r="AU171" i="124" a="1"/>
  <c r="AU171" i="124" s="1"/>
  <c r="AX171" i="124" s="1"/>
  <c r="AP90" i="124" a="1"/>
  <c r="AP90" i="124" s="1"/>
  <c r="AS171" i="124"/>
  <c r="AT171" i="124" s="1" a="1"/>
  <c r="AT171" i="124" s="1"/>
  <c r="AK163" i="124"/>
  <c r="AM163" i="124" s="1"/>
  <c r="AO203" i="124" a="1"/>
  <c r="AO203" i="124" s="1"/>
  <c r="AS203" i="124" s="1"/>
  <c r="AT203" i="124" s="1" a="1"/>
  <c r="AT203" i="124" s="1"/>
  <c r="AJ203" i="124" a="1"/>
  <c r="AJ203" i="124" s="1"/>
  <c r="AN203" i="124" s="1" a="1"/>
  <c r="AN203" i="124" s="1"/>
  <c r="AN176" i="124" a="1"/>
  <c r="AN176" i="124" s="1"/>
  <c r="AP70" i="124" a="1"/>
  <c r="AP70" i="124" s="1"/>
  <c r="AU70" i="124" a="1"/>
  <c r="AU70" i="124" s="1"/>
  <c r="AX70" i="124" s="1"/>
  <c r="AQ170" i="124"/>
  <c r="AP188" i="124" a="1"/>
  <c r="AP188" i="124" s="1"/>
  <c r="AR232" i="124"/>
  <c r="AU235" i="124" a="1"/>
  <c r="AU235" i="124" s="1"/>
  <c r="AW235" i="124" s="1"/>
  <c r="AS232" i="124"/>
  <c r="AT232" i="124" s="1" a="1"/>
  <c r="AT232" i="124" s="1"/>
  <c r="AP148" i="124" a="1"/>
  <c r="AP148" i="124" s="1"/>
  <c r="AJ206" i="124" a="1"/>
  <c r="AJ206" i="124" s="1"/>
  <c r="AN206" i="124" s="1" a="1"/>
  <c r="AN206" i="124" s="1"/>
  <c r="AU232" i="124" a="1"/>
  <c r="AU232" i="124" s="1"/>
  <c r="AV232" i="124" s="1" a="1"/>
  <c r="AV232" i="124" s="1"/>
  <c r="AP232" i="124" a="1"/>
  <c r="AP232" i="124" s="1"/>
  <c r="AJ227" i="124" a="1"/>
  <c r="AJ227" i="124" s="1"/>
  <c r="AN227" i="124" s="1" a="1"/>
  <c r="AN227" i="124" s="1"/>
  <c r="AW157" i="124"/>
  <c r="AN229" i="124" a="1"/>
  <c r="AN229" i="124" s="1"/>
  <c r="AP170" i="124" a="1"/>
  <c r="AP170" i="124" s="1"/>
  <c r="AO229" i="124" a="1"/>
  <c r="AO229" i="124" s="1"/>
  <c r="AS229" i="124" s="1"/>
  <c r="AT229" i="124" s="1" a="1"/>
  <c r="AT229" i="124" s="1"/>
  <c r="AO176" i="124" a="1"/>
  <c r="AO176" i="124" s="1"/>
  <c r="AS176" i="124" s="1"/>
  <c r="AT176" i="124" s="1" a="1"/>
  <c r="AT176" i="124" s="1"/>
  <c r="AK176" i="124"/>
  <c r="AM176" i="124" s="1"/>
  <c r="AP228" i="124" a="1"/>
  <c r="AP228" i="124" s="1"/>
  <c r="AQ228" i="124"/>
  <c r="AR228" i="124"/>
  <c r="AU228" i="124" a="1"/>
  <c r="AU228" i="124" s="1"/>
  <c r="AW228" i="124" s="1"/>
  <c r="AQ90" i="124"/>
  <c r="AR90" i="124"/>
  <c r="AS90" i="124"/>
  <c r="AT90" i="124" s="1" a="1"/>
  <c r="AT90" i="124" s="1"/>
  <c r="AK129" i="124"/>
  <c r="AM129" i="124" s="1"/>
  <c r="AJ129" i="124" a="1"/>
  <c r="AJ129" i="124" s="1"/>
  <c r="AN129" i="124" s="1" a="1"/>
  <c r="AN129" i="124" s="1"/>
  <c r="AU8" i="124" a="1"/>
  <c r="AU8" i="124" s="1"/>
  <c r="AW8" i="124" s="1"/>
  <c r="AU148" i="124" a="1"/>
  <c r="AU148" i="124" s="1"/>
  <c r="AW148" i="124" s="1"/>
  <c r="AR237" i="124"/>
  <c r="AS52" i="124"/>
  <c r="AT52" i="124" s="1" a="1"/>
  <c r="AT52" i="124" s="1"/>
  <c r="AW144" i="124"/>
  <c r="AR200" i="124"/>
  <c r="AV144" i="124" a="1"/>
  <c r="AV144" i="124" s="1"/>
  <c r="AP8" i="124" a="1"/>
  <c r="AP8" i="124" s="1"/>
  <c r="AQ8" i="124"/>
  <c r="AR8" i="124"/>
  <c r="AU237" i="124" a="1"/>
  <c r="AU237" i="124" s="1"/>
  <c r="AV237" i="124" s="1" a="1"/>
  <c r="AV237" i="124" s="1"/>
  <c r="AQ185" i="124"/>
  <c r="AU185" i="124" a="1"/>
  <c r="AU185" i="124" s="1"/>
  <c r="AW185" i="124" s="1"/>
  <c r="AP185" i="124" a="1"/>
  <c r="AP185" i="124" s="1"/>
  <c r="AP237" i="124" a="1"/>
  <c r="AP237" i="124" s="1"/>
  <c r="AQ237" i="124"/>
  <c r="AS185" i="124"/>
  <c r="AT185" i="124" s="1" a="1"/>
  <c r="AT185" i="124" s="1"/>
  <c r="AS169" i="124"/>
  <c r="AT169" i="124" s="1" a="1"/>
  <c r="AT169" i="124" s="1"/>
  <c r="AX147" i="124"/>
  <c r="AY147" i="124" s="1"/>
  <c r="AZ147" i="124" s="1" a="1"/>
  <c r="AZ147" i="124" s="1"/>
  <c r="AW147" i="124"/>
  <c r="AU169" i="124" a="1"/>
  <c r="AU169" i="124" s="1"/>
  <c r="AX169" i="124" s="1"/>
  <c r="AY169" i="124" s="1"/>
  <c r="AZ169" i="124" s="1" a="1"/>
  <c r="AZ169" i="124" s="1"/>
  <c r="AP169" i="124" a="1"/>
  <c r="AP169" i="124" s="1"/>
  <c r="AK165" i="124"/>
  <c r="AM165" i="124" s="1"/>
  <c r="AO165" i="124" a="1"/>
  <c r="AO165" i="124" s="1"/>
  <c r="AR165" i="124" s="1"/>
  <c r="AO163" i="124" a="1"/>
  <c r="AO163" i="124" s="1"/>
  <c r="AS163" i="124" s="1"/>
  <c r="AT163" i="124" s="1" a="1"/>
  <c r="AT163" i="124" s="1"/>
  <c r="AS98" i="124"/>
  <c r="AT98" i="124" s="1" a="1"/>
  <c r="AT98" i="124" s="1"/>
  <c r="AQ93" i="124"/>
  <c r="AR52" i="124"/>
  <c r="AR93" i="124"/>
  <c r="AQ70" i="124"/>
  <c r="AV170" i="124" a="1"/>
  <c r="AV170" i="124" s="1"/>
  <c r="AP93" i="124" a="1"/>
  <c r="AP93" i="124" s="1"/>
  <c r="AW170" i="124"/>
  <c r="AU93" i="124" a="1"/>
  <c r="AU93" i="124" s="1"/>
  <c r="AX93" i="124" s="1"/>
  <c r="AJ42" i="124" a="1"/>
  <c r="AJ42" i="124" s="1"/>
  <c r="AN42" i="124" s="1" a="1"/>
  <c r="AN42" i="124" s="1"/>
  <c r="AR170" i="124"/>
  <c r="AS170" i="124"/>
  <c r="AT170" i="124" s="1" a="1"/>
  <c r="AT170" i="124" s="1"/>
  <c r="AS101" i="124"/>
  <c r="AT101" i="124" s="1" a="1"/>
  <c r="AT101" i="124" s="1"/>
  <c r="AQ148" i="124"/>
  <c r="AR130" i="124"/>
  <c r="AP101" i="124" a="1"/>
  <c r="AP101" i="124" s="1"/>
  <c r="AK148" i="124"/>
  <c r="AM148" i="124" s="1"/>
  <c r="AJ148" i="124" a="1"/>
  <c r="AJ148" i="124" s="1"/>
  <c r="AN148" i="124" s="1" a="1"/>
  <c r="AN148" i="124" s="1"/>
  <c r="AU238" i="124" a="1"/>
  <c r="AU238" i="124" s="1"/>
  <c r="AX238" i="124" s="1"/>
  <c r="AS115" i="124"/>
  <c r="AT115" i="124" s="1" a="1"/>
  <c r="AT115" i="124" s="1"/>
  <c r="AQ238" i="124"/>
  <c r="AU50" i="124" a="1"/>
  <c r="AU50" i="124" s="1"/>
  <c r="AX50" i="124" s="1"/>
  <c r="AJ202" i="124" a="1"/>
  <c r="AJ202" i="124" s="1"/>
  <c r="AN202" i="124" s="1" a="1"/>
  <c r="AN202" i="124" s="1"/>
  <c r="AK202" i="124"/>
  <c r="AM202" i="124" s="1"/>
  <c r="AR238" i="124"/>
  <c r="AS180" i="124"/>
  <c r="AT180" i="124" s="1" a="1"/>
  <c r="AT180" i="124" s="1"/>
  <c r="AS130" i="124"/>
  <c r="AT130" i="124" s="1" a="1"/>
  <c r="AT130" i="124" s="1"/>
  <c r="AP180" i="124" a="1"/>
  <c r="AP180" i="124" s="1"/>
  <c r="AR180" i="124"/>
  <c r="AU101" i="124" a="1"/>
  <c r="AU101" i="124" s="1"/>
  <c r="AX101" i="124" s="1"/>
  <c r="AV36" i="124" a="1"/>
  <c r="AV36" i="124" s="1"/>
  <c r="AU180" i="124" a="1"/>
  <c r="AU180" i="124" s="1"/>
  <c r="AV180" i="124" s="1" a="1"/>
  <c r="AV180" i="124" s="1"/>
  <c r="AW54" i="124"/>
  <c r="AX36" i="124"/>
  <c r="AY36" i="124" s="1"/>
  <c r="AZ36" i="124" s="1" a="1"/>
  <c r="AZ36" i="124" s="1"/>
  <c r="AR101" i="124"/>
  <c r="AP54" i="124" a="1"/>
  <c r="AP54" i="124" s="1"/>
  <c r="AQ112" i="124"/>
  <c r="AQ54" i="124"/>
  <c r="AS112" i="124"/>
  <c r="AT112" i="124" s="1" a="1"/>
  <c r="AT112" i="124" s="1"/>
  <c r="AU130" i="124" a="1"/>
  <c r="AU130" i="124" s="1"/>
  <c r="AW130" i="124" s="1"/>
  <c r="AP112" i="124" a="1"/>
  <c r="AP112" i="124" s="1"/>
  <c r="AU112" i="124" a="1"/>
  <c r="AU112" i="124" s="1"/>
  <c r="AV112" i="124" s="1" a="1"/>
  <c r="AV112" i="124" s="1"/>
  <c r="AS54" i="124"/>
  <c r="AT54" i="124" s="1" a="1"/>
  <c r="AT54" i="124" s="1"/>
  <c r="AQ30" i="124"/>
  <c r="AV72" i="124" a="1"/>
  <c r="AV72" i="124" s="1"/>
  <c r="AS32" i="124"/>
  <c r="AT32" i="124" s="1" a="1"/>
  <c r="AT32" i="124" s="1"/>
  <c r="AQ50" i="124"/>
  <c r="AS95" i="124"/>
  <c r="AT95" i="124" s="1" a="1"/>
  <c r="AT95" i="124" s="1"/>
  <c r="AW189" i="124"/>
  <c r="AO227" i="124" a="1"/>
  <c r="AO227" i="124" s="1"/>
  <c r="AQ227" i="124" s="1"/>
  <c r="AX189" i="124"/>
  <c r="AY189" i="124" s="1"/>
  <c r="AZ189" i="124" s="1" a="1"/>
  <c r="AZ189" i="124" s="1"/>
  <c r="AU95" i="124" a="1"/>
  <c r="AU95" i="124" s="1"/>
  <c r="AW95" i="124" s="1"/>
  <c r="AP95" i="124" a="1"/>
  <c r="AP95" i="124" s="1"/>
  <c r="AR12" i="124"/>
  <c r="AQ173" i="124"/>
  <c r="AS12" i="124"/>
  <c r="AT12" i="124" s="1" a="1"/>
  <c r="AT12" i="124" s="1"/>
  <c r="AQ12" i="124"/>
  <c r="AR95" i="124"/>
  <c r="AR173" i="124"/>
  <c r="AQ180" i="124"/>
  <c r="AP50" i="124" a="1"/>
  <c r="AP50" i="124" s="1"/>
  <c r="AQ130" i="124"/>
  <c r="AU52" i="124" a="1"/>
  <c r="AU52" i="124" s="1"/>
  <c r="AX52" i="124" s="1"/>
  <c r="AY52" i="124" s="1"/>
  <c r="AZ52" i="124" s="1" a="1"/>
  <c r="AZ52" i="124" s="1"/>
  <c r="AV54" i="124" a="1"/>
  <c r="AV54" i="124" s="1"/>
  <c r="AS13" i="124"/>
  <c r="AT13" i="124" s="1" a="1"/>
  <c r="AT13" i="124" s="1"/>
  <c r="AR41" i="124"/>
  <c r="AS41" i="124"/>
  <c r="AT41" i="124" s="1" a="1"/>
  <c r="AT41" i="124" s="1"/>
  <c r="AR50" i="124"/>
  <c r="AQ52" i="124"/>
  <c r="AQ80" i="124"/>
  <c r="AU80" i="124" a="1"/>
  <c r="AU80" i="124" s="1"/>
  <c r="AX80" i="124" s="1"/>
  <c r="AY80" i="124" s="1"/>
  <c r="AZ80" i="124" s="1" a="1"/>
  <c r="AZ80" i="124" s="1"/>
  <c r="AQ188" i="124"/>
  <c r="AP213" i="124" a="1"/>
  <c r="AP213" i="124" s="1"/>
  <c r="AU188" i="124" a="1"/>
  <c r="AU188" i="124" s="1"/>
  <c r="AW188" i="124" s="1"/>
  <c r="AR188" i="124"/>
  <c r="AP80" i="124" a="1"/>
  <c r="AP80" i="124" s="1"/>
  <c r="AO108" i="124" a="1"/>
  <c r="AO108" i="124" s="1"/>
  <c r="AU108" i="124" s="1" a="1"/>
  <c r="AU108" i="124" s="1"/>
  <c r="AU98" i="124" a="1"/>
  <c r="AU98" i="124" s="1"/>
  <c r="AV98" i="124" s="1" a="1"/>
  <c r="AV98" i="124" s="1"/>
  <c r="AU213" i="124" a="1"/>
  <c r="AU213" i="124" s="1"/>
  <c r="AW213" i="124" s="1"/>
  <c r="AR98" i="124"/>
  <c r="AR80" i="124"/>
  <c r="AK108" i="124"/>
  <c r="AM108" i="124" s="1"/>
  <c r="AQ213" i="124"/>
  <c r="AQ220" i="124"/>
  <c r="AP98" i="124" a="1"/>
  <c r="AP98" i="124" s="1"/>
  <c r="AR32" i="124"/>
  <c r="AU68" i="124" a="1"/>
  <c r="AU68" i="124" s="1"/>
  <c r="AV68" i="124" s="1" a="1"/>
  <c r="AV68" i="124" s="1"/>
  <c r="AP32" i="124" a="1"/>
  <c r="AP32" i="124" s="1"/>
  <c r="AP238" i="124" a="1"/>
  <c r="AP238" i="124" s="1"/>
  <c r="AS30" i="124"/>
  <c r="AT30" i="124" s="1" a="1"/>
  <c r="AT30" i="124" s="1"/>
  <c r="AU30" i="124" a="1"/>
  <c r="AU30" i="124" s="1"/>
  <c r="AW30" i="124" s="1"/>
  <c r="AS50" i="124"/>
  <c r="AT50" i="124" s="1" a="1"/>
  <c r="AT50" i="124" s="1"/>
  <c r="AJ196" i="124" a="1"/>
  <c r="AJ196" i="124" s="1"/>
  <c r="AN196" i="124" s="1" a="1"/>
  <c r="AN196" i="124" s="1"/>
  <c r="AK218" i="124"/>
  <c r="AM218" i="124" s="1"/>
  <c r="AO23" i="124" a="1"/>
  <c r="AO23" i="124" s="1"/>
  <c r="AU23" i="124" s="1" a="1"/>
  <c r="AU23" i="124" s="1"/>
  <c r="AK23" i="124"/>
  <c r="AM23" i="124" s="1"/>
  <c r="AR70" i="124"/>
  <c r="AS26" i="124"/>
  <c r="AT26" i="124" s="1" a="1"/>
  <c r="AT26" i="124" s="1"/>
  <c r="AP26" i="124" a="1"/>
  <c r="AP26" i="124" s="1"/>
  <c r="AQ26" i="124"/>
  <c r="AJ218" i="124" a="1"/>
  <c r="AJ218" i="124" s="1"/>
  <c r="AN218" i="124" s="1" a="1"/>
  <c r="AN218" i="124" s="1"/>
  <c r="AR73" i="124"/>
  <c r="AJ142" i="124" a="1"/>
  <c r="AJ142" i="124" s="1"/>
  <c r="AN142" i="124" s="1" a="1"/>
  <c r="AN142" i="124" s="1"/>
  <c r="AS73" i="124"/>
  <c r="AT73" i="124" s="1" a="1"/>
  <c r="AT73" i="124" s="1"/>
  <c r="AU73" i="124" a="1"/>
  <c r="AU73" i="124" s="1"/>
  <c r="AX73" i="124" s="1"/>
  <c r="AP73" i="124" a="1"/>
  <c r="AP73" i="124" s="1"/>
  <c r="AP142" i="124" a="1"/>
  <c r="AP142" i="124" s="1"/>
  <c r="AQ142" i="124"/>
  <c r="AN23" i="124" a="1"/>
  <c r="AN23" i="124" s="1"/>
  <c r="AK142" i="124"/>
  <c r="AM142" i="124" s="1"/>
  <c r="AR142" i="124"/>
  <c r="AS142" i="124"/>
  <c r="AT142" i="124" s="1" a="1"/>
  <c r="AT142" i="124" s="1"/>
  <c r="AP30" i="124" a="1"/>
  <c r="AP30" i="124" s="1"/>
  <c r="AP88" i="124" a="1"/>
  <c r="AP88" i="124" s="1"/>
  <c r="AU88" i="124" a="1"/>
  <c r="AU88" i="124" s="1"/>
  <c r="AX88" i="124" s="1"/>
  <c r="AX209" i="124"/>
  <c r="AY209" i="124" s="1"/>
  <c r="AZ209" i="124" s="1" a="1"/>
  <c r="AZ209" i="124" s="1"/>
  <c r="AW209" i="124"/>
  <c r="AP193" i="124" a="1"/>
  <c r="AP193" i="124" s="1"/>
  <c r="AS149" i="124"/>
  <c r="AT149" i="124" s="1" a="1"/>
  <c r="AT149" i="124" s="1"/>
  <c r="AP181" i="124" a="1"/>
  <c r="AP181" i="124" s="1"/>
  <c r="AU181" i="124" a="1"/>
  <c r="AU181" i="124" s="1"/>
  <c r="AX181" i="124" s="1"/>
  <c r="AY181" i="124" s="1"/>
  <c r="AZ181" i="124" s="1" a="1"/>
  <c r="AZ181" i="124" s="1"/>
  <c r="AP157" i="124" a="1"/>
  <c r="AP157" i="124" s="1"/>
  <c r="AR181" i="124"/>
  <c r="AR115" i="124"/>
  <c r="AU115" i="124" a="1"/>
  <c r="AU115" i="124" s="1"/>
  <c r="AW115" i="124" s="1"/>
  <c r="AQ115" i="124"/>
  <c r="AP45" i="124" a="1"/>
  <c r="AP45" i="124" s="1"/>
  <c r="AR13" i="124"/>
  <c r="AK206" i="124"/>
  <c r="AM206" i="124" s="1"/>
  <c r="AJ43" i="124" a="1"/>
  <c r="AJ43" i="124" s="1"/>
  <c r="AN43" i="124" s="1" a="1"/>
  <c r="AN43" i="124" s="1"/>
  <c r="AR45" i="124"/>
  <c r="AS45" i="124"/>
  <c r="AT45" i="124" s="1" a="1"/>
  <c r="AT45" i="124" s="1"/>
  <c r="AQ45" i="124"/>
  <c r="AR125" i="124"/>
  <c r="AU24" i="124" a="1"/>
  <c r="AU24" i="124" s="1"/>
  <c r="AV24" i="124" s="1" a="1"/>
  <c r="AV24" i="124" s="1"/>
  <c r="AP24" i="124" a="1"/>
  <c r="AP24" i="124" s="1"/>
  <c r="AQ24" i="124"/>
  <c r="AR24" i="124"/>
  <c r="AX110" i="124"/>
  <c r="AY110" i="124" s="1"/>
  <c r="AS106" i="124"/>
  <c r="AT106" i="124" s="1" a="1"/>
  <c r="AT106" i="124" s="1"/>
  <c r="AJ63" i="124" a="1"/>
  <c r="AJ63" i="124" s="1"/>
  <c r="AN63" i="124" s="1" a="1"/>
  <c r="AN63" i="124" s="1"/>
  <c r="AO63" i="124" a="1"/>
  <c r="AO63" i="124" s="1"/>
  <c r="AR54" i="124"/>
  <c r="AU179" i="124" a="1"/>
  <c r="AU179" i="124" s="1"/>
  <c r="AX179" i="124" s="1"/>
  <c r="AR164" i="124"/>
  <c r="AK222" i="124"/>
  <c r="AM222" i="124" s="1"/>
  <c r="AJ208" i="124" a="1"/>
  <c r="AJ208" i="124" s="1"/>
  <c r="AN208" i="124" s="1" a="1"/>
  <c r="AN208" i="124" s="1"/>
  <c r="AQ179" i="124"/>
  <c r="AU164" i="124" a="1"/>
  <c r="AU164" i="124" s="1"/>
  <c r="AW164" i="124" s="1"/>
  <c r="AP164" i="124" a="1"/>
  <c r="AP164" i="124" s="1"/>
  <c r="AS164" i="124"/>
  <c r="AT164" i="124" s="1" a="1"/>
  <c r="AT164" i="124" s="1"/>
  <c r="AQ164" i="124"/>
  <c r="AU187" i="124" a="1"/>
  <c r="AU187" i="124" s="1"/>
  <c r="AX187" i="124" s="1"/>
  <c r="AY187" i="124" s="1"/>
  <c r="AZ187" i="124" s="1" a="1"/>
  <c r="AZ187" i="124" s="1"/>
  <c r="AO62" i="124" a="1"/>
  <c r="AO62" i="124" s="1"/>
  <c r="AR62" i="124" s="1"/>
  <c r="AK184" i="124"/>
  <c r="AM184" i="124" s="1"/>
  <c r="AQ106" i="124"/>
  <c r="AK62" i="124"/>
  <c r="AM62" i="124" s="1"/>
  <c r="AJ184" i="124" a="1"/>
  <c r="AJ184" i="124" s="1"/>
  <c r="AN184" i="124" s="1" a="1"/>
  <c r="AN184" i="124" s="1"/>
  <c r="AV110" i="124" a="1"/>
  <c r="AV110" i="124" s="1"/>
  <c r="AJ62" i="124" a="1"/>
  <c r="AJ62" i="124" s="1"/>
  <c r="AN62" i="124" s="1" a="1"/>
  <c r="AN62" i="124" s="1"/>
  <c r="AX157" i="124"/>
  <c r="AY157" i="124" s="1"/>
  <c r="AZ157" i="124" s="1" a="1"/>
  <c r="AZ157" i="124" s="1"/>
  <c r="AQ41" i="124"/>
  <c r="AR4" i="124"/>
  <c r="AP12" i="124" a="1"/>
  <c r="AP12" i="124" s="1"/>
  <c r="AJ108" i="124" a="1"/>
  <c r="AJ108" i="124" s="1"/>
  <c r="AN108" i="124" s="1" a="1"/>
  <c r="AN108" i="124" s="1"/>
  <c r="AS187" i="124"/>
  <c r="AT187" i="124" s="1" a="1"/>
  <c r="AT187" i="124" s="1"/>
  <c r="AQ187" i="124"/>
  <c r="AQ147" i="124"/>
  <c r="AR147" i="124"/>
  <c r="AS147" i="124"/>
  <c r="AT147" i="124" s="1" a="1"/>
  <c r="AT147" i="124" s="1"/>
  <c r="AP149" i="124" a="1"/>
  <c r="AP149" i="124" s="1"/>
  <c r="AQ200" i="124"/>
  <c r="AP147" i="124" a="1"/>
  <c r="AP147" i="124" s="1"/>
  <c r="AU200" i="124" a="1"/>
  <c r="AU200" i="124" s="1"/>
  <c r="AX200" i="124" s="1"/>
  <c r="AY200" i="124" s="1"/>
  <c r="AZ200" i="124" s="1" a="1"/>
  <c r="AZ200" i="124" s="1"/>
  <c r="AJ191" i="124" a="1"/>
  <c r="AJ191" i="124" s="1"/>
  <c r="AN191" i="124" s="1" a="1"/>
  <c r="AN191" i="124" s="1"/>
  <c r="AP200" i="124" a="1"/>
  <c r="AP200" i="124" s="1"/>
  <c r="AS133" i="124"/>
  <c r="AT133" i="124" s="1" a="1"/>
  <c r="AT133" i="124" s="1"/>
  <c r="AQ75" i="124"/>
  <c r="AQ27" i="124"/>
  <c r="AJ136" i="124" a="1"/>
  <c r="AJ136" i="124" s="1"/>
  <c r="AN136" i="124" s="1" a="1"/>
  <c r="AN136" i="124" s="1"/>
  <c r="AS75" i="124"/>
  <c r="AT75" i="124" s="1" a="1"/>
  <c r="AT75" i="124" s="1"/>
  <c r="AK136" i="124"/>
  <c r="AM136" i="124" s="1"/>
  <c r="AR133" i="124"/>
  <c r="AX72" i="124"/>
  <c r="AY72" i="124" s="1"/>
  <c r="AZ72" i="124" s="1" a="1"/>
  <c r="AZ72" i="124" s="1"/>
  <c r="AK42" i="124"/>
  <c r="AM42" i="124" s="1"/>
  <c r="AU75" i="124" a="1"/>
  <c r="AU75" i="124" s="1"/>
  <c r="AX75" i="124" s="1"/>
  <c r="AY75" i="124" s="1"/>
  <c r="AR187" i="124"/>
  <c r="AU149" i="124" a="1"/>
  <c r="AU149" i="124" s="1"/>
  <c r="AW149" i="124" s="1"/>
  <c r="AU133" i="124" a="1"/>
  <c r="AU133" i="124" s="1"/>
  <c r="AW133" i="124" s="1"/>
  <c r="AR42" i="124"/>
  <c r="AU166" i="124" a="1"/>
  <c r="AU166" i="124" s="1"/>
  <c r="AW166" i="124" s="1"/>
  <c r="AO136" i="124" a="1"/>
  <c r="AO136" i="124" s="1"/>
  <c r="AS136" i="124" s="1"/>
  <c r="AT136" i="124" s="1" a="1"/>
  <c r="AT136" i="124" s="1"/>
  <c r="AP133" i="124" a="1"/>
  <c r="AP133" i="124" s="1"/>
  <c r="AJ122" i="124" a="1"/>
  <c r="AJ122" i="124" s="1"/>
  <c r="AN122" i="124" s="1" a="1"/>
  <c r="AN122" i="124" s="1"/>
  <c r="AQ149" i="124"/>
  <c r="AQ133" i="124"/>
  <c r="AQ42" i="124"/>
  <c r="AS42" i="124"/>
  <c r="AT42" i="124" s="1" a="1"/>
  <c r="AT42" i="124" s="1"/>
  <c r="AR75" i="124"/>
  <c r="AK122" i="124"/>
  <c r="AM122" i="124" s="1"/>
  <c r="AU42" i="124" a="1"/>
  <c r="AU42" i="124" s="1"/>
  <c r="AX42" i="124" s="1"/>
  <c r="AY42" i="124" s="1"/>
  <c r="AZ42" i="124" s="1" a="1"/>
  <c r="AZ42" i="124" s="1"/>
  <c r="AR149" i="124"/>
  <c r="AU173" i="124" a="1"/>
  <c r="AU173" i="124" s="1"/>
  <c r="AP173" i="124" a="1"/>
  <c r="AP173" i="124" s="1"/>
  <c r="AR91" i="124"/>
  <c r="AU26" i="124" a="1"/>
  <c r="AU26" i="124" s="1"/>
  <c r="AQ13" i="124"/>
  <c r="AK183" i="124"/>
  <c r="AM183" i="124" s="1"/>
  <c r="AU32" i="124" a="1"/>
  <c r="AU32" i="124" s="1"/>
  <c r="AV32" i="124" s="1" a="1"/>
  <c r="AV32" i="124" s="1"/>
  <c r="AR82" i="124"/>
  <c r="AP20" i="124" a="1"/>
  <c r="AP20" i="124" s="1"/>
  <c r="AQ20" i="124"/>
  <c r="AS126" i="124"/>
  <c r="AT126" i="124" s="1" a="1"/>
  <c r="AT126" i="124" s="1"/>
  <c r="AR87" i="124"/>
  <c r="AR20" i="124"/>
  <c r="AR58" i="124"/>
  <c r="AU27" i="124" a="1"/>
  <c r="AU27" i="124" s="1"/>
  <c r="AX27" i="124" s="1"/>
  <c r="AR67" i="124"/>
  <c r="AU20" i="124" a="1"/>
  <c r="AU20" i="124" s="1"/>
  <c r="AV20" i="124" s="1" a="1"/>
  <c r="AV20" i="124" s="1"/>
  <c r="AQ4" i="124"/>
  <c r="AW117" i="124"/>
  <c r="AV117" i="124" a="1"/>
  <c r="AV117" i="124" s="1"/>
  <c r="AX117" i="124"/>
  <c r="AY117" i="124" s="1"/>
  <c r="AZ117" i="124" s="1" a="1"/>
  <c r="AZ117" i="124" s="1"/>
  <c r="AS179" i="124"/>
  <c r="AT179" i="124" s="1" a="1"/>
  <c r="AT179" i="124" s="1"/>
  <c r="AL1" i="124"/>
  <c r="AR97" i="124"/>
  <c r="AQ117" i="124"/>
  <c r="AS166" i="124"/>
  <c r="AT166" i="124" s="1" a="1"/>
  <c r="AT166" i="124" s="1"/>
  <c r="AS97" i="124"/>
  <c r="AT97" i="124" s="1" a="1"/>
  <c r="AT97" i="124" s="1"/>
  <c r="AS86" i="124"/>
  <c r="AT86" i="124" s="1" a="1"/>
  <c r="AT86" i="124" s="1"/>
  <c r="AR68" i="124"/>
  <c r="AR117" i="124"/>
  <c r="AS28" i="124"/>
  <c r="AT28" i="124" s="1" a="1"/>
  <c r="AT28" i="124" s="1"/>
  <c r="AP68" i="124" a="1"/>
  <c r="AP68" i="124" s="1"/>
  <c r="AS68" i="124"/>
  <c r="AT68" i="124" s="1" a="1"/>
  <c r="AT68" i="124" s="1"/>
  <c r="AP218" i="124" a="1"/>
  <c r="AP218" i="124" s="1"/>
  <c r="AS212" i="124"/>
  <c r="AT212" i="124" s="1" a="1"/>
  <c r="AT212" i="124" s="1"/>
  <c r="AQ218" i="124"/>
  <c r="AS38" i="124"/>
  <c r="AT38" i="124" s="1" a="1"/>
  <c r="AT38" i="124" s="1"/>
  <c r="AR218" i="124"/>
  <c r="AU218" i="124" a="1"/>
  <c r="AU218" i="124" s="1"/>
  <c r="AX218" i="124" s="1"/>
  <c r="AY218" i="124" s="1"/>
  <c r="AQ212" i="124"/>
  <c r="AS215" i="124"/>
  <c r="AT215" i="124" s="1" a="1"/>
  <c r="AT215" i="124" s="1"/>
  <c r="AP41" i="124" a="1"/>
  <c r="AP41" i="124" s="1"/>
  <c r="AS78" i="124"/>
  <c r="AT78" i="124" s="1" a="1"/>
  <c r="AT78" i="124" s="1"/>
  <c r="AP13" i="124" a="1"/>
  <c r="AP13" i="124" s="1"/>
  <c r="AU212" i="124" a="1"/>
  <c r="AU212" i="124" s="1"/>
  <c r="AV212" i="124" s="1" a="1"/>
  <c r="AV212" i="124" s="1"/>
  <c r="AS19" i="124"/>
  <c r="AT19" i="124" s="1" a="1"/>
  <c r="AT19" i="124" s="1"/>
  <c r="AQ68" i="124"/>
  <c r="AR179" i="124"/>
  <c r="AR166" i="124"/>
  <c r="AQ166" i="124"/>
  <c r="AR193" i="124"/>
  <c r="AS128" i="124"/>
  <c r="AT128" i="124" s="1" a="1"/>
  <c r="AT128" i="124" s="1"/>
  <c r="AS218" i="124"/>
  <c r="AT218" i="124" s="1" a="1"/>
  <c r="AT218" i="124" s="1"/>
  <c r="AS191" i="124"/>
  <c r="AT191" i="124" s="1" a="1"/>
  <c r="AT191" i="124" s="1"/>
  <c r="AQ191" i="124"/>
  <c r="AU191" i="124" a="1"/>
  <c r="AU191" i="124" s="1"/>
  <c r="AV191" i="124" s="1" a="1"/>
  <c r="AV191" i="124" s="1"/>
  <c r="AR191" i="124"/>
  <c r="AP191" i="124" a="1"/>
  <c r="AP191" i="124" s="1"/>
  <c r="AS206" i="124"/>
  <c r="AT206" i="124" s="1" a="1"/>
  <c r="AT206" i="124" s="1"/>
  <c r="AP206" i="124" a="1"/>
  <c r="AP206" i="124" s="1"/>
  <c r="AU206" i="124" a="1"/>
  <c r="AU206" i="124" s="1"/>
  <c r="AV206" i="124" s="1" a="1"/>
  <c r="AV206" i="124" s="1"/>
  <c r="AQ206" i="124"/>
  <c r="AO223" i="124" a="1"/>
  <c r="AO223" i="124" s="1"/>
  <c r="AS223" i="124" s="1"/>
  <c r="AT223" i="124" s="1" a="1"/>
  <c r="AT223" i="124" s="1"/>
  <c r="AP78" i="124" a="1"/>
  <c r="AP78" i="124" s="1"/>
  <c r="AX167" i="124"/>
  <c r="AY167" i="124" s="1"/>
  <c r="AZ167" i="124" s="1" a="1"/>
  <c r="AZ167" i="124" s="1"/>
  <c r="AP60" i="124" a="1"/>
  <c r="AP60" i="124" s="1"/>
  <c r="AK182" i="124"/>
  <c r="AM182" i="124" s="1"/>
  <c r="AK223" i="124"/>
  <c r="AM223" i="124" s="1"/>
  <c r="AR60" i="124"/>
  <c r="AP85" i="124" a="1"/>
  <c r="AP85" i="124" s="1"/>
  <c r="AS25" i="124"/>
  <c r="AT25" i="124" s="1" a="1"/>
  <c r="AT25" i="124" s="1"/>
  <c r="AO182" i="124" a="1"/>
  <c r="AO182" i="124" s="1"/>
  <c r="AR182" i="124" s="1"/>
  <c r="AO22" i="124" a="1"/>
  <c r="AO22" i="124" s="1"/>
  <c r="AJ22" i="124" a="1"/>
  <c r="AJ22" i="124" s="1"/>
  <c r="AN22" i="124" s="1" a="1"/>
  <c r="AN22" i="124" s="1"/>
  <c r="AK22" i="124"/>
  <c r="AM22" i="124" s="1"/>
  <c r="AV159" i="124" a="1"/>
  <c r="AV159" i="124" s="1"/>
  <c r="AU60" i="124" a="1"/>
  <c r="AU60" i="124" s="1"/>
  <c r="AX60" i="124" s="1"/>
  <c r="AY60" i="124" s="1"/>
  <c r="AZ60" i="124" s="1" a="1"/>
  <c r="AZ60" i="124" s="1"/>
  <c r="AQ85" i="124"/>
  <c r="AS20" i="124"/>
  <c r="AT20" i="124" s="1" a="1"/>
  <c r="AT20" i="124" s="1"/>
  <c r="AQ169" i="124"/>
  <c r="AO183" i="124" a="1"/>
  <c r="AO183" i="124" s="1"/>
  <c r="AJ183" i="124" a="1"/>
  <c r="AJ183" i="124" s="1"/>
  <c r="AN183" i="124" s="1" a="1"/>
  <c r="AN183" i="124" s="1"/>
  <c r="AU78" i="124" a="1"/>
  <c r="AU78" i="124" s="1"/>
  <c r="AW78" i="124" s="1"/>
  <c r="AW159" i="124"/>
  <c r="AS81" i="124"/>
  <c r="AT81" i="124" s="1" a="1"/>
  <c r="AT81" i="124" s="1"/>
  <c r="AR85" i="124"/>
  <c r="AV167" i="124" a="1"/>
  <c r="AV167" i="124" s="1"/>
  <c r="AS85" i="124"/>
  <c r="AT85" i="124" s="1" a="1"/>
  <c r="AT85" i="124" s="1"/>
  <c r="AO225" i="124" a="1"/>
  <c r="AO225" i="124" s="1"/>
  <c r="AK225" i="124"/>
  <c r="AM225" i="124" s="1"/>
  <c r="AP19" i="124" a="1"/>
  <c r="AP19" i="124" s="1"/>
  <c r="AQ193" i="124"/>
  <c r="AU193" i="124" a="1"/>
  <c r="AU193" i="124" s="1"/>
  <c r="AR92" i="124"/>
  <c r="AR29" i="124"/>
  <c r="AQ29" i="124"/>
  <c r="AJ182" i="124" a="1"/>
  <c r="AJ182" i="124" s="1"/>
  <c r="AN182" i="124" s="1" a="1"/>
  <c r="AN182" i="124" s="1"/>
  <c r="AO196" i="124" a="1"/>
  <c r="AO196" i="124" s="1"/>
  <c r="AK123" i="124"/>
  <c r="AM123" i="124" s="1"/>
  <c r="AJ123" i="124" a="1"/>
  <c r="AJ123" i="124" s="1"/>
  <c r="AN123" i="124" s="1" a="1"/>
  <c r="AN123" i="124" s="1"/>
  <c r="AU29" i="124" a="1"/>
  <c r="AU29" i="124" s="1"/>
  <c r="AW29" i="124" s="1"/>
  <c r="AO222" i="124" a="1"/>
  <c r="AO222" i="124" s="1"/>
  <c r="AJ222" i="124" a="1"/>
  <c r="AJ222" i="124" s="1"/>
  <c r="AN222" i="124" s="1" a="1"/>
  <c r="AN222" i="124" s="1"/>
  <c r="AJ165" i="124" a="1"/>
  <c r="AJ165" i="124" s="1"/>
  <c r="AN165" i="124" s="1" a="1"/>
  <c r="AN165" i="124" s="1"/>
  <c r="AO43" i="124" a="1"/>
  <c r="AO43" i="124" s="1"/>
  <c r="AK43" i="124"/>
  <c r="AM43" i="124" s="1"/>
  <c r="AJ223" i="124" a="1"/>
  <c r="AJ223" i="124" s="1"/>
  <c r="AN223" i="124" s="1" a="1"/>
  <c r="AN223" i="124" s="1"/>
  <c r="AU19" i="124" a="1"/>
  <c r="AU19" i="124" s="1"/>
  <c r="AW19" i="124" s="1"/>
  <c r="AQ157" i="124"/>
  <c r="AV14" i="124" a="1"/>
  <c r="AV14" i="124" s="1"/>
  <c r="AO208" i="124" a="1"/>
  <c r="AO208" i="124" s="1"/>
  <c r="AX14" i="124"/>
  <c r="AY14" i="124" s="1"/>
  <c r="AO122" i="124" a="1"/>
  <c r="AO122" i="124" s="1"/>
  <c r="AJ83" i="124" a="1"/>
  <c r="AJ83" i="124" s="1"/>
  <c r="AN83" i="124" s="1" a="1"/>
  <c r="AN83" i="124" s="1"/>
  <c r="AO83" i="124" a="1"/>
  <c r="AO83" i="124" s="1"/>
  <c r="AM83" i="124"/>
  <c r="AS92" i="124"/>
  <c r="AT92" i="124" s="1" a="1"/>
  <c r="AT92" i="124" s="1"/>
  <c r="AS69" i="124"/>
  <c r="AT69" i="124" s="1" a="1"/>
  <c r="AT69" i="124" s="1"/>
  <c r="AS29" i="124"/>
  <c r="AT29" i="124" s="1" a="1"/>
  <c r="AT29" i="124" s="1"/>
  <c r="AQ78" i="124"/>
  <c r="AO162" i="124" a="1"/>
  <c r="AO162" i="124" s="1"/>
  <c r="AR162" i="124" s="1"/>
  <c r="AK162" i="124"/>
  <c r="AM162" i="124" s="1"/>
  <c r="AJ162" i="124" a="1"/>
  <c r="AJ162" i="124" s="1"/>
  <c r="AN162" i="124" s="1" a="1"/>
  <c r="AN162" i="124" s="1"/>
  <c r="AS157" i="124"/>
  <c r="AT157" i="124" s="1" a="1"/>
  <c r="AT157" i="124" s="1"/>
  <c r="AR157" i="124"/>
  <c r="AQ235" i="124"/>
  <c r="AR121" i="124"/>
  <c r="AS121" i="124"/>
  <c r="AT121" i="124" s="1" a="1"/>
  <c r="AT121" i="124" s="1"/>
  <c r="AS153" i="124"/>
  <c r="AT153" i="124" s="1" a="1"/>
  <c r="AT153" i="124" s="1"/>
  <c r="AR213" i="124"/>
  <c r="AP235" i="124" a="1"/>
  <c r="AP235" i="124" s="1"/>
  <c r="AS4" i="124"/>
  <c r="AT4" i="124" s="1" a="1"/>
  <c r="AT4" i="124" s="1"/>
  <c r="AU4" i="124" a="1"/>
  <c r="AU4" i="124" s="1"/>
  <c r="AP4" i="124" a="1"/>
  <c r="AP4" i="124" s="1"/>
  <c r="AS60" i="124"/>
  <c r="AT60" i="124" s="1" a="1"/>
  <c r="AT60" i="124" s="1"/>
  <c r="AR19" i="124"/>
  <c r="AR27" i="124"/>
  <c r="AR235" i="124"/>
  <c r="AS158" i="124"/>
  <c r="AT158" i="124" s="1" a="1"/>
  <c r="AT158" i="124" s="1"/>
  <c r="AS39" i="124"/>
  <c r="AT39" i="124" s="1" a="1"/>
  <c r="AT39" i="124" s="1"/>
  <c r="AS27" i="124"/>
  <c r="AT27" i="124" s="1" a="1"/>
  <c r="AT27" i="124" s="1"/>
  <c r="AP125" i="124" a="1"/>
  <c r="AP125" i="124" s="1"/>
  <c r="AU125" i="124" a="1"/>
  <c r="AU125" i="124" s="1"/>
  <c r="AQ125" i="124"/>
  <c r="AS146" i="124"/>
  <c r="AT146" i="124" s="1" a="1"/>
  <c r="AT146" i="124" s="1"/>
  <c r="AU106" i="124" a="1"/>
  <c r="AU106" i="124" s="1"/>
  <c r="AP106" i="124" a="1"/>
  <c r="AP106" i="124" s="1"/>
  <c r="AR156" i="124"/>
  <c r="AR123" i="124"/>
  <c r="AR34" i="124"/>
  <c r="AR21" i="124"/>
  <c r="AR206" i="124"/>
  <c r="AR113" i="124"/>
  <c r="AS192" i="124"/>
  <c r="AT192" i="124" s="1" a="1"/>
  <c r="AT192" i="124" s="1"/>
  <c r="AS119" i="124"/>
  <c r="AT119" i="124" s="1" a="1"/>
  <c r="AT119" i="124" s="1"/>
  <c r="AR106" i="124"/>
  <c r="AS88" i="124"/>
  <c r="AT88" i="124" s="1" a="1"/>
  <c r="AT88" i="124" s="1"/>
  <c r="AQ88" i="124"/>
  <c r="AR88" i="124"/>
  <c r="AY211" i="124"/>
  <c r="AZ211" i="124" s="1" a="1"/>
  <c r="AZ211" i="124" s="1"/>
  <c r="AY199" i="124"/>
  <c r="AZ199" i="124" s="1" a="1"/>
  <c r="AZ199" i="124" s="1"/>
  <c r="AY171" i="124"/>
  <c r="AZ171" i="124" s="1" a="1"/>
  <c r="AZ171" i="124" s="1"/>
  <c r="AY57" i="124"/>
  <c r="AZ57" i="124" s="1" a="1"/>
  <c r="AZ57" i="124" s="1"/>
  <c r="AP76" i="124" a="1"/>
  <c r="AP76" i="124" s="1"/>
  <c r="AU76" i="124" a="1"/>
  <c r="AU76" i="124" s="1"/>
  <c r="AQ76" i="124"/>
  <c r="AU134" i="124" a="1"/>
  <c r="AU134" i="124" s="1"/>
  <c r="AR134" i="124"/>
  <c r="AQ134" i="124"/>
  <c r="AP134" i="124" a="1"/>
  <c r="AP134" i="124" s="1"/>
  <c r="AR231" i="124"/>
  <c r="AP186" i="124" a="1"/>
  <c r="AP186" i="124" s="1"/>
  <c r="AU186" i="124" a="1"/>
  <c r="AU186" i="124" s="1"/>
  <c r="AQ186" i="124"/>
  <c r="AU140" i="124" a="1"/>
  <c r="AU140" i="124" s="1"/>
  <c r="AS140" i="124"/>
  <c r="AT140" i="124" s="1" a="1"/>
  <c r="AT140" i="124" s="1"/>
  <c r="AR140" i="124"/>
  <c r="AQ140" i="124"/>
  <c r="AP140" i="124" a="1"/>
  <c r="AP140" i="124" s="1"/>
  <c r="AP150" i="124" a="1"/>
  <c r="AP150" i="124" s="1"/>
  <c r="AU150" i="124" a="1"/>
  <c r="AU150" i="124" s="1"/>
  <c r="AQ150" i="124"/>
  <c r="AW99" i="124"/>
  <c r="AV99" i="124" a="1"/>
  <c r="AV99" i="124" s="1"/>
  <c r="AS76" i="124"/>
  <c r="AT76" i="124" s="1" a="1"/>
  <c r="AT76" i="124" s="1"/>
  <c r="AQ74" i="124"/>
  <c r="AU74" i="124" a="1"/>
  <c r="AU74" i="124" s="1"/>
  <c r="AP74" i="124" a="1"/>
  <c r="AP74" i="124" s="1"/>
  <c r="AP53" i="124" a="1"/>
  <c r="AP53" i="124" s="1"/>
  <c r="AQ53" i="124"/>
  <c r="AU53" i="124" a="1"/>
  <c r="AU53" i="124" s="1"/>
  <c r="AS53" i="124"/>
  <c r="AT53" i="124" s="1" a="1"/>
  <c r="AT53" i="124" s="1"/>
  <c r="AP66" i="124" a="1"/>
  <c r="AP66" i="124" s="1"/>
  <c r="AU66" i="124" a="1"/>
  <c r="AU66" i="124" s="1"/>
  <c r="AR66" i="124"/>
  <c r="AQ66" i="124"/>
  <c r="AP100" i="124" a="1"/>
  <c r="AP100" i="124" s="1"/>
  <c r="AU100" i="124" a="1"/>
  <c r="AU100" i="124" s="1"/>
  <c r="AQ100" i="124"/>
  <c r="AQ47" i="124"/>
  <c r="AP47" i="124" a="1"/>
  <c r="AP47" i="124" s="1"/>
  <c r="AU47" i="124" a="1"/>
  <c r="AU47" i="124" s="1"/>
  <c r="AV44" i="124" a="1"/>
  <c r="AV44" i="124" s="1"/>
  <c r="AW44" i="124"/>
  <c r="AV17" i="124" a="1"/>
  <c r="AV17" i="124" s="1"/>
  <c r="AX17" i="124"/>
  <c r="AW17" i="124"/>
  <c r="AP172" i="124" a="1"/>
  <c r="AP172" i="124" s="1"/>
  <c r="AU172" i="124" a="1"/>
  <c r="AU172" i="124" s="1"/>
  <c r="AQ172" i="124"/>
  <c r="AS172" i="124"/>
  <c r="AT172" i="124" s="1" a="1"/>
  <c r="AT172" i="124" s="1"/>
  <c r="AR172" i="124"/>
  <c r="AY44" i="124"/>
  <c r="AZ44" i="124" s="1" a="1"/>
  <c r="AZ44" i="124" s="1"/>
  <c r="AU6" i="124" a="1"/>
  <c r="AU6" i="124" s="1"/>
  <c r="AQ6" i="124"/>
  <c r="AP6" i="124" a="1"/>
  <c r="AP6" i="124" s="1"/>
  <c r="AR226" i="124"/>
  <c r="AQ226" i="124"/>
  <c r="AP226" i="124" a="1"/>
  <c r="AP226" i="124" s="1"/>
  <c r="AU226" i="124" a="1"/>
  <c r="AU226" i="124" s="1"/>
  <c r="AP177" i="124" a="1"/>
  <c r="AP177" i="124" s="1"/>
  <c r="AU177" i="124" a="1"/>
  <c r="AU177" i="124" s="1"/>
  <c r="AQ177" i="124"/>
  <c r="AS177" i="124"/>
  <c r="AT177" i="124" s="1" a="1"/>
  <c r="AT177" i="124" s="1"/>
  <c r="AR177" i="124"/>
  <c r="AS145" i="124"/>
  <c r="AT145" i="124" s="1" a="1"/>
  <c r="AT145" i="124" s="1"/>
  <c r="AQ145" i="124"/>
  <c r="AU145" i="124" a="1"/>
  <c r="AU145" i="124" s="1"/>
  <c r="AP145" i="124" a="1"/>
  <c r="AP145" i="124" s="1"/>
  <c r="AS107" i="124"/>
  <c r="AT107" i="124" s="1" a="1"/>
  <c r="AT107" i="124" s="1"/>
  <c r="AY45" i="124"/>
  <c r="AZ45" i="124" s="1" a="1"/>
  <c r="AZ45" i="124" s="1"/>
  <c r="AX99" i="124"/>
  <c r="AP91" i="124" a="1"/>
  <c r="AP91" i="124" s="1"/>
  <c r="AQ91" i="124"/>
  <c r="AU91" i="124" a="1"/>
  <c r="AU91" i="124" s="1"/>
  <c r="AR74" i="124"/>
  <c r="AR53" i="124"/>
  <c r="AS66" i="124"/>
  <c r="AT66" i="124" s="1" a="1"/>
  <c r="AT66" i="124" s="1"/>
  <c r="AU33" i="124" a="1"/>
  <c r="AU33" i="124" s="1"/>
  <c r="AS33" i="124"/>
  <c r="AT33" i="124" s="1" a="1"/>
  <c r="AT33" i="124" s="1"/>
  <c r="AR33" i="124"/>
  <c r="AQ33" i="124"/>
  <c r="AP33" i="124" a="1"/>
  <c r="AP33" i="124" s="1"/>
  <c r="AV31" i="124" a="1"/>
  <c r="AV31" i="124" s="1"/>
  <c r="AX31" i="124"/>
  <c r="AW31" i="124"/>
  <c r="AQ195" i="124"/>
  <c r="AU195" i="124" a="1"/>
  <c r="AU195" i="124" s="1"/>
  <c r="AP195" i="124" a="1"/>
  <c r="AP195" i="124" s="1"/>
  <c r="AS195" i="124"/>
  <c r="AT195" i="124" s="1" a="1"/>
  <c r="AT195" i="124" s="1"/>
  <c r="AU131" i="124" a="1"/>
  <c r="AU131" i="124" s="1"/>
  <c r="AQ131" i="124"/>
  <c r="AR131" i="124"/>
  <c r="AP131" i="124" a="1"/>
  <c r="AP131" i="124" s="1"/>
  <c r="AU111" i="124" a="1"/>
  <c r="AU111" i="124" s="1"/>
  <c r="AQ111" i="124"/>
  <c r="AP111" i="124" a="1"/>
  <c r="AP111" i="124" s="1"/>
  <c r="AQ89" i="124"/>
  <c r="AU89" i="124" a="1"/>
  <c r="AU89" i="124" s="1"/>
  <c r="AR89" i="124"/>
  <c r="AP89" i="124" a="1"/>
  <c r="AP89" i="124" s="1"/>
  <c r="AW5" i="124"/>
  <c r="AV5" i="124" a="1"/>
  <c r="AV5" i="124" s="1"/>
  <c r="AX5" i="124"/>
  <c r="AW10" i="124"/>
  <c r="AV10" i="124" a="1"/>
  <c r="AV10" i="124" s="1"/>
  <c r="AX10" i="124"/>
  <c r="AW7" i="124"/>
  <c r="AV7" i="124" a="1"/>
  <c r="AV7" i="124" s="1"/>
  <c r="AW240" i="124"/>
  <c r="AV240" i="124" a="1"/>
  <c r="AV240" i="124" s="1"/>
  <c r="AX240" i="124"/>
  <c r="AX151" i="124"/>
  <c r="AW151" i="124"/>
  <c r="AV151" i="124" a="1"/>
  <c r="AV151" i="124" s="1"/>
  <c r="AY55" i="124"/>
  <c r="AZ55" i="124" s="1" a="1"/>
  <c r="AZ55" i="124" s="1"/>
  <c r="AQ175" i="124"/>
  <c r="AU175" i="124" a="1"/>
  <c r="AU175" i="124" s="1"/>
  <c r="AP175" i="124" a="1"/>
  <c r="AP175" i="124" s="1"/>
  <c r="AQ156" i="124"/>
  <c r="AP156" i="124" a="1"/>
  <c r="AP156" i="124" s="1"/>
  <c r="AU156" i="124" a="1"/>
  <c r="AU156" i="124" s="1"/>
  <c r="AS74" i="124"/>
  <c r="AT74" i="124" s="1" a="1"/>
  <c r="AT74" i="124" s="1"/>
  <c r="AP51" i="124" a="1"/>
  <c r="AP51" i="124" s="1"/>
  <c r="AU51" i="124" a="1"/>
  <c r="AU51" i="124" s="1"/>
  <c r="AQ51" i="124"/>
  <c r="AP48" i="124" a="1"/>
  <c r="AP48" i="124" s="1"/>
  <c r="AU48" i="124" a="1"/>
  <c r="AU48" i="124" s="1"/>
  <c r="AQ48" i="124"/>
  <c r="AU236" i="124" a="1"/>
  <c r="AU236" i="124" s="1"/>
  <c r="AP236" i="124" a="1"/>
  <c r="AP236" i="124" s="1"/>
  <c r="AR236" i="124"/>
  <c r="AQ236" i="124"/>
  <c r="AP141" i="124" a="1"/>
  <c r="AP141" i="124" s="1"/>
  <c r="AQ141" i="124"/>
  <c r="AU141" i="124" a="1"/>
  <c r="AU141" i="124" s="1"/>
  <c r="AW137" i="124"/>
  <c r="AX137" i="124"/>
  <c r="AV137" i="124" a="1"/>
  <c r="AV137" i="124" s="1"/>
  <c r="AS111" i="124"/>
  <c r="AT111" i="124" s="1" a="1"/>
  <c r="AT111" i="124" s="1"/>
  <c r="AP81" i="124" a="1"/>
  <c r="AP81" i="124" s="1"/>
  <c r="AU81" i="124" a="1"/>
  <c r="AU81" i="124" s="1"/>
  <c r="AR81" i="124"/>
  <c r="AQ81" i="124"/>
  <c r="AW40" i="124"/>
  <c r="AV40" i="124" a="1"/>
  <c r="AV40" i="124" s="1"/>
  <c r="AS51" i="124"/>
  <c r="AT51" i="124" s="1" a="1"/>
  <c r="AT51" i="124" s="1"/>
  <c r="AR39" i="124"/>
  <c r="AR48" i="124"/>
  <c r="AR16" i="124"/>
  <c r="AP221" i="124" a="1"/>
  <c r="AP221" i="124" s="1"/>
  <c r="AU221" i="124" a="1"/>
  <c r="AU221" i="124" s="1"/>
  <c r="AQ221" i="124"/>
  <c r="AS134" i="124"/>
  <c r="AT134" i="124" s="1" a="1"/>
  <c r="AT134" i="124" s="1"/>
  <c r="AV235" i="124" a="1"/>
  <c r="AV235" i="124" s="1"/>
  <c r="AX235" i="124"/>
  <c r="AV210" i="124" a="1"/>
  <c r="AV210" i="124" s="1"/>
  <c r="AW210" i="124"/>
  <c r="AQ129" i="124"/>
  <c r="AU129" i="124" a="1"/>
  <c r="AU129" i="124" s="1"/>
  <c r="AS129" i="124"/>
  <c r="AT129" i="124" s="1" a="1"/>
  <c r="AT129" i="124" s="1"/>
  <c r="AP129" i="124" a="1"/>
  <c r="AP129" i="124" s="1"/>
  <c r="AW114" i="124"/>
  <c r="AV114" i="124" a="1"/>
  <c r="AV114" i="124" s="1"/>
  <c r="AY64" i="124"/>
  <c r="AZ64" i="124" s="1" a="1"/>
  <c r="AZ64" i="124" s="1"/>
  <c r="AP61" i="124" a="1"/>
  <c r="AP61" i="124" s="1"/>
  <c r="AU61" i="124" a="1"/>
  <c r="AU61" i="124" s="1"/>
  <c r="AQ61" i="124"/>
  <c r="AQ49" i="124"/>
  <c r="AU49" i="124" a="1"/>
  <c r="AU49" i="124" s="1"/>
  <c r="AP49" i="124" a="1"/>
  <c r="AP49" i="124" s="1"/>
  <c r="AU25" i="124" a="1"/>
  <c r="AU25" i="124" s="1"/>
  <c r="AQ25" i="124"/>
  <c r="AP25" i="124" a="1"/>
  <c r="AP25" i="124" s="1"/>
  <c r="AX13" i="124"/>
  <c r="AW13" i="124"/>
  <c r="AV13" i="124" a="1"/>
  <c r="AV13" i="124" s="1"/>
  <c r="AP202" i="124" a="1"/>
  <c r="AP202" i="124" s="1"/>
  <c r="AU202" i="124" a="1"/>
  <c r="AU202" i="124" s="1"/>
  <c r="AS202" i="124"/>
  <c r="AT202" i="124" s="1" a="1"/>
  <c r="AT202" i="124" s="1"/>
  <c r="AQ202" i="124"/>
  <c r="AR195" i="124"/>
  <c r="AU168" i="124" a="1"/>
  <c r="AU168" i="124" s="1"/>
  <c r="AS168" i="124"/>
  <c r="AT168" i="124" s="1" a="1"/>
  <c r="AT168" i="124" s="1"/>
  <c r="AR168" i="124"/>
  <c r="AQ168" i="124"/>
  <c r="AP168" i="124" a="1"/>
  <c r="AP168" i="124" s="1"/>
  <c r="AQ161" i="124"/>
  <c r="AU161" i="124" a="1"/>
  <c r="AU161" i="124" s="1"/>
  <c r="AS161" i="124"/>
  <c r="AT161" i="124" s="1" a="1"/>
  <c r="AT161" i="124" s="1"/>
  <c r="AR161" i="124"/>
  <c r="AP161" i="124" a="1"/>
  <c r="AP161" i="124" s="1"/>
  <c r="AQ192" i="124"/>
  <c r="AP192" i="124" a="1"/>
  <c r="AP192" i="124" s="1"/>
  <c r="AU192" i="124" a="1"/>
  <c r="AU192" i="124" s="1"/>
  <c r="AR152" i="124"/>
  <c r="AS141" i="124"/>
  <c r="AT141" i="124" s="1" a="1"/>
  <c r="AT141" i="124" s="1"/>
  <c r="AU97" i="124" a="1"/>
  <c r="AU97" i="124" s="1"/>
  <c r="AQ97" i="124"/>
  <c r="AP97" i="124" a="1"/>
  <c r="AP97" i="124" s="1"/>
  <c r="AQ82" i="124"/>
  <c r="AP82" i="124" a="1"/>
  <c r="AP82" i="124" s="1"/>
  <c r="AU82" i="124" a="1"/>
  <c r="AU82" i="124" s="1"/>
  <c r="AX90" i="124"/>
  <c r="AV90" i="124" a="1"/>
  <c r="AV90" i="124" s="1"/>
  <c r="AW90" i="124"/>
  <c r="AS61" i="124"/>
  <c r="AT61" i="124" s="1" a="1"/>
  <c r="AT61" i="124" s="1"/>
  <c r="AV35" i="124" a="1"/>
  <c r="AV35" i="124" s="1"/>
  <c r="AX35" i="124"/>
  <c r="AW35" i="124"/>
  <c r="AR47" i="124"/>
  <c r="AU38" i="124" a="1"/>
  <c r="AU38" i="124" s="1"/>
  <c r="AQ38" i="124"/>
  <c r="AP38" i="124" a="1"/>
  <c r="AP38" i="124" s="1"/>
  <c r="AP58" i="124" a="1"/>
  <c r="AP58" i="124" s="1"/>
  <c r="AU58" i="124" a="1"/>
  <c r="AU58" i="124" s="1"/>
  <c r="AQ58" i="124"/>
  <c r="AR49" i="124"/>
  <c r="AU231" i="124" a="1"/>
  <c r="AU231" i="124" s="1"/>
  <c r="AQ231" i="124"/>
  <c r="AP231" i="124" a="1"/>
  <c r="AP231" i="124" s="1"/>
  <c r="AU96" i="124" a="1"/>
  <c r="AU96" i="124" s="1"/>
  <c r="AP96" i="124" a="1"/>
  <c r="AP96" i="124" s="1"/>
  <c r="AQ96" i="124"/>
  <c r="AQ94" i="124"/>
  <c r="AU94" i="124" a="1"/>
  <c r="AU94" i="124" s="1"/>
  <c r="AR94" i="124"/>
  <c r="AP94" i="124" a="1"/>
  <c r="AP94" i="124" s="1"/>
  <c r="AV220" i="124" a="1"/>
  <c r="AV220" i="124" s="1"/>
  <c r="AX220" i="124"/>
  <c r="AW220" i="124"/>
  <c r="AS175" i="124"/>
  <c r="AT175" i="124" s="1" a="1"/>
  <c r="AT175" i="124" s="1"/>
  <c r="AY160" i="124"/>
  <c r="AZ160" i="124" s="1" a="1"/>
  <c r="AZ160" i="124" s="1"/>
  <c r="AW135" i="124"/>
  <c r="AV135" i="124" a="1"/>
  <c r="AV135" i="124" s="1"/>
  <c r="AY103" i="124"/>
  <c r="AZ103" i="124" s="1" a="1"/>
  <c r="AZ103" i="124" s="1"/>
  <c r="AQ92" i="124"/>
  <c r="AP92" i="124" a="1"/>
  <c r="AP92" i="124" s="1"/>
  <c r="AU92" i="124" a="1"/>
  <c r="AU92" i="124" s="1"/>
  <c r="AP71" i="124" a="1"/>
  <c r="AP71" i="124" s="1"/>
  <c r="AU71" i="124" a="1"/>
  <c r="AU71" i="124" s="1"/>
  <c r="AR71" i="124"/>
  <c r="AQ71" i="124"/>
  <c r="AP86" i="124" a="1"/>
  <c r="AP86" i="124" s="1"/>
  <c r="AQ86" i="124"/>
  <c r="AU86" i="124" a="1"/>
  <c r="AU86" i="124" s="1"/>
  <c r="AQ28" i="124"/>
  <c r="AP28" i="124" a="1"/>
  <c r="AP28" i="124" s="1"/>
  <c r="AU28" i="124" a="1"/>
  <c r="AU28" i="124" s="1"/>
  <c r="AU184" i="124" a="1"/>
  <c r="AU184" i="124" s="1"/>
  <c r="AQ184" i="124"/>
  <c r="AP184" i="124" a="1"/>
  <c r="AP184" i="124" s="1"/>
  <c r="AW201" i="124"/>
  <c r="AX201" i="124"/>
  <c r="AV201" i="124" a="1"/>
  <c r="AV201" i="124" s="1"/>
  <c r="AQ214" i="124"/>
  <c r="AP214" i="124" a="1"/>
  <c r="AP214" i="124" s="1"/>
  <c r="AU214" i="124" a="1"/>
  <c r="AU214" i="124" s="1"/>
  <c r="AR214" i="124"/>
  <c r="AX233" i="124"/>
  <c r="AW233" i="124"/>
  <c r="AV233" i="124" a="1"/>
  <c r="AV233" i="124" s="1"/>
  <c r="AS217" i="124"/>
  <c r="AT217" i="124" s="1" a="1"/>
  <c r="AT217" i="124" s="1"/>
  <c r="AU146" i="124" a="1"/>
  <c r="AU146" i="124" s="1"/>
  <c r="AQ146" i="124"/>
  <c r="AP146" i="124" a="1"/>
  <c r="AP146" i="124" s="1"/>
  <c r="AV155" i="124" a="1"/>
  <c r="AV155" i="124" s="1"/>
  <c r="AX155" i="124"/>
  <c r="AW155" i="124"/>
  <c r="AV142" i="124" a="1"/>
  <c r="AV142" i="124" s="1"/>
  <c r="AW142" i="124"/>
  <c r="AX142" i="124"/>
  <c r="AQ77" i="124"/>
  <c r="AU77" i="124" a="1"/>
  <c r="AU77" i="124" s="1"/>
  <c r="AP77" i="124" a="1"/>
  <c r="AP77" i="124" s="1"/>
  <c r="AS77" i="124"/>
  <c r="AT77" i="124" s="1" a="1"/>
  <c r="AT77" i="124" s="1"/>
  <c r="AS47" i="124"/>
  <c r="AT47" i="124" s="1" a="1"/>
  <c r="AT47" i="124" s="1"/>
  <c r="AU34" i="124" a="1"/>
  <c r="AU34" i="124" s="1"/>
  <c r="AP34" i="124" a="1"/>
  <c r="AP34" i="124" s="1"/>
  <c r="AQ34" i="124"/>
  <c r="AR6" i="124"/>
  <c r="AW15" i="124"/>
  <c r="AV15" i="124" a="1"/>
  <c r="AV15" i="124" s="1"/>
  <c r="AX15" i="124"/>
  <c r="AP215" i="124" a="1"/>
  <c r="AP215" i="124" s="1"/>
  <c r="AU215" i="124" a="1"/>
  <c r="AU215" i="124" s="1"/>
  <c r="AQ215" i="124"/>
  <c r="AQ234" i="124"/>
  <c r="AP234" i="124" a="1"/>
  <c r="AP234" i="124" s="1"/>
  <c r="AU234" i="124" a="1"/>
  <c r="AU234" i="124" s="1"/>
  <c r="AS234" i="124"/>
  <c r="AT234" i="124" s="1" a="1"/>
  <c r="AT234" i="124" s="1"/>
  <c r="AR234" i="124"/>
  <c r="AV205" i="124" a="1"/>
  <c r="AV205" i="124" s="1"/>
  <c r="AW205" i="124"/>
  <c r="AX205" i="124"/>
  <c r="AW197" i="124"/>
  <c r="AV197" i="124" a="1"/>
  <c r="AV197" i="124" s="1"/>
  <c r="AP152" i="124" a="1"/>
  <c r="AP152" i="124" s="1"/>
  <c r="AU152" i="124" a="1"/>
  <c r="AU152" i="124" s="1"/>
  <c r="AQ152" i="124"/>
  <c r="AU126" i="124" a="1"/>
  <c r="AU126" i="124" s="1"/>
  <c r="AQ126" i="124"/>
  <c r="AR126" i="124"/>
  <c r="AP126" i="124" a="1"/>
  <c r="AP126" i="124" s="1"/>
  <c r="AX139" i="124"/>
  <c r="AW139" i="124"/>
  <c r="AV139" i="124" a="1"/>
  <c r="AV139" i="124" s="1"/>
  <c r="AY85" i="124"/>
  <c r="AZ85" i="124" s="1" a="1"/>
  <c r="AZ85" i="124" s="1"/>
  <c r="AV116" i="124" a="1"/>
  <c r="AV116" i="124" s="1"/>
  <c r="AX116" i="124"/>
  <c r="AW116" i="124"/>
  <c r="AW124" i="124"/>
  <c r="AV124" i="124" a="1"/>
  <c r="AV124" i="124" s="1"/>
  <c r="AU121" i="124" a="1"/>
  <c r="AU121" i="124" s="1"/>
  <c r="AQ121" i="124"/>
  <c r="AP121" i="124" a="1"/>
  <c r="AP121" i="124" s="1"/>
  <c r="AQ87" i="124"/>
  <c r="AP87" i="124" a="1"/>
  <c r="AP87" i="124" s="1"/>
  <c r="AU87" i="124" a="1"/>
  <c r="AU87" i="124" s="1"/>
  <c r="AY40" i="124"/>
  <c r="AZ40" i="124" s="1" a="1"/>
  <c r="AZ40" i="124" s="1"/>
  <c r="AP37" i="124" a="1"/>
  <c r="AP37" i="124" s="1"/>
  <c r="AQ37" i="124"/>
  <c r="AU37" i="124" a="1"/>
  <c r="AU37" i="124" s="1"/>
  <c r="AS37" i="124"/>
  <c r="AT37" i="124" s="1" a="1"/>
  <c r="AT37" i="124" s="1"/>
  <c r="AR37" i="124"/>
  <c r="AV85" i="124" a="1"/>
  <c r="AV85" i="124" s="1"/>
  <c r="AW85" i="124"/>
  <c r="AQ21" i="124"/>
  <c r="AU21" i="124" a="1"/>
  <c r="AU21" i="124" s="1"/>
  <c r="AP21" i="124" a="1"/>
  <c r="AP21" i="124" s="1"/>
  <c r="AW65" i="124"/>
  <c r="AV65" i="124" a="1"/>
  <c r="AV65" i="124" s="1"/>
  <c r="AQ190" i="124"/>
  <c r="AU190" i="124" a="1"/>
  <c r="AU190" i="124" s="1"/>
  <c r="AP190" i="124" a="1"/>
  <c r="AP190" i="124" s="1"/>
  <c r="AU16" i="124" a="1"/>
  <c r="AU16" i="124" s="1"/>
  <c r="AP16" i="124" a="1"/>
  <c r="AP16" i="124" s="1"/>
  <c r="AQ16" i="124"/>
  <c r="AX7" i="124"/>
  <c r="AQ239" i="124"/>
  <c r="AP239" i="124" a="1"/>
  <c r="AP239" i="124" s="1"/>
  <c r="AS239" i="124"/>
  <c r="AT239" i="124" s="1" a="1"/>
  <c r="AT239" i="124" s="1"/>
  <c r="AR239" i="124"/>
  <c r="AU239" i="124" a="1"/>
  <c r="AU239" i="124" s="1"/>
  <c r="AY174" i="124"/>
  <c r="AZ174" i="124" s="1" a="1"/>
  <c r="AZ174" i="124" s="1"/>
  <c r="AR190" i="124"/>
  <c r="AY170" i="124"/>
  <c r="AZ170" i="124" s="1" a="1"/>
  <c r="AZ170" i="124" s="1"/>
  <c r="AY124" i="124"/>
  <c r="AZ124" i="124" s="1" a="1"/>
  <c r="AZ124" i="124" s="1"/>
  <c r="AQ119" i="124"/>
  <c r="AU119" i="124" a="1"/>
  <c r="AU119" i="124" s="1"/>
  <c r="AP119" i="124" a="1"/>
  <c r="AP119" i="124" s="1"/>
  <c r="AX132" i="124"/>
  <c r="AW132" i="124"/>
  <c r="AV132" i="124" a="1"/>
  <c r="AV132" i="124" s="1"/>
  <c r="AP120" i="124" a="1"/>
  <c r="AP120" i="124" s="1"/>
  <c r="AU120" i="124" a="1"/>
  <c r="AU120" i="124" s="1"/>
  <c r="AS120" i="124"/>
  <c r="AT120" i="124" s="1" a="1"/>
  <c r="AT120" i="124" s="1"/>
  <c r="AQ120" i="124"/>
  <c r="AQ59" i="124"/>
  <c r="AU59" i="124" a="1"/>
  <c r="AU59" i="124" s="1"/>
  <c r="AP59" i="124" a="1"/>
  <c r="AP59" i="124" s="1"/>
  <c r="AR59" i="124"/>
  <c r="AS49" i="124"/>
  <c r="AT49" i="124" s="1" a="1"/>
  <c r="AT49" i="124" s="1"/>
  <c r="AW9" i="124"/>
  <c r="AX9" i="124"/>
  <c r="AV9" i="124" a="1"/>
  <c r="AV9" i="124" s="1"/>
  <c r="AQ219" i="124"/>
  <c r="AU219" i="124" a="1"/>
  <c r="AU219" i="124" s="1"/>
  <c r="AS219" i="124"/>
  <c r="AT219" i="124" s="1" a="1"/>
  <c r="AT219" i="124" s="1"/>
  <c r="AR219" i="124"/>
  <c r="AP219" i="124" a="1"/>
  <c r="AP219" i="124" s="1"/>
  <c r="AR221" i="124"/>
  <c r="AS190" i="124"/>
  <c r="AT190" i="124" s="1" a="1"/>
  <c r="AT190" i="124" s="1"/>
  <c r="AV198" i="124" a="1"/>
  <c r="AV198" i="124" s="1"/>
  <c r="AX198" i="124"/>
  <c r="AW198" i="124"/>
  <c r="AV199" i="124" a="1"/>
  <c r="AV199" i="124" s="1"/>
  <c r="AW199" i="124"/>
  <c r="AW171" i="124"/>
  <c r="AV171" i="124" a="1"/>
  <c r="AV171" i="124" s="1"/>
  <c r="AP128" i="124" a="1"/>
  <c r="AP128" i="124" s="1"/>
  <c r="AU128" i="124" a="1"/>
  <c r="AU128" i="124" s="1"/>
  <c r="AQ128" i="124"/>
  <c r="AU113" i="124" a="1"/>
  <c r="AU113" i="124" s="1"/>
  <c r="AQ113" i="124"/>
  <c r="AP113" i="124" a="1"/>
  <c r="AP113" i="124" s="1"/>
  <c r="AY102" i="124"/>
  <c r="AZ102" i="124" s="1" a="1"/>
  <c r="AZ102" i="124" s="1"/>
  <c r="AR120" i="124"/>
  <c r="AP109" i="124" a="1"/>
  <c r="AP109" i="124" s="1"/>
  <c r="AU109" i="124" a="1"/>
  <c r="AU109" i="124" s="1"/>
  <c r="AQ109" i="124"/>
  <c r="AQ69" i="124"/>
  <c r="AR69" i="124"/>
  <c r="AP69" i="124" a="1"/>
  <c r="AP69" i="124" s="1"/>
  <c r="AU69" i="124" a="1"/>
  <c r="AU69" i="124" s="1"/>
  <c r="AU154" i="124" a="1"/>
  <c r="AU154" i="124" s="1"/>
  <c r="AQ154" i="124"/>
  <c r="AR154" i="124"/>
  <c r="AP154" i="124" a="1"/>
  <c r="AP154" i="124" s="1"/>
  <c r="AW57" i="124"/>
  <c r="AV57" i="124" a="1"/>
  <c r="AV57" i="124" s="1"/>
  <c r="AQ204" i="124"/>
  <c r="AP204" i="124" a="1"/>
  <c r="AP204" i="124" s="1"/>
  <c r="AU204" i="124" a="1"/>
  <c r="AU204" i="124" s="1"/>
  <c r="AV178" i="124" a="1"/>
  <c r="AV178" i="124" s="1"/>
  <c r="AW178" i="124"/>
  <c r="AX178" i="124"/>
  <c r="AY144" i="124"/>
  <c r="AZ144" i="124" s="1" a="1"/>
  <c r="AZ144" i="124" s="1"/>
  <c r="AU118" i="124" a="1"/>
  <c r="AU118" i="124" s="1"/>
  <c r="AQ118" i="124"/>
  <c r="AP118" i="124" a="1"/>
  <c r="AP118" i="124" s="1"/>
  <c r="AX127" i="124"/>
  <c r="AW127" i="124"/>
  <c r="AV127" i="124" a="1"/>
  <c r="AV127" i="124" s="1"/>
  <c r="AQ84" i="124"/>
  <c r="AP84" i="124" a="1"/>
  <c r="AP84" i="124" s="1"/>
  <c r="AU84" i="124" a="1"/>
  <c r="AU84" i="124" s="1"/>
  <c r="AW102" i="124"/>
  <c r="AV102" i="124" a="1"/>
  <c r="AV102" i="124" s="1"/>
  <c r="AY54" i="124"/>
  <c r="AZ54" i="124" s="1" a="1"/>
  <c r="AZ54" i="124" s="1"/>
  <c r="AU11" i="124" a="1"/>
  <c r="AU11" i="124" s="1"/>
  <c r="AQ11" i="124"/>
  <c r="AP11" i="124" a="1"/>
  <c r="AP11" i="124" s="1"/>
  <c r="AR11" i="124"/>
  <c r="AQ217" i="124"/>
  <c r="AU217" i="124" a="1"/>
  <c r="AU217" i="124" s="1"/>
  <c r="AP217" i="124" a="1"/>
  <c r="AP217" i="124" s="1"/>
  <c r="AY194" i="124"/>
  <c r="AZ194" i="124" s="1" a="1"/>
  <c r="AZ194" i="124" s="1"/>
  <c r="AS221" i="124"/>
  <c r="AT221" i="124" s="1" a="1"/>
  <c r="AT221" i="124" s="1"/>
  <c r="AV194" i="124" a="1"/>
  <c r="AV194" i="124" s="1"/>
  <c r="AW194" i="124"/>
  <c r="AR118" i="124"/>
  <c r="AR18" i="124"/>
  <c r="AQ18" i="124"/>
  <c r="AP18" i="124" a="1"/>
  <c r="AP18" i="124" s="1"/>
  <c r="AU18" i="124" a="1"/>
  <c r="AU18" i="124" s="1"/>
  <c r="AU39" i="124" a="1"/>
  <c r="AU39" i="124" s="1"/>
  <c r="AQ39" i="124"/>
  <c r="AP39" i="124" a="1"/>
  <c r="AP39" i="124" s="1"/>
  <c r="AY114" i="124"/>
  <c r="AZ114" i="124" s="1" a="1"/>
  <c r="AZ114" i="124" s="1"/>
  <c r="AY197" i="124"/>
  <c r="AZ197" i="124" s="1" a="1"/>
  <c r="AZ197" i="124" s="1"/>
  <c r="AY159" i="124"/>
  <c r="AZ159" i="124" s="1" a="1"/>
  <c r="AZ159" i="124" s="1"/>
  <c r="AY210" i="124"/>
  <c r="AZ210" i="124" s="1" a="1"/>
  <c r="AZ210" i="124" s="1"/>
  <c r="AQ153" i="124"/>
  <c r="AU153" i="124" a="1"/>
  <c r="AU153" i="124" s="1"/>
  <c r="AP153" i="124" a="1"/>
  <c r="AP153" i="124" s="1"/>
  <c r="AQ143" i="124"/>
  <c r="AU143" i="124" a="1"/>
  <c r="AU143" i="124" s="1"/>
  <c r="AP143" i="124" a="1"/>
  <c r="AP143" i="124" s="1"/>
  <c r="AR150" i="124"/>
  <c r="AR96" i="124"/>
  <c r="AQ79" i="124"/>
  <c r="AP79" i="124" a="1"/>
  <c r="AP79" i="124" s="1"/>
  <c r="AU79" i="124" a="1"/>
  <c r="AU79" i="124" s="1"/>
  <c r="AR79" i="124"/>
  <c r="AP56" i="124" a="1"/>
  <c r="AP56" i="124" s="1"/>
  <c r="AU56" i="124" a="1"/>
  <c r="AU56" i="124" s="1"/>
  <c r="AR56" i="124"/>
  <c r="AQ56" i="124"/>
  <c r="AP104" i="124" a="1"/>
  <c r="AP104" i="124" s="1"/>
  <c r="AU104" i="124" a="1"/>
  <c r="AU104" i="124" s="1"/>
  <c r="AQ104" i="124"/>
  <c r="AX12" i="124"/>
  <c r="AW12" i="124"/>
  <c r="AV12" i="124" a="1"/>
  <c r="AV12" i="124" s="1"/>
  <c r="AV230" i="124" a="1"/>
  <c r="AV230" i="124" s="1"/>
  <c r="AX230" i="124"/>
  <c r="AW230" i="124"/>
  <c r="AR202" i="124"/>
  <c r="AR204" i="124"/>
  <c r="AS184" i="124"/>
  <c r="AT184" i="124" s="1" a="1"/>
  <c r="AT184" i="124" s="1"/>
  <c r="AQ216" i="124"/>
  <c r="AP216" i="124" a="1"/>
  <c r="AP216" i="124" s="1"/>
  <c r="AU216" i="124" a="1"/>
  <c r="AU216" i="124" s="1"/>
  <c r="AS216" i="124"/>
  <c r="AT216" i="124" s="1" a="1"/>
  <c r="AT216" i="124" s="1"/>
  <c r="AR186" i="124"/>
  <c r="AR184" i="124"/>
  <c r="AU158" i="124" a="1"/>
  <c r="AU158" i="124" s="1"/>
  <c r="AP158" i="124" a="1"/>
  <c r="AP158" i="124" s="1"/>
  <c r="AQ158" i="124"/>
  <c r="AY135" i="124"/>
  <c r="AZ135" i="124" s="1" a="1"/>
  <c r="AZ135" i="124" s="1"/>
  <c r="AR143" i="124"/>
  <c r="AS150" i="124"/>
  <c r="AT150" i="124" s="1" a="1"/>
  <c r="AT150" i="124" s="1"/>
  <c r="AU107" i="124" a="1"/>
  <c r="AU107" i="124" s="1"/>
  <c r="AP107" i="124" a="1"/>
  <c r="AP107" i="124" s="1"/>
  <c r="AR107" i="124"/>
  <c r="AQ107" i="124"/>
  <c r="AS96" i="124"/>
  <c r="AT96" i="124" s="1" a="1"/>
  <c r="AT96" i="124" s="1"/>
  <c r="AP105" i="124" a="1"/>
  <c r="AP105" i="124" s="1"/>
  <c r="AQ105" i="124"/>
  <c r="AU105" i="124" a="1"/>
  <c r="AU105" i="124" s="1"/>
  <c r="AS56" i="124"/>
  <c r="AT56" i="124" s="1" a="1"/>
  <c r="AT56" i="124" s="1"/>
  <c r="AR109" i="124"/>
  <c r="AS104" i="124"/>
  <c r="AT104" i="124" s="1" a="1"/>
  <c r="AT104" i="124" s="1"/>
  <c r="AP46" i="124" a="1"/>
  <c r="AP46" i="124" s="1"/>
  <c r="AQ46" i="124"/>
  <c r="AU46" i="124" a="1"/>
  <c r="AU46" i="124" s="1"/>
  <c r="AR46" i="124"/>
  <c r="AW103" i="124"/>
  <c r="AV103" i="124" a="1"/>
  <c r="AV103" i="124" s="1"/>
  <c r="AR100" i="124"/>
  <c r="AU67" i="124" a="1"/>
  <c r="AU67" i="124" s="1"/>
  <c r="AQ67" i="124"/>
  <c r="AP67" i="124" a="1"/>
  <c r="AP67" i="124" s="1"/>
  <c r="AW41" i="124"/>
  <c r="AV41" i="124" a="1"/>
  <c r="AV41" i="124" s="1"/>
  <c r="AX41" i="124"/>
  <c r="AV64" i="124" a="1"/>
  <c r="AV64" i="124" s="1"/>
  <c r="AW64" i="124"/>
  <c r="AS11" i="124"/>
  <c r="AT11" i="124" s="1" a="1"/>
  <c r="AT11" i="124" s="1"/>
  <c r="AU138" i="124" a="1"/>
  <c r="AU138" i="124" s="1"/>
  <c r="AP138" i="124" a="1"/>
  <c r="AP138" i="124" s="1"/>
  <c r="AQ138" i="124"/>
  <c r="AW211" i="124"/>
  <c r="AV211" i="124" a="1"/>
  <c r="AV211" i="124" s="1"/>
  <c r="AP207" i="124" a="1"/>
  <c r="AP207" i="124" s="1"/>
  <c r="AQ207" i="124"/>
  <c r="AU207" i="124" a="1"/>
  <c r="AU207" i="124" s="1"/>
  <c r="AS204" i="124"/>
  <c r="AT204" i="124" s="1" a="1"/>
  <c r="AT204" i="124" s="1"/>
  <c r="AS207" i="124"/>
  <c r="AT207" i="124" s="1" a="1"/>
  <c r="AT207" i="124" s="1"/>
  <c r="AQ224" i="124"/>
  <c r="AP224" i="124" a="1"/>
  <c r="AP224" i="124" s="1"/>
  <c r="AU224" i="124" a="1"/>
  <c r="AU224" i="124" s="1"/>
  <c r="AR224" i="124"/>
  <c r="AR216" i="124"/>
  <c r="AR207" i="124"/>
  <c r="AW160" i="124"/>
  <c r="AV160" i="124" a="1"/>
  <c r="AV160" i="124" s="1"/>
  <c r="AP123" i="124" a="1"/>
  <c r="AP123" i="124" s="1"/>
  <c r="AQ123" i="124"/>
  <c r="AU123" i="124" a="1"/>
  <c r="AU123" i="124" s="1"/>
  <c r="AS138" i="124"/>
  <c r="AT138" i="124" s="1" a="1"/>
  <c r="AT138" i="124" s="1"/>
  <c r="AX65" i="124"/>
  <c r="AR129" i="124"/>
  <c r="AR105" i="124"/>
  <c r="AS46" i="124"/>
  <c r="AT46" i="124" s="1" a="1"/>
  <c r="AT46" i="124" s="1"/>
  <c r="AR76" i="124"/>
  <c r="AR84" i="124"/>
  <c r="AS100" i="124"/>
  <c r="AT100" i="124" s="1" a="1"/>
  <c r="AT100" i="124" s="1"/>
  <c r="AW45" i="124"/>
  <c r="AV45" i="124" a="1"/>
  <c r="AV45" i="124" s="1"/>
  <c r="AR203" i="124" l="1"/>
  <c r="AQ203" i="124"/>
  <c r="AP203" i="124" a="1"/>
  <c r="AP203" i="124" s="1"/>
  <c r="AU203" i="124" a="1"/>
  <c r="AU203" i="124" s="1"/>
  <c r="AU176" i="124" a="1"/>
  <c r="AU176" i="124" s="1"/>
  <c r="AW176" i="124" s="1"/>
  <c r="AW70" i="124"/>
  <c r="AV70" i="124" a="1"/>
  <c r="AV70" i="124" s="1"/>
  <c r="AR163" i="124"/>
  <c r="AQ163" i="124"/>
  <c r="AV185" i="124" a="1"/>
  <c r="AV185" i="124" s="1"/>
  <c r="AP163" i="124" a="1"/>
  <c r="AP163" i="124" s="1"/>
  <c r="AR229" i="124"/>
  <c r="AP229" i="124" a="1"/>
  <c r="AP229" i="124" s="1"/>
  <c r="AQ229" i="124"/>
  <c r="AX148" i="124"/>
  <c r="AP176" i="124" a="1"/>
  <c r="AP176" i="124" s="1"/>
  <c r="AW232" i="124"/>
  <c r="AQ176" i="124"/>
  <c r="AU229" i="124" a="1"/>
  <c r="AU229" i="124" s="1"/>
  <c r="AW229" i="124" s="1"/>
  <c r="AX232" i="124"/>
  <c r="AY232" i="124" s="1"/>
  <c r="AR176" i="124"/>
  <c r="AX228" i="124"/>
  <c r="AY228" i="124" s="1"/>
  <c r="AZ228" i="124" s="1" a="1"/>
  <c r="AZ228" i="124" s="1"/>
  <c r="AV228" i="124" a="1"/>
  <c r="AV228" i="124" s="1"/>
  <c r="AV8" i="124" a="1"/>
  <c r="AV8" i="124" s="1"/>
  <c r="AX8" i="124"/>
  <c r="AY8" i="124" s="1"/>
  <c r="AU163" i="124" a="1"/>
  <c r="AU163" i="124" s="1"/>
  <c r="AV163" i="124" s="1" a="1"/>
  <c r="AV163" i="124" s="1"/>
  <c r="AV148" i="124" a="1"/>
  <c r="AV148" i="124" s="1"/>
  <c r="AX185" i="124"/>
  <c r="AY185" i="124" s="1"/>
  <c r="AZ185" i="124" s="1" a="1"/>
  <c r="AZ185" i="124" s="1"/>
  <c r="AX112" i="124"/>
  <c r="AY112" i="124" s="1"/>
  <c r="AZ112" i="124" s="1" a="1"/>
  <c r="AZ112" i="124" s="1"/>
  <c r="AW112" i="124"/>
  <c r="AX188" i="124"/>
  <c r="AY188" i="124" s="1"/>
  <c r="AZ188" i="124" s="1" a="1"/>
  <c r="AZ188" i="124" s="1"/>
  <c r="AV188" i="124" a="1"/>
  <c r="AV188" i="124" s="1"/>
  <c r="AV169" i="124" a="1"/>
  <c r="AV169" i="124" s="1"/>
  <c r="AW169" i="124"/>
  <c r="AV238" i="124" a="1"/>
  <c r="AV238" i="124" s="1"/>
  <c r="AW238" i="124"/>
  <c r="AS165" i="124"/>
  <c r="AT165" i="124" s="1" a="1"/>
  <c r="AT165" i="124" s="1"/>
  <c r="AQ165" i="124"/>
  <c r="AU165" i="124" a="1"/>
  <c r="AU165" i="124" s="1"/>
  <c r="AW165" i="124" s="1"/>
  <c r="AP165" i="124" a="1"/>
  <c r="AP165" i="124" s="1"/>
  <c r="AW237" i="124"/>
  <c r="AX237" i="124"/>
  <c r="AY237" i="124" s="1"/>
  <c r="AZ237" i="124" s="1" a="1"/>
  <c r="AZ237" i="124" s="1"/>
  <c r="AW93" i="124"/>
  <c r="AX68" i="124"/>
  <c r="AY68" i="124" s="1"/>
  <c r="AZ68" i="124" s="1" a="1"/>
  <c r="AZ68" i="124" s="1"/>
  <c r="AV93" i="124" a="1"/>
  <c r="AV93" i="124" s="1"/>
  <c r="AV101" i="124" a="1"/>
  <c r="AV101" i="124" s="1"/>
  <c r="AW101" i="124"/>
  <c r="AR108" i="124"/>
  <c r="AP108" i="124" a="1"/>
  <c r="AP108" i="124" s="1"/>
  <c r="AQ108" i="124"/>
  <c r="AS108" i="124"/>
  <c r="AT108" i="124" s="1" a="1"/>
  <c r="AT108" i="124" s="1"/>
  <c r="AV50" i="124" a="1"/>
  <c r="AV50" i="124" s="1"/>
  <c r="AW50" i="124"/>
  <c r="AX130" i="124"/>
  <c r="AY130" i="124" s="1"/>
  <c r="AZ130" i="124" s="1" a="1"/>
  <c r="AZ130" i="124" s="1"/>
  <c r="AP227" i="124" a="1"/>
  <c r="AP227" i="124" s="1"/>
  <c r="AU227" i="124" a="1"/>
  <c r="AU227" i="124" s="1"/>
  <c r="AV227" i="124" s="1" a="1"/>
  <c r="AV227" i="124" s="1"/>
  <c r="AS227" i="124"/>
  <c r="AT227" i="124" s="1" a="1"/>
  <c r="AT227" i="124" s="1"/>
  <c r="AV130" i="124" a="1"/>
  <c r="AV130" i="124" s="1"/>
  <c r="AX180" i="124"/>
  <c r="AY180" i="124" s="1"/>
  <c r="AZ180" i="124" s="1" a="1"/>
  <c r="AZ180" i="124" s="1"/>
  <c r="AW180" i="124"/>
  <c r="AR136" i="124"/>
  <c r="AU136" i="124" a="1"/>
  <c r="AU136" i="124" s="1"/>
  <c r="AV136" i="124" s="1" a="1"/>
  <c r="AV136" i="124" s="1"/>
  <c r="AP136" i="124" a="1"/>
  <c r="AP136" i="124" s="1"/>
  <c r="AR227" i="124"/>
  <c r="AV80" i="124" a="1"/>
  <c r="AV80" i="124" s="1"/>
  <c r="AW32" i="124"/>
  <c r="AX24" i="124"/>
  <c r="AY24" i="124" s="1"/>
  <c r="AZ24" i="124" s="1" a="1"/>
  <c r="AZ24" i="124" s="1"/>
  <c r="AQ136" i="124"/>
  <c r="AV181" i="124" a="1"/>
  <c r="AV181" i="124" s="1"/>
  <c r="AW68" i="124"/>
  <c r="AX164" i="124"/>
  <c r="AY164" i="124" s="1"/>
  <c r="AZ164" i="124" s="1" a="1"/>
  <c r="AZ164" i="124" s="1"/>
  <c r="AX95" i="124"/>
  <c r="AY95" i="124" s="1"/>
  <c r="AZ95" i="124" s="1" a="1"/>
  <c r="AZ95" i="124" s="1"/>
  <c r="AX115" i="124"/>
  <c r="AY115" i="124" s="1"/>
  <c r="AZ115" i="124" s="1" a="1"/>
  <c r="AZ115" i="124" s="1"/>
  <c r="AV115" i="124" a="1"/>
  <c r="AV115" i="124" s="1"/>
  <c r="AV73" i="124" a="1"/>
  <c r="AV73" i="124" s="1"/>
  <c r="AW24" i="124"/>
  <c r="AV164" i="124" a="1"/>
  <c r="AV164" i="124" s="1"/>
  <c r="AX32" i="124"/>
  <c r="AY32" i="124" s="1"/>
  <c r="AZ32" i="124" s="1" a="1"/>
  <c r="AZ32" i="124" s="1"/>
  <c r="AW80" i="124"/>
  <c r="AW73" i="124"/>
  <c r="AV95" i="124" a="1"/>
  <c r="AV95" i="124" s="1"/>
  <c r="AW52" i="124"/>
  <c r="AV52" i="124" a="1"/>
  <c r="AV52" i="124" s="1"/>
  <c r="AX30" i="124"/>
  <c r="AY30" i="124" s="1"/>
  <c r="AZ30" i="124" s="1" a="1"/>
  <c r="AZ30" i="124" s="1"/>
  <c r="AV30" i="124" a="1"/>
  <c r="AV30" i="124" s="1"/>
  <c r="AW212" i="124"/>
  <c r="AX212" i="124"/>
  <c r="AY212" i="124" s="1"/>
  <c r="AZ212" i="124" s="1" a="1"/>
  <c r="AZ212" i="124" s="1"/>
  <c r="AW181" i="124"/>
  <c r="AU63" i="124" a="1"/>
  <c r="AU63" i="124" s="1"/>
  <c r="AX63" i="124" s="1"/>
  <c r="AW98" i="124"/>
  <c r="AS63" i="124"/>
  <c r="AT63" i="124" s="1" a="1"/>
  <c r="AT63" i="124" s="1"/>
  <c r="AV213" i="124" a="1"/>
  <c r="AV213" i="124" s="1"/>
  <c r="AX213" i="124"/>
  <c r="AY213" i="124" s="1"/>
  <c r="AQ63" i="124"/>
  <c r="AW187" i="124"/>
  <c r="AW88" i="124"/>
  <c r="AW200" i="124"/>
  <c r="AV88" i="124" a="1"/>
  <c r="AV88" i="124" s="1"/>
  <c r="AX133" i="124"/>
  <c r="AY133" i="124" s="1"/>
  <c r="AZ133" i="124" s="1" a="1"/>
  <c r="AZ133" i="124" s="1"/>
  <c r="AX98" i="124"/>
  <c r="AY98" i="124" s="1"/>
  <c r="AV200" i="124" a="1"/>
  <c r="AV200" i="124" s="1"/>
  <c r="AP23" i="124" a="1"/>
  <c r="AP23" i="124" s="1"/>
  <c r="AQ23" i="124"/>
  <c r="AR23" i="124"/>
  <c r="AS23" i="124"/>
  <c r="AT23" i="124" s="1" a="1"/>
  <c r="AT23" i="124" s="1"/>
  <c r="AV133" i="124" a="1"/>
  <c r="AV133" i="124" s="1"/>
  <c r="AX19" i="124"/>
  <c r="AY19" i="124" s="1"/>
  <c r="AZ19" i="124" s="1" a="1"/>
  <c r="AZ19" i="124" s="1"/>
  <c r="AV19" i="124" a="1"/>
  <c r="AV19" i="124" s="1"/>
  <c r="AV149" i="124" a="1"/>
  <c r="AV149" i="124" s="1"/>
  <c r="AX149" i="124"/>
  <c r="AY149" i="124" s="1"/>
  <c r="AZ149" i="124" s="1" a="1"/>
  <c r="AZ149" i="124" s="1"/>
  <c r="AV187" i="124" a="1"/>
  <c r="AV187" i="124" s="1"/>
  <c r="AU62" i="124" a="1"/>
  <c r="AU62" i="124" s="1"/>
  <c r="AW62" i="124" s="1"/>
  <c r="AV42" i="124" a="1"/>
  <c r="AV42" i="124" s="1"/>
  <c r="AP62" i="124" a="1"/>
  <c r="AP62" i="124" s="1"/>
  <c r="AR63" i="124"/>
  <c r="AP63" i="124" a="1"/>
  <c r="AP63" i="124" s="1"/>
  <c r="AW206" i="124"/>
  <c r="AZ75" i="124" a="1"/>
  <c r="AZ75" i="124" s="1"/>
  <c r="AW75" i="124"/>
  <c r="AV75" i="124" a="1"/>
  <c r="AV75" i="124" s="1"/>
  <c r="AQ62" i="124"/>
  <c r="AS62" i="124"/>
  <c r="AT62" i="124" s="1" a="1"/>
  <c r="AT62" i="124" s="1"/>
  <c r="AW42" i="124"/>
  <c r="AV179" i="124" a="1"/>
  <c r="AV179" i="124" s="1"/>
  <c r="AW179" i="124"/>
  <c r="AV60" i="124" a="1"/>
  <c r="AV60" i="124" s="1"/>
  <c r="AX166" i="124"/>
  <c r="AY166" i="124" s="1"/>
  <c r="AV166" i="124" a="1"/>
  <c r="AV166" i="124" s="1"/>
  <c r="AW20" i="124"/>
  <c r="AX20" i="124"/>
  <c r="AY20" i="124" s="1"/>
  <c r="AZ20" i="124" s="1" a="1"/>
  <c r="AZ20" i="124" s="1"/>
  <c r="AV29" i="124" a="1"/>
  <c r="AV29" i="124" s="1"/>
  <c r="AX78" i="124"/>
  <c r="AY78" i="124" s="1"/>
  <c r="AZ78" i="124" s="1" a="1"/>
  <c r="AZ78" i="124" s="1"/>
  <c r="AV78" i="124" a="1"/>
  <c r="AV78" i="124" s="1"/>
  <c r="AX191" i="124"/>
  <c r="AY191" i="124" s="1"/>
  <c r="AZ191" i="124" s="1" a="1"/>
  <c r="AZ191" i="124" s="1"/>
  <c r="AW191" i="124"/>
  <c r="AX206" i="124"/>
  <c r="AY206" i="124" s="1"/>
  <c r="AZ206" i="124" s="1" a="1"/>
  <c r="AZ206" i="124" s="1"/>
  <c r="AW173" i="124"/>
  <c r="AV173" i="124" a="1"/>
  <c r="AV173" i="124" s="1"/>
  <c r="AX173" i="124"/>
  <c r="AY173" i="124" s="1"/>
  <c r="AZ173" i="124" s="1" a="1"/>
  <c r="AZ173" i="124" s="1"/>
  <c r="AX29" i="124"/>
  <c r="AY29" i="124" s="1"/>
  <c r="AZ29" i="124" s="1" a="1"/>
  <c r="AZ29" i="124" s="1"/>
  <c r="AS182" i="124"/>
  <c r="AT182" i="124" s="1" a="1"/>
  <c r="AT182" i="124" s="1"/>
  <c r="AZ14" i="124" a="1"/>
  <c r="AZ14" i="124" s="1"/>
  <c r="AS162" i="124"/>
  <c r="AT162" i="124" s="1" a="1"/>
  <c r="AT162" i="124" s="1"/>
  <c r="AV27" i="124" a="1"/>
  <c r="AV27" i="124" s="1"/>
  <c r="AW27" i="124"/>
  <c r="AV26" i="124" a="1"/>
  <c r="AV26" i="124" s="1"/>
  <c r="AX26" i="124"/>
  <c r="AY26" i="124" s="1"/>
  <c r="AZ26" i="124" s="1" a="1"/>
  <c r="AZ26" i="124" s="1"/>
  <c r="AW26" i="124"/>
  <c r="AM1" i="124"/>
  <c r="AV218" i="124" a="1"/>
  <c r="AV218" i="124" s="1"/>
  <c r="AW218" i="124"/>
  <c r="AN1" i="124"/>
  <c r="AR223" i="124"/>
  <c r="AU122" i="124" a="1"/>
  <c r="AU122" i="124" s="1"/>
  <c r="AP122" i="124" a="1"/>
  <c r="AP122" i="124" s="1"/>
  <c r="AS122" i="124"/>
  <c r="AT122" i="124" s="1" a="1"/>
  <c r="AT122" i="124" s="1"/>
  <c r="AR122" i="124"/>
  <c r="AQ122" i="124"/>
  <c r="AU222" i="124" a="1"/>
  <c r="AU222" i="124" s="1"/>
  <c r="AR222" i="124"/>
  <c r="AS222" i="124"/>
  <c r="AT222" i="124" s="1" a="1"/>
  <c r="AT222" i="124" s="1"/>
  <c r="AQ222" i="124"/>
  <c r="AP222" i="124" a="1"/>
  <c r="AP222" i="124" s="1"/>
  <c r="AU208" i="124" a="1"/>
  <c r="AU208" i="124" s="1"/>
  <c r="AQ208" i="124"/>
  <c r="AP208" i="124" a="1"/>
  <c r="AP208" i="124" s="1"/>
  <c r="AS208" i="124"/>
  <c r="AT208" i="124" s="1" a="1"/>
  <c r="AT208" i="124" s="1"/>
  <c r="AR208" i="124"/>
  <c r="AW60" i="124"/>
  <c r="AS196" i="124"/>
  <c r="AT196" i="124" s="1" a="1"/>
  <c r="AT196" i="124" s="1"/>
  <c r="AU196" i="124" a="1"/>
  <c r="AU196" i="124" s="1"/>
  <c r="AQ196" i="124"/>
  <c r="AP196" i="124" a="1"/>
  <c r="AP196" i="124" s="1"/>
  <c r="AR196" i="124"/>
  <c r="AQ22" i="124"/>
  <c r="AU22" i="124" a="1"/>
  <c r="AU22" i="124" s="1"/>
  <c r="AR22" i="124"/>
  <c r="AP22" i="124" a="1"/>
  <c r="AP22" i="124" s="1"/>
  <c r="AS22" i="124"/>
  <c r="AT22" i="124" s="1" a="1"/>
  <c r="AT22" i="124" s="1"/>
  <c r="AU223" i="124" a="1"/>
  <c r="AU223" i="124" s="1"/>
  <c r="AP223" i="124" a="1"/>
  <c r="AP223" i="124" s="1"/>
  <c r="AQ223" i="124"/>
  <c r="AQ182" i="124"/>
  <c r="AU182" i="124" a="1"/>
  <c r="AU182" i="124" s="1"/>
  <c r="AP182" i="124" a="1"/>
  <c r="AP182" i="124" s="1"/>
  <c r="AU162" i="124" a="1"/>
  <c r="AU162" i="124" s="1"/>
  <c r="AP162" i="124" a="1"/>
  <c r="AP162" i="124" s="1"/>
  <c r="AQ162" i="124"/>
  <c r="AV193" i="124" a="1"/>
  <c r="AV193" i="124" s="1"/>
  <c r="AX193" i="124"/>
  <c r="AY193" i="124" s="1"/>
  <c r="AW193" i="124"/>
  <c r="AQ183" i="124"/>
  <c r="AR183" i="124"/>
  <c r="AS183" i="124"/>
  <c r="AT183" i="124" s="1" a="1"/>
  <c r="AT183" i="124" s="1"/>
  <c r="AU183" i="124" a="1"/>
  <c r="AU183" i="124" s="1"/>
  <c r="AP183" i="124" a="1"/>
  <c r="AP183" i="124" s="1"/>
  <c r="AP225" i="124" a="1"/>
  <c r="AP225" i="124" s="1"/>
  <c r="AS225" i="124"/>
  <c r="AT225" i="124" s="1" a="1"/>
  <c r="AT225" i="124" s="1"/>
  <c r="AR225" i="124"/>
  <c r="AU225" i="124" a="1"/>
  <c r="AU225" i="124" s="1"/>
  <c r="AQ225" i="124"/>
  <c r="AR43" i="124"/>
  <c r="AS43" i="124"/>
  <c r="AT43" i="124" s="1" a="1"/>
  <c r="AT43" i="124" s="1"/>
  <c r="AP43" i="124" a="1"/>
  <c r="AP43" i="124" s="1"/>
  <c r="AQ43" i="124"/>
  <c r="AU43" i="124" a="1"/>
  <c r="AU43" i="124" s="1"/>
  <c r="AU83" i="124" a="1"/>
  <c r="AU83" i="124" s="1"/>
  <c r="AQ83" i="124"/>
  <c r="AP83" i="124" a="1"/>
  <c r="AP83" i="124" s="1"/>
  <c r="AS83" i="124"/>
  <c r="AT83" i="124" s="1" a="1"/>
  <c r="AT83" i="124" s="1"/>
  <c r="AR83" i="124"/>
  <c r="AZ110" i="124" a="1"/>
  <c r="AZ110" i="124" s="1"/>
  <c r="AV4" i="124" a="1"/>
  <c r="AV4" i="124" s="1"/>
  <c r="AX4" i="124"/>
  <c r="AW4" i="124"/>
  <c r="AW106" i="124"/>
  <c r="AV106" i="124" a="1"/>
  <c r="AV106" i="124" s="1"/>
  <c r="AX106" i="124"/>
  <c r="AX125" i="124"/>
  <c r="AY125" i="124" s="1"/>
  <c r="AZ125" i="124" s="1" a="1"/>
  <c r="AZ125" i="124" s="1"/>
  <c r="AW125" i="124"/>
  <c r="AV125" i="124" a="1"/>
  <c r="AV125" i="124" s="1"/>
  <c r="AW231" i="124"/>
  <c r="AV231" i="124" a="1"/>
  <c r="AV231" i="124" s="1"/>
  <c r="AX231" i="124"/>
  <c r="AX141" i="124"/>
  <c r="AW141" i="124"/>
  <c r="AV141" i="124" a="1"/>
  <c r="AV141" i="124" s="1"/>
  <c r="AY70" i="124"/>
  <c r="AW216" i="124"/>
  <c r="AX216" i="124"/>
  <c r="AV216" i="124" a="1"/>
  <c r="AV216" i="124" s="1"/>
  <c r="AY155" i="124"/>
  <c r="AZ155" i="124" s="1" a="1"/>
  <c r="AZ155" i="124" s="1"/>
  <c r="AV192" i="124" a="1"/>
  <c r="AV192" i="124" s="1"/>
  <c r="AW192" i="124"/>
  <c r="AX192" i="124"/>
  <c r="AV49" i="124" a="1"/>
  <c r="AV49" i="124" s="1"/>
  <c r="AW49" i="124"/>
  <c r="AX49" i="124"/>
  <c r="AY5" i="124"/>
  <c r="AZ5" i="124" s="1" a="1"/>
  <c r="AZ5" i="124" s="1"/>
  <c r="AV6" i="124" a="1"/>
  <c r="AV6" i="124" s="1"/>
  <c r="AW6" i="124"/>
  <c r="AX6" i="124"/>
  <c r="AW100" i="124"/>
  <c r="AV100" i="124" a="1"/>
  <c r="AV100" i="124" s="1"/>
  <c r="AX100" i="124"/>
  <c r="AW104" i="124"/>
  <c r="AV104" i="124" a="1"/>
  <c r="AV104" i="124" s="1"/>
  <c r="AX104" i="124"/>
  <c r="AW51" i="124"/>
  <c r="AV51" i="124" a="1"/>
  <c r="AV51" i="124" s="1"/>
  <c r="AX51" i="124"/>
  <c r="AY65" i="124"/>
  <c r="AZ65" i="124" s="1" a="1"/>
  <c r="AZ65" i="124" s="1"/>
  <c r="AY235" i="124"/>
  <c r="AZ235" i="124" s="1" a="1"/>
  <c r="AZ235" i="124" s="1"/>
  <c r="AV84" i="124" a="1"/>
  <c r="AV84" i="124" s="1"/>
  <c r="AW84" i="124"/>
  <c r="AX84" i="124"/>
  <c r="AY15" i="124"/>
  <c r="AZ15" i="124" s="1" a="1"/>
  <c r="AZ15" i="124" s="1"/>
  <c r="AW39" i="124"/>
  <c r="AV39" i="124" a="1"/>
  <c r="AV39" i="124" s="1"/>
  <c r="AX39" i="124"/>
  <c r="AW219" i="124"/>
  <c r="AV219" i="124" a="1"/>
  <c r="AV219" i="124" s="1"/>
  <c r="AX219" i="124"/>
  <c r="AV87" i="124" a="1"/>
  <c r="AV87" i="124" s="1"/>
  <c r="AW87" i="124"/>
  <c r="AX87" i="124"/>
  <c r="AY148" i="124"/>
  <c r="AV23" i="124" a="1"/>
  <c r="AV23" i="124" s="1"/>
  <c r="AW23" i="124"/>
  <c r="AX23" i="124"/>
  <c r="AW134" i="124"/>
  <c r="AV134" i="124" a="1"/>
  <c r="AV134" i="124" s="1"/>
  <c r="AX134" i="124"/>
  <c r="AW224" i="124"/>
  <c r="AV224" i="124" a="1"/>
  <c r="AV224" i="124" s="1"/>
  <c r="AX224" i="124"/>
  <c r="AZ218" i="124" a="1"/>
  <c r="AZ218" i="124" s="1"/>
  <c r="AW190" i="124"/>
  <c r="AV190" i="124" a="1"/>
  <c r="AV190" i="124" s="1"/>
  <c r="AX190" i="124"/>
  <c r="AY27" i="124"/>
  <c r="AZ27" i="124" s="1" a="1"/>
  <c r="AZ27" i="124" s="1"/>
  <c r="AV131" i="124" a="1"/>
  <c r="AV131" i="124" s="1"/>
  <c r="AW131" i="124"/>
  <c r="AX131" i="124"/>
  <c r="AW150" i="124"/>
  <c r="AV150" i="124" a="1"/>
  <c r="AV150" i="124" s="1"/>
  <c r="AX150" i="124"/>
  <c r="AY230" i="124"/>
  <c r="AZ230" i="124" s="1" a="1"/>
  <c r="AZ230" i="124" s="1"/>
  <c r="AX153" i="124"/>
  <c r="AW153" i="124"/>
  <c r="AV153" i="124" a="1"/>
  <c r="AV153" i="124" s="1"/>
  <c r="AW18" i="124"/>
  <c r="AV18" i="124" a="1"/>
  <c r="AV18" i="124" s="1"/>
  <c r="AX18" i="124"/>
  <c r="AV107" i="124" a="1"/>
  <c r="AV107" i="124" s="1"/>
  <c r="AX107" i="124"/>
  <c r="AW107" i="124"/>
  <c r="AV204" i="124" a="1"/>
  <c r="AV204" i="124" s="1"/>
  <c r="AW204" i="124"/>
  <c r="AX204" i="124"/>
  <c r="AV59" i="124" a="1"/>
  <c r="AV59" i="124" s="1"/>
  <c r="AW59" i="124"/>
  <c r="AX59" i="124"/>
  <c r="AW234" i="124"/>
  <c r="AV234" i="124" a="1"/>
  <c r="AV234" i="124" s="1"/>
  <c r="AX234" i="124"/>
  <c r="AY201" i="124"/>
  <c r="AV71" i="124" a="1"/>
  <c r="AV71" i="124" s="1"/>
  <c r="AW71" i="124"/>
  <c r="AX71" i="124"/>
  <c r="AY90" i="124"/>
  <c r="AZ90" i="124" s="1" a="1"/>
  <c r="AZ90" i="124" s="1"/>
  <c r="AW202" i="124"/>
  <c r="AV202" i="124" a="1"/>
  <c r="AV202" i="124" s="1"/>
  <c r="AX202" i="124"/>
  <c r="AX56" i="124"/>
  <c r="AV56" i="124" a="1"/>
  <c r="AV56" i="124" s="1"/>
  <c r="AW56" i="124"/>
  <c r="AV69" i="124" a="1"/>
  <c r="AV69" i="124" s="1"/>
  <c r="AW69" i="124"/>
  <c r="AX69" i="124"/>
  <c r="AV146" i="124" a="1"/>
  <c r="AV146" i="124" s="1"/>
  <c r="AW146" i="124"/>
  <c r="AX146" i="124"/>
  <c r="AY238" i="124"/>
  <c r="AZ238" i="124" s="1" a="1"/>
  <c r="AZ238" i="124" s="1"/>
  <c r="AW61" i="124"/>
  <c r="AV61" i="124" a="1"/>
  <c r="AV61" i="124" s="1"/>
  <c r="AX61" i="124"/>
  <c r="AW156" i="124"/>
  <c r="AV156" i="124" a="1"/>
  <c r="AV156" i="124" s="1"/>
  <c r="AX156" i="124"/>
  <c r="AV66" i="124" a="1"/>
  <c r="AV66" i="124" s="1"/>
  <c r="AW66" i="124"/>
  <c r="AX66" i="124"/>
  <c r="AW119" i="124"/>
  <c r="AV119" i="124" a="1"/>
  <c r="AV119" i="124" s="1"/>
  <c r="AX119" i="124"/>
  <c r="AV82" i="124" a="1"/>
  <c r="AV82" i="124" s="1"/>
  <c r="AW82" i="124"/>
  <c r="AX82" i="124"/>
  <c r="AW138" i="124"/>
  <c r="AV138" i="124" a="1"/>
  <c r="AV138" i="124" s="1"/>
  <c r="AX138" i="124"/>
  <c r="AV217" i="124" a="1"/>
  <c r="AV217" i="124" s="1"/>
  <c r="AW217" i="124"/>
  <c r="AX217" i="124"/>
  <c r="AY127" i="124"/>
  <c r="AZ127" i="124" s="1" a="1"/>
  <c r="AZ127" i="124" s="1"/>
  <c r="AW113" i="124"/>
  <c r="AV113" i="124" a="1"/>
  <c r="AV113" i="124" s="1"/>
  <c r="AX113" i="124"/>
  <c r="AY35" i="124"/>
  <c r="AZ35" i="124" s="1" a="1"/>
  <c r="AZ35" i="124" s="1"/>
  <c r="AW123" i="124"/>
  <c r="AX123" i="124"/>
  <c r="AV123" i="124" a="1"/>
  <c r="AV123" i="124" s="1"/>
  <c r="AX46" i="124"/>
  <c r="AW46" i="124"/>
  <c r="AV46" i="124" a="1"/>
  <c r="AV46" i="124" s="1"/>
  <c r="AW121" i="124"/>
  <c r="AV121" i="124" a="1"/>
  <c r="AV121" i="124" s="1"/>
  <c r="AX121" i="124"/>
  <c r="AV126" i="124" a="1"/>
  <c r="AV126" i="124" s="1"/>
  <c r="AX126" i="124"/>
  <c r="AW126" i="124"/>
  <c r="AX177" i="124"/>
  <c r="AW177" i="124"/>
  <c r="AV177" i="124" a="1"/>
  <c r="AV177" i="124" s="1"/>
  <c r="AW172" i="124"/>
  <c r="AV172" i="124" a="1"/>
  <c r="AV172" i="124" s="1"/>
  <c r="AX172" i="124"/>
  <c r="AV76" i="124" a="1"/>
  <c r="AV76" i="124" s="1"/>
  <c r="AW76" i="124"/>
  <c r="AX76" i="124"/>
  <c r="AX128" i="124"/>
  <c r="AW128" i="124"/>
  <c r="AV128" i="124" a="1"/>
  <c r="AV128" i="124" s="1"/>
  <c r="AY93" i="124"/>
  <c r="AZ93" i="124" s="1" a="1"/>
  <c r="AZ93" i="124" s="1"/>
  <c r="AY7" i="124"/>
  <c r="AZ7" i="124" s="1" a="1"/>
  <c r="AZ7" i="124" s="1"/>
  <c r="AV34" i="124" a="1"/>
  <c r="AV34" i="124" s="1"/>
  <c r="AW34" i="124"/>
  <c r="AX34" i="124"/>
  <c r="AW58" i="124"/>
  <c r="AV58" i="124" a="1"/>
  <c r="AV58" i="124" s="1"/>
  <c r="AX58" i="124"/>
  <c r="AV195" i="124" a="1"/>
  <c r="AV195" i="124" s="1"/>
  <c r="AW195" i="124"/>
  <c r="AX195" i="124"/>
  <c r="AY101" i="124"/>
  <c r="AW53" i="124"/>
  <c r="AX53" i="124"/>
  <c r="AV53" i="124" a="1"/>
  <c r="AV53" i="124" s="1"/>
  <c r="AW120" i="124"/>
  <c r="AX120" i="124"/>
  <c r="AV120" i="124" a="1"/>
  <c r="AV120" i="124" s="1"/>
  <c r="AV21" i="124" a="1"/>
  <c r="AV21" i="124" s="1"/>
  <c r="AW21" i="124"/>
  <c r="AX21" i="124"/>
  <c r="AW161" i="124"/>
  <c r="AV161" i="124" a="1"/>
  <c r="AV161" i="124" s="1"/>
  <c r="AX161" i="124"/>
  <c r="AW236" i="124"/>
  <c r="AV236" i="124" a="1"/>
  <c r="AV236" i="124" s="1"/>
  <c r="AX236" i="124"/>
  <c r="AX176" i="124"/>
  <c r="AX33" i="124"/>
  <c r="AW33" i="124"/>
  <c r="AV33" i="124" a="1"/>
  <c r="AV33" i="124" s="1"/>
  <c r="AV118" i="124" a="1"/>
  <c r="AV118" i="124" s="1"/>
  <c r="AW118" i="124"/>
  <c r="AX118" i="124"/>
  <c r="AW109" i="124"/>
  <c r="AV109" i="124" a="1"/>
  <c r="AV109" i="124" s="1"/>
  <c r="AX109" i="124"/>
  <c r="AW152" i="124"/>
  <c r="AV152" i="124" a="1"/>
  <c r="AV152" i="124" s="1"/>
  <c r="AX152" i="124"/>
  <c r="AV184" i="124" a="1"/>
  <c r="AV184" i="124" s="1"/>
  <c r="AW184" i="124"/>
  <c r="AX184" i="124"/>
  <c r="AW94" i="124"/>
  <c r="AV94" i="124" a="1"/>
  <c r="AV94" i="124" s="1"/>
  <c r="AX94" i="124"/>
  <c r="AV89" i="124" a="1"/>
  <c r="AV89" i="124" s="1"/>
  <c r="AW89" i="124"/>
  <c r="AX89" i="124"/>
  <c r="AV140" i="124" a="1"/>
  <c r="AV140" i="124" s="1"/>
  <c r="AW140" i="124"/>
  <c r="AX140" i="124"/>
  <c r="AW105" i="124"/>
  <c r="AV105" i="124" a="1"/>
  <c r="AV105" i="124" s="1"/>
  <c r="AX105" i="124"/>
  <c r="AY116" i="124"/>
  <c r="AW92" i="124"/>
  <c r="AV92" i="124" a="1"/>
  <c r="AV92" i="124" s="1"/>
  <c r="AX92" i="124"/>
  <c r="AV97" i="124" a="1"/>
  <c r="AV97" i="124" s="1"/>
  <c r="AX97" i="124"/>
  <c r="AW97" i="124"/>
  <c r="AW221" i="124"/>
  <c r="AV221" i="124" a="1"/>
  <c r="AV221" i="124" s="1"/>
  <c r="AX221" i="124"/>
  <c r="AW81" i="124"/>
  <c r="AV81" i="124" a="1"/>
  <c r="AV81" i="124" s="1"/>
  <c r="AX81" i="124"/>
  <c r="AY151" i="124"/>
  <c r="AZ151" i="124" s="1" a="1"/>
  <c r="AZ151" i="124" s="1"/>
  <c r="AY31" i="124"/>
  <c r="AZ31" i="124" s="1" a="1"/>
  <c r="AZ31" i="124" s="1"/>
  <c r="AY17" i="124"/>
  <c r="AZ17" i="124" s="1" a="1"/>
  <c r="AZ17" i="124" s="1"/>
  <c r="AY41" i="124"/>
  <c r="AZ41" i="124" s="1" a="1"/>
  <c r="AZ41" i="124" s="1"/>
  <c r="AV16" i="124" a="1"/>
  <c r="AV16" i="124" s="1"/>
  <c r="AW16" i="124"/>
  <c r="AX16" i="124"/>
  <c r="AW77" i="124"/>
  <c r="AV77" i="124" a="1"/>
  <c r="AV77" i="124" s="1"/>
  <c r="AX77" i="124"/>
  <c r="AW28" i="124"/>
  <c r="AV28" i="124" a="1"/>
  <c r="AV28" i="124" s="1"/>
  <c r="AX28" i="124"/>
  <c r="AV38" i="124" a="1"/>
  <c r="AV38" i="124" s="1"/>
  <c r="AW38" i="124"/>
  <c r="AX38" i="124"/>
  <c r="AY13" i="124"/>
  <c r="AZ13" i="124" s="1" a="1"/>
  <c r="AZ13" i="124" s="1"/>
  <c r="AW48" i="124"/>
  <c r="AV48" i="124" a="1"/>
  <c r="AV48" i="124" s="1"/>
  <c r="AX48" i="124"/>
  <c r="AY240" i="124"/>
  <c r="AZ240" i="124" s="1" a="1"/>
  <c r="AZ240" i="124" s="1"/>
  <c r="AW226" i="124"/>
  <c r="AV226" i="124" a="1"/>
  <c r="AV226" i="124" s="1"/>
  <c r="AX226" i="124"/>
  <c r="AV74" i="124" a="1"/>
  <c r="AV74" i="124" s="1"/>
  <c r="AW74" i="124"/>
  <c r="AX74" i="124"/>
  <c r="AW186" i="124"/>
  <c r="AV186" i="124" a="1"/>
  <c r="AV186" i="124" s="1"/>
  <c r="AX186" i="124"/>
  <c r="AV215" i="124" a="1"/>
  <c r="AV215" i="124" s="1"/>
  <c r="AX215" i="124"/>
  <c r="AW215" i="124"/>
  <c r="AW91" i="124"/>
  <c r="AV91" i="124" a="1"/>
  <c r="AV91" i="124" s="1"/>
  <c r="AX91" i="124"/>
  <c r="AW145" i="124"/>
  <c r="AV145" i="124" a="1"/>
  <c r="AV145" i="124" s="1"/>
  <c r="AX145" i="124"/>
  <c r="AW203" i="124"/>
  <c r="AV203" i="124" a="1"/>
  <c r="AV203" i="124" s="1"/>
  <c r="AX203" i="124"/>
  <c r="AY132" i="124"/>
  <c r="AZ132" i="124" s="1" a="1"/>
  <c r="AZ132" i="124" s="1"/>
  <c r="AY233" i="124"/>
  <c r="AZ233" i="124" s="1" a="1"/>
  <c r="AZ233" i="124" s="1"/>
  <c r="AW129" i="124"/>
  <c r="AV129" i="124" a="1"/>
  <c r="AV129" i="124" s="1"/>
  <c r="AX129" i="124"/>
  <c r="AV158" i="124" a="1"/>
  <c r="AV158" i="124" s="1"/>
  <c r="AW158" i="124"/>
  <c r="AX158" i="124"/>
  <c r="AY88" i="124"/>
  <c r="AZ88" i="124" s="1" a="1"/>
  <c r="AZ88" i="124" s="1"/>
  <c r="AV37" i="124" a="1"/>
  <c r="AV37" i="124" s="1"/>
  <c r="AW37" i="124"/>
  <c r="AX37" i="124"/>
  <c r="AY205" i="124"/>
  <c r="AZ205" i="124" s="1" a="1"/>
  <c r="AZ205" i="124" s="1"/>
  <c r="AY142" i="124"/>
  <c r="AW96" i="124"/>
  <c r="AV96" i="124" a="1"/>
  <c r="AV96" i="124" s="1"/>
  <c r="AX96" i="124"/>
  <c r="AW175" i="124"/>
  <c r="AV175" i="124" a="1"/>
  <c r="AV175" i="124" s="1"/>
  <c r="AX175" i="124"/>
  <c r="AW111" i="124"/>
  <c r="AV111" i="124" a="1"/>
  <c r="AV111" i="124" s="1"/>
  <c r="AX111" i="124"/>
  <c r="AW47" i="124"/>
  <c r="AV47" i="124" a="1"/>
  <c r="AV47" i="124" s="1"/>
  <c r="AX47" i="124"/>
  <c r="AV11" i="124" a="1"/>
  <c r="AV11" i="124" s="1"/>
  <c r="AW11" i="124"/>
  <c r="AX11" i="124"/>
  <c r="AY198" i="124"/>
  <c r="AZ198" i="124" s="1" a="1"/>
  <c r="AZ198" i="124" s="1"/>
  <c r="AY179" i="124"/>
  <c r="AZ179" i="124" s="1" a="1"/>
  <c r="AZ179" i="124" s="1"/>
  <c r="AX108" i="124"/>
  <c r="AW108" i="124"/>
  <c r="AV108" i="124" a="1"/>
  <c r="AV108" i="124" s="1"/>
  <c r="AW239" i="124"/>
  <c r="AV239" i="124" a="1"/>
  <c r="AV239" i="124" s="1"/>
  <c r="AX239" i="124"/>
  <c r="AV25" i="124" a="1"/>
  <c r="AV25" i="124" s="1"/>
  <c r="AW25" i="124"/>
  <c r="AX25" i="124"/>
  <c r="AY9" i="124"/>
  <c r="AW207" i="124"/>
  <c r="AV207" i="124" a="1"/>
  <c r="AV207" i="124" s="1"/>
  <c r="AX207" i="124"/>
  <c r="AW67" i="124"/>
  <c r="AV67" i="124" a="1"/>
  <c r="AV67" i="124" s="1"/>
  <c r="AX67" i="124"/>
  <c r="AY12" i="124"/>
  <c r="AY220" i="124"/>
  <c r="AZ220" i="124" s="1" a="1"/>
  <c r="AZ220" i="124" s="1"/>
  <c r="AV168" i="124" a="1"/>
  <c r="AV168" i="124" s="1"/>
  <c r="AW168" i="124"/>
  <c r="AX168" i="124"/>
  <c r="AY137" i="124"/>
  <c r="AZ137" i="124" s="1" a="1"/>
  <c r="AZ137" i="124" s="1"/>
  <c r="AY73" i="124"/>
  <c r="AZ73" i="124" s="1" a="1"/>
  <c r="AZ73" i="124" s="1"/>
  <c r="AY10" i="124"/>
  <c r="AZ10" i="124" s="1" a="1"/>
  <c r="AZ10" i="124" s="1"/>
  <c r="AY99" i="124"/>
  <c r="AZ99" i="124" s="1" a="1"/>
  <c r="AZ99" i="124" s="1"/>
  <c r="AV79" i="124" a="1"/>
  <c r="AV79" i="124" s="1"/>
  <c r="AX79" i="124"/>
  <c r="AW79" i="124"/>
  <c r="AV143" i="124" a="1"/>
  <c r="AV143" i="124" s="1"/>
  <c r="AW143" i="124"/>
  <c r="AX143" i="124"/>
  <c r="AY178" i="124"/>
  <c r="AZ178" i="124" s="1" a="1"/>
  <c r="AZ178" i="124" s="1"/>
  <c r="AV154" i="124" a="1"/>
  <c r="AV154" i="124" s="1"/>
  <c r="AX154" i="124"/>
  <c r="AW154" i="124"/>
  <c r="AY139" i="124"/>
  <c r="AZ139" i="124" s="1" a="1"/>
  <c r="AZ139" i="124" s="1"/>
  <c r="AV214" i="124" a="1"/>
  <c r="AV214" i="124" s="1"/>
  <c r="AW214" i="124"/>
  <c r="AX214" i="124"/>
  <c r="AW86" i="124"/>
  <c r="AV86" i="124" a="1"/>
  <c r="AV86" i="124" s="1"/>
  <c r="AX86" i="124"/>
  <c r="AY50" i="124"/>
  <c r="AZ50" i="124" s="1" a="1"/>
  <c r="AZ50" i="124" s="1"/>
  <c r="AV176" i="124" l="1" a="1"/>
  <c r="AV176" i="124" s="1"/>
  <c r="AX229" i="124"/>
  <c r="AW163" i="124"/>
  <c r="AV229" i="124" a="1"/>
  <c r="AV229" i="124" s="1"/>
  <c r="AX163" i="124"/>
  <c r="AY163" i="124" s="1"/>
  <c r="AZ163" i="124" s="1" a="1"/>
  <c r="AZ163" i="124" s="1"/>
  <c r="AX165" i="124"/>
  <c r="AY165" i="124" s="1"/>
  <c r="AZ165" i="124" s="1" a="1"/>
  <c r="AZ165" i="124" s="1"/>
  <c r="AV165" i="124" a="1"/>
  <c r="AV165" i="124" s="1"/>
  <c r="AW136" i="124"/>
  <c r="AX136" i="124"/>
  <c r="AY136" i="124" s="1"/>
  <c r="AZ136" i="124" s="1" a="1"/>
  <c r="AZ136" i="124" s="1"/>
  <c r="AW227" i="124"/>
  <c r="AX227" i="124"/>
  <c r="AY227" i="124" s="1"/>
  <c r="AZ227" i="124" s="1" a="1"/>
  <c r="AZ227" i="124" s="1"/>
  <c r="AV63" i="124" a="1"/>
  <c r="AV63" i="124" s="1"/>
  <c r="AW63" i="124"/>
  <c r="AZ98" i="124" a="1"/>
  <c r="AZ98" i="124" s="1"/>
  <c r="AX62" i="124"/>
  <c r="AY62" i="124" s="1"/>
  <c r="AZ62" i="124" s="1" a="1"/>
  <c r="AZ62" i="124" s="1"/>
  <c r="AV62" i="124" a="1"/>
  <c r="AV62" i="124" s="1"/>
  <c r="AZ193" i="124" a="1"/>
  <c r="AZ193" i="124" s="1"/>
  <c r="AT1" i="124"/>
  <c r="AV225" i="124" a="1"/>
  <c r="AV225" i="124" s="1"/>
  <c r="AX225" i="124"/>
  <c r="AY225" i="124" s="1"/>
  <c r="AZ225" i="124" s="1" a="1"/>
  <c r="AZ225" i="124" s="1"/>
  <c r="AW225" i="124"/>
  <c r="AW182" i="124"/>
  <c r="AV182" i="124" a="1"/>
  <c r="AV182" i="124" s="1"/>
  <c r="AX182" i="124"/>
  <c r="AY182" i="124" s="1"/>
  <c r="AZ182" i="124" s="1" a="1"/>
  <c r="AZ182" i="124" s="1"/>
  <c r="AW223" i="124"/>
  <c r="AX223" i="124"/>
  <c r="AY223" i="124" s="1"/>
  <c r="AV223" i="124" a="1"/>
  <c r="AV223" i="124" s="1"/>
  <c r="AV208" i="124" a="1"/>
  <c r="AV208" i="124" s="1"/>
  <c r="AW208" i="124"/>
  <c r="AX208" i="124"/>
  <c r="AX183" i="124"/>
  <c r="AY183" i="124" s="1"/>
  <c r="AZ183" i="124" s="1" a="1"/>
  <c r="AZ183" i="124" s="1"/>
  <c r="AV183" i="124" a="1"/>
  <c r="AV183" i="124" s="1"/>
  <c r="AW183" i="124"/>
  <c r="AW83" i="124"/>
  <c r="AV83" i="124" a="1"/>
  <c r="AV83" i="124" s="1"/>
  <c r="AX83" i="124"/>
  <c r="AY83" i="124" s="1"/>
  <c r="AZ83" i="124" s="1" a="1"/>
  <c r="AZ83" i="124" s="1"/>
  <c r="AX22" i="124"/>
  <c r="AW22" i="124"/>
  <c r="AV22" i="124" a="1"/>
  <c r="AV22" i="124" s="1"/>
  <c r="AW43" i="124"/>
  <c r="AV43" i="124" a="1"/>
  <c r="AV43" i="124" s="1"/>
  <c r="AX43" i="124"/>
  <c r="AY43" i="124" s="1"/>
  <c r="AZ43" i="124" s="1" a="1"/>
  <c r="AZ43" i="124" s="1"/>
  <c r="AV222" i="124" a="1"/>
  <c r="AV222" i="124" s="1"/>
  <c r="AX222" i="124"/>
  <c r="AW222" i="124"/>
  <c r="AV162" i="124" a="1"/>
  <c r="AV162" i="124" s="1"/>
  <c r="AW162" i="124"/>
  <c r="AX162" i="124"/>
  <c r="AY162" i="124" s="1"/>
  <c r="AZ162" i="124" s="1" a="1"/>
  <c r="AZ162" i="124" s="1"/>
  <c r="AX196" i="124"/>
  <c r="AY196" i="124" s="1"/>
  <c r="AZ196" i="124" s="1" a="1"/>
  <c r="AZ196" i="124" s="1"/>
  <c r="AW196" i="124"/>
  <c r="AV196" i="124" a="1"/>
  <c r="AV196" i="124" s="1"/>
  <c r="AX122" i="124"/>
  <c r="AY122" i="124" s="1"/>
  <c r="AZ122" i="124" s="1" a="1"/>
  <c r="AZ122" i="124" s="1"/>
  <c r="AW122" i="124"/>
  <c r="AV122" i="124" a="1"/>
  <c r="AV122" i="124" s="1"/>
  <c r="AY106" i="124"/>
  <c r="AZ9" i="124" a="1"/>
  <c r="AZ9" i="124" s="1"/>
  <c r="AZ142" i="124" a="1"/>
  <c r="AZ142" i="124" s="1"/>
  <c r="AZ148" i="124" a="1"/>
  <c r="AZ148" i="124" s="1"/>
  <c r="AZ166" i="124" a="1"/>
  <c r="AZ166" i="124" s="1"/>
  <c r="AZ232" i="124" a="1"/>
  <c r="AZ232" i="124" s="1"/>
  <c r="AY4" i="124"/>
  <c r="AZ4" i="124" s="1" a="1"/>
  <c r="AZ4" i="124" s="1"/>
  <c r="AZ12" i="124" a="1"/>
  <c r="AZ12" i="124" s="1"/>
  <c r="AZ8" i="124" a="1"/>
  <c r="AZ8" i="124" s="1"/>
  <c r="AY175" i="124"/>
  <c r="AZ175" i="124" s="1" a="1"/>
  <c r="AZ175" i="124" s="1"/>
  <c r="AY63" i="124"/>
  <c r="AZ63" i="124" s="1" a="1"/>
  <c r="AZ63" i="124" s="1"/>
  <c r="AY168" i="124"/>
  <c r="AZ168" i="124" s="1" a="1"/>
  <c r="AZ168" i="124" s="1"/>
  <c r="AY192" i="124"/>
  <c r="AZ192" i="124" s="1" a="1"/>
  <c r="AZ192" i="124" s="1"/>
  <c r="AY96" i="124"/>
  <c r="AZ96" i="124" s="1" a="1"/>
  <c r="AZ96" i="124" s="1"/>
  <c r="AY74" i="124"/>
  <c r="AZ74" i="124" s="1" a="1"/>
  <c r="AZ74" i="124" s="1"/>
  <c r="AY221" i="124"/>
  <c r="AZ221" i="124" s="1" a="1"/>
  <c r="AZ221" i="124" s="1"/>
  <c r="AY47" i="124"/>
  <c r="AZ47" i="124" s="1" a="1"/>
  <c r="AZ47" i="124" s="1"/>
  <c r="AY77" i="124"/>
  <c r="AZ77" i="124" s="1" a="1"/>
  <c r="AZ77" i="124" s="1"/>
  <c r="AY34" i="124"/>
  <c r="AZ34" i="124" s="1" a="1"/>
  <c r="AZ34" i="124" s="1"/>
  <c r="AY177" i="124"/>
  <c r="AZ177" i="124" s="1" a="1"/>
  <c r="AZ177" i="124" s="1"/>
  <c r="AY234" i="124"/>
  <c r="AZ234" i="124" s="1" a="1"/>
  <c r="AZ234" i="124" s="1"/>
  <c r="AY214" i="124"/>
  <c r="AZ214" i="124" s="1" a="1"/>
  <c r="AZ214" i="124" s="1"/>
  <c r="AY79" i="124"/>
  <c r="AZ79" i="124" s="1" a="1"/>
  <c r="AZ79" i="124" s="1"/>
  <c r="AY108" i="124"/>
  <c r="AZ108" i="124" s="1" a="1"/>
  <c r="AZ108" i="124" s="1"/>
  <c r="AY89" i="124"/>
  <c r="AZ89" i="124" s="1" a="1"/>
  <c r="AZ89" i="124" s="1"/>
  <c r="AY119" i="124"/>
  <c r="AZ119" i="124" s="1" a="1"/>
  <c r="AZ119" i="124" s="1"/>
  <c r="AY51" i="124"/>
  <c r="AZ51" i="124" s="1" a="1"/>
  <c r="AZ51" i="124" s="1"/>
  <c r="AY141" i="124"/>
  <c r="AZ141" i="124" s="1" a="1"/>
  <c r="AZ141" i="124" s="1"/>
  <c r="AY104" i="124"/>
  <c r="AZ104" i="124" s="1" a="1"/>
  <c r="AZ104" i="124" s="1"/>
  <c r="AY231" i="124"/>
  <c r="AZ231" i="124" s="1" a="1"/>
  <c r="AZ231" i="124" s="1"/>
  <c r="AY207" i="124"/>
  <c r="AZ207" i="124" s="1" a="1"/>
  <c r="AZ207" i="124" s="1"/>
  <c r="AY203" i="124"/>
  <c r="AZ203" i="124" s="1" a="1"/>
  <c r="AZ203" i="124" s="1"/>
  <c r="AY126" i="124"/>
  <c r="AZ126" i="124" s="1" a="1"/>
  <c r="AZ126" i="124" s="1"/>
  <c r="AY69" i="124"/>
  <c r="AZ69" i="124" s="1" a="1"/>
  <c r="AZ69" i="124" s="1"/>
  <c r="AY153" i="124"/>
  <c r="AZ153" i="124" s="1" a="1"/>
  <c r="AZ153" i="124" s="1"/>
  <c r="AY190" i="124"/>
  <c r="AZ190" i="124" s="1" a="1"/>
  <c r="AZ190" i="124" s="1"/>
  <c r="AY67" i="124"/>
  <c r="AZ67" i="124" s="1" a="1"/>
  <c r="AZ67" i="124" s="1"/>
  <c r="AY111" i="124"/>
  <c r="AZ111" i="124" s="1" a="1"/>
  <c r="AZ111" i="124" s="1"/>
  <c r="AY226" i="124"/>
  <c r="AZ226" i="124" s="1" a="1"/>
  <c r="AZ226" i="124" s="1"/>
  <c r="AY16" i="124"/>
  <c r="AZ16" i="124" s="1" a="1"/>
  <c r="AZ16" i="124" s="1"/>
  <c r="AY59" i="124"/>
  <c r="AZ59" i="124" s="1" a="1"/>
  <c r="AZ59" i="124" s="1"/>
  <c r="AY87" i="124"/>
  <c r="AZ87" i="124" s="1" a="1"/>
  <c r="AZ87" i="124" s="1"/>
  <c r="AY158" i="124"/>
  <c r="AZ158" i="124" s="1" a="1"/>
  <c r="AZ158" i="124" s="1"/>
  <c r="AY66" i="124"/>
  <c r="AZ66" i="124" s="1" a="1"/>
  <c r="AZ66" i="124" s="1"/>
  <c r="AY229" i="124"/>
  <c r="AZ229" i="124" s="1" a="1"/>
  <c r="AZ229" i="124" s="1"/>
  <c r="AY92" i="124"/>
  <c r="AZ92" i="124" s="1" a="1"/>
  <c r="AZ92" i="124" s="1"/>
  <c r="AY176" i="124"/>
  <c r="AZ176" i="124" s="1" a="1"/>
  <c r="AZ176" i="124" s="1"/>
  <c r="AY204" i="124"/>
  <c r="AZ204" i="124" s="1" a="1"/>
  <c r="AZ204" i="124" s="1"/>
  <c r="AY219" i="124"/>
  <c r="AZ219" i="124" s="1" a="1"/>
  <c r="AZ219" i="124" s="1"/>
  <c r="AY184" i="124"/>
  <c r="AZ184" i="124" s="1" a="1"/>
  <c r="AZ184" i="124" s="1"/>
  <c r="AY53" i="124"/>
  <c r="AZ53" i="124" s="1" a="1"/>
  <c r="AZ53" i="124" s="1"/>
  <c r="AY113" i="124"/>
  <c r="AZ113" i="124" s="1" a="1"/>
  <c r="AZ113" i="124" s="1"/>
  <c r="AY56" i="124"/>
  <c r="AZ56" i="124" s="1" a="1"/>
  <c r="AZ56" i="124" s="1"/>
  <c r="AY120" i="124"/>
  <c r="AZ120" i="124" s="1" a="1"/>
  <c r="AZ120" i="124" s="1"/>
  <c r="AY156" i="124"/>
  <c r="AZ156" i="124" s="1" a="1"/>
  <c r="AZ156" i="124" s="1"/>
  <c r="AY100" i="124"/>
  <c r="AZ100" i="124" s="1" a="1"/>
  <c r="AZ100" i="124" s="1"/>
  <c r="AY94" i="124"/>
  <c r="AZ94" i="124" s="1" a="1"/>
  <c r="AZ94" i="124" s="1"/>
  <c r="AY121" i="124"/>
  <c r="AZ121" i="124" s="1" a="1"/>
  <c r="AZ121" i="124" s="1"/>
  <c r="AY128" i="124"/>
  <c r="AZ128" i="124" s="1" a="1"/>
  <c r="AZ128" i="124" s="1"/>
  <c r="AY224" i="124"/>
  <c r="AZ224" i="124" s="1" a="1"/>
  <c r="AZ224" i="124" s="1"/>
  <c r="AY39" i="124"/>
  <c r="AZ39" i="124" s="1" a="1"/>
  <c r="AZ39" i="124" s="1"/>
  <c r="AY152" i="124"/>
  <c r="AZ152" i="124" s="1" a="1"/>
  <c r="AZ152" i="124" s="1"/>
  <c r="AY202" i="124"/>
  <c r="AZ202" i="124" s="1" a="1"/>
  <c r="AZ202" i="124" s="1"/>
  <c r="AY107" i="124"/>
  <c r="AZ107" i="124" s="1" a="1"/>
  <c r="AZ107" i="124" s="1"/>
  <c r="AY154" i="124"/>
  <c r="AZ154" i="124" s="1" a="1"/>
  <c r="AZ154" i="124" s="1"/>
  <c r="AY25" i="124"/>
  <c r="AY129" i="124"/>
  <c r="AZ129" i="124" s="1" a="1"/>
  <c r="AZ129" i="124" s="1"/>
  <c r="AZ116" i="124" a="1"/>
  <c r="AZ116" i="124" s="1"/>
  <c r="AY236" i="124"/>
  <c r="AZ236" i="124" s="1" a="1"/>
  <c r="AZ236" i="124" s="1"/>
  <c r="AY195" i="124"/>
  <c r="AZ195" i="124" s="1" a="1"/>
  <c r="AZ195" i="124" s="1"/>
  <c r="AY61" i="124"/>
  <c r="AZ61" i="124" s="1" a="1"/>
  <c r="AZ61" i="124" s="1"/>
  <c r="AY150" i="124"/>
  <c r="AY6" i="124"/>
  <c r="AZ6" i="124" s="1" a="1"/>
  <c r="AZ6" i="124" s="1"/>
  <c r="AZ101" i="124" a="1"/>
  <c r="AZ101" i="124" s="1"/>
  <c r="AY11" i="124"/>
  <c r="AZ11" i="124" s="1" a="1"/>
  <c r="AZ11" i="124" s="1"/>
  <c r="AY76" i="124"/>
  <c r="AZ76" i="124" s="1" a="1"/>
  <c r="AZ76" i="124" s="1"/>
  <c r="AY46" i="124"/>
  <c r="AZ46" i="124" s="1" a="1"/>
  <c r="AZ46" i="124" s="1"/>
  <c r="AY217" i="124"/>
  <c r="AZ217" i="124" s="1" a="1"/>
  <c r="AZ217" i="124" s="1"/>
  <c r="AY134" i="124"/>
  <c r="AY145" i="124"/>
  <c r="AZ145" i="124" s="1" a="1"/>
  <c r="AZ145" i="124" s="1"/>
  <c r="AY216" i="124"/>
  <c r="AZ216" i="124" s="1" a="1"/>
  <c r="AZ216" i="124" s="1"/>
  <c r="AY91" i="124"/>
  <c r="AZ91" i="124" s="1" a="1"/>
  <c r="AZ91" i="124" s="1"/>
  <c r="AY38" i="124"/>
  <c r="AZ38" i="124" s="1" a="1"/>
  <c r="AZ38" i="124" s="1"/>
  <c r="AY131" i="124"/>
  <c r="AZ131" i="124" s="1" a="1"/>
  <c r="AZ131" i="124" s="1"/>
  <c r="AY97" i="124"/>
  <c r="AZ97" i="124" s="1" a="1"/>
  <c r="AZ97" i="124" s="1"/>
  <c r="AY48" i="124"/>
  <c r="AZ48" i="124" s="1" a="1"/>
  <c r="AZ48" i="124" s="1"/>
  <c r="AY105" i="124"/>
  <c r="AZ105" i="124" s="1" a="1"/>
  <c r="AZ105" i="124" s="1"/>
  <c r="AY109" i="124"/>
  <c r="AZ109" i="124" s="1" a="1"/>
  <c r="AZ109" i="124" s="1"/>
  <c r="AY58" i="124"/>
  <c r="AZ58" i="124" s="1" a="1"/>
  <c r="AZ58" i="124" s="1"/>
  <c r="AY172" i="124"/>
  <c r="AZ172" i="124" s="1" a="1"/>
  <c r="AZ172" i="124" s="1"/>
  <c r="AY138" i="124"/>
  <c r="AZ138" i="124" s="1" a="1"/>
  <c r="AZ138" i="124" s="1"/>
  <c r="AY71" i="124"/>
  <c r="AZ71" i="124" s="1" a="1"/>
  <c r="AZ71" i="124" s="1"/>
  <c r="AY23" i="124"/>
  <c r="AZ23" i="124" s="1" a="1"/>
  <c r="AZ23" i="124" s="1"/>
  <c r="AY239" i="124"/>
  <c r="AZ239" i="124" s="1" a="1"/>
  <c r="AZ239" i="124" s="1"/>
  <c r="AY49" i="124"/>
  <c r="AZ49" i="124" s="1" a="1"/>
  <c r="AZ49" i="124" s="1"/>
  <c r="AZ70" i="124" a="1"/>
  <c r="AZ70" i="124" s="1"/>
  <c r="AY33" i="124"/>
  <c r="AZ33" i="124" s="1" a="1"/>
  <c r="AZ33" i="124" s="1"/>
  <c r="AY161" i="124"/>
  <c r="AZ161" i="124" s="1" a="1"/>
  <c r="AZ161" i="124" s="1"/>
  <c r="AY123" i="124"/>
  <c r="AZ123" i="124" s="1" a="1"/>
  <c r="AZ123" i="124" s="1"/>
  <c r="AY215" i="124"/>
  <c r="AZ215" i="124" s="1" a="1"/>
  <c r="AZ215" i="124" s="1"/>
  <c r="AY37" i="124"/>
  <c r="AZ37" i="124" s="1" a="1"/>
  <c r="AZ37" i="124" s="1"/>
  <c r="AY140" i="124"/>
  <c r="AZ140" i="124" s="1" a="1"/>
  <c r="AZ140" i="124" s="1"/>
  <c r="AY143" i="124"/>
  <c r="AZ143" i="124" s="1" a="1"/>
  <c r="AZ143" i="124" s="1"/>
  <c r="AY186" i="124"/>
  <c r="AZ186" i="124" s="1" a="1"/>
  <c r="AZ186" i="124" s="1"/>
  <c r="AY28" i="124"/>
  <c r="AZ28" i="124" s="1" a="1"/>
  <c r="AZ28" i="124" s="1"/>
  <c r="AY81" i="124"/>
  <c r="AZ81" i="124" s="1" a="1"/>
  <c r="AZ81" i="124" s="1"/>
  <c r="AY21" i="124"/>
  <c r="AZ21" i="124" s="1" a="1"/>
  <c r="AZ21" i="124" s="1"/>
  <c r="AY146" i="124"/>
  <c r="AZ146" i="124" s="1" a="1"/>
  <c r="AZ146" i="124" s="1"/>
  <c r="AY18" i="124"/>
  <c r="AZ18" i="124" s="1" a="1"/>
  <c r="AZ18" i="124" s="1"/>
  <c r="AZ213" i="124" a="1"/>
  <c r="AZ213" i="124" s="1"/>
  <c r="AY84" i="124"/>
  <c r="AZ84" i="124" s="1" a="1"/>
  <c r="AZ84" i="124" s="1"/>
  <c r="AY86" i="124"/>
  <c r="AZ86" i="124" s="1" a="1"/>
  <c r="AZ86" i="124" s="1"/>
  <c r="AY118" i="124"/>
  <c r="AZ118" i="124" s="1" a="1"/>
  <c r="AZ118" i="124" s="1"/>
  <c r="AY82" i="124"/>
  <c r="AZ82" i="124" s="1" a="1"/>
  <c r="AZ82" i="124" s="1"/>
  <c r="AZ201" i="124" a="1"/>
  <c r="AZ201" i="124" s="1"/>
  <c r="AZ223" i="124" l="1" a="1"/>
  <c r="AZ223" i="124" s="1"/>
  <c r="AY22" i="124"/>
  <c r="AZ22" i="124" s="1" a="1"/>
  <c r="AZ22" i="124" s="1"/>
  <c r="AY208" i="124"/>
  <c r="AZ208" i="124" s="1" a="1"/>
  <c r="AZ208" i="124" s="1"/>
  <c r="AY222" i="124"/>
  <c r="AZ222" i="124" s="1" a="1"/>
  <c r="AZ222" i="124" s="1"/>
  <c r="AZ25" i="124" a="1"/>
  <c r="AZ25" i="124" s="1"/>
  <c r="AZ106" i="124" a="1"/>
  <c r="AZ106" i="124" s="1"/>
  <c r="AZ150" i="124" a="1"/>
  <c r="AZ150" i="124" s="1"/>
  <c r="AZ134" i="124" a="1"/>
  <c r="AZ134" i="124" s="1"/>
  <c r="AZ1" i="124" l="1"/>
  <c r="K9" i="118" l="1"/>
  <c r="K15" i="118"/>
  <c r="K2" i="118"/>
  <c r="K3" i="118"/>
  <c r="K4" i="118"/>
  <c r="K5" i="118"/>
  <c r="K6" i="118"/>
  <c r="K7" i="118"/>
  <c r="K8" i="118"/>
  <c r="K13" i="118"/>
  <c r="K14" i="118"/>
  <c r="J2" i="118"/>
  <c r="J3" i="118"/>
  <c r="J4" i="118"/>
  <c r="J5" i="118"/>
  <c r="J6" i="118"/>
  <c r="J7" i="118"/>
  <c r="J8" i="118"/>
  <c r="J9" i="118"/>
  <c r="J13" i="118"/>
  <c r="J14" i="118"/>
  <c r="D15" i="118"/>
  <c r="AB2" i="115"/>
  <c r="J15" i="118" l="1"/>
  <c r="D35" i="118"/>
  <c r="J35" i="118" s="1"/>
  <c r="K1" i="115"/>
  <c r="O1" i="121" l="1"/>
  <c r="S1" i="121"/>
  <c r="W1" i="121"/>
  <c r="AA1" i="121"/>
  <c r="AE1" i="121"/>
  <c r="AI1" i="121"/>
  <c r="AM1" i="121"/>
  <c r="K1" i="121"/>
  <c r="L241" i="113" l="1"/>
  <c r="K1" i="120" l="1"/>
  <c r="O1" i="120"/>
  <c r="S1" i="120"/>
  <c r="W1" i="120"/>
  <c r="AA1" i="120"/>
  <c r="AE1" i="120"/>
  <c r="AI1" i="120"/>
  <c r="AM1" i="120"/>
  <c r="AP239" i="121"/>
  <c r="AL239" i="121"/>
  <c r="AH239" i="121"/>
  <c r="AD239" i="121"/>
  <c r="Z239" i="121"/>
  <c r="V239" i="121"/>
  <c r="R239" i="121"/>
  <c r="N239" i="121"/>
  <c r="AN238" i="121"/>
  <c r="AP238" i="121" s="1"/>
  <c r="AL238" i="121"/>
  <c r="AJ238" i="121"/>
  <c r="AF238" i="121"/>
  <c r="AH238" i="121" s="1"/>
  <c r="AB238" i="121"/>
  <c r="AD238" i="121" s="1"/>
  <c r="Z238" i="121"/>
  <c r="X238" i="121"/>
  <c r="T238" i="121"/>
  <c r="V238" i="121" s="1"/>
  <c r="P238" i="121"/>
  <c r="R238" i="121" s="1"/>
  <c r="L238" i="121"/>
  <c r="N238" i="121" s="1"/>
  <c r="AP237" i="121"/>
  <c r="AL237" i="121"/>
  <c r="AH237" i="121"/>
  <c r="AD237" i="121"/>
  <c r="Z237" i="121"/>
  <c r="V237" i="121"/>
  <c r="R237" i="121"/>
  <c r="N237" i="121"/>
  <c r="AN236" i="121"/>
  <c r="AP236" i="121" s="1"/>
  <c r="AJ236" i="121"/>
  <c r="AL236" i="121" s="1"/>
  <c r="AF236" i="121"/>
  <c r="AH236" i="121" s="1"/>
  <c r="AB236" i="121"/>
  <c r="AD236" i="121" s="1"/>
  <c r="Z236" i="121"/>
  <c r="X236" i="121"/>
  <c r="T236" i="121"/>
  <c r="V236" i="121" s="1"/>
  <c r="P236" i="121"/>
  <c r="R236" i="121" s="1"/>
  <c r="L236" i="121"/>
  <c r="N236" i="121" s="1"/>
  <c r="AP235" i="121"/>
  <c r="AL235" i="121"/>
  <c r="AH235" i="121"/>
  <c r="AD235" i="121"/>
  <c r="Z235" i="121"/>
  <c r="V235" i="121"/>
  <c r="R235" i="121"/>
  <c r="AQ235" i="121" s="1"/>
  <c r="N235" i="121"/>
  <c r="AP234" i="121"/>
  <c r="AL234" i="121"/>
  <c r="AH234" i="121"/>
  <c r="AD234" i="121"/>
  <c r="Z234" i="121"/>
  <c r="V234" i="121"/>
  <c r="R234" i="121"/>
  <c r="N234" i="121"/>
  <c r="AP233" i="121"/>
  <c r="AL233" i="121"/>
  <c r="AH233" i="121"/>
  <c r="AD233" i="121"/>
  <c r="Z233" i="121"/>
  <c r="V233" i="121"/>
  <c r="R233" i="121"/>
  <c r="N233" i="121"/>
  <c r="AP232" i="121"/>
  <c r="AL232" i="121"/>
  <c r="AH232" i="121"/>
  <c r="AD232" i="121"/>
  <c r="Z232" i="121"/>
  <c r="V232" i="121"/>
  <c r="R232" i="121"/>
  <c r="AQ232" i="121" s="1"/>
  <c r="N232" i="121"/>
  <c r="AP231" i="121"/>
  <c r="AL231" i="121"/>
  <c r="AH231" i="121"/>
  <c r="AD231" i="121"/>
  <c r="Z231" i="121"/>
  <c r="V231" i="121"/>
  <c r="R231" i="121"/>
  <c r="N231" i="121"/>
  <c r="AO230" i="121"/>
  <c r="AP230" i="121" s="1"/>
  <c r="AK230" i="121"/>
  <c r="AL230" i="121" s="1"/>
  <c r="AG230" i="121"/>
  <c r="AH230" i="121" s="1"/>
  <c r="AC230" i="121"/>
  <c r="AD230" i="121" s="1"/>
  <c r="Y230" i="121"/>
  <c r="Z230" i="121" s="1"/>
  <c r="U230" i="121"/>
  <c r="V230" i="121" s="1"/>
  <c r="Q230" i="121"/>
  <c r="R230" i="121" s="1"/>
  <c r="M230" i="121"/>
  <c r="N230" i="121" s="1"/>
  <c r="AP229" i="121"/>
  <c r="AL229" i="121"/>
  <c r="AH229" i="121"/>
  <c r="AD229" i="121"/>
  <c r="Z229" i="121"/>
  <c r="V229" i="121"/>
  <c r="R229" i="121"/>
  <c r="N229" i="121"/>
  <c r="AO228" i="121"/>
  <c r="AP228" i="121" s="1"/>
  <c r="AK228" i="121"/>
  <c r="AL228" i="121" s="1"/>
  <c r="AG228" i="121"/>
  <c r="AH228" i="121" s="1"/>
  <c r="AC228" i="121"/>
  <c r="AD228" i="121" s="1"/>
  <c r="Y228" i="121"/>
  <c r="Z228" i="121" s="1"/>
  <c r="U228" i="121"/>
  <c r="V228" i="121" s="1"/>
  <c r="Q228" i="121"/>
  <c r="R228" i="121" s="1"/>
  <c r="M228" i="121"/>
  <c r="N228" i="121" s="1"/>
  <c r="AP227" i="121"/>
  <c r="AL227" i="121"/>
  <c r="AH227" i="121"/>
  <c r="AD227" i="121"/>
  <c r="Z227" i="121"/>
  <c r="V227" i="121"/>
  <c r="R227" i="121"/>
  <c r="N227" i="121"/>
  <c r="AN226" i="121"/>
  <c r="AP226" i="121" s="1"/>
  <c r="AL226" i="121"/>
  <c r="AJ226" i="121"/>
  <c r="AF226" i="121"/>
  <c r="AH226" i="121" s="1"/>
  <c r="AB226" i="121"/>
  <c r="AD226" i="121" s="1"/>
  <c r="Z226" i="121"/>
  <c r="X226" i="121"/>
  <c r="T226" i="121"/>
  <c r="V226" i="121" s="1"/>
  <c r="P226" i="121"/>
  <c r="R226" i="121" s="1"/>
  <c r="L226" i="121"/>
  <c r="N226" i="121" s="1"/>
  <c r="AP225" i="121"/>
  <c r="AL225" i="121"/>
  <c r="AH225" i="121"/>
  <c r="AD225" i="121"/>
  <c r="Z225" i="121"/>
  <c r="V225" i="121"/>
  <c r="R225" i="121"/>
  <c r="N225" i="121"/>
  <c r="AO224" i="121"/>
  <c r="AP224" i="121" s="1"/>
  <c r="AK224" i="121"/>
  <c r="AL224" i="121" s="1"/>
  <c r="AG224" i="121"/>
  <c r="AH224" i="121" s="1"/>
  <c r="AC224" i="121"/>
  <c r="AD224" i="121" s="1"/>
  <c r="Z224" i="121"/>
  <c r="Y224" i="121"/>
  <c r="U224" i="121"/>
  <c r="V224" i="121" s="1"/>
  <c r="Q224" i="121"/>
  <c r="R224" i="121" s="1"/>
  <c r="M224" i="121"/>
  <c r="N224" i="121" s="1"/>
  <c r="AN223" i="121"/>
  <c r="AP223" i="121" s="1"/>
  <c r="AL223" i="121"/>
  <c r="AJ223" i="121"/>
  <c r="AF223" i="121"/>
  <c r="AH223" i="121" s="1"/>
  <c r="AB223" i="121"/>
  <c r="AD223" i="121" s="1"/>
  <c r="Z223" i="121"/>
  <c r="X223" i="121"/>
  <c r="T223" i="121"/>
  <c r="V223" i="121" s="1"/>
  <c r="R223" i="121"/>
  <c r="P223" i="121"/>
  <c r="N223" i="121"/>
  <c r="L223" i="121"/>
  <c r="AO222" i="121"/>
  <c r="AP222" i="121" s="1"/>
  <c r="AK222" i="121"/>
  <c r="AL222" i="121" s="1"/>
  <c r="AG222" i="121"/>
  <c r="AH222" i="121" s="1"/>
  <c r="AC222" i="121"/>
  <c r="AD222" i="121" s="1"/>
  <c r="Y222" i="121"/>
  <c r="Z222" i="121" s="1"/>
  <c r="U222" i="121"/>
  <c r="V222" i="121" s="1"/>
  <c r="Q222" i="121"/>
  <c r="R222" i="121" s="1"/>
  <c r="N222" i="121"/>
  <c r="M222" i="121"/>
  <c r="AO221" i="121"/>
  <c r="AP221" i="121" s="1"/>
  <c r="AL221" i="121"/>
  <c r="AK221" i="121"/>
  <c r="AG221" i="121"/>
  <c r="AH221" i="121" s="1"/>
  <c r="AC221" i="121"/>
  <c r="AD221" i="121" s="1"/>
  <c r="Y221" i="121"/>
  <c r="Z221" i="121" s="1"/>
  <c r="U221" i="121"/>
  <c r="V221" i="121" s="1"/>
  <c r="Q221" i="121"/>
  <c r="R221" i="121" s="1"/>
  <c r="M221" i="121"/>
  <c r="N221" i="121" s="1"/>
  <c r="AN220" i="121"/>
  <c r="AP220" i="121" s="1"/>
  <c r="AJ220" i="121"/>
  <c r="AL220" i="121" s="1"/>
  <c r="AF220" i="121"/>
  <c r="AH220" i="121" s="1"/>
  <c r="AB220" i="121"/>
  <c r="AD220" i="121" s="1"/>
  <c r="Z220" i="121"/>
  <c r="X220" i="121"/>
  <c r="T220" i="121"/>
  <c r="V220" i="121" s="1"/>
  <c r="P220" i="121"/>
  <c r="R220" i="121" s="1"/>
  <c r="L220" i="121"/>
  <c r="N220" i="121" s="1"/>
  <c r="AN219" i="121"/>
  <c r="AP219" i="121" s="1"/>
  <c r="AJ219" i="121"/>
  <c r="AL219" i="121" s="1"/>
  <c r="AH219" i="121"/>
  <c r="AF219" i="121"/>
  <c r="AD219" i="121"/>
  <c r="AB219" i="121"/>
  <c r="Z219" i="121"/>
  <c r="X219" i="121"/>
  <c r="T219" i="121"/>
  <c r="V219" i="121" s="1"/>
  <c r="P219" i="121"/>
  <c r="R219" i="121" s="1"/>
  <c r="N219" i="121"/>
  <c r="L219" i="121"/>
  <c r="AN218" i="121"/>
  <c r="AP218" i="121" s="1"/>
  <c r="AJ218" i="121"/>
  <c r="AL218" i="121" s="1"/>
  <c r="AF218" i="121"/>
  <c r="AH218" i="121" s="1"/>
  <c r="AD218" i="121"/>
  <c r="AB218" i="121"/>
  <c r="Z218" i="121"/>
  <c r="X218" i="121"/>
  <c r="T218" i="121"/>
  <c r="V218" i="121" s="1"/>
  <c r="P218" i="121"/>
  <c r="R218" i="121" s="1"/>
  <c r="N218" i="121"/>
  <c r="L218" i="121"/>
  <c r="AP217" i="121"/>
  <c r="AL217" i="121"/>
  <c r="AH217" i="121"/>
  <c r="AD217" i="121"/>
  <c r="Z217" i="121"/>
  <c r="V217" i="121"/>
  <c r="R217" i="121"/>
  <c r="N217" i="121"/>
  <c r="AQ217" i="121" s="1"/>
  <c r="AP216" i="121"/>
  <c r="AO216" i="121"/>
  <c r="AK216" i="121"/>
  <c r="AL216" i="121" s="1"/>
  <c r="AG216" i="121"/>
  <c r="AH216" i="121" s="1"/>
  <c r="AC216" i="121"/>
  <c r="AD216" i="121" s="1"/>
  <c r="Y216" i="121"/>
  <c r="Z216" i="121" s="1"/>
  <c r="U216" i="121"/>
  <c r="V216" i="121" s="1"/>
  <c r="Q216" i="121"/>
  <c r="R216" i="121" s="1"/>
  <c r="M216" i="121"/>
  <c r="N216" i="121" s="1"/>
  <c r="AP215" i="121"/>
  <c r="AN215" i="121"/>
  <c r="AJ215" i="121"/>
  <c r="AL215" i="121" s="1"/>
  <c r="AF215" i="121"/>
  <c r="AH215" i="121" s="1"/>
  <c r="AB215" i="121"/>
  <c r="AD215" i="121" s="1"/>
  <c r="Z215" i="121"/>
  <c r="X215" i="121"/>
  <c r="T215" i="121"/>
  <c r="V215" i="121" s="1"/>
  <c r="R215" i="121"/>
  <c r="P215" i="121"/>
  <c r="L215" i="121"/>
  <c r="N215" i="121" s="1"/>
  <c r="AP214" i="121"/>
  <c r="AL214" i="121"/>
  <c r="AH214" i="121"/>
  <c r="AD214" i="121"/>
  <c r="Z214" i="121"/>
  <c r="V214" i="121"/>
  <c r="R214" i="121"/>
  <c r="N214" i="121"/>
  <c r="AP213" i="121"/>
  <c r="AN213" i="121"/>
  <c r="AJ213" i="121"/>
  <c r="AL213" i="121" s="1"/>
  <c r="AF213" i="121"/>
  <c r="AH213" i="121" s="1"/>
  <c r="AB213" i="121"/>
  <c r="AD213" i="121" s="1"/>
  <c r="Z213" i="121"/>
  <c r="X213" i="121"/>
  <c r="T213" i="121"/>
  <c r="V213" i="121" s="1"/>
  <c r="P213" i="121"/>
  <c r="R213" i="121" s="1"/>
  <c r="L213" i="121"/>
  <c r="N213" i="121" s="1"/>
  <c r="AN212" i="121"/>
  <c r="AP212" i="121" s="1"/>
  <c r="AJ212" i="121"/>
  <c r="AL212" i="121" s="1"/>
  <c r="AF212" i="121"/>
  <c r="AH212" i="121" s="1"/>
  <c r="AB212" i="121"/>
  <c r="AD212" i="121" s="1"/>
  <c r="Z212" i="121"/>
  <c r="X212" i="121"/>
  <c r="T212" i="121"/>
  <c r="V212" i="121" s="1"/>
  <c r="P212" i="121"/>
  <c r="R212" i="121" s="1"/>
  <c r="L212" i="121"/>
  <c r="N212" i="121" s="1"/>
  <c r="AN211" i="121"/>
  <c r="AP211" i="121" s="1"/>
  <c r="AJ211" i="121"/>
  <c r="AL211" i="121" s="1"/>
  <c r="AH211" i="121"/>
  <c r="AF211" i="121"/>
  <c r="AB211" i="121"/>
  <c r="AD211" i="121" s="1"/>
  <c r="Z211" i="121"/>
  <c r="X211" i="121"/>
  <c r="T211" i="121"/>
  <c r="V211" i="121" s="1"/>
  <c r="P211" i="121"/>
  <c r="R211" i="121" s="1"/>
  <c r="N211" i="121"/>
  <c r="L211" i="121"/>
  <c r="AN210" i="121"/>
  <c r="AP210" i="121" s="1"/>
  <c r="AJ210" i="121"/>
  <c r="AL210" i="121" s="1"/>
  <c r="AF210" i="121"/>
  <c r="AH210" i="121" s="1"/>
  <c r="AB210" i="121"/>
  <c r="AD210" i="121" s="1"/>
  <c r="Z210" i="121"/>
  <c r="X210" i="121"/>
  <c r="T210" i="121"/>
  <c r="V210" i="121" s="1"/>
  <c r="P210" i="121"/>
  <c r="R210" i="121" s="1"/>
  <c r="N210" i="121"/>
  <c r="L210" i="121"/>
  <c r="AN209" i="121"/>
  <c r="AP209" i="121" s="1"/>
  <c r="AL209" i="121"/>
  <c r="AJ209" i="121"/>
  <c r="AH209" i="121"/>
  <c r="AF209" i="121"/>
  <c r="AB209" i="121"/>
  <c r="AD209" i="121" s="1"/>
  <c r="Z209" i="121"/>
  <c r="X209" i="121"/>
  <c r="V209" i="121"/>
  <c r="T209" i="121"/>
  <c r="P209" i="121"/>
  <c r="R209" i="121" s="1"/>
  <c r="L209" i="121"/>
  <c r="N209" i="121" s="1"/>
  <c r="AN208" i="121"/>
  <c r="AP208" i="121" s="1"/>
  <c r="AJ208" i="121"/>
  <c r="AL208" i="121" s="1"/>
  <c r="AF208" i="121"/>
  <c r="AH208" i="121" s="1"/>
  <c r="AB208" i="121"/>
  <c r="AD208" i="121" s="1"/>
  <c r="Z208" i="121"/>
  <c r="X208" i="121"/>
  <c r="T208" i="121"/>
  <c r="V208" i="121" s="1"/>
  <c r="R208" i="121"/>
  <c r="P208" i="121"/>
  <c r="L208" i="121"/>
  <c r="N208" i="121" s="1"/>
  <c r="AP207" i="121"/>
  <c r="AN207" i="121"/>
  <c r="AJ207" i="121"/>
  <c r="AL207" i="121" s="1"/>
  <c r="AH207" i="121"/>
  <c r="AF207" i="121"/>
  <c r="AB207" i="121"/>
  <c r="AD207" i="121" s="1"/>
  <c r="Z207" i="121"/>
  <c r="X207" i="121"/>
  <c r="T207" i="121"/>
  <c r="V207" i="121" s="1"/>
  <c r="R207" i="121"/>
  <c r="P207" i="121"/>
  <c r="L207" i="121"/>
  <c r="N207" i="121" s="1"/>
  <c r="AN206" i="121"/>
  <c r="AP206" i="121" s="1"/>
  <c r="AJ206" i="121"/>
  <c r="AL206" i="121" s="1"/>
  <c r="AF206" i="121"/>
  <c r="AH206" i="121" s="1"/>
  <c r="AD206" i="121"/>
  <c r="AB206" i="121"/>
  <c r="Z206" i="121"/>
  <c r="X206" i="121"/>
  <c r="T206" i="121"/>
  <c r="V206" i="121" s="1"/>
  <c r="P206" i="121"/>
  <c r="R206" i="121" s="1"/>
  <c r="L206" i="121"/>
  <c r="N206" i="121" s="1"/>
  <c r="AO205" i="121"/>
  <c r="AP205" i="121" s="1"/>
  <c r="AK205" i="121"/>
  <c r="AL205" i="121" s="1"/>
  <c r="AG205" i="121"/>
  <c r="AH205" i="121" s="1"/>
  <c r="AC205" i="121"/>
  <c r="AD205" i="121" s="1"/>
  <c r="Y205" i="121"/>
  <c r="Z205" i="121" s="1"/>
  <c r="U205" i="121"/>
  <c r="V205" i="121" s="1"/>
  <c r="Q205" i="121"/>
  <c r="R205" i="121" s="1"/>
  <c r="M205" i="121"/>
  <c r="N205" i="121" s="1"/>
  <c r="AN204" i="121"/>
  <c r="AP204" i="121" s="1"/>
  <c r="AJ204" i="121"/>
  <c r="AL204" i="121" s="1"/>
  <c r="AF204" i="121"/>
  <c r="AH204" i="121" s="1"/>
  <c r="AB204" i="121"/>
  <c r="AD204" i="121" s="1"/>
  <c r="Z204" i="121"/>
  <c r="X204" i="121"/>
  <c r="T204" i="121"/>
  <c r="V204" i="121" s="1"/>
  <c r="R204" i="121"/>
  <c r="P204" i="121"/>
  <c r="L204" i="121"/>
  <c r="N204" i="121" s="1"/>
  <c r="AN203" i="121"/>
  <c r="AP203" i="121" s="1"/>
  <c r="AL203" i="121"/>
  <c r="AJ203" i="121"/>
  <c r="AF203" i="121"/>
  <c r="AH203" i="121" s="1"/>
  <c r="AB203" i="121"/>
  <c r="AD203" i="121" s="1"/>
  <c r="Z203" i="121"/>
  <c r="X203" i="121"/>
  <c r="V203" i="121"/>
  <c r="T203" i="121"/>
  <c r="P203" i="121"/>
  <c r="R203" i="121" s="1"/>
  <c r="L203" i="121"/>
  <c r="N203" i="121" s="1"/>
  <c r="AO202" i="121"/>
  <c r="AP202" i="121" s="1"/>
  <c r="AK202" i="121"/>
  <c r="AL202" i="121" s="1"/>
  <c r="AG202" i="121"/>
  <c r="AH202" i="121" s="1"/>
  <c r="AC202" i="121"/>
  <c r="AD202" i="121" s="1"/>
  <c r="Y202" i="121"/>
  <c r="Z202" i="121" s="1"/>
  <c r="U202" i="121"/>
  <c r="V202" i="121" s="1"/>
  <c r="Q202" i="121"/>
  <c r="R202" i="121" s="1"/>
  <c r="M202" i="121"/>
  <c r="N202" i="121" s="1"/>
  <c r="AO201" i="121"/>
  <c r="AP201" i="121" s="1"/>
  <c r="AL201" i="121"/>
  <c r="AK201" i="121"/>
  <c r="AG201" i="121"/>
  <c r="AH201" i="121" s="1"/>
  <c r="AD201" i="121"/>
  <c r="AC201" i="121"/>
  <c r="Z201" i="121"/>
  <c r="Y201" i="121"/>
  <c r="U201" i="121"/>
  <c r="V201" i="121" s="1"/>
  <c r="Q201" i="121"/>
  <c r="R201" i="121" s="1"/>
  <c r="M201" i="121"/>
  <c r="N201" i="121" s="1"/>
  <c r="AP200" i="121"/>
  <c r="AL200" i="121"/>
  <c r="AH200" i="121"/>
  <c r="AD200" i="121"/>
  <c r="Z200" i="121"/>
  <c r="V200" i="121"/>
  <c r="R200" i="121"/>
  <c r="N200" i="121"/>
  <c r="AO199" i="121"/>
  <c r="AP199" i="121" s="1"/>
  <c r="AK199" i="121"/>
  <c r="AL199" i="121" s="1"/>
  <c r="AG199" i="121"/>
  <c r="AH199" i="121" s="1"/>
  <c r="AC199" i="121"/>
  <c r="AD199" i="121" s="1"/>
  <c r="Y199" i="121"/>
  <c r="Z199" i="121" s="1"/>
  <c r="V199" i="121"/>
  <c r="U199" i="121"/>
  <c r="R199" i="121"/>
  <c r="Q199" i="121"/>
  <c r="M199" i="121"/>
  <c r="N199" i="121" s="1"/>
  <c r="AN198" i="121"/>
  <c r="AP198" i="121" s="1"/>
  <c r="AJ198" i="121"/>
  <c r="AL198" i="121" s="1"/>
  <c r="AF198" i="121"/>
  <c r="AH198" i="121" s="1"/>
  <c r="AB198" i="121"/>
  <c r="AD198" i="121" s="1"/>
  <c r="Z198" i="121"/>
  <c r="X198" i="121"/>
  <c r="T198" i="121"/>
  <c r="V198" i="121" s="1"/>
  <c r="P198" i="121"/>
  <c r="R198" i="121" s="1"/>
  <c r="L198" i="121"/>
  <c r="N198" i="121" s="1"/>
  <c r="AN197" i="121"/>
  <c r="AP197" i="121" s="1"/>
  <c r="AJ197" i="121"/>
  <c r="AL197" i="121" s="1"/>
  <c r="AF197" i="121"/>
  <c r="AH197" i="121" s="1"/>
  <c r="AD197" i="121"/>
  <c r="AB197" i="121"/>
  <c r="Z197" i="121"/>
  <c r="X197" i="121"/>
  <c r="T197" i="121"/>
  <c r="V197" i="121" s="1"/>
  <c r="P197" i="121"/>
  <c r="R197" i="121" s="1"/>
  <c r="L197" i="121"/>
  <c r="N197" i="121" s="1"/>
  <c r="AN196" i="121"/>
  <c r="AP196" i="121" s="1"/>
  <c r="AJ196" i="121"/>
  <c r="AL196" i="121" s="1"/>
  <c r="AH196" i="121"/>
  <c r="AF196" i="121"/>
  <c r="AB196" i="121"/>
  <c r="AD196" i="121" s="1"/>
  <c r="Z196" i="121"/>
  <c r="X196" i="121"/>
  <c r="T196" i="121"/>
  <c r="V196" i="121" s="1"/>
  <c r="P196" i="121"/>
  <c r="R196" i="121" s="1"/>
  <c r="L196" i="121"/>
  <c r="N196" i="121" s="1"/>
  <c r="AP195" i="121"/>
  <c r="AL195" i="121"/>
  <c r="AH195" i="121"/>
  <c r="AD195" i="121"/>
  <c r="Z195" i="121"/>
  <c r="V195" i="121"/>
  <c r="R195" i="121"/>
  <c r="N195" i="121"/>
  <c r="AP194" i="121"/>
  <c r="AL194" i="121"/>
  <c r="AH194" i="121"/>
  <c r="AD194" i="121"/>
  <c r="Z194" i="121"/>
  <c r="V194" i="121"/>
  <c r="R194" i="121"/>
  <c r="N194" i="121"/>
  <c r="AQ194" i="121" s="1"/>
  <c r="AO193" i="121"/>
  <c r="AP193" i="121" s="1"/>
  <c r="AK193" i="121"/>
  <c r="AL193" i="121" s="1"/>
  <c r="AG193" i="121"/>
  <c r="AH193" i="121" s="1"/>
  <c r="AD193" i="121"/>
  <c r="AC193" i="121"/>
  <c r="Y193" i="121"/>
  <c r="Z193" i="121" s="1"/>
  <c r="V193" i="121"/>
  <c r="U193" i="121"/>
  <c r="R193" i="121"/>
  <c r="Q193" i="121"/>
  <c r="M193" i="121"/>
  <c r="N193" i="121" s="1"/>
  <c r="AP192" i="121"/>
  <c r="AL192" i="121"/>
  <c r="AH192" i="121"/>
  <c r="AD192" i="121"/>
  <c r="Z192" i="121"/>
  <c r="V192" i="121"/>
  <c r="R192" i="121"/>
  <c r="N192" i="121"/>
  <c r="AQ192" i="121" s="1"/>
  <c r="AO191" i="121"/>
  <c r="AP191" i="121" s="1"/>
  <c r="AK191" i="121"/>
  <c r="AL191" i="121" s="1"/>
  <c r="AH191" i="121"/>
  <c r="AG191" i="121"/>
  <c r="AD191" i="121"/>
  <c r="AC191" i="121"/>
  <c r="Z191" i="121"/>
  <c r="Y191" i="121"/>
  <c r="U191" i="121"/>
  <c r="V191" i="121" s="1"/>
  <c r="Q191" i="121"/>
  <c r="R191" i="121" s="1"/>
  <c r="M191" i="121"/>
  <c r="N191" i="121" s="1"/>
  <c r="AP190" i="121"/>
  <c r="AL190" i="121"/>
  <c r="AH190" i="121"/>
  <c r="AD190" i="121"/>
  <c r="AQ190" i="121" s="1"/>
  <c r="Z190" i="121"/>
  <c r="V190" i="121"/>
  <c r="R190" i="121"/>
  <c r="N190" i="121"/>
  <c r="AP189" i="121"/>
  <c r="AL189" i="121"/>
  <c r="AH189" i="121"/>
  <c r="AD189" i="121"/>
  <c r="Z189" i="121"/>
  <c r="V189" i="121"/>
  <c r="R189" i="121"/>
  <c r="N189" i="121"/>
  <c r="AP188" i="121"/>
  <c r="AL188" i="121"/>
  <c r="AH188" i="121"/>
  <c r="AD188" i="121"/>
  <c r="Z188" i="121"/>
  <c r="V188" i="121"/>
  <c r="R188" i="121"/>
  <c r="N188" i="121"/>
  <c r="AO187" i="121"/>
  <c r="AP187" i="121" s="1"/>
  <c r="AK187" i="121"/>
  <c r="AL187" i="121" s="1"/>
  <c r="AH187" i="121"/>
  <c r="AG187" i="121"/>
  <c r="AC187" i="121"/>
  <c r="AD187" i="121" s="1"/>
  <c r="Y187" i="121"/>
  <c r="Z187" i="121" s="1"/>
  <c r="U187" i="121"/>
  <c r="V187" i="121" s="1"/>
  <c r="Q187" i="121"/>
  <c r="R187" i="121" s="1"/>
  <c r="M187" i="121"/>
  <c r="N187" i="121" s="1"/>
  <c r="AN186" i="121"/>
  <c r="AP186" i="121" s="1"/>
  <c r="AJ186" i="121"/>
  <c r="AL186" i="121" s="1"/>
  <c r="AF186" i="121"/>
  <c r="AH186" i="121" s="1"/>
  <c r="AB186" i="121"/>
  <c r="AD186" i="121" s="1"/>
  <c r="Z186" i="121"/>
  <c r="X186" i="121"/>
  <c r="T186" i="121"/>
  <c r="V186" i="121" s="1"/>
  <c r="P186" i="121"/>
  <c r="R186" i="121" s="1"/>
  <c r="N186" i="121"/>
  <c r="L186" i="121"/>
  <c r="AN185" i="121"/>
  <c r="AP185" i="121" s="1"/>
  <c r="AJ185" i="121"/>
  <c r="AL185" i="121" s="1"/>
  <c r="AF185" i="121"/>
  <c r="AH185" i="121" s="1"/>
  <c r="AB185" i="121"/>
  <c r="AD185" i="121" s="1"/>
  <c r="Z185" i="121"/>
  <c r="X185" i="121"/>
  <c r="V185" i="121"/>
  <c r="T185" i="121"/>
  <c r="P185" i="121"/>
  <c r="R185" i="121" s="1"/>
  <c r="N185" i="121"/>
  <c r="L185" i="121"/>
  <c r="AP184" i="121"/>
  <c r="AO184" i="121"/>
  <c r="AK184" i="121"/>
  <c r="AL184" i="121" s="1"/>
  <c r="AG184" i="121"/>
  <c r="AH184" i="121" s="1"/>
  <c r="AC184" i="121"/>
  <c r="AD184" i="121" s="1"/>
  <c r="Y184" i="121"/>
  <c r="Z184" i="121" s="1"/>
  <c r="U184" i="121"/>
  <c r="V184" i="121" s="1"/>
  <c r="Q184" i="121"/>
  <c r="R184" i="121" s="1"/>
  <c r="M184" i="121"/>
  <c r="N184" i="121" s="1"/>
  <c r="AN183" i="121"/>
  <c r="AP183" i="121" s="1"/>
  <c r="AJ183" i="121"/>
  <c r="AL183" i="121" s="1"/>
  <c r="AH183" i="121"/>
  <c r="AF183" i="121"/>
  <c r="AB183" i="121"/>
  <c r="AD183" i="121" s="1"/>
  <c r="Z183" i="121"/>
  <c r="X183" i="121"/>
  <c r="T183" i="121"/>
  <c r="V183" i="121" s="1"/>
  <c r="R183" i="121"/>
  <c r="P183" i="121"/>
  <c r="L183" i="121"/>
  <c r="N183" i="121" s="1"/>
  <c r="AN182" i="121"/>
  <c r="AP182" i="121" s="1"/>
  <c r="AJ182" i="121"/>
  <c r="AL182" i="121" s="1"/>
  <c r="AF182" i="121"/>
  <c r="AH182" i="121" s="1"/>
  <c r="AB182" i="121"/>
  <c r="AD182" i="121" s="1"/>
  <c r="Z182" i="121"/>
  <c r="X182" i="121"/>
  <c r="T182" i="121"/>
  <c r="V182" i="121" s="1"/>
  <c r="P182" i="121"/>
  <c r="R182" i="121" s="1"/>
  <c r="N182" i="121"/>
  <c r="L182" i="121"/>
  <c r="AN181" i="121"/>
  <c r="AP181" i="121" s="1"/>
  <c r="AJ181" i="121"/>
  <c r="AL181" i="121" s="1"/>
  <c r="AF181" i="121"/>
  <c r="AH181" i="121" s="1"/>
  <c r="AB181" i="121"/>
  <c r="AD181" i="121" s="1"/>
  <c r="Z181" i="121"/>
  <c r="X181" i="121"/>
  <c r="T181" i="121"/>
  <c r="V181" i="121" s="1"/>
  <c r="P181" i="121"/>
  <c r="R181" i="121" s="1"/>
  <c r="L181" i="121"/>
  <c r="N181" i="121" s="1"/>
  <c r="AQ181" i="121" s="1"/>
  <c r="AN180" i="121"/>
  <c r="AP180" i="121" s="1"/>
  <c r="AJ180" i="121"/>
  <c r="AL180" i="121" s="1"/>
  <c r="AF180" i="121"/>
  <c r="AH180" i="121" s="1"/>
  <c r="AB180" i="121"/>
  <c r="AD180" i="121" s="1"/>
  <c r="Z180" i="121"/>
  <c r="X180" i="121"/>
  <c r="T180" i="121"/>
  <c r="V180" i="121" s="1"/>
  <c r="P180" i="121"/>
  <c r="R180" i="121" s="1"/>
  <c r="L180" i="121"/>
  <c r="N180" i="121" s="1"/>
  <c r="AN179" i="121"/>
  <c r="AP179" i="121" s="1"/>
  <c r="AJ179" i="121"/>
  <c r="AL179" i="121" s="1"/>
  <c r="AF179" i="121"/>
  <c r="AH179" i="121" s="1"/>
  <c r="AB179" i="121"/>
  <c r="AD179" i="121" s="1"/>
  <c r="Z179" i="121"/>
  <c r="X179" i="121"/>
  <c r="T179" i="121"/>
  <c r="V179" i="121" s="1"/>
  <c r="R179" i="121"/>
  <c r="P179" i="121"/>
  <c r="L179" i="121"/>
  <c r="N179" i="121" s="1"/>
  <c r="AP178" i="121"/>
  <c r="AL178" i="121"/>
  <c r="AH178" i="121"/>
  <c r="AD178" i="121"/>
  <c r="Z178" i="121"/>
  <c r="V178" i="121"/>
  <c r="R178" i="121"/>
  <c r="N178" i="121"/>
  <c r="AP177" i="121"/>
  <c r="AN177" i="121"/>
  <c r="AL177" i="121"/>
  <c r="AJ177" i="121"/>
  <c r="AH177" i="121"/>
  <c r="AF177" i="121"/>
  <c r="AB177" i="121"/>
  <c r="AD177" i="121" s="1"/>
  <c r="Z177" i="121"/>
  <c r="X177" i="121"/>
  <c r="V177" i="121"/>
  <c r="T177" i="121"/>
  <c r="P177" i="121"/>
  <c r="R177" i="121" s="1"/>
  <c r="N177" i="121"/>
  <c r="L177" i="121"/>
  <c r="AP176" i="121"/>
  <c r="AN176" i="121"/>
  <c r="AJ176" i="121"/>
  <c r="AL176" i="121" s="1"/>
  <c r="AF176" i="121"/>
  <c r="AH176" i="121" s="1"/>
  <c r="AB176" i="121"/>
  <c r="AD176" i="121" s="1"/>
  <c r="Z176" i="121"/>
  <c r="X176" i="121"/>
  <c r="T176" i="121"/>
  <c r="V176" i="121" s="1"/>
  <c r="P176" i="121"/>
  <c r="R176" i="121" s="1"/>
  <c r="L176" i="121"/>
  <c r="N176" i="121" s="1"/>
  <c r="AP175" i="121"/>
  <c r="AL175" i="121"/>
  <c r="AH175" i="121"/>
  <c r="AD175" i="121"/>
  <c r="Z175" i="121"/>
  <c r="V175" i="121"/>
  <c r="R175" i="121"/>
  <c r="N175" i="121"/>
  <c r="AP174" i="121"/>
  <c r="AL174" i="121"/>
  <c r="AH174" i="121"/>
  <c r="AD174" i="121"/>
  <c r="Z174" i="121"/>
  <c r="V174" i="121"/>
  <c r="R174" i="121"/>
  <c r="N174" i="121"/>
  <c r="AP173" i="121"/>
  <c r="AO173" i="121"/>
  <c r="AL173" i="121"/>
  <c r="AK173" i="121"/>
  <c r="AG173" i="121"/>
  <c r="AH173" i="121" s="1"/>
  <c r="AC173" i="121"/>
  <c r="AD173" i="121" s="1"/>
  <c r="Z173" i="121"/>
  <c r="Y173" i="121"/>
  <c r="U173" i="121"/>
  <c r="V173" i="121" s="1"/>
  <c r="Q173" i="121"/>
  <c r="R173" i="121" s="1"/>
  <c r="M173" i="121"/>
  <c r="N173" i="121" s="1"/>
  <c r="AQ173" i="121" s="1"/>
  <c r="AO172" i="121"/>
  <c r="AP172" i="121" s="1"/>
  <c r="AK172" i="121"/>
  <c r="AL172" i="121" s="1"/>
  <c r="AG172" i="121"/>
  <c r="AH172" i="121" s="1"/>
  <c r="AC172" i="121"/>
  <c r="AD172" i="121" s="1"/>
  <c r="Y172" i="121"/>
  <c r="Z172" i="121" s="1"/>
  <c r="U172" i="121"/>
  <c r="V172" i="121" s="1"/>
  <c r="Q172" i="121"/>
  <c r="R172" i="121" s="1"/>
  <c r="M172" i="121"/>
  <c r="N172" i="121" s="1"/>
  <c r="AO171" i="121"/>
  <c r="AP171" i="121" s="1"/>
  <c r="AK171" i="121"/>
  <c r="AL171" i="121" s="1"/>
  <c r="AH171" i="121"/>
  <c r="AG171" i="121"/>
  <c r="AC171" i="121"/>
  <c r="AD171" i="121" s="1"/>
  <c r="Y171" i="121"/>
  <c r="Z171" i="121" s="1"/>
  <c r="U171" i="121"/>
  <c r="V171" i="121" s="1"/>
  <c r="R171" i="121"/>
  <c r="Q171" i="121"/>
  <c r="M171" i="121"/>
  <c r="N171" i="121" s="1"/>
  <c r="AN170" i="121"/>
  <c r="AP170" i="121" s="1"/>
  <c r="AJ170" i="121"/>
  <c r="AL170" i="121" s="1"/>
  <c r="AF170" i="121"/>
  <c r="AH170" i="121" s="1"/>
  <c r="AB170" i="121"/>
  <c r="AD170" i="121" s="1"/>
  <c r="Z170" i="121"/>
  <c r="X170" i="121"/>
  <c r="T170" i="121"/>
  <c r="V170" i="121" s="1"/>
  <c r="P170" i="121"/>
  <c r="R170" i="121" s="1"/>
  <c r="L170" i="121"/>
  <c r="N170" i="121" s="1"/>
  <c r="AP169" i="121"/>
  <c r="AL169" i="121"/>
  <c r="AH169" i="121"/>
  <c r="AD169" i="121"/>
  <c r="Z169" i="121"/>
  <c r="V169" i="121"/>
  <c r="R169" i="121"/>
  <c r="N169" i="121"/>
  <c r="AP168" i="121"/>
  <c r="AL168" i="121"/>
  <c r="AH168" i="121"/>
  <c r="AD168" i="121"/>
  <c r="Z168" i="121"/>
  <c r="V168" i="121"/>
  <c r="R168" i="121"/>
  <c r="N168" i="121"/>
  <c r="AP167" i="121"/>
  <c r="AL167" i="121"/>
  <c r="AH167" i="121"/>
  <c r="AD167" i="121"/>
  <c r="Z167" i="121"/>
  <c r="V167" i="121"/>
  <c r="R167" i="121"/>
  <c r="N167" i="121"/>
  <c r="AP166" i="121"/>
  <c r="AL166" i="121"/>
  <c r="AH166" i="121"/>
  <c r="AD166" i="121"/>
  <c r="Z166" i="121"/>
  <c r="V166" i="121"/>
  <c r="R166" i="121"/>
  <c r="N166" i="121"/>
  <c r="AP165" i="121"/>
  <c r="AL165" i="121"/>
  <c r="AH165" i="121"/>
  <c r="AD165" i="121"/>
  <c r="Z165" i="121"/>
  <c r="V165" i="121"/>
  <c r="R165" i="121"/>
  <c r="N165" i="121"/>
  <c r="AQ165" i="121" s="1"/>
  <c r="AP164" i="121"/>
  <c r="AL164" i="121"/>
  <c r="AH164" i="121"/>
  <c r="AD164" i="121"/>
  <c r="Z164" i="121"/>
  <c r="V164" i="121"/>
  <c r="R164" i="121"/>
  <c r="N164" i="121"/>
  <c r="AQ164" i="121" s="1"/>
  <c r="AP163" i="121"/>
  <c r="AL163" i="121"/>
  <c r="AH163" i="121"/>
  <c r="AD163" i="121"/>
  <c r="Z163" i="121"/>
  <c r="V163" i="121"/>
  <c r="R163" i="121"/>
  <c r="N163" i="121"/>
  <c r="AP162" i="121"/>
  <c r="AL162" i="121"/>
  <c r="AH162" i="121"/>
  <c r="AD162" i="121"/>
  <c r="Z162" i="121"/>
  <c r="V162" i="121"/>
  <c r="R162" i="121"/>
  <c r="N162" i="121"/>
  <c r="AQ162" i="121" s="1"/>
  <c r="AN161" i="121"/>
  <c r="AP161" i="121" s="1"/>
  <c r="AJ161" i="121"/>
  <c r="AL161" i="121" s="1"/>
  <c r="AF161" i="121"/>
  <c r="AH161" i="121" s="1"/>
  <c r="AD161" i="121"/>
  <c r="AB161" i="121"/>
  <c r="Z161" i="121"/>
  <c r="X161" i="121"/>
  <c r="T161" i="121"/>
  <c r="V161" i="121" s="1"/>
  <c r="P161" i="121"/>
  <c r="R161" i="121" s="1"/>
  <c r="L161" i="121"/>
  <c r="N161" i="121" s="1"/>
  <c r="AP160" i="121"/>
  <c r="AL160" i="121"/>
  <c r="AH160" i="121"/>
  <c r="AD160" i="121"/>
  <c r="Z160" i="121"/>
  <c r="V160" i="121"/>
  <c r="R160" i="121"/>
  <c r="N160" i="121"/>
  <c r="AN159" i="121"/>
  <c r="AP159" i="121" s="1"/>
  <c r="AL159" i="121"/>
  <c r="AJ159" i="121"/>
  <c r="AH159" i="121"/>
  <c r="AF159" i="121"/>
  <c r="AB159" i="121"/>
  <c r="AD159" i="121" s="1"/>
  <c r="Z159" i="121"/>
  <c r="X159" i="121"/>
  <c r="T159" i="121"/>
  <c r="V159" i="121" s="1"/>
  <c r="R159" i="121"/>
  <c r="P159" i="121"/>
  <c r="L159" i="121"/>
  <c r="N159" i="121" s="1"/>
  <c r="AQ159" i="121" s="1"/>
  <c r="AP158" i="121"/>
  <c r="AQ158" i="121" s="1"/>
  <c r="AL158" i="121"/>
  <c r="AH158" i="121"/>
  <c r="AD158" i="121"/>
  <c r="Z158" i="121"/>
  <c r="V158" i="121"/>
  <c r="R158" i="121"/>
  <c r="N158" i="121"/>
  <c r="AP157" i="121"/>
  <c r="AN157" i="121"/>
  <c r="AJ157" i="121"/>
  <c r="AL157" i="121" s="1"/>
  <c r="AF157" i="121"/>
  <c r="AH157" i="121" s="1"/>
  <c r="AB157" i="121"/>
  <c r="AD157" i="121" s="1"/>
  <c r="Z157" i="121"/>
  <c r="X157" i="121"/>
  <c r="T157" i="121"/>
  <c r="V157" i="121" s="1"/>
  <c r="P157" i="121"/>
  <c r="R157" i="121" s="1"/>
  <c r="N157" i="121"/>
  <c r="L157" i="121"/>
  <c r="AP156" i="121"/>
  <c r="AL156" i="121"/>
  <c r="AH156" i="121"/>
  <c r="AD156" i="121"/>
  <c r="AQ156" i="121" s="1"/>
  <c r="Z156" i="121"/>
  <c r="V156" i="121"/>
  <c r="R156" i="121"/>
  <c r="N156" i="121"/>
  <c r="AP155" i="121"/>
  <c r="AL155" i="121"/>
  <c r="AH155" i="121"/>
  <c r="AD155" i="121"/>
  <c r="Z155" i="121"/>
  <c r="V155" i="121"/>
  <c r="R155" i="121"/>
  <c r="N155" i="121"/>
  <c r="AP154" i="121"/>
  <c r="AL154" i="121"/>
  <c r="AH154" i="121"/>
  <c r="AD154" i="121"/>
  <c r="Z154" i="121"/>
  <c r="V154" i="121"/>
  <c r="R154" i="121"/>
  <c r="N154" i="121"/>
  <c r="AP153" i="121"/>
  <c r="AL153" i="121"/>
  <c r="AH153" i="121"/>
  <c r="AD153" i="121"/>
  <c r="Z153" i="121"/>
  <c r="V153" i="121"/>
  <c r="R153" i="121"/>
  <c r="N153" i="121"/>
  <c r="AP152" i="121"/>
  <c r="AL152" i="121"/>
  <c r="AH152" i="121"/>
  <c r="AD152" i="121"/>
  <c r="Z152" i="121"/>
  <c r="V152" i="121"/>
  <c r="R152" i="121"/>
  <c r="N152" i="121"/>
  <c r="AP151" i="121"/>
  <c r="AO151" i="121"/>
  <c r="AK151" i="121"/>
  <c r="AL151" i="121" s="1"/>
  <c r="AH151" i="121"/>
  <c r="AG151" i="121"/>
  <c r="AC151" i="121"/>
  <c r="AD151" i="121" s="1"/>
  <c r="Y151" i="121"/>
  <c r="Z151" i="121" s="1"/>
  <c r="U151" i="121"/>
  <c r="V151" i="121" s="1"/>
  <c r="Q151" i="121"/>
  <c r="R151" i="121" s="1"/>
  <c r="M151" i="121"/>
  <c r="N151" i="121" s="1"/>
  <c r="AP150" i="121"/>
  <c r="AL150" i="121"/>
  <c r="AH150" i="121"/>
  <c r="AD150" i="121"/>
  <c r="Z150" i="121"/>
  <c r="V150" i="121"/>
  <c r="R150" i="121"/>
  <c r="N150" i="121"/>
  <c r="AO149" i="121"/>
  <c r="AP149" i="121" s="1"/>
  <c r="AL149" i="121"/>
  <c r="AK149" i="121"/>
  <c r="AG149" i="121"/>
  <c r="AH149" i="121" s="1"/>
  <c r="AC149" i="121"/>
  <c r="AD149" i="121" s="1"/>
  <c r="Y149" i="121"/>
  <c r="Z149" i="121" s="1"/>
  <c r="U149" i="121"/>
  <c r="V149" i="121" s="1"/>
  <c r="R149" i="121"/>
  <c r="Q149" i="121"/>
  <c r="M149" i="121"/>
  <c r="N149" i="121" s="1"/>
  <c r="AP148" i="121"/>
  <c r="AL148" i="121"/>
  <c r="AH148" i="121"/>
  <c r="AD148" i="121"/>
  <c r="Z148" i="121"/>
  <c r="V148" i="121"/>
  <c r="R148" i="121"/>
  <c r="N148" i="121"/>
  <c r="AN147" i="121"/>
  <c r="AP147" i="121" s="1"/>
  <c r="AJ147" i="121"/>
  <c r="AL147" i="121" s="1"/>
  <c r="AF147" i="121"/>
  <c r="AH147" i="121" s="1"/>
  <c r="AB147" i="121"/>
  <c r="AD147" i="121" s="1"/>
  <c r="Z147" i="121"/>
  <c r="X147" i="121"/>
  <c r="T147" i="121"/>
  <c r="V147" i="121" s="1"/>
  <c r="P147" i="121"/>
  <c r="R147" i="121" s="1"/>
  <c r="N147" i="121"/>
  <c r="L147" i="121"/>
  <c r="AP146" i="121"/>
  <c r="AL146" i="121"/>
  <c r="AH146" i="121"/>
  <c r="AD146" i="121"/>
  <c r="AQ146" i="121" s="1"/>
  <c r="Z146" i="121"/>
  <c r="V146" i="121"/>
  <c r="R146" i="121"/>
  <c r="N146" i="121"/>
  <c r="AO145" i="121"/>
  <c r="AP145" i="121" s="1"/>
  <c r="AK145" i="121"/>
  <c r="AL145" i="121" s="1"/>
  <c r="AG145" i="121"/>
  <c r="AH145" i="121" s="1"/>
  <c r="AD145" i="121"/>
  <c r="AC145" i="121"/>
  <c r="Y145" i="121"/>
  <c r="Z145" i="121" s="1"/>
  <c r="V145" i="121"/>
  <c r="U145" i="121"/>
  <c r="Q145" i="121"/>
  <c r="R145" i="121" s="1"/>
  <c r="M145" i="121"/>
  <c r="N145" i="121" s="1"/>
  <c r="AN144" i="121"/>
  <c r="AP144" i="121" s="1"/>
  <c r="AJ144" i="121"/>
  <c r="AL144" i="121" s="1"/>
  <c r="AF144" i="121"/>
  <c r="AH144" i="121" s="1"/>
  <c r="AB144" i="121"/>
  <c r="AD144" i="121" s="1"/>
  <c r="Z144" i="121"/>
  <c r="X144" i="121"/>
  <c r="T144" i="121"/>
  <c r="V144" i="121" s="1"/>
  <c r="P144" i="121"/>
  <c r="R144" i="121" s="1"/>
  <c r="L144" i="121"/>
  <c r="N144" i="121" s="1"/>
  <c r="AO143" i="121"/>
  <c r="AP143" i="121" s="1"/>
  <c r="AL143" i="121"/>
  <c r="AK143" i="121"/>
  <c r="AG143" i="121"/>
  <c r="AH143" i="121" s="1"/>
  <c r="AD143" i="121"/>
  <c r="AC143" i="121"/>
  <c r="Z143" i="121"/>
  <c r="Y143" i="121"/>
  <c r="U143" i="121"/>
  <c r="V143" i="121" s="1"/>
  <c r="R143" i="121"/>
  <c r="Q143" i="121"/>
  <c r="M143" i="121"/>
  <c r="N143" i="121" s="1"/>
  <c r="AQ143" i="121" s="1"/>
  <c r="AO142" i="121"/>
  <c r="AP142" i="121" s="1"/>
  <c r="AK142" i="121"/>
  <c r="AL142" i="121" s="1"/>
  <c r="AG142" i="121"/>
  <c r="AH142" i="121" s="1"/>
  <c r="AC142" i="121"/>
  <c r="AD142" i="121" s="1"/>
  <c r="Y142" i="121"/>
  <c r="Z142" i="121" s="1"/>
  <c r="U142" i="121"/>
  <c r="V142" i="121" s="1"/>
  <c r="Q142" i="121"/>
  <c r="R142" i="121" s="1"/>
  <c r="M142" i="121"/>
  <c r="N142" i="121" s="1"/>
  <c r="AN141" i="121"/>
  <c r="AP141" i="121" s="1"/>
  <c r="AJ141" i="121"/>
  <c r="AL141" i="121" s="1"/>
  <c r="AF141" i="121"/>
  <c r="AH141" i="121" s="1"/>
  <c r="AB141" i="121"/>
  <c r="AD141" i="121" s="1"/>
  <c r="Z141" i="121"/>
  <c r="X141" i="121"/>
  <c r="V141" i="121"/>
  <c r="T141" i="121"/>
  <c r="P141" i="121"/>
  <c r="R141" i="121" s="1"/>
  <c r="L141" i="121"/>
  <c r="N141" i="121" s="1"/>
  <c r="AN140" i="121"/>
  <c r="AP140" i="121" s="1"/>
  <c r="AJ140" i="121"/>
  <c r="AL140" i="121" s="1"/>
  <c r="AF140" i="121"/>
  <c r="AH140" i="121" s="1"/>
  <c r="AB140" i="121"/>
  <c r="AD140" i="121" s="1"/>
  <c r="Z140" i="121"/>
  <c r="X140" i="121"/>
  <c r="T140" i="121"/>
  <c r="V140" i="121" s="1"/>
  <c r="P140" i="121"/>
  <c r="R140" i="121" s="1"/>
  <c r="L140" i="121"/>
  <c r="N140" i="121" s="1"/>
  <c r="AN139" i="121"/>
  <c r="AP139" i="121" s="1"/>
  <c r="AJ139" i="121"/>
  <c r="AL139" i="121" s="1"/>
  <c r="AF139" i="121"/>
  <c r="AH139" i="121" s="1"/>
  <c r="AB139" i="121"/>
  <c r="AD139" i="121" s="1"/>
  <c r="Z139" i="121"/>
  <c r="X139" i="121"/>
  <c r="T139" i="121"/>
  <c r="V139" i="121" s="1"/>
  <c r="P139" i="121"/>
  <c r="R139" i="121" s="1"/>
  <c r="N139" i="121"/>
  <c r="L139" i="121"/>
  <c r="AP138" i="121"/>
  <c r="AL138" i="121"/>
  <c r="AH138" i="121"/>
  <c r="AD138" i="121"/>
  <c r="Z138" i="121"/>
  <c r="V138" i="121"/>
  <c r="R138" i="121"/>
  <c r="N138" i="121"/>
  <c r="AP137" i="121"/>
  <c r="AO137" i="121"/>
  <c r="AL137" i="121"/>
  <c r="AK137" i="121"/>
  <c r="AG137" i="121"/>
  <c r="AH137" i="121" s="1"/>
  <c r="AC137" i="121"/>
  <c r="AD137" i="121" s="1"/>
  <c r="Y137" i="121"/>
  <c r="Z137" i="121" s="1"/>
  <c r="V137" i="121"/>
  <c r="U137" i="121"/>
  <c r="Q137" i="121"/>
  <c r="R137" i="121" s="1"/>
  <c r="M137" i="121"/>
  <c r="N137" i="121" s="1"/>
  <c r="AN136" i="121"/>
  <c r="AP136" i="121" s="1"/>
  <c r="AJ136" i="121"/>
  <c r="AL136" i="121" s="1"/>
  <c r="AF136" i="121"/>
  <c r="AH136" i="121" s="1"/>
  <c r="AB136" i="121"/>
  <c r="AD136" i="121" s="1"/>
  <c r="Z136" i="121"/>
  <c r="X136" i="121"/>
  <c r="T136" i="121"/>
  <c r="V136" i="121" s="1"/>
  <c r="P136" i="121"/>
  <c r="R136" i="121" s="1"/>
  <c r="L136" i="121"/>
  <c r="N136" i="121" s="1"/>
  <c r="AP135" i="121"/>
  <c r="AL135" i="121"/>
  <c r="AH135" i="121"/>
  <c r="AD135" i="121"/>
  <c r="Z135" i="121"/>
  <c r="V135" i="121"/>
  <c r="R135" i="121"/>
  <c r="N135" i="121"/>
  <c r="AN134" i="121"/>
  <c r="AP134" i="121" s="1"/>
  <c r="AL134" i="121"/>
  <c r="AJ134" i="121"/>
  <c r="AF134" i="121"/>
  <c r="AH134" i="121" s="1"/>
  <c r="AB134" i="121"/>
  <c r="AD134" i="121" s="1"/>
  <c r="Z134" i="121"/>
  <c r="X134" i="121"/>
  <c r="T134" i="121"/>
  <c r="V134" i="121" s="1"/>
  <c r="P134" i="121"/>
  <c r="R134" i="121" s="1"/>
  <c r="N134" i="121"/>
  <c r="L134" i="121"/>
  <c r="AP133" i="121"/>
  <c r="AN133" i="121"/>
  <c r="AJ133" i="121"/>
  <c r="AL133" i="121" s="1"/>
  <c r="AF133" i="121"/>
  <c r="AH133" i="121" s="1"/>
  <c r="AD133" i="121"/>
  <c r="AB133" i="121"/>
  <c r="Z133" i="121"/>
  <c r="X133" i="121"/>
  <c r="T133" i="121"/>
  <c r="V133" i="121" s="1"/>
  <c r="P133" i="121"/>
  <c r="R133" i="121" s="1"/>
  <c r="L133" i="121"/>
  <c r="N133" i="121" s="1"/>
  <c r="AP132" i="121"/>
  <c r="AN132" i="121"/>
  <c r="AJ132" i="121"/>
  <c r="AL132" i="121" s="1"/>
  <c r="AF132" i="121"/>
  <c r="AH132" i="121" s="1"/>
  <c r="AB132" i="121"/>
  <c r="AD132" i="121" s="1"/>
  <c r="Z132" i="121"/>
  <c r="X132" i="121"/>
  <c r="T132" i="121"/>
  <c r="V132" i="121" s="1"/>
  <c r="P132" i="121"/>
  <c r="R132" i="121" s="1"/>
  <c r="L132" i="121"/>
  <c r="N132" i="121" s="1"/>
  <c r="AP131" i="121"/>
  <c r="AN131" i="121"/>
  <c r="AJ131" i="121"/>
  <c r="AL131" i="121" s="1"/>
  <c r="AF131" i="121"/>
  <c r="AH131" i="121" s="1"/>
  <c r="AD131" i="121"/>
  <c r="AB131" i="121"/>
  <c r="Z131" i="121"/>
  <c r="X131" i="121"/>
  <c r="T131" i="121"/>
  <c r="V131" i="121" s="1"/>
  <c r="R131" i="121"/>
  <c r="P131" i="121"/>
  <c r="N131" i="121"/>
  <c r="L131" i="121"/>
  <c r="AN130" i="121"/>
  <c r="AP130" i="121" s="1"/>
  <c r="AJ130" i="121"/>
  <c r="AL130" i="121" s="1"/>
  <c r="AF130" i="121"/>
  <c r="AH130" i="121" s="1"/>
  <c r="AB130" i="121"/>
  <c r="AD130" i="121" s="1"/>
  <c r="Z130" i="121"/>
  <c r="X130" i="121"/>
  <c r="T130" i="121"/>
  <c r="V130" i="121" s="1"/>
  <c r="P130" i="121"/>
  <c r="R130" i="121" s="1"/>
  <c r="L130" i="121"/>
  <c r="N130" i="121" s="1"/>
  <c r="AP129" i="121"/>
  <c r="AN129" i="121"/>
  <c r="AL129" i="121"/>
  <c r="AJ129" i="121"/>
  <c r="AF129" i="121"/>
  <c r="AH129" i="121" s="1"/>
  <c r="AD129" i="121"/>
  <c r="AB129" i="121"/>
  <c r="Z129" i="121"/>
  <c r="X129" i="121"/>
  <c r="V129" i="121"/>
  <c r="T129" i="121"/>
  <c r="P129" i="121"/>
  <c r="R129" i="121" s="1"/>
  <c r="L129" i="121"/>
  <c r="N129" i="121" s="1"/>
  <c r="AQ129" i="121" s="1"/>
  <c r="AP128" i="121"/>
  <c r="AN128" i="121"/>
  <c r="AJ128" i="121"/>
  <c r="AL128" i="121" s="1"/>
  <c r="AF128" i="121"/>
  <c r="AH128" i="121" s="1"/>
  <c r="AB128" i="121"/>
  <c r="AD128" i="121" s="1"/>
  <c r="Z128" i="121"/>
  <c r="X128" i="121"/>
  <c r="T128" i="121"/>
  <c r="V128" i="121" s="1"/>
  <c r="P128" i="121"/>
  <c r="R128" i="121" s="1"/>
  <c r="L128" i="121"/>
  <c r="N128" i="121" s="1"/>
  <c r="AP127" i="121"/>
  <c r="AN127" i="121"/>
  <c r="AJ127" i="121"/>
  <c r="AL127" i="121" s="1"/>
  <c r="AH127" i="121"/>
  <c r="AF127" i="121"/>
  <c r="AD127" i="121"/>
  <c r="AB127" i="121"/>
  <c r="Z127" i="121"/>
  <c r="X127" i="121"/>
  <c r="V127" i="121"/>
  <c r="T127" i="121"/>
  <c r="P127" i="121"/>
  <c r="R127" i="121" s="1"/>
  <c r="L127" i="121"/>
  <c r="N127" i="121" s="1"/>
  <c r="AO126" i="121"/>
  <c r="AP126" i="121" s="1"/>
  <c r="AK126" i="121"/>
  <c r="AL126" i="121" s="1"/>
  <c r="AG126" i="121"/>
  <c r="AH126" i="121" s="1"/>
  <c r="AC126" i="121"/>
  <c r="AD126" i="121" s="1"/>
  <c r="Y126" i="121"/>
  <c r="Z126" i="121" s="1"/>
  <c r="U126" i="121"/>
  <c r="V126" i="121" s="1"/>
  <c r="Q126" i="121"/>
  <c r="R126" i="121" s="1"/>
  <c r="M126" i="121"/>
  <c r="N126" i="121" s="1"/>
  <c r="AN125" i="121"/>
  <c r="AP125" i="121" s="1"/>
  <c r="AJ125" i="121"/>
  <c r="AL125" i="121" s="1"/>
  <c r="AF125" i="121"/>
  <c r="AH125" i="121" s="1"/>
  <c r="AD125" i="121"/>
  <c r="AB125" i="121"/>
  <c r="Z125" i="121"/>
  <c r="X125" i="121"/>
  <c r="T125" i="121"/>
  <c r="V125" i="121" s="1"/>
  <c r="P125" i="121"/>
  <c r="R125" i="121" s="1"/>
  <c r="L125" i="121"/>
  <c r="N125" i="121" s="1"/>
  <c r="AN124" i="121"/>
  <c r="AP124" i="121" s="1"/>
  <c r="AJ124" i="121"/>
  <c r="AL124" i="121" s="1"/>
  <c r="AH124" i="121"/>
  <c r="AF124" i="121"/>
  <c r="AB124" i="121"/>
  <c r="AD124" i="121" s="1"/>
  <c r="Z124" i="121"/>
  <c r="X124" i="121"/>
  <c r="T124" i="121"/>
  <c r="V124" i="121" s="1"/>
  <c r="P124" i="121"/>
  <c r="R124" i="121" s="1"/>
  <c r="L124" i="121"/>
  <c r="N124" i="121" s="1"/>
  <c r="AP123" i="121"/>
  <c r="AO123" i="121"/>
  <c r="AK123" i="121"/>
  <c r="AL123" i="121" s="1"/>
  <c r="AH123" i="121"/>
  <c r="AG123" i="121"/>
  <c r="AC123" i="121"/>
  <c r="AD123" i="121" s="1"/>
  <c r="Y123" i="121"/>
  <c r="Z123" i="121" s="1"/>
  <c r="V123" i="121"/>
  <c r="U123" i="121"/>
  <c r="R123" i="121"/>
  <c r="Q123" i="121"/>
  <c r="M123" i="121"/>
  <c r="N123" i="121" s="1"/>
  <c r="AO122" i="121"/>
  <c r="AP122" i="121" s="1"/>
  <c r="AK122" i="121"/>
  <c r="AL122" i="121" s="1"/>
  <c r="AG122" i="121"/>
  <c r="AH122" i="121" s="1"/>
  <c r="AC122" i="121"/>
  <c r="AD122" i="121" s="1"/>
  <c r="Y122" i="121"/>
  <c r="Z122" i="121" s="1"/>
  <c r="V122" i="121"/>
  <c r="U122" i="121"/>
  <c r="Q122" i="121"/>
  <c r="R122" i="121" s="1"/>
  <c r="M122" i="121"/>
  <c r="N122" i="121" s="1"/>
  <c r="AP121" i="121"/>
  <c r="AL121" i="121"/>
  <c r="AH121" i="121"/>
  <c r="AD121" i="121"/>
  <c r="Z121" i="121"/>
  <c r="V121" i="121"/>
  <c r="R121" i="121"/>
  <c r="N121" i="121"/>
  <c r="AO120" i="121"/>
  <c r="AP120" i="121" s="1"/>
  <c r="AK120" i="121"/>
  <c r="AL120" i="121" s="1"/>
  <c r="AG120" i="121"/>
  <c r="AH120" i="121" s="1"/>
  <c r="AC120" i="121"/>
  <c r="AD120" i="121" s="1"/>
  <c r="Y120" i="121"/>
  <c r="Z120" i="121" s="1"/>
  <c r="U120" i="121"/>
  <c r="V120" i="121" s="1"/>
  <c r="Q120" i="121"/>
  <c r="R120" i="121" s="1"/>
  <c r="M120" i="121"/>
  <c r="N120" i="121" s="1"/>
  <c r="AN119" i="121"/>
  <c r="AP119" i="121" s="1"/>
  <c r="AJ119" i="121"/>
  <c r="AL119" i="121" s="1"/>
  <c r="AF119" i="121"/>
  <c r="AH119" i="121" s="1"/>
  <c r="AB119" i="121"/>
  <c r="AD119" i="121" s="1"/>
  <c r="Z119" i="121"/>
  <c r="X119" i="121"/>
  <c r="V119" i="121"/>
  <c r="T119" i="121"/>
  <c r="R119" i="121"/>
  <c r="P119" i="121"/>
  <c r="L119" i="121"/>
  <c r="N119" i="121" s="1"/>
  <c r="AN118" i="121"/>
  <c r="AP118" i="121" s="1"/>
  <c r="AJ118" i="121"/>
  <c r="AL118" i="121" s="1"/>
  <c r="AF118" i="121"/>
  <c r="AH118" i="121" s="1"/>
  <c r="AB118" i="121"/>
  <c r="AD118" i="121" s="1"/>
  <c r="Z118" i="121"/>
  <c r="X118" i="121"/>
  <c r="T118" i="121"/>
  <c r="V118" i="121" s="1"/>
  <c r="P118" i="121"/>
  <c r="R118" i="121" s="1"/>
  <c r="L118" i="121"/>
  <c r="N118" i="121" s="1"/>
  <c r="AN117" i="121"/>
  <c r="AP117" i="121" s="1"/>
  <c r="AL117" i="121"/>
  <c r="AJ117" i="121"/>
  <c r="AF117" i="121"/>
  <c r="AH117" i="121" s="1"/>
  <c r="AD117" i="121"/>
  <c r="AB117" i="121"/>
  <c r="Z117" i="121"/>
  <c r="X117" i="121"/>
  <c r="V117" i="121"/>
  <c r="T117" i="121"/>
  <c r="P117" i="121"/>
  <c r="R117" i="121" s="1"/>
  <c r="L117" i="121"/>
  <c r="N117" i="121" s="1"/>
  <c r="AP116" i="121"/>
  <c r="AL116" i="121"/>
  <c r="AH116" i="121"/>
  <c r="AD116" i="121"/>
  <c r="Z116" i="121"/>
  <c r="V116" i="121"/>
  <c r="R116" i="121"/>
  <c r="N116" i="121"/>
  <c r="AP115" i="121"/>
  <c r="AL115" i="121"/>
  <c r="AH115" i="121"/>
  <c r="AD115" i="121"/>
  <c r="Z115" i="121"/>
  <c r="V115" i="121"/>
  <c r="R115" i="121"/>
  <c r="N115" i="121"/>
  <c r="AO114" i="121"/>
  <c r="AP114" i="121" s="1"/>
  <c r="AK114" i="121"/>
  <c r="AL114" i="121" s="1"/>
  <c r="AG114" i="121"/>
  <c r="AH114" i="121" s="1"/>
  <c r="AC114" i="121"/>
  <c r="AD114" i="121" s="1"/>
  <c r="Y114" i="121"/>
  <c r="Z114" i="121" s="1"/>
  <c r="U114" i="121"/>
  <c r="V114" i="121" s="1"/>
  <c r="Q114" i="121"/>
  <c r="R114" i="121" s="1"/>
  <c r="M114" i="121"/>
  <c r="N114" i="121" s="1"/>
  <c r="AP113" i="121"/>
  <c r="AL113" i="121"/>
  <c r="AH113" i="121"/>
  <c r="AD113" i="121"/>
  <c r="Z113" i="121"/>
  <c r="V113" i="121"/>
  <c r="R113" i="121"/>
  <c r="N113" i="121"/>
  <c r="AP112" i="121"/>
  <c r="AO112" i="121"/>
  <c r="AK112" i="121"/>
  <c r="AL112" i="121" s="1"/>
  <c r="AG112" i="121"/>
  <c r="AH112" i="121" s="1"/>
  <c r="AC112" i="121"/>
  <c r="AD112" i="121" s="1"/>
  <c r="Y112" i="121"/>
  <c r="Z112" i="121" s="1"/>
  <c r="U112" i="121"/>
  <c r="V112" i="121" s="1"/>
  <c r="Q112" i="121"/>
  <c r="R112" i="121" s="1"/>
  <c r="M112" i="121"/>
  <c r="N112" i="121" s="1"/>
  <c r="AP111" i="121"/>
  <c r="AL111" i="121"/>
  <c r="AH111" i="121"/>
  <c r="AD111" i="121"/>
  <c r="Z111" i="121"/>
  <c r="V111" i="121"/>
  <c r="R111" i="121"/>
  <c r="N111" i="121"/>
  <c r="AP110" i="121"/>
  <c r="AL110" i="121"/>
  <c r="AH110" i="121"/>
  <c r="AD110" i="121"/>
  <c r="Z110" i="121"/>
  <c r="V110" i="121"/>
  <c r="R110" i="121"/>
  <c r="N110" i="121"/>
  <c r="AP109" i="121"/>
  <c r="AL109" i="121"/>
  <c r="AH109" i="121"/>
  <c r="AD109" i="121"/>
  <c r="Z109" i="121"/>
  <c r="V109" i="121"/>
  <c r="R109" i="121"/>
  <c r="N109" i="121"/>
  <c r="AO108" i="121"/>
  <c r="AP108" i="121" s="1"/>
  <c r="AK108" i="121"/>
  <c r="AL108" i="121" s="1"/>
  <c r="AG108" i="121"/>
  <c r="AH108" i="121" s="1"/>
  <c r="AC108" i="121"/>
  <c r="AD108" i="121" s="1"/>
  <c r="Z108" i="121"/>
  <c r="Y108" i="121"/>
  <c r="U108" i="121"/>
  <c r="V108" i="121" s="1"/>
  <c r="Q108" i="121"/>
  <c r="R108" i="121" s="1"/>
  <c r="M108" i="121"/>
  <c r="N108" i="121" s="1"/>
  <c r="AP107" i="121"/>
  <c r="AN107" i="121"/>
  <c r="AL107" i="121"/>
  <c r="AJ107" i="121"/>
  <c r="AF107" i="121"/>
  <c r="AH107" i="121" s="1"/>
  <c r="AD107" i="121"/>
  <c r="AB107" i="121"/>
  <c r="Z107" i="121"/>
  <c r="X107" i="121"/>
  <c r="T107" i="121"/>
  <c r="V107" i="121" s="1"/>
  <c r="P107" i="121"/>
  <c r="R107" i="121" s="1"/>
  <c r="L107" i="121"/>
  <c r="N107" i="121" s="1"/>
  <c r="AN106" i="121"/>
  <c r="AP106" i="121" s="1"/>
  <c r="AL106" i="121"/>
  <c r="AJ106" i="121"/>
  <c r="AF106" i="121"/>
  <c r="AH106" i="121" s="1"/>
  <c r="AB106" i="121"/>
  <c r="AD106" i="121" s="1"/>
  <c r="Z106" i="121"/>
  <c r="X106" i="121"/>
  <c r="T106" i="121"/>
  <c r="V106" i="121" s="1"/>
  <c r="P106" i="121"/>
  <c r="R106" i="121" s="1"/>
  <c r="L106" i="121"/>
  <c r="N106" i="121" s="1"/>
  <c r="AP105" i="121"/>
  <c r="AO105" i="121"/>
  <c r="AK105" i="121"/>
  <c r="AL105" i="121" s="1"/>
  <c r="AG105" i="121"/>
  <c r="AH105" i="121" s="1"/>
  <c r="AC105" i="121"/>
  <c r="AD105" i="121" s="1"/>
  <c r="Y105" i="121"/>
  <c r="Z105" i="121" s="1"/>
  <c r="V105" i="121"/>
  <c r="U105" i="121"/>
  <c r="R105" i="121"/>
  <c r="Q105" i="121"/>
  <c r="M105" i="121"/>
  <c r="N105" i="121" s="1"/>
  <c r="AN104" i="121"/>
  <c r="AP104" i="121" s="1"/>
  <c r="AJ104" i="121"/>
  <c r="AL104" i="121" s="1"/>
  <c r="AF104" i="121"/>
  <c r="AH104" i="121" s="1"/>
  <c r="AB104" i="121"/>
  <c r="AD104" i="121" s="1"/>
  <c r="Z104" i="121"/>
  <c r="X104" i="121"/>
  <c r="T104" i="121"/>
  <c r="V104" i="121" s="1"/>
  <c r="P104" i="121"/>
  <c r="R104" i="121" s="1"/>
  <c r="L104" i="121"/>
  <c r="N104" i="121" s="1"/>
  <c r="AN103" i="121"/>
  <c r="AP103" i="121" s="1"/>
  <c r="AJ103" i="121"/>
  <c r="AL103" i="121" s="1"/>
  <c r="AF103" i="121"/>
  <c r="AH103" i="121" s="1"/>
  <c r="AD103" i="121"/>
  <c r="AB103" i="121"/>
  <c r="Z103" i="121"/>
  <c r="X103" i="121"/>
  <c r="T103" i="121"/>
  <c r="V103" i="121" s="1"/>
  <c r="P103" i="121"/>
  <c r="R103" i="121" s="1"/>
  <c r="L103" i="121"/>
  <c r="N103" i="121" s="1"/>
  <c r="AN102" i="121"/>
  <c r="AP102" i="121" s="1"/>
  <c r="AJ102" i="121"/>
  <c r="AL102" i="121" s="1"/>
  <c r="AF102" i="121"/>
  <c r="AH102" i="121" s="1"/>
  <c r="AB102" i="121"/>
  <c r="AD102" i="121" s="1"/>
  <c r="Z102" i="121"/>
  <c r="X102" i="121"/>
  <c r="T102" i="121"/>
  <c r="V102" i="121" s="1"/>
  <c r="P102" i="121"/>
  <c r="R102" i="121" s="1"/>
  <c r="L102" i="121"/>
  <c r="N102" i="121" s="1"/>
  <c r="AP101" i="121"/>
  <c r="AN101" i="121"/>
  <c r="AL101" i="121"/>
  <c r="AJ101" i="121"/>
  <c r="AF101" i="121"/>
  <c r="AH101" i="121" s="1"/>
  <c r="AB101" i="121"/>
  <c r="AD101" i="121" s="1"/>
  <c r="Z101" i="121"/>
  <c r="X101" i="121"/>
  <c r="V101" i="121"/>
  <c r="T101" i="121"/>
  <c r="P101" i="121"/>
  <c r="R101" i="121" s="1"/>
  <c r="L101" i="121"/>
  <c r="N101" i="121" s="1"/>
  <c r="AN100" i="121"/>
  <c r="AP100" i="121" s="1"/>
  <c r="AJ100" i="121"/>
  <c r="AL100" i="121" s="1"/>
  <c r="AF100" i="121"/>
  <c r="AH100" i="121" s="1"/>
  <c r="AB100" i="121"/>
  <c r="AD100" i="121" s="1"/>
  <c r="Z100" i="121"/>
  <c r="X100" i="121"/>
  <c r="T100" i="121"/>
  <c r="V100" i="121" s="1"/>
  <c r="P100" i="121"/>
  <c r="R100" i="121" s="1"/>
  <c r="L100" i="121"/>
  <c r="N100" i="121" s="1"/>
  <c r="AP99" i="121"/>
  <c r="AL99" i="121"/>
  <c r="AH99" i="121"/>
  <c r="AD99" i="121"/>
  <c r="Z99" i="121"/>
  <c r="V99" i="121"/>
  <c r="R99" i="121"/>
  <c r="N99" i="121"/>
  <c r="AN98" i="121"/>
  <c r="AP98" i="121" s="1"/>
  <c r="AJ98" i="121"/>
  <c r="AL98" i="121" s="1"/>
  <c r="AF98" i="121"/>
  <c r="AH98" i="121" s="1"/>
  <c r="AB98" i="121"/>
  <c r="AD98" i="121" s="1"/>
  <c r="Z98" i="121"/>
  <c r="X98" i="121"/>
  <c r="T98" i="121"/>
  <c r="V98" i="121" s="1"/>
  <c r="P98" i="121"/>
  <c r="R98" i="121" s="1"/>
  <c r="L98" i="121"/>
  <c r="N98" i="121" s="1"/>
  <c r="AN97" i="121"/>
  <c r="AP97" i="121" s="1"/>
  <c r="AJ97" i="121"/>
  <c r="AL97" i="121" s="1"/>
  <c r="AH97" i="121"/>
  <c r="AF97" i="121"/>
  <c r="AB97" i="121"/>
  <c r="AD97" i="121" s="1"/>
  <c r="Z97" i="121"/>
  <c r="X97" i="121"/>
  <c r="T97" i="121"/>
  <c r="V97" i="121" s="1"/>
  <c r="P97" i="121"/>
  <c r="R97" i="121" s="1"/>
  <c r="N97" i="121"/>
  <c r="L97" i="121"/>
  <c r="AP96" i="121"/>
  <c r="AL96" i="121"/>
  <c r="AH96" i="121"/>
  <c r="AD96" i="121"/>
  <c r="Z96" i="121"/>
  <c r="V96" i="121"/>
  <c r="R96" i="121"/>
  <c r="N96" i="121"/>
  <c r="AQ96" i="121" s="1"/>
  <c r="AP95" i="121"/>
  <c r="AL95" i="121"/>
  <c r="AH95" i="121"/>
  <c r="AD95" i="121"/>
  <c r="Z95" i="121"/>
  <c r="V95" i="121"/>
  <c r="R95" i="121"/>
  <c r="N95" i="121"/>
  <c r="AO94" i="121"/>
  <c r="AP94" i="121" s="1"/>
  <c r="AK94" i="121"/>
  <c r="AL94" i="121" s="1"/>
  <c r="AG94" i="121"/>
  <c r="AH94" i="121" s="1"/>
  <c r="AC94" i="121"/>
  <c r="AD94" i="121" s="1"/>
  <c r="Y94" i="121"/>
  <c r="Z94" i="121" s="1"/>
  <c r="U94" i="121"/>
  <c r="V94" i="121" s="1"/>
  <c r="Q94" i="121"/>
  <c r="R94" i="121" s="1"/>
  <c r="M94" i="121"/>
  <c r="N94" i="121" s="1"/>
  <c r="AO93" i="121"/>
  <c r="AP93" i="121" s="1"/>
  <c r="AL93" i="121"/>
  <c r="AK93" i="121"/>
  <c r="AG93" i="121"/>
  <c r="AH93" i="121" s="1"/>
  <c r="AC93" i="121"/>
  <c r="AD93" i="121" s="1"/>
  <c r="Z93" i="121"/>
  <c r="Y93" i="121"/>
  <c r="V93" i="121"/>
  <c r="U93" i="121"/>
  <c r="Q93" i="121"/>
  <c r="R93" i="121" s="1"/>
  <c r="N93" i="121"/>
  <c r="M93" i="121"/>
  <c r="AP92" i="121"/>
  <c r="AO92" i="121"/>
  <c r="AK92" i="121"/>
  <c r="AL92" i="121" s="1"/>
  <c r="AG92" i="121"/>
  <c r="AH92" i="121" s="1"/>
  <c r="AC92" i="121"/>
  <c r="AD92" i="121" s="1"/>
  <c r="Y92" i="121"/>
  <c r="Z92" i="121" s="1"/>
  <c r="U92" i="121"/>
  <c r="V92" i="121" s="1"/>
  <c r="Q92" i="121"/>
  <c r="R92" i="121" s="1"/>
  <c r="M92" i="121"/>
  <c r="N92" i="121" s="1"/>
  <c r="AN91" i="121"/>
  <c r="AP91" i="121" s="1"/>
  <c r="AJ91" i="121"/>
  <c r="AL91" i="121" s="1"/>
  <c r="AF91" i="121"/>
  <c r="AH91" i="121" s="1"/>
  <c r="AB91" i="121"/>
  <c r="AD91" i="121" s="1"/>
  <c r="Z91" i="121"/>
  <c r="X91" i="121"/>
  <c r="T91" i="121"/>
  <c r="V91" i="121" s="1"/>
  <c r="R91" i="121"/>
  <c r="P91" i="121"/>
  <c r="N91" i="121"/>
  <c r="L91" i="121"/>
  <c r="AP90" i="121"/>
  <c r="AL90" i="121"/>
  <c r="AH90" i="121"/>
  <c r="AD90" i="121"/>
  <c r="Z90" i="121"/>
  <c r="V90" i="121"/>
  <c r="R90" i="121"/>
  <c r="N90" i="121"/>
  <c r="AQ90" i="121" s="1"/>
  <c r="AP89" i="121"/>
  <c r="AL89" i="121"/>
  <c r="AH89" i="121"/>
  <c r="AD89" i="121"/>
  <c r="Z89" i="121"/>
  <c r="V89" i="121"/>
  <c r="R89" i="121"/>
  <c r="N89" i="121"/>
  <c r="AP88" i="121"/>
  <c r="AL88" i="121"/>
  <c r="AH88" i="121"/>
  <c r="AD88" i="121"/>
  <c r="Z88" i="121"/>
  <c r="V88" i="121"/>
  <c r="R88" i="121"/>
  <c r="N88" i="121"/>
  <c r="AP87" i="121"/>
  <c r="AL87" i="121"/>
  <c r="AH87" i="121"/>
  <c r="AD87" i="121"/>
  <c r="Z87" i="121"/>
  <c r="AQ87" i="121" s="1"/>
  <c r="V87" i="121"/>
  <c r="R87" i="121"/>
  <c r="N87" i="121"/>
  <c r="AP86" i="121"/>
  <c r="AL86" i="121"/>
  <c r="AH86" i="121"/>
  <c r="AD86" i="121"/>
  <c r="Z86" i="121"/>
  <c r="V86" i="121"/>
  <c r="R86" i="121"/>
  <c r="N86" i="121"/>
  <c r="AP85" i="121"/>
  <c r="AL85" i="121"/>
  <c r="AH85" i="121"/>
  <c r="AD85" i="121"/>
  <c r="Z85" i="121"/>
  <c r="V85" i="121"/>
  <c r="R85" i="121"/>
  <c r="N85" i="121"/>
  <c r="AP84" i="121"/>
  <c r="AL84" i="121"/>
  <c r="AH84" i="121"/>
  <c r="AD84" i="121"/>
  <c r="Z84" i="121"/>
  <c r="V84" i="121"/>
  <c r="R84" i="121"/>
  <c r="N84" i="121"/>
  <c r="AP83" i="121"/>
  <c r="AL83" i="121"/>
  <c r="AH83" i="121"/>
  <c r="AD83" i="121"/>
  <c r="Z83" i="121"/>
  <c r="V83" i="121"/>
  <c r="R83" i="121"/>
  <c r="N83" i="121"/>
  <c r="AQ83" i="121" s="1"/>
  <c r="AN82" i="121"/>
  <c r="AP82" i="121" s="1"/>
  <c r="AJ82" i="121"/>
  <c r="AL82" i="121" s="1"/>
  <c r="AF82" i="121"/>
  <c r="AH82" i="121" s="1"/>
  <c r="AB82" i="121"/>
  <c r="AD82" i="121" s="1"/>
  <c r="Z82" i="121"/>
  <c r="X82" i="121"/>
  <c r="T82" i="121"/>
  <c r="V82" i="121" s="1"/>
  <c r="P82" i="121"/>
  <c r="R82" i="121" s="1"/>
  <c r="N82" i="121"/>
  <c r="L82" i="121"/>
  <c r="AP81" i="121"/>
  <c r="AL81" i="121"/>
  <c r="AH81" i="121"/>
  <c r="AD81" i="121"/>
  <c r="Z81" i="121"/>
  <c r="V81" i="121"/>
  <c r="R81" i="121"/>
  <c r="N81" i="121"/>
  <c r="AN80" i="121"/>
  <c r="AP80" i="121" s="1"/>
  <c r="AJ80" i="121"/>
  <c r="AL80" i="121" s="1"/>
  <c r="AF80" i="121"/>
  <c r="AH80" i="121" s="1"/>
  <c r="AB80" i="121"/>
  <c r="AD80" i="121" s="1"/>
  <c r="Z80" i="121"/>
  <c r="X80" i="121"/>
  <c r="T80" i="121"/>
  <c r="V80" i="121" s="1"/>
  <c r="P80" i="121"/>
  <c r="R80" i="121" s="1"/>
  <c r="L80" i="121"/>
  <c r="N80" i="121" s="1"/>
  <c r="AP79" i="121"/>
  <c r="AL79" i="121"/>
  <c r="AH79" i="121"/>
  <c r="AD79" i="121"/>
  <c r="Z79" i="121"/>
  <c r="V79" i="121"/>
  <c r="R79" i="121"/>
  <c r="N79" i="121"/>
  <c r="AN78" i="121"/>
  <c r="AP78" i="121" s="1"/>
  <c r="AJ78" i="121"/>
  <c r="AL78" i="121" s="1"/>
  <c r="AF78" i="121"/>
  <c r="AH78" i="121" s="1"/>
  <c r="AB78" i="121"/>
  <c r="Z78" i="121"/>
  <c r="X78" i="121"/>
  <c r="T78" i="121"/>
  <c r="V78" i="121" s="1"/>
  <c r="P78" i="121"/>
  <c r="R78" i="121" s="1"/>
  <c r="L78" i="121"/>
  <c r="N78" i="121" s="1"/>
  <c r="AP77" i="121"/>
  <c r="AL77" i="121"/>
  <c r="AH77" i="121"/>
  <c r="AD77" i="121"/>
  <c r="Z77" i="121"/>
  <c r="V77" i="121"/>
  <c r="R77" i="121"/>
  <c r="N77" i="121"/>
  <c r="AP76" i="121"/>
  <c r="AL76" i="121"/>
  <c r="AH76" i="121"/>
  <c r="AD76" i="121"/>
  <c r="Z76" i="121"/>
  <c r="V76" i="121"/>
  <c r="R76" i="121"/>
  <c r="N76" i="121"/>
  <c r="AP75" i="121"/>
  <c r="AL75" i="121"/>
  <c r="AH75" i="121"/>
  <c r="AD75" i="121"/>
  <c r="Z75" i="121"/>
  <c r="V75" i="121"/>
  <c r="R75" i="121"/>
  <c r="N75" i="121"/>
  <c r="AP74" i="121"/>
  <c r="AL74" i="121"/>
  <c r="AH74" i="121"/>
  <c r="AD74" i="121"/>
  <c r="Z74" i="121"/>
  <c r="V74" i="121"/>
  <c r="R74" i="121"/>
  <c r="N74" i="121"/>
  <c r="AP73" i="121"/>
  <c r="AL73" i="121"/>
  <c r="AH73" i="121"/>
  <c r="AD73" i="121"/>
  <c r="Z73" i="121"/>
  <c r="V73" i="121"/>
  <c r="R73" i="121"/>
  <c r="N73" i="121"/>
  <c r="AO72" i="121"/>
  <c r="AP72" i="121" s="1"/>
  <c r="AK72" i="121"/>
  <c r="AL72" i="121" s="1"/>
  <c r="AG72" i="121"/>
  <c r="AH72" i="121" s="1"/>
  <c r="AC72" i="121"/>
  <c r="AD72" i="121" s="1"/>
  <c r="Z72" i="121"/>
  <c r="Y72" i="121"/>
  <c r="U72" i="121"/>
  <c r="V72" i="121" s="1"/>
  <c r="Q72" i="121"/>
  <c r="R72" i="121" s="1"/>
  <c r="M72" i="121"/>
  <c r="N72" i="121" s="1"/>
  <c r="AP71" i="121"/>
  <c r="AL71" i="121"/>
  <c r="AH71" i="121"/>
  <c r="AD71" i="121"/>
  <c r="Z71" i="121"/>
  <c r="V71" i="121"/>
  <c r="R71" i="121"/>
  <c r="N71" i="121"/>
  <c r="AQ71" i="121" s="1"/>
  <c r="AO70" i="121"/>
  <c r="AP70" i="121" s="1"/>
  <c r="AK70" i="121"/>
  <c r="AL70" i="121" s="1"/>
  <c r="AG70" i="121"/>
  <c r="AH70" i="121" s="1"/>
  <c r="AC70" i="121"/>
  <c r="AD70" i="121" s="1"/>
  <c r="Y70" i="121"/>
  <c r="Z70" i="121" s="1"/>
  <c r="U70" i="121"/>
  <c r="V70" i="121" s="1"/>
  <c r="Q70" i="121"/>
  <c r="R70" i="121" s="1"/>
  <c r="M70" i="121"/>
  <c r="N70" i="121" s="1"/>
  <c r="AP69" i="121"/>
  <c r="AL69" i="121"/>
  <c r="AH69" i="121"/>
  <c r="AD69" i="121"/>
  <c r="Z69" i="121"/>
  <c r="V69" i="121"/>
  <c r="R69" i="121"/>
  <c r="N69" i="121"/>
  <c r="AN68" i="121"/>
  <c r="AP68" i="121" s="1"/>
  <c r="AJ68" i="121"/>
  <c r="AL68" i="121" s="1"/>
  <c r="AF68" i="121"/>
  <c r="AH68" i="121" s="1"/>
  <c r="AB68" i="121"/>
  <c r="AD68" i="121" s="1"/>
  <c r="Z68" i="121"/>
  <c r="X68" i="121"/>
  <c r="T68" i="121"/>
  <c r="V68" i="121" s="1"/>
  <c r="P68" i="121"/>
  <c r="R68" i="121" s="1"/>
  <c r="L68" i="121"/>
  <c r="N68" i="121" s="1"/>
  <c r="AP67" i="121"/>
  <c r="AL67" i="121"/>
  <c r="AH67" i="121"/>
  <c r="AD67" i="121"/>
  <c r="Z67" i="121"/>
  <c r="V67" i="121"/>
  <c r="R67" i="121"/>
  <c r="N67" i="121"/>
  <c r="AO66" i="121"/>
  <c r="AP66" i="121" s="1"/>
  <c r="AL66" i="121"/>
  <c r="AK66" i="121"/>
  <c r="AG66" i="121"/>
  <c r="AH66" i="121" s="1"/>
  <c r="AC66" i="121"/>
  <c r="AD66" i="121" s="1"/>
  <c r="Y66" i="121"/>
  <c r="Z66" i="121" s="1"/>
  <c r="U66" i="121"/>
  <c r="V66" i="121" s="1"/>
  <c r="Q66" i="121"/>
  <c r="R66" i="121" s="1"/>
  <c r="M66" i="121"/>
  <c r="N66" i="121" s="1"/>
  <c r="AP65" i="121"/>
  <c r="AN65" i="121"/>
  <c r="AL65" i="121"/>
  <c r="AJ65" i="121"/>
  <c r="AF65" i="121"/>
  <c r="AH65" i="121" s="1"/>
  <c r="AD65" i="121"/>
  <c r="AB65" i="121"/>
  <c r="Z65" i="121"/>
  <c r="X65" i="121"/>
  <c r="T65" i="121"/>
  <c r="V65" i="121" s="1"/>
  <c r="P65" i="121"/>
  <c r="R65" i="121" s="1"/>
  <c r="L65" i="121"/>
  <c r="N65" i="121" s="1"/>
  <c r="AO64" i="121"/>
  <c r="AP64" i="121" s="1"/>
  <c r="AK64" i="121"/>
  <c r="AG64" i="121"/>
  <c r="AH64" i="121" s="1"/>
  <c r="AC64" i="121"/>
  <c r="AD64" i="121" s="1"/>
  <c r="Y64" i="121"/>
  <c r="Z64" i="121" s="1"/>
  <c r="U64" i="121"/>
  <c r="V64" i="121" s="1"/>
  <c r="Q64" i="121"/>
  <c r="R64" i="121" s="1"/>
  <c r="M64" i="121"/>
  <c r="N64" i="121" s="1"/>
  <c r="AO63" i="121"/>
  <c r="AP63" i="121" s="1"/>
  <c r="AL63" i="121"/>
  <c r="AK63" i="121"/>
  <c r="AH63" i="121"/>
  <c r="AG63" i="121"/>
  <c r="AC63" i="121"/>
  <c r="AD63" i="121" s="1"/>
  <c r="Z63" i="121"/>
  <c r="Y63" i="121"/>
  <c r="U63" i="121"/>
  <c r="V63" i="121" s="1"/>
  <c r="Q63" i="121"/>
  <c r="R63" i="121" s="1"/>
  <c r="M63" i="121"/>
  <c r="N63" i="121" s="1"/>
  <c r="AN62" i="121"/>
  <c r="AP62" i="121" s="1"/>
  <c r="AJ62" i="121"/>
  <c r="AL62" i="121" s="1"/>
  <c r="AF62" i="121"/>
  <c r="AH62" i="121" s="1"/>
  <c r="AB62" i="121"/>
  <c r="AD62" i="121" s="1"/>
  <c r="Z62" i="121"/>
  <c r="X62" i="121"/>
  <c r="T62" i="121"/>
  <c r="V62" i="121" s="1"/>
  <c r="P62" i="121"/>
  <c r="R62" i="121" s="1"/>
  <c r="N62" i="121"/>
  <c r="L62" i="121"/>
  <c r="AN61" i="121"/>
  <c r="AP61" i="121" s="1"/>
  <c r="AL61" i="121"/>
  <c r="AJ61" i="121"/>
  <c r="AF61" i="121"/>
  <c r="AH61" i="121" s="1"/>
  <c r="AB61" i="121"/>
  <c r="AD61" i="121" s="1"/>
  <c r="Z61" i="121"/>
  <c r="X61" i="121"/>
  <c r="T61" i="121"/>
  <c r="V61" i="121" s="1"/>
  <c r="R61" i="121"/>
  <c r="P61" i="121"/>
  <c r="N61" i="121"/>
  <c r="L61" i="121"/>
  <c r="AN60" i="121"/>
  <c r="AP60" i="121" s="1"/>
  <c r="AJ60" i="121"/>
  <c r="AL60" i="121" s="1"/>
  <c r="AF60" i="121"/>
  <c r="AH60" i="121" s="1"/>
  <c r="AB60" i="121"/>
  <c r="AD60" i="121" s="1"/>
  <c r="Z60" i="121"/>
  <c r="X60" i="121"/>
  <c r="T60" i="121"/>
  <c r="V60" i="121" s="1"/>
  <c r="P60" i="121"/>
  <c r="R60" i="121" s="1"/>
  <c r="L60" i="121"/>
  <c r="N60" i="121" s="1"/>
  <c r="AP59" i="121"/>
  <c r="AL59" i="121"/>
  <c r="AH59" i="121"/>
  <c r="AD59" i="121"/>
  <c r="Z59" i="121"/>
  <c r="V59" i="121"/>
  <c r="R59" i="121"/>
  <c r="N59" i="121"/>
  <c r="AO58" i="121"/>
  <c r="AP58" i="121" s="1"/>
  <c r="AK58" i="121"/>
  <c r="AL58" i="121" s="1"/>
  <c r="AG58" i="121"/>
  <c r="AH58" i="121" s="1"/>
  <c r="AC58" i="121"/>
  <c r="AD58" i="121" s="1"/>
  <c r="Y58" i="121"/>
  <c r="Z58" i="121" s="1"/>
  <c r="U58" i="121"/>
  <c r="V58" i="121" s="1"/>
  <c r="Q58" i="121"/>
  <c r="R58" i="121" s="1"/>
  <c r="M58" i="121"/>
  <c r="N58" i="121" s="1"/>
  <c r="AP57" i="121"/>
  <c r="AN57" i="121"/>
  <c r="AJ57" i="121"/>
  <c r="AL57" i="121" s="1"/>
  <c r="AF57" i="121"/>
  <c r="AH57" i="121" s="1"/>
  <c r="AB57" i="121"/>
  <c r="AD57" i="121" s="1"/>
  <c r="Z57" i="121"/>
  <c r="X57" i="121"/>
  <c r="V57" i="121"/>
  <c r="T57" i="121"/>
  <c r="R57" i="121"/>
  <c r="P57" i="121"/>
  <c r="L57" i="121"/>
  <c r="N57" i="121" s="1"/>
  <c r="AQ57" i="121" s="1"/>
  <c r="AP56" i="121"/>
  <c r="AL56" i="121"/>
  <c r="AH56" i="121"/>
  <c r="AD56" i="121"/>
  <c r="Z56" i="121"/>
  <c r="V56" i="121"/>
  <c r="R56" i="121"/>
  <c r="N56" i="121"/>
  <c r="AN55" i="121"/>
  <c r="AP55" i="121" s="1"/>
  <c r="AJ55" i="121"/>
  <c r="AL55" i="121" s="1"/>
  <c r="AF55" i="121"/>
  <c r="AH55" i="121" s="1"/>
  <c r="AD55" i="121"/>
  <c r="AB55" i="121"/>
  <c r="Z55" i="121"/>
  <c r="X55" i="121"/>
  <c r="T55" i="121"/>
  <c r="V55" i="121" s="1"/>
  <c r="R55" i="121"/>
  <c r="P55" i="121"/>
  <c r="N55" i="121"/>
  <c r="L55" i="121"/>
  <c r="AN54" i="121"/>
  <c r="AP54" i="121" s="1"/>
  <c r="AL54" i="121"/>
  <c r="AJ54" i="121"/>
  <c r="AF54" i="121"/>
  <c r="AH54" i="121" s="1"/>
  <c r="AB54" i="121"/>
  <c r="AD54" i="121" s="1"/>
  <c r="Z54" i="121"/>
  <c r="X54" i="121"/>
  <c r="T54" i="121"/>
  <c r="V54" i="121" s="1"/>
  <c r="P54" i="121"/>
  <c r="R54" i="121" s="1"/>
  <c r="L54" i="121"/>
  <c r="N54" i="121" s="1"/>
  <c r="AP53" i="121"/>
  <c r="AN53" i="121"/>
  <c r="AL53" i="121"/>
  <c r="AJ53" i="121"/>
  <c r="AF53" i="121"/>
  <c r="AH53" i="121" s="1"/>
  <c r="AD53" i="121"/>
  <c r="AB53" i="121"/>
  <c r="Z53" i="121"/>
  <c r="X53" i="121"/>
  <c r="T53" i="121"/>
  <c r="V53" i="121" s="1"/>
  <c r="R53" i="121"/>
  <c r="P53" i="121"/>
  <c r="L53" i="121"/>
  <c r="N53" i="121" s="1"/>
  <c r="AP52" i="121"/>
  <c r="AN52" i="121"/>
  <c r="AJ52" i="121"/>
  <c r="AL52" i="121" s="1"/>
  <c r="AF52" i="121"/>
  <c r="AH52" i="121" s="1"/>
  <c r="AB52" i="121"/>
  <c r="AD52" i="121" s="1"/>
  <c r="Z52" i="121"/>
  <c r="X52" i="121"/>
  <c r="T52" i="121"/>
  <c r="V52" i="121" s="1"/>
  <c r="P52" i="121"/>
  <c r="R52" i="121" s="1"/>
  <c r="L52" i="121"/>
  <c r="N52" i="121" s="1"/>
  <c r="AP51" i="121"/>
  <c r="AN51" i="121"/>
  <c r="AJ51" i="121"/>
  <c r="AL51" i="121" s="1"/>
  <c r="AF51" i="121"/>
  <c r="AH51" i="121" s="1"/>
  <c r="AD51" i="121"/>
  <c r="AB51" i="121"/>
  <c r="Z51" i="121"/>
  <c r="X51" i="121"/>
  <c r="T51" i="121"/>
  <c r="V51" i="121" s="1"/>
  <c r="R51" i="121"/>
  <c r="P51" i="121"/>
  <c r="N51" i="121"/>
  <c r="L51" i="121"/>
  <c r="AN50" i="121"/>
  <c r="AP50" i="121" s="1"/>
  <c r="AJ50" i="121"/>
  <c r="AL50" i="121" s="1"/>
  <c r="AF50" i="121"/>
  <c r="AH50" i="121" s="1"/>
  <c r="AD50" i="121"/>
  <c r="AB50" i="121"/>
  <c r="Z50" i="121"/>
  <c r="X50" i="121"/>
  <c r="T50" i="121"/>
  <c r="V50" i="121" s="1"/>
  <c r="P50" i="121"/>
  <c r="R50" i="121" s="1"/>
  <c r="L50" i="121"/>
  <c r="N50" i="121" s="1"/>
  <c r="AP49" i="121"/>
  <c r="AN49" i="121"/>
  <c r="AJ49" i="121"/>
  <c r="AL49" i="121" s="1"/>
  <c r="AF49" i="121"/>
  <c r="AH49" i="121" s="1"/>
  <c r="AB49" i="121"/>
  <c r="AD49" i="121" s="1"/>
  <c r="Z49" i="121"/>
  <c r="X49" i="121"/>
  <c r="V49" i="121"/>
  <c r="T49" i="121"/>
  <c r="R49" i="121"/>
  <c r="P49" i="121"/>
  <c r="L49" i="121"/>
  <c r="N49" i="121" s="1"/>
  <c r="AN48" i="121"/>
  <c r="AP48" i="121" s="1"/>
  <c r="AJ48" i="121"/>
  <c r="AL48" i="121" s="1"/>
  <c r="AF48" i="121"/>
  <c r="AH48" i="121" s="1"/>
  <c r="AB48" i="121"/>
  <c r="AD48" i="121" s="1"/>
  <c r="Z48" i="121"/>
  <c r="X48" i="121"/>
  <c r="T48" i="121"/>
  <c r="V48" i="121" s="1"/>
  <c r="P48" i="121"/>
  <c r="R48" i="121" s="1"/>
  <c r="L48" i="121"/>
  <c r="N48" i="121" s="1"/>
  <c r="AP47" i="121"/>
  <c r="AO47" i="121"/>
  <c r="AK47" i="121"/>
  <c r="AL47" i="121" s="1"/>
  <c r="AH47" i="121"/>
  <c r="AG47" i="121"/>
  <c r="AD47" i="121"/>
  <c r="AC47" i="121"/>
  <c r="Y47" i="121"/>
  <c r="Z47" i="121" s="1"/>
  <c r="U47" i="121"/>
  <c r="V47" i="121" s="1"/>
  <c r="Q47" i="121"/>
  <c r="R47" i="121" s="1"/>
  <c r="M47" i="121"/>
  <c r="N47" i="121" s="1"/>
  <c r="AN46" i="121"/>
  <c r="AP46" i="121" s="1"/>
  <c r="AJ46" i="121"/>
  <c r="AL46" i="121" s="1"/>
  <c r="AF46" i="121"/>
  <c r="AH46" i="121" s="1"/>
  <c r="AB46" i="121"/>
  <c r="AD46" i="121" s="1"/>
  <c r="Z46" i="121"/>
  <c r="X46" i="121"/>
  <c r="T46" i="121"/>
  <c r="V46" i="121" s="1"/>
  <c r="P46" i="121"/>
  <c r="R46" i="121" s="1"/>
  <c r="L46" i="121"/>
  <c r="N46" i="121" s="1"/>
  <c r="AN45" i="121"/>
  <c r="AP45" i="121" s="1"/>
  <c r="AL45" i="121"/>
  <c r="AJ45" i="121"/>
  <c r="AF45" i="121"/>
  <c r="AH45" i="121" s="1"/>
  <c r="AB45" i="121"/>
  <c r="AD45" i="121" s="1"/>
  <c r="Z45" i="121"/>
  <c r="X45" i="121"/>
  <c r="V45" i="121"/>
  <c r="T45" i="121"/>
  <c r="P45" i="121"/>
  <c r="R45" i="121" s="1"/>
  <c r="L45" i="121"/>
  <c r="N45" i="121" s="1"/>
  <c r="AQ45" i="121" s="1"/>
  <c r="AO44" i="121"/>
  <c r="AP44" i="121" s="1"/>
  <c r="AK44" i="121"/>
  <c r="AL44" i="121" s="1"/>
  <c r="AG44" i="121"/>
  <c r="AH44" i="121" s="1"/>
  <c r="AC44" i="121"/>
  <c r="AD44" i="121" s="1"/>
  <c r="Y44" i="121"/>
  <c r="Z44" i="121" s="1"/>
  <c r="U44" i="121"/>
  <c r="V44" i="121" s="1"/>
  <c r="R44" i="121"/>
  <c r="Q44" i="121"/>
  <c r="M44" i="121"/>
  <c r="N44" i="121" s="1"/>
  <c r="AP43" i="121"/>
  <c r="AO43" i="121"/>
  <c r="AL43" i="121"/>
  <c r="AK43" i="121"/>
  <c r="AG43" i="121"/>
  <c r="AH43" i="121" s="1"/>
  <c r="AC43" i="121"/>
  <c r="AD43" i="121" s="1"/>
  <c r="Y43" i="121"/>
  <c r="Z43" i="121" s="1"/>
  <c r="U43" i="121"/>
  <c r="V43" i="121" s="1"/>
  <c r="Q43" i="121"/>
  <c r="R43" i="121" s="1"/>
  <c r="M43" i="121"/>
  <c r="N43" i="121" s="1"/>
  <c r="AP42" i="121"/>
  <c r="AL42" i="121"/>
  <c r="AH42" i="121"/>
  <c r="AD42" i="121"/>
  <c r="Z42" i="121"/>
  <c r="V42" i="121"/>
  <c r="R42" i="121"/>
  <c r="N42" i="121"/>
  <c r="AO41" i="121"/>
  <c r="AP41" i="121" s="1"/>
  <c r="AK41" i="121"/>
  <c r="AL41" i="121" s="1"/>
  <c r="AH41" i="121"/>
  <c r="AG41" i="121"/>
  <c r="AC41" i="121"/>
  <c r="AD41" i="121" s="1"/>
  <c r="Y41" i="121"/>
  <c r="Z41" i="121" s="1"/>
  <c r="V41" i="121"/>
  <c r="U41" i="121"/>
  <c r="R41" i="121"/>
  <c r="Q41" i="121"/>
  <c r="M41" i="121"/>
  <c r="N41" i="121" s="1"/>
  <c r="AN40" i="121"/>
  <c r="AP40" i="121" s="1"/>
  <c r="AJ40" i="121"/>
  <c r="AL40" i="121" s="1"/>
  <c r="AF40" i="121"/>
  <c r="AH40" i="121" s="1"/>
  <c r="AB40" i="121"/>
  <c r="AD40" i="121" s="1"/>
  <c r="Z40" i="121"/>
  <c r="X40" i="121"/>
  <c r="T40" i="121"/>
  <c r="V40" i="121" s="1"/>
  <c r="P40" i="121"/>
  <c r="R40" i="121" s="1"/>
  <c r="L40" i="121"/>
  <c r="N40" i="121" s="1"/>
  <c r="AP39" i="121"/>
  <c r="AN39" i="121"/>
  <c r="AJ39" i="121"/>
  <c r="AL39" i="121" s="1"/>
  <c r="AH39" i="121"/>
  <c r="AF39" i="121"/>
  <c r="AB39" i="121"/>
  <c r="AD39" i="121" s="1"/>
  <c r="Z39" i="121"/>
  <c r="X39" i="121"/>
  <c r="V39" i="121"/>
  <c r="T39" i="121"/>
  <c r="R39" i="121"/>
  <c r="P39" i="121"/>
  <c r="L39" i="121"/>
  <c r="N39" i="121" s="1"/>
  <c r="AN38" i="121"/>
  <c r="AP38" i="121" s="1"/>
  <c r="AJ38" i="121"/>
  <c r="AL38" i="121" s="1"/>
  <c r="AF38" i="121"/>
  <c r="AH38" i="121" s="1"/>
  <c r="AB38" i="121"/>
  <c r="AD38" i="121" s="1"/>
  <c r="Z38" i="121"/>
  <c r="X38" i="121"/>
  <c r="T38" i="121"/>
  <c r="V38" i="121" s="1"/>
  <c r="P38" i="121"/>
  <c r="R38" i="121" s="1"/>
  <c r="L38" i="121"/>
  <c r="N38" i="121" s="1"/>
  <c r="AP37" i="121"/>
  <c r="AL37" i="121"/>
  <c r="AH37" i="121"/>
  <c r="AD37" i="121"/>
  <c r="Z37" i="121"/>
  <c r="V37" i="121"/>
  <c r="R37" i="121"/>
  <c r="N37" i="121"/>
  <c r="AP36" i="121"/>
  <c r="AL36" i="121"/>
  <c r="AH36" i="121"/>
  <c r="AD36" i="121"/>
  <c r="Z36" i="121"/>
  <c r="V36" i="121"/>
  <c r="R36" i="121"/>
  <c r="N36" i="121"/>
  <c r="AQ36" i="121" s="1"/>
  <c r="AP35" i="121"/>
  <c r="AO35" i="121"/>
  <c r="AK35" i="121"/>
  <c r="AL35" i="121" s="1"/>
  <c r="AG35" i="121"/>
  <c r="AH35" i="121" s="1"/>
  <c r="AC35" i="121"/>
  <c r="AD35" i="121" s="1"/>
  <c r="Y35" i="121"/>
  <c r="Z35" i="121" s="1"/>
  <c r="V35" i="121"/>
  <c r="U35" i="121"/>
  <c r="R35" i="121"/>
  <c r="Q35" i="121"/>
  <c r="M35" i="121"/>
  <c r="N35" i="121" s="1"/>
  <c r="AP34" i="121"/>
  <c r="AL34" i="121"/>
  <c r="AH34" i="121"/>
  <c r="AD34" i="121"/>
  <c r="Z34" i="121"/>
  <c r="V34" i="121"/>
  <c r="R34" i="121"/>
  <c r="N34" i="121"/>
  <c r="AO33" i="121"/>
  <c r="AP33" i="121" s="1"/>
  <c r="AL33" i="121"/>
  <c r="AK33" i="121"/>
  <c r="AH33" i="121"/>
  <c r="AG33" i="121"/>
  <c r="AC33" i="121"/>
  <c r="AD33" i="121" s="1"/>
  <c r="Y33" i="121"/>
  <c r="Z33" i="121" s="1"/>
  <c r="V33" i="121"/>
  <c r="U33" i="121"/>
  <c r="Q33" i="121"/>
  <c r="R33" i="121" s="1"/>
  <c r="M33" i="121"/>
  <c r="N33" i="121" s="1"/>
  <c r="AP32" i="121"/>
  <c r="AL32" i="121"/>
  <c r="AH32" i="121"/>
  <c r="AD32" i="121"/>
  <c r="Z32" i="121"/>
  <c r="V32" i="121"/>
  <c r="R32" i="121"/>
  <c r="N32" i="121"/>
  <c r="AQ32" i="121" s="1"/>
  <c r="AP31" i="121"/>
  <c r="AL31" i="121"/>
  <c r="AH31" i="121"/>
  <c r="AD31" i="121"/>
  <c r="Z31" i="121"/>
  <c r="V31" i="121"/>
  <c r="R31" i="121"/>
  <c r="N31" i="121"/>
  <c r="AP30" i="121"/>
  <c r="AL30" i="121"/>
  <c r="AH30" i="121"/>
  <c r="AD30" i="121"/>
  <c r="Z30" i="121"/>
  <c r="V30" i="121"/>
  <c r="R30" i="121"/>
  <c r="N30" i="121"/>
  <c r="AQ30" i="121" s="1"/>
  <c r="AO29" i="121"/>
  <c r="AP29" i="121" s="1"/>
  <c r="AL29" i="121"/>
  <c r="AK29" i="121"/>
  <c r="AG29" i="121"/>
  <c r="AH29" i="121" s="1"/>
  <c r="AC29" i="121"/>
  <c r="AD29" i="121" s="1"/>
  <c r="Z29" i="121"/>
  <c r="Y29" i="121"/>
  <c r="V29" i="121"/>
  <c r="U29" i="121"/>
  <c r="Q29" i="121"/>
  <c r="R29" i="121" s="1"/>
  <c r="N29" i="121"/>
  <c r="M29" i="121"/>
  <c r="AN28" i="121"/>
  <c r="AP28" i="121" s="1"/>
  <c r="AJ28" i="121"/>
  <c r="AL28" i="121" s="1"/>
  <c r="AF28" i="121"/>
  <c r="AH28" i="121" s="1"/>
  <c r="AB28" i="121"/>
  <c r="AD28" i="121" s="1"/>
  <c r="Z28" i="121"/>
  <c r="X28" i="121"/>
  <c r="T28" i="121"/>
  <c r="V28" i="121" s="1"/>
  <c r="P28" i="121"/>
  <c r="R28" i="121" s="1"/>
  <c r="L28" i="121"/>
  <c r="N28" i="121" s="1"/>
  <c r="AN27" i="121"/>
  <c r="AP27" i="121" s="1"/>
  <c r="AJ27" i="121"/>
  <c r="AL27" i="121" s="1"/>
  <c r="AH27" i="121"/>
  <c r="AF27" i="121"/>
  <c r="AD27" i="121"/>
  <c r="AB27" i="121"/>
  <c r="Z27" i="121"/>
  <c r="X27" i="121"/>
  <c r="T27" i="121"/>
  <c r="V27" i="121" s="1"/>
  <c r="P27" i="121"/>
  <c r="R27" i="121" s="1"/>
  <c r="L27" i="121"/>
  <c r="N27" i="121" s="1"/>
  <c r="AQ27" i="121" s="1"/>
  <c r="AO26" i="121"/>
  <c r="AP26" i="121" s="1"/>
  <c r="AK26" i="121"/>
  <c r="AL26" i="121" s="1"/>
  <c r="AG26" i="121"/>
  <c r="AH26" i="121" s="1"/>
  <c r="AC26" i="121"/>
  <c r="AD26" i="121" s="1"/>
  <c r="Y26" i="121"/>
  <c r="Z26" i="121" s="1"/>
  <c r="U26" i="121"/>
  <c r="V26" i="121" s="1"/>
  <c r="Q26" i="121"/>
  <c r="R26" i="121" s="1"/>
  <c r="M26" i="121"/>
  <c r="N26" i="121" s="1"/>
  <c r="AP25" i="121"/>
  <c r="AN25" i="121"/>
  <c r="AL25" i="121"/>
  <c r="AJ25" i="121"/>
  <c r="AF25" i="121"/>
  <c r="AH25" i="121" s="1"/>
  <c r="AD25" i="121"/>
  <c r="AB25" i="121"/>
  <c r="Z25" i="121"/>
  <c r="X25" i="121"/>
  <c r="T25" i="121"/>
  <c r="V25" i="121" s="1"/>
  <c r="R25" i="121"/>
  <c r="P25" i="121"/>
  <c r="L25" i="121"/>
  <c r="N25" i="121" s="1"/>
  <c r="AN24" i="121"/>
  <c r="AP24" i="121" s="1"/>
  <c r="AJ24" i="121"/>
  <c r="AL24" i="121" s="1"/>
  <c r="AF24" i="121"/>
  <c r="AH24" i="121" s="1"/>
  <c r="AB24" i="121"/>
  <c r="AD24" i="121" s="1"/>
  <c r="Z24" i="121"/>
  <c r="X24" i="121"/>
  <c r="T24" i="121"/>
  <c r="V24" i="121" s="1"/>
  <c r="P24" i="121"/>
  <c r="R24" i="121" s="1"/>
  <c r="L24" i="121"/>
  <c r="N24" i="121" s="1"/>
  <c r="AN23" i="121"/>
  <c r="AP23" i="121" s="1"/>
  <c r="AJ23" i="121"/>
  <c r="AL23" i="121" s="1"/>
  <c r="AH23" i="121"/>
  <c r="AF23" i="121"/>
  <c r="AB23" i="121"/>
  <c r="AD23" i="121" s="1"/>
  <c r="Z23" i="121"/>
  <c r="X23" i="121"/>
  <c r="T23" i="121"/>
  <c r="V23" i="121" s="1"/>
  <c r="P23" i="121"/>
  <c r="R23" i="121" s="1"/>
  <c r="L23" i="121"/>
  <c r="N23" i="121" s="1"/>
  <c r="AN22" i="121"/>
  <c r="AP22" i="121" s="1"/>
  <c r="AJ22" i="121"/>
  <c r="AL22" i="121" s="1"/>
  <c r="AF22" i="121"/>
  <c r="AH22" i="121" s="1"/>
  <c r="AB22" i="121"/>
  <c r="AD22" i="121" s="1"/>
  <c r="Z22" i="121"/>
  <c r="X22" i="121"/>
  <c r="T22" i="121"/>
  <c r="V22" i="121" s="1"/>
  <c r="P22" i="121"/>
  <c r="R22" i="121" s="1"/>
  <c r="L22" i="121"/>
  <c r="N22" i="121" s="1"/>
  <c r="AN21" i="121"/>
  <c r="AP21" i="121" s="1"/>
  <c r="AL21" i="121"/>
  <c r="AJ21" i="121"/>
  <c r="AF21" i="121"/>
  <c r="AH21" i="121" s="1"/>
  <c r="AB21" i="121"/>
  <c r="AD21" i="121" s="1"/>
  <c r="Z21" i="121"/>
  <c r="X21" i="121"/>
  <c r="T21" i="121"/>
  <c r="V21" i="121" s="1"/>
  <c r="R21" i="121"/>
  <c r="P21" i="121"/>
  <c r="N21" i="121"/>
  <c r="L21" i="121"/>
  <c r="AP20" i="121"/>
  <c r="AL20" i="121"/>
  <c r="AH20" i="121"/>
  <c r="AD20" i="121"/>
  <c r="Z20" i="121"/>
  <c r="V20" i="121"/>
  <c r="R20" i="121"/>
  <c r="N20" i="121"/>
  <c r="AN19" i="121"/>
  <c r="AP19" i="121" s="1"/>
  <c r="AJ19" i="121"/>
  <c r="AL19" i="121" s="1"/>
  <c r="AH19" i="121"/>
  <c r="AF19" i="121"/>
  <c r="AD19" i="121"/>
  <c r="AB19" i="121"/>
  <c r="Z19" i="121"/>
  <c r="X19" i="121"/>
  <c r="T19" i="121"/>
  <c r="V19" i="121" s="1"/>
  <c r="R19" i="121"/>
  <c r="P19" i="121"/>
  <c r="L19" i="121"/>
  <c r="N19" i="121" s="1"/>
  <c r="AQ19" i="121" s="1"/>
  <c r="AN18" i="121"/>
  <c r="AP18" i="121" s="1"/>
  <c r="AJ18" i="121"/>
  <c r="AL18" i="121" s="1"/>
  <c r="AF18" i="121"/>
  <c r="AH18" i="121" s="1"/>
  <c r="AB18" i="121"/>
  <c r="AD18" i="121" s="1"/>
  <c r="Z18" i="121"/>
  <c r="X18" i="121"/>
  <c r="T18" i="121"/>
  <c r="V18" i="121" s="1"/>
  <c r="P18" i="121"/>
  <c r="R18" i="121" s="1"/>
  <c r="L18" i="121"/>
  <c r="N18" i="121" s="1"/>
  <c r="AP17" i="121"/>
  <c r="AL17" i="121"/>
  <c r="AH17" i="121"/>
  <c r="AD17" i="121"/>
  <c r="Z17" i="121"/>
  <c r="V17" i="121"/>
  <c r="R17" i="121"/>
  <c r="N17" i="121"/>
  <c r="AP16" i="121"/>
  <c r="AL16" i="121"/>
  <c r="AH16" i="121"/>
  <c r="AD16" i="121"/>
  <c r="Z16" i="121"/>
  <c r="V16" i="121"/>
  <c r="R16" i="121"/>
  <c r="N16" i="121"/>
  <c r="AO15" i="121"/>
  <c r="AP15" i="121" s="1"/>
  <c r="AK15" i="121"/>
  <c r="AL15" i="121" s="1"/>
  <c r="AG15" i="121"/>
  <c r="AH15" i="121" s="1"/>
  <c r="AC15" i="121"/>
  <c r="AD15" i="121" s="1"/>
  <c r="Z15" i="121"/>
  <c r="Y15" i="121"/>
  <c r="U15" i="121"/>
  <c r="V15" i="121" s="1"/>
  <c r="Q15" i="121"/>
  <c r="R15" i="121" s="1"/>
  <c r="N15" i="121"/>
  <c r="M15" i="121"/>
  <c r="AO14" i="121"/>
  <c r="AP14" i="121" s="1"/>
  <c r="AK14" i="121"/>
  <c r="AL14" i="121" s="1"/>
  <c r="AG14" i="121"/>
  <c r="AH14" i="121" s="1"/>
  <c r="AC14" i="121"/>
  <c r="Y14" i="121"/>
  <c r="U14" i="121"/>
  <c r="V14" i="121" s="1"/>
  <c r="Q14" i="121"/>
  <c r="R14" i="121" s="1"/>
  <c r="M14" i="121"/>
  <c r="N14" i="121" s="1"/>
  <c r="AO13" i="121"/>
  <c r="AK13" i="121"/>
  <c r="AG13" i="121"/>
  <c r="AD13" i="121"/>
  <c r="AC13" i="121"/>
  <c r="Y13" i="121"/>
  <c r="V13" i="121"/>
  <c r="U13" i="121"/>
  <c r="Q13" i="121"/>
  <c r="M13" i="121"/>
  <c r="AN12" i="121"/>
  <c r="AP12" i="121" s="1"/>
  <c r="AJ12" i="121"/>
  <c r="AL12" i="121" s="1"/>
  <c r="AF12" i="121"/>
  <c r="AH12" i="121" s="1"/>
  <c r="AB12" i="121"/>
  <c r="AD12" i="121" s="1"/>
  <c r="Z12" i="121"/>
  <c r="X12" i="121"/>
  <c r="T12" i="121"/>
  <c r="V12" i="121" s="1"/>
  <c r="P12" i="121"/>
  <c r="R12" i="121" s="1"/>
  <c r="L12" i="121"/>
  <c r="N12" i="121" s="1"/>
  <c r="AP11" i="121"/>
  <c r="AL11" i="121"/>
  <c r="AH11" i="121"/>
  <c r="AD11" i="121"/>
  <c r="Z11" i="121"/>
  <c r="V11" i="121"/>
  <c r="R11" i="121"/>
  <c r="N11" i="121"/>
  <c r="AP10" i="121"/>
  <c r="AL10" i="121"/>
  <c r="AH10" i="121"/>
  <c r="AD10" i="121"/>
  <c r="Z10" i="121"/>
  <c r="V10" i="121"/>
  <c r="R10" i="121"/>
  <c r="AQ10" i="121" s="1"/>
  <c r="N10" i="121"/>
  <c r="AP9" i="121"/>
  <c r="AL9" i="121"/>
  <c r="AH9" i="121"/>
  <c r="AD9" i="121"/>
  <c r="Z9" i="121"/>
  <c r="V9" i="121"/>
  <c r="R9" i="121"/>
  <c r="N9" i="121"/>
  <c r="AP8" i="121"/>
  <c r="AL8" i="121"/>
  <c r="AH8" i="121"/>
  <c r="AD8" i="121"/>
  <c r="Z8" i="121"/>
  <c r="V8" i="121"/>
  <c r="R8" i="121"/>
  <c r="N8" i="121"/>
  <c r="AP7" i="121"/>
  <c r="AL7" i="121"/>
  <c r="AH7" i="121"/>
  <c r="AD7" i="121"/>
  <c r="Z7" i="121"/>
  <c r="V7" i="121"/>
  <c r="R7" i="121"/>
  <c r="N7" i="121"/>
  <c r="AP6" i="121"/>
  <c r="AL6" i="121"/>
  <c r="AH6" i="121"/>
  <c r="AD6" i="121"/>
  <c r="Z6" i="121"/>
  <c r="V6" i="121"/>
  <c r="R6" i="121"/>
  <c r="N6" i="121"/>
  <c r="AP5" i="121"/>
  <c r="AL5" i="121"/>
  <c r="AH5" i="121"/>
  <c r="AD5" i="121"/>
  <c r="Z5" i="121"/>
  <c r="V5" i="121"/>
  <c r="R5" i="121"/>
  <c r="N5" i="121"/>
  <c r="AP4" i="121"/>
  <c r="AL4" i="121"/>
  <c r="AH4" i="121"/>
  <c r="AD4" i="121"/>
  <c r="Z4" i="121"/>
  <c r="V4" i="121"/>
  <c r="R4" i="121"/>
  <c r="N4" i="121"/>
  <c r="AN3" i="121"/>
  <c r="AL3" i="121"/>
  <c r="AJ3" i="121"/>
  <c r="AF3" i="121"/>
  <c r="AD3" i="121"/>
  <c r="AB3" i="121"/>
  <c r="Z3" i="121"/>
  <c r="X3" i="121"/>
  <c r="T3" i="121"/>
  <c r="P3" i="121"/>
  <c r="L3" i="121"/>
  <c r="AO239" i="120"/>
  <c r="AP239" i="120" s="1"/>
  <c r="AK239" i="120"/>
  <c r="AL239" i="120" s="1"/>
  <c r="AG239" i="120"/>
  <c r="AH239" i="120" s="1"/>
  <c r="AC239" i="120"/>
  <c r="AD239" i="120" s="1"/>
  <c r="Y239" i="120"/>
  <c r="Z239" i="120" s="1"/>
  <c r="U239" i="120"/>
  <c r="V239" i="120" s="1"/>
  <c r="Q239" i="120"/>
  <c r="R239" i="120" s="1"/>
  <c r="M239" i="120"/>
  <c r="N239" i="120" s="1"/>
  <c r="AN238" i="120"/>
  <c r="AP238" i="120" s="1"/>
  <c r="AL238" i="120"/>
  <c r="AJ238" i="120"/>
  <c r="AF238" i="120"/>
  <c r="AH238" i="120" s="1"/>
  <c r="AB238" i="120"/>
  <c r="AD238" i="120" s="1"/>
  <c r="Z238" i="120"/>
  <c r="X238" i="120"/>
  <c r="T238" i="120"/>
  <c r="V238" i="120" s="1"/>
  <c r="P238" i="120"/>
  <c r="R238" i="120" s="1"/>
  <c r="L238" i="120"/>
  <c r="N238" i="120" s="1"/>
  <c r="AP237" i="120"/>
  <c r="AO237" i="120"/>
  <c r="AK237" i="120"/>
  <c r="AL237" i="120" s="1"/>
  <c r="AH237" i="120"/>
  <c r="AG237" i="120"/>
  <c r="AC237" i="120"/>
  <c r="AD237" i="120" s="1"/>
  <c r="Y237" i="120"/>
  <c r="Z237" i="120" s="1"/>
  <c r="U237" i="120"/>
  <c r="V237" i="120" s="1"/>
  <c r="R237" i="120"/>
  <c r="Q237" i="120"/>
  <c r="M237" i="120"/>
  <c r="N237" i="120" s="1"/>
  <c r="AN236" i="120"/>
  <c r="AP236" i="120" s="1"/>
  <c r="AJ236" i="120"/>
  <c r="AL236" i="120" s="1"/>
  <c r="AF236" i="120"/>
  <c r="AH236" i="120" s="1"/>
  <c r="AB236" i="120"/>
  <c r="AD236" i="120" s="1"/>
  <c r="Z236" i="120"/>
  <c r="X236" i="120"/>
  <c r="T236" i="120"/>
  <c r="V236" i="120" s="1"/>
  <c r="P236" i="120"/>
  <c r="R236" i="120" s="1"/>
  <c r="L236" i="120"/>
  <c r="N236" i="120" s="1"/>
  <c r="AO235" i="120"/>
  <c r="AP235" i="120" s="1"/>
  <c r="AL235" i="120"/>
  <c r="AK235" i="120"/>
  <c r="AH235" i="120"/>
  <c r="AG235" i="120"/>
  <c r="AC235" i="120"/>
  <c r="AD235" i="120" s="1"/>
  <c r="Y235" i="120"/>
  <c r="Z235" i="120" s="1"/>
  <c r="V235" i="120"/>
  <c r="U235" i="120"/>
  <c r="Q235" i="120"/>
  <c r="R235" i="120" s="1"/>
  <c r="M235" i="120"/>
  <c r="N235" i="120" s="1"/>
  <c r="AO234" i="120"/>
  <c r="AP234" i="120" s="1"/>
  <c r="AL234" i="120"/>
  <c r="AK234" i="120"/>
  <c r="AG234" i="120"/>
  <c r="AH234" i="120" s="1"/>
  <c r="AD234" i="120"/>
  <c r="AC234" i="120"/>
  <c r="Y234" i="120"/>
  <c r="Z234" i="120" s="1"/>
  <c r="U234" i="120"/>
  <c r="V234" i="120" s="1"/>
  <c r="Q234" i="120"/>
  <c r="R234" i="120" s="1"/>
  <c r="M234" i="120"/>
  <c r="N234" i="120" s="1"/>
  <c r="AO233" i="120"/>
  <c r="AP233" i="120" s="1"/>
  <c r="AK233" i="120"/>
  <c r="AL233" i="120" s="1"/>
  <c r="AH233" i="120"/>
  <c r="AG233" i="120"/>
  <c r="AC233" i="120"/>
  <c r="AD233" i="120" s="1"/>
  <c r="Z233" i="120"/>
  <c r="Y233" i="120"/>
  <c r="U233" i="120"/>
  <c r="V233" i="120" s="1"/>
  <c r="R233" i="120"/>
  <c r="Q233" i="120"/>
  <c r="M233" i="120"/>
  <c r="N233" i="120" s="1"/>
  <c r="AP232" i="120"/>
  <c r="AO232" i="120"/>
  <c r="AL232" i="120"/>
  <c r="AK232" i="120"/>
  <c r="AH232" i="120"/>
  <c r="AG232" i="120"/>
  <c r="AC232" i="120"/>
  <c r="AD232" i="120" s="1"/>
  <c r="Z232" i="120"/>
  <c r="Y232" i="120"/>
  <c r="U232" i="120"/>
  <c r="V232" i="120" s="1"/>
  <c r="Q232" i="120"/>
  <c r="R232" i="120" s="1"/>
  <c r="M232" i="120"/>
  <c r="N232" i="120" s="1"/>
  <c r="AO231" i="120"/>
  <c r="AP231" i="120" s="1"/>
  <c r="AK231" i="120"/>
  <c r="AL231" i="120" s="1"/>
  <c r="AG231" i="120"/>
  <c r="AH231" i="120" s="1"/>
  <c r="AC231" i="120"/>
  <c r="AD231" i="120" s="1"/>
  <c r="Y231" i="120"/>
  <c r="Z231" i="120" s="1"/>
  <c r="U231" i="120"/>
  <c r="V231" i="120" s="1"/>
  <c r="Q231" i="120"/>
  <c r="R231" i="120" s="1"/>
  <c r="N231" i="120"/>
  <c r="M231" i="120"/>
  <c r="AO230" i="120"/>
  <c r="AP230" i="120" s="1"/>
  <c r="AK230" i="120"/>
  <c r="AL230" i="120" s="1"/>
  <c r="AG230" i="120"/>
  <c r="AH230" i="120" s="1"/>
  <c r="AD230" i="120"/>
  <c r="AC230" i="120"/>
  <c r="Y230" i="120"/>
  <c r="Z230" i="120" s="1"/>
  <c r="U230" i="120"/>
  <c r="V230" i="120" s="1"/>
  <c r="Q230" i="120"/>
  <c r="R230" i="120" s="1"/>
  <c r="M230" i="120"/>
  <c r="N230" i="120" s="1"/>
  <c r="AP229" i="120"/>
  <c r="AO229" i="120"/>
  <c r="AK229" i="120"/>
  <c r="AL229" i="120" s="1"/>
  <c r="AG229" i="120"/>
  <c r="AH229" i="120" s="1"/>
  <c r="AD229" i="120"/>
  <c r="AC229" i="120"/>
  <c r="Z229" i="120"/>
  <c r="Y229" i="120"/>
  <c r="U229" i="120"/>
  <c r="V229" i="120" s="1"/>
  <c r="Q229" i="120"/>
  <c r="R229" i="120" s="1"/>
  <c r="N229" i="120"/>
  <c r="M229" i="120"/>
  <c r="AO228" i="120"/>
  <c r="AP228" i="120" s="1"/>
  <c r="AK228" i="120"/>
  <c r="AL228" i="120" s="1"/>
  <c r="AG228" i="120"/>
  <c r="AH228" i="120" s="1"/>
  <c r="AC228" i="120"/>
  <c r="AD228" i="120" s="1"/>
  <c r="Y228" i="120"/>
  <c r="Z228" i="120" s="1"/>
  <c r="U228" i="120"/>
  <c r="V228" i="120" s="1"/>
  <c r="R228" i="120"/>
  <c r="Q228" i="120"/>
  <c r="M228" i="120"/>
  <c r="N228" i="120" s="1"/>
  <c r="AQ228" i="120" s="1"/>
  <c r="AO227" i="120"/>
  <c r="AP227" i="120" s="1"/>
  <c r="AL227" i="120"/>
  <c r="AK227" i="120"/>
  <c r="AG227" i="120"/>
  <c r="AH227" i="120" s="1"/>
  <c r="AC227" i="120"/>
  <c r="AD227" i="120" s="1"/>
  <c r="Z227" i="120"/>
  <c r="Y227" i="120"/>
  <c r="U227" i="120"/>
  <c r="V227" i="120" s="1"/>
  <c r="Q227" i="120"/>
  <c r="R227" i="120" s="1"/>
  <c r="N227" i="120"/>
  <c r="M227" i="120"/>
  <c r="AN226" i="120"/>
  <c r="AP226" i="120" s="1"/>
  <c r="AJ226" i="120"/>
  <c r="AL226" i="120" s="1"/>
  <c r="AH226" i="120"/>
  <c r="AF226" i="120"/>
  <c r="AB226" i="120"/>
  <c r="AD226" i="120" s="1"/>
  <c r="Z226" i="120"/>
  <c r="X226" i="120"/>
  <c r="T226" i="120"/>
  <c r="V226" i="120" s="1"/>
  <c r="P226" i="120"/>
  <c r="R226" i="120" s="1"/>
  <c r="L226" i="120"/>
  <c r="N226" i="120" s="1"/>
  <c r="AP225" i="120"/>
  <c r="AO225" i="120"/>
  <c r="AK225" i="120"/>
  <c r="AL225" i="120" s="1"/>
  <c r="AG225" i="120"/>
  <c r="AH225" i="120" s="1"/>
  <c r="AC225" i="120"/>
  <c r="AD225" i="120" s="1"/>
  <c r="Y225" i="120"/>
  <c r="Z225" i="120" s="1"/>
  <c r="U225" i="120"/>
  <c r="V225" i="120" s="1"/>
  <c r="Q225" i="120"/>
  <c r="R225" i="120" s="1"/>
  <c r="N225" i="120"/>
  <c r="M225" i="120"/>
  <c r="AO224" i="120"/>
  <c r="AP224" i="120" s="1"/>
  <c r="AK224" i="120"/>
  <c r="AL224" i="120" s="1"/>
  <c r="AH224" i="120"/>
  <c r="AG224" i="120"/>
  <c r="AD224" i="120"/>
  <c r="AC224" i="120"/>
  <c r="Y224" i="120"/>
  <c r="Z224" i="120" s="1"/>
  <c r="U224" i="120"/>
  <c r="V224" i="120" s="1"/>
  <c r="R224" i="120"/>
  <c r="Q224" i="120"/>
  <c r="M224" i="120"/>
  <c r="N224" i="120" s="1"/>
  <c r="AN223" i="120"/>
  <c r="AP223" i="120" s="1"/>
  <c r="AJ223" i="120"/>
  <c r="AL223" i="120" s="1"/>
  <c r="AH223" i="120"/>
  <c r="AF223" i="120"/>
  <c r="AB223" i="120"/>
  <c r="AD223" i="120" s="1"/>
  <c r="Z223" i="120"/>
  <c r="X223" i="120"/>
  <c r="T223" i="120"/>
  <c r="V223" i="120" s="1"/>
  <c r="P223" i="120"/>
  <c r="R223" i="120" s="1"/>
  <c r="L223" i="120"/>
  <c r="N223" i="120" s="1"/>
  <c r="AO222" i="120"/>
  <c r="AP222" i="120" s="1"/>
  <c r="AK222" i="120"/>
  <c r="AL222" i="120" s="1"/>
  <c r="AG222" i="120"/>
  <c r="AH222" i="120" s="1"/>
  <c r="AC222" i="120"/>
  <c r="AD222" i="120" s="1"/>
  <c r="Y222" i="120"/>
  <c r="Z222" i="120" s="1"/>
  <c r="V222" i="120"/>
  <c r="U222" i="120"/>
  <c r="R222" i="120"/>
  <c r="Q222" i="120"/>
  <c r="M222" i="120"/>
  <c r="N222" i="120" s="1"/>
  <c r="AP221" i="120"/>
  <c r="AO221" i="120"/>
  <c r="AK221" i="120"/>
  <c r="AL221" i="120" s="1"/>
  <c r="AG221" i="120"/>
  <c r="AH221" i="120" s="1"/>
  <c r="AD221" i="120"/>
  <c r="AC221" i="120"/>
  <c r="Y221" i="120"/>
  <c r="Z221" i="120" s="1"/>
  <c r="V221" i="120"/>
  <c r="U221" i="120"/>
  <c r="R221" i="120"/>
  <c r="Q221" i="120"/>
  <c r="M221" i="120"/>
  <c r="N221" i="120" s="1"/>
  <c r="AQ221" i="120" s="1"/>
  <c r="AN220" i="120"/>
  <c r="AP220" i="120" s="1"/>
  <c r="AL220" i="120"/>
  <c r="AJ220" i="120"/>
  <c r="AH220" i="120"/>
  <c r="AF220" i="120"/>
  <c r="AB220" i="120"/>
  <c r="AD220" i="120" s="1"/>
  <c r="Z220" i="120"/>
  <c r="X220" i="120"/>
  <c r="T220" i="120"/>
  <c r="V220" i="120" s="1"/>
  <c r="P220" i="120"/>
  <c r="R220" i="120" s="1"/>
  <c r="L220" i="120"/>
  <c r="N220" i="120" s="1"/>
  <c r="AN219" i="120"/>
  <c r="AP219" i="120" s="1"/>
  <c r="AJ219" i="120"/>
  <c r="AL219" i="120" s="1"/>
  <c r="AF219" i="120"/>
  <c r="AH219" i="120" s="1"/>
  <c r="AB219" i="120"/>
  <c r="AD219" i="120" s="1"/>
  <c r="Z219" i="120"/>
  <c r="X219" i="120"/>
  <c r="V219" i="120"/>
  <c r="T219" i="120"/>
  <c r="R219" i="120"/>
  <c r="P219" i="120"/>
  <c r="L219" i="120"/>
  <c r="N219" i="120" s="1"/>
  <c r="AN218" i="120"/>
  <c r="AP218" i="120" s="1"/>
  <c r="AL218" i="120"/>
  <c r="AJ218" i="120"/>
  <c r="AF218" i="120"/>
  <c r="AH218" i="120" s="1"/>
  <c r="AB218" i="120"/>
  <c r="AD218" i="120" s="1"/>
  <c r="Z218" i="120"/>
  <c r="X218" i="120"/>
  <c r="T218" i="120"/>
  <c r="V218" i="120" s="1"/>
  <c r="P218" i="120"/>
  <c r="R218" i="120" s="1"/>
  <c r="L218" i="120"/>
  <c r="N218" i="120" s="1"/>
  <c r="AO217" i="120"/>
  <c r="AP217" i="120" s="1"/>
  <c r="AL217" i="120"/>
  <c r="AK217" i="120"/>
  <c r="AH217" i="120"/>
  <c r="AG217" i="120"/>
  <c r="AC217" i="120"/>
  <c r="AD217" i="120" s="1"/>
  <c r="Y217" i="120"/>
  <c r="Z217" i="120" s="1"/>
  <c r="U217" i="120"/>
  <c r="V217" i="120" s="1"/>
  <c r="R217" i="120"/>
  <c r="Q217" i="120"/>
  <c r="M217" i="120"/>
  <c r="N217" i="120" s="1"/>
  <c r="AO216" i="120"/>
  <c r="AP216" i="120" s="1"/>
  <c r="AK216" i="120"/>
  <c r="AL216" i="120" s="1"/>
  <c r="AG216" i="120"/>
  <c r="AH216" i="120" s="1"/>
  <c r="AC216" i="120"/>
  <c r="AD216" i="120" s="1"/>
  <c r="Y216" i="120"/>
  <c r="Z216" i="120" s="1"/>
  <c r="V216" i="120"/>
  <c r="U216" i="120"/>
  <c r="Q216" i="120"/>
  <c r="R216" i="120" s="1"/>
  <c r="N216" i="120"/>
  <c r="M216" i="120"/>
  <c r="AN215" i="120"/>
  <c r="AP215" i="120" s="1"/>
  <c r="AJ215" i="120"/>
  <c r="AL215" i="120" s="1"/>
  <c r="AQ215" i="120" s="1"/>
  <c r="AF215" i="120"/>
  <c r="AH215" i="120" s="1"/>
  <c r="AB215" i="120"/>
  <c r="AD215" i="120" s="1"/>
  <c r="Z215" i="120"/>
  <c r="X215" i="120"/>
  <c r="T215" i="120"/>
  <c r="V215" i="120" s="1"/>
  <c r="P215" i="120"/>
  <c r="R215" i="120" s="1"/>
  <c r="L215" i="120"/>
  <c r="N215" i="120" s="1"/>
  <c r="AO214" i="120"/>
  <c r="AP214" i="120" s="1"/>
  <c r="AK214" i="120"/>
  <c r="AL214" i="120" s="1"/>
  <c r="AG214" i="120"/>
  <c r="AH214" i="120" s="1"/>
  <c r="AC214" i="120"/>
  <c r="AD214" i="120" s="1"/>
  <c r="Y214" i="120"/>
  <c r="Z214" i="120" s="1"/>
  <c r="U214" i="120"/>
  <c r="V214" i="120" s="1"/>
  <c r="Q214" i="120"/>
  <c r="R214" i="120" s="1"/>
  <c r="N214" i="120"/>
  <c r="M214" i="120"/>
  <c r="AN213" i="120"/>
  <c r="AP213" i="120" s="1"/>
  <c r="AJ213" i="120"/>
  <c r="AL213" i="120" s="1"/>
  <c r="AF213" i="120"/>
  <c r="AH213" i="120" s="1"/>
  <c r="AB213" i="120"/>
  <c r="AD213" i="120" s="1"/>
  <c r="Z213" i="120"/>
  <c r="X213" i="120"/>
  <c r="V213" i="120"/>
  <c r="T213" i="120"/>
  <c r="P213" i="120"/>
  <c r="R213" i="120" s="1"/>
  <c r="L213" i="120"/>
  <c r="N213" i="120" s="1"/>
  <c r="AP212" i="120"/>
  <c r="AN212" i="120"/>
  <c r="AJ212" i="120"/>
  <c r="AL212" i="120" s="1"/>
  <c r="AF212" i="120"/>
  <c r="AH212" i="120" s="1"/>
  <c r="AD212" i="120"/>
  <c r="AB212" i="120"/>
  <c r="Z212" i="120"/>
  <c r="X212" i="120"/>
  <c r="T212" i="120"/>
  <c r="V212" i="120" s="1"/>
  <c r="R212" i="120"/>
  <c r="P212" i="120"/>
  <c r="L212" i="120"/>
  <c r="N212" i="120" s="1"/>
  <c r="AN211" i="120"/>
  <c r="AP211" i="120" s="1"/>
  <c r="AJ211" i="120"/>
  <c r="AL211" i="120" s="1"/>
  <c r="AF211" i="120"/>
  <c r="AH211" i="120" s="1"/>
  <c r="AB211" i="120"/>
  <c r="AD211" i="120" s="1"/>
  <c r="Z211" i="120"/>
  <c r="X211" i="120"/>
  <c r="T211" i="120"/>
  <c r="V211" i="120" s="1"/>
  <c r="P211" i="120"/>
  <c r="R211" i="120" s="1"/>
  <c r="N211" i="120"/>
  <c r="L211" i="120"/>
  <c r="AN210" i="120"/>
  <c r="AP210" i="120" s="1"/>
  <c r="AJ210" i="120"/>
  <c r="AL210" i="120" s="1"/>
  <c r="AF210" i="120"/>
  <c r="AH210" i="120" s="1"/>
  <c r="AD210" i="120"/>
  <c r="AB210" i="120"/>
  <c r="Z210" i="120"/>
  <c r="X210" i="120"/>
  <c r="T210" i="120"/>
  <c r="V210" i="120" s="1"/>
  <c r="R210" i="120"/>
  <c r="P210" i="120"/>
  <c r="N210" i="120"/>
  <c r="L210" i="120"/>
  <c r="AP209" i="120"/>
  <c r="AN209" i="120"/>
  <c r="AJ209" i="120"/>
  <c r="AL209" i="120" s="1"/>
  <c r="AF209" i="120"/>
  <c r="AH209" i="120" s="1"/>
  <c r="AB209" i="120"/>
  <c r="AD209" i="120" s="1"/>
  <c r="Z209" i="120"/>
  <c r="X209" i="120"/>
  <c r="T209" i="120"/>
  <c r="V209" i="120" s="1"/>
  <c r="P209" i="120"/>
  <c r="R209" i="120" s="1"/>
  <c r="L209" i="120"/>
  <c r="N209" i="120" s="1"/>
  <c r="AP208" i="120"/>
  <c r="AN208" i="120"/>
  <c r="AJ208" i="120"/>
  <c r="AL208" i="120" s="1"/>
  <c r="AF208" i="120"/>
  <c r="AH208" i="120" s="1"/>
  <c r="AB208" i="120"/>
  <c r="AD208" i="120" s="1"/>
  <c r="Z208" i="120"/>
  <c r="X208" i="120"/>
  <c r="T208" i="120"/>
  <c r="V208" i="120" s="1"/>
  <c r="R208" i="120"/>
  <c r="P208" i="120"/>
  <c r="L208" i="120"/>
  <c r="N208" i="120" s="1"/>
  <c r="AO207" i="120"/>
  <c r="AP207" i="120" s="1"/>
  <c r="AK207" i="120"/>
  <c r="AL207" i="120" s="1"/>
  <c r="AG207" i="120"/>
  <c r="AH207" i="120" s="1"/>
  <c r="AD207" i="120"/>
  <c r="AC207" i="120"/>
  <c r="Z207" i="120"/>
  <c r="Y207" i="120"/>
  <c r="U207" i="120"/>
  <c r="V207" i="120" s="1"/>
  <c r="Q207" i="120"/>
  <c r="R207" i="120" s="1"/>
  <c r="M207" i="120"/>
  <c r="N207" i="120" s="1"/>
  <c r="AQ207" i="120" s="1"/>
  <c r="AN206" i="120"/>
  <c r="AP206" i="120" s="1"/>
  <c r="AJ206" i="120"/>
  <c r="AL206" i="120" s="1"/>
  <c r="AF206" i="120"/>
  <c r="AH206" i="120" s="1"/>
  <c r="AB206" i="120"/>
  <c r="AD206" i="120" s="1"/>
  <c r="Z206" i="120"/>
  <c r="X206" i="120"/>
  <c r="V206" i="120"/>
  <c r="T206" i="120"/>
  <c r="P206" i="120"/>
  <c r="R206" i="120" s="1"/>
  <c r="L206" i="120"/>
  <c r="N206" i="120" s="1"/>
  <c r="AP205" i="120"/>
  <c r="AO205" i="120"/>
  <c r="AK205" i="120"/>
  <c r="AL205" i="120" s="1"/>
  <c r="AG205" i="120"/>
  <c r="AH205" i="120" s="1"/>
  <c r="AC205" i="120"/>
  <c r="AD205" i="120" s="1"/>
  <c r="Y205" i="120"/>
  <c r="Z205" i="120" s="1"/>
  <c r="U205" i="120"/>
  <c r="V205" i="120" s="1"/>
  <c r="R205" i="120"/>
  <c r="Q205" i="120"/>
  <c r="M205" i="120"/>
  <c r="N205" i="120" s="1"/>
  <c r="AN204" i="120"/>
  <c r="AP204" i="120" s="1"/>
  <c r="AJ204" i="120"/>
  <c r="AL204" i="120" s="1"/>
  <c r="AH204" i="120"/>
  <c r="AF204" i="120"/>
  <c r="AD204" i="120"/>
  <c r="AB204" i="120"/>
  <c r="Z204" i="120"/>
  <c r="X204" i="120"/>
  <c r="V204" i="120"/>
  <c r="T204" i="120"/>
  <c r="P204" i="120"/>
  <c r="R204" i="120" s="1"/>
  <c r="L204" i="120"/>
  <c r="N204" i="120" s="1"/>
  <c r="AO203" i="120"/>
  <c r="AP203" i="120" s="1"/>
  <c r="AK203" i="120"/>
  <c r="AL203" i="120" s="1"/>
  <c r="AH203" i="120"/>
  <c r="AG203" i="120"/>
  <c r="AC203" i="120"/>
  <c r="AD203" i="120" s="1"/>
  <c r="Y203" i="120"/>
  <c r="Z203" i="120" s="1"/>
  <c r="U203" i="120"/>
  <c r="V203" i="120" s="1"/>
  <c r="R203" i="120"/>
  <c r="Q203" i="120"/>
  <c r="M203" i="120"/>
  <c r="N203" i="120" s="1"/>
  <c r="AO202" i="120"/>
  <c r="AP202" i="120" s="1"/>
  <c r="AL202" i="120"/>
  <c r="AK202" i="120"/>
  <c r="AG202" i="120"/>
  <c r="AH202" i="120" s="1"/>
  <c r="AC202" i="120"/>
  <c r="AD202" i="120" s="1"/>
  <c r="Y202" i="120"/>
  <c r="Z202" i="120" s="1"/>
  <c r="V202" i="120"/>
  <c r="U202" i="120"/>
  <c r="R202" i="120"/>
  <c r="Q202" i="120"/>
  <c r="M202" i="120"/>
  <c r="N202" i="120" s="1"/>
  <c r="AO201" i="120"/>
  <c r="AP201" i="120" s="1"/>
  <c r="AK201" i="120"/>
  <c r="AL201" i="120" s="1"/>
  <c r="AG201" i="120"/>
  <c r="AH201" i="120" s="1"/>
  <c r="AC201" i="120"/>
  <c r="AD201" i="120" s="1"/>
  <c r="Z201" i="120"/>
  <c r="Y201" i="120"/>
  <c r="U201" i="120"/>
  <c r="V201" i="120" s="1"/>
  <c r="R201" i="120"/>
  <c r="Q201" i="120"/>
  <c r="M201" i="120"/>
  <c r="N201" i="120" s="1"/>
  <c r="AO200" i="120"/>
  <c r="AP200" i="120" s="1"/>
  <c r="AK200" i="120"/>
  <c r="AL200" i="120" s="1"/>
  <c r="AH200" i="120"/>
  <c r="AG200" i="120"/>
  <c r="AC200" i="120"/>
  <c r="AD200" i="120" s="1"/>
  <c r="Y200" i="120"/>
  <c r="Z200" i="120" s="1"/>
  <c r="U200" i="120"/>
  <c r="V200" i="120" s="1"/>
  <c r="Q200" i="120"/>
  <c r="R200" i="120" s="1"/>
  <c r="M200" i="120"/>
  <c r="N200" i="120" s="1"/>
  <c r="AO199" i="120"/>
  <c r="AP199" i="120" s="1"/>
  <c r="AK199" i="120"/>
  <c r="AL199" i="120" s="1"/>
  <c r="AG199" i="120"/>
  <c r="AH199" i="120" s="1"/>
  <c r="AD199" i="120"/>
  <c r="AC199" i="120"/>
  <c r="Y199" i="120"/>
  <c r="Z199" i="120" s="1"/>
  <c r="U199" i="120"/>
  <c r="V199" i="120" s="1"/>
  <c r="R199" i="120"/>
  <c r="Q199" i="120"/>
  <c r="M199" i="120"/>
  <c r="N199" i="120" s="1"/>
  <c r="AO198" i="120"/>
  <c r="AP198" i="120" s="1"/>
  <c r="AK198" i="120"/>
  <c r="AL198" i="120" s="1"/>
  <c r="AG198" i="120"/>
  <c r="AH198" i="120" s="1"/>
  <c r="AC198" i="120"/>
  <c r="AD198" i="120" s="1"/>
  <c r="Z198" i="120"/>
  <c r="Y198" i="120"/>
  <c r="U198" i="120"/>
  <c r="V198" i="120" s="1"/>
  <c r="Q198" i="120"/>
  <c r="R198" i="120" s="1"/>
  <c r="M198" i="120"/>
  <c r="N198" i="120" s="1"/>
  <c r="AO197" i="120"/>
  <c r="AP197" i="120" s="1"/>
  <c r="AL197" i="120"/>
  <c r="AK197" i="120"/>
  <c r="AH197" i="120"/>
  <c r="AG197" i="120"/>
  <c r="AC197" i="120"/>
  <c r="AD197" i="120" s="1"/>
  <c r="Y197" i="120"/>
  <c r="Z197" i="120" s="1"/>
  <c r="U197" i="120"/>
  <c r="V197" i="120" s="1"/>
  <c r="Q197" i="120"/>
  <c r="R197" i="120" s="1"/>
  <c r="M197" i="120"/>
  <c r="N197" i="120" s="1"/>
  <c r="AN196" i="120"/>
  <c r="AP196" i="120" s="1"/>
  <c r="AJ196" i="120"/>
  <c r="AL196" i="120" s="1"/>
  <c r="AH196" i="120"/>
  <c r="AF196" i="120"/>
  <c r="AB196" i="120"/>
  <c r="AD196" i="120" s="1"/>
  <c r="Z196" i="120"/>
  <c r="X196" i="120"/>
  <c r="V196" i="120"/>
  <c r="T196" i="120"/>
  <c r="R196" i="120"/>
  <c r="P196" i="120"/>
  <c r="L196" i="120"/>
  <c r="N196" i="120" s="1"/>
  <c r="AO195" i="120"/>
  <c r="AP195" i="120" s="1"/>
  <c r="AK195" i="120"/>
  <c r="AL195" i="120" s="1"/>
  <c r="AH195" i="120"/>
  <c r="AG195" i="120"/>
  <c r="AC195" i="120"/>
  <c r="AD195" i="120" s="1"/>
  <c r="Z195" i="120"/>
  <c r="Y195" i="120"/>
  <c r="U195" i="120"/>
  <c r="V195" i="120" s="1"/>
  <c r="Q195" i="120"/>
  <c r="R195" i="120" s="1"/>
  <c r="M195" i="120"/>
  <c r="N195" i="120" s="1"/>
  <c r="AO194" i="120"/>
  <c r="AP194" i="120" s="1"/>
  <c r="AK194" i="120"/>
  <c r="AL194" i="120" s="1"/>
  <c r="AG194" i="120"/>
  <c r="AH194" i="120" s="1"/>
  <c r="AC194" i="120"/>
  <c r="AD194" i="120" s="1"/>
  <c r="Y194" i="120"/>
  <c r="Z194" i="120" s="1"/>
  <c r="U194" i="120"/>
  <c r="V194" i="120" s="1"/>
  <c r="Q194" i="120"/>
  <c r="R194" i="120" s="1"/>
  <c r="N194" i="120"/>
  <c r="M194" i="120"/>
  <c r="AO193" i="120"/>
  <c r="AP193" i="120" s="1"/>
  <c r="AK193" i="120"/>
  <c r="AL193" i="120" s="1"/>
  <c r="AG193" i="120"/>
  <c r="AH193" i="120" s="1"/>
  <c r="AC193" i="120"/>
  <c r="AD193" i="120" s="1"/>
  <c r="Y193" i="120"/>
  <c r="Z193" i="120" s="1"/>
  <c r="U193" i="120"/>
  <c r="V193" i="120" s="1"/>
  <c r="Q193" i="120"/>
  <c r="R193" i="120" s="1"/>
  <c r="N193" i="120"/>
  <c r="M193" i="120"/>
  <c r="AO192" i="120"/>
  <c r="AP192" i="120" s="1"/>
  <c r="AK192" i="120"/>
  <c r="AL192" i="120" s="1"/>
  <c r="AH192" i="120"/>
  <c r="AG192" i="120"/>
  <c r="AC192" i="120"/>
  <c r="AD192" i="120" s="1"/>
  <c r="Z192" i="120"/>
  <c r="Y192" i="120"/>
  <c r="U192" i="120"/>
  <c r="V192" i="120" s="1"/>
  <c r="R192" i="120"/>
  <c r="Q192" i="120"/>
  <c r="M192" i="120"/>
  <c r="N192" i="120" s="1"/>
  <c r="AP191" i="120"/>
  <c r="AO191" i="120"/>
  <c r="AK191" i="120"/>
  <c r="AL191" i="120" s="1"/>
  <c r="AG191" i="120"/>
  <c r="AH191" i="120" s="1"/>
  <c r="AC191" i="120"/>
  <c r="AD191" i="120" s="1"/>
  <c r="Z191" i="120"/>
  <c r="Y191" i="120"/>
  <c r="U191" i="120"/>
  <c r="V191" i="120" s="1"/>
  <c r="Q191" i="120"/>
  <c r="R191" i="120" s="1"/>
  <c r="M191" i="120"/>
  <c r="N191" i="120" s="1"/>
  <c r="AO190" i="120"/>
  <c r="AP190" i="120" s="1"/>
  <c r="AK190" i="120"/>
  <c r="AL190" i="120" s="1"/>
  <c r="AG190" i="120"/>
  <c r="AH190" i="120" s="1"/>
  <c r="AD190" i="120"/>
  <c r="AC190" i="120"/>
  <c r="Y190" i="120"/>
  <c r="Z190" i="120" s="1"/>
  <c r="U190" i="120"/>
  <c r="V190" i="120" s="1"/>
  <c r="Q190" i="120"/>
  <c r="R190" i="120" s="1"/>
  <c r="N190" i="120"/>
  <c r="M190" i="120"/>
  <c r="AO189" i="120"/>
  <c r="AP189" i="120" s="1"/>
  <c r="AL189" i="120"/>
  <c r="AK189" i="120"/>
  <c r="AG189" i="120"/>
  <c r="AH189" i="120" s="1"/>
  <c r="AC189" i="120"/>
  <c r="AD189" i="120" s="1"/>
  <c r="Y189" i="120"/>
  <c r="Z189" i="120" s="1"/>
  <c r="U189" i="120"/>
  <c r="V189" i="120" s="1"/>
  <c r="Q189" i="120"/>
  <c r="R189" i="120" s="1"/>
  <c r="M189" i="120"/>
  <c r="N189" i="120" s="1"/>
  <c r="AO188" i="120"/>
  <c r="AP188" i="120" s="1"/>
  <c r="AK188" i="120"/>
  <c r="AL188" i="120" s="1"/>
  <c r="AG188" i="120"/>
  <c r="AH188" i="120" s="1"/>
  <c r="AC188" i="120"/>
  <c r="AD188" i="120" s="1"/>
  <c r="Z188" i="120"/>
  <c r="Y188" i="120"/>
  <c r="U188" i="120"/>
  <c r="V188" i="120" s="1"/>
  <c r="Q188" i="120"/>
  <c r="R188" i="120" s="1"/>
  <c r="N188" i="120"/>
  <c r="M188" i="120"/>
  <c r="AO187" i="120"/>
  <c r="AP187" i="120" s="1"/>
  <c r="AK187" i="120"/>
  <c r="AL187" i="120" s="1"/>
  <c r="AG187" i="120"/>
  <c r="AH187" i="120" s="1"/>
  <c r="AC187" i="120"/>
  <c r="AD187" i="120" s="1"/>
  <c r="Z187" i="120"/>
  <c r="Y187" i="120"/>
  <c r="U187" i="120"/>
  <c r="V187" i="120" s="1"/>
  <c r="R187" i="120"/>
  <c r="Q187" i="120"/>
  <c r="M187" i="120"/>
  <c r="N187" i="120" s="1"/>
  <c r="AN186" i="120"/>
  <c r="AP186" i="120" s="1"/>
  <c r="AJ186" i="120"/>
  <c r="AL186" i="120" s="1"/>
  <c r="AF186" i="120"/>
  <c r="AH186" i="120" s="1"/>
  <c r="AD186" i="120"/>
  <c r="AB186" i="120"/>
  <c r="Z186" i="120"/>
  <c r="X186" i="120"/>
  <c r="T186" i="120"/>
  <c r="V186" i="120" s="1"/>
  <c r="P186" i="120"/>
  <c r="R186" i="120" s="1"/>
  <c r="L186" i="120"/>
  <c r="N186" i="120" s="1"/>
  <c r="AP185" i="120"/>
  <c r="AN185" i="120"/>
  <c r="AJ185" i="120"/>
  <c r="AL185" i="120" s="1"/>
  <c r="AF185" i="120"/>
  <c r="AH185" i="120" s="1"/>
  <c r="AD185" i="120"/>
  <c r="AB185" i="120"/>
  <c r="Z185" i="120"/>
  <c r="X185" i="120"/>
  <c r="T185" i="120"/>
  <c r="V185" i="120" s="1"/>
  <c r="P185" i="120"/>
  <c r="R185" i="120" s="1"/>
  <c r="L185" i="120"/>
  <c r="N185" i="120" s="1"/>
  <c r="AO184" i="120"/>
  <c r="AP184" i="120" s="1"/>
  <c r="AK184" i="120"/>
  <c r="AL184" i="120" s="1"/>
  <c r="AH184" i="120"/>
  <c r="AG184" i="120"/>
  <c r="AC184" i="120"/>
  <c r="AD184" i="120" s="1"/>
  <c r="Y184" i="120"/>
  <c r="Z184" i="120" s="1"/>
  <c r="U184" i="120"/>
  <c r="V184" i="120" s="1"/>
  <c r="R184" i="120"/>
  <c r="Q184" i="120"/>
  <c r="M184" i="120"/>
  <c r="N184" i="120" s="1"/>
  <c r="AP183" i="120"/>
  <c r="AN183" i="120"/>
  <c r="AJ183" i="120"/>
  <c r="AL183" i="120" s="1"/>
  <c r="AF183" i="120"/>
  <c r="AH183" i="120" s="1"/>
  <c r="AB183" i="120"/>
  <c r="AD183" i="120" s="1"/>
  <c r="Z183" i="120"/>
  <c r="X183" i="120"/>
  <c r="T183" i="120"/>
  <c r="V183" i="120" s="1"/>
  <c r="R183" i="120"/>
  <c r="P183" i="120"/>
  <c r="L183" i="120"/>
  <c r="N183" i="120" s="1"/>
  <c r="AO182" i="120"/>
  <c r="AP182" i="120" s="1"/>
  <c r="AL182" i="120"/>
  <c r="AK182" i="120"/>
  <c r="AG182" i="120"/>
  <c r="AH182" i="120" s="1"/>
  <c r="AC182" i="120"/>
  <c r="AD182" i="120" s="1"/>
  <c r="Y182" i="120"/>
  <c r="Z182" i="120" s="1"/>
  <c r="V182" i="120"/>
  <c r="U182" i="120"/>
  <c r="R182" i="120"/>
  <c r="Q182" i="120"/>
  <c r="N182" i="120"/>
  <c r="M182" i="120"/>
  <c r="AN181" i="120"/>
  <c r="AP181" i="120" s="1"/>
  <c r="AJ181" i="120"/>
  <c r="AL181" i="120" s="1"/>
  <c r="AF181" i="120"/>
  <c r="AH181" i="120" s="1"/>
  <c r="AD181" i="120"/>
  <c r="AB181" i="120"/>
  <c r="Z181" i="120"/>
  <c r="X181" i="120"/>
  <c r="V181" i="120"/>
  <c r="T181" i="120"/>
  <c r="P181" i="120"/>
  <c r="R181" i="120" s="1"/>
  <c r="L181" i="120"/>
  <c r="N181" i="120" s="1"/>
  <c r="AN180" i="120"/>
  <c r="AP180" i="120" s="1"/>
  <c r="AJ180" i="120"/>
  <c r="AL180" i="120" s="1"/>
  <c r="AH180" i="120"/>
  <c r="AF180" i="120"/>
  <c r="AB180" i="120"/>
  <c r="AD180" i="120" s="1"/>
  <c r="Z180" i="120"/>
  <c r="X180" i="120"/>
  <c r="T180" i="120"/>
  <c r="V180" i="120" s="1"/>
  <c r="R180" i="120"/>
  <c r="P180" i="120"/>
  <c r="L180" i="120"/>
  <c r="N180" i="120" s="1"/>
  <c r="AN179" i="120"/>
  <c r="AP179" i="120" s="1"/>
  <c r="AJ179" i="120"/>
  <c r="AL179" i="120" s="1"/>
  <c r="AF179" i="120"/>
  <c r="AH179" i="120" s="1"/>
  <c r="AB179" i="120"/>
  <c r="AD179" i="120" s="1"/>
  <c r="Z179" i="120"/>
  <c r="X179" i="120"/>
  <c r="V179" i="120"/>
  <c r="T179" i="120"/>
  <c r="P179" i="120"/>
  <c r="R179" i="120" s="1"/>
  <c r="L179" i="120"/>
  <c r="N179" i="120" s="1"/>
  <c r="AO178" i="120"/>
  <c r="AP178" i="120" s="1"/>
  <c r="AK178" i="120"/>
  <c r="AL178" i="120" s="1"/>
  <c r="AG178" i="120"/>
  <c r="AH178" i="120" s="1"/>
  <c r="AC178" i="120"/>
  <c r="AD178" i="120" s="1"/>
  <c r="Y178" i="120"/>
  <c r="Z178" i="120" s="1"/>
  <c r="U178" i="120"/>
  <c r="V178" i="120" s="1"/>
  <c r="Q178" i="120"/>
  <c r="R178" i="120" s="1"/>
  <c r="N178" i="120"/>
  <c r="M178" i="120"/>
  <c r="AN177" i="120"/>
  <c r="AP177" i="120" s="1"/>
  <c r="AJ177" i="120"/>
  <c r="AL177" i="120" s="1"/>
  <c r="AH177" i="120"/>
  <c r="AF177" i="120"/>
  <c r="AB177" i="120"/>
  <c r="AD177" i="120" s="1"/>
  <c r="Z177" i="120"/>
  <c r="X177" i="120"/>
  <c r="T177" i="120"/>
  <c r="V177" i="120" s="1"/>
  <c r="P177" i="120"/>
  <c r="R177" i="120" s="1"/>
  <c r="L177" i="120"/>
  <c r="N177" i="120" s="1"/>
  <c r="AP176" i="120"/>
  <c r="AN176" i="120"/>
  <c r="AJ176" i="120"/>
  <c r="AL176" i="120" s="1"/>
  <c r="AF176" i="120"/>
  <c r="AH176" i="120" s="1"/>
  <c r="AB176" i="120"/>
  <c r="AD176" i="120" s="1"/>
  <c r="Z176" i="120"/>
  <c r="X176" i="120"/>
  <c r="T176" i="120"/>
  <c r="V176" i="120" s="1"/>
  <c r="R176" i="120"/>
  <c r="P176" i="120"/>
  <c r="N176" i="120"/>
  <c r="L176" i="120"/>
  <c r="AO175" i="120"/>
  <c r="AP175" i="120" s="1"/>
  <c r="AK175" i="120"/>
  <c r="AL175" i="120" s="1"/>
  <c r="AH175" i="120"/>
  <c r="AG175" i="120"/>
  <c r="AC175" i="120"/>
  <c r="AD175" i="120" s="1"/>
  <c r="Z175" i="120"/>
  <c r="Y175" i="120"/>
  <c r="V175" i="120"/>
  <c r="U175" i="120"/>
  <c r="Q175" i="120"/>
  <c r="R175" i="120" s="1"/>
  <c r="M175" i="120"/>
  <c r="N175" i="120" s="1"/>
  <c r="AO174" i="120"/>
  <c r="AP174" i="120" s="1"/>
  <c r="AL174" i="120"/>
  <c r="AK174" i="120"/>
  <c r="AG174" i="120"/>
  <c r="AH174" i="120" s="1"/>
  <c r="AD174" i="120"/>
  <c r="AC174" i="120"/>
  <c r="Y174" i="120"/>
  <c r="Z174" i="120" s="1"/>
  <c r="U174" i="120"/>
  <c r="V174" i="120" s="1"/>
  <c r="Q174" i="120"/>
  <c r="R174" i="120" s="1"/>
  <c r="M174" i="120"/>
  <c r="N174" i="120" s="1"/>
  <c r="AO173" i="120"/>
  <c r="AP173" i="120" s="1"/>
  <c r="AK173" i="120"/>
  <c r="AL173" i="120" s="1"/>
  <c r="AG173" i="120"/>
  <c r="AH173" i="120" s="1"/>
  <c r="AC173" i="120"/>
  <c r="AD173" i="120" s="1"/>
  <c r="Y173" i="120"/>
  <c r="Z173" i="120" s="1"/>
  <c r="U173" i="120"/>
  <c r="V173" i="120" s="1"/>
  <c r="Q173" i="120"/>
  <c r="R173" i="120" s="1"/>
  <c r="N173" i="120"/>
  <c r="M173" i="120"/>
  <c r="AO172" i="120"/>
  <c r="AP172" i="120" s="1"/>
  <c r="AK172" i="120"/>
  <c r="AL172" i="120" s="1"/>
  <c r="AG172" i="120"/>
  <c r="AH172" i="120" s="1"/>
  <c r="AC172" i="120"/>
  <c r="AD172" i="120" s="1"/>
  <c r="Z172" i="120"/>
  <c r="Y172" i="120"/>
  <c r="U172" i="120"/>
  <c r="V172" i="120" s="1"/>
  <c r="R172" i="120"/>
  <c r="Q172" i="120"/>
  <c r="M172" i="120"/>
  <c r="N172" i="120" s="1"/>
  <c r="AO171" i="120"/>
  <c r="AP171" i="120" s="1"/>
  <c r="AK171" i="120"/>
  <c r="AL171" i="120" s="1"/>
  <c r="AG171" i="120"/>
  <c r="AH171" i="120" s="1"/>
  <c r="AC171" i="120"/>
  <c r="AD171" i="120" s="1"/>
  <c r="Y171" i="120"/>
  <c r="Z171" i="120" s="1"/>
  <c r="U171" i="120"/>
  <c r="V171" i="120" s="1"/>
  <c r="Q171" i="120"/>
  <c r="R171" i="120" s="1"/>
  <c r="N171" i="120"/>
  <c r="M171" i="120"/>
  <c r="AO170" i="120"/>
  <c r="AP170" i="120" s="1"/>
  <c r="AK170" i="120"/>
  <c r="AL170" i="120" s="1"/>
  <c r="AG170" i="120"/>
  <c r="AH170" i="120" s="1"/>
  <c r="AD170" i="120"/>
  <c r="AC170" i="120"/>
  <c r="Z170" i="120"/>
  <c r="Y170" i="120"/>
  <c r="U170" i="120"/>
  <c r="V170" i="120" s="1"/>
  <c r="Q170" i="120"/>
  <c r="R170" i="120" s="1"/>
  <c r="N170" i="120"/>
  <c r="M170" i="120"/>
  <c r="AO169" i="120"/>
  <c r="AP169" i="120" s="1"/>
  <c r="AK169" i="120"/>
  <c r="AL169" i="120" s="1"/>
  <c r="AG169" i="120"/>
  <c r="AH169" i="120" s="1"/>
  <c r="AD169" i="120"/>
  <c r="AC169" i="120"/>
  <c r="Y169" i="120"/>
  <c r="Z169" i="120" s="1"/>
  <c r="U169" i="120"/>
  <c r="V169" i="120" s="1"/>
  <c r="Q169" i="120"/>
  <c r="R169" i="120" s="1"/>
  <c r="M169" i="120"/>
  <c r="N169" i="120" s="1"/>
  <c r="AP168" i="120"/>
  <c r="AO168" i="120"/>
  <c r="AK168" i="120"/>
  <c r="AL168" i="120" s="1"/>
  <c r="AG168" i="120"/>
  <c r="AH168" i="120" s="1"/>
  <c r="AC168" i="120"/>
  <c r="AD168" i="120" s="1"/>
  <c r="Z168" i="120"/>
  <c r="Y168" i="120"/>
  <c r="U168" i="120"/>
  <c r="V168" i="120" s="1"/>
  <c r="Q168" i="120"/>
  <c r="R168" i="120" s="1"/>
  <c r="M168" i="120"/>
  <c r="N168" i="120" s="1"/>
  <c r="AP167" i="120"/>
  <c r="AO167" i="120"/>
  <c r="AK167" i="120"/>
  <c r="AL167" i="120" s="1"/>
  <c r="AG167" i="120"/>
  <c r="AH167" i="120" s="1"/>
  <c r="AC167" i="120"/>
  <c r="AD167" i="120" s="1"/>
  <c r="Y167" i="120"/>
  <c r="Z167" i="120" s="1"/>
  <c r="V167" i="120"/>
  <c r="U167" i="120"/>
  <c r="R167" i="120"/>
  <c r="Q167" i="120"/>
  <c r="M167" i="120"/>
  <c r="N167" i="120" s="1"/>
  <c r="AO166" i="120"/>
  <c r="AP166" i="120" s="1"/>
  <c r="AK166" i="120"/>
  <c r="AL166" i="120" s="1"/>
  <c r="AG166" i="120"/>
  <c r="AH166" i="120" s="1"/>
  <c r="AD166" i="120"/>
  <c r="AC166" i="120"/>
  <c r="Y166" i="120"/>
  <c r="Z166" i="120" s="1"/>
  <c r="U166" i="120"/>
  <c r="V166" i="120" s="1"/>
  <c r="Q166" i="120"/>
  <c r="R166" i="120" s="1"/>
  <c r="M166" i="120"/>
  <c r="N166" i="120" s="1"/>
  <c r="AP165" i="120"/>
  <c r="AO165" i="120"/>
  <c r="AK165" i="120"/>
  <c r="AL165" i="120" s="1"/>
  <c r="AG165" i="120"/>
  <c r="AH165" i="120" s="1"/>
  <c r="AC165" i="120"/>
  <c r="AD165" i="120" s="1"/>
  <c r="Y165" i="120"/>
  <c r="Z165" i="120" s="1"/>
  <c r="U165" i="120"/>
  <c r="V165" i="120" s="1"/>
  <c r="Q165" i="120"/>
  <c r="R165" i="120" s="1"/>
  <c r="M165" i="120"/>
  <c r="N165" i="120" s="1"/>
  <c r="AO164" i="120"/>
  <c r="AP164" i="120" s="1"/>
  <c r="AK164" i="120"/>
  <c r="AL164" i="120" s="1"/>
  <c r="AH164" i="120"/>
  <c r="AG164" i="120"/>
  <c r="AC164" i="120"/>
  <c r="AD164" i="120" s="1"/>
  <c r="Y164" i="120"/>
  <c r="Z164" i="120" s="1"/>
  <c r="V164" i="120"/>
  <c r="U164" i="120"/>
  <c r="Q164" i="120"/>
  <c r="R164" i="120" s="1"/>
  <c r="M164" i="120"/>
  <c r="N164" i="120" s="1"/>
  <c r="AP163" i="120"/>
  <c r="AO163" i="120"/>
  <c r="AL163" i="120"/>
  <c r="AK163" i="120"/>
  <c r="AH163" i="120"/>
  <c r="AG163" i="120"/>
  <c r="AC163" i="120"/>
  <c r="AD163" i="120" s="1"/>
  <c r="Y163" i="120"/>
  <c r="Z163" i="120" s="1"/>
  <c r="U163" i="120"/>
  <c r="V163" i="120" s="1"/>
  <c r="Q163" i="120"/>
  <c r="R163" i="120" s="1"/>
  <c r="M163" i="120"/>
  <c r="N163" i="120" s="1"/>
  <c r="AO162" i="120"/>
  <c r="AP162" i="120" s="1"/>
  <c r="AK162" i="120"/>
  <c r="AL162" i="120" s="1"/>
  <c r="AG162" i="120"/>
  <c r="AH162" i="120" s="1"/>
  <c r="AD162" i="120"/>
  <c r="AC162" i="120"/>
  <c r="Y162" i="120"/>
  <c r="Z162" i="120" s="1"/>
  <c r="U162" i="120"/>
  <c r="V162" i="120" s="1"/>
  <c r="R162" i="120"/>
  <c r="Q162" i="120"/>
  <c r="N162" i="120"/>
  <c r="M162" i="120"/>
  <c r="AP161" i="120"/>
  <c r="AN161" i="120"/>
  <c r="AJ161" i="120"/>
  <c r="AL161" i="120" s="1"/>
  <c r="AF161" i="120"/>
  <c r="AH161" i="120" s="1"/>
  <c r="AD161" i="120"/>
  <c r="AB161" i="120"/>
  <c r="Z161" i="120"/>
  <c r="X161" i="120"/>
  <c r="V161" i="120"/>
  <c r="T161" i="120"/>
  <c r="P161" i="120"/>
  <c r="R161" i="120" s="1"/>
  <c r="L161" i="120"/>
  <c r="N161" i="120" s="1"/>
  <c r="AO160" i="120"/>
  <c r="AP160" i="120" s="1"/>
  <c r="AK160" i="120"/>
  <c r="AL160" i="120" s="1"/>
  <c r="AH160" i="120"/>
  <c r="AG160" i="120"/>
  <c r="AC160" i="120"/>
  <c r="AD160" i="120" s="1"/>
  <c r="Y160" i="120"/>
  <c r="Z160" i="120" s="1"/>
  <c r="U160" i="120"/>
  <c r="V160" i="120" s="1"/>
  <c r="Q160" i="120"/>
  <c r="R160" i="120" s="1"/>
  <c r="M160" i="120"/>
  <c r="N160" i="120" s="1"/>
  <c r="AN159" i="120"/>
  <c r="AP159" i="120" s="1"/>
  <c r="AJ159" i="120"/>
  <c r="AL159" i="120" s="1"/>
  <c r="AH159" i="120"/>
  <c r="AF159" i="120"/>
  <c r="AB159" i="120"/>
  <c r="AD159" i="120" s="1"/>
  <c r="Z159" i="120"/>
  <c r="X159" i="120"/>
  <c r="T159" i="120"/>
  <c r="V159" i="120" s="1"/>
  <c r="R159" i="120"/>
  <c r="P159" i="120"/>
  <c r="L159" i="120"/>
  <c r="N159" i="120" s="1"/>
  <c r="AO158" i="120"/>
  <c r="AP158" i="120" s="1"/>
  <c r="AK158" i="120"/>
  <c r="AL158" i="120" s="1"/>
  <c r="AG158" i="120"/>
  <c r="AH158" i="120" s="1"/>
  <c r="AC158" i="120"/>
  <c r="AD158" i="120" s="1"/>
  <c r="Z158" i="120"/>
  <c r="Y158" i="120"/>
  <c r="U158" i="120"/>
  <c r="V158" i="120" s="1"/>
  <c r="Q158" i="120"/>
  <c r="R158" i="120" s="1"/>
  <c r="M158" i="120"/>
  <c r="N158" i="120" s="1"/>
  <c r="AP157" i="120"/>
  <c r="AN157" i="120"/>
  <c r="AL157" i="120"/>
  <c r="AJ157" i="120"/>
  <c r="AF157" i="120"/>
  <c r="AH157" i="120" s="1"/>
  <c r="AB157" i="120"/>
  <c r="AD157" i="120" s="1"/>
  <c r="Z157" i="120"/>
  <c r="X157" i="120"/>
  <c r="T157" i="120"/>
  <c r="V157" i="120" s="1"/>
  <c r="P157" i="120"/>
  <c r="R157" i="120" s="1"/>
  <c r="L157" i="120"/>
  <c r="N157" i="120" s="1"/>
  <c r="AO156" i="120"/>
  <c r="AP156" i="120" s="1"/>
  <c r="AK156" i="120"/>
  <c r="AL156" i="120" s="1"/>
  <c r="AG156" i="120"/>
  <c r="AH156" i="120" s="1"/>
  <c r="AC156" i="120"/>
  <c r="AD156" i="120" s="1"/>
  <c r="Y156" i="120"/>
  <c r="Z156" i="120" s="1"/>
  <c r="V156" i="120"/>
  <c r="U156" i="120"/>
  <c r="Q156" i="120"/>
  <c r="R156" i="120" s="1"/>
  <c r="M156" i="120"/>
  <c r="N156" i="120" s="1"/>
  <c r="AO155" i="120"/>
  <c r="AP155" i="120" s="1"/>
  <c r="AK155" i="120"/>
  <c r="AL155" i="120" s="1"/>
  <c r="AH155" i="120"/>
  <c r="AG155" i="120"/>
  <c r="AC155" i="120"/>
  <c r="AD155" i="120" s="1"/>
  <c r="Z155" i="120"/>
  <c r="Y155" i="120"/>
  <c r="U155" i="120"/>
  <c r="V155" i="120" s="1"/>
  <c r="Q155" i="120"/>
  <c r="R155" i="120" s="1"/>
  <c r="M155" i="120"/>
  <c r="N155" i="120" s="1"/>
  <c r="AO154" i="120"/>
  <c r="AP154" i="120" s="1"/>
  <c r="AK154" i="120"/>
  <c r="AL154" i="120" s="1"/>
  <c r="AG154" i="120"/>
  <c r="AH154" i="120" s="1"/>
  <c r="AC154" i="120"/>
  <c r="AD154" i="120" s="1"/>
  <c r="Y154" i="120"/>
  <c r="Z154" i="120" s="1"/>
  <c r="U154" i="120"/>
  <c r="V154" i="120" s="1"/>
  <c r="Q154" i="120"/>
  <c r="R154" i="120" s="1"/>
  <c r="M154" i="120"/>
  <c r="N154" i="120" s="1"/>
  <c r="AO153" i="120"/>
  <c r="AP153" i="120" s="1"/>
  <c r="AK153" i="120"/>
  <c r="AL153" i="120" s="1"/>
  <c r="AG153" i="120"/>
  <c r="AH153" i="120" s="1"/>
  <c r="AC153" i="120"/>
  <c r="AD153" i="120" s="1"/>
  <c r="Y153" i="120"/>
  <c r="Z153" i="120" s="1"/>
  <c r="V153" i="120"/>
  <c r="U153" i="120"/>
  <c r="Q153" i="120"/>
  <c r="R153" i="120" s="1"/>
  <c r="M153" i="120"/>
  <c r="N153" i="120" s="1"/>
  <c r="AP152" i="120"/>
  <c r="AO152" i="120"/>
  <c r="AK152" i="120"/>
  <c r="AL152" i="120" s="1"/>
  <c r="AH152" i="120"/>
  <c r="AG152" i="120"/>
  <c r="AC152" i="120"/>
  <c r="AD152" i="120" s="1"/>
  <c r="Z152" i="120"/>
  <c r="Y152" i="120"/>
  <c r="U152" i="120"/>
  <c r="V152" i="120" s="1"/>
  <c r="R152" i="120"/>
  <c r="Q152" i="120"/>
  <c r="M152" i="120"/>
  <c r="N152" i="120" s="1"/>
  <c r="AP151" i="120"/>
  <c r="AO151" i="120"/>
  <c r="AK151" i="120"/>
  <c r="AL151" i="120" s="1"/>
  <c r="AG151" i="120"/>
  <c r="AH151" i="120" s="1"/>
  <c r="AC151" i="120"/>
  <c r="AD151" i="120" s="1"/>
  <c r="Y151" i="120"/>
  <c r="Z151" i="120" s="1"/>
  <c r="U151" i="120"/>
  <c r="V151" i="120" s="1"/>
  <c r="Q151" i="120"/>
  <c r="R151" i="120" s="1"/>
  <c r="M151" i="120"/>
  <c r="N151" i="120" s="1"/>
  <c r="AO150" i="120"/>
  <c r="AP150" i="120" s="1"/>
  <c r="AK150" i="120"/>
  <c r="AL150" i="120" s="1"/>
  <c r="AG150" i="120"/>
  <c r="AH150" i="120" s="1"/>
  <c r="AC150" i="120"/>
  <c r="AD150" i="120" s="1"/>
  <c r="Z150" i="120"/>
  <c r="Y150" i="120"/>
  <c r="U150" i="120"/>
  <c r="V150" i="120" s="1"/>
  <c r="Q150" i="120"/>
  <c r="R150" i="120" s="1"/>
  <c r="M150" i="120"/>
  <c r="N150" i="120" s="1"/>
  <c r="AO149" i="120"/>
  <c r="AP149" i="120" s="1"/>
  <c r="AL149" i="120"/>
  <c r="AK149" i="120"/>
  <c r="AG149" i="120"/>
  <c r="AH149" i="120" s="1"/>
  <c r="AC149" i="120"/>
  <c r="AD149" i="120" s="1"/>
  <c r="Y149" i="120"/>
  <c r="Z149" i="120" s="1"/>
  <c r="U149" i="120"/>
  <c r="V149" i="120" s="1"/>
  <c r="Q149" i="120"/>
  <c r="R149" i="120" s="1"/>
  <c r="M149" i="120"/>
  <c r="N149" i="120" s="1"/>
  <c r="AO148" i="120"/>
  <c r="AP148" i="120" s="1"/>
  <c r="AK148" i="120"/>
  <c r="AL148" i="120" s="1"/>
  <c r="AG148" i="120"/>
  <c r="AH148" i="120" s="1"/>
  <c r="AC148" i="120"/>
  <c r="AD148" i="120" s="1"/>
  <c r="Y148" i="120"/>
  <c r="Z148" i="120" s="1"/>
  <c r="U148" i="120"/>
  <c r="V148" i="120" s="1"/>
  <c r="R148" i="120"/>
  <c r="Q148" i="120"/>
  <c r="N148" i="120"/>
  <c r="M148" i="120"/>
  <c r="AN147" i="120"/>
  <c r="AP147" i="120" s="1"/>
  <c r="AJ147" i="120"/>
  <c r="AL147" i="120" s="1"/>
  <c r="AF147" i="120"/>
  <c r="AH147" i="120" s="1"/>
  <c r="AD147" i="120"/>
  <c r="AB147" i="120"/>
  <c r="Z147" i="120"/>
  <c r="X147" i="120"/>
  <c r="T147" i="120"/>
  <c r="V147" i="120" s="1"/>
  <c r="R147" i="120"/>
  <c r="P147" i="120"/>
  <c r="L147" i="120"/>
  <c r="N147" i="120" s="1"/>
  <c r="AP146" i="120"/>
  <c r="AO146" i="120"/>
  <c r="AL146" i="120"/>
  <c r="AK146" i="120"/>
  <c r="AH146" i="120"/>
  <c r="AG146" i="120"/>
  <c r="AD146" i="120"/>
  <c r="AC146" i="120"/>
  <c r="Y146" i="120"/>
  <c r="Z146" i="120" s="1"/>
  <c r="V146" i="120"/>
  <c r="U146" i="120"/>
  <c r="Q146" i="120"/>
  <c r="R146" i="120" s="1"/>
  <c r="M146" i="120"/>
  <c r="N146" i="120" s="1"/>
  <c r="AQ146" i="120" s="1"/>
  <c r="AP145" i="120"/>
  <c r="AO145" i="120"/>
  <c r="AK145" i="120"/>
  <c r="AL145" i="120" s="1"/>
  <c r="AG145" i="120"/>
  <c r="AH145" i="120" s="1"/>
  <c r="AC145" i="120"/>
  <c r="AD145" i="120" s="1"/>
  <c r="Y145" i="120"/>
  <c r="Z145" i="120" s="1"/>
  <c r="U145" i="120"/>
  <c r="V145" i="120" s="1"/>
  <c r="Q145" i="120"/>
  <c r="R145" i="120" s="1"/>
  <c r="N145" i="120"/>
  <c r="M145" i="120"/>
  <c r="AN144" i="120"/>
  <c r="AP144" i="120" s="1"/>
  <c r="AJ144" i="120"/>
  <c r="AL144" i="120" s="1"/>
  <c r="AH144" i="120"/>
  <c r="AF144" i="120"/>
  <c r="AB144" i="120"/>
  <c r="AD144" i="120" s="1"/>
  <c r="Z144" i="120"/>
  <c r="X144" i="120"/>
  <c r="T144" i="120"/>
  <c r="V144" i="120" s="1"/>
  <c r="R144" i="120"/>
  <c r="P144" i="120"/>
  <c r="L144" i="120"/>
  <c r="N144" i="120" s="1"/>
  <c r="AP143" i="120"/>
  <c r="AO143" i="120"/>
  <c r="AK143" i="120"/>
  <c r="AL143" i="120" s="1"/>
  <c r="AH143" i="120"/>
  <c r="AG143" i="120"/>
  <c r="AC143" i="120"/>
  <c r="AD143" i="120" s="1"/>
  <c r="Y143" i="120"/>
  <c r="Z143" i="120" s="1"/>
  <c r="U143" i="120"/>
  <c r="V143" i="120" s="1"/>
  <c r="R143" i="120"/>
  <c r="Q143" i="120"/>
  <c r="M143" i="120"/>
  <c r="N143" i="120" s="1"/>
  <c r="AO142" i="120"/>
  <c r="AP142" i="120" s="1"/>
  <c r="AK142" i="120"/>
  <c r="AL142" i="120" s="1"/>
  <c r="AG142" i="120"/>
  <c r="AH142" i="120" s="1"/>
  <c r="AC142" i="120"/>
  <c r="AD142" i="120" s="1"/>
  <c r="Y142" i="120"/>
  <c r="Z142" i="120" s="1"/>
  <c r="U142" i="120"/>
  <c r="V142" i="120" s="1"/>
  <c r="R142" i="120"/>
  <c r="Q142" i="120"/>
  <c r="M142" i="120"/>
  <c r="N142" i="120" s="1"/>
  <c r="AN141" i="120"/>
  <c r="AP141" i="120" s="1"/>
  <c r="AJ141" i="120"/>
  <c r="AL141" i="120" s="1"/>
  <c r="AF141" i="120"/>
  <c r="AH141" i="120" s="1"/>
  <c r="AB141" i="120"/>
  <c r="AD141" i="120" s="1"/>
  <c r="Z141" i="120"/>
  <c r="X141" i="120"/>
  <c r="T141" i="120"/>
  <c r="V141" i="120" s="1"/>
  <c r="P141" i="120"/>
  <c r="R141" i="120" s="1"/>
  <c r="L141" i="120"/>
  <c r="N141" i="120" s="1"/>
  <c r="AN140" i="120"/>
  <c r="AP140" i="120" s="1"/>
  <c r="AL140" i="120"/>
  <c r="AJ140" i="120"/>
  <c r="AH140" i="120"/>
  <c r="AF140" i="120"/>
  <c r="AB140" i="120"/>
  <c r="AD140" i="120" s="1"/>
  <c r="Z140" i="120"/>
  <c r="X140" i="120"/>
  <c r="T140" i="120"/>
  <c r="V140" i="120" s="1"/>
  <c r="P140" i="120"/>
  <c r="R140" i="120" s="1"/>
  <c r="L140" i="120"/>
  <c r="N140" i="120" s="1"/>
  <c r="AN139" i="120"/>
  <c r="AP139" i="120" s="1"/>
  <c r="AJ139" i="120"/>
  <c r="AL139" i="120" s="1"/>
  <c r="AF139" i="120"/>
  <c r="AH139" i="120" s="1"/>
  <c r="AB139" i="120"/>
  <c r="AD139" i="120" s="1"/>
  <c r="Z139" i="120"/>
  <c r="X139" i="120"/>
  <c r="V139" i="120"/>
  <c r="T139" i="120"/>
  <c r="P139" i="120"/>
  <c r="R139" i="120" s="1"/>
  <c r="L139" i="120"/>
  <c r="N139" i="120" s="1"/>
  <c r="AO138" i="120"/>
  <c r="AP138" i="120" s="1"/>
  <c r="AK138" i="120"/>
  <c r="AL138" i="120" s="1"/>
  <c r="AH138" i="120"/>
  <c r="AG138" i="120"/>
  <c r="AC138" i="120"/>
  <c r="AD138" i="120" s="1"/>
  <c r="Y138" i="120"/>
  <c r="Z138" i="120" s="1"/>
  <c r="U138" i="120"/>
  <c r="V138" i="120" s="1"/>
  <c r="Q138" i="120"/>
  <c r="R138" i="120" s="1"/>
  <c r="M138" i="120"/>
  <c r="N138" i="120" s="1"/>
  <c r="AO137" i="120"/>
  <c r="AP137" i="120" s="1"/>
  <c r="AK137" i="120"/>
  <c r="AL137" i="120" s="1"/>
  <c r="AG137" i="120"/>
  <c r="AH137" i="120" s="1"/>
  <c r="AC137" i="120"/>
  <c r="AD137" i="120" s="1"/>
  <c r="Y137" i="120"/>
  <c r="Z137" i="120" s="1"/>
  <c r="U137" i="120"/>
  <c r="V137" i="120" s="1"/>
  <c r="Q137" i="120"/>
  <c r="R137" i="120" s="1"/>
  <c r="M137" i="120"/>
  <c r="N137" i="120" s="1"/>
  <c r="AP136" i="120"/>
  <c r="AN136" i="120"/>
  <c r="AJ136" i="120"/>
  <c r="AL136" i="120" s="1"/>
  <c r="AF136" i="120"/>
  <c r="AH136" i="120" s="1"/>
  <c r="AB136" i="120"/>
  <c r="AD136" i="120" s="1"/>
  <c r="Z136" i="120"/>
  <c r="X136" i="120"/>
  <c r="T136" i="120"/>
  <c r="V136" i="120" s="1"/>
  <c r="P136" i="120"/>
  <c r="R136" i="120" s="1"/>
  <c r="L136" i="120"/>
  <c r="N136" i="120" s="1"/>
  <c r="AO135" i="120"/>
  <c r="AP135" i="120" s="1"/>
  <c r="AK135" i="120"/>
  <c r="AL135" i="120" s="1"/>
  <c r="AH135" i="120"/>
  <c r="AG135" i="120"/>
  <c r="AC135" i="120"/>
  <c r="AD135" i="120" s="1"/>
  <c r="Z135" i="120"/>
  <c r="Y135" i="120"/>
  <c r="U135" i="120"/>
  <c r="V135" i="120" s="1"/>
  <c r="Q135" i="120"/>
  <c r="R135" i="120" s="1"/>
  <c r="M135" i="120"/>
  <c r="N135" i="120" s="1"/>
  <c r="AN134" i="120"/>
  <c r="AP134" i="120" s="1"/>
  <c r="AL134" i="120"/>
  <c r="AJ134" i="120"/>
  <c r="AF134" i="120"/>
  <c r="AH134" i="120" s="1"/>
  <c r="AD134" i="120"/>
  <c r="AB134" i="120"/>
  <c r="Z134" i="120"/>
  <c r="X134" i="120"/>
  <c r="T134" i="120"/>
  <c r="V134" i="120" s="1"/>
  <c r="P134" i="120"/>
  <c r="R134" i="120" s="1"/>
  <c r="N134" i="120"/>
  <c r="L134" i="120"/>
  <c r="AN133" i="120"/>
  <c r="AP133" i="120" s="1"/>
  <c r="AJ133" i="120"/>
  <c r="AL133" i="120" s="1"/>
  <c r="AF133" i="120"/>
  <c r="AH133" i="120" s="1"/>
  <c r="AB133" i="120"/>
  <c r="AD133" i="120" s="1"/>
  <c r="Z133" i="120"/>
  <c r="X133" i="120"/>
  <c r="T133" i="120"/>
  <c r="V133" i="120" s="1"/>
  <c r="P133" i="120"/>
  <c r="R133" i="120" s="1"/>
  <c r="N133" i="120"/>
  <c r="L133" i="120"/>
  <c r="AN132" i="120"/>
  <c r="AP132" i="120" s="1"/>
  <c r="AL132" i="120"/>
  <c r="AJ132" i="120"/>
  <c r="AF132" i="120"/>
  <c r="AH132" i="120" s="1"/>
  <c r="AB132" i="120"/>
  <c r="AD132" i="120" s="1"/>
  <c r="Z132" i="120"/>
  <c r="X132" i="120"/>
  <c r="T132" i="120"/>
  <c r="V132" i="120" s="1"/>
  <c r="P132" i="120"/>
  <c r="R132" i="120" s="1"/>
  <c r="L132" i="120"/>
  <c r="N132" i="120" s="1"/>
  <c r="AP131" i="120"/>
  <c r="AN131" i="120"/>
  <c r="AL131" i="120"/>
  <c r="AJ131" i="120"/>
  <c r="AF131" i="120"/>
  <c r="AH131" i="120" s="1"/>
  <c r="AB131" i="120"/>
  <c r="AD131" i="120" s="1"/>
  <c r="Z131" i="120"/>
  <c r="X131" i="120"/>
  <c r="T131" i="120"/>
  <c r="V131" i="120" s="1"/>
  <c r="P131" i="120"/>
  <c r="R131" i="120" s="1"/>
  <c r="L131" i="120"/>
  <c r="N131" i="120" s="1"/>
  <c r="AN130" i="120"/>
  <c r="AP130" i="120" s="1"/>
  <c r="AL130" i="120"/>
  <c r="AJ130" i="120"/>
  <c r="AF130" i="120"/>
  <c r="AH130" i="120" s="1"/>
  <c r="AD130" i="120"/>
  <c r="AB130" i="120"/>
  <c r="Z130" i="120"/>
  <c r="X130" i="120"/>
  <c r="T130" i="120"/>
  <c r="V130" i="120" s="1"/>
  <c r="P130" i="120"/>
  <c r="R130" i="120" s="1"/>
  <c r="L130" i="120"/>
  <c r="N130" i="120" s="1"/>
  <c r="AN129" i="120"/>
  <c r="AP129" i="120" s="1"/>
  <c r="AL129" i="120"/>
  <c r="AJ129" i="120"/>
  <c r="AF129" i="120"/>
  <c r="AH129" i="120" s="1"/>
  <c r="AD129" i="120"/>
  <c r="AB129" i="120"/>
  <c r="Z129" i="120"/>
  <c r="X129" i="120"/>
  <c r="T129" i="120"/>
  <c r="V129" i="120" s="1"/>
  <c r="P129" i="120"/>
  <c r="R129" i="120" s="1"/>
  <c r="L129" i="120"/>
  <c r="N129" i="120" s="1"/>
  <c r="AP128" i="120"/>
  <c r="AO128" i="120"/>
  <c r="AK128" i="120"/>
  <c r="AL128" i="120" s="1"/>
  <c r="AH128" i="120"/>
  <c r="AG128" i="120"/>
  <c r="AC128" i="120"/>
  <c r="AD128" i="120" s="1"/>
  <c r="Z128" i="120"/>
  <c r="Y128" i="120"/>
  <c r="U128" i="120"/>
  <c r="V128" i="120" s="1"/>
  <c r="Q128" i="120"/>
  <c r="R128" i="120" s="1"/>
  <c r="M128" i="120"/>
  <c r="N128" i="120" s="1"/>
  <c r="AN127" i="120"/>
  <c r="AP127" i="120" s="1"/>
  <c r="AL127" i="120"/>
  <c r="AJ127" i="120"/>
  <c r="AF127" i="120"/>
  <c r="AH127" i="120" s="1"/>
  <c r="AB127" i="120"/>
  <c r="AD127" i="120" s="1"/>
  <c r="Z127" i="120"/>
  <c r="X127" i="120"/>
  <c r="V127" i="120"/>
  <c r="T127" i="120"/>
  <c r="P127" i="120"/>
  <c r="R127" i="120" s="1"/>
  <c r="L127" i="120"/>
  <c r="N127" i="120" s="1"/>
  <c r="AO126" i="120"/>
  <c r="AP126" i="120" s="1"/>
  <c r="AK126" i="120"/>
  <c r="AL126" i="120" s="1"/>
  <c r="AG126" i="120"/>
  <c r="AH126" i="120" s="1"/>
  <c r="AC126" i="120"/>
  <c r="AD126" i="120" s="1"/>
  <c r="Y126" i="120"/>
  <c r="Z126" i="120" s="1"/>
  <c r="U126" i="120"/>
  <c r="V126" i="120" s="1"/>
  <c r="Q126" i="120"/>
  <c r="R126" i="120" s="1"/>
  <c r="M126" i="120"/>
  <c r="N126" i="120" s="1"/>
  <c r="AP125" i="120"/>
  <c r="AN125" i="120"/>
  <c r="AJ125" i="120"/>
  <c r="AL125" i="120" s="1"/>
  <c r="AF125" i="120"/>
  <c r="AH125" i="120" s="1"/>
  <c r="AB125" i="120"/>
  <c r="AD125" i="120" s="1"/>
  <c r="Z125" i="120"/>
  <c r="X125" i="120"/>
  <c r="T125" i="120"/>
  <c r="V125" i="120" s="1"/>
  <c r="P125" i="120"/>
  <c r="R125" i="120" s="1"/>
  <c r="L125" i="120"/>
  <c r="N125" i="120" s="1"/>
  <c r="AO124" i="120"/>
  <c r="AP124" i="120" s="1"/>
  <c r="AK124" i="120"/>
  <c r="AL124" i="120" s="1"/>
  <c r="AG124" i="120"/>
  <c r="AH124" i="120" s="1"/>
  <c r="AD124" i="120"/>
  <c r="AC124" i="120"/>
  <c r="Y124" i="120"/>
  <c r="Z124" i="120" s="1"/>
  <c r="U124" i="120"/>
  <c r="V124" i="120" s="1"/>
  <c r="Q124" i="120"/>
  <c r="R124" i="120" s="1"/>
  <c r="M124" i="120"/>
  <c r="N124" i="120" s="1"/>
  <c r="AO123" i="120"/>
  <c r="AP123" i="120" s="1"/>
  <c r="AK123" i="120"/>
  <c r="AL123" i="120" s="1"/>
  <c r="AH123" i="120"/>
  <c r="AG123" i="120"/>
  <c r="AC123" i="120"/>
  <c r="AD123" i="120" s="1"/>
  <c r="Y123" i="120"/>
  <c r="Z123" i="120" s="1"/>
  <c r="U123" i="120"/>
  <c r="V123" i="120" s="1"/>
  <c r="Q123" i="120"/>
  <c r="R123" i="120" s="1"/>
  <c r="M123" i="120"/>
  <c r="N123" i="120" s="1"/>
  <c r="AO122" i="120"/>
  <c r="AP122" i="120" s="1"/>
  <c r="AK122" i="120"/>
  <c r="AL122" i="120" s="1"/>
  <c r="AG122" i="120"/>
  <c r="AH122" i="120" s="1"/>
  <c r="AC122" i="120"/>
  <c r="AD122" i="120" s="1"/>
  <c r="Y122" i="120"/>
  <c r="Z122" i="120" s="1"/>
  <c r="V122" i="120"/>
  <c r="U122" i="120"/>
  <c r="R122" i="120"/>
  <c r="Q122" i="120"/>
  <c r="M122" i="120"/>
  <c r="N122" i="120" s="1"/>
  <c r="AO121" i="120"/>
  <c r="AP121" i="120" s="1"/>
  <c r="AK121" i="120"/>
  <c r="AL121" i="120" s="1"/>
  <c r="AG121" i="120"/>
  <c r="AH121" i="120" s="1"/>
  <c r="AC121" i="120"/>
  <c r="AD121" i="120" s="1"/>
  <c r="Y121" i="120"/>
  <c r="Z121" i="120" s="1"/>
  <c r="U121" i="120"/>
  <c r="V121" i="120" s="1"/>
  <c r="Q121" i="120"/>
  <c r="R121" i="120" s="1"/>
  <c r="M121" i="120"/>
  <c r="N121" i="120" s="1"/>
  <c r="AO120" i="120"/>
  <c r="AP120" i="120" s="1"/>
  <c r="AK120" i="120"/>
  <c r="AL120" i="120" s="1"/>
  <c r="AG120" i="120"/>
  <c r="AH120" i="120" s="1"/>
  <c r="AC120" i="120"/>
  <c r="AD120" i="120" s="1"/>
  <c r="Y120" i="120"/>
  <c r="Z120" i="120" s="1"/>
  <c r="U120" i="120"/>
  <c r="V120" i="120" s="1"/>
  <c r="Q120" i="120"/>
  <c r="R120" i="120" s="1"/>
  <c r="M120" i="120"/>
  <c r="N120" i="120" s="1"/>
  <c r="AO119" i="120"/>
  <c r="AP119" i="120" s="1"/>
  <c r="AK119" i="120"/>
  <c r="AL119" i="120" s="1"/>
  <c r="AG119" i="120"/>
  <c r="AH119" i="120" s="1"/>
  <c r="AC119" i="120"/>
  <c r="AD119" i="120" s="1"/>
  <c r="Y119" i="120"/>
  <c r="Z119" i="120" s="1"/>
  <c r="U119" i="120"/>
  <c r="V119" i="120" s="1"/>
  <c r="R119" i="120"/>
  <c r="Q119" i="120"/>
  <c r="M119" i="120"/>
  <c r="N119" i="120" s="1"/>
  <c r="AO118" i="120"/>
  <c r="AP118" i="120" s="1"/>
  <c r="AK118" i="120"/>
  <c r="AL118" i="120" s="1"/>
  <c r="AG118" i="120"/>
  <c r="AH118" i="120" s="1"/>
  <c r="AC118" i="120"/>
  <c r="AD118" i="120" s="1"/>
  <c r="Y118" i="120"/>
  <c r="Z118" i="120" s="1"/>
  <c r="U118" i="120"/>
  <c r="V118" i="120" s="1"/>
  <c r="Q118" i="120"/>
  <c r="R118" i="120" s="1"/>
  <c r="N118" i="120"/>
  <c r="M118" i="120"/>
  <c r="AP117" i="120"/>
  <c r="AN117" i="120"/>
  <c r="AJ117" i="120"/>
  <c r="AL117" i="120" s="1"/>
  <c r="AH117" i="120"/>
  <c r="AF117" i="120"/>
  <c r="AB117" i="120"/>
  <c r="AD117" i="120" s="1"/>
  <c r="Z117" i="120"/>
  <c r="X117" i="120"/>
  <c r="T117" i="120"/>
  <c r="V117" i="120" s="1"/>
  <c r="R117" i="120"/>
  <c r="P117" i="120"/>
  <c r="L117" i="120"/>
  <c r="N117" i="120" s="1"/>
  <c r="AP116" i="120"/>
  <c r="AO116" i="120"/>
  <c r="AK116" i="120"/>
  <c r="AL116" i="120" s="1"/>
  <c r="AG116" i="120"/>
  <c r="AH116" i="120" s="1"/>
  <c r="AC116" i="120"/>
  <c r="AD116" i="120" s="1"/>
  <c r="Z116" i="120"/>
  <c r="Y116" i="120"/>
  <c r="U116" i="120"/>
  <c r="V116" i="120" s="1"/>
  <c r="Q116" i="120"/>
  <c r="R116" i="120" s="1"/>
  <c r="M116" i="120"/>
  <c r="N116" i="120" s="1"/>
  <c r="AO115" i="120"/>
  <c r="AP115" i="120" s="1"/>
  <c r="AK115" i="120"/>
  <c r="AL115" i="120" s="1"/>
  <c r="AG115" i="120"/>
  <c r="AH115" i="120" s="1"/>
  <c r="AC115" i="120"/>
  <c r="AD115" i="120" s="1"/>
  <c r="Y115" i="120"/>
  <c r="Z115" i="120" s="1"/>
  <c r="V115" i="120"/>
  <c r="U115" i="120"/>
  <c r="Q115" i="120"/>
  <c r="R115" i="120" s="1"/>
  <c r="M115" i="120"/>
  <c r="N115" i="120" s="1"/>
  <c r="AO114" i="120"/>
  <c r="AP114" i="120" s="1"/>
  <c r="AK114" i="120"/>
  <c r="AL114" i="120" s="1"/>
  <c r="AG114" i="120"/>
  <c r="AH114" i="120" s="1"/>
  <c r="AC114" i="120"/>
  <c r="AD114" i="120" s="1"/>
  <c r="Y114" i="120"/>
  <c r="Z114" i="120" s="1"/>
  <c r="U114" i="120"/>
  <c r="V114" i="120" s="1"/>
  <c r="Q114" i="120"/>
  <c r="R114" i="120" s="1"/>
  <c r="N114" i="120"/>
  <c r="M114" i="120"/>
  <c r="AP113" i="120"/>
  <c r="AO113" i="120"/>
  <c r="AK113" i="120"/>
  <c r="AL113" i="120" s="1"/>
  <c r="AG113" i="120"/>
  <c r="AH113" i="120" s="1"/>
  <c r="AC113" i="120"/>
  <c r="AD113" i="120" s="1"/>
  <c r="Y113" i="120"/>
  <c r="Z113" i="120" s="1"/>
  <c r="U113" i="120"/>
  <c r="V113" i="120" s="1"/>
  <c r="Q113" i="120"/>
  <c r="R113" i="120" s="1"/>
  <c r="M113" i="120"/>
  <c r="N113" i="120" s="1"/>
  <c r="AO112" i="120"/>
  <c r="AP112" i="120" s="1"/>
  <c r="AK112" i="120"/>
  <c r="AL112" i="120" s="1"/>
  <c r="AH112" i="120"/>
  <c r="AG112" i="120"/>
  <c r="AC112" i="120"/>
  <c r="AD112" i="120" s="1"/>
  <c r="Z112" i="120"/>
  <c r="Y112" i="120"/>
  <c r="U112" i="120"/>
  <c r="V112" i="120" s="1"/>
  <c r="R112" i="120"/>
  <c r="Q112" i="120"/>
  <c r="M112" i="120"/>
  <c r="N112" i="120" s="1"/>
  <c r="AP111" i="120"/>
  <c r="AO111" i="120"/>
  <c r="AK111" i="120"/>
  <c r="AL111" i="120" s="1"/>
  <c r="AG111" i="120"/>
  <c r="AH111" i="120" s="1"/>
  <c r="AC111" i="120"/>
  <c r="AD111" i="120" s="1"/>
  <c r="Y111" i="120"/>
  <c r="Z111" i="120" s="1"/>
  <c r="U111" i="120"/>
  <c r="V111" i="120" s="1"/>
  <c r="Q111" i="120"/>
  <c r="R111" i="120" s="1"/>
  <c r="M111" i="120"/>
  <c r="N111" i="120" s="1"/>
  <c r="AO110" i="120"/>
  <c r="AP110" i="120" s="1"/>
  <c r="AL110" i="120"/>
  <c r="AK110" i="120"/>
  <c r="AG110" i="120"/>
  <c r="AH110" i="120" s="1"/>
  <c r="AD110" i="120"/>
  <c r="AC110" i="120"/>
  <c r="Z110" i="120"/>
  <c r="Y110" i="120"/>
  <c r="U110" i="120"/>
  <c r="V110" i="120" s="1"/>
  <c r="Q110" i="120"/>
  <c r="R110" i="120" s="1"/>
  <c r="N110" i="120"/>
  <c r="M110" i="120"/>
  <c r="AO109" i="120"/>
  <c r="AP109" i="120" s="1"/>
  <c r="AK109" i="120"/>
  <c r="AL109" i="120" s="1"/>
  <c r="AG109" i="120"/>
  <c r="AH109" i="120" s="1"/>
  <c r="AD109" i="120"/>
  <c r="AC109" i="120"/>
  <c r="Y109" i="120"/>
  <c r="Z109" i="120" s="1"/>
  <c r="U109" i="120"/>
  <c r="V109" i="120" s="1"/>
  <c r="Q109" i="120"/>
  <c r="R109" i="120" s="1"/>
  <c r="M109" i="120"/>
  <c r="N109" i="120" s="1"/>
  <c r="AO108" i="120"/>
  <c r="AP108" i="120" s="1"/>
  <c r="AK108" i="120"/>
  <c r="AL108" i="120" s="1"/>
  <c r="AG108" i="120"/>
  <c r="AH108" i="120" s="1"/>
  <c r="AC108" i="120"/>
  <c r="AD108" i="120" s="1"/>
  <c r="Y108" i="120"/>
  <c r="Z108" i="120" s="1"/>
  <c r="U108" i="120"/>
  <c r="V108" i="120" s="1"/>
  <c r="R108" i="120"/>
  <c r="Q108" i="120"/>
  <c r="N108" i="120"/>
  <c r="M108" i="120"/>
  <c r="AP107" i="120"/>
  <c r="AN107" i="120"/>
  <c r="AL107" i="120"/>
  <c r="AJ107" i="120"/>
  <c r="AF107" i="120"/>
  <c r="AH107" i="120" s="1"/>
  <c r="AB107" i="120"/>
  <c r="AD107" i="120" s="1"/>
  <c r="Z107" i="120"/>
  <c r="X107" i="120"/>
  <c r="T107" i="120"/>
  <c r="V107" i="120" s="1"/>
  <c r="R107" i="120"/>
  <c r="P107" i="120"/>
  <c r="L107" i="120"/>
  <c r="N107" i="120" s="1"/>
  <c r="AN106" i="120"/>
  <c r="AP106" i="120" s="1"/>
  <c r="AJ106" i="120"/>
  <c r="AL106" i="120" s="1"/>
  <c r="AH106" i="120"/>
  <c r="AF106" i="120"/>
  <c r="AB106" i="120"/>
  <c r="AD106" i="120" s="1"/>
  <c r="Z106" i="120"/>
  <c r="X106" i="120"/>
  <c r="T106" i="120"/>
  <c r="V106" i="120" s="1"/>
  <c r="P106" i="120"/>
  <c r="R106" i="120" s="1"/>
  <c r="L106" i="120"/>
  <c r="N106" i="120" s="1"/>
  <c r="AO105" i="120"/>
  <c r="AP105" i="120" s="1"/>
  <c r="AK105" i="120"/>
  <c r="AL105" i="120" s="1"/>
  <c r="AG105" i="120"/>
  <c r="AH105" i="120" s="1"/>
  <c r="AC105" i="120"/>
  <c r="AD105" i="120" s="1"/>
  <c r="Y105" i="120"/>
  <c r="Z105" i="120" s="1"/>
  <c r="U105" i="120"/>
  <c r="V105" i="120" s="1"/>
  <c r="Q105" i="120"/>
  <c r="R105" i="120" s="1"/>
  <c r="M105" i="120"/>
  <c r="N105" i="120" s="1"/>
  <c r="AN104" i="120"/>
  <c r="AP104" i="120" s="1"/>
  <c r="AJ104" i="120"/>
  <c r="AL104" i="120" s="1"/>
  <c r="AH104" i="120"/>
  <c r="AF104" i="120"/>
  <c r="AB104" i="120"/>
  <c r="AD104" i="120" s="1"/>
  <c r="Z104" i="120"/>
  <c r="X104" i="120"/>
  <c r="T104" i="120"/>
  <c r="V104" i="120" s="1"/>
  <c r="P104" i="120"/>
  <c r="R104" i="120" s="1"/>
  <c r="L104" i="120"/>
  <c r="N104" i="120" s="1"/>
  <c r="AO103" i="120"/>
  <c r="AP103" i="120" s="1"/>
  <c r="AL103" i="120"/>
  <c r="AK103" i="120"/>
  <c r="AH103" i="120"/>
  <c r="AG103" i="120"/>
  <c r="AC103" i="120"/>
  <c r="AD103" i="120" s="1"/>
  <c r="Y103" i="120"/>
  <c r="Z103" i="120" s="1"/>
  <c r="U103" i="120"/>
  <c r="V103" i="120" s="1"/>
  <c r="R103" i="120"/>
  <c r="Q103" i="120"/>
  <c r="M103" i="120"/>
  <c r="N103" i="120" s="1"/>
  <c r="AN102" i="120"/>
  <c r="AP102" i="120" s="1"/>
  <c r="AL102" i="120"/>
  <c r="AJ102" i="120"/>
  <c r="AF102" i="120"/>
  <c r="AH102" i="120" s="1"/>
  <c r="AB102" i="120"/>
  <c r="AD102" i="120" s="1"/>
  <c r="Z102" i="120"/>
  <c r="X102" i="120"/>
  <c r="T102" i="120"/>
  <c r="V102" i="120" s="1"/>
  <c r="P102" i="120"/>
  <c r="R102" i="120" s="1"/>
  <c r="L102" i="120"/>
  <c r="N102" i="120" s="1"/>
  <c r="AN101" i="120"/>
  <c r="AP101" i="120" s="1"/>
  <c r="AJ101" i="120"/>
  <c r="AL101" i="120" s="1"/>
  <c r="AF101" i="120"/>
  <c r="AH101" i="120" s="1"/>
  <c r="AB101" i="120"/>
  <c r="AD101" i="120" s="1"/>
  <c r="Z101" i="120"/>
  <c r="X101" i="120"/>
  <c r="V101" i="120"/>
  <c r="T101" i="120"/>
  <c r="P101" i="120"/>
  <c r="R101" i="120" s="1"/>
  <c r="L101" i="120"/>
  <c r="N101" i="120" s="1"/>
  <c r="AN100" i="120"/>
  <c r="AP100" i="120" s="1"/>
  <c r="AJ100" i="120"/>
  <c r="AL100" i="120" s="1"/>
  <c r="AF100" i="120"/>
  <c r="AH100" i="120" s="1"/>
  <c r="AB100" i="120"/>
  <c r="AD100" i="120" s="1"/>
  <c r="Z100" i="120"/>
  <c r="X100" i="120"/>
  <c r="T100" i="120"/>
  <c r="V100" i="120" s="1"/>
  <c r="P100" i="120"/>
  <c r="R100" i="120" s="1"/>
  <c r="L100" i="120"/>
  <c r="N100" i="120" s="1"/>
  <c r="AO99" i="120"/>
  <c r="AP99" i="120" s="1"/>
  <c r="AK99" i="120"/>
  <c r="AL99" i="120" s="1"/>
  <c r="AG99" i="120"/>
  <c r="AH99" i="120" s="1"/>
  <c r="AD99" i="120"/>
  <c r="AC99" i="120"/>
  <c r="Y99" i="120"/>
  <c r="Z99" i="120" s="1"/>
  <c r="U99" i="120"/>
  <c r="V99" i="120" s="1"/>
  <c r="R99" i="120"/>
  <c r="Q99" i="120"/>
  <c r="N99" i="120"/>
  <c r="M99" i="120"/>
  <c r="AN98" i="120"/>
  <c r="AP98" i="120" s="1"/>
  <c r="AJ98" i="120"/>
  <c r="AL98" i="120" s="1"/>
  <c r="AF98" i="120"/>
  <c r="AH98" i="120" s="1"/>
  <c r="AD98" i="120"/>
  <c r="AB98" i="120"/>
  <c r="Z98" i="120"/>
  <c r="X98" i="120"/>
  <c r="T98" i="120"/>
  <c r="V98" i="120" s="1"/>
  <c r="P98" i="120"/>
  <c r="R98" i="120" s="1"/>
  <c r="L98" i="120"/>
  <c r="N98" i="120" s="1"/>
  <c r="AN97" i="120"/>
  <c r="AP97" i="120" s="1"/>
  <c r="AJ97" i="120"/>
  <c r="AL97" i="120" s="1"/>
  <c r="AF97" i="120"/>
  <c r="AH97" i="120" s="1"/>
  <c r="AB97" i="120"/>
  <c r="AD97" i="120" s="1"/>
  <c r="Z97" i="120"/>
  <c r="X97" i="120"/>
  <c r="V97" i="120"/>
  <c r="T97" i="120"/>
  <c r="P97" i="120"/>
  <c r="R97" i="120" s="1"/>
  <c r="L97" i="120"/>
  <c r="N97" i="120" s="1"/>
  <c r="AP96" i="120"/>
  <c r="AO96" i="120"/>
  <c r="AK96" i="120"/>
  <c r="AL96" i="120" s="1"/>
  <c r="AG96" i="120"/>
  <c r="AH96" i="120" s="1"/>
  <c r="AC96" i="120"/>
  <c r="AD96" i="120" s="1"/>
  <c r="Z96" i="120"/>
  <c r="Y96" i="120"/>
  <c r="V96" i="120"/>
  <c r="U96" i="120"/>
  <c r="Q96" i="120"/>
  <c r="R96" i="120" s="1"/>
  <c r="M96" i="120"/>
  <c r="N96" i="120" s="1"/>
  <c r="AO95" i="120"/>
  <c r="AP95" i="120" s="1"/>
  <c r="AK95" i="120"/>
  <c r="AL95" i="120" s="1"/>
  <c r="AG95" i="120"/>
  <c r="AH95" i="120" s="1"/>
  <c r="AC95" i="120"/>
  <c r="AD95" i="120" s="1"/>
  <c r="Y95" i="120"/>
  <c r="Z95" i="120" s="1"/>
  <c r="U95" i="120"/>
  <c r="V95" i="120" s="1"/>
  <c r="Q95" i="120"/>
  <c r="R95" i="120" s="1"/>
  <c r="M95" i="120"/>
  <c r="N95" i="120" s="1"/>
  <c r="AO94" i="120"/>
  <c r="AP94" i="120" s="1"/>
  <c r="AK94" i="120"/>
  <c r="AL94" i="120" s="1"/>
  <c r="AG94" i="120"/>
  <c r="AH94" i="120" s="1"/>
  <c r="AC94" i="120"/>
  <c r="AD94" i="120" s="1"/>
  <c r="Y94" i="120"/>
  <c r="Z94" i="120" s="1"/>
  <c r="U94" i="120"/>
  <c r="V94" i="120" s="1"/>
  <c r="Q94" i="120"/>
  <c r="R94" i="120" s="1"/>
  <c r="M94" i="120"/>
  <c r="N94" i="120" s="1"/>
  <c r="AO93" i="120"/>
  <c r="AP93" i="120" s="1"/>
  <c r="AK93" i="120"/>
  <c r="AL93" i="120" s="1"/>
  <c r="AG93" i="120"/>
  <c r="AH93" i="120" s="1"/>
  <c r="AC93" i="120"/>
  <c r="AD93" i="120" s="1"/>
  <c r="Y93" i="120"/>
  <c r="Z93" i="120" s="1"/>
  <c r="V93" i="120"/>
  <c r="U93" i="120"/>
  <c r="Q93" i="120"/>
  <c r="R93" i="120" s="1"/>
  <c r="M93" i="120"/>
  <c r="N93" i="120" s="1"/>
  <c r="AO92" i="120"/>
  <c r="AP92" i="120" s="1"/>
  <c r="AL92" i="120"/>
  <c r="AK92" i="120"/>
  <c r="AG92" i="120"/>
  <c r="AH92" i="120" s="1"/>
  <c r="AC92" i="120"/>
  <c r="AD92" i="120" s="1"/>
  <c r="Z92" i="120"/>
  <c r="Y92" i="120"/>
  <c r="U92" i="120"/>
  <c r="V92" i="120" s="1"/>
  <c r="Q92" i="120"/>
  <c r="R92" i="120" s="1"/>
  <c r="M92" i="120"/>
  <c r="N92" i="120" s="1"/>
  <c r="AO91" i="120"/>
  <c r="AP91" i="120" s="1"/>
  <c r="AK91" i="120"/>
  <c r="AL91" i="120" s="1"/>
  <c r="AG91" i="120"/>
  <c r="AH91" i="120" s="1"/>
  <c r="AD91" i="120"/>
  <c r="AC91" i="120"/>
  <c r="Z91" i="120"/>
  <c r="Y91" i="120"/>
  <c r="U91" i="120"/>
  <c r="V91" i="120" s="1"/>
  <c r="Q91" i="120"/>
  <c r="R91" i="120" s="1"/>
  <c r="M91" i="120"/>
  <c r="N91" i="120" s="1"/>
  <c r="AO90" i="120"/>
  <c r="AP90" i="120" s="1"/>
  <c r="AK90" i="120"/>
  <c r="AL90" i="120" s="1"/>
  <c r="AG90" i="120"/>
  <c r="AH90" i="120" s="1"/>
  <c r="AC90" i="120"/>
  <c r="AD90" i="120" s="1"/>
  <c r="Y90" i="120"/>
  <c r="Z90" i="120" s="1"/>
  <c r="U90" i="120"/>
  <c r="V90" i="120" s="1"/>
  <c r="Q90" i="120"/>
  <c r="R90" i="120" s="1"/>
  <c r="N90" i="120"/>
  <c r="M90" i="120"/>
  <c r="AO89" i="120"/>
  <c r="AP89" i="120" s="1"/>
  <c r="AL89" i="120"/>
  <c r="AK89" i="120"/>
  <c r="AH89" i="120"/>
  <c r="AG89" i="120"/>
  <c r="AC89" i="120"/>
  <c r="AD89" i="120" s="1"/>
  <c r="Y89" i="120"/>
  <c r="Z89" i="120" s="1"/>
  <c r="U89" i="120"/>
  <c r="V89" i="120" s="1"/>
  <c r="Q89" i="120"/>
  <c r="R89" i="120" s="1"/>
  <c r="M89" i="120"/>
  <c r="N89" i="120" s="1"/>
  <c r="AO88" i="120"/>
  <c r="AP88" i="120" s="1"/>
  <c r="AK88" i="120"/>
  <c r="AL88" i="120" s="1"/>
  <c r="AG88" i="120"/>
  <c r="AH88" i="120" s="1"/>
  <c r="AC88" i="120"/>
  <c r="AD88" i="120" s="1"/>
  <c r="Y88" i="120"/>
  <c r="Z88" i="120" s="1"/>
  <c r="U88" i="120"/>
  <c r="V88" i="120" s="1"/>
  <c r="R88" i="120"/>
  <c r="Q88" i="120"/>
  <c r="M88" i="120"/>
  <c r="N88" i="120" s="1"/>
  <c r="AP87" i="120"/>
  <c r="AO87" i="120"/>
  <c r="AL87" i="120"/>
  <c r="AK87" i="120"/>
  <c r="AG87" i="120"/>
  <c r="AH87" i="120" s="1"/>
  <c r="AC87" i="120"/>
  <c r="AD87" i="120" s="1"/>
  <c r="Y87" i="120"/>
  <c r="Z87" i="120" s="1"/>
  <c r="U87" i="120"/>
  <c r="V87" i="120" s="1"/>
  <c r="R87" i="120"/>
  <c r="Q87" i="120"/>
  <c r="M87" i="120"/>
  <c r="N87" i="120" s="1"/>
  <c r="AO86" i="120"/>
  <c r="AP86" i="120" s="1"/>
  <c r="AK86" i="120"/>
  <c r="AL86" i="120" s="1"/>
  <c r="AG86" i="120"/>
  <c r="AH86" i="120" s="1"/>
  <c r="AC86" i="120"/>
  <c r="AD86" i="120" s="1"/>
  <c r="Y86" i="120"/>
  <c r="Z86" i="120" s="1"/>
  <c r="U86" i="120"/>
  <c r="V86" i="120" s="1"/>
  <c r="Q86" i="120"/>
  <c r="R86" i="120" s="1"/>
  <c r="M86" i="120"/>
  <c r="N86" i="120" s="1"/>
  <c r="AO85" i="120"/>
  <c r="AP85" i="120" s="1"/>
  <c r="AK85" i="120"/>
  <c r="AL85" i="120" s="1"/>
  <c r="AH85" i="120"/>
  <c r="AG85" i="120"/>
  <c r="AC85" i="120"/>
  <c r="AD85" i="120" s="1"/>
  <c r="Z85" i="120"/>
  <c r="Y85" i="120"/>
  <c r="U85" i="120"/>
  <c r="V85" i="120" s="1"/>
  <c r="Q85" i="120"/>
  <c r="R85" i="120" s="1"/>
  <c r="M85" i="120"/>
  <c r="N85" i="120" s="1"/>
  <c r="AO84" i="120"/>
  <c r="AP84" i="120" s="1"/>
  <c r="AK84" i="120"/>
  <c r="AL84" i="120" s="1"/>
  <c r="AG84" i="120"/>
  <c r="AH84" i="120" s="1"/>
  <c r="AC84" i="120"/>
  <c r="AD84" i="120" s="1"/>
  <c r="Y84" i="120"/>
  <c r="Z84" i="120" s="1"/>
  <c r="U84" i="120"/>
  <c r="V84" i="120" s="1"/>
  <c r="R84" i="120"/>
  <c r="Q84" i="120"/>
  <c r="M84" i="120"/>
  <c r="N84" i="120" s="1"/>
  <c r="AP83" i="120"/>
  <c r="AO83" i="120"/>
  <c r="AK83" i="120"/>
  <c r="AL83" i="120" s="1"/>
  <c r="AG83" i="120"/>
  <c r="AH83" i="120" s="1"/>
  <c r="AC83" i="120"/>
  <c r="AD83" i="120" s="1"/>
  <c r="Y83" i="120"/>
  <c r="Z83" i="120" s="1"/>
  <c r="U83" i="120"/>
  <c r="V83" i="120" s="1"/>
  <c r="Q83" i="120"/>
  <c r="R83" i="120" s="1"/>
  <c r="M83" i="120"/>
  <c r="N83" i="120" s="1"/>
  <c r="AN82" i="120"/>
  <c r="AP82" i="120" s="1"/>
  <c r="AJ82" i="120"/>
  <c r="AL82" i="120" s="1"/>
  <c r="AF82" i="120"/>
  <c r="AH82" i="120" s="1"/>
  <c r="AB82" i="120"/>
  <c r="AD82" i="120" s="1"/>
  <c r="Z82" i="120"/>
  <c r="X82" i="120"/>
  <c r="T82" i="120"/>
  <c r="V82" i="120" s="1"/>
  <c r="P82" i="120"/>
  <c r="R82" i="120" s="1"/>
  <c r="N82" i="120"/>
  <c r="L82" i="120"/>
  <c r="AO81" i="120"/>
  <c r="AP81" i="120" s="1"/>
  <c r="AK81" i="120"/>
  <c r="AL81" i="120" s="1"/>
  <c r="AG81" i="120"/>
  <c r="AH81" i="120" s="1"/>
  <c r="AC81" i="120"/>
  <c r="AD81" i="120" s="1"/>
  <c r="Y81" i="120"/>
  <c r="Z81" i="120" s="1"/>
  <c r="U81" i="120"/>
  <c r="V81" i="120" s="1"/>
  <c r="R81" i="120"/>
  <c r="Q81" i="120"/>
  <c r="M81" i="120"/>
  <c r="N81" i="120" s="1"/>
  <c r="AN80" i="120"/>
  <c r="AP80" i="120" s="1"/>
  <c r="AJ80" i="120"/>
  <c r="AL80" i="120" s="1"/>
  <c r="AH80" i="120"/>
  <c r="AF80" i="120"/>
  <c r="AB80" i="120"/>
  <c r="AD80" i="120" s="1"/>
  <c r="Z80" i="120"/>
  <c r="X80" i="120"/>
  <c r="V80" i="120"/>
  <c r="T80" i="120"/>
  <c r="P80" i="120"/>
  <c r="R80" i="120" s="1"/>
  <c r="L80" i="120"/>
  <c r="N80" i="120" s="1"/>
  <c r="AP79" i="120"/>
  <c r="AO79" i="120"/>
  <c r="AK79" i="120"/>
  <c r="AL79" i="120" s="1"/>
  <c r="AG79" i="120"/>
  <c r="AH79" i="120" s="1"/>
  <c r="AC79" i="120"/>
  <c r="AD79" i="120" s="1"/>
  <c r="Y79" i="120"/>
  <c r="Z79" i="120" s="1"/>
  <c r="U79" i="120"/>
  <c r="V79" i="120" s="1"/>
  <c r="Q79" i="120"/>
  <c r="R79" i="120" s="1"/>
  <c r="M79" i="120"/>
  <c r="N79" i="120" s="1"/>
  <c r="AN78" i="120"/>
  <c r="AP78" i="120" s="1"/>
  <c r="AJ78" i="120"/>
  <c r="AL78" i="120" s="1"/>
  <c r="AF78" i="120"/>
  <c r="AH78" i="120" s="1"/>
  <c r="AB78" i="120"/>
  <c r="AD78" i="120" s="1"/>
  <c r="Z78" i="120"/>
  <c r="X78" i="120"/>
  <c r="V78" i="120"/>
  <c r="T78" i="120"/>
  <c r="P78" i="120"/>
  <c r="R78" i="120" s="1"/>
  <c r="L78" i="120"/>
  <c r="N78" i="120" s="1"/>
  <c r="AO77" i="120"/>
  <c r="AP77" i="120" s="1"/>
  <c r="AK77" i="120"/>
  <c r="AL77" i="120" s="1"/>
  <c r="AG77" i="120"/>
  <c r="AH77" i="120" s="1"/>
  <c r="AC77" i="120"/>
  <c r="AD77" i="120" s="1"/>
  <c r="Y77" i="120"/>
  <c r="Z77" i="120" s="1"/>
  <c r="U77" i="120"/>
  <c r="V77" i="120" s="1"/>
  <c r="Q77" i="120"/>
  <c r="R77" i="120" s="1"/>
  <c r="M77" i="120"/>
  <c r="N77" i="120" s="1"/>
  <c r="AO76" i="120"/>
  <c r="AP76" i="120" s="1"/>
  <c r="AL76" i="120"/>
  <c r="AK76" i="120"/>
  <c r="AG76" i="120"/>
  <c r="AH76" i="120" s="1"/>
  <c r="AC76" i="120"/>
  <c r="AD76" i="120" s="1"/>
  <c r="Z76" i="120"/>
  <c r="Y76" i="120"/>
  <c r="U76" i="120"/>
  <c r="V76" i="120" s="1"/>
  <c r="Q76" i="120"/>
  <c r="R76" i="120" s="1"/>
  <c r="M76" i="120"/>
  <c r="N76" i="120" s="1"/>
  <c r="AO75" i="120"/>
  <c r="AP75" i="120" s="1"/>
  <c r="AK75" i="120"/>
  <c r="AL75" i="120" s="1"/>
  <c r="AG75" i="120"/>
  <c r="AH75" i="120" s="1"/>
  <c r="AC75" i="120"/>
  <c r="AD75" i="120" s="1"/>
  <c r="Y75" i="120"/>
  <c r="Z75" i="120" s="1"/>
  <c r="U75" i="120"/>
  <c r="V75" i="120" s="1"/>
  <c r="Q75" i="120"/>
  <c r="R75" i="120" s="1"/>
  <c r="M75" i="120"/>
  <c r="N75" i="120" s="1"/>
  <c r="AO74" i="120"/>
  <c r="AP74" i="120" s="1"/>
  <c r="AK74" i="120"/>
  <c r="AL74" i="120" s="1"/>
  <c r="AG74" i="120"/>
  <c r="AH74" i="120" s="1"/>
  <c r="AC74" i="120"/>
  <c r="AD74" i="120" s="1"/>
  <c r="Y74" i="120"/>
  <c r="Z74" i="120" s="1"/>
  <c r="U74" i="120"/>
  <c r="V74" i="120" s="1"/>
  <c r="Q74" i="120"/>
  <c r="R74" i="120" s="1"/>
  <c r="M74" i="120"/>
  <c r="N74" i="120" s="1"/>
  <c r="AP73" i="120"/>
  <c r="AO73" i="120"/>
  <c r="AK73" i="120"/>
  <c r="AL73" i="120" s="1"/>
  <c r="AH73" i="120"/>
  <c r="AG73" i="120"/>
  <c r="AC73" i="120"/>
  <c r="AD73" i="120" s="1"/>
  <c r="Y73" i="120"/>
  <c r="Z73" i="120" s="1"/>
  <c r="U73" i="120"/>
  <c r="V73" i="120" s="1"/>
  <c r="Q73" i="120"/>
  <c r="R73" i="120" s="1"/>
  <c r="N73" i="120"/>
  <c r="M73" i="120"/>
  <c r="AP72" i="120"/>
  <c r="AO72" i="120"/>
  <c r="AK72" i="120"/>
  <c r="AL72" i="120" s="1"/>
  <c r="AG72" i="120"/>
  <c r="AH72" i="120" s="1"/>
  <c r="AC72" i="120"/>
  <c r="AD72" i="120" s="1"/>
  <c r="Y72" i="120"/>
  <c r="Z72" i="120" s="1"/>
  <c r="U72" i="120"/>
  <c r="V72" i="120" s="1"/>
  <c r="Q72" i="120"/>
  <c r="R72" i="120" s="1"/>
  <c r="M72" i="120"/>
  <c r="N72" i="120" s="1"/>
  <c r="AO71" i="120"/>
  <c r="AP71" i="120" s="1"/>
  <c r="AK71" i="120"/>
  <c r="AL71" i="120" s="1"/>
  <c r="AG71" i="120"/>
  <c r="AH71" i="120" s="1"/>
  <c r="AC71" i="120"/>
  <c r="AD71" i="120" s="1"/>
  <c r="Z71" i="120"/>
  <c r="Y71" i="120"/>
  <c r="U71" i="120"/>
  <c r="V71" i="120" s="1"/>
  <c r="Q71" i="120"/>
  <c r="R71" i="120" s="1"/>
  <c r="M71" i="120"/>
  <c r="N71" i="120" s="1"/>
  <c r="AO70" i="120"/>
  <c r="AP70" i="120" s="1"/>
  <c r="AK70" i="120"/>
  <c r="AL70" i="120" s="1"/>
  <c r="AG70" i="120"/>
  <c r="AH70" i="120" s="1"/>
  <c r="AC70" i="120"/>
  <c r="AD70" i="120" s="1"/>
  <c r="Y70" i="120"/>
  <c r="Z70" i="120" s="1"/>
  <c r="U70" i="120"/>
  <c r="V70" i="120" s="1"/>
  <c r="Q70" i="120"/>
  <c r="R70" i="120" s="1"/>
  <c r="N70" i="120"/>
  <c r="M70" i="120"/>
  <c r="AP69" i="120"/>
  <c r="AO69" i="120"/>
  <c r="AK69" i="120"/>
  <c r="AL69" i="120" s="1"/>
  <c r="AH69" i="120"/>
  <c r="AG69" i="120"/>
  <c r="AD69" i="120"/>
  <c r="AC69" i="120"/>
  <c r="Y69" i="120"/>
  <c r="Z69" i="120" s="1"/>
  <c r="U69" i="120"/>
  <c r="V69" i="120" s="1"/>
  <c r="R69" i="120"/>
  <c r="Q69" i="120"/>
  <c r="M69" i="120"/>
  <c r="N69" i="120" s="1"/>
  <c r="AN68" i="120"/>
  <c r="AP68" i="120" s="1"/>
  <c r="AJ68" i="120"/>
  <c r="AL68" i="120" s="1"/>
  <c r="AH68" i="120"/>
  <c r="AF68" i="120"/>
  <c r="AB68" i="120"/>
  <c r="AD68" i="120" s="1"/>
  <c r="Z68" i="120"/>
  <c r="X68" i="120"/>
  <c r="T68" i="120"/>
  <c r="V68" i="120" s="1"/>
  <c r="P68" i="120"/>
  <c r="R68" i="120" s="1"/>
  <c r="L68" i="120"/>
  <c r="N68" i="120" s="1"/>
  <c r="AP67" i="120"/>
  <c r="AO67" i="120"/>
  <c r="AK67" i="120"/>
  <c r="AL67" i="120" s="1"/>
  <c r="AG67" i="120"/>
  <c r="AH67" i="120" s="1"/>
  <c r="AC67" i="120"/>
  <c r="AD67" i="120" s="1"/>
  <c r="Y67" i="120"/>
  <c r="Z67" i="120" s="1"/>
  <c r="V67" i="120"/>
  <c r="U67" i="120"/>
  <c r="Q67" i="120"/>
  <c r="R67" i="120" s="1"/>
  <c r="M67" i="120"/>
  <c r="N67" i="120" s="1"/>
  <c r="AO66" i="120"/>
  <c r="AP66" i="120" s="1"/>
  <c r="AK66" i="120"/>
  <c r="AL66" i="120" s="1"/>
  <c r="AH66" i="120"/>
  <c r="AG66" i="120"/>
  <c r="AD66" i="120"/>
  <c r="AC66" i="120"/>
  <c r="Y66" i="120"/>
  <c r="Z66" i="120" s="1"/>
  <c r="V66" i="120"/>
  <c r="U66" i="120"/>
  <c r="Q66" i="120"/>
  <c r="R66" i="120" s="1"/>
  <c r="M66" i="120"/>
  <c r="N66" i="120" s="1"/>
  <c r="AN65" i="120"/>
  <c r="AP65" i="120" s="1"/>
  <c r="AJ65" i="120"/>
  <c r="AL65" i="120" s="1"/>
  <c r="AF65" i="120"/>
  <c r="AH65" i="120" s="1"/>
  <c r="AB65" i="120"/>
  <c r="AD65" i="120" s="1"/>
  <c r="Z65" i="120"/>
  <c r="X65" i="120"/>
  <c r="T65" i="120"/>
  <c r="V65" i="120" s="1"/>
  <c r="P65" i="120"/>
  <c r="R65" i="120" s="1"/>
  <c r="L65" i="120"/>
  <c r="N65" i="120" s="1"/>
  <c r="AO64" i="120"/>
  <c r="AP64" i="120" s="1"/>
  <c r="AK64" i="120"/>
  <c r="AL64" i="120" s="1"/>
  <c r="AG64" i="120"/>
  <c r="AH64" i="120" s="1"/>
  <c r="AC64" i="120"/>
  <c r="AD64" i="120" s="1"/>
  <c r="Y64" i="120"/>
  <c r="Z64" i="120" s="1"/>
  <c r="U64" i="120"/>
  <c r="V64" i="120" s="1"/>
  <c r="Q64" i="120"/>
  <c r="R64" i="120" s="1"/>
  <c r="M64" i="120"/>
  <c r="N64" i="120" s="1"/>
  <c r="AO63" i="120"/>
  <c r="AP63" i="120" s="1"/>
  <c r="AK63" i="120"/>
  <c r="AL63" i="120" s="1"/>
  <c r="AH63" i="120"/>
  <c r="AG63" i="120"/>
  <c r="AC63" i="120"/>
  <c r="AD63" i="120" s="1"/>
  <c r="Y63" i="120"/>
  <c r="Z63" i="120" s="1"/>
  <c r="U63" i="120"/>
  <c r="V63" i="120" s="1"/>
  <c r="Q63" i="120"/>
  <c r="R63" i="120" s="1"/>
  <c r="M63" i="120"/>
  <c r="N63" i="120" s="1"/>
  <c r="AN62" i="120"/>
  <c r="AP62" i="120" s="1"/>
  <c r="AJ62" i="120"/>
  <c r="AL62" i="120" s="1"/>
  <c r="AF62" i="120"/>
  <c r="AH62" i="120" s="1"/>
  <c r="AB62" i="120"/>
  <c r="AD62" i="120" s="1"/>
  <c r="Z62" i="120"/>
  <c r="X62" i="120"/>
  <c r="T62" i="120"/>
  <c r="V62" i="120" s="1"/>
  <c r="R62" i="120"/>
  <c r="P62" i="120"/>
  <c r="L62" i="120"/>
  <c r="N62" i="120" s="1"/>
  <c r="AN61" i="120"/>
  <c r="AP61" i="120" s="1"/>
  <c r="AJ61" i="120"/>
  <c r="AL61" i="120" s="1"/>
  <c r="AF61" i="120"/>
  <c r="AH61" i="120" s="1"/>
  <c r="AB61" i="120"/>
  <c r="AD61" i="120" s="1"/>
  <c r="Z61" i="120"/>
  <c r="X61" i="120"/>
  <c r="T61" i="120"/>
  <c r="V61" i="120" s="1"/>
  <c r="P61" i="120"/>
  <c r="R61" i="120" s="1"/>
  <c r="L61" i="120"/>
  <c r="N61" i="120" s="1"/>
  <c r="AN60" i="120"/>
  <c r="AP60" i="120" s="1"/>
  <c r="AJ60" i="120"/>
  <c r="AL60" i="120" s="1"/>
  <c r="AH60" i="120"/>
  <c r="AF60" i="120"/>
  <c r="AB60" i="120"/>
  <c r="AD60" i="120" s="1"/>
  <c r="Z60" i="120"/>
  <c r="X60" i="120"/>
  <c r="T60" i="120"/>
  <c r="V60" i="120" s="1"/>
  <c r="P60" i="120"/>
  <c r="R60" i="120" s="1"/>
  <c r="L60" i="120"/>
  <c r="N60" i="120" s="1"/>
  <c r="AO59" i="120"/>
  <c r="AP59" i="120" s="1"/>
  <c r="AK59" i="120"/>
  <c r="AL59" i="120" s="1"/>
  <c r="AG59" i="120"/>
  <c r="AH59" i="120" s="1"/>
  <c r="AD59" i="120"/>
  <c r="AC59" i="120"/>
  <c r="Y59" i="120"/>
  <c r="Z59" i="120" s="1"/>
  <c r="U59" i="120"/>
  <c r="V59" i="120" s="1"/>
  <c r="Q59" i="120"/>
  <c r="R59" i="120" s="1"/>
  <c r="M59" i="120"/>
  <c r="N59" i="120" s="1"/>
  <c r="AO58" i="120"/>
  <c r="AP58" i="120" s="1"/>
  <c r="AK58" i="120"/>
  <c r="AL58" i="120" s="1"/>
  <c r="AG58" i="120"/>
  <c r="AH58" i="120" s="1"/>
  <c r="AD58" i="120"/>
  <c r="AC58" i="120"/>
  <c r="Z58" i="120"/>
  <c r="Y58" i="120"/>
  <c r="V58" i="120"/>
  <c r="U58" i="120"/>
  <c r="Q58" i="120"/>
  <c r="R58" i="120" s="1"/>
  <c r="M58" i="120"/>
  <c r="N58" i="120" s="1"/>
  <c r="AN57" i="120"/>
  <c r="AP57" i="120" s="1"/>
  <c r="AJ57" i="120"/>
  <c r="AL57" i="120" s="1"/>
  <c r="AH57" i="120"/>
  <c r="AF57" i="120"/>
  <c r="AB57" i="120"/>
  <c r="AD57" i="120" s="1"/>
  <c r="Z57" i="120"/>
  <c r="X57" i="120"/>
  <c r="V57" i="120"/>
  <c r="T57" i="120"/>
  <c r="R57" i="120"/>
  <c r="P57" i="120"/>
  <c r="L57" i="120"/>
  <c r="N57" i="120" s="1"/>
  <c r="AO56" i="120"/>
  <c r="AP56" i="120" s="1"/>
  <c r="AK56" i="120"/>
  <c r="AL56" i="120" s="1"/>
  <c r="AG56" i="120"/>
  <c r="AH56" i="120" s="1"/>
  <c r="AC56" i="120"/>
  <c r="AD56" i="120" s="1"/>
  <c r="Y56" i="120"/>
  <c r="Z56" i="120" s="1"/>
  <c r="U56" i="120"/>
  <c r="V56" i="120" s="1"/>
  <c r="Q56" i="120"/>
  <c r="R56" i="120" s="1"/>
  <c r="M56" i="120"/>
  <c r="N56" i="120" s="1"/>
  <c r="AN55" i="120"/>
  <c r="AP55" i="120" s="1"/>
  <c r="AJ55" i="120"/>
  <c r="AL55" i="120" s="1"/>
  <c r="AF55" i="120"/>
  <c r="AH55" i="120" s="1"/>
  <c r="AD55" i="120"/>
  <c r="AB55" i="120"/>
  <c r="Z55" i="120"/>
  <c r="X55" i="120"/>
  <c r="V55" i="120"/>
  <c r="T55" i="120"/>
  <c r="P55" i="120"/>
  <c r="R55" i="120" s="1"/>
  <c r="L55" i="120"/>
  <c r="N55" i="120" s="1"/>
  <c r="AN54" i="120"/>
  <c r="AP54" i="120" s="1"/>
  <c r="AJ54" i="120"/>
  <c r="AL54" i="120" s="1"/>
  <c r="AF54" i="120"/>
  <c r="AH54" i="120" s="1"/>
  <c r="AB54" i="120"/>
  <c r="AD54" i="120" s="1"/>
  <c r="Z54" i="120"/>
  <c r="X54" i="120"/>
  <c r="V54" i="120"/>
  <c r="T54" i="120"/>
  <c r="P54" i="120"/>
  <c r="R54" i="120" s="1"/>
  <c r="L54" i="120"/>
  <c r="N54" i="120" s="1"/>
  <c r="AN53" i="120"/>
  <c r="AP53" i="120" s="1"/>
  <c r="AL53" i="120"/>
  <c r="AJ53" i="120"/>
  <c r="AF53" i="120"/>
  <c r="AH53" i="120" s="1"/>
  <c r="AB53" i="120"/>
  <c r="AD53" i="120" s="1"/>
  <c r="Z53" i="120"/>
  <c r="X53" i="120"/>
  <c r="V53" i="120"/>
  <c r="T53" i="120"/>
  <c r="P53" i="120"/>
  <c r="R53" i="120" s="1"/>
  <c r="L53" i="120"/>
  <c r="N53" i="120" s="1"/>
  <c r="AN52" i="120"/>
  <c r="AP52" i="120" s="1"/>
  <c r="AJ52" i="120"/>
  <c r="AL52" i="120" s="1"/>
  <c r="AF52" i="120"/>
  <c r="AH52" i="120" s="1"/>
  <c r="AD52" i="120"/>
  <c r="AB52" i="120"/>
  <c r="Z52" i="120"/>
  <c r="X52" i="120"/>
  <c r="T52" i="120"/>
  <c r="V52" i="120" s="1"/>
  <c r="R52" i="120"/>
  <c r="P52" i="120"/>
  <c r="N52" i="120"/>
  <c r="L52" i="120"/>
  <c r="AP51" i="120"/>
  <c r="AN51" i="120"/>
  <c r="AL51" i="120"/>
  <c r="AJ51" i="120"/>
  <c r="AF51" i="120"/>
  <c r="AH51" i="120" s="1"/>
  <c r="AB51" i="120"/>
  <c r="AD51" i="120" s="1"/>
  <c r="Z51" i="120"/>
  <c r="X51" i="120"/>
  <c r="V51" i="120"/>
  <c r="T51" i="120"/>
  <c r="P51" i="120"/>
  <c r="R51" i="120" s="1"/>
  <c r="L51" i="120"/>
  <c r="N51" i="120" s="1"/>
  <c r="AN50" i="120"/>
  <c r="AP50" i="120" s="1"/>
  <c r="AJ50" i="120"/>
  <c r="AL50" i="120" s="1"/>
  <c r="AF50" i="120"/>
  <c r="AH50" i="120" s="1"/>
  <c r="AB50" i="120"/>
  <c r="AD50" i="120" s="1"/>
  <c r="Z50" i="120"/>
  <c r="X50" i="120"/>
  <c r="T50" i="120"/>
  <c r="V50" i="120" s="1"/>
  <c r="P50" i="120"/>
  <c r="R50" i="120" s="1"/>
  <c r="L50" i="120"/>
  <c r="N50" i="120" s="1"/>
  <c r="AO49" i="120"/>
  <c r="AP49" i="120" s="1"/>
  <c r="AK49" i="120"/>
  <c r="AL49" i="120" s="1"/>
  <c r="AG49" i="120"/>
  <c r="AH49" i="120" s="1"/>
  <c r="AC49" i="120"/>
  <c r="AD49" i="120" s="1"/>
  <c r="Y49" i="120"/>
  <c r="Z49" i="120" s="1"/>
  <c r="U49" i="120"/>
  <c r="V49" i="120" s="1"/>
  <c r="R49" i="120"/>
  <c r="Q49" i="120"/>
  <c r="M49" i="120"/>
  <c r="N49" i="120" s="1"/>
  <c r="AP48" i="120"/>
  <c r="AN48" i="120"/>
  <c r="AJ48" i="120"/>
  <c r="AL48" i="120" s="1"/>
  <c r="AF48" i="120"/>
  <c r="AH48" i="120" s="1"/>
  <c r="AB48" i="120"/>
  <c r="AD48" i="120" s="1"/>
  <c r="Z48" i="120"/>
  <c r="X48" i="120"/>
  <c r="T48" i="120"/>
  <c r="V48" i="120" s="1"/>
  <c r="P48" i="120"/>
  <c r="R48" i="120" s="1"/>
  <c r="L48" i="120"/>
  <c r="N48" i="120" s="1"/>
  <c r="AO47" i="120"/>
  <c r="AP47" i="120" s="1"/>
  <c r="AK47" i="120"/>
  <c r="AL47" i="120" s="1"/>
  <c r="AG47" i="120"/>
  <c r="AH47" i="120" s="1"/>
  <c r="AC47" i="120"/>
  <c r="AD47" i="120" s="1"/>
  <c r="Y47" i="120"/>
  <c r="Z47" i="120" s="1"/>
  <c r="U47" i="120"/>
  <c r="V47" i="120" s="1"/>
  <c r="Q47" i="120"/>
  <c r="R47" i="120" s="1"/>
  <c r="M47" i="120"/>
  <c r="N47" i="120" s="1"/>
  <c r="AN46" i="120"/>
  <c r="AP46" i="120" s="1"/>
  <c r="AJ46" i="120"/>
  <c r="AL46" i="120" s="1"/>
  <c r="AH46" i="120"/>
  <c r="AF46" i="120"/>
  <c r="AD46" i="120"/>
  <c r="AB46" i="120"/>
  <c r="Z46" i="120"/>
  <c r="X46" i="120"/>
  <c r="T46" i="120"/>
  <c r="V46" i="120" s="1"/>
  <c r="P46" i="120"/>
  <c r="R46" i="120" s="1"/>
  <c r="L46" i="120"/>
  <c r="N46" i="120" s="1"/>
  <c r="AO45" i="120"/>
  <c r="AP45" i="120" s="1"/>
  <c r="AK45" i="120"/>
  <c r="AL45" i="120" s="1"/>
  <c r="AG45" i="120"/>
  <c r="AH45" i="120" s="1"/>
  <c r="AC45" i="120"/>
  <c r="AD45" i="120" s="1"/>
  <c r="Z45" i="120"/>
  <c r="Y45" i="120"/>
  <c r="U45" i="120"/>
  <c r="V45" i="120" s="1"/>
  <c r="Q45" i="120"/>
  <c r="R45" i="120" s="1"/>
  <c r="M45" i="120"/>
  <c r="N45" i="120" s="1"/>
  <c r="AO44" i="120"/>
  <c r="AP44" i="120" s="1"/>
  <c r="AK44" i="120"/>
  <c r="AL44" i="120" s="1"/>
  <c r="AH44" i="120"/>
  <c r="AG44" i="120"/>
  <c r="AC44" i="120"/>
  <c r="AD44" i="120" s="1"/>
  <c r="Y44" i="120"/>
  <c r="Z44" i="120" s="1"/>
  <c r="V44" i="120"/>
  <c r="U44" i="120"/>
  <c r="Q44" i="120"/>
  <c r="R44" i="120" s="1"/>
  <c r="M44" i="120"/>
  <c r="N44" i="120" s="1"/>
  <c r="AP43" i="120"/>
  <c r="AO43" i="120"/>
  <c r="AK43" i="120"/>
  <c r="AL43" i="120" s="1"/>
  <c r="AH43" i="120"/>
  <c r="AG43" i="120"/>
  <c r="AC43" i="120"/>
  <c r="AD43" i="120" s="1"/>
  <c r="Y43" i="120"/>
  <c r="Z43" i="120" s="1"/>
  <c r="U43" i="120"/>
  <c r="V43" i="120" s="1"/>
  <c r="Q43" i="120"/>
  <c r="R43" i="120" s="1"/>
  <c r="M43" i="120"/>
  <c r="N43" i="120" s="1"/>
  <c r="AO42" i="120"/>
  <c r="AP42" i="120" s="1"/>
  <c r="AK42" i="120"/>
  <c r="AL42" i="120" s="1"/>
  <c r="AH42" i="120"/>
  <c r="AG42" i="120"/>
  <c r="AC42" i="120"/>
  <c r="AD42" i="120" s="1"/>
  <c r="Z42" i="120"/>
  <c r="Y42" i="120"/>
  <c r="U42" i="120"/>
  <c r="V42" i="120" s="1"/>
  <c r="Q42" i="120"/>
  <c r="R42" i="120" s="1"/>
  <c r="M42" i="120"/>
  <c r="N42" i="120" s="1"/>
  <c r="AO41" i="120"/>
  <c r="AP41" i="120" s="1"/>
  <c r="AK41" i="120"/>
  <c r="AL41" i="120" s="1"/>
  <c r="AG41" i="120"/>
  <c r="AH41" i="120" s="1"/>
  <c r="AC41" i="120"/>
  <c r="AD41" i="120" s="1"/>
  <c r="Y41" i="120"/>
  <c r="Z41" i="120" s="1"/>
  <c r="V41" i="120"/>
  <c r="U41" i="120"/>
  <c r="Q41" i="120"/>
  <c r="R41" i="120" s="1"/>
  <c r="M41" i="120"/>
  <c r="N41" i="120" s="1"/>
  <c r="AO40" i="120"/>
  <c r="AP40" i="120" s="1"/>
  <c r="AK40" i="120"/>
  <c r="AL40" i="120" s="1"/>
  <c r="AH40" i="120"/>
  <c r="AG40" i="120"/>
  <c r="AC40" i="120"/>
  <c r="AD40" i="120" s="1"/>
  <c r="Y40" i="120"/>
  <c r="Z40" i="120" s="1"/>
  <c r="U40" i="120"/>
  <c r="V40" i="120" s="1"/>
  <c r="Q40" i="120"/>
  <c r="R40" i="120" s="1"/>
  <c r="M40" i="120"/>
  <c r="N40" i="120" s="1"/>
  <c r="AO39" i="120"/>
  <c r="AP39" i="120" s="1"/>
  <c r="AL39" i="120"/>
  <c r="AK39" i="120"/>
  <c r="AH39" i="120"/>
  <c r="AG39" i="120"/>
  <c r="AC39" i="120"/>
  <c r="AD39" i="120" s="1"/>
  <c r="Y39" i="120"/>
  <c r="Z39" i="120" s="1"/>
  <c r="U39" i="120"/>
  <c r="V39" i="120" s="1"/>
  <c r="Q39" i="120"/>
  <c r="R39" i="120" s="1"/>
  <c r="M39" i="120"/>
  <c r="N39" i="120" s="1"/>
  <c r="AN38" i="120"/>
  <c r="AP38" i="120" s="1"/>
  <c r="AJ38" i="120"/>
  <c r="AL38" i="120" s="1"/>
  <c r="AF38" i="120"/>
  <c r="AH38" i="120" s="1"/>
  <c r="AB38" i="120"/>
  <c r="AD38" i="120" s="1"/>
  <c r="Z38" i="120"/>
  <c r="X38" i="120"/>
  <c r="T38" i="120"/>
  <c r="V38" i="120" s="1"/>
  <c r="P38" i="120"/>
  <c r="R38" i="120" s="1"/>
  <c r="L38" i="120"/>
  <c r="N38" i="120" s="1"/>
  <c r="AO37" i="120"/>
  <c r="AP37" i="120" s="1"/>
  <c r="AL37" i="120"/>
  <c r="AK37" i="120"/>
  <c r="AG37" i="120"/>
  <c r="AH37" i="120" s="1"/>
  <c r="AC37" i="120"/>
  <c r="AD37" i="120" s="1"/>
  <c r="Z37" i="120"/>
  <c r="Y37" i="120"/>
  <c r="U37" i="120"/>
  <c r="V37" i="120" s="1"/>
  <c r="Q37" i="120"/>
  <c r="R37" i="120" s="1"/>
  <c r="M37" i="120"/>
  <c r="N37" i="120" s="1"/>
  <c r="AO36" i="120"/>
  <c r="AP36" i="120" s="1"/>
  <c r="AL36" i="120"/>
  <c r="AK36" i="120"/>
  <c r="AG36" i="120"/>
  <c r="AH36" i="120" s="1"/>
  <c r="AC36" i="120"/>
  <c r="AD36" i="120" s="1"/>
  <c r="Y36" i="120"/>
  <c r="Z36" i="120" s="1"/>
  <c r="V36" i="120"/>
  <c r="U36" i="120"/>
  <c r="Q36" i="120"/>
  <c r="R36" i="120" s="1"/>
  <c r="N36" i="120"/>
  <c r="M36" i="120"/>
  <c r="AO35" i="120"/>
  <c r="AP35" i="120" s="1"/>
  <c r="AK35" i="120"/>
  <c r="AL35" i="120" s="1"/>
  <c r="AG35" i="120"/>
  <c r="AH35" i="120" s="1"/>
  <c r="AC35" i="120"/>
  <c r="AD35" i="120" s="1"/>
  <c r="Y35" i="120"/>
  <c r="Z35" i="120" s="1"/>
  <c r="U35" i="120"/>
  <c r="V35" i="120" s="1"/>
  <c r="Q35" i="120"/>
  <c r="R35" i="120" s="1"/>
  <c r="M35" i="120"/>
  <c r="N35" i="120" s="1"/>
  <c r="AO34" i="120"/>
  <c r="AP34" i="120" s="1"/>
  <c r="AK34" i="120"/>
  <c r="AL34" i="120" s="1"/>
  <c r="AG34" i="120"/>
  <c r="AH34" i="120" s="1"/>
  <c r="AC34" i="120"/>
  <c r="AD34" i="120" s="1"/>
  <c r="Z34" i="120"/>
  <c r="Y34" i="120"/>
  <c r="U34" i="120"/>
  <c r="V34" i="120" s="1"/>
  <c r="Q34" i="120"/>
  <c r="R34" i="120" s="1"/>
  <c r="M34" i="120"/>
  <c r="N34" i="120" s="1"/>
  <c r="AP33" i="120"/>
  <c r="AO33" i="120"/>
  <c r="AK33" i="120"/>
  <c r="AL33" i="120" s="1"/>
  <c r="AG33" i="120"/>
  <c r="AH33" i="120" s="1"/>
  <c r="AC33" i="120"/>
  <c r="AD33" i="120" s="1"/>
  <c r="Y33" i="120"/>
  <c r="Z33" i="120" s="1"/>
  <c r="U33" i="120"/>
  <c r="V33" i="120" s="1"/>
  <c r="Q33" i="120"/>
  <c r="R33" i="120" s="1"/>
  <c r="N33" i="120"/>
  <c r="M33" i="120"/>
  <c r="AO32" i="120"/>
  <c r="AP32" i="120" s="1"/>
  <c r="AL32" i="120"/>
  <c r="AK32" i="120"/>
  <c r="AG32" i="120"/>
  <c r="AH32" i="120" s="1"/>
  <c r="AC32" i="120"/>
  <c r="AD32" i="120" s="1"/>
  <c r="Z32" i="120"/>
  <c r="Y32" i="120"/>
  <c r="U32" i="120"/>
  <c r="V32" i="120" s="1"/>
  <c r="Q32" i="120"/>
  <c r="R32" i="120" s="1"/>
  <c r="N32" i="120"/>
  <c r="M32" i="120"/>
  <c r="AO31" i="120"/>
  <c r="AP31" i="120" s="1"/>
  <c r="AK31" i="120"/>
  <c r="AL31" i="120" s="1"/>
  <c r="AG31" i="120"/>
  <c r="AH31" i="120" s="1"/>
  <c r="AC31" i="120"/>
  <c r="AD31" i="120" s="1"/>
  <c r="Y31" i="120"/>
  <c r="Z31" i="120" s="1"/>
  <c r="U31" i="120"/>
  <c r="V31" i="120" s="1"/>
  <c r="Q31" i="120"/>
  <c r="R31" i="120" s="1"/>
  <c r="M31" i="120"/>
  <c r="N31" i="120" s="1"/>
  <c r="AP30" i="120"/>
  <c r="AO30" i="120"/>
  <c r="AK30" i="120"/>
  <c r="AL30" i="120" s="1"/>
  <c r="AH30" i="120"/>
  <c r="AG30" i="120"/>
  <c r="AC30" i="120"/>
  <c r="AD30" i="120" s="1"/>
  <c r="Y30" i="120"/>
  <c r="Z30" i="120" s="1"/>
  <c r="U30" i="120"/>
  <c r="V30" i="120" s="1"/>
  <c r="Q30" i="120"/>
  <c r="R30" i="120" s="1"/>
  <c r="M30" i="120"/>
  <c r="N30" i="120" s="1"/>
  <c r="AO29" i="120"/>
  <c r="AP29" i="120" s="1"/>
  <c r="AK29" i="120"/>
  <c r="AL29" i="120" s="1"/>
  <c r="AG29" i="120"/>
  <c r="AH29" i="120" s="1"/>
  <c r="AC29" i="120"/>
  <c r="AD29" i="120" s="1"/>
  <c r="Y29" i="120"/>
  <c r="Z29" i="120" s="1"/>
  <c r="U29" i="120"/>
  <c r="V29" i="120" s="1"/>
  <c r="R29" i="120"/>
  <c r="Q29" i="120"/>
  <c r="N29" i="120"/>
  <c r="M29" i="120"/>
  <c r="AN28" i="120"/>
  <c r="AP28" i="120" s="1"/>
  <c r="AJ28" i="120"/>
  <c r="AL28" i="120" s="1"/>
  <c r="AF28" i="120"/>
  <c r="AH28" i="120" s="1"/>
  <c r="AB28" i="120"/>
  <c r="AD28" i="120" s="1"/>
  <c r="Z28" i="120"/>
  <c r="X28" i="120"/>
  <c r="T28" i="120"/>
  <c r="V28" i="120" s="1"/>
  <c r="P28" i="120"/>
  <c r="R28" i="120" s="1"/>
  <c r="L28" i="120"/>
  <c r="N28" i="120" s="1"/>
  <c r="AN27" i="120"/>
  <c r="AP27" i="120" s="1"/>
  <c r="AJ27" i="120"/>
  <c r="AL27" i="120" s="1"/>
  <c r="AF27" i="120"/>
  <c r="AH27" i="120" s="1"/>
  <c r="AB27" i="120"/>
  <c r="AD27" i="120" s="1"/>
  <c r="Z27" i="120"/>
  <c r="X27" i="120"/>
  <c r="T27" i="120"/>
  <c r="V27" i="120" s="1"/>
  <c r="R27" i="120"/>
  <c r="P27" i="120"/>
  <c r="L27" i="120"/>
  <c r="N27" i="120" s="1"/>
  <c r="AO26" i="120"/>
  <c r="AP26" i="120" s="1"/>
  <c r="AK26" i="120"/>
  <c r="AL26" i="120" s="1"/>
  <c r="AG26" i="120"/>
  <c r="AH26" i="120" s="1"/>
  <c r="AC26" i="120"/>
  <c r="AD26" i="120" s="1"/>
  <c r="Y26" i="120"/>
  <c r="Z26" i="120" s="1"/>
  <c r="U26" i="120"/>
  <c r="V26" i="120" s="1"/>
  <c r="Q26" i="120"/>
  <c r="R26" i="120" s="1"/>
  <c r="M26" i="120"/>
  <c r="N26" i="120" s="1"/>
  <c r="AN25" i="120"/>
  <c r="AP25" i="120" s="1"/>
  <c r="AJ25" i="120"/>
  <c r="AH25" i="120"/>
  <c r="AF25" i="120"/>
  <c r="AB25" i="120"/>
  <c r="AD25" i="120" s="1"/>
  <c r="Z25" i="120"/>
  <c r="X25" i="120"/>
  <c r="T25" i="120"/>
  <c r="V25" i="120" s="1"/>
  <c r="R25" i="120"/>
  <c r="P25" i="120"/>
  <c r="L25" i="120"/>
  <c r="N25" i="120" s="1"/>
  <c r="AO24" i="120"/>
  <c r="AP24" i="120" s="1"/>
  <c r="AL24" i="120"/>
  <c r="AK24" i="120"/>
  <c r="AG24" i="120"/>
  <c r="AH24" i="120" s="1"/>
  <c r="AD24" i="120"/>
  <c r="AC24" i="120"/>
  <c r="Y24" i="120"/>
  <c r="Z24" i="120" s="1"/>
  <c r="U24" i="120"/>
  <c r="V24" i="120" s="1"/>
  <c r="Q24" i="120"/>
  <c r="R24" i="120" s="1"/>
  <c r="N24" i="120"/>
  <c r="M24" i="120"/>
  <c r="AN23" i="120"/>
  <c r="AP23" i="120" s="1"/>
  <c r="AJ23" i="120"/>
  <c r="AL23" i="120" s="1"/>
  <c r="AF23" i="120"/>
  <c r="AH23" i="120" s="1"/>
  <c r="AB23" i="120"/>
  <c r="AD23" i="120" s="1"/>
  <c r="Z23" i="120"/>
  <c r="X23" i="120"/>
  <c r="T23" i="120"/>
  <c r="V23" i="120" s="1"/>
  <c r="R23" i="120"/>
  <c r="P23" i="120"/>
  <c r="L23" i="120"/>
  <c r="N23" i="120" s="1"/>
  <c r="AN22" i="120"/>
  <c r="AP22" i="120" s="1"/>
  <c r="AJ22" i="120"/>
  <c r="AL22" i="120" s="1"/>
  <c r="AH22" i="120"/>
  <c r="AF22" i="120"/>
  <c r="AB22" i="120"/>
  <c r="AD22" i="120" s="1"/>
  <c r="Z22" i="120"/>
  <c r="X22" i="120"/>
  <c r="T22" i="120"/>
  <c r="V22" i="120" s="1"/>
  <c r="P22" i="120"/>
  <c r="R22" i="120" s="1"/>
  <c r="L22" i="120"/>
  <c r="N22" i="120" s="1"/>
  <c r="AN21" i="120"/>
  <c r="AP21" i="120" s="1"/>
  <c r="AJ21" i="120"/>
  <c r="AL21" i="120" s="1"/>
  <c r="AF21" i="120"/>
  <c r="AH21" i="120" s="1"/>
  <c r="AB21" i="120"/>
  <c r="AD21" i="120" s="1"/>
  <c r="Z21" i="120"/>
  <c r="X21" i="120"/>
  <c r="T21" i="120"/>
  <c r="V21" i="120" s="1"/>
  <c r="P21" i="120"/>
  <c r="R21" i="120" s="1"/>
  <c r="L21" i="120"/>
  <c r="N21" i="120" s="1"/>
  <c r="AO20" i="120"/>
  <c r="AP20" i="120" s="1"/>
  <c r="AK20" i="120"/>
  <c r="AL20" i="120" s="1"/>
  <c r="AH20" i="120"/>
  <c r="AG20" i="120"/>
  <c r="AC20" i="120"/>
  <c r="AD20" i="120" s="1"/>
  <c r="Y20" i="120"/>
  <c r="Z20" i="120" s="1"/>
  <c r="V20" i="120"/>
  <c r="U20" i="120"/>
  <c r="Q20" i="120"/>
  <c r="R20" i="120" s="1"/>
  <c r="M20" i="120"/>
  <c r="N20" i="120" s="1"/>
  <c r="AN19" i="120"/>
  <c r="AP19" i="120" s="1"/>
  <c r="AJ19" i="120"/>
  <c r="AL19" i="120" s="1"/>
  <c r="AH19" i="120"/>
  <c r="AF19" i="120"/>
  <c r="AB19" i="120"/>
  <c r="AD19" i="120" s="1"/>
  <c r="Z19" i="120"/>
  <c r="X19" i="120"/>
  <c r="V19" i="120"/>
  <c r="T19" i="120"/>
  <c r="P19" i="120"/>
  <c r="R19" i="120" s="1"/>
  <c r="L19" i="120"/>
  <c r="N19" i="120" s="1"/>
  <c r="AP18" i="120"/>
  <c r="AN18" i="120"/>
  <c r="AN1" i="120" s="1"/>
  <c r="AJ18" i="120"/>
  <c r="AL18" i="120" s="1"/>
  <c r="AH18" i="120"/>
  <c r="AF18" i="120"/>
  <c r="AF1" i="120" s="1"/>
  <c r="AB18" i="120"/>
  <c r="AD18" i="120" s="1"/>
  <c r="Z18" i="120"/>
  <c r="X18" i="120"/>
  <c r="X1" i="120" s="1"/>
  <c r="T18" i="120"/>
  <c r="T1" i="120" s="1"/>
  <c r="P18" i="120"/>
  <c r="R18" i="120" s="1"/>
  <c r="L18" i="120"/>
  <c r="N18" i="120" s="1"/>
  <c r="AO17" i="120"/>
  <c r="AP17" i="120" s="1"/>
  <c r="AK17" i="120"/>
  <c r="AL17" i="120" s="1"/>
  <c r="AG17" i="120"/>
  <c r="AH17" i="120" s="1"/>
  <c r="AC17" i="120"/>
  <c r="Y17" i="120"/>
  <c r="Z17" i="120" s="1"/>
  <c r="V17" i="120"/>
  <c r="U17" i="120"/>
  <c r="Q17" i="120"/>
  <c r="R17" i="120" s="1"/>
  <c r="M17" i="120"/>
  <c r="N17" i="120" s="1"/>
  <c r="AO16" i="120"/>
  <c r="AP16" i="120" s="1"/>
  <c r="AK16" i="120"/>
  <c r="AL16" i="120" s="1"/>
  <c r="AG16" i="120"/>
  <c r="AH16" i="120" s="1"/>
  <c r="AD16" i="120"/>
  <c r="AC16" i="120"/>
  <c r="Y16" i="120"/>
  <c r="Z16" i="120" s="1"/>
  <c r="U16" i="120"/>
  <c r="V16" i="120" s="1"/>
  <c r="Q16" i="120"/>
  <c r="R16" i="120" s="1"/>
  <c r="M16" i="120"/>
  <c r="N16" i="120" s="1"/>
  <c r="AO15" i="120"/>
  <c r="AP15" i="120" s="1"/>
  <c r="AK15" i="120"/>
  <c r="AL15" i="120" s="1"/>
  <c r="AG15" i="120"/>
  <c r="AH15" i="120" s="1"/>
  <c r="AC15" i="120"/>
  <c r="AD15" i="120" s="1"/>
  <c r="Y15" i="120"/>
  <c r="Z15" i="120" s="1"/>
  <c r="U15" i="120"/>
  <c r="V15" i="120" s="1"/>
  <c r="Q15" i="120"/>
  <c r="R15" i="120" s="1"/>
  <c r="M15" i="120"/>
  <c r="N15" i="120" s="1"/>
  <c r="AO14" i="120"/>
  <c r="AP14" i="120" s="1"/>
  <c r="AL14" i="120"/>
  <c r="AK14" i="120"/>
  <c r="AG14" i="120"/>
  <c r="AH14" i="120" s="1"/>
  <c r="AC14" i="120"/>
  <c r="AD14" i="120" s="1"/>
  <c r="Y14" i="120"/>
  <c r="Z14" i="120" s="1"/>
  <c r="U14" i="120"/>
  <c r="V14" i="120" s="1"/>
  <c r="Q14" i="120"/>
  <c r="R14" i="120" s="1"/>
  <c r="M14" i="120"/>
  <c r="N14" i="120" s="1"/>
  <c r="AO13" i="120"/>
  <c r="AP13" i="120" s="1"/>
  <c r="AK13" i="120"/>
  <c r="AL13" i="120" s="1"/>
  <c r="AG13" i="120"/>
  <c r="AH13" i="120" s="1"/>
  <c r="AD13" i="120"/>
  <c r="AC13" i="120"/>
  <c r="Y13" i="120"/>
  <c r="Z13" i="120" s="1"/>
  <c r="U13" i="120"/>
  <c r="V13" i="120" s="1"/>
  <c r="Q13" i="120"/>
  <c r="R13" i="120" s="1"/>
  <c r="N13" i="120"/>
  <c r="M13" i="120"/>
  <c r="AO12" i="120"/>
  <c r="AP12" i="120" s="1"/>
  <c r="AK12" i="120"/>
  <c r="AL12" i="120" s="1"/>
  <c r="AG12" i="120"/>
  <c r="AH12" i="120" s="1"/>
  <c r="AC12" i="120"/>
  <c r="AD12" i="120" s="1"/>
  <c r="Y12" i="120"/>
  <c r="Z12" i="120" s="1"/>
  <c r="U12" i="120"/>
  <c r="V12" i="120" s="1"/>
  <c r="Q12" i="120"/>
  <c r="R12" i="120" s="1"/>
  <c r="N12" i="120"/>
  <c r="M12" i="120"/>
  <c r="AO11" i="120"/>
  <c r="AP11" i="120" s="1"/>
  <c r="AK11" i="120"/>
  <c r="AL11" i="120" s="1"/>
  <c r="AG11" i="120"/>
  <c r="AH11" i="120" s="1"/>
  <c r="AC11" i="120"/>
  <c r="AD11" i="120" s="1"/>
  <c r="Y11" i="120"/>
  <c r="Z11" i="120" s="1"/>
  <c r="U11" i="120"/>
  <c r="V11" i="120" s="1"/>
  <c r="Q11" i="120"/>
  <c r="R11" i="120" s="1"/>
  <c r="M11" i="120"/>
  <c r="N11" i="120" s="1"/>
  <c r="AO10" i="120"/>
  <c r="AP10" i="120" s="1"/>
  <c r="AK10" i="120"/>
  <c r="AL10" i="120" s="1"/>
  <c r="AG10" i="120"/>
  <c r="AH10" i="120" s="1"/>
  <c r="AC10" i="120"/>
  <c r="AD10" i="120" s="1"/>
  <c r="Y10" i="120"/>
  <c r="Z10" i="120" s="1"/>
  <c r="U10" i="120"/>
  <c r="V10" i="120" s="1"/>
  <c r="Q10" i="120"/>
  <c r="R10" i="120" s="1"/>
  <c r="N10" i="120"/>
  <c r="M10" i="120"/>
  <c r="AO9" i="120"/>
  <c r="AP9" i="120" s="1"/>
  <c r="AK9" i="120"/>
  <c r="AL9" i="120" s="1"/>
  <c r="AG9" i="120"/>
  <c r="AH9" i="120" s="1"/>
  <c r="AC9" i="120"/>
  <c r="AD9" i="120" s="1"/>
  <c r="Y9" i="120"/>
  <c r="Z9" i="120" s="1"/>
  <c r="U9" i="120"/>
  <c r="V9" i="120" s="1"/>
  <c r="Q9" i="120"/>
  <c r="R9" i="120" s="1"/>
  <c r="M9" i="120"/>
  <c r="N9" i="120" s="1"/>
  <c r="AO8" i="120"/>
  <c r="AP8" i="120" s="1"/>
  <c r="AK8" i="120"/>
  <c r="AL8" i="120" s="1"/>
  <c r="AG8" i="120"/>
  <c r="AH8" i="120" s="1"/>
  <c r="AD8" i="120"/>
  <c r="AC8" i="120"/>
  <c r="Y8" i="120"/>
  <c r="Z8" i="120" s="1"/>
  <c r="V8" i="120"/>
  <c r="U8" i="120"/>
  <c r="Q8" i="120"/>
  <c r="R8" i="120" s="1"/>
  <c r="M8" i="120"/>
  <c r="N8" i="120" s="1"/>
  <c r="AO7" i="120"/>
  <c r="AP7" i="120" s="1"/>
  <c r="AK7" i="120"/>
  <c r="AL7" i="120" s="1"/>
  <c r="AG7" i="120"/>
  <c r="AH7" i="120" s="1"/>
  <c r="AC7" i="120"/>
  <c r="AD7" i="120" s="1"/>
  <c r="Y7" i="120"/>
  <c r="Z7" i="120" s="1"/>
  <c r="U7" i="120"/>
  <c r="Q7" i="120"/>
  <c r="R7" i="120" s="1"/>
  <c r="M7" i="120"/>
  <c r="N7" i="120" s="1"/>
  <c r="AO6" i="120"/>
  <c r="AP6" i="120" s="1"/>
  <c r="AK6" i="120"/>
  <c r="AL6" i="120" s="1"/>
  <c r="AG6" i="120"/>
  <c r="AH6" i="120" s="1"/>
  <c r="AD6" i="120"/>
  <c r="AC6" i="120"/>
  <c r="Y6" i="120"/>
  <c r="Z6" i="120" s="1"/>
  <c r="U6" i="120"/>
  <c r="V6" i="120" s="1"/>
  <c r="R6" i="120"/>
  <c r="Q6" i="120"/>
  <c r="M6" i="120"/>
  <c r="N6" i="120" s="1"/>
  <c r="AO5" i="120"/>
  <c r="AP5" i="120" s="1"/>
  <c r="AK5" i="120"/>
  <c r="AG5" i="120"/>
  <c r="AH5" i="120" s="1"/>
  <c r="AC5" i="120"/>
  <c r="AD5" i="120" s="1"/>
  <c r="Y5" i="120"/>
  <c r="Z5" i="120" s="1"/>
  <c r="U5" i="120"/>
  <c r="V5" i="120" s="1"/>
  <c r="Q5" i="120"/>
  <c r="R5" i="120" s="1"/>
  <c r="M5" i="120"/>
  <c r="N5" i="120" s="1"/>
  <c r="AO4" i="120"/>
  <c r="AO1" i="120" s="1"/>
  <c r="AK4" i="120"/>
  <c r="AL4" i="120" s="1"/>
  <c r="AG4" i="120"/>
  <c r="AG1" i="120" s="1"/>
  <c r="AC4" i="120"/>
  <c r="AD4" i="120" s="1"/>
  <c r="Y4" i="120"/>
  <c r="Z4" i="120" s="1"/>
  <c r="U4" i="120"/>
  <c r="V4" i="120" s="1"/>
  <c r="Q4" i="120"/>
  <c r="Q1" i="120" s="1"/>
  <c r="M4" i="120"/>
  <c r="M1" i="120" s="1"/>
  <c r="AN3" i="120"/>
  <c r="AJ3" i="120"/>
  <c r="AL3" i="120" s="1"/>
  <c r="AF3" i="120"/>
  <c r="AH3" i="120" s="1"/>
  <c r="AB3" i="120"/>
  <c r="Z3" i="120"/>
  <c r="X3" i="120"/>
  <c r="T3" i="120"/>
  <c r="V3" i="120" s="1"/>
  <c r="P3" i="120"/>
  <c r="R3" i="120" s="1"/>
  <c r="L3" i="120"/>
  <c r="N3" i="120" s="1"/>
  <c r="L1" i="119"/>
  <c r="M1" i="119"/>
  <c r="N1" i="119"/>
  <c r="O1" i="119"/>
  <c r="P1" i="119"/>
  <c r="Q1" i="119"/>
  <c r="R1" i="119"/>
  <c r="K1" i="119"/>
  <c r="AA5" i="119"/>
  <c r="AA76" i="119"/>
  <c r="AA96" i="119"/>
  <c r="AA116" i="119"/>
  <c r="AA136" i="119"/>
  <c r="AA156" i="119"/>
  <c r="AA175" i="119"/>
  <c r="AA195" i="119"/>
  <c r="AA196" i="119"/>
  <c r="AA230" i="119"/>
  <c r="AA6" i="119"/>
  <c r="AA7" i="119"/>
  <c r="AA8" i="119"/>
  <c r="AA9" i="119"/>
  <c r="AA10" i="119"/>
  <c r="AA11" i="119"/>
  <c r="AA12" i="119"/>
  <c r="Z14" i="119"/>
  <c r="AA14" i="119" s="1"/>
  <c r="Z15" i="119"/>
  <c r="AA15" i="119" s="1"/>
  <c r="Z16" i="119"/>
  <c r="AA16" i="119" s="1"/>
  <c r="AA17" i="119"/>
  <c r="AA18" i="119"/>
  <c r="AA21" i="119"/>
  <c r="Z27" i="119"/>
  <c r="AA27" i="119" s="1"/>
  <c r="Z30" i="119"/>
  <c r="AA30" i="119" s="1"/>
  <c r="AA31" i="119"/>
  <c r="AA32" i="119"/>
  <c r="AA33" i="119"/>
  <c r="Z34" i="119"/>
  <c r="AA34" i="119" s="1"/>
  <c r="AA35" i="119"/>
  <c r="Z36" i="119"/>
  <c r="AA36" i="119" s="1"/>
  <c r="AA37" i="119"/>
  <c r="AA38" i="119"/>
  <c r="Z42" i="119"/>
  <c r="AA42" i="119" s="1"/>
  <c r="AA43" i="119"/>
  <c r="Z44" i="119"/>
  <c r="AA44" i="119" s="1"/>
  <c r="Z45" i="119"/>
  <c r="AA45" i="119" s="1"/>
  <c r="Z48" i="119"/>
  <c r="AA48" i="119" s="1"/>
  <c r="AA57" i="119"/>
  <c r="Z59" i="119"/>
  <c r="AA59" i="119" s="1"/>
  <c r="AA60" i="119"/>
  <c r="Z64" i="119"/>
  <c r="AA64" i="119" s="1"/>
  <c r="Z65" i="119"/>
  <c r="AA65" i="119" s="1"/>
  <c r="Z67" i="119"/>
  <c r="AA67" i="119" s="1"/>
  <c r="AA68" i="119"/>
  <c r="AA70" i="119"/>
  <c r="Z71" i="119"/>
  <c r="AA71" i="119" s="1"/>
  <c r="AA72" i="119"/>
  <c r="Z73" i="119"/>
  <c r="AA73" i="119" s="1"/>
  <c r="AA74" i="119"/>
  <c r="AA75" i="119"/>
  <c r="AA77" i="119"/>
  <c r="AA78" i="119"/>
  <c r="AA80" i="119"/>
  <c r="AA82" i="119"/>
  <c r="AA84" i="119"/>
  <c r="AA85" i="119"/>
  <c r="AA86" i="119"/>
  <c r="AA87" i="119"/>
  <c r="AA88" i="119"/>
  <c r="AA89" i="119"/>
  <c r="AA90" i="119"/>
  <c r="AA91" i="119"/>
  <c r="Z93" i="119"/>
  <c r="AA93" i="119" s="1"/>
  <c r="Z94" i="119"/>
  <c r="AA94" i="119" s="1"/>
  <c r="Z95" i="119"/>
  <c r="AA95" i="119" s="1"/>
  <c r="AA97" i="119"/>
  <c r="AA100" i="119"/>
  <c r="Z106" i="119"/>
  <c r="AA106" i="119" s="1"/>
  <c r="Z109" i="119"/>
  <c r="AA109" i="119" s="1"/>
  <c r="AA110" i="119"/>
  <c r="AA111" i="119"/>
  <c r="AA112" i="119"/>
  <c r="Z113" i="119"/>
  <c r="AA113" i="119" s="1"/>
  <c r="AA114" i="119"/>
  <c r="Z115" i="119"/>
  <c r="AA115" i="119" s="1"/>
  <c r="AA117" i="119"/>
  <c r="Z121" i="119"/>
  <c r="AA121" i="119" s="1"/>
  <c r="AA122" i="119"/>
  <c r="Z123" i="119"/>
  <c r="AA123" i="119" s="1"/>
  <c r="Z124" i="119"/>
  <c r="AA124" i="119" s="1"/>
  <c r="Z127" i="119"/>
  <c r="AA127" i="119" s="1"/>
  <c r="Z138" i="119"/>
  <c r="AA138" i="119" s="1"/>
  <c r="AA139" i="119"/>
  <c r="Z143" i="119"/>
  <c r="AA143" i="119" s="1"/>
  <c r="Z144" i="119"/>
  <c r="AA144" i="119" s="1"/>
  <c r="Z146" i="119"/>
  <c r="AA146" i="119" s="1"/>
  <c r="AA147" i="119"/>
  <c r="AA149" i="119"/>
  <c r="Z150" i="119"/>
  <c r="AA150" i="119" s="1"/>
  <c r="AA151" i="119"/>
  <c r="Z152" i="119"/>
  <c r="AA152" i="119" s="1"/>
  <c r="AA153" i="119"/>
  <c r="AA154" i="119"/>
  <c r="AA155" i="119"/>
  <c r="AA157" i="119"/>
  <c r="AA159" i="119"/>
  <c r="AA161" i="119"/>
  <c r="AA163" i="119"/>
  <c r="AA164" i="119"/>
  <c r="AA165" i="119"/>
  <c r="AA166" i="119"/>
  <c r="AA167" i="119"/>
  <c r="AA168" i="119"/>
  <c r="AA169" i="119"/>
  <c r="AA170" i="119"/>
  <c r="Z172" i="119"/>
  <c r="AA172" i="119" s="1"/>
  <c r="Z173" i="119"/>
  <c r="AA173" i="119" s="1"/>
  <c r="Z174" i="119"/>
  <c r="AA174" i="119" s="1"/>
  <c r="AA176" i="119"/>
  <c r="AA179" i="119"/>
  <c r="Z185" i="119"/>
  <c r="AA185" i="119" s="1"/>
  <c r="Z188" i="119"/>
  <c r="AA188" i="119" s="1"/>
  <c r="AA189" i="119"/>
  <c r="AA190" i="119"/>
  <c r="AA191" i="119"/>
  <c r="Z192" i="119"/>
  <c r="AA192" i="119" s="1"/>
  <c r="AA193" i="119"/>
  <c r="Z194" i="119"/>
  <c r="AA194" i="119" s="1"/>
  <c r="Z200" i="119"/>
  <c r="AA200" i="119" s="1"/>
  <c r="AA201" i="119"/>
  <c r="Z202" i="119"/>
  <c r="AA202" i="119" s="1"/>
  <c r="Z203" i="119"/>
  <c r="AA203" i="119" s="1"/>
  <c r="Z206" i="119"/>
  <c r="AA206" i="119" s="1"/>
  <c r="AA215" i="119"/>
  <c r="Z217" i="119"/>
  <c r="AA217" i="119" s="1"/>
  <c r="AA218" i="119"/>
  <c r="Z222" i="119"/>
  <c r="AA222" i="119" s="1"/>
  <c r="Z223" i="119"/>
  <c r="AA223" i="119" s="1"/>
  <c r="Z225" i="119"/>
  <c r="AA225" i="119" s="1"/>
  <c r="AA226" i="119"/>
  <c r="AA228" i="119"/>
  <c r="Z229" i="119"/>
  <c r="AA229" i="119" s="1"/>
  <c r="Z231" i="119"/>
  <c r="AA231" i="119" s="1"/>
  <c r="AA232" i="119"/>
  <c r="AA233" i="119"/>
  <c r="AA234" i="119"/>
  <c r="AA235" i="119"/>
  <c r="AA236" i="119"/>
  <c r="AA238" i="119"/>
  <c r="AA240" i="119"/>
  <c r="Y4" i="119"/>
  <c r="AA4" i="119" s="1"/>
  <c r="Y13" i="119"/>
  <c r="Y19" i="119"/>
  <c r="Y20" i="119"/>
  <c r="Y22" i="119"/>
  <c r="AA22" i="119" s="1"/>
  <c r="Y23" i="119"/>
  <c r="AA23" i="119" s="1"/>
  <c r="Y24" i="119"/>
  <c r="Y25" i="119"/>
  <c r="Y26" i="119"/>
  <c r="AA26" i="119" s="1"/>
  <c r="Y28" i="119"/>
  <c r="AA28" i="119" s="1"/>
  <c r="Y29" i="119"/>
  <c r="AA29" i="119" s="1"/>
  <c r="Y39" i="119"/>
  <c r="Y40" i="119"/>
  <c r="Y41" i="119"/>
  <c r="AA41" i="119" s="1"/>
  <c r="Y46" i="119"/>
  <c r="AA46" i="119" s="1"/>
  <c r="Y47" i="119"/>
  <c r="AA47" i="119" s="1"/>
  <c r="Y49" i="119"/>
  <c r="Y50" i="119"/>
  <c r="AA50" i="119" s="1"/>
  <c r="Y51" i="119"/>
  <c r="Y52" i="119"/>
  <c r="AA52" i="119" s="1"/>
  <c r="Y53" i="119"/>
  <c r="Y54" i="119"/>
  <c r="Y55" i="119"/>
  <c r="AA55" i="119" s="1"/>
  <c r="Y56" i="119"/>
  <c r="Y58" i="119"/>
  <c r="AA58" i="119" s="1"/>
  <c r="Y61" i="119"/>
  <c r="AA61" i="119" s="1"/>
  <c r="Y62" i="119"/>
  <c r="AA62" i="119" s="1"/>
  <c r="Y63" i="119"/>
  <c r="AA63" i="119" s="1"/>
  <c r="Y66" i="119"/>
  <c r="AA66" i="119" s="1"/>
  <c r="Y69" i="119"/>
  <c r="AA69" i="119" s="1"/>
  <c r="Y79" i="119"/>
  <c r="Y81" i="119"/>
  <c r="AA81" i="119" s="1"/>
  <c r="Y83" i="119"/>
  <c r="AA83" i="119" s="1"/>
  <c r="Y92" i="119"/>
  <c r="Y98" i="119"/>
  <c r="AA98" i="119" s="1"/>
  <c r="Y99" i="119"/>
  <c r="Y101" i="119"/>
  <c r="AA101" i="119" s="1"/>
  <c r="Y102" i="119"/>
  <c r="AA102" i="119" s="1"/>
  <c r="Y103" i="119"/>
  <c r="AA103" i="119" s="1"/>
  <c r="Y104" i="119"/>
  <c r="AA104" i="119" s="1"/>
  <c r="Y105" i="119"/>
  <c r="AA105" i="119" s="1"/>
  <c r="Y107" i="119"/>
  <c r="AA107" i="119" s="1"/>
  <c r="Y108" i="119"/>
  <c r="AA108" i="119" s="1"/>
  <c r="Y118" i="119"/>
  <c r="AA118" i="119" s="1"/>
  <c r="Y119" i="119"/>
  <c r="Y120" i="119"/>
  <c r="Y125" i="119"/>
  <c r="Y126" i="119"/>
  <c r="AA126" i="119" s="1"/>
  <c r="Y128" i="119"/>
  <c r="AA128" i="119" s="1"/>
  <c r="Y129" i="119"/>
  <c r="AA129" i="119" s="1"/>
  <c r="Y130" i="119"/>
  <c r="AA130" i="119" s="1"/>
  <c r="Y131" i="119"/>
  <c r="Y132" i="119"/>
  <c r="AA132" i="119" s="1"/>
  <c r="Y133" i="119"/>
  <c r="AA133" i="119" s="1"/>
  <c r="Y134" i="119"/>
  <c r="Y135" i="119"/>
  <c r="AA135" i="119" s="1"/>
  <c r="Y137" i="119"/>
  <c r="AA137" i="119" s="1"/>
  <c r="Y140" i="119"/>
  <c r="Y141" i="119"/>
  <c r="Y142" i="119"/>
  <c r="AA142" i="119" s="1"/>
  <c r="Y145" i="119"/>
  <c r="AA145" i="119" s="1"/>
  <c r="Y148" i="119"/>
  <c r="AA148" i="119" s="1"/>
  <c r="Y158" i="119"/>
  <c r="AA158" i="119" s="1"/>
  <c r="Y160" i="119"/>
  <c r="Y162" i="119"/>
  <c r="AA162" i="119" s="1"/>
  <c r="Y171" i="119"/>
  <c r="Y177" i="119"/>
  <c r="AA177" i="119" s="1"/>
  <c r="Y178" i="119"/>
  <c r="AA178" i="119" s="1"/>
  <c r="Y180" i="119"/>
  <c r="Y181" i="119"/>
  <c r="AA181" i="119" s="1"/>
  <c r="Y182" i="119"/>
  <c r="AA182" i="119" s="1"/>
  <c r="Y183" i="119"/>
  <c r="AA183" i="119" s="1"/>
  <c r="Y184" i="119"/>
  <c r="AA184" i="119" s="1"/>
  <c r="Y186" i="119"/>
  <c r="AA186" i="119" s="1"/>
  <c r="Y187" i="119"/>
  <c r="AA187" i="119" s="1"/>
  <c r="Y197" i="119"/>
  <c r="AA197" i="119" s="1"/>
  <c r="Y198" i="119"/>
  <c r="AA198" i="119" s="1"/>
  <c r="Y199" i="119"/>
  <c r="AA199" i="119" s="1"/>
  <c r="Y204" i="119"/>
  <c r="Y205" i="119"/>
  <c r="AA205" i="119" s="1"/>
  <c r="Y207" i="119"/>
  <c r="AA207" i="119" s="1"/>
  <c r="Y208" i="119"/>
  <c r="AA208" i="119" s="1"/>
  <c r="Y209" i="119"/>
  <c r="Y210" i="119"/>
  <c r="AA210" i="119" s="1"/>
  <c r="Y211" i="119"/>
  <c r="Y212" i="119"/>
  <c r="Y213" i="119"/>
  <c r="AA213" i="119" s="1"/>
  <c r="Y214" i="119"/>
  <c r="Y216" i="119"/>
  <c r="AA216" i="119" s="1"/>
  <c r="Y219" i="119"/>
  <c r="Y220" i="119"/>
  <c r="AA220" i="119" s="1"/>
  <c r="Y221" i="119"/>
  <c r="AA221" i="119" s="1"/>
  <c r="Y224" i="119"/>
  <c r="AA224" i="119" s="1"/>
  <c r="Y227" i="119"/>
  <c r="AA227" i="119" s="1"/>
  <c r="Y237" i="119"/>
  <c r="AA237" i="119" s="1"/>
  <c r="Y239" i="119"/>
  <c r="S2" i="119"/>
  <c r="W5" i="119"/>
  <c r="X5" i="119" s="1"/>
  <c r="W6" i="119"/>
  <c r="X6" i="119" s="1"/>
  <c r="W7" i="119"/>
  <c r="X7" i="119" s="1"/>
  <c r="W8" i="119"/>
  <c r="X8" i="119" s="1"/>
  <c r="W9" i="119"/>
  <c r="X9" i="119" s="1"/>
  <c r="W10" i="119"/>
  <c r="X10" i="119" s="1"/>
  <c r="W11" i="119"/>
  <c r="X11" i="119" s="1"/>
  <c r="W12" i="119"/>
  <c r="X12" i="119" s="1"/>
  <c r="W13" i="119"/>
  <c r="X13" i="119" s="1"/>
  <c r="W14" i="119"/>
  <c r="X14" i="119" s="1"/>
  <c r="W15" i="119"/>
  <c r="X15" i="119" s="1"/>
  <c r="W16" i="119"/>
  <c r="X16" i="119" s="1"/>
  <c r="W17" i="119"/>
  <c r="X17" i="119" s="1"/>
  <c r="W18" i="119"/>
  <c r="X18" i="119" s="1"/>
  <c r="W21" i="119"/>
  <c r="X21" i="119" s="1"/>
  <c r="W25" i="119"/>
  <c r="X25" i="119" s="1"/>
  <c r="W27" i="119"/>
  <c r="X27" i="119" s="1"/>
  <c r="W30" i="119"/>
  <c r="X30" i="119" s="1"/>
  <c r="W31" i="119"/>
  <c r="X31" i="119" s="1"/>
  <c r="W32" i="119"/>
  <c r="X32" i="119" s="1"/>
  <c r="W33" i="119"/>
  <c r="X33" i="119" s="1"/>
  <c r="W34" i="119"/>
  <c r="X34" i="119" s="1"/>
  <c r="W35" i="119"/>
  <c r="X35" i="119" s="1"/>
  <c r="W36" i="119"/>
  <c r="X36" i="119" s="1"/>
  <c r="W37" i="119"/>
  <c r="X37" i="119" s="1"/>
  <c r="W38" i="119"/>
  <c r="X38" i="119" s="1"/>
  <c r="W40" i="119"/>
  <c r="X40" i="119" s="1"/>
  <c r="W41" i="119"/>
  <c r="X41" i="119" s="1"/>
  <c r="W42" i="119"/>
  <c r="X42" i="119" s="1"/>
  <c r="W43" i="119"/>
  <c r="X43" i="119" s="1"/>
  <c r="W44" i="119"/>
  <c r="X44" i="119" s="1"/>
  <c r="W45" i="119"/>
  <c r="X45" i="119" s="1"/>
  <c r="W46" i="119"/>
  <c r="X46" i="119" s="1"/>
  <c r="W48" i="119"/>
  <c r="X48" i="119" s="1"/>
  <c r="W50" i="119"/>
  <c r="X50" i="119" s="1"/>
  <c r="W57" i="119"/>
  <c r="X57" i="119" s="1"/>
  <c r="W59" i="119"/>
  <c r="X59" i="119" s="1"/>
  <c r="W60" i="119"/>
  <c r="X60" i="119" s="1"/>
  <c r="W64" i="119"/>
  <c r="X64" i="119" s="1"/>
  <c r="W65" i="119"/>
  <c r="X65" i="119" s="1"/>
  <c r="W67" i="119"/>
  <c r="X67" i="119" s="1"/>
  <c r="W68" i="119"/>
  <c r="X68" i="119" s="1"/>
  <c r="W70" i="119"/>
  <c r="X70" i="119" s="1"/>
  <c r="W71" i="119"/>
  <c r="X71" i="119" s="1"/>
  <c r="W72" i="119"/>
  <c r="X72" i="119" s="1"/>
  <c r="W73" i="119"/>
  <c r="X73" i="119" s="1"/>
  <c r="W74" i="119"/>
  <c r="X74" i="119" s="1"/>
  <c r="W75" i="119"/>
  <c r="X75" i="119" s="1"/>
  <c r="W76" i="119"/>
  <c r="X76" i="119" s="1"/>
  <c r="W77" i="119"/>
  <c r="X77" i="119" s="1"/>
  <c r="W78" i="119"/>
  <c r="X78" i="119" s="1"/>
  <c r="W80" i="119"/>
  <c r="X80" i="119" s="1"/>
  <c r="W82" i="119"/>
  <c r="X82" i="119" s="1"/>
  <c r="W84" i="119"/>
  <c r="X84" i="119" s="1"/>
  <c r="W85" i="119"/>
  <c r="X85" i="119" s="1"/>
  <c r="W86" i="119"/>
  <c r="X86" i="119" s="1"/>
  <c r="W87" i="119"/>
  <c r="X87" i="119" s="1"/>
  <c r="W88" i="119"/>
  <c r="X88" i="119" s="1"/>
  <c r="W89" i="119"/>
  <c r="X89" i="119" s="1"/>
  <c r="W90" i="119"/>
  <c r="X90" i="119" s="1"/>
  <c r="W91" i="119"/>
  <c r="X91" i="119" s="1"/>
  <c r="W92" i="119"/>
  <c r="X92" i="119" s="1"/>
  <c r="W93" i="119"/>
  <c r="X93" i="119" s="1"/>
  <c r="W94" i="119"/>
  <c r="X94" i="119" s="1"/>
  <c r="W95" i="119"/>
  <c r="X95" i="119" s="1"/>
  <c r="W96" i="119"/>
  <c r="X96" i="119" s="1"/>
  <c r="W97" i="119"/>
  <c r="X97" i="119" s="1"/>
  <c r="W100" i="119"/>
  <c r="X100" i="119" s="1"/>
  <c r="W104" i="119"/>
  <c r="X104" i="119" s="1"/>
  <c r="W106" i="119"/>
  <c r="X106" i="119" s="1"/>
  <c r="W109" i="119"/>
  <c r="X109" i="119" s="1"/>
  <c r="W110" i="119"/>
  <c r="X110" i="119" s="1"/>
  <c r="W111" i="119"/>
  <c r="X111" i="119" s="1"/>
  <c r="W112" i="119"/>
  <c r="X112" i="119" s="1"/>
  <c r="W113" i="119"/>
  <c r="X113" i="119" s="1"/>
  <c r="W114" i="119"/>
  <c r="X114" i="119" s="1"/>
  <c r="W115" i="119"/>
  <c r="X115" i="119" s="1"/>
  <c r="W116" i="119"/>
  <c r="X116" i="119" s="1"/>
  <c r="W117" i="119"/>
  <c r="X117" i="119" s="1"/>
  <c r="W119" i="119"/>
  <c r="X119" i="119" s="1"/>
  <c r="W120" i="119"/>
  <c r="X120" i="119" s="1"/>
  <c r="W121" i="119"/>
  <c r="X121" i="119" s="1"/>
  <c r="W122" i="119"/>
  <c r="X122" i="119" s="1"/>
  <c r="W123" i="119"/>
  <c r="X123" i="119" s="1"/>
  <c r="W124" i="119"/>
  <c r="X124" i="119" s="1"/>
  <c r="W125" i="119"/>
  <c r="X125" i="119" s="1"/>
  <c r="W127" i="119"/>
  <c r="X127" i="119" s="1"/>
  <c r="W129" i="119"/>
  <c r="X129" i="119" s="1"/>
  <c r="W136" i="119"/>
  <c r="X136" i="119" s="1"/>
  <c r="W138" i="119"/>
  <c r="X138" i="119" s="1"/>
  <c r="W139" i="119"/>
  <c r="X139" i="119" s="1"/>
  <c r="W143" i="119"/>
  <c r="X143" i="119" s="1"/>
  <c r="W144" i="119"/>
  <c r="X144" i="119" s="1"/>
  <c r="W146" i="119"/>
  <c r="X146" i="119" s="1"/>
  <c r="W147" i="119"/>
  <c r="X147" i="119" s="1"/>
  <c r="W149" i="119"/>
  <c r="X149" i="119" s="1"/>
  <c r="W150" i="119"/>
  <c r="X150" i="119" s="1"/>
  <c r="W151" i="119"/>
  <c r="X151" i="119" s="1"/>
  <c r="W152" i="119"/>
  <c r="X152" i="119" s="1"/>
  <c r="W153" i="119"/>
  <c r="X153" i="119" s="1"/>
  <c r="W154" i="119"/>
  <c r="X154" i="119" s="1"/>
  <c r="W155" i="119"/>
  <c r="X155" i="119" s="1"/>
  <c r="W156" i="119"/>
  <c r="X156" i="119" s="1"/>
  <c r="W157" i="119"/>
  <c r="X157" i="119" s="1"/>
  <c r="W159" i="119"/>
  <c r="X159" i="119" s="1"/>
  <c r="W161" i="119"/>
  <c r="X161" i="119" s="1"/>
  <c r="W163" i="119"/>
  <c r="X163" i="119" s="1"/>
  <c r="W164" i="119"/>
  <c r="X164" i="119" s="1"/>
  <c r="W165" i="119"/>
  <c r="X165" i="119" s="1"/>
  <c r="W166" i="119"/>
  <c r="X166" i="119" s="1"/>
  <c r="W167" i="119"/>
  <c r="X167" i="119" s="1"/>
  <c r="W168" i="119"/>
  <c r="X168" i="119" s="1"/>
  <c r="W169" i="119"/>
  <c r="X169" i="119" s="1"/>
  <c r="W170" i="119"/>
  <c r="X170" i="119" s="1"/>
  <c r="W171" i="119"/>
  <c r="X171" i="119" s="1"/>
  <c r="W172" i="119"/>
  <c r="X172" i="119" s="1"/>
  <c r="W173" i="119"/>
  <c r="X173" i="119" s="1"/>
  <c r="W174" i="119"/>
  <c r="X174" i="119" s="1"/>
  <c r="W175" i="119"/>
  <c r="X175" i="119" s="1"/>
  <c r="W176" i="119"/>
  <c r="X176" i="119" s="1"/>
  <c r="W179" i="119"/>
  <c r="X179" i="119" s="1"/>
  <c r="W183" i="119"/>
  <c r="X183" i="119" s="1"/>
  <c r="W185" i="119"/>
  <c r="X185" i="119" s="1"/>
  <c r="W188" i="119"/>
  <c r="X188" i="119" s="1"/>
  <c r="W189" i="119"/>
  <c r="X189" i="119" s="1"/>
  <c r="W190" i="119"/>
  <c r="X190" i="119" s="1"/>
  <c r="W191" i="119"/>
  <c r="X191" i="119" s="1"/>
  <c r="W192" i="119"/>
  <c r="X192" i="119" s="1"/>
  <c r="W193" i="119"/>
  <c r="X193" i="119" s="1"/>
  <c r="W194" i="119"/>
  <c r="X194" i="119" s="1"/>
  <c r="W195" i="119"/>
  <c r="X195" i="119" s="1"/>
  <c r="W196" i="119"/>
  <c r="X196" i="119" s="1"/>
  <c r="W198" i="119"/>
  <c r="X198" i="119" s="1"/>
  <c r="W199" i="119"/>
  <c r="X199" i="119" s="1"/>
  <c r="W200" i="119"/>
  <c r="X200" i="119" s="1"/>
  <c r="W201" i="119"/>
  <c r="X201" i="119" s="1"/>
  <c r="W202" i="119"/>
  <c r="X202" i="119" s="1"/>
  <c r="W203" i="119"/>
  <c r="X203" i="119" s="1"/>
  <c r="W204" i="119"/>
  <c r="X204" i="119" s="1"/>
  <c r="W206" i="119"/>
  <c r="X206" i="119" s="1"/>
  <c r="W208" i="119"/>
  <c r="X208" i="119" s="1"/>
  <c r="W215" i="119"/>
  <c r="X215" i="119" s="1"/>
  <c r="W217" i="119"/>
  <c r="X217" i="119" s="1"/>
  <c r="W218" i="119"/>
  <c r="X218" i="119" s="1"/>
  <c r="W222" i="119"/>
  <c r="X222" i="119" s="1"/>
  <c r="W223" i="119"/>
  <c r="X223" i="119" s="1"/>
  <c r="W225" i="119"/>
  <c r="X225" i="119" s="1"/>
  <c r="W226" i="119"/>
  <c r="X226" i="119" s="1"/>
  <c r="W228" i="119"/>
  <c r="X228" i="119" s="1"/>
  <c r="W229" i="119"/>
  <c r="X229" i="119" s="1"/>
  <c r="W230" i="119"/>
  <c r="X230" i="119" s="1"/>
  <c r="W231" i="119"/>
  <c r="X231" i="119" s="1"/>
  <c r="W232" i="119"/>
  <c r="X232" i="119" s="1"/>
  <c r="W233" i="119"/>
  <c r="X233" i="119" s="1"/>
  <c r="W234" i="119"/>
  <c r="X234" i="119" s="1"/>
  <c r="W235" i="119"/>
  <c r="X235" i="119" s="1"/>
  <c r="W236" i="119"/>
  <c r="X236" i="119" s="1"/>
  <c r="W238" i="119"/>
  <c r="X238" i="119" s="1"/>
  <c r="W240" i="119"/>
  <c r="X240" i="119" s="1"/>
  <c r="V4" i="119"/>
  <c r="X4" i="119" s="1"/>
  <c r="V19" i="119"/>
  <c r="X19" i="119" s="1"/>
  <c r="V20" i="119"/>
  <c r="X20" i="119" s="1"/>
  <c r="V22" i="119"/>
  <c r="X22" i="119" s="1"/>
  <c r="V23" i="119"/>
  <c r="X23" i="119" s="1"/>
  <c r="V24" i="119"/>
  <c r="X24" i="119" s="1"/>
  <c r="V26" i="119"/>
  <c r="X26" i="119" s="1"/>
  <c r="V28" i="119"/>
  <c r="X28" i="119" s="1"/>
  <c r="V29" i="119"/>
  <c r="X29" i="119" s="1"/>
  <c r="V39" i="119"/>
  <c r="X39" i="119" s="1"/>
  <c r="V47" i="119"/>
  <c r="X47" i="119" s="1"/>
  <c r="V49" i="119"/>
  <c r="X49" i="119" s="1"/>
  <c r="V51" i="119"/>
  <c r="X51" i="119" s="1"/>
  <c r="V52" i="119"/>
  <c r="X52" i="119" s="1"/>
  <c r="V53" i="119"/>
  <c r="X53" i="119" s="1"/>
  <c r="V54" i="119"/>
  <c r="X54" i="119" s="1"/>
  <c r="V55" i="119"/>
  <c r="X55" i="119" s="1"/>
  <c r="V56" i="119"/>
  <c r="X56" i="119" s="1"/>
  <c r="V58" i="119"/>
  <c r="X58" i="119" s="1"/>
  <c r="V61" i="119"/>
  <c r="X61" i="119" s="1"/>
  <c r="V62" i="119"/>
  <c r="X62" i="119" s="1"/>
  <c r="V63" i="119"/>
  <c r="X63" i="119" s="1"/>
  <c r="V66" i="119"/>
  <c r="X66" i="119" s="1"/>
  <c r="V69" i="119"/>
  <c r="X69" i="119" s="1"/>
  <c r="V79" i="119"/>
  <c r="X79" i="119" s="1"/>
  <c r="V81" i="119"/>
  <c r="X81" i="119" s="1"/>
  <c r="V83" i="119"/>
  <c r="X83" i="119" s="1"/>
  <c r="V98" i="119"/>
  <c r="X98" i="119" s="1"/>
  <c r="V99" i="119"/>
  <c r="X99" i="119" s="1"/>
  <c r="V101" i="119"/>
  <c r="X101" i="119" s="1"/>
  <c r="V102" i="119"/>
  <c r="X102" i="119" s="1"/>
  <c r="V103" i="119"/>
  <c r="X103" i="119" s="1"/>
  <c r="V105" i="119"/>
  <c r="X105" i="119" s="1"/>
  <c r="V107" i="119"/>
  <c r="X107" i="119" s="1"/>
  <c r="V108" i="119"/>
  <c r="X108" i="119" s="1"/>
  <c r="V118" i="119"/>
  <c r="X118" i="119" s="1"/>
  <c r="V126" i="119"/>
  <c r="X126" i="119" s="1"/>
  <c r="V128" i="119"/>
  <c r="X128" i="119" s="1"/>
  <c r="V130" i="119"/>
  <c r="X130" i="119" s="1"/>
  <c r="V131" i="119"/>
  <c r="X131" i="119" s="1"/>
  <c r="V132" i="119"/>
  <c r="X132" i="119" s="1"/>
  <c r="V133" i="119"/>
  <c r="X133" i="119" s="1"/>
  <c r="V134" i="119"/>
  <c r="X134" i="119" s="1"/>
  <c r="V135" i="119"/>
  <c r="X135" i="119" s="1"/>
  <c r="V137" i="119"/>
  <c r="X137" i="119" s="1"/>
  <c r="V140" i="119"/>
  <c r="X140" i="119" s="1"/>
  <c r="V141" i="119"/>
  <c r="X141" i="119" s="1"/>
  <c r="V142" i="119"/>
  <c r="X142" i="119" s="1"/>
  <c r="V145" i="119"/>
  <c r="X145" i="119" s="1"/>
  <c r="V148" i="119"/>
  <c r="X148" i="119" s="1"/>
  <c r="V158" i="119"/>
  <c r="X158" i="119" s="1"/>
  <c r="V160" i="119"/>
  <c r="X160" i="119" s="1"/>
  <c r="V162" i="119"/>
  <c r="X162" i="119" s="1"/>
  <c r="V177" i="119"/>
  <c r="X177" i="119" s="1"/>
  <c r="V178" i="119"/>
  <c r="X178" i="119" s="1"/>
  <c r="V180" i="119"/>
  <c r="X180" i="119" s="1"/>
  <c r="V181" i="119"/>
  <c r="X181" i="119" s="1"/>
  <c r="V182" i="119"/>
  <c r="X182" i="119" s="1"/>
  <c r="V184" i="119"/>
  <c r="X184" i="119" s="1"/>
  <c r="V186" i="119"/>
  <c r="X186" i="119" s="1"/>
  <c r="V187" i="119"/>
  <c r="X187" i="119" s="1"/>
  <c r="V197" i="119"/>
  <c r="X197" i="119" s="1"/>
  <c r="V205" i="119"/>
  <c r="X205" i="119" s="1"/>
  <c r="V207" i="119"/>
  <c r="X207" i="119" s="1"/>
  <c r="V209" i="119"/>
  <c r="X209" i="119" s="1"/>
  <c r="V210" i="119"/>
  <c r="X210" i="119" s="1"/>
  <c r="V211" i="119"/>
  <c r="X211" i="119" s="1"/>
  <c r="V212" i="119"/>
  <c r="X212" i="119" s="1"/>
  <c r="V213" i="119"/>
  <c r="X213" i="119" s="1"/>
  <c r="V214" i="119"/>
  <c r="X214" i="119" s="1"/>
  <c r="V216" i="119"/>
  <c r="X216" i="119" s="1"/>
  <c r="V219" i="119"/>
  <c r="X219" i="119" s="1"/>
  <c r="V220" i="119"/>
  <c r="X220" i="119" s="1"/>
  <c r="V221" i="119"/>
  <c r="X221" i="119" s="1"/>
  <c r="V224" i="119"/>
  <c r="X224" i="119" s="1"/>
  <c r="V227" i="119"/>
  <c r="X227" i="119" s="1"/>
  <c r="V237" i="119"/>
  <c r="X237" i="119" s="1"/>
  <c r="V239" i="119"/>
  <c r="X239" i="119" s="1"/>
  <c r="A240" i="119"/>
  <c r="A239" i="119"/>
  <c r="A238" i="119"/>
  <c r="A237" i="119"/>
  <c r="A236" i="119"/>
  <c r="A235" i="119"/>
  <c r="A234" i="119"/>
  <c r="A233" i="119"/>
  <c r="A232" i="119"/>
  <c r="A231" i="119"/>
  <c r="A230" i="119"/>
  <c r="A229" i="119"/>
  <c r="A228" i="119"/>
  <c r="A227" i="119"/>
  <c r="A226" i="119"/>
  <c r="A225" i="119"/>
  <c r="A224" i="119"/>
  <c r="A223" i="119"/>
  <c r="A222" i="119"/>
  <c r="A221" i="119"/>
  <c r="A220" i="119"/>
  <c r="A219" i="119"/>
  <c r="A218" i="119"/>
  <c r="A217" i="119"/>
  <c r="A216" i="119"/>
  <c r="A215" i="119"/>
  <c r="A214" i="119"/>
  <c r="A213" i="119"/>
  <c r="A212" i="119"/>
  <c r="A211" i="119"/>
  <c r="A210" i="119"/>
  <c r="A209" i="119"/>
  <c r="A208" i="119"/>
  <c r="A207" i="119"/>
  <c r="A206" i="119"/>
  <c r="A205" i="119"/>
  <c r="A204" i="119"/>
  <c r="A203" i="119"/>
  <c r="A202" i="119"/>
  <c r="A201" i="119"/>
  <c r="A200" i="119"/>
  <c r="A199" i="119"/>
  <c r="A198" i="119"/>
  <c r="A197" i="119"/>
  <c r="A196" i="119"/>
  <c r="A195" i="119"/>
  <c r="A194" i="119"/>
  <c r="A193" i="119"/>
  <c r="A192" i="119"/>
  <c r="A191" i="119"/>
  <c r="A190" i="119"/>
  <c r="A189" i="119"/>
  <c r="A188" i="119"/>
  <c r="A187" i="119"/>
  <c r="A186" i="119"/>
  <c r="A185" i="119"/>
  <c r="A184" i="119"/>
  <c r="A183" i="119"/>
  <c r="A182" i="119"/>
  <c r="A181" i="119"/>
  <c r="A180" i="119"/>
  <c r="A179" i="119"/>
  <c r="A178" i="119"/>
  <c r="A177" i="119"/>
  <c r="A176" i="119"/>
  <c r="A175" i="119"/>
  <c r="A174" i="119"/>
  <c r="A173" i="119"/>
  <c r="A172" i="119"/>
  <c r="A171" i="119"/>
  <c r="A170" i="119"/>
  <c r="A169" i="119"/>
  <c r="A168" i="119"/>
  <c r="A167" i="119"/>
  <c r="A166" i="119"/>
  <c r="A165" i="119"/>
  <c r="A164" i="119"/>
  <c r="A163" i="119"/>
  <c r="A162" i="119"/>
  <c r="A161" i="119"/>
  <c r="A160" i="119"/>
  <c r="A159" i="119"/>
  <c r="A158" i="119"/>
  <c r="A157" i="119"/>
  <c r="A156" i="119"/>
  <c r="A155" i="119"/>
  <c r="A154" i="119"/>
  <c r="A153" i="119"/>
  <c r="A152" i="119"/>
  <c r="A151" i="119"/>
  <c r="A150" i="119"/>
  <c r="A149" i="119"/>
  <c r="A148" i="119"/>
  <c r="A147" i="119"/>
  <c r="A146" i="119"/>
  <c r="A145" i="119"/>
  <c r="A144" i="119"/>
  <c r="A143" i="119"/>
  <c r="A142" i="119"/>
  <c r="A141" i="119"/>
  <c r="A140" i="119"/>
  <c r="A139" i="119"/>
  <c r="A138" i="119"/>
  <c r="A137" i="119"/>
  <c r="A136" i="119"/>
  <c r="A135" i="119"/>
  <c r="A134" i="119"/>
  <c r="A133" i="119"/>
  <c r="A132" i="119"/>
  <c r="A131" i="119"/>
  <c r="A130" i="119"/>
  <c r="A129" i="119"/>
  <c r="A128" i="119"/>
  <c r="A127" i="119"/>
  <c r="A126" i="119"/>
  <c r="A125" i="119"/>
  <c r="A124" i="119"/>
  <c r="A123" i="119"/>
  <c r="A122" i="119"/>
  <c r="A121" i="119"/>
  <c r="A120" i="119"/>
  <c r="A119" i="119"/>
  <c r="A118" i="119"/>
  <c r="A117" i="119"/>
  <c r="A116" i="119"/>
  <c r="A115" i="119"/>
  <c r="A114" i="119"/>
  <c r="A113" i="119"/>
  <c r="A112" i="119"/>
  <c r="A111" i="119"/>
  <c r="A110" i="119"/>
  <c r="A109" i="119"/>
  <c r="A108" i="119"/>
  <c r="A107" i="119"/>
  <c r="A106" i="119"/>
  <c r="A105" i="119"/>
  <c r="A104" i="119"/>
  <c r="A103" i="119"/>
  <c r="A102" i="119"/>
  <c r="A101" i="119"/>
  <c r="A100" i="119"/>
  <c r="A99" i="119"/>
  <c r="A98" i="119"/>
  <c r="A97" i="119"/>
  <c r="A96" i="119"/>
  <c r="A95" i="119"/>
  <c r="A94" i="119"/>
  <c r="A93" i="119"/>
  <c r="A92" i="119"/>
  <c r="A91" i="119"/>
  <c r="A90" i="119"/>
  <c r="A89" i="119"/>
  <c r="A88" i="119"/>
  <c r="A87" i="119"/>
  <c r="A86" i="119"/>
  <c r="A85" i="119"/>
  <c r="A84" i="119"/>
  <c r="A83" i="119"/>
  <c r="A82" i="119"/>
  <c r="A81" i="119"/>
  <c r="A80" i="119"/>
  <c r="A79" i="119"/>
  <c r="A78" i="119"/>
  <c r="A77" i="119"/>
  <c r="A76" i="119"/>
  <c r="A75" i="119"/>
  <c r="A74" i="119"/>
  <c r="A73" i="119"/>
  <c r="A72" i="119"/>
  <c r="A71" i="119"/>
  <c r="A70" i="119"/>
  <c r="A69" i="119"/>
  <c r="A68" i="119"/>
  <c r="A67" i="119"/>
  <c r="A66" i="119"/>
  <c r="A65" i="119"/>
  <c r="A64" i="119"/>
  <c r="A63" i="119"/>
  <c r="A62" i="119"/>
  <c r="A61" i="119"/>
  <c r="A60" i="119"/>
  <c r="A59" i="119"/>
  <c r="A58" i="119"/>
  <c r="A57" i="119"/>
  <c r="A56" i="119"/>
  <c r="A55" i="119"/>
  <c r="A54" i="119"/>
  <c r="A53" i="119"/>
  <c r="A52" i="119"/>
  <c r="A51" i="119"/>
  <c r="A50" i="119"/>
  <c r="A49" i="119"/>
  <c r="A48" i="119"/>
  <c r="A47" i="119"/>
  <c r="A46" i="119"/>
  <c r="A45" i="119"/>
  <c r="A44" i="119"/>
  <c r="A43" i="119"/>
  <c r="A42" i="119"/>
  <c r="A41" i="119"/>
  <c r="A40" i="119"/>
  <c r="A39" i="119"/>
  <c r="A38" i="119"/>
  <c r="A37" i="119"/>
  <c r="A36" i="119"/>
  <c r="A35" i="119"/>
  <c r="A34" i="119"/>
  <c r="A33" i="119"/>
  <c r="A32" i="119"/>
  <c r="A31" i="119"/>
  <c r="A30" i="119"/>
  <c r="A29" i="119"/>
  <c r="A28" i="119"/>
  <c r="A27" i="119"/>
  <c r="A26" i="119"/>
  <c r="A25" i="119"/>
  <c r="A24" i="119"/>
  <c r="A23" i="119"/>
  <c r="A22" i="119"/>
  <c r="A21" i="119"/>
  <c r="A20" i="119"/>
  <c r="A19" i="119"/>
  <c r="A18" i="119"/>
  <c r="A17" i="119"/>
  <c r="A16" i="119"/>
  <c r="A15" i="119"/>
  <c r="A14" i="119"/>
  <c r="A13" i="119"/>
  <c r="A12" i="119"/>
  <c r="A11" i="119"/>
  <c r="A10" i="119"/>
  <c r="A9" i="119"/>
  <c r="A8" i="119"/>
  <c r="A7" i="119"/>
  <c r="A6" i="119"/>
  <c r="A5" i="119"/>
  <c r="A4" i="119"/>
  <c r="AQ1" i="92"/>
  <c r="AR1" i="92"/>
  <c r="Z4" i="92"/>
  <c r="Z5" i="92"/>
  <c r="Z6" i="92"/>
  <c r="Z7" i="92"/>
  <c r="Z8" i="92"/>
  <c r="Z9" i="92"/>
  <c r="Z10" i="92"/>
  <c r="Z11" i="92"/>
  <c r="Z12" i="92"/>
  <c r="Z13" i="92"/>
  <c r="Z14" i="92"/>
  <c r="Z15" i="92"/>
  <c r="Z16" i="92"/>
  <c r="Z17" i="92"/>
  <c r="Z18" i="92"/>
  <c r="Z19" i="92"/>
  <c r="Z20" i="92"/>
  <c r="Z21" i="92"/>
  <c r="Z22" i="92"/>
  <c r="Z23" i="92"/>
  <c r="Z24" i="92"/>
  <c r="Z25" i="92"/>
  <c r="Z26" i="92"/>
  <c r="Z27" i="92"/>
  <c r="Z28" i="92"/>
  <c r="Z29" i="92"/>
  <c r="Z30" i="92"/>
  <c r="Z31" i="92"/>
  <c r="Z32" i="92"/>
  <c r="Z33" i="92"/>
  <c r="Z34" i="92"/>
  <c r="Z35" i="92"/>
  <c r="Z36" i="92"/>
  <c r="Z37" i="92"/>
  <c r="Z38" i="92"/>
  <c r="Z39" i="92"/>
  <c r="Z40" i="92"/>
  <c r="Z41" i="92"/>
  <c r="Z42" i="92"/>
  <c r="Z43" i="92"/>
  <c r="Z44" i="92"/>
  <c r="Z45" i="92"/>
  <c r="Z46" i="92"/>
  <c r="Z47" i="92"/>
  <c r="Z48" i="92"/>
  <c r="Z49" i="92"/>
  <c r="Z50" i="92"/>
  <c r="Z51" i="92"/>
  <c r="Z52" i="92"/>
  <c r="Z53" i="92"/>
  <c r="Z54" i="92"/>
  <c r="Z55" i="92"/>
  <c r="Z56" i="92"/>
  <c r="Z57" i="92"/>
  <c r="Z58" i="92"/>
  <c r="Z59" i="92"/>
  <c r="Z60" i="92"/>
  <c r="Z61" i="92"/>
  <c r="Z62" i="92"/>
  <c r="Z63" i="92"/>
  <c r="Z64" i="92"/>
  <c r="Z65" i="92"/>
  <c r="Z66" i="92"/>
  <c r="Z67" i="92"/>
  <c r="Z68" i="92"/>
  <c r="Z69" i="92"/>
  <c r="Z70" i="92"/>
  <c r="Z71" i="92"/>
  <c r="Z72" i="92"/>
  <c r="Z73" i="92"/>
  <c r="Z74" i="92"/>
  <c r="Z75" i="92"/>
  <c r="Z76" i="92"/>
  <c r="Z77" i="92"/>
  <c r="Z78" i="92"/>
  <c r="Z79" i="92"/>
  <c r="Z80" i="92"/>
  <c r="Z81" i="92"/>
  <c r="Z82" i="92"/>
  <c r="Z83" i="92"/>
  <c r="Z84" i="92"/>
  <c r="Z85" i="92"/>
  <c r="Z86" i="92"/>
  <c r="Z87" i="92"/>
  <c r="Z88" i="92"/>
  <c r="Z89" i="92"/>
  <c r="Z90" i="92"/>
  <c r="Z91" i="92"/>
  <c r="Z92" i="92"/>
  <c r="Z93" i="92"/>
  <c r="Z94" i="92"/>
  <c r="Z95" i="92"/>
  <c r="Z96" i="92"/>
  <c r="Z97" i="92"/>
  <c r="Z98" i="92"/>
  <c r="Z99" i="92"/>
  <c r="Z100" i="92"/>
  <c r="Z101" i="92"/>
  <c r="Z102" i="92"/>
  <c r="Z103" i="92"/>
  <c r="Z104" i="92"/>
  <c r="Z105" i="92"/>
  <c r="Z106" i="92"/>
  <c r="Z107" i="92"/>
  <c r="Z108" i="92"/>
  <c r="Z109" i="92"/>
  <c r="Z110" i="92"/>
  <c r="Z111" i="92"/>
  <c r="Z112" i="92"/>
  <c r="Z113" i="92"/>
  <c r="Z114" i="92"/>
  <c r="Z115" i="92"/>
  <c r="Z116" i="92"/>
  <c r="Z117" i="92"/>
  <c r="Z118" i="92"/>
  <c r="Z119" i="92"/>
  <c r="Z120" i="92"/>
  <c r="Z121" i="92"/>
  <c r="Z122" i="92"/>
  <c r="Z123" i="92"/>
  <c r="Z124" i="92"/>
  <c r="Z125" i="92"/>
  <c r="Z126" i="92"/>
  <c r="Z127" i="92"/>
  <c r="Z128" i="92"/>
  <c r="Z129" i="92"/>
  <c r="Z130" i="92"/>
  <c r="Z131" i="92"/>
  <c r="Z132" i="92"/>
  <c r="Z133" i="92"/>
  <c r="Z134" i="92"/>
  <c r="Z135" i="92"/>
  <c r="Z136" i="92"/>
  <c r="Z137" i="92"/>
  <c r="Z138" i="92"/>
  <c r="Z139" i="92"/>
  <c r="Z140" i="92"/>
  <c r="Z141" i="92"/>
  <c r="Z142" i="92"/>
  <c r="Z143" i="92"/>
  <c r="Z144" i="92"/>
  <c r="Z145" i="92"/>
  <c r="Z146" i="92"/>
  <c r="Z147" i="92"/>
  <c r="Z148" i="92"/>
  <c r="Z149" i="92"/>
  <c r="Z150" i="92"/>
  <c r="Z151" i="92"/>
  <c r="Z152" i="92"/>
  <c r="Z153" i="92"/>
  <c r="Z154" i="92"/>
  <c r="Z155" i="92"/>
  <c r="Z156" i="92"/>
  <c r="Z157" i="92"/>
  <c r="Z158" i="92"/>
  <c r="Z159" i="92"/>
  <c r="Z160" i="92"/>
  <c r="Z161" i="92"/>
  <c r="Z162" i="92"/>
  <c r="Z163" i="92"/>
  <c r="Z164" i="92"/>
  <c r="Z165" i="92"/>
  <c r="Z166" i="92"/>
  <c r="Z167" i="92"/>
  <c r="Z168" i="92"/>
  <c r="Z169" i="92"/>
  <c r="Z170" i="92"/>
  <c r="Z171" i="92"/>
  <c r="Z172" i="92"/>
  <c r="Z173" i="92"/>
  <c r="Z174" i="92"/>
  <c r="Z175" i="92"/>
  <c r="Z176" i="92"/>
  <c r="Z177" i="92"/>
  <c r="Z178" i="92"/>
  <c r="Z179" i="92"/>
  <c r="Z180" i="92"/>
  <c r="Z181" i="92"/>
  <c r="Z182" i="92"/>
  <c r="Z183" i="92"/>
  <c r="Z184" i="92"/>
  <c r="Z185" i="92"/>
  <c r="Z186" i="92"/>
  <c r="Z187" i="92"/>
  <c r="Z188" i="92"/>
  <c r="Z189" i="92"/>
  <c r="Z190" i="92"/>
  <c r="Z191" i="92"/>
  <c r="Z192" i="92"/>
  <c r="Z193" i="92"/>
  <c r="Z194" i="92"/>
  <c r="Z195" i="92"/>
  <c r="Z196" i="92"/>
  <c r="Z197" i="92"/>
  <c r="Z198" i="92"/>
  <c r="Z199" i="92"/>
  <c r="Z200" i="92"/>
  <c r="Z201" i="92"/>
  <c r="Z202" i="92"/>
  <c r="Z203" i="92"/>
  <c r="Z204" i="92"/>
  <c r="Z205" i="92"/>
  <c r="Z206" i="92"/>
  <c r="Z207" i="92"/>
  <c r="Z208" i="92"/>
  <c r="Z209" i="92"/>
  <c r="Z210" i="92"/>
  <c r="Z211" i="92"/>
  <c r="Z212" i="92"/>
  <c r="Z213" i="92"/>
  <c r="Z214" i="92"/>
  <c r="Z215" i="92"/>
  <c r="Z216" i="92"/>
  <c r="Z217" i="92"/>
  <c r="Z218" i="92"/>
  <c r="Z219" i="92"/>
  <c r="Z220" i="92"/>
  <c r="Z221" i="92"/>
  <c r="Z222" i="92"/>
  <c r="Z223" i="92"/>
  <c r="Z224" i="92"/>
  <c r="Z225" i="92"/>
  <c r="Z226" i="92"/>
  <c r="Z227" i="92"/>
  <c r="Z228" i="92"/>
  <c r="Z229" i="92"/>
  <c r="Z230" i="92"/>
  <c r="Z231" i="92"/>
  <c r="Z232" i="92"/>
  <c r="Z233" i="92"/>
  <c r="Z234" i="92"/>
  <c r="Z235" i="92"/>
  <c r="Z236" i="92"/>
  <c r="Z237" i="92"/>
  <c r="Z238" i="92"/>
  <c r="Z239" i="92"/>
  <c r="Z240" i="92"/>
  <c r="Y4" i="92"/>
  <c r="Y5" i="92"/>
  <c r="Y6" i="92"/>
  <c r="Y7" i="92"/>
  <c r="Y8" i="92"/>
  <c r="Y9" i="92"/>
  <c r="Y10" i="92"/>
  <c r="Y11" i="92"/>
  <c r="Y12" i="92"/>
  <c r="Y13" i="92"/>
  <c r="Y14" i="92"/>
  <c r="Y15" i="92"/>
  <c r="Y16" i="92"/>
  <c r="Y17" i="92"/>
  <c r="Y18" i="92"/>
  <c r="Y19" i="92"/>
  <c r="Y20" i="92"/>
  <c r="Y21" i="92"/>
  <c r="Y22" i="92"/>
  <c r="Y23" i="92"/>
  <c r="Y24" i="92"/>
  <c r="Y25" i="92"/>
  <c r="Y26" i="92"/>
  <c r="Y27" i="92"/>
  <c r="Y28" i="92"/>
  <c r="Y29" i="92"/>
  <c r="Y30" i="92"/>
  <c r="Y31" i="92"/>
  <c r="Y32" i="92"/>
  <c r="Y33" i="92"/>
  <c r="Y34" i="92"/>
  <c r="Y35" i="92"/>
  <c r="Y36" i="92"/>
  <c r="Y37" i="92"/>
  <c r="Y38" i="92"/>
  <c r="Y39" i="92"/>
  <c r="Y40" i="92"/>
  <c r="Y41" i="92"/>
  <c r="Y42" i="92"/>
  <c r="Y43" i="92"/>
  <c r="Y44" i="92"/>
  <c r="Y45" i="92"/>
  <c r="Y46" i="92"/>
  <c r="Y47" i="92"/>
  <c r="Y48" i="92"/>
  <c r="Y49" i="92"/>
  <c r="Y50" i="92"/>
  <c r="Y51" i="92"/>
  <c r="Y52" i="92"/>
  <c r="Y53" i="92"/>
  <c r="Y54" i="92"/>
  <c r="Y55" i="92"/>
  <c r="Y56" i="92"/>
  <c r="Y57" i="92"/>
  <c r="Y58" i="92"/>
  <c r="Y59" i="92"/>
  <c r="Y60" i="92"/>
  <c r="Y61" i="92"/>
  <c r="Y62" i="92"/>
  <c r="Y63" i="92"/>
  <c r="Y64" i="92"/>
  <c r="Y65" i="92"/>
  <c r="Y66" i="92"/>
  <c r="Y67" i="92"/>
  <c r="Y68" i="92"/>
  <c r="Y69" i="92"/>
  <c r="Y70" i="92"/>
  <c r="Y71" i="92"/>
  <c r="Y72" i="92"/>
  <c r="Y73" i="92"/>
  <c r="Y74" i="92"/>
  <c r="Y75" i="92"/>
  <c r="Y76" i="92"/>
  <c r="Y77" i="92"/>
  <c r="Y78" i="92"/>
  <c r="Y79" i="92"/>
  <c r="Y80" i="92"/>
  <c r="Y81" i="92"/>
  <c r="Y82" i="92"/>
  <c r="Y83" i="92"/>
  <c r="Y84" i="92"/>
  <c r="Y85" i="92"/>
  <c r="Y86" i="92"/>
  <c r="Y87" i="92"/>
  <c r="Y88" i="92"/>
  <c r="Y89" i="92"/>
  <c r="Y90" i="92"/>
  <c r="Y91" i="92"/>
  <c r="Y92" i="92"/>
  <c r="Y93" i="92"/>
  <c r="Y94" i="92"/>
  <c r="Y95" i="92"/>
  <c r="Y96" i="92"/>
  <c r="Y97" i="92"/>
  <c r="Y98" i="92"/>
  <c r="Y99" i="92"/>
  <c r="Y100" i="92"/>
  <c r="Y101" i="92"/>
  <c r="Y102" i="92"/>
  <c r="Y103" i="92"/>
  <c r="Y104" i="92"/>
  <c r="Y105" i="92"/>
  <c r="Y106" i="92"/>
  <c r="Y107" i="92"/>
  <c r="Y108" i="92"/>
  <c r="Y109" i="92"/>
  <c r="Y110" i="92"/>
  <c r="Y111" i="92"/>
  <c r="Y112" i="92"/>
  <c r="Y113" i="92"/>
  <c r="Y114" i="92"/>
  <c r="Y115" i="92"/>
  <c r="Y116" i="92"/>
  <c r="Y117" i="92"/>
  <c r="Y118" i="92"/>
  <c r="Y119" i="92"/>
  <c r="Y120" i="92"/>
  <c r="Y121" i="92"/>
  <c r="Y122" i="92"/>
  <c r="Y123" i="92"/>
  <c r="Y124" i="92"/>
  <c r="Y125" i="92"/>
  <c r="Y126" i="92"/>
  <c r="Y127" i="92"/>
  <c r="Y128" i="92"/>
  <c r="Y129" i="92"/>
  <c r="Y130" i="92"/>
  <c r="Y131" i="92"/>
  <c r="Y132" i="92"/>
  <c r="Y133" i="92"/>
  <c r="Y134" i="92"/>
  <c r="Y135" i="92"/>
  <c r="Y136" i="92"/>
  <c r="Y137" i="92"/>
  <c r="Y138" i="92"/>
  <c r="Y139" i="92"/>
  <c r="Y140" i="92"/>
  <c r="Y141" i="92"/>
  <c r="Y142" i="92"/>
  <c r="Y143" i="92"/>
  <c r="Y144" i="92"/>
  <c r="Y145" i="92"/>
  <c r="Y146" i="92"/>
  <c r="Y147" i="92"/>
  <c r="Y148" i="92"/>
  <c r="Y149" i="92"/>
  <c r="Y150" i="92"/>
  <c r="Y151" i="92"/>
  <c r="Y152" i="92"/>
  <c r="Y153" i="92"/>
  <c r="Y154" i="92"/>
  <c r="Y155" i="92"/>
  <c r="Y156" i="92"/>
  <c r="Y157" i="92"/>
  <c r="Y158" i="92"/>
  <c r="Y159" i="92"/>
  <c r="Y160" i="92"/>
  <c r="Y161" i="92"/>
  <c r="Y162" i="92"/>
  <c r="Y163" i="92"/>
  <c r="Y164" i="92"/>
  <c r="Y165" i="92"/>
  <c r="Y166" i="92"/>
  <c r="Y167" i="92"/>
  <c r="Y168" i="92"/>
  <c r="Y169" i="92"/>
  <c r="Y170" i="92"/>
  <c r="Y171" i="92"/>
  <c r="Y172" i="92"/>
  <c r="Y173" i="92"/>
  <c r="Y174" i="92"/>
  <c r="Y175" i="92"/>
  <c r="Y176" i="92"/>
  <c r="Y177" i="92"/>
  <c r="Y178" i="92"/>
  <c r="Y179" i="92"/>
  <c r="Y180" i="92"/>
  <c r="Y181" i="92"/>
  <c r="Y182" i="92"/>
  <c r="Y183" i="92"/>
  <c r="Y184" i="92"/>
  <c r="Y185" i="92"/>
  <c r="Y186" i="92"/>
  <c r="Y187" i="92"/>
  <c r="Y188" i="92"/>
  <c r="Y189" i="92"/>
  <c r="Y190" i="92"/>
  <c r="Y191" i="92"/>
  <c r="Y192" i="92"/>
  <c r="Y193" i="92"/>
  <c r="Y194" i="92"/>
  <c r="Y195" i="92"/>
  <c r="Y196" i="92"/>
  <c r="Y197" i="92"/>
  <c r="Y198" i="92"/>
  <c r="Y199" i="92"/>
  <c r="Y200" i="92"/>
  <c r="Y201" i="92"/>
  <c r="Y202" i="92"/>
  <c r="Y203" i="92"/>
  <c r="Y204" i="92"/>
  <c r="Y205" i="92"/>
  <c r="Y206" i="92"/>
  <c r="Y207" i="92"/>
  <c r="Y208" i="92"/>
  <c r="Y209" i="92"/>
  <c r="Y210" i="92"/>
  <c r="Y211" i="92"/>
  <c r="Y212" i="92"/>
  <c r="Y213" i="92"/>
  <c r="Y214" i="92"/>
  <c r="Y215" i="92"/>
  <c r="Y216" i="92"/>
  <c r="Y217" i="92"/>
  <c r="Y218" i="92"/>
  <c r="Y219" i="92"/>
  <c r="Y220" i="92"/>
  <c r="Y221" i="92"/>
  <c r="Y222" i="92"/>
  <c r="Y223" i="92"/>
  <c r="Y224" i="92"/>
  <c r="Y225" i="92"/>
  <c r="Y226" i="92"/>
  <c r="Y227" i="92"/>
  <c r="Y228" i="92"/>
  <c r="Y229" i="92"/>
  <c r="Y230" i="92"/>
  <c r="Y231" i="92"/>
  <c r="Y232" i="92"/>
  <c r="Y233" i="92"/>
  <c r="Y234" i="92"/>
  <c r="Y235" i="92"/>
  <c r="Y236" i="92"/>
  <c r="Y237" i="92"/>
  <c r="Y238" i="92"/>
  <c r="Y239" i="92"/>
  <c r="Y240" i="92"/>
  <c r="X4" i="92"/>
  <c r="X5" i="92"/>
  <c r="X6" i="92"/>
  <c r="X7" i="92"/>
  <c r="X8" i="92"/>
  <c r="X9" i="92"/>
  <c r="X10" i="92"/>
  <c r="X11" i="92"/>
  <c r="X12" i="92"/>
  <c r="X13" i="92"/>
  <c r="X14" i="92"/>
  <c r="X15" i="92"/>
  <c r="X16" i="92"/>
  <c r="X17" i="92"/>
  <c r="X18" i="92"/>
  <c r="X19" i="92"/>
  <c r="X20" i="92"/>
  <c r="X21" i="92"/>
  <c r="X22" i="92"/>
  <c r="X23" i="92"/>
  <c r="X24" i="92"/>
  <c r="X25" i="92"/>
  <c r="X26" i="92"/>
  <c r="X27" i="92"/>
  <c r="X28" i="92"/>
  <c r="X29" i="92"/>
  <c r="X30" i="92"/>
  <c r="X31" i="92"/>
  <c r="X32" i="92"/>
  <c r="X33" i="92"/>
  <c r="X34" i="92"/>
  <c r="X35" i="92"/>
  <c r="X36" i="92"/>
  <c r="X37" i="92"/>
  <c r="X38" i="92"/>
  <c r="X39" i="92"/>
  <c r="X40" i="92"/>
  <c r="X41" i="92"/>
  <c r="X42" i="92"/>
  <c r="X43" i="92"/>
  <c r="X44" i="92"/>
  <c r="X45" i="92"/>
  <c r="X46" i="92"/>
  <c r="X47" i="92"/>
  <c r="X48" i="92"/>
  <c r="X49" i="92"/>
  <c r="X50" i="92"/>
  <c r="X51" i="92"/>
  <c r="X52" i="92"/>
  <c r="X53" i="92"/>
  <c r="X54" i="92"/>
  <c r="X55" i="92"/>
  <c r="X56" i="92"/>
  <c r="X57" i="92"/>
  <c r="X58" i="92"/>
  <c r="X59" i="92"/>
  <c r="X60" i="92"/>
  <c r="X61" i="92"/>
  <c r="X62" i="92"/>
  <c r="X63" i="92"/>
  <c r="X64" i="92"/>
  <c r="X65" i="92"/>
  <c r="X66" i="92"/>
  <c r="X67" i="92"/>
  <c r="X68" i="92"/>
  <c r="X69" i="92"/>
  <c r="X70" i="92"/>
  <c r="X71" i="92"/>
  <c r="X72" i="92"/>
  <c r="X73" i="92"/>
  <c r="X74" i="92"/>
  <c r="X75" i="92"/>
  <c r="X76" i="92"/>
  <c r="X77" i="92"/>
  <c r="X78" i="92"/>
  <c r="X79" i="92"/>
  <c r="X80" i="92"/>
  <c r="X81" i="92"/>
  <c r="X82" i="92"/>
  <c r="X83" i="92"/>
  <c r="X84" i="92"/>
  <c r="X85" i="92"/>
  <c r="X86" i="92"/>
  <c r="X87" i="92"/>
  <c r="X88" i="92"/>
  <c r="X89" i="92"/>
  <c r="X90" i="92"/>
  <c r="X91" i="92"/>
  <c r="X92" i="92"/>
  <c r="X93" i="92"/>
  <c r="X94" i="92"/>
  <c r="X95" i="92"/>
  <c r="X96" i="92"/>
  <c r="X97" i="92"/>
  <c r="X98" i="92"/>
  <c r="X99" i="92"/>
  <c r="X100" i="92"/>
  <c r="X101" i="92"/>
  <c r="X102" i="92"/>
  <c r="X103" i="92"/>
  <c r="X104" i="92"/>
  <c r="X105" i="92"/>
  <c r="X106" i="92"/>
  <c r="X107" i="92"/>
  <c r="X108" i="92"/>
  <c r="X109" i="92"/>
  <c r="X110" i="92"/>
  <c r="X111" i="92"/>
  <c r="X112" i="92"/>
  <c r="X113" i="92"/>
  <c r="X114" i="92"/>
  <c r="X115" i="92"/>
  <c r="X116" i="92"/>
  <c r="X117" i="92"/>
  <c r="X118" i="92"/>
  <c r="X119" i="92"/>
  <c r="X120" i="92"/>
  <c r="X121" i="92"/>
  <c r="X122" i="92"/>
  <c r="X123" i="92"/>
  <c r="X124" i="92"/>
  <c r="X125" i="92"/>
  <c r="X126" i="92"/>
  <c r="X127" i="92"/>
  <c r="X128" i="92"/>
  <c r="X129" i="92"/>
  <c r="X130" i="92"/>
  <c r="X131" i="92"/>
  <c r="X132" i="92"/>
  <c r="X133" i="92"/>
  <c r="X134" i="92"/>
  <c r="X135" i="92"/>
  <c r="X136" i="92"/>
  <c r="X137" i="92"/>
  <c r="X138" i="92"/>
  <c r="X139" i="92"/>
  <c r="X140" i="92"/>
  <c r="X141" i="92"/>
  <c r="X142" i="92"/>
  <c r="X143" i="92"/>
  <c r="X144" i="92"/>
  <c r="X145" i="92"/>
  <c r="X146" i="92"/>
  <c r="X147" i="92"/>
  <c r="X148" i="92"/>
  <c r="X149" i="92"/>
  <c r="X150" i="92"/>
  <c r="X151" i="92"/>
  <c r="X152" i="92"/>
  <c r="X153" i="92"/>
  <c r="X154" i="92"/>
  <c r="X155" i="92"/>
  <c r="X156" i="92"/>
  <c r="X157" i="92"/>
  <c r="X158" i="92"/>
  <c r="X159" i="92"/>
  <c r="X160" i="92"/>
  <c r="X161" i="92"/>
  <c r="X162" i="92"/>
  <c r="X163" i="92"/>
  <c r="X164" i="92"/>
  <c r="X165" i="92"/>
  <c r="X166" i="92"/>
  <c r="X167" i="92"/>
  <c r="X168" i="92"/>
  <c r="X169" i="92"/>
  <c r="X170" i="92"/>
  <c r="X171" i="92"/>
  <c r="X172" i="92"/>
  <c r="X173" i="92"/>
  <c r="X174" i="92"/>
  <c r="X175" i="92"/>
  <c r="X176" i="92"/>
  <c r="X177" i="92"/>
  <c r="X178" i="92"/>
  <c r="X179" i="92"/>
  <c r="X180" i="92"/>
  <c r="X181" i="92"/>
  <c r="X182" i="92"/>
  <c r="X183" i="92"/>
  <c r="X184" i="92"/>
  <c r="X185" i="92"/>
  <c r="X186" i="92"/>
  <c r="X187" i="92"/>
  <c r="X188" i="92"/>
  <c r="X189" i="92"/>
  <c r="X190" i="92"/>
  <c r="X191" i="92"/>
  <c r="X192" i="92"/>
  <c r="X193" i="92"/>
  <c r="X194" i="92"/>
  <c r="X195" i="92"/>
  <c r="X196" i="92"/>
  <c r="X197" i="92"/>
  <c r="X198" i="92"/>
  <c r="X199" i="92"/>
  <c r="X200" i="92"/>
  <c r="X201" i="92"/>
  <c r="X202" i="92"/>
  <c r="X203" i="92"/>
  <c r="X204" i="92"/>
  <c r="X205" i="92"/>
  <c r="X206" i="92"/>
  <c r="X207" i="92"/>
  <c r="X208" i="92"/>
  <c r="X209" i="92"/>
  <c r="X210" i="92"/>
  <c r="X211" i="92"/>
  <c r="X212" i="92"/>
  <c r="X213" i="92"/>
  <c r="X214" i="92"/>
  <c r="X215" i="92"/>
  <c r="X216" i="92"/>
  <c r="X217" i="92"/>
  <c r="X218" i="92"/>
  <c r="X219" i="92"/>
  <c r="X220" i="92"/>
  <c r="X221" i="92"/>
  <c r="X222" i="92"/>
  <c r="X223" i="92"/>
  <c r="X224" i="92"/>
  <c r="X225" i="92"/>
  <c r="X226" i="92"/>
  <c r="X227" i="92"/>
  <c r="X228" i="92"/>
  <c r="X229" i="92"/>
  <c r="X230" i="92"/>
  <c r="X231" i="92"/>
  <c r="X232" i="92"/>
  <c r="X233" i="92"/>
  <c r="X234" i="92"/>
  <c r="X235" i="92"/>
  <c r="X236" i="92"/>
  <c r="X237" i="92"/>
  <c r="X238" i="92"/>
  <c r="X239" i="92"/>
  <c r="X240" i="92"/>
  <c r="W4" i="92"/>
  <c r="W5" i="92"/>
  <c r="W6" i="92"/>
  <c r="W7" i="92"/>
  <c r="W8" i="92"/>
  <c r="W9" i="92"/>
  <c r="W10" i="92"/>
  <c r="W11" i="92"/>
  <c r="W12" i="92"/>
  <c r="W13" i="92"/>
  <c r="W14" i="92"/>
  <c r="W15" i="92"/>
  <c r="W16" i="92"/>
  <c r="W17" i="92"/>
  <c r="W18" i="92"/>
  <c r="W19" i="92"/>
  <c r="W20" i="92"/>
  <c r="W21" i="92"/>
  <c r="W22" i="92"/>
  <c r="W23" i="92"/>
  <c r="W24" i="92"/>
  <c r="W25" i="92"/>
  <c r="W26" i="92"/>
  <c r="W27" i="92"/>
  <c r="W28" i="92"/>
  <c r="W29" i="92"/>
  <c r="W30" i="92"/>
  <c r="W31" i="92"/>
  <c r="W32" i="92"/>
  <c r="W33" i="92"/>
  <c r="W34" i="92"/>
  <c r="W35" i="92"/>
  <c r="W36" i="92"/>
  <c r="W37" i="92"/>
  <c r="W38" i="92"/>
  <c r="W39" i="92"/>
  <c r="W40" i="92"/>
  <c r="W41" i="92"/>
  <c r="W42" i="92"/>
  <c r="W43" i="92"/>
  <c r="W44" i="92"/>
  <c r="W45" i="92"/>
  <c r="W46" i="92"/>
  <c r="W47" i="92"/>
  <c r="W48" i="92"/>
  <c r="W49" i="92"/>
  <c r="W50" i="92"/>
  <c r="W51" i="92"/>
  <c r="W52" i="92"/>
  <c r="W53" i="92"/>
  <c r="W54" i="92"/>
  <c r="W55" i="92"/>
  <c r="W56" i="92"/>
  <c r="W57" i="92"/>
  <c r="W58" i="92"/>
  <c r="W59" i="92"/>
  <c r="W60" i="92"/>
  <c r="W61" i="92"/>
  <c r="W62" i="92"/>
  <c r="W63" i="92"/>
  <c r="W64" i="92"/>
  <c r="W65" i="92"/>
  <c r="W66" i="92"/>
  <c r="W67" i="92"/>
  <c r="W68" i="92"/>
  <c r="W69" i="92"/>
  <c r="W70" i="92"/>
  <c r="W71" i="92"/>
  <c r="W72" i="92"/>
  <c r="W73" i="92"/>
  <c r="W74" i="92"/>
  <c r="W75" i="92"/>
  <c r="W76" i="92"/>
  <c r="W77" i="92"/>
  <c r="W78" i="92"/>
  <c r="W79" i="92"/>
  <c r="W80" i="92"/>
  <c r="W81" i="92"/>
  <c r="W82" i="92"/>
  <c r="W83" i="92"/>
  <c r="W84" i="92"/>
  <c r="W85" i="92"/>
  <c r="W86" i="92"/>
  <c r="W87" i="92"/>
  <c r="W88" i="92"/>
  <c r="W89" i="92"/>
  <c r="W90" i="92"/>
  <c r="W91" i="92"/>
  <c r="W92" i="92"/>
  <c r="W93" i="92"/>
  <c r="W94" i="92"/>
  <c r="W95" i="92"/>
  <c r="W96" i="92"/>
  <c r="W97" i="92"/>
  <c r="W98" i="92"/>
  <c r="W99" i="92"/>
  <c r="W100" i="92"/>
  <c r="W101" i="92"/>
  <c r="W102" i="92"/>
  <c r="W103" i="92"/>
  <c r="W104" i="92"/>
  <c r="W105" i="92"/>
  <c r="W106" i="92"/>
  <c r="W107" i="92"/>
  <c r="W108" i="92"/>
  <c r="W109" i="92"/>
  <c r="W110" i="92"/>
  <c r="W111" i="92"/>
  <c r="W112" i="92"/>
  <c r="W113" i="92"/>
  <c r="W114" i="92"/>
  <c r="W115" i="92"/>
  <c r="W116" i="92"/>
  <c r="W117" i="92"/>
  <c r="W118" i="92"/>
  <c r="W119" i="92"/>
  <c r="W120" i="92"/>
  <c r="W121" i="92"/>
  <c r="W122" i="92"/>
  <c r="W123" i="92"/>
  <c r="W124" i="92"/>
  <c r="W125" i="92"/>
  <c r="W126" i="92"/>
  <c r="W127" i="92"/>
  <c r="W128" i="92"/>
  <c r="W129" i="92"/>
  <c r="W130" i="92"/>
  <c r="W131" i="92"/>
  <c r="W132" i="92"/>
  <c r="W133" i="92"/>
  <c r="W134" i="92"/>
  <c r="W135" i="92"/>
  <c r="W136" i="92"/>
  <c r="W137" i="92"/>
  <c r="W138" i="92"/>
  <c r="W139" i="92"/>
  <c r="W140" i="92"/>
  <c r="W141" i="92"/>
  <c r="W142" i="92"/>
  <c r="W143" i="92"/>
  <c r="W144" i="92"/>
  <c r="W145" i="92"/>
  <c r="W146" i="92"/>
  <c r="W147" i="92"/>
  <c r="W148" i="92"/>
  <c r="W149" i="92"/>
  <c r="W150" i="92"/>
  <c r="W151" i="92"/>
  <c r="W152" i="92"/>
  <c r="W153" i="92"/>
  <c r="W154" i="92"/>
  <c r="W155" i="92"/>
  <c r="W156" i="92"/>
  <c r="W157" i="92"/>
  <c r="W158" i="92"/>
  <c r="W159" i="92"/>
  <c r="W160" i="92"/>
  <c r="W161" i="92"/>
  <c r="W162" i="92"/>
  <c r="W163" i="92"/>
  <c r="W164" i="92"/>
  <c r="W165" i="92"/>
  <c r="W166" i="92"/>
  <c r="W167" i="92"/>
  <c r="W168" i="92"/>
  <c r="W169" i="92"/>
  <c r="W170" i="92"/>
  <c r="W171" i="92"/>
  <c r="W172" i="92"/>
  <c r="W173" i="92"/>
  <c r="W174" i="92"/>
  <c r="W175" i="92"/>
  <c r="W176" i="92"/>
  <c r="W177" i="92"/>
  <c r="W178" i="92"/>
  <c r="W179" i="92"/>
  <c r="W180" i="92"/>
  <c r="W181" i="92"/>
  <c r="W182" i="92"/>
  <c r="W183" i="92"/>
  <c r="W184" i="92"/>
  <c r="W185" i="92"/>
  <c r="W186" i="92"/>
  <c r="W187" i="92"/>
  <c r="W188" i="92"/>
  <c r="W189" i="92"/>
  <c r="W190" i="92"/>
  <c r="W191" i="92"/>
  <c r="W192" i="92"/>
  <c r="W193" i="92"/>
  <c r="W194" i="92"/>
  <c r="W195" i="92"/>
  <c r="W196" i="92"/>
  <c r="W197" i="92"/>
  <c r="W198" i="92"/>
  <c r="W199" i="92"/>
  <c r="W200" i="92"/>
  <c r="W201" i="92"/>
  <c r="W202" i="92"/>
  <c r="W203" i="92"/>
  <c r="W204" i="92"/>
  <c r="W205" i="92"/>
  <c r="W206" i="92"/>
  <c r="W207" i="92"/>
  <c r="W208" i="92"/>
  <c r="W209" i="92"/>
  <c r="W210" i="92"/>
  <c r="W211" i="92"/>
  <c r="W212" i="92"/>
  <c r="W213" i="92"/>
  <c r="W214" i="92"/>
  <c r="W215" i="92"/>
  <c r="W216" i="92"/>
  <c r="W217" i="92"/>
  <c r="W218" i="92"/>
  <c r="W219" i="92"/>
  <c r="W220" i="92"/>
  <c r="W221" i="92"/>
  <c r="W222" i="92"/>
  <c r="W223" i="92"/>
  <c r="W224" i="92"/>
  <c r="W225" i="92"/>
  <c r="W226" i="92"/>
  <c r="W227" i="92"/>
  <c r="W228" i="92"/>
  <c r="W229" i="92"/>
  <c r="W230" i="92"/>
  <c r="W231" i="92"/>
  <c r="W232" i="92"/>
  <c r="W233" i="92"/>
  <c r="W234" i="92"/>
  <c r="W235" i="92"/>
  <c r="W236" i="92"/>
  <c r="W237" i="92"/>
  <c r="W238" i="92"/>
  <c r="W239" i="92"/>
  <c r="W240" i="92"/>
  <c r="V4" i="92"/>
  <c r="V5" i="92"/>
  <c r="V6" i="92"/>
  <c r="V7" i="92"/>
  <c r="V8" i="92"/>
  <c r="V9" i="92"/>
  <c r="V10" i="92"/>
  <c r="V11" i="92"/>
  <c r="V12" i="92"/>
  <c r="V13" i="92"/>
  <c r="V14" i="92"/>
  <c r="V15" i="92"/>
  <c r="V16" i="92"/>
  <c r="V17" i="92"/>
  <c r="V18" i="92"/>
  <c r="V19" i="92"/>
  <c r="V20" i="92"/>
  <c r="V21" i="92"/>
  <c r="V22" i="92"/>
  <c r="V23" i="92"/>
  <c r="V24" i="92"/>
  <c r="V25" i="92"/>
  <c r="V26" i="92"/>
  <c r="V27" i="92"/>
  <c r="V28" i="92"/>
  <c r="V29" i="92"/>
  <c r="V30" i="92"/>
  <c r="V31" i="92"/>
  <c r="V32" i="92"/>
  <c r="V33" i="92"/>
  <c r="V34" i="92"/>
  <c r="V35" i="92"/>
  <c r="V36" i="92"/>
  <c r="V37" i="92"/>
  <c r="V38" i="92"/>
  <c r="V39" i="92"/>
  <c r="V40" i="92"/>
  <c r="V41" i="92"/>
  <c r="V42" i="92"/>
  <c r="V43" i="92"/>
  <c r="V44" i="92"/>
  <c r="V45" i="92"/>
  <c r="V46" i="92"/>
  <c r="V47" i="92"/>
  <c r="V48" i="92"/>
  <c r="V49" i="92"/>
  <c r="V50" i="92"/>
  <c r="V51" i="92"/>
  <c r="V52" i="92"/>
  <c r="V53" i="92"/>
  <c r="V54" i="92"/>
  <c r="V55" i="92"/>
  <c r="V56" i="92"/>
  <c r="V57" i="92"/>
  <c r="V58" i="92"/>
  <c r="V59" i="92"/>
  <c r="V60" i="92"/>
  <c r="V61" i="92"/>
  <c r="V62" i="92"/>
  <c r="V63" i="92"/>
  <c r="V64" i="92"/>
  <c r="V65" i="92"/>
  <c r="V66" i="92"/>
  <c r="V67" i="92"/>
  <c r="V68" i="92"/>
  <c r="V69" i="92"/>
  <c r="V70" i="92"/>
  <c r="V71" i="92"/>
  <c r="V72" i="92"/>
  <c r="V73" i="92"/>
  <c r="V74" i="92"/>
  <c r="V75" i="92"/>
  <c r="V76" i="92"/>
  <c r="V77" i="92"/>
  <c r="V78" i="92"/>
  <c r="V79" i="92"/>
  <c r="V80" i="92"/>
  <c r="V81" i="92"/>
  <c r="V82" i="92"/>
  <c r="V83" i="92"/>
  <c r="V84" i="92"/>
  <c r="V85" i="92"/>
  <c r="V86" i="92"/>
  <c r="V87" i="92"/>
  <c r="V88" i="92"/>
  <c r="V89" i="92"/>
  <c r="V90" i="92"/>
  <c r="V91" i="92"/>
  <c r="V92" i="92"/>
  <c r="V93" i="92"/>
  <c r="V94" i="92"/>
  <c r="V95" i="92"/>
  <c r="V96" i="92"/>
  <c r="V97" i="92"/>
  <c r="V98" i="92"/>
  <c r="V99" i="92"/>
  <c r="V100" i="92"/>
  <c r="V101" i="92"/>
  <c r="V102" i="92"/>
  <c r="V103" i="92"/>
  <c r="V104" i="92"/>
  <c r="V105" i="92"/>
  <c r="V106" i="92"/>
  <c r="V107" i="92"/>
  <c r="V108" i="92"/>
  <c r="V109" i="92"/>
  <c r="V110" i="92"/>
  <c r="V111" i="92"/>
  <c r="V112" i="92"/>
  <c r="V113" i="92"/>
  <c r="V114" i="92"/>
  <c r="V115" i="92"/>
  <c r="V116" i="92"/>
  <c r="V117" i="92"/>
  <c r="V118" i="92"/>
  <c r="V119" i="92"/>
  <c r="V120" i="92"/>
  <c r="V121" i="92"/>
  <c r="V122" i="92"/>
  <c r="V123" i="92"/>
  <c r="V124" i="92"/>
  <c r="V125" i="92"/>
  <c r="V126" i="92"/>
  <c r="V127" i="92"/>
  <c r="V128" i="92"/>
  <c r="V129" i="92"/>
  <c r="V130" i="92"/>
  <c r="V131" i="92"/>
  <c r="V132" i="92"/>
  <c r="V133" i="92"/>
  <c r="V134" i="92"/>
  <c r="V135" i="92"/>
  <c r="V136" i="92"/>
  <c r="V137" i="92"/>
  <c r="V138" i="92"/>
  <c r="V139" i="92"/>
  <c r="V140" i="92"/>
  <c r="V141" i="92"/>
  <c r="V142" i="92"/>
  <c r="V143" i="92"/>
  <c r="V144" i="92"/>
  <c r="V145" i="92"/>
  <c r="V146" i="92"/>
  <c r="V147" i="92"/>
  <c r="V148" i="92"/>
  <c r="V149" i="92"/>
  <c r="V150" i="92"/>
  <c r="V151" i="92"/>
  <c r="V152" i="92"/>
  <c r="V153" i="92"/>
  <c r="V154" i="92"/>
  <c r="V155" i="92"/>
  <c r="V156" i="92"/>
  <c r="V157" i="92"/>
  <c r="V158" i="92"/>
  <c r="V159" i="92"/>
  <c r="V160" i="92"/>
  <c r="V161" i="92"/>
  <c r="V162" i="92"/>
  <c r="V163" i="92"/>
  <c r="V164" i="92"/>
  <c r="V165" i="92"/>
  <c r="V166" i="92"/>
  <c r="V167" i="92"/>
  <c r="V168" i="92"/>
  <c r="V169" i="92"/>
  <c r="V170" i="92"/>
  <c r="V171" i="92"/>
  <c r="V172" i="92"/>
  <c r="V173" i="92"/>
  <c r="V174" i="92"/>
  <c r="V175" i="92"/>
  <c r="V176" i="92"/>
  <c r="V177" i="92"/>
  <c r="V178" i="92"/>
  <c r="V179" i="92"/>
  <c r="V180" i="92"/>
  <c r="V181" i="92"/>
  <c r="V182" i="92"/>
  <c r="V183" i="92"/>
  <c r="V184" i="92"/>
  <c r="V185" i="92"/>
  <c r="V186" i="92"/>
  <c r="V187" i="92"/>
  <c r="V188" i="92"/>
  <c r="V189" i="92"/>
  <c r="V190" i="92"/>
  <c r="V191" i="92"/>
  <c r="V192" i="92"/>
  <c r="V193" i="92"/>
  <c r="V194" i="92"/>
  <c r="V195" i="92"/>
  <c r="V196" i="92"/>
  <c r="V197" i="92"/>
  <c r="V198" i="92"/>
  <c r="V199" i="92"/>
  <c r="V200" i="92"/>
  <c r="V201" i="92"/>
  <c r="V202" i="92"/>
  <c r="V203" i="92"/>
  <c r="V204" i="92"/>
  <c r="V205" i="92"/>
  <c r="V206" i="92"/>
  <c r="V207" i="92"/>
  <c r="V208" i="92"/>
  <c r="V209" i="92"/>
  <c r="V210" i="92"/>
  <c r="V211" i="92"/>
  <c r="V212" i="92"/>
  <c r="V213" i="92"/>
  <c r="V214" i="92"/>
  <c r="V215" i="92"/>
  <c r="V216" i="92"/>
  <c r="V217" i="92"/>
  <c r="V218" i="92"/>
  <c r="V219" i="92"/>
  <c r="V220" i="92"/>
  <c r="V221" i="92"/>
  <c r="V222" i="92"/>
  <c r="V223" i="92"/>
  <c r="V224" i="92"/>
  <c r="V225" i="92"/>
  <c r="V226" i="92"/>
  <c r="V227" i="92"/>
  <c r="V228" i="92"/>
  <c r="V229" i="92"/>
  <c r="V230" i="92"/>
  <c r="V231" i="92"/>
  <c r="V232" i="92"/>
  <c r="V233" i="92"/>
  <c r="V234" i="92"/>
  <c r="V235" i="92"/>
  <c r="V236" i="92"/>
  <c r="V237" i="92"/>
  <c r="V238" i="92"/>
  <c r="V239" i="92"/>
  <c r="V240" i="92"/>
  <c r="U4" i="92"/>
  <c r="U5" i="92"/>
  <c r="U6" i="92"/>
  <c r="U7" i="92"/>
  <c r="U8" i="92"/>
  <c r="U9" i="92"/>
  <c r="U10" i="92"/>
  <c r="U11" i="92"/>
  <c r="U12" i="92"/>
  <c r="U13" i="92"/>
  <c r="U14" i="92"/>
  <c r="U15" i="92"/>
  <c r="U16" i="92"/>
  <c r="U17" i="92"/>
  <c r="U18" i="92"/>
  <c r="U19" i="92"/>
  <c r="U20" i="92"/>
  <c r="U21" i="92"/>
  <c r="U22" i="92"/>
  <c r="U23" i="92"/>
  <c r="U24" i="92"/>
  <c r="U25" i="92"/>
  <c r="U26" i="92"/>
  <c r="U27" i="92"/>
  <c r="U28" i="92"/>
  <c r="U29" i="92"/>
  <c r="U30" i="92"/>
  <c r="U31" i="92"/>
  <c r="U32" i="92"/>
  <c r="U33" i="92"/>
  <c r="U34" i="92"/>
  <c r="U35" i="92"/>
  <c r="U36" i="92"/>
  <c r="U37" i="92"/>
  <c r="U38" i="92"/>
  <c r="U39" i="92"/>
  <c r="U40" i="92"/>
  <c r="U41" i="92"/>
  <c r="U42" i="92"/>
  <c r="U43" i="92"/>
  <c r="U44" i="92"/>
  <c r="U45" i="92"/>
  <c r="U46" i="92"/>
  <c r="U47" i="92"/>
  <c r="U48" i="92"/>
  <c r="U49" i="92"/>
  <c r="U50" i="92"/>
  <c r="U51" i="92"/>
  <c r="U52" i="92"/>
  <c r="U53" i="92"/>
  <c r="U54" i="92"/>
  <c r="U55" i="92"/>
  <c r="U56" i="92"/>
  <c r="U57" i="92"/>
  <c r="U58" i="92"/>
  <c r="U59" i="92"/>
  <c r="U60" i="92"/>
  <c r="U61" i="92"/>
  <c r="U62" i="92"/>
  <c r="U63" i="92"/>
  <c r="U64" i="92"/>
  <c r="U65" i="92"/>
  <c r="U66" i="92"/>
  <c r="U67" i="92"/>
  <c r="U68" i="92"/>
  <c r="U69" i="92"/>
  <c r="U70" i="92"/>
  <c r="U71" i="92"/>
  <c r="U72" i="92"/>
  <c r="U73" i="92"/>
  <c r="U74" i="92"/>
  <c r="U75" i="92"/>
  <c r="U76" i="92"/>
  <c r="U77" i="92"/>
  <c r="U78" i="92"/>
  <c r="U79" i="92"/>
  <c r="U80" i="92"/>
  <c r="U81" i="92"/>
  <c r="U82" i="92"/>
  <c r="U83" i="92"/>
  <c r="U84" i="92"/>
  <c r="U85" i="92"/>
  <c r="U86" i="92"/>
  <c r="U87" i="92"/>
  <c r="U88" i="92"/>
  <c r="U89" i="92"/>
  <c r="U90" i="92"/>
  <c r="U91" i="92"/>
  <c r="U92" i="92"/>
  <c r="U93" i="92"/>
  <c r="U94" i="92"/>
  <c r="U95" i="92"/>
  <c r="U96" i="92"/>
  <c r="U97" i="92"/>
  <c r="U98" i="92"/>
  <c r="U99" i="92"/>
  <c r="U100" i="92"/>
  <c r="U101" i="92"/>
  <c r="U102" i="92"/>
  <c r="U103" i="92"/>
  <c r="U104" i="92"/>
  <c r="U105" i="92"/>
  <c r="U106" i="92"/>
  <c r="U107" i="92"/>
  <c r="U108" i="92"/>
  <c r="U109" i="92"/>
  <c r="U110" i="92"/>
  <c r="U111" i="92"/>
  <c r="U112" i="92"/>
  <c r="U113" i="92"/>
  <c r="U114" i="92"/>
  <c r="U115" i="92"/>
  <c r="U116" i="92"/>
  <c r="U117" i="92"/>
  <c r="U118" i="92"/>
  <c r="U119" i="92"/>
  <c r="U120" i="92"/>
  <c r="U121" i="92"/>
  <c r="U122" i="92"/>
  <c r="U123" i="92"/>
  <c r="U124" i="92"/>
  <c r="U125" i="92"/>
  <c r="U126" i="92"/>
  <c r="U127" i="92"/>
  <c r="U128" i="92"/>
  <c r="U129" i="92"/>
  <c r="U130" i="92"/>
  <c r="U131" i="92"/>
  <c r="U132" i="92"/>
  <c r="U133" i="92"/>
  <c r="U134" i="92"/>
  <c r="U135" i="92"/>
  <c r="U136" i="92"/>
  <c r="U137" i="92"/>
  <c r="U138" i="92"/>
  <c r="U139" i="92"/>
  <c r="U140" i="92"/>
  <c r="U141" i="92"/>
  <c r="U142" i="92"/>
  <c r="U143" i="92"/>
  <c r="U144" i="92"/>
  <c r="U145" i="92"/>
  <c r="U146" i="92"/>
  <c r="U147" i="92"/>
  <c r="U148" i="92"/>
  <c r="U149" i="92"/>
  <c r="U150" i="92"/>
  <c r="U151" i="92"/>
  <c r="U152" i="92"/>
  <c r="U153" i="92"/>
  <c r="U154" i="92"/>
  <c r="U155" i="92"/>
  <c r="U156" i="92"/>
  <c r="U157" i="92"/>
  <c r="U158" i="92"/>
  <c r="U159" i="92"/>
  <c r="U160" i="92"/>
  <c r="U161" i="92"/>
  <c r="U162" i="92"/>
  <c r="U163" i="92"/>
  <c r="U164" i="92"/>
  <c r="U165" i="92"/>
  <c r="U166" i="92"/>
  <c r="U167" i="92"/>
  <c r="U168" i="92"/>
  <c r="U169" i="92"/>
  <c r="U170" i="92"/>
  <c r="U171" i="92"/>
  <c r="U172" i="92"/>
  <c r="U173" i="92"/>
  <c r="U174" i="92"/>
  <c r="U175" i="92"/>
  <c r="U176" i="92"/>
  <c r="U177" i="92"/>
  <c r="U178" i="92"/>
  <c r="U179" i="92"/>
  <c r="U180" i="92"/>
  <c r="U181" i="92"/>
  <c r="U182" i="92"/>
  <c r="U183" i="92"/>
  <c r="U184" i="92"/>
  <c r="U185" i="92"/>
  <c r="U186" i="92"/>
  <c r="U187" i="92"/>
  <c r="U188" i="92"/>
  <c r="U189" i="92"/>
  <c r="U190" i="92"/>
  <c r="U191" i="92"/>
  <c r="U192" i="92"/>
  <c r="U193" i="92"/>
  <c r="U194" i="92"/>
  <c r="U195" i="92"/>
  <c r="U196" i="92"/>
  <c r="U197" i="92"/>
  <c r="U198" i="92"/>
  <c r="U199" i="92"/>
  <c r="U200" i="92"/>
  <c r="U201" i="92"/>
  <c r="U202" i="92"/>
  <c r="U203" i="92"/>
  <c r="U204" i="92"/>
  <c r="U205" i="92"/>
  <c r="U206" i="92"/>
  <c r="U207" i="92"/>
  <c r="U208" i="92"/>
  <c r="U209" i="92"/>
  <c r="U210" i="92"/>
  <c r="U211" i="92"/>
  <c r="U212" i="92"/>
  <c r="U213" i="92"/>
  <c r="U214" i="92"/>
  <c r="U215" i="92"/>
  <c r="U216" i="92"/>
  <c r="U217" i="92"/>
  <c r="U218" i="92"/>
  <c r="U219" i="92"/>
  <c r="U220" i="92"/>
  <c r="U221" i="92"/>
  <c r="U222" i="92"/>
  <c r="U223" i="92"/>
  <c r="U224" i="92"/>
  <c r="U225" i="92"/>
  <c r="U226" i="92"/>
  <c r="U227" i="92"/>
  <c r="U228" i="92"/>
  <c r="U229" i="92"/>
  <c r="U230" i="92"/>
  <c r="U231" i="92"/>
  <c r="U232" i="92"/>
  <c r="U233" i="92"/>
  <c r="U234" i="92"/>
  <c r="U235" i="92"/>
  <c r="U236" i="92"/>
  <c r="U237" i="92"/>
  <c r="U238" i="92"/>
  <c r="U239" i="92"/>
  <c r="U240" i="92"/>
  <c r="T4" i="92"/>
  <c r="T5" i="92"/>
  <c r="T6" i="92"/>
  <c r="T7" i="92"/>
  <c r="T8" i="92"/>
  <c r="T9" i="92"/>
  <c r="T10" i="92"/>
  <c r="T11" i="92"/>
  <c r="T12" i="92"/>
  <c r="T13" i="92"/>
  <c r="T14" i="92"/>
  <c r="T15" i="92"/>
  <c r="T16" i="92"/>
  <c r="T17" i="92"/>
  <c r="T18" i="92"/>
  <c r="T19" i="92"/>
  <c r="T20" i="92"/>
  <c r="T21" i="92"/>
  <c r="T22" i="92"/>
  <c r="T23" i="92"/>
  <c r="T24" i="92"/>
  <c r="T25" i="92"/>
  <c r="T26" i="92"/>
  <c r="T27" i="92"/>
  <c r="T28" i="92"/>
  <c r="T29" i="92"/>
  <c r="T30" i="92"/>
  <c r="T31" i="92"/>
  <c r="T32" i="92"/>
  <c r="T33" i="92"/>
  <c r="T34" i="92"/>
  <c r="T35" i="92"/>
  <c r="T36" i="92"/>
  <c r="T37" i="92"/>
  <c r="T38" i="92"/>
  <c r="T39" i="92"/>
  <c r="T40" i="92"/>
  <c r="T41" i="92"/>
  <c r="T42" i="92"/>
  <c r="T43" i="92"/>
  <c r="T44" i="92"/>
  <c r="T45" i="92"/>
  <c r="T46" i="92"/>
  <c r="T47" i="92"/>
  <c r="T48" i="92"/>
  <c r="T49" i="92"/>
  <c r="T50" i="92"/>
  <c r="T51" i="92"/>
  <c r="T52" i="92"/>
  <c r="T53" i="92"/>
  <c r="T54" i="92"/>
  <c r="T55" i="92"/>
  <c r="T56" i="92"/>
  <c r="T57" i="92"/>
  <c r="T58" i="92"/>
  <c r="T59" i="92"/>
  <c r="T60" i="92"/>
  <c r="T61" i="92"/>
  <c r="T62" i="92"/>
  <c r="T63" i="92"/>
  <c r="T64" i="92"/>
  <c r="T65" i="92"/>
  <c r="T66" i="92"/>
  <c r="T67" i="92"/>
  <c r="T68" i="92"/>
  <c r="T69" i="92"/>
  <c r="T70" i="92"/>
  <c r="T71" i="92"/>
  <c r="T72" i="92"/>
  <c r="T73" i="92"/>
  <c r="T74" i="92"/>
  <c r="T75" i="92"/>
  <c r="T76" i="92"/>
  <c r="T77" i="92"/>
  <c r="T78" i="92"/>
  <c r="T79" i="92"/>
  <c r="T80" i="92"/>
  <c r="T81" i="92"/>
  <c r="T82" i="92"/>
  <c r="T83" i="92"/>
  <c r="T84" i="92"/>
  <c r="T85" i="92"/>
  <c r="T86" i="92"/>
  <c r="T87" i="92"/>
  <c r="T88" i="92"/>
  <c r="T89" i="92"/>
  <c r="T90" i="92"/>
  <c r="T91" i="92"/>
  <c r="T92" i="92"/>
  <c r="T93" i="92"/>
  <c r="T94" i="92"/>
  <c r="T95" i="92"/>
  <c r="T96" i="92"/>
  <c r="T97" i="92"/>
  <c r="T98" i="92"/>
  <c r="T99" i="92"/>
  <c r="T100" i="92"/>
  <c r="T101" i="92"/>
  <c r="T102" i="92"/>
  <c r="T103" i="92"/>
  <c r="T104" i="92"/>
  <c r="T105" i="92"/>
  <c r="T106" i="92"/>
  <c r="T107" i="92"/>
  <c r="T108" i="92"/>
  <c r="T109" i="92"/>
  <c r="T110" i="92"/>
  <c r="T111" i="92"/>
  <c r="T112" i="92"/>
  <c r="T113" i="92"/>
  <c r="T114" i="92"/>
  <c r="T115" i="92"/>
  <c r="T116" i="92"/>
  <c r="T117" i="92"/>
  <c r="T118" i="92"/>
  <c r="T119" i="92"/>
  <c r="T120" i="92"/>
  <c r="T121" i="92"/>
  <c r="T122" i="92"/>
  <c r="T123" i="92"/>
  <c r="T124" i="92"/>
  <c r="T125" i="92"/>
  <c r="T126" i="92"/>
  <c r="T127" i="92"/>
  <c r="T128" i="92"/>
  <c r="T129" i="92"/>
  <c r="T130" i="92"/>
  <c r="T131" i="92"/>
  <c r="T132" i="92"/>
  <c r="T133" i="92"/>
  <c r="T134" i="92"/>
  <c r="T135" i="92"/>
  <c r="T136" i="92"/>
  <c r="T137" i="92"/>
  <c r="T138" i="92"/>
  <c r="T139" i="92"/>
  <c r="T140" i="92"/>
  <c r="T141" i="92"/>
  <c r="T142" i="92"/>
  <c r="T143" i="92"/>
  <c r="T144" i="92"/>
  <c r="T145" i="92"/>
  <c r="T146" i="92"/>
  <c r="T147" i="92"/>
  <c r="T148" i="92"/>
  <c r="T149" i="92"/>
  <c r="T150" i="92"/>
  <c r="T151" i="92"/>
  <c r="T152" i="92"/>
  <c r="T153" i="92"/>
  <c r="T154" i="92"/>
  <c r="T155" i="92"/>
  <c r="T156" i="92"/>
  <c r="T157" i="92"/>
  <c r="T158" i="92"/>
  <c r="T159" i="92"/>
  <c r="T160" i="92"/>
  <c r="T161" i="92"/>
  <c r="T162" i="92"/>
  <c r="T163" i="92"/>
  <c r="T164" i="92"/>
  <c r="T165" i="92"/>
  <c r="T166" i="92"/>
  <c r="T167" i="92"/>
  <c r="T168" i="92"/>
  <c r="T169" i="92"/>
  <c r="T170" i="92"/>
  <c r="T171" i="92"/>
  <c r="T172" i="92"/>
  <c r="T173" i="92"/>
  <c r="T174" i="92"/>
  <c r="T175" i="92"/>
  <c r="T176" i="92"/>
  <c r="T177" i="92"/>
  <c r="T178" i="92"/>
  <c r="T179" i="92"/>
  <c r="T180" i="92"/>
  <c r="T181" i="92"/>
  <c r="T182" i="92"/>
  <c r="T183" i="92"/>
  <c r="T184" i="92"/>
  <c r="T185" i="92"/>
  <c r="T186" i="92"/>
  <c r="T187" i="92"/>
  <c r="T188" i="92"/>
  <c r="T189" i="92"/>
  <c r="T190" i="92"/>
  <c r="T191" i="92"/>
  <c r="T192" i="92"/>
  <c r="T193" i="92"/>
  <c r="T194" i="92"/>
  <c r="T195" i="92"/>
  <c r="T196" i="92"/>
  <c r="T197" i="92"/>
  <c r="T198" i="92"/>
  <c r="T199" i="92"/>
  <c r="T200" i="92"/>
  <c r="T201" i="92"/>
  <c r="T202" i="92"/>
  <c r="T203" i="92"/>
  <c r="T204" i="92"/>
  <c r="T205" i="92"/>
  <c r="T206" i="92"/>
  <c r="T207" i="92"/>
  <c r="T208" i="92"/>
  <c r="T209" i="92"/>
  <c r="T210" i="92"/>
  <c r="T211" i="92"/>
  <c r="T212" i="92"/>
  <c r="T213" i="92"/>
  <c r="T214" i="92"/>
  <c r="T215" i="92"/>
  <c r="T216" i="92"/>
  <c r="T217" i="92"/>
  <c r="T218" i="92"/>
  <c r="T219" i="92"/>
  <c r="T220" i="92"/>
  <c r="T221" i="92"/>
  <c r="T222" i="92"/>
  <c r="T223" i="92"/>
  <c r="T224" i="92"/>
  <c r="T225" i="92"/>
  <c r="T226" i="92"/>
  <c r="T227" i="92"/>
  <c r="T228" i="92"/>
  <c r="T229" i="92"/>
  <c r="T230" i="92"/>
  <c r="T231" i="92"/>
  <c r="T232" i="92"/>
  <c r="T233" i="92"/>
  <c r="T234" i="92"/>
  <c r="T235" i="92"/>
  <c r="T236" i="92"/>
  <c r="T237" i="92"/>
  <c r="T238" i="92"/>
  <c r="T239" i="92"/>
  <c r="T240" i="92"/>
  <c r="S5" i="92"/>
  <c r="S6" i="92"/>
  <c r="S7" i="92"/>
  <c r="S8" i="92"/>
  <c r="S9" i="92"/>
  <c r="S10" i="92"/>
  <c r="S11" i="92"/>
  <c r="S12" i="92"/>
  <c r="S13" i="92"/>
  <c r="S14" i="92"/>
  <c r="S15" i="92"/>
  <c r="S16" i="92"/>
  <c r="S17" i="92"/>
  <c r="S18" i="92"/>
  <c r="S19" i="92"/>
  <c r="S20" i="92"/>
  <c r="S21" i="92"/>
  <c r="S22" i="92"/>
  <c r="S23" i="92"/>
  <c r="S24" i="92"/>
  <c r="S25" i="92"/>
  <c r="S26" i="92"/>
  <c r="S27" i="92"/>
  <c r="S28" i="92"/>
  <c r="S29" i="92"/>
  <c r="S30" i="92"/>
  <c r="S31" i="92"/>
  <c r="S32" i="92"/>
  <c r="S33" i="92"/>
  <c r="S34" i="92"/>
  <c r="S35" i="92"/>
  <c r="S36" i="92"/>
  <c r="S37" i="92"/>
  <c r="S38" i="92"/>
  <c r="S39" i="92"/>
  <c r="S40" i="92"/>
  <c r="S41" i="92"/>
  <c r="S42" i="92"/>
  <c r="S43" i="92"/>
  <c r="S44" i="92"/>
  <c r="S45" i="92"/>
  <c r="S46" i="92"/>
  <c r="S47" i="92"/>
  <c r="S48" i="92"/>
  <c r="S49" i="92"/>
  <c r="S50" i="92"/>
  <c r="S51" i="92"/>
  <c r="S52" i="92"/>
  <c r="S53" i="92"/>
  <c r="S54" i="92"/>
  <c r="S55" i="92"/>
  <c r="S56" i="92"/>
  <c r="S57" i="92"/>
  <c r="S58" i="92"/>
  <c r="S59" i="92"/>
  <c r="S60" i="92"/>
  <c r="S61" i="92"/>
  <c r="S62" i="92"/>
  <c r="S63" i="92"/>
  <c r="S64" i="92"/>
  <c r="S65" i="92"/>
  <c r="S66" i="92"/>
  <c r="S67" i="92"/>
  <c r="S68" i="92"/>
  <c r="S69" i="92"/>
  <c r="S70" i="92"/>
  <c r="S71" i="92"/>
  <c r="S72" i="92"/>
  <c r="S73" i="92"/>
  <c r="S74" i="92"/>
  <c r="S75" i="92"/>
  <c r="S76" i="92"/>
  <c r="S77" i="92"/>
  <c r="S78" i="92"/>
  <c r="S79" i="92"/>
  <c r="S80" i="92"/>
  <c r="S81" i="92"/>
  <c r="S82" i="92"/>
  <c r="S83" i="92"/>
  <c r="S84" i="92"/>
  <c r="S85" i="92"/>
  <c r="S86" i="92"/>
  <c r="S87" i="92"/>
  <c r="S88" i="92"/>
  <c r="S89" i="92"/>
  <c r="S90" i="92"/>
  <c r="S91" i="92"/>
  <c r="S92" i="92"/>
  <c r="S93" i="92"/>
  <c r="S94" i="92"/>
  <c r="S95" i="92"/>
  <c r="S96" i="92"/>
  <c r="S97" i="92"/>
  <c r="S98" i="92"/>
  <c r="S99" i="92"/>
  <c r="S100" i="92"/>
  <c r="S101" i="92"/>
  <c r="S102" i="92"/>
  <c r="S103" i="92"/>
  <c r="S104" i="92"/>
  <c r="S105" i="92"/>
  <c r="S106" i="92"/>
  <c r="S107" i="92"/>
  <c r="S108" i="92"/>
  <c r="S109" i="92"/>
  <c r="S110" i="92"/>
  <c r="S111" i="92"/>
  <c r="S112" i="92"/>
  <c r="S113" i="92"/>
  <c r="S114" i="92"/>
  <c r="S115" i="92"/>
  <c r="S116" i="92"/>
  <c r="S117" i="92"/>
  <c r="S118" i="92"/>
  <c r="S119" i="92"/>
  <c r="S120" i="92"/>
  <c r="S121" i="92"/>
  <c r="S122" i="92"/>
  <c r="S123" i="92"/>
  <c r="S124" i="92"/>
  <c r="S125" i="92"/>
  <c r="S126" i="92"/>
  <c r="S127" i="92"/>
  <c r="S128" i="92"/>
  <c r="S129" i="92"/>
  <c r="S130" i="92"/>
  <c r="S131" i="92"/>
  <c r="S132" i="92"/>
  <c r="S133" i="92"/>
  <c r="S134" i="92"/>
  <c r="S135" i="92"/>
  <c r="S136" i="92"/>
  <c r="S137" i="92"/>
  <c r="S138" i="92"/>
  <c r="S139" i="92"/>
  <c r="S140" i="92"/>
  <c r="S141" i="92"/>
  <c r="S142" i="92"/>
  <c r="S143" i="92"/>
  <c r="S144" i="92"/>
  <c r="S145" i="92"/>
  <c r="S146" i="92"/>
  <c r="S147" i="92"/>
  <c r="S148" i="92"/>
  <c r="S149" i="92"/>
  <c r="S150" i="92"/>
  <c r="S151" i="92"/>
  <c r="S152" i="92"/>
  <c r="S153" i="92"/>
  <c r="S154" i="92"/>
  <c r="S155" i="92"/>
  <c r="S156" i="92"/>
  <c r="S157" i="92"/>
  <c r="S158" i="92"/>
  <c r="S159" i="92"/>
  <c r="S160" i="92"/>
  <c r="S161" i="92"/>
  <c r="S162" i="92"/>
  <c r="S163" i="92"/>
  <c r="S164" i="92"/>
  <c r="S165" i="92"/>
  <c r="S166" i="92"/>
  <c r="S167" i="92"/>
  <c r="S168" i="92"/>
  <c r="S169" i="92"/>
  <c r="S170" i="92"/>
  <c r="S171" i="92"/>
  <c r="S172" i="92"/>
  <c r="S173" i="92"/>
  <c r="S174" i="92"/>
  <c r="S175" i="92"/>
  <c r="S176" i="92"/>
  <c r="S177" i="92"/>
  <c r="S178" i="92"/>
  <c r="S179" i="92"/>
  <c r="S180" i="92"/>
  <c r="S181" i="92"/>
  <c r="S182" i="92"/>
  <c r="S183" i="92"/>
  <c r="S184" i="92"/>
  <c r="S185" i="92"/>
  <c r="S186" i="92"/>
  <c r="S187" i="92"/>
  <c r="S188" i="92"/>
  <c r="S189" i="92"/>
  <c r="S190" i="92"/>
  <c r="S191" i="92"/>
  <c r="S192" i="92"/>
  <c r="S193" i="92"/>
  <c r="S194" i="92"/>
  <c r="S195" i="92"/>
  <c r="S196" i="92"/>
  <c r="S197" i="92"/>
  <c r="S198" i="92"/>
  <c r="S199" i="92"/>
  <c r="S200" i="92"/>
  <c r="S201" i="92"/>
  <c r="S202" i="92"/>
  <c r="S203" i="92"/>
  <c r="S204" i="92"/>
  <c r="S205" i="92"/>
  <c r="S206" i="92"/>
  <c r="S207" i="92"/>
  <c r="S208" i="92"/>
  <c r="S209" i="92"/>
  <c r="S210" i="92"/>
  <c r="S211" i="92"/>
  <c r="S212" i="92"/>
  <c r="S213" i="92"/>
  <c r="S214" i="92"/>
  <c r="S215" i="92"/>
  <c r="S216" i="92"/>
  <c r="S217" i="92"/>
  <c r="S218" i="92"/>
  <c r="S219" i="92"/>
  <c r="S220" i="92"/>
  <c r="S221" i="92"/>
  <c r="S222" i="92"/>
  <c r="S223" i="92"/>
  <c r="S224" i="92"/>
  <c r="S225" i="92"/>
  <c r="S226" i="92"/>
  <c r="S227" i="92"/>
  <c r="S228" i="92"/>
  <c r="S229" i="92"/>
  <c r="S230" i="92"/>
  <c r="S231" i="92"/>
  <c r="S232" i="92"/>
  <c r="S233" i="92"/>
  <c r="S234" i="92"/>
  <c r="S235" i="92"/>
  <c r="S236" i="92"/>
  <c r="S237" i="92"/>
  <c r="S238" i="92"/>
  <c r="S239" i="92"/>
  <c r="S240" i="92"/>
  <c r="S4" i="92"/>
  <c r="F1" i="117"/>
  <c r="AQ209" i="121" l="1"/>
  <c r="AQ215" i="121"/>
  <c r="AQ213" i="121"/>
  <c r="AQ101" i="121"/>
  <c r="AQ105" i="121"/>
  <c r="AQ107" i="121"/>
  <c r="AQ49" i="121"/>
  <c r="AQ149" i="121"/>
  <c r="AQ141" i="121"/>
  <c r="AQ18" i="121"/>
  <c r="AQ85" i="121"/>
  <c r="AQ99" i="121"/>
  <c r="AQ135" i="121"/>
  <c r="AQ167" i="121"/>
  <c r="AQ175" i="121"/>
  <c r="AQ188" i="121"/>
  <c r="AQ207" i="121"/>
  <c r="AQ225" i="121"/>
  <c r="AQ239" i="121"/>
  <c r="AB1" i="121"/>
  <c r="AQ179" i="121"/>
  <c r="AQ20" i="121"/>
  <c r="AQ56" i="121"/>
  <c r="AQ116" i="121"/>
  <c r="AQ139" i="121"/>
  <c r="AQ191" i="121"/>
  <c r="AF1" i="121"/>
  <c r="M1" i="121"/>
  <c r="AQ47" i="121"/>
  <c r="AQ109" i="121"/>
  <c r="AQ219" i="121"/>
  <c r="AQ222" i="121"/>
  <c r="X1" i="121"/>
  <c r="AH3" i="121"/>
  <c r="AH1" i="121" s="1"/>
  <c r="N13" i="121"/>
  <c r="AQ13" i="121" s="1"/>
  <c r="AQ16" i="121"/>
  <c r="AQ155" i="121"/>
  <c r="AJ1" i="121"/>
  <c r="Q1" i="121"/>
  <c r="AQ34" i="121"/>
  <c r="AQ67" i="121"/>
  <c r="AQ237" i="121"/>
  <c r="AQ11" i="121"/>
  <c r="R13" i="121"/>
  <c r="AQ69" i="121"/>
  <c r="AQ76" i="121"/>
  <c r="AQ110" i="121"/>
  <c r="AQ153" i="121"/>
  <c r="AQ189" i="121"/>
  <c r="AQ233" i="121"/>
  <c r="AN1" i="121"/>
  <c r="AQ8" i="121"/>
  <c r="U1" i="121"/>
  <c r="AQ42" i="121"/>
  <c r="AQ86" i="121"/>
  <c r="AQ88" i="121"/>
  <c r="AQ163" i="121"/>
  <c r="AP3" i="121"/>
  <c r="AQ15" i="121"/>
  <c r="AQ22" i="121"/>
  <c r="AQ29" i="121"/>
  <c r="AQ74" i="121"/>
  <c r="AQ77" i="121"/>
  <c r="AQ79" i="121"/>
  <c r="AQ91" i="121"/>
  <c r="AQ94" i="121"/>
  <c r="AQ115" i="121"/>
  <c r="AQ119" i="121"/>
  <c r="AQ136" i="121"/>
  <c r="AQ199" i="121"/>
  <c r="AQ200" i="121"/>
  <c r="V3" i="121"/>
  <c r="V1" i="121" s="1"/>
  <c r="T1" i="121"/>
  <c r="AQ6" i="121"/>
  <c r="AQ9" i="121"/>
  <c r="Y1" i="121"/>
  <c r="AQ35" i="121"/>
  <c r="AQ39" i="121"/>
  <c r="AQ44" i="121"/>
  <c r="AQ52" i="121"/>
  <c r="AQ81" i="121"/>
  <c r="AQ108" i="121"/>
  <c r="AQ123" i="121"/>
  <c r="AQ126" i="121"/>
  <c r="AQ168" i="121"/>
  <c r="Z13" i="121"/>
  <c r="Z1" i="121" s="1"/>
  <c r="AQ17" i="121"/>
  <c r="AQ31" i="121"/>
  <c r="AQ195" i="121"/>
  <c r="AQ231" i="121"/>
  <c r="AQ177" i="121"/>
  <c r="AQ4" i="121"/>
  <c r="AC1" i="121"/>
  <c r="AQ21" i="121"/>
  <c r="AQ70" i="121"/>
  <c r="AQ84" i="121"/>
  <c r="AQ134" i="121"/>
  <c r="AQ166" i="121"/>
  <c r="AQ174" i="121"/>
  <c r="AQ214" i="121"/>
  <c r="AQ37" i="121"/>
  <c r="AQ59" i="121"/>
  <c r="AQ75" i="121"/>
  <c r="AQ113" i="121"/>
  <c r="AQ121" i="121"/>
  <c r="AQ223" i="121"/>
  <c r="AQ229" i="121"/>
  <c r="AQ7" i="121"/>
  <c r="AH13" i="121"/>
  <c r="AG1" i="121"/>
  <c r="AQ97" i="121"/>
  <c r="AQ138" i="121"/>
  <c r="AQ154" i="121"/>
  <c r="L1" i="121"/>
  <c r="AK1" i="121"/>
  <c r="AQ148" i="121"/>
  <c r="AQ227" i="121"/>
  <c r="AQ234" i="121"/>
  <c r="N3" i="121"/>
  <c r="AL13" i="121"/>
  <c r="AQ111" i="121"/>
  <c r="AQ150" i="121"/>
  <c r="AQ169" i="121"/>
  <c r="P1" i="121"/>
  <c r="AO1" i="121"/>
  <c r="AQ73" i="121"/>
  <c r="AQ89" i="121"/>
  <c r="AQ95" i="121"/>
  <c r="R3" i="121"/>
  <c r="AQ5" i="121"/>
  <c r="AP13" i="121"/>
  <c r="AQ152" i="121"/>
  <c r="AQ160" i="121"/>
  <c r="AQ178" i="121"/>
  <c r="AQ55" i="120"/>
  <c r="AQ147" i="120"/>
  <c r="AQ183" i="120"/>
  <c r="AQ138" i="120"/>
  <c r="AQ158" i="120"/>
  <c r="AQ168" i="120"/>
  <c r="Z1" i="120"/>
  <c r="AC1" i="120"/>
  <c r="AQ37" i="120"/>
  <c r="AQ46" i="120"/>
  <c r="AQ114" i="120"/>
  <c r="AQ124" i="120"/>
  <c r="AQ131" i="120"/>
  <c r="AB1" i="120"/>
  <c r="AQ67" i="120"/>
  <c r="AQ121" i="120"/>
  <c r="AQ136" i="120"/>
  <c r="AQ178" i="120"/>
  <c r="AQ141" i="120"/>
  <c r="AQ202" i="120"/>
  <c r="AQ30" i="120"/>
  <c r="AQ39" i="120"/>
  <c r="AQ53" i="120"/>
  <c r="AQ92" i="120"/>
  <c r="AQ111" i="120"/>
  <c r="Y1" i="120"/>
  <c r="AQ11" i="120"/>
  <c r="V18" i="120"/>
  <c r="AQ41" i="120"/>
  <c r="AQ60" i="120"/>
  <c r="AQ85" i="120"/>
  <c r="AQ90" i="120"/>
  <c r="AQ175" i="120"/>
  <c r="AQ195" i="120"/>
  <c r="AQ208" i="120"/>
  <c r="AQ213" i="120"/>
  <c r="AQ119" i="120"/>
  <c r="N4" i="120"/>
  <c r="N1" i="120" s="1"/>
  <c r="AQ227" i="120"/>
  <c r="AQ235" i="120"/>
  <c r="AQ101" i="120"/>
  <c r="AQ167" i="120"/>
  <c r="AQ188" i="120"/>
  <c r="U1" i="120"/>
  <c r="R4" i="120"/>
  <c r="R1" i="120" s="1"/>
  <c r="AQ13" i="120"/>
  <c r="AQ22" i="120"/>
  <c r="AQ45" i="120"/>
  <c r="AQ64" i="120"/>
  <c r="AQ80" i="120"/>
  <c r="AQ94" i="120"/>
  <c r="AQ212" i="120"/>
  <c r="AQ222" i="120"/>
  <c r="AQ57" i="120"/>
  <c r="AQ89" i="120"/>
  <c r="AQ103" i="120"/>
  <c r="AQ108" i="120"/>
  <c r="AQ115" i="120"/>
  <c r="AQ135" i="120"/>
  <c r="AQ172" i="120"/>
  <c r="AQ187" i="120"/>
  <c r="AQ199" i="120"/>
  <c r="AQ204" i="120"/>
  <c r="AQ233" i="120"/>
  <c r="AQ98" i="120"/>
  <c r="AQ113" i="120"/>
  <c r="AQ118" i="120"/>
  <c r="AQ127" i="120"/>
  <c r="AQ148" i="120"/>
  <c r="AQ209" i="120"/>
  <c r="AK1" i="120"/>
  <c r="AQ128" i="120"/>
  <c r="AQ164" i="120"/>
  <c r="AQ196" i="120"/>
  <c r="AQ232" i="120"/>
  <c r="AJ1" i="120"/>
  <c r="P1" i="120"/>
  <c r="AQ10" i="120"/>
  <c r="AQ59" i="120"/>
  <c r="AQ142" i="120"/>
  <c r="AQ194" i="120"/>
  <c r="AQ174" i="120"/>
  <c r="AQ214" i="120"/>
  <c r="AQ152" i="120"/>
  <c r="AQ184" i="120"/>
  <c r="AQ236" i="120"/>
  <c r="L1" i="120"/>
  <c r="AQ23" i="120"/>
  <c r="AQ24" i="121"/>
  <c r="AQ98" i="121"/>
  <c r="AQ206" i="121"/>
  <c r="AQ236" i="121"/>
  <c r="AQ238" i="121"/>
  <c r="AQ61" i="121"/>
  <c r="AQ131" i="121"/>
  <c r="AQ201" i="121"/>
  <c r="AQ68" i="121"/>
  <c r="AQ93" i="121"/>
  <c r="AQ128" i="121"/>
  <c r="AQ203" i="121"/>
  <c r="AQ46" i="121"/>
  <c r="AQ211" i="121"/>
  <c r="AQ216" i="121"/>
  <c r="AQ218" i="121"/>
  <c r="AQ12" i="121"/>
  <c r="AQ26" i="121"/>
  <c r="AQ41" i="121"/>
  <c r="AQ66" i="121"/>
  <c r="AQ82" i="121"/>
  <c r="AQ171" i="121"/>
  <c r="AQ183" i="121"/>
  <c r="AQ186" i="121"/>
  <c r="AQ208" i="121"/>
  <c r="AQ43" i="121"/>
  <c r="AQ80" i="121"/>
  <c r="AQ125" i="121"/>
  <c r="AQ133" i="121"/>
  <c r="AQ140" i="121"/>
  <c r="AQ145" i="121"/>
  <c r="AQ180" i="121"/>
  <c r="AQ196" i="121"/>
  <c r="AQ51" i="121"/>
  <c r="AQ54" i="121"/>
  <c r="AQ102" i="121"/>
  <c r="AQ220" i="121"/>
  <c r="AQ23" i="121"/>
  <c r="AQ48" i="121"/>
  <c r="AQ63" i="121"/>
  <c r="AQ205" i="121"/>
  <c r="AQ14" i="121"/>
  <c r="AQ28" i="121"/>
  <c r="AQ104" i="121"/>
  <c r="AQ118" i="121"/>
  <c r="AQ127" i="121"/>
  <c r="AQ147" i="121"/>
  <c r="AQ157" i="121"/>
  <c r="AQ185" i="121"/>
  <c r="AQ114" i="121"/>
  <c r="AQ137" i="121"/>
  <c r="AQ198" i="121"/>
  <c r="AQ25" i="121"/>
  <c r="AQ38" i="121"/>
  <c r="AQ53" i="121"/>
  <c r="AQ60" i="121"/>
  <c r="AQ122" i="121"/>
  <c r="AQ65" i="121"/>
  <c r="AQ92" i="121"/>
  <c r="AQ130" i="121"/>
  <c r="AQ112" i="121"/>
  <c r="AQ120" i="121"/>
  <c r="AQ142" i="121"/>
  <c r="AQ228" i="121"/>
  <c r="AQ230" i="121"/>
  <c r="AQ40" i="121"/>
  <c r="AQ58" i="121"/>
  <c r="AQ124" i="121"/>
  <c r="AQ210" i="121"/>
  <c r="AQ132" i="121"/>
  <c r="AQ151" i="121"/>
  <c r="AQ161" i="121"/>
  <c r="AQ182" i="121"/>
  <c r="AQ187" i="121"/>
  <c r="AQ202" i="121"/>
  <c r="AQ103" i="121"/>
  <c r="AQ106" i="121"/>
  <c r="AQ117" i="121"/>
  <c r="AQ144" i="121"/>
  <c r="AQ170" i="121"/>
  <c r="AQ226" i="121"/>
  <c r="AQ50" i="121"/>
  <c r="AQ55" i="121"/>
  <c r="AQ193" i="121"/>
  <c r="AQ197" i="121"/>
  <c r="AQ204" i="121"/>
  <c r="AQ212" i="121"/>
  <c r="AQ224" i="121"/>
  <c r="AQ33" i="121"/>
  <c r="AQ62" i="121"/>
  <c r="AQ72" i="121"/>
  <c r="AQ100" i="121"/>
  <c r="AQ172" i="121"/>
  <c r="AQ176" i="121"/>
  <c r="AQ184" i="121"/>
  <c r="AQ221" i="121"/>
  <c r="Z14" i="121"/>
  <c r="AL64" i="121"/>
  <c r="AL1" i="121" s="1"/>
  <c r="AD14" i="121"/>
  <c r="AD1" i="121" s="1"/>
  <c r="AD78" i="121"/>
  <c r="AQ32" i="120"/>
  <c r="AQ48" i="120"/>
  <c r="AQ69" i="120"/>
  <c r="AQ99" i="120"/>
  <c r="AQ123" i="120"/>
  <c r="AQ133" i="120"/>
  <c r="AQ143" i="120"/>
  <c r="AQ153" i="120"/>
  <c r="AQ34" i="120"/>
  <c r="AQ50" i="120"/>
  <c r="AQ78" i="120"/>
  <c r="AQ96" i="120"/>
  <c r="AQ6" i="120"/>
  <c r="AQ20" i="120"/>
  <c r="AQ27" i="120"/>
  <c r="AQ43" i="120"/>
  <c r="AQ62" i="120"/>
  <c r="AQ71" i="120"/>
  <c r="AQ76" i="120"/>
  <c r="AQ87" i="120"/>
  <c r="AQ155" i="120"/>
  <c r="AQ192" i="120"/>
  <c r="AQ4" i="120"/>
  <c r="AQ36" i="120"/>
  <c r="AQ52" i="120"/>
  <c r="AQ8" i="120"/>
  <c r="AQ15" i="120"/>
  <c r="AQ66" i="120"/>
  <c r="AQ29" i="120"/>
  <c r="AQ38" i="120"/>
  <c r="AQ73" i="120"/>
  <c r="AQ47" i="120"/>
  <c r="AQ75" i="120"/>
  <c r="AQ91" i="120"/>
  <c r="AQ132" i="120"/>
  <c r="AQ179" i="120"/>
  <c r="AQ19" i="120"/>
  <c r="AQ31" i="120"/>
  <c r="AQ42" i="120"/>
  <c r="AQ54" i="120"/>
  <c r="AQ112" i="120"/>
  <c r="AQ49" i="120"/>
  <c r="AQ68" i="120"/>
  <c r="AQ84" i="120"/>
  <c r="AQ122" i="120"/>
  <c r="AQ154" i="120"/>
  <c r="AQ189" i="120"/>
  <c r="AQ203" i="120"/>
  <c r="AQ234" i="120"/>
  <c r="AQ24" i="120"/>
  <c r="AQ26" i="120"/>
  <c r="AQ40" i="120"/>
  <c r="AQ51" i="120"/>
  <c r="AQ61" i="120"/>
  <c r="AQ93" i="120"/>
  <c r="AQ95" i="120"/>
  <c r="AQ156" i="120"/>
  <c r="AQ161" i="120"/>
  <c r="AQ181" i="120"/>
  <c r="AQ201" i="120"/>
  <c r="AQ12" i="120"/>
  <c r="AQ21" i="120"/>
  <c r="AQ77" i="120"/>
  <c r="AQ86" i="120"/>
  <c r="AQ100" i="120"/>
  <c r="AQ107" i="120"/>
  <c r="AQ129" i="120"/>
  <c r="AQ144" i="120"/>
  <c r="AQ159" i="120"/>
  <c r="AQ166" i="120"/>
  <c r="AQ171" i="120"/>
  <c r="AQ176" i="120"/>
  <c r="AQ191" i="120"/>
  <c r="AQ5" i="120"/>
  <c r="AQ33" i="120"/>
  <c r="AQ65" i="120"/>
  <c r="AQ79" i="120"/>
  <c r="AQ102" i="120"/>
  <c r="AQ139" i="120"/>
  <c r="AQ186" i="120"/>
  <c r="AQ14" i="120"/>
  <c r="AQ63" i="120"/>
  <c r="AQ70" i="120"/>
  <c r="AQ134" i="120"/>
  <c r="AQ149" i="120"/>
  <c r="AQ216" i="120"/>
  <c r="AQ223" i="120"/>
  <c r="AQ16" i="120"/>
  <c r="AQ28" i="120"/>
  <c r="AQ35" i="120"/>
  <c r="AQ81" i="120"/>
  <c r="AQ88" i="120"/>
  <c r="AQ56" i="120"/>
  <c r="AQ72" i="120"/>
  <c r="AQ109" i="120"/>
  <c r="AQ198" i="120"/>
  <c r="AQ18" i="120"/>
  <c r="AQ104" i="120"/>
  <c r="AQ151" i="120"/>
  <c r="AQ163" i="120"/>
  <c r="AQ193" i="120"/>
  <c r="AQ9" i="120"/>
  <c r="AQ44" i="120"/>
  <c r="AQ58" i="120"/>
  <c r="AQ74" i="120"/>
  <c r="AQ83" i="120"/>
  <c r="AQ116" i="120"/>
  <c r="AQ173" i="120"/>
  <c r="AL5" i="120"/>
  <c r="AD17" i="120"/>
  <c r="AQ17" i="120" s="1"/>
  <c r="AL25" i="120"/>
  <c r="AQ25" i="120" s="1"/>
  <c r="AQ140" i="120"/>
  <c r="AQ200" i="120"/>
  <c r="AQ165" i="120"/>
  <c r="AQ190" i="120"/>
  <c r="AH4" i="120"/>
  <c r="AH1" i="120" s="1"/>
  <c r="AQ210" i="120"/>
  <c r="AQ219" i="120"/>
  <c r="AQ237" i="120"/>
  <c r="AQ197" i="120"/>
  <c r="AQ225" i="120"/>
  <c r="AD3" i="120"/>
  <c r="AQ3" i="120" s="1"/>
  <c r="AQ150" i="120"/>
  <c r="AQ157" i="120"/>
  <c r="AQ182" i="120"/>
  <c r="AQ206" i="120"/>
  <c r="AP4" i="120"/>
  <c r="AP1" i="120" s="1"/>
  <c r="AQ125" i="120"/>
  <c r="AQ224" i="120"/>
  <c r="AQ230" i="120"/>
  <c r="V7" i="120"/>
  <c r="AQ7" i="120" s="1"/>
  <c r="AQ110" i="120"/>
  <c r="AP3" i="120"/>
  <c r="AQ218" i="120"/>
  <c r="AQ239" i="120"/>
  <c r="AQ82" i="120"/>
  <c r="AQ185" i="120"/>
  <c r="AQ117" i="120"/>
  <c r="AQ170" i="120"/>
  <c r="AQ177" i="120"/>
  <c r="AQ106" i="120"/>
  <c r="AQ205" i="120"/>
  <c r="AQ226" i="120"/>
  <c r="AQ160" i="120"/>
  <c r="AQ145" i="120"/>
  <c r="AQ229" i="120"/>
  <c r="AQ105" i="120"/>
  <c r="AQ120" i="120"/>
  <c r="AQ97" i="120"/>
  <c r="AQ180" i="120"/>
  <c r="AQ220" i="120"/>
  <c r="AQ211" i="120"/>
  <c r="AQ130" i="120"/>
  <c r="AQ162" i="120"/>
  <c r="AQ169" i="120"/>
  <c r="AQ217" i="120"/>
  <c r="AQ238" i="120"/>
  <c r="AQ137" i="120"/>
  <c r="AQ126" i="120"/>
  <c r="AQ231" i="120"/>
  <c r="AA180" i="119"/>
  <c r="AA214" i="119"/>
  <c r="AA25" i="119"/>
  <c r="AA125" i="119"/>
  <c r="AA24" i="119"/>
  <c r="AA212" i="119"/>
  <c r="AA171" i="119"/>
  <c r="AA120" i="119"/>
  <c r="AA211" i="119"/>
  <c r="AA160" i="119"/>
  <c r="AA56" i="119"/>
  <c r="AA20" i="119"/>
  <c r="Z2" i="119"/>
  <c r="AA209" i="119"/>
  <c r="AA54" i="119"/>
  <c r="AA13" i="119"/>
  <c r="AA204" i="119"/>
  <c r="AA141" i="119"/>
  <c r="AA51" i="119"/>
  <c r="AA239" i="119"/>
  <c r="AA219" i="119"/>
  <c r="AA119" i="119"/>
  <c r="AA99" i="119"/>
  <c r="AA79" i="119"/>
  <c r="AA39" i="119"/>
  <c r="AA19" i="119"/>
  <c r="AA140" i="119"/>
  <c r="X2" i="119"/>
  <c r="AA49" i="119"/>
  <c r="AA134" i="119"/>
  <c r="AA92" i="119"/>
  <c r="AA40" i="119"/>
  <c r="AA53" i="119"/>
  <c r="AA131" i="119"/>
  <c r="Y2" i="119"/>
  <c r="W2" i="119"/>
  <c r="V2" i="119"/>
  <c r="J20" i="117"/>
  <c r="J59" i="117"/>
  <c r="J34" i="117"/>
  <c r="J47" i="117"/>
  <c r="J26" i="117"/>
  <c r="J10" i="117"/>
  <c r="J77" i="117"/>
  <c r="J64" i="117"/>
  <c r="J58" i="117"/>
  <c r="H1" i="117"/>
  <c r="G1" i="117"/>
  <c r="J60" i="117"/>
  <c r="AQ64" i="121" l="1"/>
  <c r="R1" i="121"/>
  <c r="AQ3" i="121"/>
  <c r="N1" i="121"/>
  <c r="AP1" i="121"/>
  <c r="AD1" i="120"/>
  <c r="AQ1" i="120"/>
  <c r="V1" i="120"/>
  <c r="AL1" i="120"/>
  <c r="AQ78" i="121"/>
  <c r="AA2" i="119"/>
  <c r="J57" i="117"/>
  <c r="L57" i="117" s="1"/>
  <c r="J40" i="117"/>
  <c r="L40" i="117" s="1"/>
  <c r="J22" i="117"/>
  <c r="L22" i="117" s="1"/>
  <c r="J15" i="117"/>
  <c r="X15" i="117" s="1"/>
  <c r="J56" i="117"/>
  <c r="Z56" i="117" s="1"/>
  <c r="J24" i="117"/>
  <c r="V24" i="117" s="1"/>
  <c r="J13" i="117"/>
  <c r="N13" i="117" s="1"/>
  <c r="J7" i="117"/>
  <c r="N7" i="117" s="1"/>
  <c r="J71" i="117"/>
  <c r="L71" i="117" s="1"/>
  <c r="J54" i="117"/>
  <c r="Z54" i="117" s="1"/>
  <c r="J4" i="117"/>
  <c r="L4" i="117" s="1"/>
  <c r="J35" i="117"/>
  <c r="V35" i="117" s="1"/>
  <c r="J41" i="117"/>
  <c r="N41" i="117" s="1"/>
  <c r="J39" i="117"/>
  <c r="P39" i="117" s="1"/>
  <c r="J14" i="117"/>
  <c r="L14" i="117" s="1"/>
  <c r="J11" i="117"/>
  <c r="T11" i="117" s="1"/>
  <c r="J17" i="117"/>
  <c r="Z17" i="117" s="1"/>
  <c r="J19" i="117"/>
  <c r="P19" i="117" s="1"/>
  <c r="J81" i="117"/>
  <c r="R81" i="117" s="1"/>
  <c r="J74" i="117"/>
  <c r="N74" i="117" s="1"/>
  <c r="J67" i="117"/>
  <c r="V67" i="117" s="1"/>
  <c r="J21" i="117"/>
  <c r="N21" i="117" s="1"/>
  <c r="J61" i="117"/>
  <c r="L61" i="117" s="1"/>
  <c r="J5" i="117"/>
  <c r="J16" i="117"/>
  <c r="L16" i="117" s="1"/>
  <c r="J9" i="117"/>
  <c r="R9" i="117" s="1"/>
  <c r="J33" i="117"/>
  <c r="Z33" i="117" s="1"/>
  <c r="J6" i="117"/>
  <c r="V6" i="117" s="1"/>
  <c r="J18" i="117"/>
  <c r="P18" i="117" s="1"/>
  <c r="J27" i="117"/>
  <c r="Z27" i="117" s="1"/>
  <c r="J8" i="117"/>
  <c r="P8" i="117" s="1"/>
  <c r="J30" i="117"/>
  <c r="L30" i="117" s="1"/>
  <c r="J38" i="117"/>
  <c r="Z38" i="117" s="1"/>
  <c r="J44" i="117"/>
  <c r="T44" i="117" s="1"/>
  <c r="J76" i="117"/>
  <c r="L76" i="117" s="1"/>
  <c r="J51" i="117"/>
  <c r="T51" i="117" s="1"/>
  <c r="J72" i="117"/>
  <c r="P72" i="117" s="1"/>
  <c r="J23" i="117"/>
  <c r="X23" i="117" s="1"/>
  <c r="J12" i="117"/>
  <c r="X12" i="117" s="1"/>
  <c r="J50" i="117"/>
  <c r="J53" i="117"/>
  <c r="J45" i="117"/>
  <c r="V34" i="117"/>
  <c r="Z34" i="117"/>
  <c r="N34" i="117"/>
  <c r="L34" i="117"/>
  <c r="P34" i="117"/>
  <c r="R34" i="117"/>
  <c r="T34" i="117"/>
  <c r="X34" i="117"/>
  <c r="J79" i="117"/>
  <c r="J42" i="117"/>
  <c r="J62" i="117"/>
  <c r="V64" i="117"/>
  <c r="L64" i="117"/>
  <c r="N64" i="117"/>
  <c r="P64" i="117"/>
  <c r="R64" i="117"/>
  <c r="X64" i="117"/>
  <c r="T64" i="117"/>
  <c r="Z64" i="117"/>
  <c r="J32" i="117"/>
  <c r="V59" i="117"/>
  <c r="L59" i="117"/>
  <c r="N59" i="117"/>
  <c r="P59" i="117"/>
  <c r="R59" i="117"/>
  <c r="T59" i="117"/>
  <c r="X59" i="117"/>
  <c r="Z59" i="117"/>
  <c r="J37" i="117"/>
  <c r="J43" i="117"/>
  <c r="J80" i="117"/>
  <c r="L20" i="117"/>
  <c r="P20" i="117"/>
  <c r="V20" i="117"/>
  <c r="Z20" i="117"/>
  <c r="N20" i="117"/>
  <c r="R20" i="117"/>
  <c r="T20" i="117"/>
  <c r="X20" i="117"/>
  <c r="J31" i="117"/>
  <c r="AA1" i="117"/>
  <c r="J36" i="117"/>
  <c r="J75" i="117"/>
  <c r="J63" i="117"/>
  <c r="J46" i="117"/>
  <c r="J29" i="117"/>
  <c r="J70" i="117"/>
  <c r="J55" i="117"/>
  <c r="V58" i="117"/>
  <c r="L58" i="117"/>
  <c r="N58" i="117"/>
  <c r="P58" i="117"/>
  <c r="R58" i="117"/>
  <c r="T58" i="117"/>
  <c r="X58" i="117"/>
  <c r="Z58" i="117"/>
  <c r="P77" i="117"/>
  <c r="R77" i="117"/>
  <c r="V77" i="117"/>
  <c r="T77" i="117"/>
  <c r="Z77" i="117"/>
  <c r="X77" i="117"/>
  <c r="N77" i="117"/>
  <c r="L77" i="117"/>
  <c r="J66" i="117"/>
  <c r="J52" i="117"/>
  <c r="J78" i="117"/>
  <c r="L10" i="117"/>
  <c r="P10" i="117"/>
  <c r="V10" i="117"/>
  <c r="Z10" i="117"/>
  <c r="N10" i="117"/>
  <c r="R10" i="117"/>
  <c r="T10" i="117"/>
  <c r="X10" i="117"/>
  <c r="V60" i="117"/>
  <c r="L60" i="117"/>
  <c r="R60" i="117"/>
  <c r="N60" i="117"/>
  <c r="P60" i="117"/>
  <c r="X60" i="117"/>
  <c r="Z60" i="117"/>
  <c r="T60" i="117"/>
  <c r="J25" i="117"/>
  <c r="L26" i="117"/>
  <c r="P26" i="117"/>
  <c r="V26" i="117"/>
  <c r="Z26" i="117"/>
  <c r="N26" i="117"/>
  <c r="T26" i="117"/>
  <c r="X26" i="117"/>
  <c r="R26" i="117"/>
  <c r="J28" i="117"/>
  <c r="J49" i="117"/>
  <c r="J48" i="117"/>
  <c r="J65" i="117"/>
  <c r="J68" i="117"/>
  <c r="V47" i="117"/>
  <c r="L47" i="117"/>
  <c r="R47" i="117"/>
  <c r="N47" i="117"/>
  <c r="P47" i="117"/>
  <c r="T47" i="117"/>
  <c r="X47" i="117"/>
  <c r="Z47" i="117"/>
  <c r="J73" i="117"/>
  <c r="J69" i="117"/>
  <c r="AQ1" i="121" l="1"/>
  <c r="R11" i="117"/>
  <c r="Z40" i="117"/>
  <c r="L67" i="117"/>
  <c r="T40" i="117"/>
  <c r="P40" i="117"/>
  <c r="N40" i="117"/>
  <c r="X57" i="117"/>
  <c r="V57" i="117"/>
  <c r="R40" i="117"/>
  <c r="V40" i="117"/>
  <c r="Z57" i="117"/>
  <c r="T57" i="117"/>
  <c r="R57" i="117"/>
  <c r="P57" i="117"/>
  <c r="N11" i="117"/>
  <c r="N57" i="117"/>
  <c r="L44" i="117"/>
  <c r="P56" i="117"/>
  <c r="T56" i="117"/>
  <c r="X56" i="117"/>
  <c r="L56" i="117"/>
  <c r="P14" i="117"/>
  <c r="N14" i="117"/>
  <c r="V14" i="117"/>
  <c r="Z14" i="117"/>
  <c r="R38" i="117"/>
  <c r="X14" i="117"/>
  <c r="R7" i="117"/>
  <c r="X6" i="117"/>
  <c r="V27" i="117"/>
  <c r="Z11" i="117"/>
  <c r="X27" i="117"/>
  <c r="R39" i="117"/>
  <c r="T14" i="117"/>
  <c r="V11" i="117"/>
  <c r="P11" i="117"/>
  <c r="L39" i="117"/>
  <c r="L11" i="117"/>
  <c r="N39" i="117"/>
  <c r="R14" i="117"/>
  <c r="X18" i="117"/>
  <c r="T18" i="117"/>
  <c r="X54" i="117"/>
  <c r="R17" i="117"/>
  <c r="L18" i="117"/>
  <c r="T54" i="117"/>
  <c r="V17" i="117"/>
  <c r="R54" i="117"/>
  <c r="P17" i="117"/>
  <c r="N81" i="117"/>
  <c r="P54" i="117"/>
  <c r="L17" i="117"/>
  <c r="L41" i="117"/>
  <c r="L81" i="117"/>
  <c r="X35" i="117"/>
  <c r="X40" i="117"/>
  <c r="R30" i="117"/>
  <c r="P6" i="117"/>
  <c r="L7" i="117"/>
  <c r="X7" i="117"/>
  <c r="V38" i="117"/>
  <c r="Z6" i="117"/>
  <c r="P24" i="117"/>
  <c r="L24" i="117"/>
  <c r="T81" i="117"/>
  <c r="R56" i="117"/>
  <c r="P7" i="117"/>
  <c r="N8" i="117"/>
  <c r="L27" i="117"/>
  <c r="V7" i="117"/>
  <c r="R8" i="117"/>
  <c r="X8" i="117"/>
  <c r="L8" i="117"/>
  <c r="V39" i="117"/>
  <c r="N12" i="117"/>
  <c r="T19" i="117"/>
  <c r="R15" i="117"/>
  <c r="R19" i="117"/>
  <c r="X44" i="117"/>
  <c r="N15" i="117"/>
  <c r="X21" i="117"/>
  <c r="R21" i="117"/>
  <c r="Z21" i="117"/>
  <c r="N19" i="117"/>
  <c r="Z15" i="117"/>
  <c r="P13" i="117"/>
  <c r="P21" i="117"/>
  <c r="X76" i="117"/>
  <c r="T15" i="117"/>
  <c r="V15" i="117"/>
  <c r="R22" i="117"/>
  <c r="L15" i="117"/>
  <c r="V8" i="117"/>
  <c r="V30" i="117"/>
  <c r="V13" i="117"/>
  <c r="X22" i="117"/>
  <c r="Z19" i="117"/>
  <c r="P15" i="117"/>
  <c r="X67" i="117"/>
  <c r="T8" i="117"/>
  <c r="Z22" i="117"/>
  <c r="R67" i="117"/>
  <c r="N24" i="117"/>
  <c r="N18" i="117"/>
  <c r="Z13" i="117"/>
  <c r="V56" i="117"/>
  <c r="Z61" i="117"/>
  <c r="Z8" i="117"/>
  <c r="T22" i="117"/>
  <c r="Z30" i="117"/>
  <c r="Z39" i="117"/>
  <c r="N22" i="117"/>
  <c r="Z67" i="117"/>
  <c r="R18" i="117"/>
  <c r="X39" i="117"/>
  <c r="T39" i="117"/>
  <c r="V22" i="117"/>
  <c r="P67" i="117"/>
  <c r="X24" i="117"/>
  <c r="Z18" i="117"/>
  <c r="T7" i="117"/>
  <c r="L13" i="117"/>
  <c r="N56" i="117"/>
  <c r="X17" i="117"/>
  <c r="P22" i="117"/>
  <c r="X11" i="117"/>
  <c r="T67" i="117"/>
  <c r="T24" i="117"/>
  <c r="X13" i="117"/>
  <c r="V18" i="117"/>
  <c r="Z7" i="117"/>
  <c r="N17" i="117"/>
  <c r="N67" i="117"/>
  <c r="R24" i="117"/>
  <c r="R13" i="117"/>
  <c r="Z24" i="117"/>
  <c r="T13" i="117"/>
  <c r="V21" i="117"/>
  <c r="Z9" i="117"/>
  <c r="X61" i="117"/>
  <c r="Z35" i="117"/>
  <c r="N16" i="117"/>
  <c r="V61" i="117"/>
  <c r="X71" i="117"/>
  <c r="P9" i="117"/>
  <c r="V19" i="117"/>
  <c r="V71" i="117"/>
  <c r="L9" i="117"/>
  <c r="V74" i="117"/>
  <c r="N4" i="117"/>
  <c r="R4" i="117"/>
  <c r="V9" i="117"/>
  <c r="X74" i="117"/>
  <c r="L19" i="117"/>
  <c r="T71" i="117"/>
  <c r="P74" i="117"/>
  <c r="P4" i="117"/>
  <c r="T35" i="117"/>
  <c r="P35" i="117"/>
  <c r="N54" i="117"/>
  <c r="X41" i="117"/>
  <c r="P41" i="117"/>
  <c r="L35" i="117"/>
  <c r="P61" i="117"/>
  <c r="V16" i="117"/>
  <c r="P16" i="117"/>
  <c r="X30" i="117"/>
  <c r="R71" i="117"/>
  <c r="L74" i="117"/>
  <c r="Z4" i="117"/>
  <c r="Z41" i="117"/>
  <c r="R35" i="117"/>
  <c r="T16" i="117"/>
  <c r="X4" i="117"/>
  <c r="T30" i="117"/>
  <c r="P71" i="117"/>
  <c r="T12" i="117"/>
  <c r="X16" i="117"/>
  <c r="N9" i="117"/>
  <c r="V4" i="117"/>
  <c r="Z12" i="117"/>
  <c r="R41" i="117"/>
  <c r="V41" i="117"/>
  <c r="L21" i="117"/>
  <c r="T4" i="117"/>
  <c r="T9" i="117"/>
  <c r="R51" i="117"/>
  <c r="N71" i="117"/>
  <c r="P51" i="117"/>
  <c r="P30" i="117"/>
  <c r="N51" i="117"/>
  <c r="N30" i="117"/>
  <c r="L12" i="117"/>
  <c r="T41" i="117"/>
  <c r="N35" i="117"/>
  <c r="R16" i="117"/>
  <c r="Z71" i="117"/>
  <c r="L54" i="117"/>
  <c r="L72" i="117"/>
  <c r="V51" i="117"/>
  <c r="V54" i="117"/>
  <c r="P81" i="117"/>
  <c r="R61" i="117"/>
  <c r="X33" i="117"/>
  <c r="T74" i="117"/>
  <c r="L51" i="117"/>
  <c r="T61" i="117"/>
  <c r="T33" i="117"/>
  <c r="R74" i="117"/>
  <c r="N5" i="117"/>
  <c r="Z5" i="117"/>
  <c r="L5" i="117"/>
  <c r="N33" i="117"/>
  <c r="Z16" i="117"/>
  <c r="L33" i="117"/>
  <c r="R12" i="117"/>
  <c r="P5" i="117"/>
  <c r="R33" i="117"/>
  <c r="R44" i="117"/>
  <c r="P33" i="117"/>
  <c r="V33" i="117"/>
  <c r="P44" i="117"/>
  <c r="V76" i="117"/>
  <c r="X38" i="117"/>
  <c r="V12" i="117"/>
  <c r="N44" i="117"/>
  <c r="Z76" i="117"/>
  <c r="T38" i="117"/>
  <c r="P12" i="117"/>
  <c r="R5" i="117"/>
  <c r="X5" i="117"/>
  <c r="V44" i="117"/>
  <c r="P76" i="117"/>
  <c r="P38" i="117"/>
  <c r="N76" i="117"/>
  <c r="L38" i="117"/>
  <c r="T5" i="117"/>
  <c r="P27" i="117"/>
  <c r="N38" i="117"/>
  <c r="R27" i="117"/>
  <c r="T76" i="117"/>
  <c r="T17" i="117"/>
  <c r="X19" i="117"/>
  <c r="N27" i="117"/>
  <c r="Z81" i="117"/>
  <c r="R76" i="117"/>
  <c r="V5" i="117"/>
  <c r="X51" i="117"/>
  <c r="V81" i="117"/>
  <c r="T21" i="117"/>
  <c r="Z51" i="117"/>
  <c r="T27" i="117"/>
  <c r="N61" i="117"/>
  <c r="X81" i="117"/>
  <c r="X9" i="117"/>
  <c r="Z74" i="117"/>
  <c r="N72" i="117"/>
  <c r="N6" i="117"/>
  <c r="L6" i="117"/>
  <c r="R6" i="117"/>
  <c r="T6" i="117"/>
  <c r="Z44" i="117"/>
  <c r="V23" i="117"/>
  <c r="T23" i="117"/>
  <c r="V72" i="117"/>
  <c r="R23" i="117"/>
  <c r="Z72" i="117"/>
  <c r="X72" i="117"/>
  <c r="Z23" i="117"/>
  <c r="P23" i="117"/>
  <c r="R72" i="117"/>
  <c r="N23" i="117"/>
  <c r="L23" i="117"/>
  <c r="T72" i="117"/>
  <c r="L25" i="117"/>
  <c r="P25" i="117"/>
  <c r="V25" i="117"/>
  <c r="Z25" i="117"/>
  <c r="N25" i="117"/>
  <c r="R25" i="117"/>
  <c r="T25" i="117"/>
  <c r="X25" i="117"/>
  <c r="V36" i="117"/>
  <c r="Z36" i="117"/>
  <c r="T36" i="117"/>
  <c r="X36" i="117"/>
  <c r="L36" i="117"/>
  <c r="N36" i="117"/>
  <c r="R36" i="117"/>
  <c r="P36" i="117"/>
  <c r="V37" i="117"/>
  <c r="Z37" i="117"/>
  <c r="P37" i="117"/>
  <c r="L37" i="117"/>
  <c r="N37" i="117"/>
  <c r="R37" i="117"/>
  <c r="T37" i="117"/>
  <c r="X37" i="117"/>
  <c r="V32" i="117"/>
  <c r="Z32" i="117"/>
  <c r="P32" i="117"/>
  <c r="L32" i="117"/>
  <c r="N32" i="117"/>
  <c r="R32" i="117"/>
  <c r="T32" i="117"/>
  <c r="X32" i="117"/>
  <c r="L75" i="117"/>
  <c r="N75" i="117"/>
  <c r="T75" i="117"/>
  <c r="V75" i="117"/>
  <c r="X75" i="117"/>
  <c r="Z75" i="117"/>
  <c r="R75" i="117"/>
  <c r="P75" i="117"/>
  <c r="V31" i="117"/>
  <c r="Z31" i="117"/>
  <c r="T31" i="117"/>
  <c r="X31" i="117"/>
  <c r="L31" i="117"/>
  <c r="N31" i="117"/>
  <c r="P31" i="117"/>
  <c r="R31" i="117"/>
  <c r="X69" i="117"/>
  <c r="Z69" i="117"/>
  <c r="L69" i="117"/>
  <c r="N69" i="117"/>
  <c r="P69" i="117"/>
  <c r="V69" i="117"/>
  <c r="R69" i="117"/>
  <c r="T69" i="117"/>
  <c r="L73" i="117"/>
  <c r="N73" i="117"/>
  <c r="P73" i="117"/>
  <c r="R73" i="117"/>
  <c r="T73" i="117"/>
  <c r="V73" i="117"/>
  <c r="X73" i="117"/>
  <c r="Z73" i="117"/>
  <c r="V55" i="117"/>
  <c r="T55" i="117"/>
  <c r="X55" i="117"/>
  <c r="Z55" i="117"/>
  <c r="L55" i="117"/>
  <c r="N55" i="117"/>
  <c r="P55" i="117"/>
  <c r="R55" i="117"/>
  <c r="L80" i="117"/>
  <c r="N80" i="117"/>
  <c r="P80" i="117"/>
  <c r="R80" i="117"/>
  <c r="T80" i="117"/>
  <c r="Z80" i="117"/>
  <c r="V80" i="117"/>
  <c r="X80" i="117"/>
  <c r="V68" i="117"/>
  <c r="R68" i="117"/>
  <c r="X68" i="117"/>
  <c r="Z68" i="117"/>
  <c r="T68" i="117"/>
  <c r="P68" i="117"/>
  <c r="L68" i="117"/>
  <c r="N68" i="117"/>
  <c r="T70" i="117"/>
  <c r="Z70" i="117"/>
  <c r="L70" i="117"/>
  <c r="N70" i="117"/>
  <c r="P70" i="117"/>
  <c r="R70" i="117"/>
  <c r="V70" i="117"/>
  <c r="X70" i="117"/>
  <c r="V45" i="117"/>
  <c r="L45" i="117"/>
  <c r="N45" i="117"/>
  <c r="P45" i="117"/>
  <c r="R45" i="117"/>
  <c r="T45" i="117"/>
  <c r="X45" i="117"/>
  <c r="Z45" i="117"/>
  <c r="V50" i="117"/>
  <c r="L50" i="117"/>
  <c r="R50" i="117"/>
  <c r="N50" i="117"/>
  <c r="X50" i="117"/>
  <c r="P50" i="117"/>
  <c r="T50" i="117"/>
  <c r="Z50" i="117"/>
  <c r="V65" i="117"/>
  <c r="L65" i="117"/>
  <c r="P65" i="117"/>
  <c r="N65" i="117"/>
  <c r="R65" i="117"/>
  <c r="T65" i="117"/>
  <c r="X65" i="117"/>
  <c r="Z65" i="117"/>
  <c r="V52" i="117"/>
  <c r="L52" i="117"/>
  <c r="N52" i="117"/>
  <c r="P52" i="117"/>
  <c r="R52" i="117"/>
  <c r="T52" i="117"/>
  <c r="X52" i="117"/>
  <c r="Z52" i="117"/>
  <c r="L29" i="117"/>
  <c r="V29" i="117"/>
  <c r="Z29" i="117"/>
  <c r="P29" i="117"/>
  <c r="R29" i="117"/>
  <c r="T29" i="117"/>
  <c r="X29" i="117"/>
  <c r="N29" i="117"/>
  <c r="V62" i="117"/>
  <c r="X62" i="117"/>
  <c r="Z62" i="117"/>
  <c r="N62" i="117"/>
  <c r="L62" i="117"/>
  <c r="P62" i="117"/>
  <c r="T62" i="117"/>
  <c r="R62" i="117"/>
  <c r="V53" i="117"/>
  <c r="P53" i="117"/>
  <c r="L53" i="117"/>
  <c r="N53" i="117"/>
  <c r="R53" i="117"/>
  <c r="T53" i="117"/>
  <c r="X53" i="117"/>
  <c r="Z53" i="117"/>
  <c r="V66" i="117"/>
  <c r="N66" i="117"/>
  <c r="L66" i="117"/>
  <c r="P66" i="117"/>
  <c r="R66" i="117"/>
  <c r="T66" i="117"/>
  <c r="X66" i="117"/>
  <c r="Z66" i="117"/>
  <c r="V46" i="117"/>
  <c r="L46" i="117"/>
  <c r="N46" i="117"/>
  <c r="P46" i="117"/>
  <c r="R46" i="117"/>
  <c r="X46" i="117"/>
  <c r="T46" i="117"/>
  <c r="Z46" i="117"/>
  <c r="V42" i="117"/>
  <c r="X42" i="117"/>
  <c r="Z42" i="117"/>
  <c r="L42" i="117"/>
  <c r="N42" i="117"/>
  <c r="P42" i="117"/>
  <c r="R42" i="117"/>
  <c r="T42" i="117"/>
  <c r="T78" i="117"/>
  <c r="V78" i="117"/>
  <c r="X78" i="117"/>
  <c r="Z78" i="117"/>
  <c r="R78" i="117"/>
  <c r="L78" i="117"/>
  <c r="N78" i="117"/>
  <c r="P78" i="117"/>
  <c r="V48" i="117"/>
  <c r="R48" i="117"/>
  <c r="T48" i="117"/>
  <c r="X48" i="117"/>
  <c r="Z48" i="117"/>
  <c r="L48" i="117"/>
  <c r="P48" i="117"/>
  <c r="N48" i="117"/>
  <c r="V49" i="117"/>
  <c r="Z49" i="117"/>
  <c r="L49" i="117"/>
  <c r="N49" i="117"/>
  <c r="P49" i="117"/>
  <c r="R49" i="117"/>
  <c r="T49" i="117"/>
  <c r="X49" i="117"/>
  <c r="V63" i="117"/>
  <c r="L63" i="117"/>
  <c r="N63" i="117"/>
  <c r="P63" i="117"/>
  <c r="R63" i="117"/>
  <c r="T63" i="117"/>
  <c r="X63" i="117"/>
  <c r="Z63" i="117"/>
  <c r="X79" i="117"/>
  <c r="Z79" i="117"/>
  <c r="P79" i="117"/>
  <c r="V79" i="117"/>
  <c r="L79" i="117"/>
  <c r="N79" i="117"/>
  <c r="R79" i="117"/>
  <c r="T79" i="117"/>
  <c r="L28" i="117"/>
  <c r="V28" i="117"/>
  <c r="Z28" i="117"/>
  <c r="N28" i="117"/>
  <c r="T28" i="117"/>
  <c r="P28" i="117"/>
  <c r="R28" i="117"/>
  <c r="X28" i="117"/>
  <c r="V43" i="117"/>
  <c r="P43" i="117"/>
  <c r="L43" i="117"/>
  <c r="N43" i="117"/>
  <c r="R43" i="117"/>
  <c r="T43" i="117"/>
  <c r="X43" i="117"/>
  <c r="Z43" i="117"/>
  <c r="J3" i="117" l="1"/>
  <c r="L3" i="117" l="1"/>
  <c r="L1" i="117" s="1"/>
  <c r="P3" i="117"/>
  <c r="P1" i="117" s="1"/>
  <c r="R3" i="117"/>
  <c r="R1" i="117" s="1"/>
  <c r="T3" i="117"/>
  <c r="T1" i="117" s="1"/>
  <c r="V3" i="117"/>
  <c r="V1" i="117" s="1"/>
  <c r="Z3" i="117"/>
  <c r="Z1" i="117" s="1"/>
  <c r="N3" i="117"/>
  <c r="N1" i="117" s="1"/>
  <c r="X3" i="117"/>
  <c r="X1" i="117" s="1"/>
  <c r="J1" i="117"/>
  <c r="R1" i="115" l="1"/>
  <c r="S1" i="115"/>
  <c r="T1" i="115"/>
  <c r="U1" i="115"/>
  <c r="V1" i="115"/>
  <c r="W4" i="115"/>
  <c r="W5" i="115"/>
  <c r="W6" i="115"/>
  <c r="W7" i="115"/>
  <c r="W8" i="115"/>
  <c r="W9" i="115"/>
  <c r="W10" i="115"/>
  <c r="W11" i="115"/>
  <c r="W12" i="115"/>
  <c r="W13" i="115"/>
  <c r="W14" i="115"/>
  <c r="W15" i="115"/>
  <c r="W16" i="115"/>
  <c r="W17" i="115"/>
  <c r="W18" i="115"/>
  <c r="W19" i="115"/>
  <c r="W20" i="115"/>
  <c r="W21" i="115"/>
  <c r="W22" i="115"/>
  <c r="W23" i="115"/>
  <c r="W24" i="115"/>
  <c r="W25" i="115"/>
  <c r="W26" i="115"/>
  <c r="W27" i="115"/>
  <c r="W28" i="115"/>
  <c r="W29" i="115"/>
  <c r="W30" i="115"/>
  <c r="W31" i="115"/>
  <c r="W32" i="115"/>
  <c r="W33" i="115"/>
  <c r="W34" i="115"/>
  <c r="W35" i="115"/>
  <c r="W36" i="115"/>
  <c r="W37" i="115"/>
  <c r="W38" i="115"/>
  <c r="W39" i="115"/>
  <c r="W40" i="115"/>
  <c r="W41" i="115"/>
  <c r="W42" i="115"/>
  <c r="W43" i="115"/>
  <c r="W44" i="115"/>
  <c r="W45" i="115"/>
  <c r="W46" i="115"/>
  <c r="W47" i="115"/>
  <c r="W48" i="115"/>
  <c r="W49" i="115"/>
  <c r="W50" i="115"/>
  <c r="W51" i="115"/>
  <c r="W52" i="115"/>
  <c r="W53" i="115"/>
  <c r="W54" i="115"/>
  <c r="W55" i="115"/>
  <c r="W56" i="115"/>
  <c r="W57" i="115"/>
  <c r="W58" i="115"/>
  <c r="W59" i="115"/>
  <c r="W60" i="115"/>
  <c r="W61" i="115"/>
  <c r="W62" i="115"/>
  <c r="W63" i="115"/>
  <c r="W64" i="115"/>
  <c r="W65" i="115"/>
  <c r="W66" i="115"/>
  <c r="W67" i="115"/>
  <c r="W68" i="115"/>
  <c r="W69" i="115"/>
  <c r="W70" i="115"/>
  <c r="W71" i="115"/>
  <c r="W72" i="115"/>
  <c r="W73" i="115"/>
  <c r="W74" i="115"/>
  <c r="W75" i="115"/>
  <c r="W76" i="115"/>
  <c r="W77" i="115"/>
  <c r="W78" i="115"/>
  <c r="W79" i="115"/>
  <c r="W80" i="115"/>
  <c r="W81" i="115"/>
  <c r="W82" i="115"/>
  <c r="W83" i="115"/>
  <c r="W84" i="115"/>
  <c r="W85" i="115"/>
  <c r="W86" i="115"/>
  <c r="W87" i="115"/>
  <c r="W88" i="115"/>
  <c r="W89" i="115"/>
  <c r="W90" i="115"/>
  <c r="W91" i="115"/>
  <c r="W92" i="115"/>
  <c r="W93" i="115"/>
  <c r="W94" i="115"/>
  <c r="W95" i="115"/>
  <c r="W96" i="115"/>
  <c r="W97" i="115"/>
  <c r="W98" i="115"/>
  <c r="W99" i="115"/>
  <c r="W100" i="115"/>
  <c r="W101" i="115"/>
  <c r="W102" i="115"/>
  <c r="W103" i="115"/>
  <c r="W104" i="115"/>
  <c r="W105" i="115"/>
  <c r="W106" i="115"/>
  <c r="W107" i="115"/>
  <c r="W108" i="115"/>
  <c r="W109" i="115"/>
  <c r="W110" i="115"/>
  <c r="W111" i="115"/>
  <c r="W112" i="115"/>
  <c r="W113" i="115"/>
  <c r="W114" i="115"/>
  <c r="W115" i="115"/>
  <c r="W116" i="115"/>
  <c r="W117" i="115"/>
  <c r="W118" i="115"/>
  <c r="W119" i="115"/>
  <c r="W120" i="115"/>
  <c r="W121" i="115"/>
  <c r="W122" i="115"/>
  <c r="W123" i="115"/>
  <c r="W124" i="115"/>
  <c r="W125" i="115"/>
  <c r="W126" i="115"/>
  <c r="W127" i="115"/>
  <c r="W128" i="115"/>
  <c r="W129" i="115"/>
  <c r="W130" i="115"/>
  <c r="W131" i="115"/>
  <c r="W132" i="115"/>
  <c r="W133" i="115"/>
  <c r="W134" i="115"/>
  <c r="W135" i="115"/>
  <c r="W136" i="115"/>
  <c r="W137" i="115"/>
  <c r="W138" i="115"/>
  <c r="W139" i="115"/>
  <c r="W140" i="115"/>
  <c r="W141" i="115"/>
  <c r="W142" i="115"/>
  <c r="W143" i="115"/>
  <c r="W144" i="115"/>
  <c r="W145" i="115"/>
  <c r="W146" i="115"/>
  <c r="W147" i="115"/>
  <c r="W148" i="115"/>
  <c r="W149" i="115"/>
  <c r="W150" i="115"/>
  <c r="W151" i="115"/>
  <c r="W152" i="115"/>
  <c r="W153" i="115"/>
  <c r="W154" i="115"/>
  <c r="W155" i="115"/>
  <c r="W156" i="115"/>
  <c r="W157" i="115"/>
  <c r="W158" i="115"/>
  <c r="W159" i="115"/>
  <c r="W160" i="115"/>
  <c r="W161" i="115"/>
  <c r="W162" i="115"/>
  <c r="W163" i="115"/>
  <c r="W164" i="115"/>
  <c r="W165" i="115"/>
  <c r="W166" i="115"/>
  <c r="W167" i="115"/>
  <c r="W168" i="115"/>
  <c r="W169" i="115"/>
  <c r="W170" i="115"/>
  <c r="W171" i="115"/>
  <c r="W172" i="115"/>
  <c r="W173" i="115"/>
  <c r="W174" i="115"/>
  <c r="W175" i="115"/>
  <c r="W176" i="115"/>
  <c r="W177" i="115"/>
  <c r="W178" i="115"/>
  <c r="W179" i="115"/>
  <c r="W180" i="115"/>
  <c r="W181" i="115"/>
  <c r="W182" i="115"/>
  <c r="W183" i="115"/>
  <c r="W184" i="115"/>
  <c r="W185" i="115"/>
  <c r="W186" i="115"/>
  <c r="W187" i="115"/>
  <c r="W188" i="115"/>
  <c r="W189" i="115"/>
  <c r="W190" i="115"/>
  <c r="W191" i="115"/>
  <c r="W192" i="115"/>
  <c r="W193" i="115"/>
  <c r="W194" i="115"/>
  <c r="W195" i="115"/>
  <c r="W196" i="115"/>
  <c r="W197" i="115"/>
  <c r="W198" i="115"/>
  <c r="W199" i="115"/>
  <c r="W200" i="115"/>
  <c r="W201" i="115"/>
  <c r="W202" i="115"/>
  <c r="W203" i="115"/>
  <c r="W204" i="115"/>
  <c r="W205" i="115"/>
  <c r="W206" i="115"/>
  <c r="W207" i="115"/>
  <c r="W208" i="115"/>
  <c r="W209" i="115"/>
  <c r="W210" i="115"/>
  <c r="W211" i="115"/>
  <c r="W212" i="115"/>
  <c r="W213" i="115"/>
  <c r="W214" i="115"/>
  <c r="W215" i="115"/>
  <c r="W216" i="115"/>
  <c r="W217" i="115"/>
  <c r="W218" i="115"/>
  <c r="W219" i="115"/>
  <c r="W220" i="115"/>
  <c r="W221" i="115"/>
  <c r="W222" i="115"/>
  <c r="W223" i="115"/>
  <c r="W224" i="115"/>
  <c r="W225" i="115"/>
  <c r="W226" i="115"/>
  <c r="W227" i="115"/>
  <c r="W228" i="115"/>
  <c r="W229" i="115"/>
  <c r="W230" i="115"/>
  <c r="W231" i="115"/>
  <c r="W232" i="115"/>
  <c r="W233" i="115"/>
  <c r="W234" i="115"/>
  <c r="W235" i="115"/>
  <c r="W236" i="115"/>
  <c r="W237" i="115"/>
  <c r="W238" i="115"/>
  <c r="W239" i="115"/>
  <c r="W240" i="115"/>
  <c r="W1" i="115" l="1"/>
  <c r="A5" i="92"/>
  <c r="A6" i="92"/>
  <c r="A7" i="92"/>
  <c r="A8" i="92"/>
  <c r="A9" i="92"/>
  <c r="A10" i="92"/>
  <c r="A11" i="92"/>
  <c r="A12" i="92"/>
  <c r="A13" i="92"/>
  <c r="A14" i="92"/>
  <c r="A15" i="92"/>
  <c r="A16" i="92"/>
  <c r="A17" i="92"/>
  <c r="A18" i="92"/>
  <c r="A19" i="92"/>
  <c r="A20" i="92"/>
  <c r="A21" i="92"/>
  <c r="A22" i="92"/>
  <c r="A23" i="92"/>
  <c r="A24" i="92"/>
  <c r="A25" i="92"/>
  <c r="A26" i="92"/>
  <c r="A27" i="92"/>
  <c r="A28" i="92"/>
  <c r="A29" i="92"/>
  <c r="A30" i="92"/>
  <c r="A31" i="92"/>
  <c r="A32" i="92"/>
  <c r="A33" i="92"/>
  <c r="A34" i="92"/>
  <c r="A35" i="92"/>
  <c r="A36" i="92"/>
  <c r="A37" i="92"/>
  <c r="A38" i="92"/>
  <c r="A39" i="92"/>
  <c r="A40" i="92"/>
  <c r="A41" i="92"/>
  <c r="A42" i="92"/>
  <c r="A43" i="92"/>
  <c r="A44" i="92"/>
  <c r="A45" i="92"/>
  <c r="A46" i="92"/>
  <c r="A47" i="92"/>
  <c r="A48" i="92"/>
  <c r="A49" i="92"/>
  <c r="A50" i="92"/>
  <c r="A51" i="92"/>
  <c r="A52" i="92"/>
  <c r="A53" i="92"/>
  <c r="A54" i="92"/>
  <c r="A55" i="92"/>
  <c r="A56" i="92"/>
  <c r="A57" i="92"/>
  <c r="A58" i="92"/>
  <c r="A59" i="92"/>
  <c r="A60" i="92"/>
  <c r="A61" i="92"/>
  <c r="A62" i="92"/>
  <c r="A63" i="92"/>
  <c r="A64" i="92"/>
  <c r="A65" i="92"/>
  <c r="A66" i="92"/>
  <c r="A67" i="92"/>
  <c r="A68" i="92"/>
  <c r="A69" i="92"/>
  <c r="A70" i="92"/>
  <c r="A71" i="92"/>
  <c r="A72" i="92"/>
  <c r="A73" i="92"/>
  <c r="A74" i="92"/>
  <c r="A75" i="92"/>
  <c r="A76" i="92"/>
  <c r="A77" i="92"/>
  <c r="A78" i="92"/>
  <c r="A79" i="92"/>
  <c r="A80" i="92"/>
  <c r="A81" i="92"/>
  <c r="A82" i="92"/>
  <c r="A83" i="92"/>
  <c r="A84" i="92"/>
  <c r="A85" i="92"/>
  <c r="A86" i="92"/>
  <c r="A87" i="92"/>
  <c r="A88" i="92"/>
  <c r="A89" i="92"/>
  <c r="A90" i="92"/>
  <c r="A91" i="92"/>
  <c r="A92" i="92"/>
  <c r="A93" i="92"/>
  <c r="A94" i="92"/>
  <c r="A95" i="92"/>
  <c r="A96" i="92"/>
  <c r="A97" i="92"/>
  <c r="A98" i="92"/>
  <c r="A99" i="92"/>
  <c r="A100" i="92"/>
  <c r="A101" i="92"/>
  <c r="A102" i="92"/>
  <c r="A103" i="92"/>
  <c r="A104" i="92"/>
  <c r="A105" i="92"/>
  <c r="A106" i="92"/>
  <c r="A107" i="92"/>
  <c r="A108" i="92"/>
  <c r="A109" i="92"/>
  <c r="A110" i="92"/>
  <c r="A111" i="92"/>
  <c r="A112" i="92"/>
  <c r="A113" i="92"/>
  <c r="A114" i="92"/>
  <c r="A115" i="92"/>
  <c r="A116" i="92"/>
  <c r="A117" i="92"/>
  <c r="A118" i="92"/>
  <c r="A119" i="92"/>
  <c r="A120" i="92"/>
  <c r="A121" i="92"/>
  <c r="A122" i="92"/>
  <c r="A123" i="92"/>
  <c r="A124" i="92"/>
  <c r="A125" i="92"/>
  <c r="A126" i="92"/>
  <c r="A127" i="92"/>
  <c r="A128" i="92"/>
  <c r="A129" i="92"/>
  <c r="A130" i="92"/>
  <c r="A131" i="92"/>
  <c r="A132" i="92"/>
  <c r="A133" i="92"/>
  <c r="A134" i="92"/>
  <c r="A135" i="92"/>
  <c r="A136" i="92"/>
  <c r="A137" i="92"/>
  <c r="A138" i="92"/>
  <c r="A139" i="92"/>
  <c r="A140" i="92"/>
  <c r="A141" i="92"/>
  <c r="A142" i="92"/>
  <c r="A143" i="92"/>
  <c r="A144" i="92"/>
  <c r="A145" i="92"/>
  <c r="A146" i="92"/>
  <c r="A147" i="92"/>
  <c r="A148" i="92"/>
  <c r="A149" i="92"/>
  <c r="A150" i="92"/>
  <c r="A151" i="92"/>
  <c r="A152" i="92"/>
  <c r="A153" i="92"/>
  <c r="A154" i="92"/>
  <c r="A155" i="92"/>
  <c r="A156" i="92"/>
  <c r="A157" i="92"/>
  <c r="A158" i="92"/>
  <c r="A159" i="92"/>
  <c r="A160" i="92"/>
  <c r="A161" i="92"/>
  <c r="A162" i="92"/>
  <c r="A163" i="92"/>
  <c r="A164" i="92"/>
  <c r="A165" i="92"/>
  <c r="A166" i="92"/>
  <c r="A167" i="92"/>
  <c r="A168" i="92"/>
  <c r="A169" i="92"/>
  <c r="A170" i="92"/>
  <c r="A171" i="92"/>
  <c r="A172" i="92"/>
  <c r="A173" i="92"/>
  <c r="A174" i="92"/>
  <c r="A175" i="92"/>
  <c r="A176" i="92"/>
  <c r="A177" i="92"/>
  <c r="A178" i="92"/>
  <c r="A179" i="92"/>
  <c r="A180" i="92"/>
  <c r="A181" i="92"/>
  <c r="A182" i="92"/>
  <c r="A183" i="92"/>
  <c r="A184" i="92"/>
  <c r="A185" i="92"/>
  <c r="A186" i="92"/>
  <c r="A187" i="92"/>
  <c r="A188" i="92"/>
  <c r="A189" i="92"/>
  <c r="A190" i="92"/>
  <c r="A191" i="92"/>
  <c r="A192" i="92"/>
  <c r="A193" i="92"/>
  <c r="A194" i="92"/>
  <c r="A195" i="92"/>
  <c r="A196" i="92"/>
  <c r="A197" i="92"/>
  <c r="A198" i="92"/>
  <c r="A199" i="92"/>
  <c r="A200" i="92"/>
  <c r="A201" i="92"/>
  <c r="A202" i="92"/>
  <c r="A203" i="92"/>
  <c r="A204" i="92"/>
  <c r="A205" i="92"/>
  <c r="A206" i="92"/>
  <c r="A207" i="92"/>
  <c r="A208" i="92"/>
  <c r="A209" i="92"/>
  <c r="A210" i="92"/>
  <c r="A211" i="92"/>
  <c r="A212" i="92"/>
  <c r="A213" i="92"/>
  <c r="A214" i="92"/>
  <c r="A215" i="92"/>
  <c r="A216" i="92"/>
  <c r="A217" i="92"/>
  <c r="A218" i="92"/>
  <c r="A219" i="92"/>
  <c r="A220" i="92"/>
  <c r="A221" i="92"/>
  <c r="A222" i="92"/>
  <c r="A223" i="92"/>
  <c r="A224" i="92"/>
  <c r="A225" i="92"/>
  <c r="A226" i="92"/>
  <c r="A227" i="92"/>
  <c r="A228" i="92"/>
  <c r="A229" i="92"/>
  <c r="A230" i="92"/>
  <c r="A231" i="92"/>
  <c r="A232" i="92"/>
  <c r="A233" i="92"/>
  <c r="A234" i="92"/>
  <c r="A235" i="92"/>
  <c r="A236" i="92"/>
  <c r="A237" i="92"/>
  <c r="A238" i="92"/>
  <c r="A239" i="92"/>
  <c r="A240" i="92"/>
  <c r="A4" i="92"/>
  <c r="BD72" i="124" l="1" a="1"/>
  <c r="BD72" i="124" s="1"/>
  <c r="BD218" i="124" a="1"/>
  <c r="BD218" i="124" s="1"/>
  <c r="BD60" i="124" a="1"/>
  <c r="BD60" i="124" s="1"/>
  <c r="A5" i="113"/>
  <c r="A6" i="113"/>
  <c r="A7" i="113"/>
  <c r="A8" i="113"/>
  <c r="A9" i="113"/>
  <c r="A10" i="113"/>
  <c r="A11" i="113"/>
  <c r="A12" i="113"/>
  <c r="A13" i="113"/>
  <c r="A14" i="113"/>
  <c r="A15" i="113"/>
  <c r="A16" i="113"/>
  <c r="A17" i="113"/>
  <c r="A18" i="113"/>
  <c r="A19" i="113"/>
  <c r="A20" i="113"/>
  <c r="A21" i="113"/>
  <c r="A22" i="113"/>
  <c r="A23" i="113"/>
  <c r="A24" i="113"/>
  <c r="A25" i="113"/>
  <c r="A26" i="113"/>
  <c r="A27" i="113"/>
  <c r="A28" i="113"/>
  <c r="A29" i="113"/>
  <c r="A30" i="113"/>
  <c r="A31" i="113"/>
  <c r="A32" i="113"/>
  <c r="A33" i="113"/>
  <c r="A34" i="113"/>
  <c r="A35" i="113"/>
  <c r="A36" i="113"/>
  <c r="A37" i="113"/>
  <c r="A38" i="113"/>
  <c r="A39" i="113"/>
  <c r="A40" i="113"/>
  <c r="A41" i="113"/>
  <c r="A42" i="113"/>
  <c r="A43" i="113"/>
  <c r="A44" i="113"/>
  <c r="A45" i="113"/>
  <c r="A46" i="113"/>
  <c r="A47" i="113"/>
  <c r="A48" i="113"/>
  <c r="A49" i="113"/>
  <c r="A50" i="113"/>
  <c r="A51" i="113"/>
  <c r="A52" i="113"/>
  <c r="A53" i="113"/>
  <c r="A54" i="113"/>
  <c r="A55" i="113"/>
  <c r="A56" i="113"/>
  <c r="A57" i="113"/>
  <c r="A58" i="113"/>
  <c r="A59" i="113"/>
  <c r="A60" i="113"/>
  <c r="A61" i="113"/>
  <c r="A62" i="113"/>
  <c r="A63" i="113"/>
  <c r="A64" i="113"/>
  <c r="A65" i="113"/>
  <c r="A66" i="113"/>
  <c r="A67" i="113"/>
  <c r="A68" i="113"/>
  <c r="A69" i="113"/>
  <c r="A70" i="113"/>
  <c r="A71" i="113"/>
  <c r="A72" i="113"/>
  <c r="A73" i="113"/>
  <c r="A74" i="113"/>
  <c r="A75" i="113"/>
  <c r="A76" i="113"/>
  <c r="A77" i="113"/>
  <c r="A78" i="113"/>
  <c r="A79" i="113"/>
  <c r="A80" i="113"/>
  <c r="A81" i="113"/>
  <c r="A82" i="113"/>
  <c r="A83" i="113"/>
  <c r="A84" i="113"/>
  <c r="A85" i="113"/>
  <c r="A86" i="113"/>
  <c r="A87" i="113"/>
  <c r="A88" i="113"/>
  <c r="A89" i="113"/>
  <c r="A90" i="113"/>
  <c r="A91" i="113"/>
  <c r="A92" i="113"/>
  <c r="A93" i="113"/>
  <c r="A94" i="113"/>
  <c r="A95" i="113"/>
  <c r="A96" i="113"/>
  <c r="A97" i="113"/>
  <c r="A98" i="113"/>
  <c r="A99" i="113"/>
  <c r="A100" i="113"/>
  <c r="A101" i="113"/>
  <c r="A102" i="113"/>
  <c r="A103" i="113"/>
  <c r="A104" i="113"/>
  <c r="A105" i="113"/>
  <c r="A106" i="113"/>
  <c r="A107" i="113"/>
  <c r="A108" i="113"/>
  <c r="A109" i="113"/>
  <c r="A110" i="113"/>
  <c r="A111" i="113"/>
  <c r="A112" i="113"/>
  <c r="A113" i="113"/>
  <c r="A114" i="113"/>
  <c r="A115" i="113"/>
  <c r="A116" i="113"/>
  <c r="A117" i="113"/>
  <c r="A118" i="113"/>
  <c r="A119" i="113"/>
  <c r="A120" i="113"/>
  <c r="A121" i="113"/>
  <c r="A122" i="113"/>
  <c r="A123" i="113"/>
  <c r="A124" i="113"/>
  <c r="A125" i="113"/>
  <c r="A126" i="113"/>
  <c r="A127" i="113"/>
  <c r="A128" i="113"/>
  <c r="A129" i="113"/>
  <c r="A130" i="113"/>
  <c r="A131" i="113"/>
  <c r="A132" i="113"/>
  <c r="A133" i="113"/>
  <c r="A134" i="113"/>
  <c r="A135" i="113"/>
  <c r="A136" i="113"/>
  <c r="A137" i="113"/>
  <c r="A138" i="113"/>
  <c r="A139" i="113"/>
  <c r="A140" i="113"/>
  <c r="A141" i="113"/>
  <c r="A142" i="113"/>
  <c r="A143" i="113"/>
  <c r="A144" i="113"/>
  <c r="A145" i="113"/>
  <c r="A146" i="113"/>
  <c r="A147" i="113"/>
  <c r="A148" i="113"/>
  <c r="A149" i="113"/>
  <c r="A150" i="113"/>
  <c r="A151" i="113"/>
  <c r="A152" i="113"/>
  <c r="A153" i="113"/>
  <c r="A154" i="113"/>
  <c r="A155" i="113"/>
  <c r="A156" i="113"/>
  <c r="A157" i="113"/>
  <c r="A158" i="113"/>
  <c r="A159" i="113"/>
  <c r="A160" i="113"/>
  <c r="A161" i="113"/>
  <c r="A162" i="113"/>
  <c r="A163" i="113"/>
  <c r="A164" i="113"/>
  <c r="A165" i="113"/>
  <c r="A166" i="113"/>
  <c r="A167" i="113"/>
  <c r="A168" i="113"/>
  <c r="A169" i="113"/>
  <c r="A170" i="113"/>
  <c r="A171" i="113"/>
  <c r="A172" i="113"/>
  <c r="A173" i="113"/>
  <c r="A174" i="113"/>
  <c r="A175" i="113"/>
  <c r="A176" i="113"/>
  <c r="A177" i="113"/>
  <c r="A178" i="113"/>
  <c r="A179" i="113"/>
  <c r="A180" i="113"/>
  <c r="A181" i="113"/>
  <c r="A182" i="113"/>
  <c r="A183" i="113"/>
  <c r="A184" i="113"/>
  <c r="A185" i="113"/>
  <c r="A186" i="113"/>
  <c r="A187" i="113"/>
  <c r="A188" i="113"/>
  <c r="A189" i="113"/>
  <c r="A190" i="113"/>
  <c r="A191" i="113"/>
  <c r="A192" i="113"/>
  <c r="A193" i="113"/>
  <c r="A194" i="113"/>
  <c r="A195" i="113"/>
  <c r="A196" i="113"/>
  <c r="A197" i="113"/>
  <c r="A198" i="113"/>
  <c r="A199" i="113"/>
  <c r="A200" i="113"/>
  <c r="A201" i="113"/>
  <c r="A202" i="113"/>
  <c r="A203" i="113"/>
  <c r="A204" i="113"/>
  <c r="A205" i="113"/>
  <c r="A206" i="113"/>
  <c r="A207" i="113"/>
  <c r="A208" i="113"/>
  <c r="A209" i="113"/>
  <c r="A210" i="113"/>
  <c r="A211" i="113"/>
  <c r="A212" i="113"/>
  <c r="A213" i="113"/>
  <c r="A214" i="113"/>
  <c r="A215" i="113"/>
  <c r="A216" i="113"/>
  <c r="A217" i="113"/>
  <c r="A218" i="113"/>
  <c r="A219" i="113"/>
  <c r="A220" i="113"/>
  <c r="A221" i="113"/>
  <c r="A222" i="113"/>
  <c r="A223" i="113"/>
  <c r="A224" i="113"/>
  <c r="A225" i="113"/>
  <c r="A226" i="113"/>
  <c r="A227" i="113"/>
  <c r="A228" i="113"/>
  <c r="A229" i="113"/>
  <c r="A230" i="113"/>
  <c r="A231" i="113"/>
  <c r="A232" i="113"/>
  <c r="A233" i="113"/>
  <c r="A234" i="113"/>
  <c r="A235" i="113"/>
  <c r="A236" i="113"/>
  <c r="A237" i="113"/>
  <c r="A238" i="113"/>
  <c r="A239" i="113"/>
  <c r="A240" i="113"/>
  <c r="A4" i="113"/>
  <c r="A5" i="115"/>
  <c r="A6" i="115"/>
  <c r="A7" i="115"/>
  <c r="A8" i="115"/>
  <c r="A9" i="115"/>
  <c r="A10" i="115"/>
  <c r="A11" i="115"/>
  <c r="A12" i="115"/>
  <c r="A13" i="115"/>
  <c r="A14" i="115"/>
  <c r="A15" i="115"/>
  <c r="A16" i="115"/>
  <c r="A17" i="115"/>
  <c r="A18" i="115"/>
  <c r="A19" i="115"/>
  <c r="A20" i="115"/>
  <c r="A21" i="115"/>
  <c r="A22" i="115"/>
  <c r="A23" i="115"/>
  <c r="A24" i="115"/>
  <c r="A25" i="115"/>
  <c r="A26" i="115"/>
  <c r="A27" i="115"/>
  <c r="A28" i="115"/>
  <c r="A29" i="115"/>
  <c r="A30" i="115"/>
  <c r="A31" i="115"/>
  <c r="A32" i="115"/>
  <c r="A33" i="115"/>
  <c r="A34" i="115"/>
  <c r="A35" i="115"/>
  <c r="A36" i="115"/>
  <c r="A37" i="115"/>
  <c r="A38" i="115"/>
  <c r="A39" i="115"/>
  <c r="A40" i="115"/>
  <c r="A41" i="115"/>
  <c r="A42" i="115"/>
  <c r="A43" i="115"/>
  <c r="A44" i="115"/>
  <c r="A45" i="115"/>
  <c r="A46" i="115"/>
  <c r="A47" i="115"/>
  <c r="A48" i="115"/>
  <c r="A49" i="115"/>
  <c r="A50" i="115"/>
  <c r="A51" i="115"/>
  <c r="A52" i="115"/>
  <c r="A53" i="115"/>
  <c r="A54" i="115"/>
  <c r="A55" i="115"/>
  <c r="A56" i="115"/>
  <c r="A57" i="115"/>
  <c r="A58" i="115"/>
  <c r="A59" i="115"/>
  <c r="A60" i="115"/>
  <c r="A61" i="115"/>
  <c r="A62" i="115"/>
  <c r="A63" i="115"/>
  <c r="A64" i="115"/>
  <c r="A65" i="115"/>
  <c r="A66" i="115"/>
  <c r="A67" i="115"/>
  <c r="A68" i="115"/>
  <c r="A69" i="115"/>
  <c r="A70" i="115"/>
  <c r="A71" i="115"/>
  <c r="A72" i="115"/>
  <c r="A73" i="115"/>
  <c r="A74" i="115"/>
  <c r="A75" i="115"/>
  <c r="A76" i="115"/>
  <c r="A77" i="115"/>
  <c r="A78" i="115"/>
  <c r="A79" i="115"/>
  <c r="A80" i="115"/>
  <c r="A81" i="115"/>
  <c r="A82" i="115"/>
  <c r="A83" i="115"/>
  <c r="A84" i="115"/>
  <c r="A85" i="115"/>
  <c r="A86" i="115"/>
  <c r="A87" i="115"/>
  <c r="A88" i="115"/>
  <c r="A89" i="115"/>
  <c r="A90" i="115"/>
  <c r="A91" i="115"/>
  <c r="A92" i="115"/>
  <c r="A93" i="115"/>
  <c r="A94" i="115"/>
  <c r="A95" i="115"/>
  <c r="A96" i="115"/>
  <c r="A97" i="115"/>
  <c r="A98" i="115"/>
  <c r="A99" i="115"/>
  <c r="A100" i="115"/>
  <c r="A101" i="115"/>
  <c r="A102" i="115"/>
  <c r="A103" i="115"/>
  <c r="A104" i="115"/>
  <c r="A105" i="115"/>
  <c r="A106" i="115"/>
  <c r="A107" i="115"/>
  <c r="A108" i="115"/>
  <c r="A109" i="115"/>
  <c r="A110" i="115"/>
  <c r="A111" i="115"/>
  <c r="A112" i="115"/>
  <c r="A113" i="115"/>
  <c r="A114" i="115"/>
  <c r="A115" i="115"/>
  <c r="A116" i="115"/>
  <c r="A117" i="115"/>
  <c r="A118" i="115"/>
  <c r="A119" i="115"/>
  <c r="A120" i="115"/>
  <c r="A121" i="115"/>
  <c r="A122" i="115"/>
  <c r="A123" i="115"/>
  <c r="A124" i="115"/>
  <c r="A125" i="115"/>
  <c r="A126" i="115"/>
  <c r="A127" i="115"/>
  <c r="A128" i="115"/>
  <c r="A129" i="115"/>
  <c r="A130" i="115"/>
  <c r="A131" i="115"/>
  <c r="A132" i="115"/>
  <c r="A133" i="115"/>
  <c r="A134" i="115"/>
  <c r="A135" i="115"/>
  <c r="A136" i="115"/>
  <c r="A137" i="115"/>
  <c r="A138" i="115"/>
  <c r="A139" i="115"/>
  <c r="A140" i="115"/>
  <c r="A141" i="115"/>
  <c r="A142" i="115"/>
  <c r="A143" i="115"/>
  <c r="A144" i="115"/>
  <c r="A145" i="115"/>
  <c r="A146" i="115"/>
  <c r="A147" i="115"/>
  <c r="A148" i="115"/>
  <c r="A149" i="115"/>
  <c r="A150" i="115"/>
  <c r="A151" i="115"/>
  <c r="A152" i="115"/>
  <c r="A153" i="115"/>
  <c r="A154" i="115"/>
  <c r="A155" i="115"/>
  <c r="A156" i="115"/>
  <c r="A157" i="115"/>
  <c r="A158" i="115"/>
  <c r="A159" i="115"/>
  <c r="A160" i="115"/>
  <c r="A161" i="115"/>
  <c r="A162" i="115"/>
  <c r="A163" i="115"/>
  <c r="A164" i="115"/>
  <c r="A165" i="115"/>
  <c r="A166" i="115"/>
  <c r="A167" i="115"/>
  <c r="A168" i="115"/>
  <c r="A169" i="115"/>
  <c r="A170" i="115"/>
  <c r="A171" i="115"/>
  <c r="A172" i="115"/>
  <c r="A173" i="115"/>
  <c r="A174" i="115"/>
  <c r="A175" i="115"/>
  <c r="A176" i="115"/>
  <c r="A177" i="115"/>
  <c r="A178" i="115"/>
  <c r="A179" i="115"/>
  <c r="A180" i="115"/>
  <c r="A181" i="115"/>
  <c r="A182" i="115"/>
  <c r="A183" i="115"/>
  <c r="A184" i="115"/>
  <c r="A185" i="115"/>
  <c r="A186" i="115"/>
  <c r="A187" i="115"/>
  <c r="A188" i="115"/>
  <c r="A189" i="115"/>
  <c r="A190" i="115"/>
  <c r="A191" i="115"/>
  <c r="A192" i="115"/>
  <c r="A193" i="115"/>
  <c r="A194" i="115"/>
  <c r="A195" i="115"/>
  <c r="A196" i="115"/>
  <c r="A197" i="115"/>
  <c r="A198" i="115"/>
  <c r="A199" i="115"/>
  <c r="A200" i="115"/>
  <c r="A201" i="115"/>
  <c r="A202" i="115"/>
  <c r="A203" i="115"/>
  <c r="A204" i="115"/>
  <c r="A205" i="115"/>
  <c r="A206" i="115"/>
  <c r="A207" i="115"/>
  <c r="A208" i="115"/>
  <c r="A209" i="115"/>
  <c r="A210" i="115"/>
  <c r="A211" i="115"/>
  <c r="A212" i="115"/>
  <c r="A213" i="115"/>
  <c r="A214" i="115"/>
  <c r="A215" i="115"/>
  <c r="A216" i="115"/>
  <c r="A217" i="115"/>
  <c r="A218" i="115"/>
  <c r="A219" i="115"/>
  <c r="A220" i="115"/>
  <c r="A221" i="115"/>
  <c r="A222" i="115"/>
  <c r="A223" i="115"/>
  <c r="A224" i="115"/>
  <c r="A225" i="115"/>
  <c r="A226" i="115"/>
  <c r="A227" i="115"/>
  <c r="A228" i="115"/>
  <c r="A229" i="115"/>
  <c r="A230" i="115"/>
  <c r="A231" i="115"/>
  <c r="A232" i="115"/>
  <c r="A233" i="115"/>
  <c r="A234" i="115"/>
  <c r="A235" i="115"/>
  <c r="A236" i="115"/>
  <c r="A237" i="115"/>
  <c r="A238" i="115"/>
  <c r="A239" i="115"/>
  <c r="A240" i="115"/>
  <c r="A4" i="115"/>
  <c r="M241" i="113" l="1"/>
  <c r="N241" i="113"/>
  <c r="O241" i="113"/>
  <c r="P241" i="113"/>
  <c r="Q241" i="113"/>
  <c r="R241" i="113"/>
  <c r="S241" i="113"/>
  <c r="T241" i="113"/>
  <c r="U241" i="113"/>
  <c r="V241" i="113"/>
  <c r="K241" i="113"/>
  <c r="L1" i="115"/>
  <c r="M1" i="115"/>
  <c r="N1" i="115"/>
  <c r="O1" i="115"/>
  <c r="P1" i="115"/>
  <c r="K241" i="27" l="1"/>
  <c r="L241" i="27"/>
  <c r="M241" i="27"/>
  <c r="N241" i="27"/>
  <c r="O241" i="27"/>
  <c r="Q241" i="27" l="1"/>
  <c r="R241" i="27"/>
  <c r="S241" i="27"/>
  <c r="T241" i="27"/>
  <c r="U241" i="27"/>
  <c r="V241" i="27"/>
  <c r="P241" i="27"/>
  <c r="A7" i="94"/>
  <c r="A8" i="94"/>
  <c r="A9" i="94"/>
  <c r="A10" i="94"/>
  <c r="A11" i="94"/>
  <c r="A12" i="94"/>
  <c r="A13" i="94"/>
  <c r="A14" i="94"/>
  <c r="A15" i="94"/>
  <c r="A16" i="94"/>
  <c r="A17" i="94"/>
  <c r="A18" i="94"/>
  <c r="A19" i="94"/>
  <c r="A20" i="94"/>
  <c r="A21" i="94"/>
  <c r="A22" i="94"/>
  <c r="A23" i="94"/>
  <c r="A24" i="94"/>
  <c r="A25" i="94"/>
  <c r="A26" i="94"/>
  <c r="A27" i="94"/>
  <c r="A28" i="94"/>
  <c r="A29" i="94"/>
  <c r="A30" i="94"/>
  <c r="A31" i="94"/>
  <c r="A32" i="94"/>
  <c r="A33" i="94"/>
  <c r="A34" i="94"/>
  <c r="A35" i="94"/>
  <c r="A36" i="94"/>
  <c r="A37" i="94"/>
  <c r="A38" i="94"/>
  <c r="A39" i="94"/>
  <c r="A40" i="94"/>
  <c r="A41" i="94"/>
  <c r="A42" i="94"/>
  <c r="A43" i="94"/>
  <c r="A44" i="94"/>
  <c r="A45" i="94"/>
  <c r="A46" i="94"/>
  <c r="A47" i="94"/>
  <c r="A48" i="94"/>
  <c r="A49" i="94"/>
  <c r="A50" i="94"/>
  <c r="A51" i="94"/>
  <c r="A52" i="94"/>
  <c r="A53" i="94"/>
  <c r="A54" i="94"/>
  <c r="A55" i="94"/>
  <c r="A56" i="94"/>
  <c r="A57" i="94"/>
  <c r="A58" i="94"/>
  <c r="A59" i="94"/>
  <c r="A60" i="94"/>
  <c r="A61" i="94"/>
  <c r="A62" i="94"/>
  <c r="A63" i="94"/>
  <c r="A64" i="94"/>
  <c r="A65" i="94"/>
  <c r="A66" i="94"/>
  <c r="A67" i="94"/>
  <c r="A68" i="94"/>
  <c r="A69" i="94"/>
  <c r="A70" i="94"/>
  <c r="A71" i="94"/>
  <c r="A72" i="94"/>
  <c r="A73" i="94"/>
  <c r="A74" i="94"/>
  <c r="A75" i="94"/>
  <c r="A76" i="94"/>
  <c r="A77" i="94"/>
  <c r="A78" i="94"/>
  <c r="A79" i="94"/>
  <c r="A80" i="94"/>
  <c r="A81" i="94"/>
  <c r="A82" i="94"/>
  <c r="N7" i="94" a="1"/>
  <c r="N7" i="94" s="1"/>
  <c r="N8" i="94" a="1"/>
  <c r="N8" i="94"/>
  <c r="N9" i="94" a="1"/>
  <c r="N9" i="94"/>
  <c r="N10" i="94" a="1"/>
  <c r="N10" i="94"/>
  <c r="N11" i="94" a="1"/>
  <c r="N11" i="94"/>
  <c r="N12" i="94" a="1"/>
  <c r="N12" i="94" s="1"/>
  <c r="N13" i="94" a="1"/>
  <c r="N13" i="94"/>
  <c r="N14" i="94" a="1"/>
  <c r="N14" i="94"/>
  <c r="N15" i="94" a="1"/>
  <c r="N15" i="94"/>
  <c r="N16" i="94" a="1"/>
  <c r="N16" i="94"/>
  <c r="N17" i="94" a="1"/>
  <c r="N17" i="94" s="1"/>
  <c r="N18" i="94" a="1"/>
  <c r="N18" i="94"/>
  <c r="N19" i="94" a="1"/>
  <c r="N19" i="94"/>
  <c r="N20" i="94" a="1"/>
  <c r="N20" i="94"/>
  <c r="N21" i="94" a="1"/>
  <c r="N21" i="94"/>
  <c r="N22" i="94" a="1"/>
  <c r="N22" i="94" s="1"/>
  <c r="N23" i="94" a="1"/>
  <c r="N23" i="94"/>
  <c r="N24" i="94" a="1"/>
  <c r="N24" i="94"/>
  <c r="N25" i="94" a="1"/>
  <c r="N25" i="94"/>
  <c r="N26" i="94" a="1"/>
  <c r="N26" i="94"/>
  <c r="N27" i="94" a="1"/>
  <c r="N27" i="94" s="1"/>
  <c r="N28" i="94" a="1"/>
  <c r="N28" i="94"/>
  <c r="N29" i="94" a="1"/>
  <c r="N29" i="94"/>
  <c r="N30" i="94" a="1"/>
  <c r="N30" i="94"/>
  <c r="N31" i="94" a="1"/>
  <c r="N31" i="94"/>
  <c r="N32" i="94" a="1"/>
  <c r="N32" i="94" s="1"/>
  <c r="N33" i="94" a="1"/>
  <c r="N33" i="94"/>
  <c r="N34" i="94" a="1"/>
  <c r="N34" i="94"/>
  <c r="N35" i="94" a="1"/>
  <c r="N35" i="94"/>
  <c r="N36" i="94" a="1"/>
  <c r="N36" i="94"/>
  <c r="N37" i="94" a="1"/>
  <c r="N37" i="94" s="1"/>
  <c r="N38" i="94" a="1"/>
  <c r="N38" i="94" s="1"/>
  <c r="N39" i="94" a="1"/>
  <c r="N39" i="94"/>
  <c r="N40" i="94" a="1"/>
  <c r="N40" i="94"/>
  <c r="N41" i="94" a="1"/>
  <c r="N41" i="94"/>
  <c r="N42" i="94" a="1"/>
  <c r="N42" i="94" s="1"/>
  <c r="N43" i="94" a="1"/>
  <c r="N43" i="94"/>
  <c r="N44" i="94" a="1"/>
  <c r="N44" i="94"/>
  <c r="N45" i="94" a="1"/>
  <c r="N45" i="94"/>
  <c r="N46" i="94" a="1"/>
  <c r="N46" i="94"/>
  <c r="N47" i="94" a="1"/>
  <c r="N47" i="94" s="1"/>
  <c r="N48" i="94" a="1"/>
  <c r="N48" i="94" s="1"/>
  <c r="N49" i="94" a="1"/>
  <c r="N49" i="94"/>
  <c r="N50" i="94" a="1"/>
  <c r="N50" i="94"/>
  <c r="N51" i="94" a="1"/>
  <c r="N51" i="94"/>
  <c r="N52" i="94" a="1"/>
  <c r="N52" i="94" s="1"/>
  <c r="N53" i="94" a="1"/>
  <c r="N53" i="94"/>
  <c r="N54" i="94" a="1"/>
  <c r="N54" i="94"/>
  <c r="N55" i="94" a="1"/>
  <c r="N55" i="94"/>
  <c r="N56" i="94" a="1"/>
  <c r="N56" i="94"/>
  <c r="N57" i="94" a="1"/>
  <c r="N57" i="94" s="1"/>
  <c r="N58" i="94" a="1"/>
  <c r="N58" i="94" s="1"/>
  <c r="N59" i="94" a="1"/>
  <c r="N59" i="94"/>
  <c r="N60" i="94" a="1"/>
  <c r="N60" i="94"/>
  <c r="N61" i="94" a="1"/>
  <c r="N61" i="94"/>
  <c r="N62" i="94" a="1"/>
  <c r="N62" i="94" s="1"/>
  <c r="N63" i="94" a="1"/>
  <c r="N63" i="94"/>
  <c r="N64" i="94" a="1"/>
  <c r="N64" i="94"/>
  <c r="N65" i="94" a="1"/>
  <c r="N65" i="94"/>
  <c r="N66" i="94" a="1"/>
  <c r="N66" i="94"/>
  <c r="N67" i="94" a="1"/>
  <c r="N67" i="94" s="1"/>
  <c r="N68" i="94" a="1"/>
  <c r="N68" i="94" s="1"/>
  <c r="N69" i="94" a="1"/>
  <c r="N69" i="94"/>
  <c r="N70" i="94" a="1"/>
  <c r="N70" i="94"/>
  <c r="N71" i="94" a="1"/>
  <c r="N71" i="94"/>
  <c r="N72" i="94" a="1"/>
  <c r="N72" i="94" s="1"/>
  <c r="N73" i="94" a="1"/>
  <c r="N73" i="94"/>
  <c r="N74" i="94" a="1"/>
  <c r="N74" i="94"/>
  <c r="N75" i="94" a="1"/>
  <c r="N75" i="94"/>
  <c r="N76" i="94" a="1"/>
  <c r="N76" i="94"/>
  <c r="N77" i="94" a="1"/>
  <c r="N77" i="94" s="1"/>
  <c r="N78" i="94" a="1"/>
  <c r="N78" i="94" s="1"/>
  <c r="N79" i="94" a="1"/>
  <c r="N79" i="94"/>
  <c r="N80" i="94" a="1"/>
  <c r="N80" i="94" s="1"/>
  <c r="N81" i="94" a="1"/>
  <c r="N81" i="94"/>
  <c r="N82" i="94" a="1"/>
  <c r="N82" i="94" s="1"/>
  <c r="Q7" i="94" a="1"/>
  <c r="Q7" i="94"/>
  <c r="Q8" i="94" a="1"/>
  <c r="Q8" i="94"/>
  <c r="Q9" i="94" a="1"/>
  <c r="Q9" i="94"/>
  <c r="Q10" i="94" a="1"/>
  <c r="Q10" i="94"/>
  <c r="Q11" i="94" a="1"/>
  <c r="Q11" i="94" s="1"/>
  <c r="Q12" i="94" a="1"/>
  <c r="Q12" i="94" s="1"/>
  <c r="Q13" i="94" a="1"/>
  <c r="Q13" i="94"/>
  <c r="Q14" i="94" a="1"/>
  <c r="Q14" i="94" s="1"/>
  <c r="Q15" i="94" a="1"/>
  <c r="Q15" i="94"/>
  <c r="Q16" i="94" a="1"/>
  <c r="Q16" i="94" s="1"/>
  <c r="Q17" i="94" a="1"/>
  <c r="Q17" i="94"/>
  <c r="Q18" i="94" a="1"/>
  <c r="Q18" i="94"/>
  <c r="Q19" i="94" a="1"/>
  <c r="Q19" i="94"/>
  <c r="Q20" i="94" a="1"/>
  <c r="Q20" i="94"/>
  <c r="Q21" i="94" a="1"/>
  <c r="Q21" i="94" s="1"/>
  <c r="Q22" i="94" a="1"/>
  <c r="Q22" i="94" s="1"/>
  <c r="Q23" i="94" a="1"/>
  <c r="Q23" i="94"/>
  <c r="Q24" i="94" a="1"/>
  <c r="Q24" i="94" s="1"/>
  <c r="Q25" i="94" a="1"/>
  <c r="Q25" i="94"/>
  <c r="Q26" i="94" a="1"/>
  <c r="Q26" i="94" s="1"/>
  <c r="Q27" i="94" a="1"/>
  <c r="Q27" i="94"/>
  <c r="Q28" i="94" a="1"/>
  <c r="Q28" i="94"/>
  <c r="Q29" i="94" a="1"/>
  <c r="Q29" i="94"/>
  <c r="Q30" i="94" a="1"/>
  <c r="Q30" i="94"/>
  <c r="Q31" i="94" a="1"/>
  <c r="Q31" i="94" s="1"/>
  <c r="Q32" i="94" a="1"/>
  <c r="Q32" i="94" s="1"/>
  <c r="Q33" i="94" a="1"/>
  <c r="Q33" i="94" s="1"/>
  <c r="Q34" i="94" a="1"/>
  <c r="Q34" i="94" s="1"/>
  <c r="Q35" i="94" a="1"/>
  <c r="Q35" i="94"/>
  <c r="Q36" i="94" a="1"/>
  <c r="Q36" i="94" s="1"/>
  <c r="Q37" i="94" a="1"/>
  <c r="Q37" i="94"/>
  <c r="Q38" i="94" a="1"/>
  <c r="Q38" i="94"/>
  <c r="Q39" i="94" a="1"/>
  <c r="Q39" i="94"/>
  <c r="Q40" i="94" a="1"/>
  <c r="Q40" i="94"/>
  <c r="Q41" i="94" a="1"/>
  <c r="Q41" i="94" s="1"/>
  <c r="Q42" i="94" a="1"/>
  <c r="Q42" i="94" s="1"/>
  <c r="Q43" i="94" a="1"/>
  <c r="Q43" i="94" s="1"/>
  <c r="Q44" i="94" a="1"/>
  <c r="Q44" i="94" s="1"/>
  <c r="Q45" i="94" a="1"/>
  <c r="Q45" i="94"/>
  <c r="Q46" i="94" a="1"/>
  <c r="Q46" i="94" s="1"/>
  <c r="Q47" i="94" a="1"/>
  <c r="Q47" i="94"/>
  <c r="Q48" i="94" a="1"/>
  <c r="Q48" i="94"/>
  <c r="Q49" i="94" a="1"/>
  <c r="Q49" i="94"/>
  <c r="Q50" i="94" a="1"/>
  <c r="Q50" i="94"/>
  <c r="Q51" i="94" a="1"/>
  <c r="Q51" i="94" s="1"/>
  <c r="Q52" i="94" a="1"/>
  <c r="Q52" i="94" s="1"/>
  <c r="Q53" i="94" a="1"/>
  <c r="Q53" i="94" s="1"/>
  <c r="Q54" i="94" a="1"/>
  <c r="Q54" i="94" s="1"/>
  <c r="Q55" i="94" a="1"/>
  <c r="Q55" i="94"/>
  <c r="Q56" i="94" a="1"/>
  <c r="Q56" i="94" s="1"/>
  <c r="Q57" i="94" a="1"/>
  <c r="Q57" i="94"/>
  <c r="Q58" i="94" a="1"/>
  <c r="Q58" i="94"/>
  <c r="Q59" i="94" a="1"/>
  <c r="Q59" i="94"/>
  <c r="Q60" i="94" a="1"/>
  <c r="Q60" i="94"/>
  <c r="Q61" i="94" a="1"/>
  <c r="Q61" i="94" s="1"/>
  <c r="Q62" i="94" a="1"/>
  <c r="Q62" i="94" s="1"/>
  <c r="Q63" i="94" a="1"/>
  <c r="Q63" i="94" s="1"/>
  <c r="Q64" i="94" a="1"/>
  <c r="Q64" i="94" s="1"/>
  <c r="Q65" i="94" a="1"/>
  <c r="Q65" i="94"/>
  <c r="Q66" i="94" a="1"/>
  <c r="Q66" i="94" s="1"/>
  <c r="Q67" i="94" a="1"/>
  <c r="Q67" i="94"/>
  <c r="Q68" i="94" a="1"/>
  <c r="Q68" i="94"/>
  <c r="Q69" i="94" a="1"/>
  <c r="Q69" i="94"/>
  <c r="Q70" i="94" a="1"/>
  <c r="Q70" i="94"/>
  <c r="Q71" i="94" a="1"/>
  <c r="Q71" i="94" s="1"/>
  <c r="Q72" i="94" a="1"/>
  <c r="Q72" i="94" s="1"/>
  <c r="Q73" i="94" a="1"/>
  <c r="Q73" i="94" s="1"/>
  <c r="Q74" i="94" a="1"/>
  <c r="Q74" i="94" s="1"/>
  <c r="Q75" i="94" a="1"/>
  <c r="Q75" i="94"/>
  <c r="Q76" i="94" a="1"/>
  <c r="Q76" i="94" s="1"/>
  <c r="Q77" i="94" a="1"/>
  <c r="Q77" i="94"/>
  <c r="Q78" i="94" a="1"/>
  <c r="Q78" i="94"/>
  <c r="Q79" i="94" a="1"/>
  <c r="Q79" i="94"/>
  <c r="Q80" i="94" a="1"/>
  <c r="Q80" i="94"/>
  <c r="Q81" i="94" a="1"/>
  <c r="Q81" i="94" s="1"/>
  <c r="Q82" i="94" a="1"/>
  <c r="Q82" i="94" s="1"/>
  <c r="AA7" i="94" a="1"/>
  <c r="AA7" i="94" s="1"/>
  <c r="AA8" i="94" a="1"/>
  <c r="AA8" i="94" s="1"/>
  <c r="AA9" i="94" a="1"/>
  <c r="AA9" i="94" s="1"/>
  <c r="AA10" i="94" a="1"/>
  <c r="AA10" i="94" s="1"/>
  <c r="AA11" i="94" a="1"/>
  <c r="AA11" i="94"/>
  <c r="AA12" i="94" a="1"/>
  <c r="AA12" i="94" s="1"/>
  <c r="AA13" i="94" a="1"/>
  <c r="AA13" i="94"/>
  <c r="AA14" i="94" a="1"/>
  <c r="AA14" i="94" s="1"/>
  <c r="AA15" i="94" a="1"/>
  <c r="AA15" i="94" s="1"/>
  <c r="AA16" i="94" a="1"/>
  <c r="AA16" i="94" s="1"/>
  <c r="AA17" i="94" a="1"/>
  <c r="AA17" i="94" s="1"/>
  <c r="AA18" i="94" a="1"/>
  <c r="AA18" i="94" s="1"/>
  <c r="AA19" i="94" a="1"/>
  <c r="AA19" i="94" s="1"/>
  <c r="AA20" i="94" a="1"/>
  <c r="AA20" i="94" s="1"/>
  <c r="AA21" i="94" a="1"/>
  <c r="AA21" i="94"/>
  <c r="AA22" i="94" a="1"/>
  <c r="AA22" i="94" s="1"/>
  <c r="AA23" i="94" a="1"/>
  <c r="AA23" i="94"/>
  <c r="AA24" i="94" a="1"/>
  <c r="AA24" i="94"/>
  <c r="AA25" i="94" a="1"/>
  <c r="AA25" i="94" s="1"/>
  <c r="AA26" i="94" a="1"/>
  <c r="AA26" i="94" s="1"/>
  <c r="AA27" i="94" a="1"/>
  <c r="AA27" i="94" s="1"/>
  <c r="AA28" i="94" a="1"/>
  <c r="AA28" i="94" s="1"/>
  <c r="AA29" i="94" a="1"/>
  <c r="AA29" i="94" s="1"/>
  <c r="AA30" i="94" a="1"/>
  <c r="AA30" i="94" s="1"/>
  <c r="AA31" i="94" a="1"/>
  <c r="AA31" i="94" s="1"/>
  <c r="AA32" i="94" a="1"/>
  <c r="AA32" i="94" s="1"/>
  <c r="AA33" i="94" a="1"/>
  <c r="AA33" i="94" s="1"/>
  <c r="AA34" i="94" a="1"/>
  <c r="AA34" i="94" s="1"/>
  <c r="AA35" i="94" a="1"/>
  <c r="AA35" i="94" s="1"/>
  <c r="AA36" i="94" a="1"/>
  <c r="AA36" i="94" s="1"/>
  <c r="AA37" i="94" a="1"/>
  <c r="AA37" i="94" s="1"/>
  <c r="AA38" i="94" a="1"/>
  <c r="AA38" i="94" s="1"/>
  <c r="AA39" i="94" a="1"/>
  <c r="AA39" i="94"/>
  <c r="AA40" i="94" a="1"/>
  <c r="AA40" i="94" s="1"/>
  <c r="AA41" i="94" a="1"/>
  <c r="AA41" i="94"/>
  <c r="AA42" i="94" a="1"/>
  <c r="AA42" i="94"/>
  <c r="AA43" i="94" a="1"/>
  <c r="AA43" i="94" s="1"/>
  <c r="AA44" i="94" a="1"/>
  <c r="AA44" i="94" s="1"/>
  <c r="AA45" i="94" a="1"/>
  <c r="AA45" i="94" s="1"/>
  <c r="AA46" i="94" a="1"/>
  <c r="AA46" i="94" s="1"/>
  <c r="AA47" i="94" a="1"/>
  <c r="AA47" i="94" s="1"/>
  <c r="AA48" i="94" a="1"/>
  <c r="AA48" i="94" s="1"/>
  <c r="AA49" i="94" a="1"/>
  <c r="AA49" i="94" s="1"/>
  <c r="AA50" i="94" a="1"/>
  <c r="AA50" i="94" s="1"/>
  <c r="AA51" i="94" a="1"/>
  <c r="AA51" i="94" s="1"/>
  <c r="AA52" i="94" a="1"/>
  <c r="AA52" i="94"/>
  <c r="AA53" i="94" a="1"/>
  <c r="AA53" i="94"/>
  <c r="AA54" i="94" a="1"/>
  <c r="AA54" i="94"/>
  <c r="AA55" i="94" a="1"/>
  <c r="AA55" i="94" s="1"/>
  <c r="AA56" i="94" a="1"/>
  <c r="AA56" i="94" s="1"/>
  <c r="AA57" i="94" a="1"/>
  <c r="AA57" i="94" s="1"/>
  <c r="AA58" i="94" a="1"/>
  <c r="AA58" i="94" s="1"/>
  <c r="AA59" i="94" a="1"/>
  <c r="AA59" i="94" s="1"/>
  <c r="AA60" i="94" a="1"/>
  <c r="AA60" i="94" s="1"/>
  <c r="AA61" i="94" a="1"/>
  <c r="AA61" i="94"/>
  <c r="AA62" i="94" a="1"/>
  <c r="AA62" i="94" s="1"/>
  <c r="AA63" i="94" a="1"/>
  <c r="AA63" i="94" s="1"/>
  <c r="AA64" i="94" a="1"/>
  <c r="AA64" i="94" s="1"/>
  <c r="AA65" i="94" a="1"/>
  <c r="AA65" i="94" s="1"/>
  <c r="AA66" i="94" a="1"/>
  <c r="AA66" i="94" s="1"/>
  <c r="AA67" i="94" a="1"/>
  <c r="AA67" i="94" s="1"/>
  <c r="AA68" i="94" a="1"/>
  <c r="AA68" i="94" s="1"/>
  <c r="AA69" i="94" a="1"/>
  <c r="AA69" i="94"/>
  <c r="AA70" i="94" a="1"/>
  <c r="AA70" i="94" s="1"/>
  <c r="AA71" i="94" a="1"/>
  <c r="AA71" i="94"/>
  <c r="AA72" i="94" a="1"/>
  <c r="AA72" i="94" s="1"/>
  <c r="AA73" i="94" a="1"/>
  <c r="AA73" i="94" s="1"/>
  <c r="AA74" i="94" a="1"/>
  <c r="AA74" i="94" s="1"/>
  <c r="AA75" i="94" a="1"/>
  <c r="AA75" i="94" s="1"/>
  <c r="AA76" i="94" a="1"/>
  <c r="AA76" i="94" s="1"/>
  <c r="AA77" i="94" a="1"/>
  <c r="AA77" i="94" s="1"/>
  <c r="AA78" i="94" a="1"/>
  <c r="AA78" i="94" s="1"/>
  <c r="AA79" i="94" a="1"/>
  <c r="AA79" i="94" s="1"/>
  <c r="AA80" i="94" a="1"/>
  <c r="AA80" i="94" s="1"/>
  <c r="AA81" i="94" a="1"/>
  <c r="AA81" i="94" s="1"/>
  <c r="AA82" i="94" a="1"/>
  <c r="AA82" i="94" s="1"/>
  <c r="AL240" i="113"/>
  <c r="AI240" i="113"/>
  <c r="AH240" i="113"/>
  <c r="AG240" i="113"/>
  <c r="AF240" i="113"/>
  <c r="AE240" i="113"/>
  <c r="AD240" i="113"/>
  <c r="AC240" i="113"/>
  <c r="AB240" i="113"/>
  <c r="AA240" i="113"/>
  <c r="Z240" i="113"/>
  <c r="Y240" i="113"/>
  <c r="X240" i="113"/>
  <c r="W240" i="113"/>
  <c r="AL239" i="113"/>
  <c r="AI239" i="113"/>
  <c r="AH239" i="113"/>
  <c r="AG239" i="113"/>
  <c r="AF239" i="113"/>
  <c r="AE239" i="113"/>
  <c r="AD239" i="113"/>
  <c r="AC239" i="113"/>
  <c r="AB239" i="113"/>
  <c r="AA239" i="113"/>
  <c r="Z239" i="113"/>
  <c r="Y239" i="113"/>
  <c r="X239" i="113"/>
  <c r="W239" i="113"/>
  <c r="AL238" i="113"/>
  <c r="AI238" i="113"/>
  <c r="AH238" i="113"/>
  <c r="AG238" i="113"/>
  <c r="AF238" i="113"/>
  <c r="AE238" i="113"/>
  <c r="AD238" i="113"/>
  <c r="AC238" i="113"/>
  <c r="AB238" i="113"/>
  <c r="AA238" i="113"/>
  <c r="Z238" i="113"/>
  <c r="Y238" i="113"/>
  <c r="X238" i="113"/>
  <c r="W238" i="113"/>
  <c r="AL237" i="113"/>
  <c r="AI237" i="113"/>
  <c r="AH237" i="113"/>
  <c r="AG237" i="113"/>
  <c r="AF237" i="113"/>
  <c r="AE237" i="113"/>
  <c r="AD237" i="113"/>
  <c r="AC237" i="113"/>
  <c r="AB237" i="113"/>
  <c r="AA237" i="113"/>
  <c r="Z237" i="113"/>
  <c r="Y237" i="113"/>
  <c r="X237" i="113"/>
  <c r="W237" i="113"/>
  <c r="AL236" i="113"/>
  <c r="AI236" i="113"/>
  <c r="AH236" i="113"/>
  <c r="AG236" i="113"/>
  <c r="AF236" i="113"/>
  <c r="AE236" i="113"/>
  <c r="AD236" i="113"/>
  <c r="AC236" i="113"/>
  <c r="AB236" i="113"/>
  <c r="AA236" i="113"/>
  <c r="Z236" i="113"/>
  <c r="Y236" i="113"/>
  <c r="X236" i="113"/>
  <c r="W236" i="113"/>
  <c r="AL235" i="113"/>
  <c r="AI235" i="113"/>
  <c r="AH235" i="113"/>
  <c r="AG235" i="113"/>
  <c r="AF235" i="113"/>
  <c r="AE235" i="113"/>
  <c r="AD235" i="113"/>
  <c r="AC235" i="113"/>
  <c r="AB235" i="113"/>
  <c r="AA235" i="113"/>
  <c r="Z235" i="113"/>
  <c r="Y235" i="113"/>
  <c r="X235" i="113"/>
  <c r="W235" i="113"/>
  <c r="AL234" i="113"/>
  <c r="AI234" i="113"/>
  <c r="AH234" i="113"/>
  <c r="AG234" i="113"/>
  <c r="AF234" i="113"/>
  <c r="AE234" i="113"/>
  <c r="AD234" i="113"/>
  <c r="AC234" i="113"/>
  <c r="AB234" i="113"/>
  <c r="AA234" i="113"/>
  <c r="Z234" i="113"/>
  <c r="Y234" i="113"/>
  <c r="X234" i="113"/>
  <c r="W234" i="113"/>
  <c r="AL233" i="113"/>
  <c r="AI233" i="113"/>
  <c r="AO233" i="113" s="1" a="1"/>
  <c r="AO233" i="113" s="1"/>
  <c r="AH233" i="113"/>
  <c r="AG233" i="113"/>
  <c r="AF233" i="113"/>
  <c r="AE233" i="113"/>
  <c r="AD233" i="113"/>
  <c r="AC233" i="113"/>
  <c r="AB233" i="113"/>
  <c r="AA233" i="113"/>
  <c r="Z233" i="113"/>
  <c r="Y233" i="113"/>
  <c r="X233" i="113"/>
  <c r="W233" i="113"/>
  <c r="AL232" i="113"/>
  <c r="AI232" i="113"/>
  <c r="AH232" i="113"/>
  <c r="AG232" i="113"/>
  <c r="AF232" i="113"/>
  <c r="AE232" i="113"/>
  <c r="AD232" i="113"/>
  <c r="AC232" i="113"/>
  <c r="AB232" i="113"/>
  <c r="AA232" i="113"/>
  <c r="Z232" i="113"/>
  <c r="Y232" i="113"/>
  <c r="X232" i="113"/>
  <c r="W232" i="113"/>
  <c r="AL231" i="113"/>
  <c r="AI231" i="113"/>
  <c r="AO231" i="113" s="1" a="1"/>
  <c r="AO231" i="113" s="1"/>
  <c r="AH231" i="113"/>
  <c r="AG231" i="113"/>
  <c r="AF231" i="113"/>
  <c r="AE231" i="113"/>
  <c r="AD231" i="113"/>
  <c r="AC231" i="113"/>
  <c r="AB231" i="113"/>
  <c r="AA231" i="113"/>
  <c r="Z231" i="113"/>
  <c r="Y231" i="113"/>
  <c r="X231" i="113"/>
  <c r="W231" i="113"/>
  <c r="AL230" i="113"/>
  <c r="AI230" i="113"/>
  <c r="AK230" i="113" s="1"/>
  <c r="AH230" i="113"/>
  <c r="AG230" i="113"/>
  <c r="AF230" i="113"/>
  <c r="AE230" i="113"/>
  <c r="AD230" i="113"/>
  <c r="AC230" i="113"/>
  <c r="AB230" i="113"/>
  <c r="AA230" i="113"/>
  <c r="Z230" i="113"/>
  <c r="Y230" i="113"/>
  <c r="X230" i="113"/>
  <c r="W230" i="113"/>
  <c r="AL229" i="113"/>
  <c r="AI229" i="113"/>
  <c r="AJ229" i="113" s="1" a="1"/>
  <c r="AJ229" i="113" s="1"/>
  <c r="AN229" i="113" s="1" a="1"/>
  <c r="AN229" i="113" s="1"/>
  <c r="AH229" i="113"/>
  <c r="AG229" i="113"/>
  <c r="AF229" i="113"/>
  <c r="AE229" i="113"/>
  <c r="AD229" i="113"/>
  <c r="AC229" i="113"/>
  <c r="AB229" i="113"/>
  <c r="AA229" i="113"/>
  <c r="Z229" i="113"/>
  <c r="Y229" i="113"/>
  <c r="X229" i="113"/>
  <c r="W229" i="113"/>
  <c r="AL228" i="113"/>
  <c r="AI228" i="113"/>
  <c r="AH228" i="113"/>
  <c r="AG228" i="113"/>
  <c r="AF228" i="113"/>
  <c r="AE228" i="113"/>
  <c r="AD228" i="113"/>
  <c r="AC228" i="113"/>
  <c r="AB228" i="113"/>
  <c r="AA228" i="113"/>
  <c r="Z228" i="113"/>
  <c r="Y228" i="113"/>
  <c r="X228" i="113"/>
  <c r="W228" i="113"/>
  <c r="AL227" i="113"/>
  <c r="AI227" i="113"/>
  <c r="AK227" i="113" s="1"/>
  <c r="AH227" i="113"/>
  <c r="AG227" i="113"/>
  <c r="AF227" i="113"/>
  <c r="AE227" i="113"/>
  <c r="AD227" i="113"/>
  <c r="AC227" i="113"/>
  <c r="AB227" i="113"/>
  <c r="AA227" i="113"/>
  <c r="Z227" i="113"/>
  <c r="Y227" i="113"/>
  <c r="X227" i="113"/>
  <c r="W227" i="113"/>
  <c r="AL226" i="113"/>
  <c r="AI226" i="113"/>
  <c r="AH226" i="113"/>
  <c r="AG226" i="113"/>
  <c r="AF226" i="113"/>
  <c r="AE226" i="113"/>
  <c r="AD226" i="113"/>
  <c r="AC226" i="113"/>
  <c r="AB226" i="113"/>
  <c r="AA226" i="113"/>
  <c r="Z226" i="113"/>
  <c r="Y226" i="113"/>
  <c r="X226" i="113"/>
  <c r="W226" i="113"/>
  <c r="AL225" i="113"/>
  <c r="AI225" i="113"/>
  <c r="AH225" i="113"/>
  <c r="AG225" i="113"/>
  <c r="AF225" i="113"/>
  <c r="AE225" i="113"/>
  <c r="AD225" i="113"/>
  <c r="AC225" i="113"/>
  <c r="AB225" i="113"/>
  <c r="AA225" i="113"/>
  <c r="Z225" i="113"/>
  <c r="Y225" i="113"/>
  <c r="X225" i="113"/>
  <c r="W225" i="113"/>
  <c r="AL224" i="113"/>
  <c r="AI224" i="113"/>
  <c r="AJ224" i="113" s="1" a="1"/>
  <c r="AJ224" i="113" s="1"/>
  <c r="AH224" i="113"/>
  <c r="AG224" i="113"/>
  <c r="AF224" i="113"/>
  <c r="AE224" i="113"/>
  <c r="AD224" i="113"/>
  <c r="AC224" i="113"/>
  <c r="AB224" i="113"/>
  <c r="AA224" i="113"/>
  <c r="Z224" i="113"/>
  <c r="Y224" i="113"/>
  <c r="X224" i="113"/>
  <c r="W224" i="113"/>
  <c r="AL223" i="113"/>
  <c r="AI223" i="113"/>
  <c r="AK223" i="113" s="1"/>
  <c r="AH223" i="113"/>
  <c r="AG223" i="113"/>
  <c r="AF223" i="113"/>
  <c r="AE223" i="113"/>
  <c r="AD223" i="113"/>
  <c r="AC223" i="113"/>
  <c r="AB223" i="113"/>
  <c r="AA223" i="113"/>
  <c r="Z223" i="113"/>
  <c r="Y223" i="113"/>
  <c r="X223" i="113"/>
  <c r="W223" i="113"/>
  <c r="AL222" i="113"/>
  <c r="AI222" i="113"/>
  <c r="AH222" i="113"/>
  <c r="AG222" i="113"/>
  <c r="AF222" i="113"/>
  <c r="AE222" i="113"/>
  <c r="AD222" i="113"/>
  <c r="AC222" i="113"/>
  <c r="AB222" i="113"/>
  <c r="AA222" i="113"/>
  <c r="Z222" i="113"/>
  <c r="Y222" i="113"/>
  <c r="X222" i="113"/>
  <c r="W222" i="113"/>
  <c r="AL221" i="113"/>
  <c r="AI221" i="113"/>
  <c r="AH221" i="113"/>
  <c r="AG221" i="113"/>
  <c r="AF221" i="113"/>
  <c r="AE221" i="113"/>
  <c r="AD221" i="113"/>
  <c r="AC221" i="113"/>
  <c r="AB221" i="113"/>
  <c r="AA221" i="113"/>
  <c r="Z221" i="113"/>
  <c r="Y221" i="113"/>
  <c r="X221" i="113"/>
  <c r="W221" i="113"/>
  <c r="AL220" i="113"/>
  <c r="AI220" i="113"/>
  <c r="AH220" i="113"/>
  <c r="AG220" i="113"/>
  <c r="AF220" i="113"/>
  <c r="AE220" i="113"/>
  <c r="AD220" i="113"/>
  <c r="AC220" i="113"/>
  <c r="AB220" i="113"/>
  <c r="AA220" i="113"/>
  <c r="Z220" i="113"/>
  <c r="Y220" i="113"/>
  <c r="X220" i="113"/>
  <c r="W220" i="113"/>
  <c r="AL219" i="113"/>
  <c r="AI219" i="113"/>
  <c r="AH219" i="113"/>
  <c r="AG219" i="113"/>
  <c r="AF219" i="113"/>
  <c r="AE219" i="113"/>
  <c r="AD219" i="113"/>
  <c r="AC219" i="113"/>
  <c r="AB219" i="113"/>
  <c r="AA219" i="113"/>
  <c r="Z219" i="113"/>
  <c r="Y219" i="113"/>
  <c r="X219" i="113"/>
  <c r="W219" i="113"/>
  <c r="AL218" i="113"/>
  <c r="AI218" i="113"/>
  <c r="AH218" i="113"/>
  <c r="AG218" i="113"/>
  <c r="AF218" i="113"/>
  <c r="AE218" i="113"/>
  <c r="AD218" i="113"/>
  <c r="AC218" i="113"/>
  <c r="AB218" i="113"/>
  <c r="AA218" i="113"/>
  <c r="Z218" i="113"/>
  <c r="Y218" i="113"/>
  <c r="X218" i="113"/>
  <c r="W218" i="113"/>
  <c r="AL217" i="113"/>
  <c r="AI217" i="113"/>
  <c r="AK217" i="113" s="1"/>
  <c r="AH217" i="113"/>
  <c r="AG217" i="113"/>
  <c r="AF217" i="113"/>
  <c r="AE217" i="113"/>
  <c r="AD217" i="113"/>
  <c r="AC217" i="113"/>
  <c r="AB217" i="113"/>
  <c r="AA217" i="113"/>
  <c r="Z217" i="113"/>
  <c r="Y217" i="113"/>
  <c r="X217" i="113"/>
  <c r="W217" i="113"/>
  <c r="AL216" i="113"/>
  <c r="AI216" i="113"/>
  <c r="AH216" i="113"/>
  <c r="AG216" i="113"/>
  <c r="AF216" i="113"/>
  <c r="AE216" i="113"/>
  <c r="AD216" i="113"/>
  <c r="AC216" i="113"/>
  <c r="AB216" i="113"/>
  <c r="AA216" i="113"/>
  <c r="Z216" i="113"/>
  <c r="Y216" i="113"/>
  <c r="X216" i="113"/>
  <c r="W216" i="113"/>
  <c r="AL215" i="113"/>
  <c r="AI215" i="113"/>
  <c r="AO215" i="113" s="1" a="1"/>
  <c r="AO215" i="113" s="1"/>
  <c r="AH215" i="113"/>
  <c r="AG215" i="113"/>
  <c r="AF215" i="113"/>
  <c r="AE215" i="113"/>
  <c r="AD215" i="113"/>
  <c r="AC215" i="113"/>
  <c r="AB215" i="113"/>
  <c r="AA215" i="113"/>
  <c r="Z215" i="113"/>
  <c r="Y215" i="113"/>
  <c r="X215" i="113"/>
  <c r="W215" i="113"/>
  <c r="AL214" i="113"/>
  <c r="AI214" i="113"/>
  <c r="AO214" i="113" s="1" a="1"/>
  <c r="AO214" i="113" s="1"/>
  <c r="AH214" i="113"/>
  <c r="AG214" i="113"/>
  <c r="AF214" i="113"/>
  <c r="AE214" i="113"/>
  <c r="AD214" i="113"/>
  <c r="AC214" i="113"/>
  <c r="AB214" i="113"/>
  <c r="AA214" i="113"/>
  <c r="Z214" i="113"/>
  <c r="Y214" i="113"/>
  <c r="X214" i="113"/>
  <c r="W214" i="113"/>
  <c r="AL213" i="113"/>
  <c r="AI213" i="113"/>
  <c r="AJ213" i="113" s="1" a="1"/>
  <c r="AJ213" i="113" s="1"/>
  <c r="AN213" i="113" s="1" a="1"/>
  <c r="AN213" i="113" s="1"/>
  <c r="AH213" i="113"/>
  <c r="AG213" i="113"/>
  <c r="AF213" i="113"/>
  <c r="AE213" i="113"/>
  <c r="AD213" i="113"/>
  <c r="AC213" i="113"/>
  <c r="AB213" i="113"/>
  <c r="AA213" i="113"/>
  <c r="Z213" i="113"/>
  <c r="Y213" i="113"/>
  <c r="X213" i="113"/>
  <c r="W213" i="113"/>
  <c r="AL212" i="113"/>
  <c r="AI212" i="113"/>
  <c r="AH212" i="113"/>
  <c r="AG212" i="113"/>
  <c r="AF212" i="113"/>
  <c r="AE212" i="113"/>
  <c r="AD212" i="113"/>
  <c r="AC212" i="113"/>
  <c r="AB212" i="113"/>
  <c r="AA212" i="113"/>
  <c r="Z212" i="113"/>
  <c r="Y212" i="113"/>
  <c r="X212" i="113"/>
  <c r="W212" i="113"/>
  <c r="AL211" i="113"/>
  <c r="AI211" i="113"/>
  <c r="AK211" i="113" s="1"/>
  <c r="AH211" i="113"/>
  <c r="AG211" i="113"/>
  <c r="AF211" i="113"/>
  <c r="AE211" i="113"/>
  <c r="AD211" i="113"/>
  <c r="AC211" i="113"/>
  <c r="AB211" i="113"/>
  <c r="AA211" i="113"/>
  <c r="Z211" i="113"/>
  <c r="Y211" i="113"/>
  <c r="X211" i="113"/>
  <c r="W211" i="113"/>
  <c r="AL210" i="113"/>
  <c r="AI210" i="113"/>
  <c r="AH210" i="113"/>
  <c r="AG210" i="113"/>
  <c r="AF210" i="113"/>
  <c r="AE210" i="113"/>
  <c r="AD210" i="113"/>
  <c r="AC210" i="113"/>
  <c r="AB210" i="113"/>
  <c r="AA210" i="113"/>
  <c r="Z210" i="113"/>
  <c r="Y210" i="113"/>
  <c r="X210" i="113"/>
  <c r="W210" i="113"/>
  <c r="AL209" i="113"/>
  <c r="AI209" i="113"/>
  <c r="AK209" i="113" s="1"/>
  <c r="AH209" i="113"/>
  <c r="AG209" i="113"/>
  <c r="AF209" i="113"/>
  <c r="AE209" i="113"/>
  <c r="AD209" i="113"/>
  <c r="AC209" i="113"/>
  <c r="AB209" i="113"/>
  <c r="AA209" i="113"/>
  <c r="Z209" i="113"/>
  <c r="Y209" i="113"/>
  <c r="X209" i="113"/>
  <c r="W209" i="113"/>
  <c r="AL208" i="113"/>
  <c r="AI208" i="113"/>
  <c r="AH208" i="113"/>
  <c r="AG208" i="113"/>
  <c r="AF208" i="113"/>
  <c r="AE208" i="113"/>
  <c r="AD208" i="113"/>
  <c r="AC208" i="113"/>
  <c r="AB208" i="113"/>
  <c r="AA208" i="113"/>
  <c r="Z208" i="113"/>
  <c r="Y208" i="113"/>
  <c r="X208" i="113"/>
  <c r="W208" i="113"/>
  <c r="AL207" i="113"/>
  <c r="AI207" i="113"/>
  <c r="AH207" i="113"/>
  <c r="AG207" i="113"/>
  <c r="AF207" i="113"/>
  <c r="AE207" i="113"/>
  <c r="AD207" i="113"/>
  <c r="AC207" i="113"/>
  <c r="AB207" i="113"/>
  <c r="AA207" i="113"/>
  <c r="Z207" i="113"/>
  <c r="Y207" i="113"/>
  <c r="X207" i="113"/>
  <c r="W207" i="113"/>
  <c r="AL206" i="113"/>
  <c r="AI206" i="113"/>
  <c r="AH206" i="113"/>
  <c r="AG206" i="113"/>
  <c r="AF206" i="113"/>
  <c r="AE206" i="113"/>
  <c r="AD206" i="113"/>
  <c r="AC206" i="113"/>
  <c r="AB206" i="113"/>
  <c r="AA206" i="113"/>
  <c r="Z206" i="113"/>
  <c r="Y206" i="113"/>
  <c r="X206" i="113"/>
  <c r="W206" i="113"/>
  <c r="AL205" i="113"/>
  <c r="AI205" i="113"/>
  <c r="AH205" i="113"/>
  <c r="AG205" i="113"/>
  <c r="AF205" i="113"/>
  <c r="AE205" i="113"/>
  <c r="AD205" i="113"/>
  <c r="AC205" i="113"/>
  <c r="AB205" i="113"/>
  <c r="AA205" i="113"/>
  <c r="Z205" i="113"/>
  <c r="Y205" i="113"/>
  <c r="X205" i="113"/>
  <c r="W205" i="113"/>
  <c r="AL204" i="113"/>
  <c r="AI204" i="113"/>
  <c r="AH204" i="113"/>
  <c r="AG204" i="113"/>
  <c r="AF204" i="113"/>
  <c r="AE204" i="113"/>
  <c r="AD204" i="113"/>
  <c r="AC204" i="113"/>
  <c r="AB204" i="113"/>
  <c r="AA204" i="113"/>
  <c r="Z204" i="113"/>
  <c r="Y204" i="113"/>
  <c r="X204" i="113"/>
  <c r="W204" i="113"/>
  <c r="AL203" i="113"/>
  <c r="AI203" i="113"/>
  <c r="AH203" i="113"/>
  <c r="AG203" i="113"/>
  <c r="AF203" i="113"/>
  <c r="AE203" i="113"/>
  <c r="AD203" i="113"/>
  <c r="AC203" i="113"/>
  <c r="AB203" i="113"/>
  <c r="AA203" i="113"/>
  <c r="Z203" i="113"/>
  <c r="Y203" i="113"/>
  <c r="X203" i="113"/>
  <c r="W203" i="113"/>
  <c r="AL202" i="113"/>
  <c r="AI202" i="113"/>
  <c r="AK202" i="113" s="1"/>
  <c r="AH202" i="113"/>
  <c r="AG202" i="113"/>
  <c r="AF202" i="113"/>
  <c r="AE202" i="113"/>
  <c r="AD202" i="113"/>
  <c r="AC202" i="113"/>
  <c r="AB202" i="113"/>
  <c r="AA202" i="113"/>
  <c r="Z202" i="113"/>
  <c r="Y202" i="113"/>
  <c r="X202" i="113"/>
  <c r="W202" i="113"/>
  <c r="AL201" i="113"/>
  <c r="AI201" i="113"/>
  <c r="AK201" i="113" s="1"/>
  <c r="AH201" i="113"/>
  <c r="AG201" i="113"/>
  <c r="AF201" i="113"/>
  <c r="AE201" i="113"/>
  <c r="AD201" i="113"/>
  <c r="AC201" i="113"/>
  <c r="AB201" i="113"/>
  <c r="AA201" i="113"/>
  <c r="Z201" i="113"/>
  <c r="Y201" i="113"/>
  <c r="X201" i="113"/>
  <c r="W201" i="113"/>
  <c r="AL200" i="113"/>
  <c r="AI200" i="113"/>
  <c r="AH200" i="113"/>
  <c r="AG200" i="113"/>
  <c r="AF200" i="113"/>
  <c r="AE200" i="113"/>
  <c r="AD200" i="113"/>
  <c r="AC200" i="113"/>
  <c r="AB200" i="113"/>
  <c r="AA200" i="113"/>
  <c r="Z200" i="113"/>
  <c r="Y200" i="113"/>
  <c r="X200" i="113"/>
  <c r="W200" i="113"/>
  <c r="AL199" i="113"/>
  <c r="AI199" i="113"/>
  <c r="AH199" i="113"/>
  <c r="AG199" i="113"/>
  <c r="AF199" i="113"/>
  <c r="AE199" i="113"/>
  <c r="AD199" i="113"/>
  <c r="AC199" i="113"/>
  <c r="AB199" i="113"/>
  <c r="AA199" i="113"/>
  <c r="Z199" i="113"/>
  <c r="Y199" i="113"/>
  <c r="X199" i="113"/>
  <c r="W199" i="113"/>
  <c r="AL198" i="113"/>
  <c r="AI198" i="113"/>
  <c r="AK198" i="113" s="1"/>
  <c r="AH198" i="113"/>
  <c r="AG198" i="113"/>
  <c r="AF198" i="113"/>
  <c r="AE198" i="113"/>
  <c r="AD198" i="113"/>
  <c r="AC198" i="113"/>
  <c r="AB198" i="113"/>
  <c r="AA198" i="113"/>
  <c r="Z198" i="113"/>
  <c r="Y198" i="113"/>
  <c r="X198" i="113"/>
  <c r="W198" i="113"/>
  <c r="AL197" i="113"/>
  <c r="AI197" i="113"/>
  <c r="AH197" i="113"/>
  <c r="AG197" i="113"/>
  <c r="AF197" i="113"/>
  <c r="AE197" i="113"/>
  <c r="AD197" i="113"/>
  <c r="AC197" i="113"/>
  <c r="AB197" i="113"/>
  <c r="AA197" i="113"/>
  <c r="Z197" i="113"/>
  <c r="Y197" i="113"/>
  <c r="X197" i="113"/>
  <c r="W197" i="113"/>
  <c r="AL196" i="113"/>
  <c r="AI196" i="113"/>
  <c r="AJ196" i="113" s="1" a="1"/>
  <c r="AJ196" i="113" s="1"/>
  <c r="AH196" i="113"/>
  <c r="AG196" i="113"/>
  <c r="AF196" i="113"/>
  <c r="AE196" i="113"/>
  <c r="AD196" i="113"/>
  <c r="AC196" i="113"/>
  <c r="AB196" i="113"/>
  <c r="AA196" i="113"/>
  <c r="Z196" i="113"/>
  <c r="Y196" i="113"/>
  <c r="X196" i="113"/>
  <c r="W196" i="113"/>
  <c r="AL195" i="113"/>
  <c r="AI195" i="113"/>
  <c r="AJ195" i="113" s="1" a="1"/>
  <c r="AJ195" i="113" s="1"/>
  <c r="AN195" i="113" s="1" a="1"/>
  <c r="AN195" i="113" s="1"/>
  <c r="AH195" i="113"/>
  <c r="AG195" i="113"/>
  <c r="AF195" i="113"/>
  <c r="AE195" i="113"/>
  <c r="AD195" i="113"/>
  <c r="AC195" i="113"/>
  <c r="AB195" i="113"/>
  <c r="AA195" i="113"/>
  <c r="Z195" i="113"/>
  <c r="Y195" i="113"/>
  <c r="X195" i="113"/>
  <c r="W195" i="113"/>
  <c r="AL194" i="113"/>
  <c r="AI194" i="113"/>
  <c r="AH194" i="113"/>
  <c r="AG194" i="113"/>
  <c r="AF194" i="113"/>
  <c r="AE194" i="113"/>
  <c r="AD194" i="113"/>
  <c r="AC194" i="113"/>
  <c r="AB194" i="113"/>
  <c r="AA194" i="113"/>
  <c r="Z194" i="113"/>
  <c r="Y194" i="113"/>
  <c r="X194" i="113"/>
  <c r="W194" i="113"/>
  <c r="AL193" i="113"/>
  <c r="AI193" i="113"/>
  <c r="AK193" i="113" s="1"/>
  <c r="AH193" i="113"/>
  <c r="AG193" i="113"/>
  <c r="AF193" i="113"/>
  <c r="AE193" i="113"/>
  <c r="AD193" i="113"/>
  <c r="AC193" i="113"/>
  <c r="AB193" i="113"/>
  <c r="AA193" i="113"/>
  <c r="Z193" i="113"/>
  <c r="Y193" i="113"/>
  <c r="X193" i="113"/>
  <c r="W193" i="113"/>
  <c r="AL192" i="113"/>
  <c r="AI192" i="113"/>
  <c r="AJ192" i="113" s="1" a="1"/>
  <c r="AJ192" i="113" s="1"/>
  <c r="AH192" i="113"/>
  <c r="AG192" i="113"/>
  <c r="AF192" i="113"/>
  <c r="AE192" i="113"/>
  <c r="AD192" i="113"/>
  <c r="AC192" i="113"/>
  <c r="AB192" i="113"/>
  <c r="AA192" i="113"/>
  <c r="Z192" i="113"/>
  <c r="Y192" i="113"/>
  <c r="X192" i="113"/>
  <c r="W192" i="113"/>
  <c r="AL191" i="113"/>
  <c r="AI191" i="113"/>
  <c r="AO191" i="113" s="1" a="1"/>
  <c r="AO191" i="113" s="1"/>
  <c r="AH191" i="113"/>
  <c r="AG191" i="113"/>
  <c r="AF191" i="113"/>
  <c r="AE191" i="113"/>
  <c r="AD191" i="113"/>
  <c r="AC191" i="113"/>
  <c r="AB191" i="113"/>
  <c r="AA191" i="113"/>
  <c r="Z191" i="113"/>
  <c r="Y191" i="113"/>
  <c r="X191" i="113"/>
  <c r="W191" i="113"/>
  <c r="AL190" i="113"/>
  <c r="AI190" i="113"/>
  <c r="AH190" i="113"/>
  <c r="AG190" i="113"/>
  <c r="AF190" i="113"/>
  <c r="AE190" i="113"/>
  <c r="AD190" i="113"/>
  <c r="AC190" i="113"/>
  <c r="AB190" i="113"/>
  <c r="AA190" i="113"/>
  <c r="Z190" i="113"/>
  <c r="Y190" i="113"/>
  <c r="X190" i="113"/>
  <c r="W190" i="113"/>
  <c r="AL189" i="113"/>
  <c r="AI189" i="113"/>
  <c r="AO189" i="113" s="1" a="1"/>
  <c r="AO189" i="113" s="1"/>
  <c r="AH189" i="113"/>
  <c r="AG189" i="113"/>
  <c r="AF189" i="113"/>
  <c r="AE189" i="113"/>
  <c r="AD189" i="113"/>
  <c r="AC189" i="113"/>
  <c r="AB189" i="113"/>
  <c r="AA189" i="113"/>
  <c r="Z189" i="113"/>
  <c r="Y189" i="113"/>
  <c r="X189" i="113"/>
  <c r="W189" i="113"/>
  <c r="AL188" i="113"/>
  <c r="AI188" i="113"/>
  <c r="AH188" i="113"/>
  <c r="AG188" i="113"/>
  <c r="AF188" i="113"/>
  <c r="AE188" i="113"/>
  <c r="AD188" i="113"/>
  <c r="AC188" i="113"/>
  <c r="AB188" i="113"/>
  <c r="AA188" i="113"/>
  <c r="Z188" i="113"/>
  <c r="Y188" i="113"/>
  <c r="X188" i="113"/>
  <c r="W188" i="113"/>
  <c r="AL187" i="113"/>
  <c r="AI187" i="113"/>
  <c r="AK187" i="113" s="1"/>
  <c r="AH187" i="113"/>
  <c r="AG187" i="113"/>
  <c r="AF187" i="113"/>
  <c r="AE187" i="113"/>
  <c r="AD187" i="113"/>
  <c r="AC187" i="113"/>
  <c r="AB187" i="113"/>
  <c r="AA187" i="113"/>
  <c r="Z187" i="113"/>
  <c r="Y187" i="113"/>
  <c r="X187" i="113"/>
  <c r="W187" i="113"/>
  <c r="AL186" i="113"/>
  <c r="AI186" i="113"/>
  <c r="AH186" i="113"/>
  <c r="AG186" i="113"/>
  <c r="AF186" i="113"/>
  <c r="AE186" i="113"/>
  <c r="AD186" i="113"/>
  <c r="AC186" i="113"/>
  <c r="AB186" i="113"/>
  <c r="AA186" i="113"/>
  <c r="Z186" i="113"/>
  <c r="Y186" i="113"/>
  <c r="X186" i="113"/>
  <c r="W186" i="113"/>
  <c r="AL185" i="113"/>
  <c r="AI185" i="113"/>
  <c r="AH185" i="113"/>
  <c r="AG185" i="113"/>
  <c r="AF185" i="113"/>
  <c r="AE185" i="113"/>
  <c r="AD185" i="113"/>
  <c r="AC185" i="113"/>
  <c r="AB185" i="113"/>
  <c r="AA185" i="113"/>
  <c r="Z185" i="113"/>
  <c r="Y185" i="113"/>
  <c r="X185" i="113"/>
  <c r="W185" i="113"/>
  <c r="AL184" i="113"/>
  <c r="AI184" i="113"/>
  <c r="AH184" i="113"/>
  <c r="AG184" i="113"/>
  <c r="AF184" i="113"/>
  <c r="AE184" i="113"/>
  <c r="AD184" i="113"/>
  <c r="AC184" i="113"/>
  <c r="AB184" i="113"/>
  <c r="AA184" i="113"/>
  <c r="Z184" i="113"/>
  <c r="Y184" i="113"/>
  <c r="X184" i="113"/>
  <c r="W184" i="113"/>
  <c r="AL183" i="113"/>
  <c r="AI183" i="113"/>
  <c r="AH183" i="113"/>
  <c r="AG183" i="113"/>
  <c r="AF183" i="113"/>
  <c r="AE183" i="113"/>
  <c r="AD183" i="113"/>
  <c r="AC183" i="113"/>
  <c r="AB183" i="113"/>
  <c r="AA183" i="113"/>
  <c r="Z183" i="113"/>
  <c r="Y183" i="113"/>
  <c r="X183" i="113"/>
  <c r="W183" i="113"/>
  <c r="AL182" i="113"/>
  <c r="AI182" i="113"/>
  <c r="AO182" i="113" s="1" a="1"/>
  <c r="AO182" i="113" s="1"/>
  <c r="AH182" i="113"/>
  <c r="AG182" i="113"/>
  <c r="AF182" i="113"/>
  <c r="AE182" i="113"/>
  <c r="AD182" i="113"/>
  <c r="AC182" i="113"/>
  <c r="AB182" i="113"/>
  <c r="AA182" i="113"/>
  <c r="Z182" i="113"/>
  <c r="Y182" i="113"/>
  <c r="X182" i="113"/>
  <c r="W182" i="113"/>
  <c r="AL181" i="113"/>
  <c r="AI181" i="113"/>
  <c r="AH181" i="113"/>
  <c r="AG181" i="113"/>
  <c r="AF181" i="113"/>
  <c r="AE181" i="113"/>
  <c r="AD181" i="113"/>
  <c r="AC181" i="113"/>
  <c r="AB181" i="113"/>
  <c r="AA181" i="113"/>
  <c r="Z181" i="113"/>
  <c r="Y181" i="113"/>
  <c r="X181" i="113"/>
  <c r="W181" i="113"/>
  <c r="AL180" i="113"/>
  <c r="AI180" i="113"/>
  <c r="AH180" i="113"/>
  <c r="AG180" i="113"/>
  <c r="AF180" i="113"/>
  <c r="AE180" i="113"/>
  <c r="AD180" i="113"/>
  <c r="AC180" i="113"/>
  <c r="AB180" i="113"/>
  <c r="AA180" i="113"/>
  <c r="Z180" i="113"/>
  <c r="Y180" i="113"/>
  <c r="X180" i="113"/>
  <c r="W180" i="113"/>
  <c r="AL179" i="113"/>
  <c r="AI179" i="113"/>
  <c r="AH179" i="113"/>
  <c r="AG179" i="113"/>
  <c r="AF179" i="113"/>
  <c r="AE179" i="113"/>
  <c r="AD179" i="113"/>
  <c r="AC179" i="113"/>
  <c r="AB179" i="113"/>
  <c r="AA179" i="113"/>
  <c r="Z179" i="113"/>
  <c r="Y179" i="113"/>
  <c r="X179" i="113"/>
  <c r="W179" i="113"/>
  <c r="AL178" i="113"/>
  <c r="AI178" i="113"/>
  <c r="AH178" i="113"/>
  <c r="AG178" i="113"/>
  <c r="AF178" i="113"/>
  <c r="AE178" i="113"/>
  <c r="AD178" i="113"/>
  <c r="AC178" i="113"/>
  <c r="AB178" i="113"/>
  <c r="AA178" i="113"/>
  <c r="Z178" i="113"/>
  <c r="Y178" i="113"/>
  <c r="X178" i="113"/>
  <c r="W178" i="113"/>
  <c r="AL177" i="113"/>
  <c r="AI177" i="113"/>
  <c r="AH177" i="113"/>
  <c r="AG177" i="113"/>
  <c r="AF177" i="113"/>
  <c r="AE177" i="113"/>
  <c r="AD177" i="113"/>
  <c r="AC177" i="113"/>
  <c r="AB177" i="113"/>
  <c r="AA177" i="113"/>
  <c r="Z177" i="113"/>
  <c r="Y177" i="113"/>
  <c r="X177" i="113"/>
  <c r="W177" i="113"/>
  <c r="AL176" i="113"/>
  <c r="AI176" i="113"/>
  <c r="AK176" i="113" s="1"/>
  <c r="AH176" i="113"/>
  <c r="AG176" i="113"/>
  <c r="AF176" i="113"/>
  <c r="AE176" i="113"/>
  <c r="AD176" i="113"/>
  <c r="AC176" i="113"/>
  <c r="AB176" i="113"/>
  <c r="AA176" i="113"/>
  <c r="Z176" i="113"/>
  <c r="Y176" i="113"/>
  <c r="X176" i="113"/>
  <c r="W176" i="113"/>
  <c r="AL175" i="113"/>
  <c r="AI175" i="113"/>
  <c r="AH175" i="113"/>
  <c r="AG175" i="113"/>
  <c r="AF175" i="113"/>
  <c r="AE175" i="113"/>
  <c r="AD175" i="113"/>
  <c r="AC175" i="113"/>
  <c r="AB175" i="113"/>
  <c r="AA175" i="113"/>
  <c r="Z175" i="113"/>
  <c r="Y175" i="113"/>
  <c r="X175" i="113"/>
  <c r="W175" i="113"/>
  <c r="AL174" i="113"/>
  <c r="AI174" i="113"/>
  <c r="AJ174" i="113" s="1" a="1"/>
  <c r="AJ174" i="113" s="1"/>
  <c r="AN174" i="113" s="1" a="1"/>
  <c r="AN174" i="113" s="1"/>
  <c r="AH174" i="113"/>
  <c r="AG174" i="113"/>
  <c r="AF174" i="113"/>
  <c r="AE174" i="113"/>
  <c r="AD174" i="113"/>
  <c r="AC174" i="113"/>
  <c r="AB174" i="113"/>
  <c r="AA174" i="113"/>
  <c r="Z174" i="113"/>
  <c r="Y174" i="113"/>
  <c r="X174" i="113"/>
  <c r="W174" i="113"/>
  <c r="AL173" i="113"/>
  <c r="AI173" i="113"/>
  <c r="AH173" i="113"/>
  <c r="AG173" i="113"/>
  <c r="AF173" i="113"/>
  <c r="AE173" i="113"/>
  <c r="AD173" i="113"/>
  <c r="AC173" i="113"/>
  <c r="AB173" i="113"/>
  <c r="AA173" i="113"/>
  <c r="Z173" i="113"/>
  <c r="Y173" i="113"/>
  <c r="X173" i="113"/>
  <c r="W173" i="113"/>
  <c r="AL172" i="113"/>
  <c r="AI172" i="113"/>
  <c r="AH172" i="113"/>
  <c r="AG172" i="113"/>
  <c r="AF172" i="113"/>
  <c r="AE172" i="113"/>
  <c r="AD172" i="113"/>
  <c r="AC172" i="113"/>
  <c r="AB172" i="113"/>
  <c r="AA172" i="113"/>
  <c r="Z172" i="113"/>
  <c r="Y172" i="113"/>
  <c r="X172" i="113"/>
  <c r="W172" i="113"/>
  <c r="AL171" i="113"/>
  <c r="AI171" i="113"/>
  <c r="AK171" i="113" s="1"/>
  <c r="AH171" i="113"/>
  <c r="AG171" i="113"/>
  <c r="AF171" i="113"/>
  <c r="AE171" i="113"/>
  <c r="AD171" i="113"/>
  <c r="AC171" i="113"/>
  <c r="AB171" i="113"/>
  <c r="AA171" i="113"/>
  <c r="Z171" i="113"/>
  <c r="Y171" i="113"/>
  <c r="X171" i="113"/>
  <c r="W171" i="113"/>
  <c r="AL170" i="113"/>
  <c r="AI170" i="113"/>
  <c r="AH170" i="113"/>
  <c r="AG170" i="113"/>
  <c r="AF170" i="113"/>
  <c r="AE170" i="113"/>
  <c r="AD170" i="113"/>
  <c r="AC170" i="113"/>
  <c r="AB170" i="113"/>
  <c r="AA170" i="113"/>
  <c r="Z170" i="113"/>
  <c r="Y170" i="113"/>
  <c r="X170" i="113"/>
  <c r="W170" i="113"/>
  <c r="AL169" i="113"/>
  <c r="AI169" i="113"/>
  <c r="AK169" i="113" s="1"/>
  <c r="AH169" i="113"/>
  <c r="AG169" i="113"/>
  <c r="AF169" i="113"/>
  <c r="AE169" i="113"/>
  <c r="AD169" i="113"/>
  <c r="AC169" i="113"/>
  <c r="AB169" i="113"/>
  <c r="AA169" i="113"/>
  <c r="Z169" i="113"/>
  <c r="Y169" i="113"/>
  <c r="X169" i="113"/>
  <c r="W169" i="113"/>
  <c r="AL168" i="113"/>
  <c r="AI168" i="113"/>
  <c r="AJ168" i="113" s="1" a="1"/>
  <c r="AJ168" i="113" s="1"/>
  <c r="AH168" i="113"/>
  <c r="AG168" i="113"/>
  <c r="AF168" i="113"/>
  <c r="AE168" i="113"/>
  <c r="AD168" i="113"/>
  <c r="AC168" i="113"/>
  <c r="AB168" i="113"/>
  <c r="AA168" i="113"/>
  <c r="Z168" i="113"/>
  <c r="Y168" i="113"/>
  <c r="X168" i="113"/>
  <c r="W168" i="113"/>
  <c r="AL167" i="113"/>
  <c r="AI167" i="113"/>
  <c r="AH167" i="113"/>
  <c r="AG167" i="113"/>
  <c r="AF167" i="113"/>
  <c r="AE167" i="113"/>
  <c r="AD167" i="113"/>
  <c r="AC167" i="113"/>
  <c r="AB167" i="113"/>
  <c r="AA167" i="113"/>
  <c r="Z167" i="113"/>
  <c r="Y167" i="113"/>
  <c r="X167" i="113"/>
  <c r="W167" i="113"/>
  <c r="AL166" i="113"/>
  <c r="AI166" i="113"/>
  <c r="AO166" i="113" s="1" a="1"/>
  <c r="AO166" i="113" s="1"/>
  <c r="AR166" i="113" s="1"/>
  <c r="AH166" i="113"/>
  <c r="AG166" i="113"/>
  <c r="AF166" i="113"/>
  <c r="AE166" i="113"/>
  <c r="AD166" i="113"/>
  <c r="AC166" i="113"/>
  <c r="AB166" i="113"/>
  <c r="AA166" i="113"/>
  <c r="Z166" i="113"/>
  <c r="Y166" i="113"/>
  <c r="X166" i="113"/>
  <c r="W166" i="113"/>
  <c r="AL165" i="113"/>
  <c r="AI165" i="113"/>
  <c r="AO165" i="113" s="1" a="1"/>
  <c r="AO165" i="113" s="1"/>
  <c r="AH165" i="113"/>
  <c r="AG165" i="113"/>
  <c r="AF165" i="113"/>
  <c r="AE165" i="113"/>
  <c r="AD165" i="113"/>
  <c r="AC165" i="113"/>
  <c r="AB165" i="113"/>
  <c r="AA165" i="113"/>
  <c r="Z165" i="113"/>
  <c r="Y165" i="113"/>
  <c r="X165" i="113"/>
  <c r="W165" i="113"/>
  <c r="AL164" i="113"/>
  <c r="AI164" i="113"/>
  <c r="AH164" i="113"/>
  <c r="AG164" i="113"/>
  <c r="AF164" i="113"/>
  <c r="AE164" i="113"/>
  <c r="AD164" i="113"/>
  <c r="AC164" i="113"/>
  <c r="AB164" i="113"/>
  <c r="AA164" i="113"/>
  <c r="Z164" i="113"/>
  <c r="Y164" i="113"/>
  <c r="X164" i="113"/>
  <c r="W164" i="113"/>
  <c r="AL163" i="113"/>
  <c r="AI163" i="113"/>
  <c r="AH163" i="113"/>
  <c r="AG163" i="113"/>
  <c r="AF163" i="113"/>
  <c r="AE163" i="113"/>
  <c r="AD163" i="113"/>
  <c r="AC163" i="113"/>
  <c r="AB163" i="113"/>
  <c r="AA163" i="113"/>
  <c r="Z163" i="113"/>
  <c r="Y163" i="113"/>
  <c r="X163" i="113"/>
  <c r="W163" i="113"/>
  <c r="AL162" i="113"/>
  <c r="AI162" i="113"/>
  <c r="AH162" i="113"/>
  <c r="AG162" i="113"/>
  <c r="AF162" i="113"/>
  <c r="AE162" i="113"/>
  <c r="AD162" i="113"/>
  <c r="AC162" i="113"/>
  <c r="AB162" i="113"/>
  <c r="AA162" i="113"/>
  <c r="Z162" i="113"/>
  <c r="Y162" i="113"/>
  <c r="X162" i="113"/>
  <c r="W162" i="113"/>
  <c r="AL161" i="113"/>
  <c r="AI161" i="113"/>
  <c r="AH161" i="113"/>
  <c r="AG161" i="113"/>
  <c r="AF161" i="113"/>
  <c r="AE161" i="113"/>
  <c r="AD161" i="113"/>
  <c r="AC161" i="113"/>
  <c r="AB161" i="113"/>
  <c r="AA161" i="113"/>
  <c r="Z161" i="113"/>
  <c r="Y161" i="113"/>
  <c r="X161" i="113"/>
  <c r="W161" i="113"/>
  <c r="AL160" i="113"/>
  <c r="AI160" i="113"/>
  <c r="AO160" i="113" s="1" a="1"/>
  <c r="AO160" i="113" s="1"/>
  <c r="AH160" i="113"/>
  <c r="AG160" i="113"/>
  <c r="AF160" i="113"/>
  <c r="AE160" i="113"/>
  <c r="AD160" i="113"/>
  <c r="AC160" i="113"/>
  <c r="AB160" i="113"/>
  <c r="AA160" i="113"/>
  <c r="Z160" i="113"/>
  <c r="Y160" i="113"/>
  <c r="X160" i="113"/>
  <c r="W160" i="113"/>
  <c r="AL159" i="113"/>
  <c r="AI159" i="113"/>
  <c r="AH159" i="113"/>
  <c r="AG159" i="113"/>
  <c r="AF159" i="113"/>
  <c r="AE159" i="113"/>
  <c r="AD159" i="113"/>
  <c r="AC159" i="113"/>
  <c r="AB159" i="113"/>
  <c r="AA159" i="113"/>
  <c r="Z159" i="113"/>
  <c r="Y159" i="113"/>
  <c r="X159" i="113"/>
  <c r="W159" i="113"/>
  <c r="AL158" i="113"/>
  <c r="AI158" i="113"/>
  <c r="AO158" i="113" s="1" a="1"/>
  <c r="AO158" i="113" s="1"/>
  <c r="AH158" i="113"/>
  <c r="AG158" i="113"/>
  <c r="AF158" i="113"/>
  <c r="AE158" i="113"/>
  <c r="AD158" i="113"/>
  <c r="AC158" i="113"/>
  <c r="AB158" i="113"/>
  <c r="AA158" i="113"/>
  <c r="Z158" i="113"/>
  <c r="Y158" i="113"/>
  <c r="X158" i="113"/>
  <c r="W158" i="113"/>
  <c r="AL157" i="113"/>
  <c r="AI157" i="113"/>
  <c r="AH157" i="113"/>
  <c r="AG157" i="113"/>
  <c r="AF157" i="113"/>
  <c r="AE157" i="113"/>
  <c r="AD157" i="113"/>
  <c r="AC157" i="113"/>
  <c r="AB157" i="113"/>
  <c r="AA157" i="113"/>
  <c r="Z157" i="113"/>
  <c r="Y157" i="113"/>
  <c r="X157" i="113"/>
  <c r="W157" i="113"/>
  <c r="AL156" i="113"/>
  <c r="AI156" i="113"/>
  <c r="AH156" i="113"/>
  <c r="AG156" i="113"/>
  <c r="AF156" i="113"/>
  <c r="AE156" i="113"/>
  <c r="AD156" i="113"/>
  <c r="AC156" i="113"/>
  <c r="AB156" i="113"/>
  <c r="AA156" i="113"/>
  <c r="Z156" i="113"/>
  <c r="Y156" i="113"/>
  <c r="X156" i="113"/>
  <c r="W156" i="113"/>
  <c r="AL155" i="113"/>
  <c r="AI155" i="113"/>
  <c r="AH155" i="113"/>
  <c r="AG155" i="113"/>
  <c r="AF155" i="113"/>
  <c r="AE155" i="113"/>
  <c r="AD155" i="113"/>
  <c r="AC155" i="113"/>
  <c r="AB155" i="113"/>
  <c r="AA155" i="113"/>
  <c r="Z155" i="113"/>
  <c r="Y155" i="113"/>
  <c r="X155" i="113"/>
  <c r="W155" i="113"/>
  <c r="AL154" i="113"/>
  <c r="AI154" i="113"/>
  <c r="AH154" i="113"/>
  <c r="AG154" i="113"/>
  <c r="AF154" i="113"/>
  <c r="AE154" i="113"/>
  <c r="AD154" i="113"/>
  <c r="AC154" i="113"/>
  <c r="AB154" i="113"/>
  <c r="AA154" i="113"/>
  <c r="Z154" i="113"/>
  <c r="Y154" i="113"/>
  <c r="X154" i="113"/>
  <c r="W154" i="113"/>
  <c r="AL153" i="113"/>
  <c r="AI153" i="113"/>
  <c r="AH153" i="113"/>
  <c r="AG153" i="113"/>
  <c r="AF153" i="113"/>
  <c r="AE153" i="113"/>
  <c r="AD153" i="113"/>
  <c r="AC153" i="113"/>
  <c r="AB153" i="113"/>
  <c r="AA153" i="113"/>
  <c r="Z153" i="113"/>
  <c r="Y153" i="113"/>
  <c r="X153" i="113"/>
  <c r="W153" i="113"/>
  <c r="AL152" i="113"/>
  <c r="AI152" i="113"/>
  <c r="AH152" i="113"/>
  <c r="AG152" i="113"/>
  <c r="AF152" i="113"/>
  <c r="AE152" i="113"/>
  <c r="AD152" i="113"/>
  <c r="AC152" i="113"/>
  <c r="AB152" i="113"/>
  <c r="AA152" i="113"/>
  <c r="Z152" i="113"/>
  <c r="Y152" i="113"/>
  <c r="X152" i="113"/>
  <c r="W152" i="113"/>
  <c r="AL151" i="113"/>
  <c r="AI151" i="113"/>
  <c r="AH151" i="113"/>
  <c r="AG151" i="113"/>
  <c r="AF151" i="113"/>
  <c r="AE151" i="113"/>
  <c r="AD151" i="113"/>
  <c r="AC151" i="113"/>
  <c r="AB151" i="113"/>
  <c r="AA151" i="113"/>
  <c r="Z151" i="113"/>
  <c r="Y151" i="113"/>
  <c r="X151" i="113"/>
  <c r="W151" i="113"/>
  <c r="AL150" i="113"/>
  <c r="AI150" i="113"/>
  <c r="AH150" i="113"/>
  <c r="AG150" i="113"/>
  <c r="AF150" i="113"/>
  <c r="AE150" i="113"/>
  <c r="AD150" i="113"/>
  <c r="AC150" i="113"/>
  <c r="AB150" i="113"/>
  <c r="AA150" i="113"/>
  <c r="Z150" i="113"/>
  <c r="Y150" i="113"/>
  <c r="X150" i="113"/>
  <c r="W150" i="113"/>
  <c r="AL149" i="113"/>
  <c r="AI149" i="113"/>
  <c r="AH149" i="113"/>
  <c r="AG149" i="113"/>
  <c r="AF149" i="113"/>
  <c r="AE149" i="113"/>
  <c r="AD149" i="113"/>
  <c r="AC149" i="113"/>
  <c r="AB149" i="113"/>
  <c r="AA149" i="113"/>
  <c r="Z149" i="113"/>
  <c r="Y149" i="113"/>
  <c r="X149" i="113"/>
  <c r="W149" i="113"/>
  <c r="AL148" i="113"/>
  <c r="AI148" i="113"/>
  <c r="AH148" i="113"/>
  <c r="AG148" i="113"/>
  <c r="AF148" i="113"/>
  <c r="AE148" i="113"/>
  <c r="AD148" i="113"/>
  <c r="AC148" i="113"/>
  <c r="AB148" i="113"/>
  <c r="AA148" i="113"/>
  <c r="Z148" i="113"/>
  <c r="Y148" i="113"/>
  <c r="X148" i="113"/>
  <c r="W148" i="113"/>
  <c r="AL147" i="113"/>
  <c r="AI147" i="113"/>
  <c r="AH147" i="113"/>
  <c r="AG147" i="113"/>
  <c r="AF147" i="113"/>
  <c r="AE147" i="113"/>
  <c r="AD147" i="113"/>
  <c r="AC147" i="113"/>
  <c r="AB147" i="113"/>
  <c r="AA147" i="113"/>
  <c r="Z147" i="113"/>
  <c r="Y147" i="113"/>
  <c r="X147" i="113"/>
  <c r="W147" i="113"/>
  <c r="AL146" i="113"/>
  <c r="AI146" i="113"/>
  <c r="AO146" i="113" s="1" a="1"/>
  <c r="AO146" i="113" s="1"/>
  <c r="AH146" i="113"/>
  <c r="AG146" i="113"/>
  <c r="AF146" i="113"/>
  <c r="AE146" i="113"/>
  <c r="AD146" i="113"/>
  <c r="AC146" i="113"/>
  <c r="AB146" i="113"/>
  <c r="AA146" i="113"/>
  <c r="Z146" i="113"/>
  <c r="Y146" i="113"/>
  <c r="X146" i="113"/>
  <c r="W146" i="113"/>
  <c r="AL145" i="113"/>
  <c r="AI145" i="113"/>
  <c r="AK145" i="113" s="1"/>
  <c r="AH145" i="113"/>
  <c r="AG145" i="113"/>
  <c r="AF145" i="113"/>
  <c r="AE145" i="113"/>
  <c r="AD145" i="113"/>
  <c r="AC145" i="113"/>
  <c r="AB145" i="113"/>
  <c r="AA145" i="113"/>
  <c r="Z145" i="113"/>
  <c r="Y145" i="113"/>
  <c r="X145" i="113"/>
  <c r="W145" i="113"/>
  <c r="AL144" i="113"/>
  <c r="AI144" i="113"/>
  <c r="AH144" i="113"/>
  <c r="AG144" i="113"/>
  <c r="AF144" i="113"/>
  <c r="AE144" i="113"/>
  <c r="AD144" i="113"/>
  <c r="AC144" i="113"/>
  <c r="AB144" i="113"/>
  <c r="AA144" i="113"/>
  <c r="Z144" i="113"/>
  <c r="Y144" i="113"/>
  <c r="X144" i="113"/>
  <c r="W144" i="113"/>
  <c r="AL143" i="113"/>
  <c r="AI143" i="113"/>
  <c r="AJ143" i="113" s="1" a="1"/>
  <c r="AJ143" i="113" s="1"/>
  <c r="AH143" i="113"/>
  <c r="AG143" i="113"/>
  <c r="AF143" i="113"/>
  <c r="AE143" i="113"/>
  <c r="AD143" i="113"/>
  <c r="AC143" i="113"/>
  <c r="AB143" i="113"/>
  <c r="AA143" i="113"/>
  <c r="Z143" i="113"/>
  <c r="Y143" i="113"/>
  <c r="X143" i="113"/>
  <c r="W143" i="113"/>
  <c r="AL142" i="113"/>
  <c r="AI142" i="113"/>
  <c r="AJ142" i="113" s="1" a="1"/>
  <c r="AJ142" i="113" s="1"/>
  <c r="AH142" i="113"/>
  <c r="AG142" i="113"/>
  <c r="AF142" i="113"/>
  <c r="AE142" i="113"/>
  <c r="AD142" i="113"/>
  <c r="AC142" i="113"/>
  <c r="AB142" i="113"/>
  <c r="AA142" i="113"/>
  <c r="Z142" i="113"/>
  <c r="Y142" i="113"/>
  <c r="X142" i="113"/>
  <c r="W142" i="113"/>
  <c r="AL141" i="113"/>
  <c r="AI141" i="113"/>
  <c r="AH141" i="113"/>
  <c r="AG141" i="113"/>
  <c r="AF141" i="113"/>
  <c r="AE141" i="113"/>
  <c r="AD141" i="113"/>
  <c r="AC141" i="113"/>
  <c r="AB141" i="113"/>
  <c r="AA141" i="113"/>
  <c r="Z141" i="113"/>
  <c r="Y141" i="113"/>
  <c r="X141" i="113"/>
  <c r="W141" i="113"/>
  <c r="AL140" i="113"/>
  <c r="AI140" i="113"/>
  <c r="AJ140" i="113" s="1" a="1"/>
  <c r="AJ140" i="113" s="1"/>
  <c r="AN140" i="113" s="1" a="1"/>
  <c r="AN140" i="113" s="1"/>
  <c r="AH140" i="113"/>
  <c r="AG140" i="113"/>
  <c r="AF140" i="113"/>
  <c r="AE140" i="113"/>
  <c r="AD140" i="113"/>
  <c r="AC140" i="113"/>
  <c r="AB140" i="113"/>
  <c r="AA140" i="113"/>
  <c r="Z140" i="113"/>
  <c r="Y140" i="113"/>
  <c r="X140" i="113"/>
  <c r="W140" i="113"/>
  <c r="AL139" i="113"/>
  <c r="AI139" i="113"/>
  <c r="AH139" i="113"/>
  <c r="AG139" i="113"/>
  <c r="AF139" i="113"/>
  <c r="AE139" i="113"/>
  <c r="AD139" i="113"/>
  <c r="AC139" i="113"/>
  <c r="AB139" i="113"/>
  <c r="AA139" i="113"/>
  <c r="Z139" i="113"/>
  <c r="Y139" i="113"/>
  <c r="X139" i="113"/>
  <c r="W139" i="113"/>
  <c r="AL138" i="113"/>
  <c r="AI138" i="113"/>
  <c r="AH138" i="113"/>
  <c r="AG138" i="113"/>
  <c r="AF138" i="113"/>
  <c r="AE138" i="113"/>
  <c r="AD138" i="113"/>
  <c r="AC138" i="113"/>
  <c r="AB138" i="113"/>
  <c r="AA138" i="113"/>
  <c r="Z138" i="113"/>
  <c r="Y138" i="113"/>
  <c r="X138" i="113"/>
  <c r="W138" i="113"/>
  <c r="AL137" i="113"/>
  <c r="AI137" i="113"/>
  <c r="AH137" i="113"/>
  <c r="AG137" i="113"/>
  <c r="AF137" i="113"/>
  <c r="AE137" i="113"/>
  <c r="AD137" i="113"/>
  <c r="AC137" i="113"/>
  <c r="AB137" i="113"/>
  <c r="AA137" i="113"/>
  <c r="Z137" i="113"/>
  <c r="Y137" i="113"/>
  <c r="X137" i="113"/>
  <c r="W137" i="113"/>
  <c r="AL136" i="113"/>
  <c r="AI136" i="113"/>
  <c r="AH136" i="113"/>
  <c r="AG136" i="113"/>
  <c r="AF136" i="113"/>
  <c r="AE136" i="113"/>
  <c r="AD136" i="113"/>
  <c r="AC136" i="113"/>
  <c r="AB136" i="113"/>
  <c r="AA136" i="113"/>
  <c r="Z136" i="113"/>
  <c r="Y136" i="113"/>
  <c r="X136" i="113"/>
  <c r="W136" i="113"/>
  <c r="AL135" i="113"/>
  <c r="AI135" i="113"/>
  <c r="AK135" i="113" s="1"/>
  <c r="AH135" i="113"/>
  <c r="AG135" i="113"/>
  <c r="AF135" i="113"/>
  <c r="AE135" i="113"/>
  <c r="AD135" i="113"/>
  <c r="AC135" i="113"/>
  <c r="AB135" i="113"/>
  <c r="AA135" i="113"/>
  <c r="Z135" i="113"/>
  <c r="Y135" i="113"/>
  <c r="X135" i="113"/>
  <c r="W135" i="113"/>
  <c r="AL134" i="113"/>
  <c r="AI134" i="113"/>
  <c r="AO134" i="113" s="1" a="1"/>
  <c r="AO134" i="113" s="1"/>
  <c r="AH134" i="113"/>
  <c r="AG134" i="113"/>
  <c r="AF134" i="113"/>
  <c r="AE134" i="113"/>
  <c r="AD134" i="113"/>
  <c r="AC134" i="113"/>
  <c r="AB134" i="113"/>
  <c r="AA134" i="113"/>
  <c r="Z134" i="113"/>
  <c r="Y134" i="113"/>
  <c r="X134" i="113"/>
  <c r="W134" i="113"/>
  <c r="AL133" i="113"/>
  <c r="AI133" i="113"/>
  <c r="AH133" i="113"/>
  <c r="AG133" i="113"/>
  <c r="AF133" i="113"/>
  <c r="AE133" i="113"/>
  <c r="AD133" i="113"/>
  <c r="AC133" i="113"/>
  <c r="AB133" i="113"/>
  <c r="AA133" i="113"/>
  <c r="Z133" i="113"/>
  <c r="Y133" i="113"/>
  <c r="X133" i="113"/>
  <c r="W133" i="113"/>
  <c r="AL132" i="113"/>
  <c r="AI132" i="113"/>
  <c r="AJ132" i="113" s="1" a="1"/>
  <c r="AJ132" i="113" s="1"/>
  <c r="AN132" i="113" s="1" a="1"/>
  <c r="AN132" i="113" s="1"/>
  <c r="AH132" i="113"/>
  <c r="AG132" i="113"/>
  <c r="AF132" i="113"/>
  <c r="AE132" i="113"/>
  <c r="AD132" i="113"/>
  <c r="AC132" i="113"/>
  <c r="AB132" i="113"/>
  <c r="AA132" i="113"/>
  <c r="Z132" i="113"/>
  <c r="Y132" i="113"/>
  <c r="X132" i="113"/>
  <c r="W132" i="113"/>
  <c r="AL131" i="113"/>
  <c r="AI131" i="113"/>
  <c r="AK131" i="113" s="1"/>
  <c r="AH131" i="113"/>
  <c r="AG131" i="113"/>
  <c r="AF131" i="113"/>
  <c r="AE131" i="113"/>
  <c r="AD131" i="113"/>
  <c r="AC131" i="113"/>
  <c r="AB131" i="113"/>
  <c r="AA131" i="113"/>
  <c r="Z131" i="113"/>
  <c r="Y131" i="113"/>
  <c r="X131" i="113"/>
  <c r="W131" i="113"/>
  <c r="AL130" i="113"/>
  <c r="AI130" i="113"/>
  <c r="AH130" i="113"/>
  <c r="AG130" i="113"/>
  <c r="AF130" i="113"/>
  <c r="AE130" i="113"/>
  <c r="AD130" i="113"/>
  <c r="AC130" i="113"/>
  <c r="AB130" i="113"/>
  <c r="AA130" i="113"/>
  <c r="Z130" i="113"/>
  <c r="Y130" i="113"/>
  <c r="X130" i="113"/>
  <c r="W130" i="113"/>
  <c r="AL129" i="113"/>
  <c r="AI129" i="113"/>
  <c r="AH129" i="113"/>
  <c r="AG129" i="113"/>
  <c r="AF129" i="113"/>
  <c r="AE129" i="113"/>
  <c r="AD129" i="113"/>
  <c r="AC129" i="113"/>
  <c r="AB129" i="113"/>
  <c r="AA129" i="113"/>
  <c r="Z129" i="113"/>
  <c r="Y129" i="113"/>
  <c r="X129" i="113"/>
  <c r="W129" i="113"/>
  <c r="AL128" i="113"/>
  <c r="AI128" i="113"/>
  <c r="AJ128" i="113" s="1" a="1"/>
  <c r="AJ128" i="113" s="1"/>
  <c r="AH128" i="113"/>
  <c r="AG128" i="113"/>
  <c r="AF128" i="113"/>
  <c r="AE128" i="113"/>
  <c r="AD128" i="113"/>
  <c r="AC128" i="113"/>
  <c r="AB128" i="113"/>
  <c r="AA128" i="113"/>
  <c r="Z128" i="113"/>
  <c r="Y128" i="113"/>
  <c r="X128" i="113"/>
  <c r="W128" i="113"/>
  <c r="AL127" i="113"/>
  <c r="AI127" i="113"/>
  <c r="AO127" i="113" s="1" a="1"/>
  <c r="AO127" i="113" s="1"/>
  <c r="AH127" i="113"/>
  <c r="AG127" i="113"/>
  <c r="AF127" i="113"/>
  <c r="AE127" i="113"/>
  <c r="AD127" i="113"/>
  <c r="AC127" i="113"/>
  <c r="AB127" i="113"/>
  <c r="AA127" i="113"/>
  <c r="Z127" i="113"/>
  <c r="Y127" i="113"/>
  <c r="X127" i="113"/>
  <c r="W127" i="113"/>
  <c r="AL126" i="113"/>
  <c r="AI126" i="113"/>
  <c r="AK126" i="113" s="1"/>
  <c r="AH126" i="113"/>
  <c r="AG126" i="113"/>
  <c r="AF126" i="113"/>
  <c r="AE126" i="113"/>
  <c r="AD126" i="113"/>
  <c r="AC126" i="113"/>
  <c r="AB126" i="113"/>
  <c r="AA126" i="113"/>
  <c r="Z126" i="113"/>
  <c r="Y126" i="113"/>
  <c r="X126" i="113"/>
  <c r="W126" i="113"/>
  <c r="AL125" i="113"/>
  <c r="AI125" i="113"/>
  <c r="AH125" i="113"/>
  <c r="AG125" i="113"/>
  <c r="AF125" i="113"/>
  <c r="AE125" i="113"/>
  <c r="AD125" i="113"/>
  <c r="AC125" i="113"/>
  <c r="AB125" i="113"/>
  <c r="AA125" i="113"/>
  <c r="Z125" i="113"/>
  <c r="Y125" i="113"/>
  <c r="X125" i="113"/>
  <c r="W125" i="113"/>
  <c r="AL124" i="113"/>
  <c r="AI124" i="113"/>
  <c r="AJ124" i="113" s="1" a="1"/>
  <c r="AJ124" i="113" s="1"/>
  <c r="AN124" i="113" s="1" a="1"/>
  <c r="AN124" i="113" s="1"/>
  <c r="AH124" i="113"/>
  <c r="AG124" i="113"/>
  <c r="AF124" i="113"/>
  <c r="AE124" i="113"/>
  <c r="AD124" i="113"/>
  <c r="AC124" i="113"/>
  <c r="AB124" i="113"/>
  <c r="AA124" i="113"/>
  <c r="Z124" i="113"/>
  <c r="Y124" i="113"/>
  <c r="X124" i="113"/>
  <c r="W124" i="113"/>
  <c r="AL123" i="113"/>
  <c r="AI123" i="113"/>
  <c r="AH123" i="113"/>
  <c r="AG123" i="113"/>
  <c r="AF123" i="113"/>
  <c r="AE123" i="113"/>
  <c r="AD123" i="113"/>
  <c r="AC123" i="113"/>
  <c r="AB123" i="113"/>
  <c r="AA123" i="113"/>
  <c r="Z123" i="113"/>
  <c r="Y123" i="113"/>
  <c r="X123" i="113"/>
  <c r="W123" i="113"/>
  <c r="AL122" i="113"/>
  <c r="AI122" i="113"/>
  <c r="AK122" i="113" s="1"/>
  <c r="AH122" i="113"/>
  <c r="AG122" i="113"/>
  <c r="AF122" i="113"/>
  <c r="AE122" i="113"/>
  <c r="AD122" i="113"/>
  <c r="AC122" i="113"/>
  <c r="AB122" i="113"/>
  <c r="AA122" i="113"/>
  <c r="Z122" i="113"/>
  <c r="Y122" i="113"/>
  <c r="X122" i="113"/>
  <c r="W122" i="113"/>
  <c r="AL121" i="113"/>
  <c r="AI121" i="113"/>
  <c r="AH121" i="113"/>
  <c r="AG121" i="113"/>
  <c r="AF121" i="113"/>
  <c r="AE121" i="113"/>
  <c r="AD121" i="113"/>
  <c r="AC121" i="113"/>
  <c r="AB121" i="113"/>
  <c r="AA121" i="113"/>
  <c r="Z121" i="113"/>
  <c r="Y121" i="113"/>
  <c r="X121" i="113"/>
  <c r="W121" i="113"/>
  <c r="AL120" i="113"/>
  <c r="AI120" i="113"/>
  <c r="AH120" i="113"/>
  <c r="AG120" i="113"/>
  <c r="AF120" i="113"/>
  <c r="AE120" i="113"/>
  <c r="AD120" i="113"/>
  <c r="AC120" i="113"/>
  <c r="AB120" i="113"/>
  <c r="AA120" i="113"/>
  <c r="Z120" i="113"/>
  <c r="Y120" i="113"/>
  <c r="X120" i="113"/>
  <c r="W120" i="113"/>
  <c r="AL119" i="113"/>
  <c r="AI119" i="113"/>
  <c r="AH119" i="113"/>
  <c r="AG119" i="113"/>
  <c r="AF119" i="113"/>
  <c r="AE119" i="113"/>
  <c r="AD119" i="113"/>
  <c r="AC119" i="113"/>
  <c r="AB119" i="113"/>
  <c r="AA119" i="113"/>
  <c r="Z119" i="113"/>
  <c r="Y119" i="113"/>
  <c r="X119" i="113"/>
  <c r="W119" i="113"/>
  <c r="AL118" i="113"/>
  <c r="AI118" i="113"/>
  <c r="AJ118" i="113" s="1" a="1"/>
  <c r="AJ118" i="113" s="1"/>
  <c r="AH118" i="113"/>
  <c r="AG118" i="113"/>
  <c r="AF118" i="113"/>
  <c r="AE118" i="113"/>
  <c r="AD118" i="113"/>
  <c r="AC118" i="113"/>
  <c r="AB118" i="113"/>
  <c r="AA118" i="113"/>
  <c r="Z118" i="113"/>
  <c r="Y118" i="113"/>
  <c r="X118" i="113"/>
  <c r="W118" i="113"/>
  <c r="AL117" i="113"/>
  <c r="AI117" i="113"/>
  <c r="AK117" i="113" s="1"/>
  <c r="AH117" i="113"/>
  <c r="AG117" i="113"/>
  <c r="AF117" i="113"/>
  <c r="AE117" i="113"/>
  <c r="AD117" i="113"/>
  <c r="AC117" i="113"/>
  <c r="AB117" i="113"/>
  <c r="AA117" i="113"/>
  <c r="Z117" i="113"/>
  <c r="Y117" i="113"/>
  <c r="X117" i="113"/>
  <c r="W117" i="113"/>
  <c r="AL116" i="113"/>
  <c r="AI116" i="113"/>
  <c r="AH116" i="113"/>
  <c r="AG116" i="113"/>
  <c r="AF116" i="113"/>
  <c r="AE116" i="113"/>
  <c r="AD116" i="113"/>
  <c r="AC116" i="113"/>
  <c r="AB116" i="113"/>
  <c r="AA116" i="113"/>
  <c r="Z116" i="113"/>
  <c r="Y116" i="113"/>
  <c r="X116" i="113"/>
  <c r="W116" i="113"/>
  <c r="AL115" i="113"/>
  <c r="AI115" i="113"/>
  <c r="AO115" i="113" s="1" a="1"/>
  <c r="AO115" i="113" s="1"/>
  <c r="AH115" i="113"/>
  <c r="AG115" i="113"/>
  <c r="AF115" i="113"/>
  <c r="AE115" i="113"/>
  <c r="AD115" i="113"/>
  <c r="AC115" i="113"/>
  <c r="AB115" i="113"/>
  <c r="AA115" i="113"/>
  <c r="Z115" i="113"/>
  <c r="Y115" i="113"/>
  <c r="X115" i="113"/>
  <c r="W115" i="113"/>
  <c r="AL114" i="113"/>
  <c r="AI114" i="113"/>
  <c r="AH114" i="113"/>
  <c r="AG114" i="113"/>
  <c r="AF114" i="113"/>
  <c r="AE114" i="113"/>
  <c r="AD114" i="113"/>
  <c r="AC114" i="113"/>
  <c r="AB114" i="113"/>
  <c r="AA114" i="113"/>
  <c r="Z114" i="113"/>
  <c r="Y114" i="113"/>
  <c r="X114" i="113"/>
  <c r="W114" i="113"/>
  <c r="AL113" i="113"/>
  <c r="AI113" i="113"/>
  <c r="AO113" i="113" s="1" a="1"/>
  <c r="AO113" i="113" s="1"/>
  <c r="AH113" i="113"/>
  <c r="AG113" i="113"/>
  <c r="AF113" i="113"/>
  <c r="AE113" i="113"/>
  <c r="AD113" i="113"/>
  <c r="AC113" i="113"/>
  <c r="AB113" i="113"/>
  <c r="AA113" i="113"/>
  <c r="Z113" i="113"/>
  <c r="Y113" i="113"/>
  <c r="X113" i="113"/>
  <c r="W113" i="113"/>
  <c r="AL112" i="113"/>
  <c r="AI112" i="113"/>
  <c r="AH112" i="113"/>
  <c r="AG112" i="113"/>
  <c r="AF112" i="113"/>
  <c r="AE112" i="113"/>
  <c r="AD112" i="113"/>
  <c r="AC112" i="113"/>
  <c r="AB112" i="113"/>
  <c r="AA112" i="113"/>
  <c r="Z112" i="113"/>
  <c r="Y112" i="113"/>
  <c r="X112" i="113"/>
  <c r="W112" i="113"/>
  <c r="AL111" i="113"/>
  <c r="AI111" i="113"/>
  <c r="AH111" i="113"/>
  <c r="AG111" i="113"/>
  <c r="AF111" i="113"/>
  <c r="AE111" i="113"/>
  <c r="AD111" i="113"/>
  <c r="AC111" i="113"/>
  <c r="AB111" i="113"/>
  <c r="AA111" i="113"/>
  <c r="Z111" i="113"/>
  <c r="Y111" i="113"/>
  <c r="X111" i="113"/>
  <c r="W111" i="113"/>
  <c r="AL110" i="113"/>
  <c r="AI110" i="113"/>
  <c r="AH110" i="113"/>
  <c r="AG110" i="113"/>
  <c r="AF110" i="113"/>
  <c r="AE110" i="113"/>
  <c r="AD110" i="113"/>
  <c r="AC110" i="113"/>
  <c r="AB110" i="113"/>
  <c r="AA110" i="113"/>
  <c r="Z110" i="113"/>
  <c r="Y110" i="113"/>
  <c r="X110" i="113"/>
  <c r="W110" i="113"/>
  <c r="AL109" i="113"/>
  <c r="AI109" i="113"/>
  <c r="AH109" i="113"/>
  <c r="AG109" i="113"/>
  <c r="AF109" i="113"/>
  <c r="AE109" i="113"/>
  <c r="AD109" i="113"/>
  <c r="AC109" i="113"/>
  <c r="AB109" i="113"/>
  <c r="AA109" i="113"/>
  <c r="Z109" i="113"/>
  <c r="Y109" i="113"/>
  <c r="X109" i="113"/>
  <c r="W109" i="113"/>
  <c r="AL108" i="113"/>
  <c r="AI108" i="113"/>
  <c r="AK108" i="113" s="1"/>
  <c r="AH108" i="113"/>
  <c r="AG108" i="113"/>
  <c r="AF108" i="113"/>
  <c r="AE108" i="113"/>
  <c r="AD108" i="113"/>
  <c r="AC108" i="113"/>
  <c r="AB108" i="113"/>
  <c r="AA108" i="113"/>
  <c r="Z108" i="113"/>
  <c r="Y108" i="113"/>
  <c r="X108" i="113"/>
  <c r="W108" i="113"/>
  <c r="AL107" i="113"/>
  <c r="AI107" i="113"/>
  <c r="AH107" i="113"/>
  <c r="AG107" i="113"/>
  <c r="AF107" i="113"/>
  <c r="AE107" i="113"/>
  <c r="AD107" i="113"/>
  <c r="AC107" i="113"/>
  <c r="AB107" i="113"/>
  <c r="AA107" i="113"/>
  <c r="Z107" i="113"/>
  <c r="Y107" i="113"/>
  <c r="X107" i="113"/>
  <c r="W107" i="113"/>
  <c r="AL106" i="113"/>
  <c r="AI106" i="113"/>
  <c r="AO106" i="113" s="1" a="1"/>
  <c r="AO106" i="113" s="1"/>
  <c r="AH106" i="113"/>
  <c r="AG106" i="113"/>
  <c r="AF106" i="113"/>
  <c r="AE106" i="113"/>
  <c r="AD106" i="113"/>
  <c r="AC106" i="113"/>
  <c r="AB106" i="113"/>
  <c r="AA106" i="113"/>
  <c r="Z106" i="113"/>
  <c r="Y106" i="113"/>
  <c r="X106" i="113"/>
  <c r="W106" i="113"/>
  <c r="AL105" i="113"/>
  <c r="AI105" i="113"/>
  <c r="AH105" i="113"/>
  <c r="AG105" i="113"/>
  <c r="AF105" i="113"/>
  <c r="AE105" i="113"/>
  <c r="AD105" i="113"/>
  <c r="AC105" i="113"/>
  <c r="AB105" i="113"/>
  <c r="AA105" i="113"/>
  <c r="Z105" i="113"/>
  <c r="Y105" i="113"/>
  <c r="X105" i="113"/>
  <c r="W105" i="113"/>
  <c r="AL104" i="113"/>
  <c r="AI104" i="113"/>
  <c r="AK104" i="113" s="1"/>
  <c r="AH104" i="113"/>
  <c r="AG104" i="113"/>
  <c r="AF104" i="113"/>
  <c r="AE104" i="113"/>
  <c r="AD104" i="113"/>
  <c r="AC104" i="113"/>
  <c r="AB104" i="113"/>
  <c r="AA104" i="113"/>
  <c r="Z104" i="113"/>
  <c r="Y104" i="113"/>
  <c r="X104" i="113"/>
  <c r="W104" i="113"/>
  <c r="AL103" i="113"/>
  <c r="AI103" i="113"/>
  <c r="AO103" i="113" s="1" a="1"/>
  <c r="AO103" i="113" s="1"/>
  <c r="AH103" i="113"/>
  <c r="AG103" i="113"/>
  <c r="AF103" i="113"/>
  <c r="AE103" i="113"/>
  <c r="AD103" i="113"/>
  <c r="AC103" i="113"/>
  <c r="AB103" i="113"/>
  <c r="AA103" i="113"/>
  <c r="Z103" i="113"/>
  <c r="Y103" i="113"/>
  <c r="X103" i="113"/>
  <c r="W103" i="113"/>
  <c r="AL102" i="113"/>
  <c r="AI102" i="113"/>
  <c r="AH102" i="113"/>
  <c r="AG102" i="113"/>
  <c r="AF102" i="113"/>
  <c r="AE102" i="113"/>
  <c r="AD102" i="113"/>
  <c r="AC102" i="113"/>
  <c r="AB102" i="113"/>
  <c r="AA102" i="113"/>
  <c r="Z102" i="113"/>
  <c r="Y102" i="113"/>
  <c r="X102" i="113"/>
  <c r="W102" i="113"/>
  <c r="AL101" i="113"/>
  <c r="AI101" i="113"/>
  <c r="AH101" i="113"/>
  <c r="AG101" i="113"/>
  <c r="AF101" i="113"/>
  <c r="AE101" i="113"/>
  <c r="AD101" i="113"/>
  <c r="AC101" i="113"/>
  <c r="AB101" i="113"/>
  <c r="AA101" i="113"/>
  <c r="Z101" i="113"/>
  <c r="Y101" i="113"/>
  <c r="X101" i="113"/>
  <c r="W101" i="113"/>
  <c r="AL100" i="113"/>
  <c r="AI100" i="113"/>
  <c r="AK100" i="113" s="1"/>
  <c r="AH100" i="113"/>
  <c r="AG100" i="113"/>
  <c r="AF100" i="113"/>
  <c r="AE100" i="113"/>
  <c r="AD100" i="113"/>
  <c r="AC100" i="113"/>
  <c r="AB100" i="113"/>
  <c r="AA100" i="113"/>
  <c r="Z100" i="113"/>
  <c r="Y100" i="113"/>
  <c r="X100" i="113"/>
  <c r="W100" i="113"/>
  <c r="AL99" i="113"/>
  <c r="AI99" i="113"/>
  <c r="AH99" i="113"/>
  <c r="AG99" i="113"/>
  <c r="AF99" i="113"/>
  <c r="AE99" i="113"/>
  <c r="AD99" i="113"/>
  <c r="AC99" i="113"/>
  <c r="AB99" i="113"/>
  <c r="AA99" i="113"/>
  <c r="Z99" i="113"/>
  <c r="Y99" i="113"/>
  <c r="X99" i="113"/>
  <c r="W99" i="113"/>
  <c r="AL98" i="113"/>
  <c r="AI98" i="113"/>
  <c r="AH98" i="113"/>
  <c r="AG98" i="113"/>
  <c r="AF98" i="113"/>
  <c r="AE98" i="113"/>
  <c r="AD98" i="113"/>
  <c r="AC98" i="113"/>
  <c r="AB98" i="113"/>
  <c r="AA98" i="113"/>
  <c r="Z98" i="113"/>
  <c r="Y98" i="113"/>
  <c r="X98" i="113"/>
  <c r="W98" i="113"/>
  <c r="AL97" i="113"/>
  <c r="AI97" i="113"/>
  <c r="AH97" i="113"/>
  <c r="AG97" i="113"/>
  <c r="AF97" i="113"/>
  <c r="AE97" i="113"/>
  <c r="AD97" i="113"/>
  <c r="AC97" i="113"/>
  <c r="AB97" i="113"/>
  <c r="AA97" i="113"/>
  <c r="Z97" i="113"/>
  <c r="Y97" i="113"/>
  <c r="X97" i="113"/>
  <c r="W97" i="113"/>
  <c r="AL96" i="113"/>
  <c r="AI96" i="113"/>
  <c r="AH96" i="113"/>
  <c r="AG96" i="113"/>
  <c r="AF96" i="113"/>
  <c r="AE96" i="113"/>
  <c r="AD96" i="113"/>
  <c r="AC96" i="113"/>
  <c r="AB96" i="113"/>
  <c r="AA96" i="113"/>
  <c r="Z96" i="113"/>
  <c r="Y96" i="113"/>
  <c r="X96" i="113"/>
  <c r="W96" i="113"/>
  <c r="AL95" i="113"/>
  <c r="AI95" i="113"/>
  <c r="AO95" i="113" s="1" a="1"/>
  <c r="AO95" i="113" s="1"/>
  <c r="AH95" i="113"/>
  <c r="AG95" i="113"/>
  <c r="AF95" i="113"/>
  <c r="AE95" i="113"/>
  <c r="AD95" i="113"/>
  <c r="AC95" i="113"/>
  <c r="AB95" i="113"/>
  <c r="AA95" i="113"/>
  <c r="Z95" i="113"/>
  <c r="Y95" i="113"/>
  <c r="X95" i="113"/>
  <c r="W95" i="113"/>
  <c r="AL94" i="113"/>
  <c r="AI94" i="113"/>
  <c r="AH94" i="113"/>
  <c r="AG94" i="113"/>
  <c r="AF94" i="113"/>
  <c r="AE94" i="113"/>
  <c r="AD94" i="113"/>
  <c r="AC94" i="113"/>
  <c r="AB94" i="113"/>
  <c r="AA94" i="113"/>
  <c r="Z94" i="113"/>
  <c r="Y94" i="113"/>
  <c r="X94" i="113"/>
  <c r="W94" i="113"/>
  <c r="AL93" i="113"/>
  <c r="AI93" i="113"/>
  <c r="AH93" i="113"/>
  <c r="AG93" i="113"/>
  <c r="AF93" i="113"/>
  <c r="AE93" i="113"/>
  <c r="AD93" i="113"/>
  <c r="AC93" i="113"/>
  <c r="AB93" i="113"/>
  <c r="AA93" i="113"/>
  <c r="Z93" i="113"/>
  <c r="Y93" i="113"/>
  <c r="X93" i="113"/>
  <c r="W93" i="113"/>
  <c r="AL92" i="113"/>
  <c r="AI92" i="113"/>
  <c r="AH92" i="113"/>
  <c r="AG92" i="113"/>
  <c r="AF92" i="113"/>
  <c r="AE92" i="113"/>
  <c r="AD92" i="113"/>
  <c r="AC92" i="113"/>
  <c r="AB92" i="113"/>
  <c r="AA92" i="113"/>
  <c r="Z92" i="113"/>
  <c r="Y92" i="113"/>
  <c r="X92" i="113"/>
  <c r="W92" i="113"/>
  <c r="AL91" i="113"/>
  <c r="AI91" i="113"/>
  <c r="AH91" i="113"/>
  <c r="AG91" i="113"/>
  <c r="AF91" i="113"/>
  <c r="AE91" i="113"/>
  <c r="AD91" i="113"/>
  <c r="AC91" i="113"/>
  <c r="AB91" i="113"/>
  <c r="AA91" i="113"/>
  <c r="Z91" i="113"/>
  <c r="Y91" i="113"/>
  <c r="X91" i="113"/>
  <c r="W91" i="113"/>
  <c r="AL90" i="113"/>
  <c r="AI90" i="113"/>
  <c r="AH90" i="113"/>
  <c r="AG90" i="113"/>
  <c r="AF90" i="113"/>
  <c r="AE90" i="113"/>
  <c r="AD90" i="113"/>
  <c r="AC90" i="113"/>
  <c r="AB90" i="113"/>
  <c r="AA90" i="113"/>
  <c r="Z90" i="113"/>
  <c r="Y90" i="113"/>
  <c r="X90" i="113"/>
  <c r="W90" i="113"/>
  <c r="AL89" i="113"/>
  <c r="AI89" i="113"/>
  <c r="AH89" i="113"/>
  <c r="AG89" i="113"/>
  <c r="AF89" i="113"/>
  <c r="AE89" i="113"/>
  <c r="AD89" i="113"/>
  <c r="AC89" i="113"/>
  <c r="AB89" i="113"/>
  <c r="AA89" i="113"/>
  <c r="Z89" i="113"/>
  <c r="Y89" i="113"/>
  <c r="X89" i="113"/>
  <c r="W89" i="113"/>
  <c r="AL88" i="113"/>
  <c r="AI88" i="113"/>
  <c r="AO88" i="113" s="1" a="1"/>
  <c r="AO88" i="113" s="1"/>
  <c r="AH88" i="113"/>
  <c r="AG88" i="113"/>
  <c r="AF88" i="113"/>
  <c r="AE88" i="113"/>
  <c r="AD88" i="113"/>
  <c r="AC88" i="113"/>
  <c r="AB88" i="113"/>
  <c r="AA88" i="113"/>
  <c r="Z88" i="113"/>
  <c r="Y88" i="113"/>
  <c r="X88" i="113"/>
  <c r="W88" i="113"/>
  <c r="AL87" i="113"/>
  <c r="AI87" i="113"/>
  <c r="AH87" i="113"/>
  <c r="AG87" i="113"/>
  <c r="AF87" i="113"/>
  <c r="AE87" i="113"/>
  <c r="AD87" i="113"/>
  <c r="AC87" i="113"/>
  <c r="AB87" i="113"/>
  <c r="AA87" i="113"/>
  <c r="Z87" i="113"/>
  <c r="Y87" i="113"/>
  <c r="X87" i="113"/>
  <c r="W87" i="113"/>
  <c r="AL86" i="113"/>
  <c r="AI86" i="113"/>
  <c r="AH86" i="113"/>
  <c r="AG86" i="113"/>
  <c r="AF86" i="113"/>
  <c r="AE86" i="113"/>
  <c r="AD86" i="113"/>
  <c r="AC86" i="113"/>
  <c r="AB86" i="113"/>
  <c r="AA86" i="113"/>
  <c r="Z86" i="113"/>
  <c r="Y86" i="113"/>
  <c r="X86" i="113"/>
  <c r="W86" i="113"/>
  <c r="AL85" i="113"/>
  <c r="AI85" i="113"/>
  <c r="AJ85" i="113" s="1" a="1"/>
  <c r="AJ85" i="113" s="1"/>
  <c r="AN85" i="113" s="1" a="1"/>
  <c r="AN85" i="113" s="1"/>
  <c r="AH85" i="113"/>
  <c r="AG85" i="113"/>
  <c r="AF85" i="113"/>
  <c r="AE85" i="113"/>
  <c r="AD85" i="113"/>
  <c r="AC85" i="113"/>
  <c r="AB85" i="113"/>
  <c r="AA85" i="113"/>
  <c r="Z85" i="113"/>
  <c r="Y85" i="113"/>
  <c r="X85" i="113"/>
  <c r="W85" i="113"/>
  <c r="AL84" i="113"/>
  <c r="AI84" i="113"/>
  <c r="AH84" i="113"/>
  <c r="AG84" i="113"/>
  <c r="AF84" i="113"/>
  <c r="AE84" i="113"/>
  <c r="AD84" i="113"/>
  <c r="AC84" i="113"/>
  <c r="AB84" i="113"/>
  <c r="AA84" i="113"/>
  <c r="Z84" i="113"/>
  <c r="Y84" i="113"/>
  <c r="X84" i="113"/>
  <c r="W84" i="113"/>
  <c r="AL83" i="113"/>
  <c r="AI83" i="113"/>
  <c r="AH83" i="113"/>
  <c r="AG83" i="113"/>
  <c r="AF83" i="113"/>
  <c r="AE83" i="113"/>
  <c r="AD83" i="113"/>
  <c r="AC83" i="113"/>
  <c r="AB83" i="113"/>
  <c r="AA83" i="113"/>
  <c r="Z83" i="113"/>
  <c r="Y83" i="113"/>
  <c r="X83" i="113"/>
  <c r="W83" i="113"/>
  <c r="AL82" i="113"/>
  <c r="AI82" i="113"/>
  <c r="AO82" i="113" s="1" a="1"/>
  <c r="AO82" i="113" s="1"/>
  <c r="AH82" i="113"/>
  <c r="AG82" i="113"/>
  <c r="AF82" i="113"/>
  <c r="AE82" i="113"/>
  <c r="AD82" i="113"/>
  <c r="AC82" i="113"/>
  <c r="AB82" i="113"/>
  <c r="AA82" i="113"/>
  <c r="Z82" i="113"/>
  <c r="Y82" i="113"/>
  <c r="X82" i="113"/>
  <c r="W82" i="113"/>
  <c r="AL81" i="113"/>
  <c r="AI81" i="113"/>
  <c r="AH81" i="113"/>
  <c r="AG81" i="113"/>
  <c r="AF81" i="113"/>
  <c r="AE81" i="113"/>
  <c r="AD81" i="113"/>
  <c r="AC81" i="113"/>
  <c r="AB81" i="113"/>
  <c r="AA81" i="113"/>
  <c r="Z81" i="113"/>
  <c r="Y81" i="113"/>
  <c r="X81" i="113"/>
  <c r="W81" i="113"/>
  <c r="AL80" i="113"/>
  <c r="AI80" i="113"/>
  <c r="AO80" i="113" s="1" a="1"/>
  <c r="AO80" i="113" s="1"/>
  <c r="AH80" i="113"/>
  <c r="AG80" i="113"/>
  <c r="AF80" i="113"/>
  <c r="AE80" i="113"/>
  <c r="AD80" i="113"/>
  <c r="AC80" i="113"/>
  <c r="AB80" i="113"/>
  <c r="AA80" i="113"/>
  <c r="Z80" i="113"/>
  <c r="Y80" i="113"/>
  <c r="X80" i="113"/>
  <c r="W80" i="113"/>
  <c r="AL79" i="113"/>
  <c r="AI79" i="113"/>
  <c r="AH79" i="113"/>
  <c r="AG79" i="113"/>
  <c r="AF79" i="113"/>
  <c r="AE79" i="113"/>
  <c r="AD79" i="113"/>
  <c r="AC79" i="113"/>
  <c r="AB79" i="113"/>
  <c r="AA79" i="113"/>
  <c r="Z79" i="113"/>
  <c r="Y79" i="113"/>
  <c r="X79" i="113"/>
  <c r="W79" i="113"/>
  <c r="AL78" i="113"/>
  <c r="AI78" i="113"/>
  <c r="AO78" i="113" s="1" a="1"/>
  <c r="AO78" i="113" s="1"/>
  <c r="AH78" i="113"/>
  <c r="AG78" i="113"/>
  <c r="AF78" i="113"/>
  <c r="AE78" i="113"/>
  <c r="AD78" i="113"/>
  <c r="AC78" i="113"/>
  <c r="AB78" i="113"/>
  <c r="AA78" i="113"/>
  <c r="Z78" i="113"/>
  <c r="Y78" i="113"/>
  <c r="X78" i="113"/>
  <c r="W78" i="113"/>
  <c r="AL77" i="113"/>
  <c r="AI77" i="113"/>
  <c r="AH77" i="113"/>
  <c r="AG77" i="113"/>
  <c r="AF77" i="113"/>
  <c r="AE77" i="113"/>
  <c r="AD77" i="113"/>
  <c r="AC77" i="113"/>
  <c r="AB77" i="113"/>
  <c r="AA77" i="113"/>
  <c r="Z77" i="113"/>
  <c r="Y77" i="113"/>
  <c r="X77" i="113"/>
  <c r="W77" i="113"/>
  <c r="AL76" i="113"/>
  <c r="AI76" i="113"/>
  <c r="AO76" i="113" s="1" a="1"/>
  <c r="AO76" i="113" s="1"/>
  <c r="AH76" i="113"/>
  <c r="AG76" i="113"/>
  <c r="AF76" i="113"/>
  <c r="AE76" i="113"/>
  <c r="AD76" i="113"/>
  <c r="AC76" i="113"/>
  <c r="AB76" i="113"/>
  <c r="AA76" i="113"/>
  <c r="Z76" i="113"/>
  <c r="Y76" i="113"/>
  <c r="X76" i="113"/>
  <c r="W76" i="113"/>
  <c r="AL75" i="113"/>
  <c r="AI75" i="113"/>
  <c r="AO75" i="113" s="1" a="1"/>
  <c r="AO75" i="113" s="1"/>
  <c r="AH75" i="113"/>
  <c r="AG75" i="113"/>
  <c r="AF75" i="113"/>
  <c r="AE75" i="113"/>
  <c r="AD75" i="113"/>
  <c r="AC75" i="113"/>
  <c r="AB75" i="113"/>
  <c r="AA75" i="113"/>
  <c r="Z75" i="113"/>
  <c r="Y75" i="113"/>
  <c r="X75" i="113"/>
  <c r="W75" i="113"/>
  <c r="AL74" i="113"/>
  <c r="AI74" i="113"/>
  <c r="AH74" i="113"/>
  <c r="AG74" i="113"/>
  <c r="AF74" i="113"/>
  <c r="AE74" i="113"/>
  <c r="AD74" i="113"/>
  <c r="AC74" i="113"/>
  <c r="AB74" i="113"/>
  <c r="AA74" i="113"/>
  <c r="Z74" i="113"/>
  <c r="Y74" i="113"/>
  <c r="X74" i="113"/>
  <c r="W74" i="113"/>
  <c r="AL73" i="113"/>
  <c r="AI73" i="113"/>
  <c r="AJ73" i="113" s="1" a="1"/>
  <c r="AJ73" i="113" s="1"/>
  <c r="AN73" i="113" s="1" a="1"/>
  <c r="AN73" i="113" s="1"/>
  <c r="AH73" i="113"/>
  <c r="AG73" i="113"/>
  <c r="AF73" i="113"/>
  <c r="AE73" i="113"/>
  <c r="AD73" i="113"/>
  <c r="AC73" i="113"/>
  <c r="AB73" i="113"/>
  <c r="AA73" i="113"/>
  <c r="Z73" i="113"/>
  <c r="Y73" i="113"/>
  <c r="X73" i="113"/>
  <c r="W73" i="113"/>
  <c r="AL72" i="113"/>
  <c r="AI72" i="113"/>
  <c r="AO72" i="113" s="1" a="1"/>
  <c r="AO72" i="113" s="1"/>
  <c r="AH72" i="113"/>
  <c r="AG72" i="113"/>
  <c r="AF72" i="113"/>
  <c r="AE72" i="113"/>
  <c r="AD72" i="113"/>
  <c r="AC72" i="113"/>
  <c r="AB72" i="113"/>
  <c r="AA72" i="113"/>
  <c r="Z72" i="113"/>
  <c r="Y72" i="113"/>
  <c r="X72" i="113"/>
  <c r="W72" i="113"/>
  <c r="AL71" i="113"/>
  <c r="AI71" i="113"/>
  <c r="AO71" i="113" s="1" a="1"/>
  <c r="AO71" i="113" s="1"/>
  <c r="AH71" i="113"/>
  <c r="AG71" i="113"/>
  <c r="AF71" i="113"/>
  <c r="AE71" i="113"/>
  <c r="AD71" i="113"/>
  <c r="AC71" i="113"/>
  <c r="AB71" i="113"/>
  <c r="AA71" i="113"/>
  <c r="Z71" i="113"/>
  <c r="Y71" i="113"/>
  <c r="X71" i="113"/>
  <c r="W71" i="113"/>
  <c r="AL70" i="113"/>
  <c r="AI70" i="113"/>
  <c r="AK70" i="113" s="1"/>
  <c r="AH70" i="113"/>
  <c r="AG70" i="113"/>
  <c r="AF70" i="113"/>
  <c r="AE70" i="113"/>
  <c r="AD70" i="113"/>
  <c r="AC70" i="113"/>
  <c r="AB70" i="113"/>
  <c r="AA70" i="113"/>
  <c r="Z70" i="113"/>
  <c r="Y70" i="113"/>
  <c r="X70" i="113"/>
  <c r="W70" i="113"/>
  <c r="AL69" i="113"/>
  <c r="AI69" i="113"/>
  <c r="AH69" i="113"/>
  <c r="AG69" i="113"/>
  <c r="AF69" i="113"/>
  <c r="AE69" i="113"/>
  <c r="AD69" i="113"/>
  <c r="AC69" i="113"/>
  <c r="AB69" i="113"/>
  <c r="AA69" i="113"/>
  <c r="Z69" i="113"/>
  <c r="Y69" i="113"/>
  <c r="X69" i="113"/>
  <c r="W69" i="113"/>
  <c r="AL68" i="113"/>
  <c r="AI68" i="113"/>
  <c r="AH68" i="113"/>
  <c r="AG68" i="113"/>
  <c r="AF68" i="113"/>
  <c r="AE68" i="113"/>
  <c r="AD68" i="113"/>
  <c r="AC68" i="113"/>
  <c r="AB68" i="113"/>
  <c r="AA68" i="113"/>
  <c r="Z68" i="113"/>
  <c r="Y68" i="113"/>
  <c r="X68" i="113"/>
  <c r="W68" i="113"/>
  <c r="AL67" i="113"/>
  <c r="AI67" i="113"/>
  <c r="AK67" i="113" s="1"/>
  <c r="AH67" i="113"/>
  <c r="AG67" i="113"/>
  <c r="AF67" i="113"/>
  <c r="AE67" i="113"/>
  <c r="AD67" i="113"/>
  <c r="AC67" i="113"/>
  <c r="AB67" i="113"/>
  <c r="AA67" i="113"/>
  <c r="Z67" i="113"/>
  <c r="Y67" i="113"/>
  <c r="X67" i="113"/>
  <c r="W67" i="113"/>
  <c r="AL66" i="113"/>
  <c r="AI66" i="113"/>
  <c r="AJ66" i="113" s="1" a="1"/>
  <c r="AJ66" i="113" s="1"/>
  <c r="AN66" i="113" s="1" a="1"/>
  <c r="AN66" i="113" s="1"/>
  <c r="AH66" i="113"/>
  <c r="AG66" i="113"/>
  <c r="AF66" i="113"/>
  <c r="AE66" i="113"/>
  <c r="AD66" i="113"/>
  <c r="AC66" i="113"/>
  <c r="AB66" i="113"/>
  <c r="AA66" i="113"/>
  <c r="Z66" i="113"/>
  <c r="Y66" i="113"/>
  <c r="X66" i="113"/>
  <c r="W66" i="113"/>
  <c r="AL65" i="113"/>
  <c r="AI65" i="113"/>
  <c r="AH65" i="113"/>
  <c r="AG65" i="113"/>
  <c r="AF65" i="113"/>
  <c r="AE65" i="113"/>
  <c r="AD65" i="113"/>
  <c r="AC65" i="113"/>
  <c r="AB65" i="113"/>
  <c r="AA65" i="113"/>
  <c r="Z65" i="113"/>
  <c r="Y65" i="113"/>
  <c r="X65" i="113"/>
  <c r="W65" i="113"/>
  <c r="AL64" i="113"/>
  <c r="AI64" i="113"/>
  <c r="AO64" i="113" s="1" a="1"/>
  <c r="AO64" i="113" s="1"/>
  <c r="AH64" i="113"/>
  <c r="AG64" i="113"/>
  <c r="AF64" i="113"/>
  <c r="AE64" i="113"/>
  <c r="AD64" i="113"/>
  <c r="AC64" i="113"/>
  <c r="AB64" i="113"/>
  <c r="AA64" i="113"/>
  <c r="Z64" i="113"/>
  <c r="Y64" i="113"/>
  <c r="X64" i="113"/>
  <c r="W64" i="113"/>
  <c r="AL63" i="113"/>
  <c r="AI63" i="113"/>
  <c r="AO63" i="113" s="1" a="1"/>
  <c r="AO63" i="113" s="1"/>
  <c r="AU63" i="113" s="1" a="1"/>
  <c r="AU63" i="113" s="1"/>
  <c r="AW63" i="113" s="1"/>
  <c r="AH63" i="113"/>
  <c r="AG63" i="113"/>
  <c r="AF63" i="113"/>
  <c r="AE63" i="113"/>
  <c r="AD63" i="113"/>
  <c r="AC63" i="113"/>
  <c r="AB63" i="113"/>
  <c r="AA63" i="113"/>
  <c r="Z63" i="113"/>
  <c r="Y63" i="113"/>
  <c r="X63" i="113"/>
  <c r="W63" i="113"/>
  <c r="AL62" i="113"/>
  <c r="AI62" i="113"/>
  <c r="AJ62" i="113" s="1" a="1"/>
  <c r="AJ62" i="113" s="1"/>
  <c r="AN62" i="113" s="1" a="1"/>
  <c r="AN62" i="113" s="1"/>
  <c r="AH62" i="113"/>
  <c r="AG62" i="113"/>
  <c r="AF62" i="113"/>
  <c r="AE62" i="113"/>
  <c r="AD62" i="113"/>
  <c r="AC62" i="113"/>
  <c r="AB62" i="113"/>
  <c r="AA62" i="113"/>
  <c r="Z62" i="113"/>
  <c r="Y62" i="113"/>
  <c r="X62" i="113"/>
  <c r="W62" i="113"/>
  <c r="AL61" i="113"/>
  <c r="AI61" i="113"/>
  <c r="AH61" i="113"/>
  <c r="AG61" i="113"/>
  <c r="AF61" i="113"/>
  <c r="AE61" i="113"/>
  <c r="AD61" i="113"/>
  <c r="AC61" i="113"/>
  <c r="AB61" i="113"/>
  <c r="AA61" i="113"/>
  <c r="Z61" i="113"/>
  <c r="Y61" i="113"/>
  <c r="X61" i="113"/>
  <c r="W61" i="113"/>
  <c r="AL60" i="113"/>
  <c r="AI60" i="113"/>
  <c r="AO60" i="113" s="1" a="1"/>
  <c r="AO60" i="113" s="1"/>
  <c r="AP60" i="113" s="1" a="1"/>
  <c r="AP60" i="113" s="1"/>
  <c r="AH60" i="113"/>
  <c r="AG60" i="113"/>
  <c r="AF60" i="113"/>
  <c r="AE60" i="113"/>
  <c r="AD60" i="113"/>
  <c r="AC60" i="113"/>
  <c r="AB60" i="113"/>
  <c r="AA60" i="113"/>
  <c r="Z60" i="113"/>
  <c r="Y60" i="113"/>
  <c r="X60" i="113"/>
  <c r="W60" i="113"/>
  <c r="AL59" i="113"/>
  <c r="AI59" i="113"/>
  <c r="AH59" i="113"/>
  <c r="AG59" i="113"/>
  <c r="AF59" i="113"/>
  <c r="AE59" i="113"/>
  <c r="AD59" i="113"/>
  <c r="AC59" i="113"/>
  <c r="AB59" i="113"/>
  <c r="AA59" i="113"/>
  <c r="Z59" i="113"/>
  <c r="Y59" i="113"/>
  <c r="X59" i="113"/>
  <c r="W59" i="113"/>
  <c r="AL58" i="113"/>
  <c r="AI58" i="113"/>
  <c r="AH58" i="113"/>
  <c r="AG58" i="113"/>
  <c r="AF58" i="113"/>
  <c r="AE58" i="113"/>
  <c r="AD58" i="113"/>
  <c r="AC58" i="113"/>
  <c r="AB58" i="113"/>
  <c r="AA58" i="113"/>
  <c r="Z58" i="113"/>
  <c r="Y58" i="113"/>
  <c r="X58" i="113"/>
  <c r="W58" i="113"/>
  <c r="AL57" i="113"/>
  <c r="AI57" i="113"/>
  <c r="AO57" i="113" s="1" a="1"/>
  <c r="AO57" i="113" s="1"/>
  <c r="AH57" i="113"/>
  <c r="AG57" i="113"/>
  <c r="AF57" i="113"/>
  <c r="AE57" i="113"/>
  <c r="AD57" i="113"/>
  <c r="AC57" i="113"/>
  <c r="AB57" i="113"/>
  <c r="AA57" i="113"/>
  <c r="Z57" i="113"/>
  <c r="Y57" i="113"/>
  <c r="X57" i="113"/>
  <c r="W57" i="113"/>
  <c r="AL56" i="113"/>
  <c r="AI56" i="113"/>
  <c r="AH56" i="113"/>
  <c r="AG56" i="113"/>
  <c r="AF56" i="113"/>
  <c r="AE56" i="113"/>
  <c r="AD56" i="113"/>
  <c r="AC56" i="113"/>
  <c r="AB56" i="113"/>
  <c r="AA56" i="113"/>
  <c r="Z56" i="113"/>
  <c r="Y56" i="113"/>
  <c r="X56" i="113"/>
  <c r="W56" i="113"/>
  <c r="AL55" i="113"/>
  <c r="AI55" i="113"/>
  <c r="AO55" i="113" s="1" a="1"/>
  <c r="AO55" i="113" s="1"/>
  <c r="AH55" i="113"/>
  <c r="AG55" i="113"/>
  <c r="AF55" i="113"/>
  <c r="AE55" i="113"/>
  <c r="AD55" i="113"/>
  <c r="AC55" i="113"/>
  <c r="AB55" i="113"/>
  <c r="AA55" i="113"/>
  <c r="Z55" i="113"/>
  <c r="Y55" i="113"/>
  <c r="X55" i="113"/>
  <c r="W55" i="113"/>
  <c r="AL54" i="113"/>
  <c r="AI54" i="113"/>
  <c r="AO54" i="113" s="1" a="1"/>
  <c r="AO54" i="113" s="1"/>
  <c r="AH54" i="113"/>
  <c r="AG54" i="113"/>
  <c r="AF54" i="113"/>
  <c r="AE54" i="113"/>
  <c r="AD54" i="113"/>
  <c r="AC54" i="113"/>
  <c r="AB54" i="113"/>
  <c r="AA54" i="113"/>
  <c r="Z54" i="113"/>
  <c r="Y54" i="113"/>
  <c r="X54" i="113"/>
  <c r="W54" i="113"/>
  <c r="AL53" i="113"/>
  <c r="AI53" i="113"/>
  <c r="AH53" i="113"/>
  <c r="AG53" i="113"/>
  <c r="AF53" i="113"/>
  <c r="AE53" i="113"/>
  <c r="AD53" i="113"/>
  <c r="AC53" i="113"/>
  <c r="AB53" i="113"/>
  <c r="AA53" i="113"/>
  <c r="Z53" i="113"/>
  <c r="Y53" i="113"/>
  <c r="X53" i="113"/>
  <c r="W53" i="113"/>
  <c r="AL52" i="113"/>
  <c r="AI52" i="113"/>
  <c r="AJ52" i="113" s="1" a="1"/>
  <c r="AJ52" i="113" s="1"/>
  <c r="AN52" i="113" s="1" a="1"/>
  <c r="AN52" i="113" s="1"/>
  <c r="AH52" i="113"/>
  <c r="AG52" i="113"/>
  <c r="AF52" i="113"/>
  <c r="AE52" i="113"/>
  <c r="AD52" i="113"/>
  <c r="AC52" i="113"/>
  <c r="AB52" i="113"/>
  <c r="AA52" i="113"/>
  <c r="Z52" i="113"/>
  <c r="Y52" i="113"/>
  <c r="X52" i="113"/>
  <c r="W52" i="113"/>
  <c r="AL51" i="113"/>
  <c r="AI51" i="113"/>
  <c r="AH51" i="113"/>
  <c r="AG51" i="113"/>
  <c r="AF51" i="113"/>
  <c r="AE51" i="113"/>
  <c r="AD51" i="113"/>
  <c r="AC51" i="113"/>
  <c r="AB51" i="113"/>
  <c r="AA51" i="113"/>
  <c r="Z51" i="113"/>
  <c r="Y51" i="113"/>
  <c r="X51" i="113"/>
  <c r="W51" i="113"/>
  <c r="AL50" i="113"/>
  <c r="AI50" i="113"/>
  <c r="AH50" i="113"/>
  <c r="AG50" i="113"/>
  <c r="AF50" i="113"/>
  <c r="AE50" i="113"/>
  <c r="AD50" i="113"/>
  <c r="AC50" i="113"/>
  <c r="AB50" i="113"/>
  <c r="AA50" i="113"/>
  <c r="Z50" i="113"/>
  <c r="Y50" i="113"/>
  <c r="X50" i="113"/>
  <c r="W50" i="113"/>
  <c r="AL49" i="113"/>
  <c r="AI49" i="113"/>
  <c r="AK49" i="113" s="1"/>
  <c r="AH49" i="113"/>
  <c r="AG49" i="113"/>
  <c r="AF49" i="113"/>
  <c r="AE49" i="113"/>
  <c r="AD49" i="113"/>
  <c r="AC49" i="113"/>
  <c r="AB49" i="113"/>
  <c r="AA49" i="113"/>
  <c r="Z49" i="113"/>
  <c r="Y49" i="113"/>
  <c r="X49" i="113"/>
  <c r="W49" i="113"/>
  <c r="AL48" i="113"/>
  <c r="AI48" i="113"/>
  <c r="AH48" i="113"/>
  <c r="AG48" i="113"/>
  <c r="AF48" i="113"/>
  <c r="AE48" i="113"/>
  <c r="AD48" i="113"/>
  <c r="AC48" i="113"/>
  <c r="AB48" i="113"/>
  <c r="AA48" i="113"/>
  <c r="Z48" i="113"/>
  <c r="Y48" i="113"/>
  <c r="X48" i="113"/>
  <c r="W48" i="113"/>
  <c r="AL47" i="113"/>
  <c r="AI47" i="113"/>
  <c r="AH47" i="113"/>
  <c r="AG47" i="113"/>
  <c r="AF47" i="113"/>
  <c r="AE47" i="113"/>
  <c r="AD47" i="113"/>
  <c r="AC47" i="113"/>
  <c r="AB47" i="113"/>
  <c r="AA47" i="113"/>
  <c r="Z47" i="113"/>
  <c r="Y47" i="113"/>
  <c r="X47" i="113"/>
  <c r="W47" i="113"/>
  <c r="AL46" i="113"/>
  <c r="AI46" i="113"/>
  <c r="AH46" i="113"/>
  <c r="AG46" i="113"/>
  <c r="AF46" i="113"/>
  <c r="AE46" i="113"/>
  <c r="AD46" i="113"/>
  <c r="AC46" i="113"/>
  <c r="AB46" i="113"/>
  <c r="AA46" i="113"/>
  <c r="Z46" i="113"/>
  <c r="Y46" i="113"/>
  <c r="X46" i="113"/>
  <c r="W46" i="113"/>
  <c r="AL45" i="113"/>
  <c r="AI45" i="113"/>
  <c r="AH45" i="113"/>
  <c r="AG45" i="113"/>
  <c r="AF45" i="113"/>
  <c r="AE45" i="113"/>
  <c r="AD45" i="113"/>
  <c r="AC45" i="113"/>
  <c r="AB45" i="113"/>
  <c r="AA45" i="113"/>
  <c r="Z45" i="113"/>
  <c r="Y45" i="113"/>
  <c r="X45" i="113"/>
  <c r="W45" i="113"/>
  <c r="AL44" i="113"/>
  <c r="AI44" i="113"/>
  <c r="AH44" i="113"/>
  <c r="AG44" i="113"/>
  <c r="AF44" i="113"/>
  <c r="AE44" i="113"/>
  <c r="AD44" i="113"/>
  <c r="AC44" i="113"/>
  <c r="AB44" i="113"/>
  <c r="AA44" i="113"/>
  <c r="Z44" i="113"/>
  <c r="Y44" i="113"/>
  <c r="X44" i="113"/>
  <c r="W44" i="113"/>
  <c r="AL43" i="113"/>
  <c r="AI43" i="113"/>
  <c r="AH43" i="113"/>
  <c r="AG43" i="113"/>
  <c r="AF43" i="113"/>
  <c r="AE43" i="113"/>
  <c r="AD43" i="113"/>
  <c r="AC43" i="113"/>
  <c r="AB43" i="113"/>
  <c r="AA43" i="113"/>
  <c r="Z43" i="113"/>
  <c r="Y43" i="113"/>
  <c r="X43" i="113"/>
  <c r="W43" i="113"/>
  <c r="AL42" i="113"/>
  <c r="AI42" i="113"/>
  <c r="AK42" i="113" s="1"/>
  <c r="AH42" i="113"/>
  <c r="AG42" i="113"/>
  <c r="AF42" i="113"/>
  <c r="AE42" i="113"/>
  <c r="AD42" i="113"/>
  <c r="AC42" i="113"/>
  <c r="AB42" i="113"/>
  <c r="AA42" i="113"/>
  <c r="Z42" i="113"/>
  <c r="Y42" i="113"/>
  <c r="X42" i="113"/>
  <c r="W42" i="113"/>
  <c r="AL41" i="113"/>
  <c r="AI41" i="113"/>
  <c r="AJ41" i="113" s="1" a="1"/>
  <c r="AJ41" i="113" s="1"/>
  <c r="AH41" i="113"/>
  <c r="AG41" i="113"/>
  <c r="AF41" i="113"/>
  <c r="AE41" i="113"/>
  <c r="AD41" i="113"/>
  <c r="AC41" i="113"/>
  <c r="AB41" i="113"/>
  <c r="AA41" i="113"/>
  <c r="Z41" i="113"/>
  <c r="Y41" i="113"/>
  <c r="X41" i="113"/>
  <c r="W41" i="113"/>
  <c r="AL40" i="113"/>
  <c r="AI40" i="113"/>
  <c r="AH40" i="113"/>
  <c r="AG40" i="113"/>
  <c r="AF40" i="113"/>
  <c r="AE40" i="113"/>
  <c r="AD40" i="113"/>
  <c r="AC40" i="113"/>
  <c r="AB40" i="113"/>
  <c r="AA40" i="113"/>
  <c r="Z40" i="113"/>
  <c r="Y40" i="113"/>
  <c r="X40" i="113"/>
  <c r="W40" i="113"/>
  <c r="AL39" i="113"/>
  <c r="AI39" i="113"/>
  <c r="AJ39" i="113" s="1" a="1"/>
  <c r="AJ39" i="113" s="1"/>
  <c r="AN39" i="113" s="1" a="1"/>
  <c r="AN39" i="113" s="1"/>
  <c r="AH39" i="113"/>
  <c r="AG39" i="113"/>
  <c r="AF39" i="113"/>
  <c r="AE39" i="113"/>
  <c r="AD39" i="113"/>
  <c r="AC39" i="113"/>
  <c r="AB39" i="113"/>
  <c r="AA39" i="113"/>
  <c r="Z39" i="113"/>
  <c r="Y39" i="113"/>
  <c r="X39" i="113"/>
  <c r="W39" i="113"/>
  <c r="AL38" i="113"/>
  <c r="AI38" i="113"/>
  <c r="AH38" i="113"/>
  <c r="AG38" i="113"/>
  <c r="AF38" i="113"/>
  <c r="AE38" i="113"/>
  <c r="AD38" i="113"/>
  <c r="AC38" i="113"/>
  <c r="AB38" i="113"/>
  <c r="AA38" i="113"/>
  <c r="Z38" i="113"/>
  <c r="Y38" i="113"/>
  <c r="X38" i="113"/>
  <c r="W38" i="113"/>
  <c r="AL37" i="113"/>
  <c r="AI37" i="113"/>
  <c r="AK37" i="113" s="1"/>
  <c r="AH37" i="113"/>
  <c r="AG37" i="113"/>
  <c r="AF37" i="113"/>
  <c r="AE37" i="113"/>
  <c r="AD37" i="113"/>
  <c r="AC37" i="113"/>
  <c r="AB37" i="113"/>
  <c r="AA37" i="113"/>
  <c r="Z37" i="113"/>
  <c r="Y37" i="113"/>
  <c r="X37" i="113"/>
  <c r="W37" i="113"/>
  <c r="AL36" i="113"/>
  <c r="AI36" i="113"/>
  <c r="AH36" i="113"/>
  <c r="AG36" i="113"/>
  <c r="AF36" i="113"/>
  <c r="AE36" i="113"/>
  <c r="AD36" i="113"/>
  <c r="AC36" i="113"/>
  <c r="AB36" i="113"/>
  <c r="AA36" i="113"/>
  <c r="Z36" i="113"/>
  <c r="Y36" i="113"/>
  <c r="X36" i="113"/>
  <c r="W36" i="113"/>
  <c r="AL35" i="113"/>
  <c r="AI35" i="113"/>
  <c r="AH35" i="113"/>
  <c r="AG35" i="113"/>
  <c r="AF35" i="113"/>
  <c r="AE35" i="113"/>
  <c r="AD35" i="113"/>
  <c r="AC35" i="113"/>
  <c r="AB35" i="113"/>
  <c r="AA35" i="113"/>
  <c r="Z35" i="113"/>
  <c r="Y35" i="113"/>
  <c r="X35" i="113"/>
  <c r="W35" i="113"/>
  <c r="AL34" i="113"/>
  <c r="AI34" i="113"/>
  <c r="AH34" i="113"/>
  <c r="AG34" i="113"/>
  <c r="AF34" i="113"/>
  <c r="AE34" i="113"/>
  <c r="AD34" i="113"/>
  <c r="AC34" i="113"/>
  <c r="AB34" i="113"/>
  <c r="AA34" i="113"/>
  <c r="Z34" i="113"/>
  <c r="Y34" i="113"/>
  <c r="X34" i="113"/>
  <c r="W34" i="113"/>
  <c r="AL33" i="113"/>
  <c r="AI33" i="113"/>
  <c r="AH33" i="113"/>
  <c r="AG33" i="113"/>
  <c r="AF33" i="113"/>
  <c r="AE33" i="113"/>
  <c r="AD33" i="113"/>
  <c r="AC33" i="113"/>
  <c r="AB33" i="113"/>
  <c r="AA33" i="113"/>
  <c r="Z33" i="113"/>
  <c r="Y33" i="113"/>
  <c r="X33" i="113"/>
  <c r="W33" i="113"/>
  <c r="AL32" i="113"/>
  <c r="AI32" i="113"/>
  <c r="AH32" i="113"/>
  <c r="AG32" i="113"/>
  <c r="AF32" i="113"/>
  <c r="AE32" i="113"/>
  <c r="AD32" i="113"/>
  <c r="AC32" i="113"/>
  <c r="AB32" i="113"/>
  <c r="AA32" i="113"/>
  <c r="Z32" i="113"/>
  <c r="Y32" i="113"/>
  <c r="X32" i="113"/>
  <c r="W32" i="113"/>
  <c r="AL31" i="113"/>
  <c r="AI31" i="113"/>
  <c r="AO31" i="113" s="1" a="1"/>
  <c r="AO31" i="113" s="1"/>
  <c r="AH31" i="113"/>
  <c r="AG31" i="113"/>
  <c r="AF31" i="113"/>
  <c r="AE31" i="113"/>
  <c r="AD31" i="113"/>
  <c r="AC31" i="113"/>
  <c r="AB31" i="113"/>
  <c r="AA31" i="113"/>
  <c r="Z31" i="113"/>
  <c r="Y31" i="113"/>
  <c r="X31" i="113"/>
  <c r="W31" i="113"/>
  <c r="AL30" i="113"/>
  <c r="AI30" i="113"/>
  <c r="AH30" i="113"/>
  <c r="AG30" i="113"/>
  <c r="AF30" i="113"/>
  <c r="AE30" i="113"/>
  <c r="AD30" i="113"/>
  <c r="AC30" i="113"/>
  <c r="AB30" i="113"/>
  <c r="AA30" i="113"/>
  <c r="Z30" i="113"/>
  <c r="Y30" i="113"/>
  <c r="X30" i="113"/>
  <c r="W30" i="113"/>
  <c r="AL29" i="113"/>
  <c r="AI29" i="113"/>
  <c r="AH29" i="113"/>
  <c r="AG29" i="113"/>
  <c r="AF29" i="113"/>
  <c r="AE29" i="113"/>
  <c r="AD29" i="113"/>
  <c r="AC29" i="113"/>
  <c r="AB29" i="113"/>
  <c r="AA29" i="113"/>
  <c r="Z29" i="113"/>
  <c r="Y29" i="113"/>
  <c r="X29" i="113"/>
  <c r="W29" i="113"/>
  <c r="AL28" i="113"/>
  <c r="AI28" i="113"/>
  <c r="AO28" i="113" s="1" a="1"/>
  <c r="AO28" i="113" s="1"/>
  <c r="AH28" i="113"/>
  <c r="AG28" i="113"/>
  <c r="AF28" i="113"/>
  <c r="AE28" i="113"/>
  <c r="AD28" i="113"/>
  <c r="AC28" i="113"/>
  <c r="AB28" i="113"/>
  <c r="AA28" i="113"/>
  <c r="Z28" i="113"/>
  <c r="Y28" i="113"/>
  <c r="X28" i="113"/>
  <c r="W28" i="113"/>
  <c r="AL27" i="113"/>
  <c r="AI27" i="113"/>
  <c r="AH27" i="113"/>
  <c r="AG27" i="113"/>
  <c r="AF27" i="113"/>
  <c r="AE27" i="113"/>
  <c r="AD27" i="113"/>
  <c r="AC27" i="113"/>
  <c r="AB27" i="113"/>
  <c r="AA27" i="113"/>
  <c r="Z27" i="113"/>
  <c r="Y27" i="113"/>
  <c r="X27" i="113"/>
  <c r="W27" i="113"/>
  <c r="AL26" i="113"/>
  <c r="AI26" i="113"/>
  <c r="AH26" i="113"/>
  <c r="AG26" i="113"/>
  <c r="AF26" i="113"/>
  <c r="AE26" i="113"/>
  <c r="AD26" i="113"/>
  <c r="AC26" i="113"/>
  <c r="AB26" i="113"/>
  <c r="AA26" i="113"/>
  <c r="Z26" i="113"/>
  <c r="Y26" i="113"/>
  <c r="X26" i="113"/>
  <c r="W26" i="113"/>
  <c r="AL25" i="113"/>
  <c r="AI25" i="113"/>
  <c r="AH25" i="113"/>
  <c r="AG25" i="113"/>
  <c r="AF25" i="113"/>
  <c r="AE25" i="113"/>
  <c r="AD25" i="113"/>
  <c r="AC25" i="113"/>
  <c r="AB25" i="113"/>
  <c r="AA25" i="113"/>
  <c r="Z25" i="113"/>
  <c r="Y25" i="113"/>
  <c r="X25" i="113"/>
  <c r="W25" i="113"/>
  <c r="AL24" i="113"/>
  <c r="AI24" i="113"/>
  <c r="AO24" i="113" s="1" a="1"/>
  <c r="AO24" i="113" s="1"/>
  <c r="AH24" i="113"/>
  <c r="AG24" i="113"/>
  <c r="AF24" i="113"/>
  <c r="AE24" i="113"/>
  <c r="AD24" i="113"/>
  <c r="AC24" i="113"/>
  <c r="AB24" i="113"/>
  <c r="AA24" i="113"/>
  <c r="Z24" i="113"/>
  <c r="Y24" i="113"/>
  <c r="X24" i="113"/>
  <c r="W24" i="113"/>
  <c r="AL23" i="113"/>
  <c r="AI23" i="113"/>
  <c r="AO23" i="113" s="1" a="1"/>
  <c r="AO23" i="113" s="1"/>
  <c r="AH23" i="113"/>
  <c r="AG23" i="113"/>
  <c r="AF23" i="113"/>
  <c r="AE23" i="113"/>
  <c r="AD23" i="113"/>
  <c r="AC23" i="113"/>
  <c r="AB23" i="113"/>
  <c r="AA23" i="113"/>
  <c r="Z23" i="113"/>
  <c r="Y23" i="113"/>
  <c r="X23" i="113"/>
  <c r="W23" i="113"/>
  <c r="AL22" i="113"/>
  <c r="AI22" i="113"/>
  <c r="AH22" i="113"/>
  <c r="AG22" i="113"/>
  <c r="AF22" i="113"/>
  <c r="AE22" i="113"/>
  <c r="AD22" i="113"/>
  <c r="AC22" i="113"/>
  <c r="AB22" i="113"/>
  <c r="AA22" i="113"/>
  <c r="Z22" i="113"/>
  <c r="Y22" i="113"/>
  <c r="X22" i="113"/>
  <c r="W22" i="113"/>
  <c r="AL21" i="113"/>
  <c r="AI21" i="113"/>
  <c r="AH21" i="113"/>
  <c r="AG21" i="113"/>
  <c r="AF21" i="113"/>
  <c r="AE21" i="113"/>
  <c r="AD21" i="113"/>
  <c r="AC21" i="113"/>
  <c r="AB21" i="113"/>
  <c r="AA21" i="113"/>
  <c r="Z21" i="113"/>
  <c r="Y21" i="113"/>
  <c r="X21" i="113"/>
  <c r="W21" i="113"/>
  <c r="AL20" i="113"/>
  <c r="AI20" i="113"/>
  <c r="AJ20" i="113" s="1" a="1"/>
  <c r="AJ20" i="113" s="1"/>
  <c r="AH20" i="113"/>
  <c r="AG20" i="113"/>
  <c r="AF20" i="113"/>
  <c r="AE20" i="113"/>
  <c r="AD20" i="113"/>
  <c r="AC20" i="113"/>
  <c r="AB20" i="113"/>
  <c r="AA20" i="113"/>
  <c r="Z20" i="113"/>
  <c r="Y20" i="113"/>
  <c r="X20" i="113"/>
  <c r="W20" i="113"/>
  <c r="AL19" i="113"/>
  <c r="AI19" i="113"/>
  <c r="AH19" i="113"/>
  <c r="AG19" i="113"/>
  <c r="AF19" i="113"/>
  <c r="AE19" i="113"/>
  <c r="AD19" i="113"/>
  <c r="AC19" i="113"/>
  <c r="AB19" i="113"/>
  <c r="AA19" i="113"/>
  <c r="Z19" i="113"/>
  <c r="Y19" i="113"/>
  <c r="X19" i="113"/>
  <c r="W19" i="113"/>
  <c r="AL18" i="113"/>
  <c r="AI18" i="113"/>
  <c r="AK18" i="113" s="1"/>
  <c r="AH18" i="113"/>
  <c r="AG18" i="113"/>
  <c r="AF18" i="113"/>
  <c r="AE18" i="113"/>
  <c r="AD18" i="113"/>
  <c r="AC18" i="113"/>
  <c r="AB18" i="113"/>
  <c r="AA18" i="113"/>
  <c r="Z18" i="113"/>
  <c r="Y18" i="113"/>
  <c r="X18" i="113"/>
  <c r="W18" i="113"/>
  <c r="AL17" i="113"/>
  <c r="AI17" i="113"/>
  <c r="AK17" i="113" s="1"/>
  <c r="AH17" i="113"/>
  <c r="AG17" i="113"/>
  <c r="AF17" i="113"/>
  <c r="AE17" i="113"/>
  <c r="AD17" i="113"/>
  <c r="AC17" i="113"/>
  <c r="AB17" i="113"/>
  <c r="AA17" i="113"/>
  <c r="Z17" i="113"/>
  <c r="Y17" i="113"/>
  <c r="X17" i="113"/>
  <c r="W17" i="113"/>
  <c r="AL16" i="113"/>
  <c r="AI16" i="113"/>
  <c r="AH16" i="113"/>
  <c r="AG16" i="113"/>
  <c r="AF16" i="113"/>
  <c r="AE16" i="113"/>
  <c r="AD16" i="113"/>
  <c r="AC16" i="113"/>
  <c r="AB16" i="113"/>
  <c r="AA16" i="113"/>
  <c r="Z16" i="113"/>
  <c r="Y16" i="113"/>
  <c r="X16" i="113"/>
  <c r="W16" i="113"/>
  <c r="AL15" i="113"/>
  <c r="AI15" i="113"/>
  <c r="AH15" i="113"/>
  <c r="AG15" i="113"/>
  <c r="AF15" i="113"/>
  <c r="AE15" i="113"/>
  <c r="AD15" i="113"/>
  <c r="AC15" i="113"/>
  <c r="AB15" i="113"/>
  <c r="AA15" i="113"/>
  <c r="Z15" i="113"/>
  <c r="Y15" i="113"/>
  <c r="X15" i="113"/>
  <c r="W15" i="113"/>
  <c r="AL14" i="113"/>
  <c r="AI14" i="113"/>
  <c r="AH14" i="113"/>
  <c r="AG14" i="113"/>
  <c r="AF14" i="113"/>
  <c r="AE14" i="113"/>
  <c r="AD14" i="113"/>
  <c r="AC14" i="113"/>
  <c r="AB14" i="113"/>
  <c r="AA14" i="113"/>
  <c r="Z14" i="113"/>
  <c r="Y14" i="113"/>
  <c r="X14" i="113"/>
  <c r="W14" i="113"/>
  <c r="AL13" i="113"/>
  <c r="AI13" i="113"/>
  <c r="AH13" i="113"/>
  <c r="AG13" i="113"/>
  <c r="AF13" i="113"/>
  <c r="AE13" i="113"/>
  <c r="AD13" i="113"/>
  <c r="AC13" i="113"/>
  <c r="AB13" i="113"/>
  <c r="AA13" i="113"/>
  <c r="Z13" i="113"/>
  <c r="Y13" i="113"/>
  <c r="X13" i="113"/>
  <c r="W13" i="113"/>
  <c r="AL12" i="113"/>
  <c r="AI12" i="113"/>
  <c r="AJ12" i="113" s="1" a="1"/>
  <c r="AJ12" i="113" s="1"/>
  <c r="AH12" i="113"/>
  <c r="AG12" i="113"/>
  <c r="AF12" i="113"/>
  <c r="AE12" i="113"/>
  <c r="AD12" i="113"/>
  <c r="AC12" i="113"/>
  <c r="AB12" i="113"/>
  <c r="AA12" i="113"/>
  <c r="Z12" i="113"/>
  <c r="Y12" i="113"/>
  <c r="X12" i="113"/>
  <c r="W12" i="113"/>
  <c r="AL11" i="113"/>
  <c r="AI11" i="113"/>
  <c r="AH11" i="113"/>
  <c r="AG11" i="113"/>
  <c r="AF11" i="113"/>
  <c r="AE11" i="113"/>
  <c r="AD11" i="113"/>
  <c r="AC11" i="113"/>
  <c r="AB11" i="113"/>
  <c r="AA11" i="113"/>
  <c r="Z11" i="113"/>
  <c r="Y11" i="113"/>
  <c r="X11" i="113"/>
  <c r="W11" i="113"/>
  <c r="AL10" i="113"/>
  <c r="AI10" i="113"/>
  <c r="AH10" i="113"/>
  <c r="AG10" i="113"/>
  <c r="AF10" i="113"/>
  <c r="AE10" i="113"/>
  <c r="AD10" i="113"/>
  <c r="AC10" i="113"/>
  <c r="AB10" i="113"/>
  <c r="AA10" i="113"/>
  <c r="Z10" i="113"/>
  <c r="Y10" i="113"/>
  <c r="X10" i="113"/>
  <c r="W10" i="113"/>
  <c r="AL9" i="113"/>
  <c r="AI9" i="113"/>
  <c r="AH9" i="113"/>
  <c r="AG9" i="113"/>
  <c r="AF9" i="113"/>
  <c r="AE9" i="113"/>
  <c r="AD9" i="113"/>
  <c r="AC9" i="113"/>
  <c r="AB9" i="113"/>
  <c r="AA9" i="113"/>
  <c r="Z9" i="113"/>
  <c r="Y9" i="113"/>
  <c r="X9" i="113"/>
  <c r="W9" i="113"/>
  <c r="AL8" i="113"/>
  <c r="AI8" i="113"/>
  <c r="AH8" i="113"/>
  <c r="AG8" i="113"/>
  <c r="AF8" i="113"/>
  <c r="AE8" i="113"/>
  <c r="AD8" i="113"/>
  <c r="AC8" i="113"/>
  <c r="AB8" i="113"/>
  <c r="AA8" i="113"/>
  <c r="Z8" i="113"/>
  <c r="Y8" i="113"/>
  <c r="X8" i="113"/>
  <c r="W8" i="113"/>
  <c r="AL7" i="113"/>
  <c r="AI7" i="113"/>
  <c r="AJ7" i="113" s="1" a="1"/>
  <c r="AJ7" i="113" s="1"/>
  <c r="AH7" i="113"/>
  <c r="AG7" i="113"/>
  <c r="AF7" i="113"/>
  <c r="AE7" i="113"/>
  <c r="AD7" i="113"/>
  <c r="AC7" i="113"/>
  <c r="AB7" i="113"/>
  <c r="AA7" i="113"/>
  <c r="Z7" i="113"/>
  <c r="Y7" i="113"/>
  <c r="X7" i="113"/>
  <c r="W7" i="113"/>
  <c r="AL6" i="113"/>
  <c r="AI6" i="113"/>
  <c r="AO6" i="113" s="1" a="1"/>
  <c r="AO6" i="113" s="1"/>
  <c r="AH6" i="113"/>
  <c r="AG6" i="113"/>
  <c r="AF6" i="113"/>
  <c r="AE6" i="113"/>
  <c r="AD6" i="113"/>
  <c r="AC6" i="113"/>
  <c r="AB6" i="113"/>
  <c r="AA6" i="113"/>
  <c r="Z6" i="113"/>
  <c r="Y6" i="113"/>
  <c r="X6" i="113"/>
  <c r="W6" i="113"/>
  <c r="AL5" i="113"/>
  <c r="AI5" i="113"/>
  <c r="AO5" i="113" s="1" a="1"/>
  <c r="AO5" i="113" s="1"/>
  <c r="AH5" i="113"/>
  <c r="AG5" i="113"/>
  <c r="AF5" i="113"/>
  <c r="AE5" i="113"/>
  <c r="AD5" i="113"/>
  <c r="AC5" i="113"/>
  <c r="AB5" i="113"/>
  <c r="AA5" i="113"/>
  <c r="Z5" i="113"/>
  <c r="Y5" i="113"/>
  <c r="X5" i="113"/>
  <c r="W5" i="113"/>
  <c r="AL4" i="113"/>
  <c r="AI4" i="113"/>
  <c r="AO4" i="113" s="1" a="1"/>
  <c r="AO4" i="113" s="1"/>
  <c r="AH4" i="113"/>
  <c r="AG4" i="113"/>
  <c r="AF4" i="113"/>
  <c r="AE4" i="113"/>
  <c r="AD4" i="113"/>
  <c r="AC4" i="113"/>
  <c r="AB4" i="113"/>
  <c r="AA4" i="113"/>
  <c r="Z4" i="113"/>
  <c r="Y4" i="113"/>
  <c r="X4" i="113"/>
  <c r="W4" i="113"/>
  <c r="BG1" i="113"/>
  <c r="L241" i="92"/>
  <c r="M241" i="92"/>
  <c r="N241" i="92"/>
  <c r="O241" i="92"/>
  <c r="P241" i="92"/>
  <c r="Q241" i="92"/>
  <c r="R241" i="92"/>
  <c r="K241" i="92"/>
  <c r="W8" i="93"/>
  <c r="W9" i="93"/>
  <c r="W10" i="93"/>
  <c r="W11" i="93"/>
  <c r="W12" i="93"/>
  <c r="W13" i="93"/>
  <c r="W14" i="93"/>
  <c r="W15" i="93"/>
  <c r="W16" i="93"/>
  <c r="W17" i="93"/>
  <c r="W18" i="93"/>
  <c r="W19" i="93"/>
  <c r="W20" i="93"/>
  <c r="W21" i="93"/>
  <c r="W22" i="93"/>
  <c r="W23" i="93"/>
  <c r="W24" i="93"/>
  <c r="W25" i="93"/>
  <c r="W26" i="93"/>
  <c r="W27" i="93"/>
  <c r="W28" i="93"/>
  <c r="W29" i="93"/>
  <c r="W30" i="93"/>
  <c r="W31" i="93"/>
  <c r="W32" i="93"/>
  <c r="W33" i="93"/>
  <c r="W34" i="93"/>
  <c r="W35" i="93"/>
  <c r="W36" i="93"/>
  <c r="W37" i="93"/>
  <c r="W38" i="93"/>
  <c r="W39" i="93"/>
  <c r="W40" i="93"/>
  <c r="W41" i="93"/>
  <c r="W42" i="93"/>
  <c r="W43" i="93"/>
  <c r="W44" i="93"/>
  <c r="W45" i="93"/>
  <c r="W46" i="93"/>
  <c r="W47" i="93"/>
  <c r="W48" i="93"/>
  <c r="W49" i="93"/>
  <c r="W50" i="93"/>
  <c r="W51" i="93"/>
  <c r="W52" i="93"/>
  <c r="W53" i="93"/>
  <c r="W54" i="93"/>
  <c r="W55" i="93"/>
  <c r="W56" i="93"/>
  <c r="W57" i="93"/>
  <c r="W58" i="93"/>
  <c r="W59" i="93"/>
  <c r="W60" i="93"/>
  <c r="W61" i="93"/>
  <c r="W62" i="93"/>
  <c r="W63" i="93"/>
  <c r="W64" i="93"/>
  <c r="W65" i="93"/>
  <c r="W66" i="93"/>
  <c r="W67" i="93"/>
  <c r="W68" i="93"/>
  <c r="W69" i="93"/>
  <c r="W70" i="93"/>
  <c r="W71" i="93"/>
  <c r="W72" i="93"/>
  <c r="W73" i="93"/>
  <c r="W74" i="93"/>
  <c r="W75" i="93"/>
  <c r="W76" i="93"/>
  <c r="W77" i="93"/>
  <c r="W78" i="93"/>
  <c r="W79" i="93"/>
  <c r="W80" i="93"/>
  <c r="W81" i="93"/>
  <c r="W82" i="93"/>
  <c r="X8" i="93"/>
  <c r="X9" i="93"/>
  <c r="X10" i="93"/>
  <c r="X11" i="93"/>
  <c r="X12" i="93"/>
  <c r="X13" i="93"/>
  <c r="X14" i="93"/>
  <c r="X15" i="93"/>
  <c r="X16" i="93"/>
  <c r="X17" i="93"/>
  <c r="X18" i="93"/>
  <c r="X19" i="93"/>
  <c r="X20" i="93"/>
  <c r="X21" i="93"/>
  <c r="X22" i="93"/>
  <c r="X23" i="93"/>
  <c r="X24" i="93"/>
  <c r="X25" i="93"/>
  <c r="X26" i="93"/>
  <c r="X27" i="93"/>
  <c r="X28" i="93"/>
  <c r="X29" i="93"/>
  <c r="X30" i="93"/>
  <c r="X31" i="93"/>
  <c r="X32" i="93"/>
  <c r="X33" i="93"/>
  <c r="X34" i="93"/>
  <c r="X35" i="93"/>
  <c r="X36" i="93"/>
  <c r="X37" i="93"/>
  <c r="X38" i="93"/>
  <c r="X39" i="93"/>
  <c r="X40" i="93"/>
  <c r="X41" i="93"/>
  <c r="X42" i="93"/>
  <c r="X43" i="93"/>
  <c r="X44" i="93"/>
  <c r="X45" i="93"/>
  <c r="X46" i="93"/>
  <c r="X47" i="93"/>
  <c r="X48" i="93"/>
  <c r="X49" i="93"/>
  <c r="X50" i="93"/>
  <c r="X51" i="93"/>
  <c r="X52" i="93"/>
  <c r="X53" i="93"/>
  <c r="X54" i="93"/>
  <c r="X55" i="93"/>
  <c r="X56" i="93"/>
  <c r="X57" i="93"/>
  <c r="X58" i="93"/>
  <c r="X59" i="93"/>
  <c r="X60" i="93"/>
  <c r="X61" i="93"/>
  <c r="X62" i="93"/>
  <c r="X63" i="93"/>
  <c r="X64" i="93"/>
  <c r="X65" i="93"/>
  <c r="X66" i="93"/>
  <c r="X67" i="93"/>
  <c r="X68" i="93"/>
  <c r="X69" i="93"/>
  <c r="X70" i="93"/>
  <c r="X71" i="93"/>
  <c r="X72" i="93"/>
  <c r="X73" i="93"/>
  <c r="X74" i="93"/>
  <c r="X75" i="93"/>
  <c r="X76" i="93"/>
  <c r="X77" i="93"/>
  <c r="X78" i="93"/>
  <c r="X79" i="93"/>
  <c r="X80" i="93"/>
  <c r="X81" i="93"/>
  <c r="X82" i="93"/>
  <c r="Y8" i="93"/>
  <c r="Y9" i="93"/>
  <c r="Y10" i="93"/>
  <c r="Y11" i="93"/>
  <c r="Y12" i="93"/>
  <c r="Y13" i="93"/>
  <c r="Y14" i="93"/>
  <c r="Y15" i="93"/>
  <c r="Y16" i="93"/>
  <c r="Y17" i="93"/>
  <c r="Y18" i="93"/>
  <c r="Y19" i="93"/>
  <c r="Y20" i="93"/>
  <c r="Y21" i="93"/>
  <c r="Y22" i="93"/>
  <c r="Y23" i="93"/>
  <c r="Y24" i="93"/>
  <c r="Y25" i="93"/>
  <c r="Y26" i="93"/>
  <c r="Y27" i="93"/>
  <c r="Y28" i="93"/>
  <c r="Y29" i="93"/>
  <c r="Y30" i="93"/>
  <c r="Y31" i="93"/>
  <c r="Y32" i="93"/>
  <c r="Y33" i="93"/>
  <c r="Y34" i="93"/>
  <c r="Y35" i="93"/>
  <c r="Y36" i="93"/>
  <c r="Y37" i="93"/>
  <c r="Y38" i="93"/>
  <c r="Y39" i="93"/>
  <c r="Y40" i="93"/>
  <c r="Y41" i="93"/>
  <c r="Y42" i="93"/>
  <c r="Y43" i="93"/>
  <c r="Y44" i="93"/>
  <c r="Y45" i="93"/>
  <c r="Y46" i="93"/>
  <c r="Y47" i="93"/>
  <c r="Y48" i="93"/>
  <c r="Y49" i="93"/>
  <c r="Y50" i="93"/>
  <c r="Y51" i="93"/>
  <c r="Y52" i="93"/>
  <c r="Y53" i="93"/>
  <c r="Y54" i="93"/>
  <c r="Y55" i="93"/>
  <c r="Y56" i="93"/>
  <c r="Y57" i="93"/>
  <c r="Y58" i="93"/>
  <c r="Y59" i="93"/>
  <c r="Y60" i="93"/>
  <c r="Y61" i="93"/>
  <c r="Y62" i="93"/>
  <c r="Y63" i="93"/>
  <c r="Y64" i="93"/>
  <c r="Y65" i="93"/>
  <c r="Y66" i="93"/>
  <c r="Y67" i="93"/>
  <c r="Y68" i="93"/>
  <c r="Y69" i="93"/>
  <c r="Y70" i="93"/>
  <c r="Y71" i="93"/>
  <c r="Y72" i="93"/>
  <c r="Y73" i="93"/>
  <c r="Y74" i="93"/>
  <c r="Y75" i="93"/>
  <c r="Y76" i="93"/>
  <c r="Y77" i="93"/>
  <c r="Y78" i="93"/>
  <c r="Y79" i="93"/>
  <c r="Y80" i="93"/>
  <c r="Y81" i="93"/>
  <c r="Y82" i="93"/>
  <c r="Z8" i="93"/>
  <c r="Z9" i="93"/>
  <c r="Z10" i="93"/>
  <c r="Z11" i="93"/>
  <c r="Z12" i="93"/>
  <c r="Z13" i="93"/>
  <c r="Z14" i="93"/>
  <c r="Z15" i="93"/>
  <c r="Z16" i="93"/>
  <c r="Z17" i="93"/>
  <c r="Z18" i="93"/>
  <c r="Z19" i="93"/>
  <c r="Z20" i="93"/>
  <c r="Z21" i="93"/>
  <c r="Z22" i="93"/>
  <c r="Z23" i="93"/>
  <c r="Z24" i="93"/>
  <c r="Z25" i="93"/>
  <c r="Z26" i="93"/>
  <c r="Z27" i="93"/>
  <c r="Z28" i="93"/>
  <c r="Z29" i="93"/>
  <c r="Z30" i="93"/>
  <c r="Z31" i="93"/>
  <c r="Z32" i="93"/>
  <c r="Z33" i="93"/>
  <c r="Z34" i="93"/>
  <c r="Z35" i="93"/>
  <c r="Z36" i="93"/>
  <c r="Z37" i="93"/>
  <c r="Z38" i="93"/>
  <c r="Z39" i="93"/>
  <c r="Z40" i="93"/>
  <c r="Z41" i="93"/>
  <c r="Z42" i="93"/>
  <c r="Z43" i="93"/>
  <c r="Z44" i="93"/>
  <c r="Z45" i="93"/>
  <c r="Z46" i="93"/>
  <c r="Z47" i="93"/>
  <c r="Z48" i="93"/>
  <c r="Z49" i="93"/>
  <c r="Z50" i="93"/>
  <c r="Z51" i="93"/>
  <c r="Z52" i="93"/>
  <c r="Z53" i="93"/>
  <c r="Z54" i="93"/>
  <c r="Z55" i="93"/>
  <c r="Z56" i="93"/>
  <c r="Z57" i="93"/>
  <c r="Z58" i="93"/>
  <c r="Z59" i="93"/>
  <c r="Z60" i="93"/>
  <c r="Z61" i="93"/>
  <c r="Z62" i="93"/>
  <c r="Z63" i="93"/>
  <c r="Z64" i="93"/>
  <c r="Z65" i="93"/>
  <c r="Z66" i="93"/>
  <c r="Z67" i="93"/>
  <c r="Z68" i="93"/>
  <c r="Z69" i="93"/>
  <c r="Z70" i="93"/>
  <c r="Z71" i="93"/>
  <c r="Z72" i="93"/>
  <c r="Z73" i="93"/>
  <c r="Z74" i="93"/>
  <c r="Z75" i="93"/>
  <c r="Z76" i="93"/>
  <c r="Z77" i="93"/>
  <c r="Z78" i="93"/>
  <c r="Z79" i="93"/>
  <c r="Z80" i="93"/>
  <c r="Z81" i="93"/>
  <c r="Z82" i="93"/>
  <c r="AA8" i="93"/>
  <c r="AM8" i="93" s="1"/>
  <c r="AA9" i="93"/>
  <c r="AM9" i="93" s="1"/>
  <c r="AA10" i="93"/>
  <c r="AM10" i="93" s="1"/>
  <c r="AA11" i="93"/>
  <c r="AM11" i="93" s="1"/>
  <c r="AA12" i="93"/>
  <c r="AM12" i="93" s="1"/>
  <c r="AA13" i="93"/>
  <c r="AM13" i="93" s="1"/>
  <c r="AA14" i="93"/>
  <c r="AM14" i="93" s="1"/>
  <c r="AA15" i="93"/>
  <c r="AM15" i="93" s="1"/>
  <c r="AA16" i="93"/>
  <c r="AM16" i="93" s="1"/>
  <c r="AA17" i="93"/>
  <c r="AM17" i="93" s="1"/>
  <c r="AA18" i="93"/>
  <c r="AM18" i="93" s="1"/>
  <c r="AA19" i="93"/>
  <c r="AM19" i="93" s="1"/>
  <c r="AA20" i="93"/>
  <c r="AM20" i="93" s="1"/>
  <c r="AA21" i="93"/>
  <c r="AM21" i="93" s="1"/>
  <c r="AA22" i="93"/>
  <c r="AM22" i="93" s="1"/>
  <c r="AA23" i="93"/>
  <c r="AM23" i="93" s="1"/>
  <c r="AA24" i="93"/>
  <c r="AM24" i="93" s="1"/>
  <c r="AA25" i="93"/>
  <c r="AM25" i="93" s="1"/>
  <c r="AA26" i="93"/>
  <c r="AM26" i="93" s="1"/>
  <c r="AA27" i="93"/>
  <c r="AM27" i="93" s="1"/>
  <c r="AA28" i="93"/>
  <c r="AM28" i="93" s="1"/>
  <c r="AA29" i="93"/>
  <c r="AM29" i="93" s="1"/>
  <c r="AA30" i="93"/>
  <c r="AM30" i="93" s="1"/>
  <c r="AA31" i="93"/>
  <c r="AM31" i="93" s="1"/>
  <c r="AA32" i="93"/>
  <c r="AA33" i="93"/>
  <c r="AM33" i="93" s="1"/>
  <c r="AA34" i="93"/>
  <c r="AM34" i="93" s="1"/>
  <c r="AA35" i="93"/>
  <c r="AM35" i="93" s="1"/>
  <c r="AA36" i="93"/>
  <c r="AM36" i="93" s="1"/>
  <c r="AA37" i="93"/>
  <c r="AM37" i="93" s="1"/>
  <c r="AA38" i="93"/>
  <c r="AM38" i="93" s="1"/>
  <c r="AA39" i="93"/>
  <c r="AM39" i="93" s="1"/>
  <c r="AA40" i="93"/>
  <c r="AM40" i="93" s="1"/>
  <c r="AA41" i="93"/>
  <c r="AM41" i="93" s="1"/>
  <c r="AA42" i="93"/>
  <c r="AA43" i="93"/>
  <c r="AM43" i="93" s="1"/>
  <c r="AA44" i="93"/>
  <c r="AM44" i="93" s="1"/>
  <c r="AA45" i="93"/>
  <c r="AM45" i="93" s="1"/>
  <c r="AA46" i="93"/>
  <c r="AM46" i="93" s="1"/>
  <c r="AA47" i="93"/>
  <c r="AM47" i="93" s="1"/>
  <c r="AA48" i="93"/>
  <c r="AM48" i="93" s="1"/>
  <c r="AA49" i="93"/>
  <c r="AM49" i="93" s="1"/>
  <c r="AA50" i="93"/>
  <c r="AM50" i="93" s="1"/>
  <c r="AA51" i="93"/>
  <c r="AM51" i="93" s="1"/>
  <c r="AA52" i="93"/>
  <c r="AM52" i="93" s="1"/>
  <c r="AA53" i="93"/>
  <c r="AM53" i="93" s="1"/>
  <c r="AA54" i="93"/>
  <c r="AM54" i="93" s="1"/>
  <c r="AA55" i="93"/>
  <c r="AM55" i="93" s="1"/>
  <c r="AA56" i="93"/>
  <c r="AM56" i="93" s="1"/>
  <c r="AA57" i="93"/>
  <c r="AM57" i="93" s="1"/>
  <c r="AA58" i="93"/>
  <c r="AM58" i="93" s="1"/>
  <c r="AA59" i="93"/>
  <c r="AM59" i="93" s="1"/>
  <c r="AA60" i="93"/>
  <c r="AM60" i="93" s="1"/>
  <c r="AA61" i="93"/>
  <c r="AM61" i="93" s="1"/>
  <c r="AA62" i="93"/>
  <c r="AM62" i="93" s="1"/>
  <c r="AA63" i="93"/>
  <c r="AM63" i="93" s="1"/>
  <c r="AA64" i="93"/>
  <c r="AM64" i="93" s="1"/>
  <c r="AA65" i="93"/>
  <c r="AM65" i="93" s="1"/>
  <c r="AA66" i="93"/>
  <c r="AM66" i="93" s="1"/>
  <c r="AA67" i="93"/>
  <c r="AM67" i="93" s="1"/>
  <c r="AA68" i="93"/>
  <c r="AM68" i="93" s="1"/>
  <c r="AA69" i="93"/>
  <c r="AM69" i="93" s="1"/>
  <c r="AA70" i="93"/>
  <c r="AM70" i="93" s="1"/>
  <c r="AA71" i="93"/>
  <c r="AM71" i="93" s="1"/>
  <c r="AA72" i="93"/>
  <c r="AA73" i="93"/>
  <c r="AM73" i="93" s="1"/>
  <c r="AA74" i="93"/>
  <c r="AM74" i="93" s="1"/>
  <c r="AA75" i="93"/>
  <c r="AM75" i="93" s="1"/>
  <c r="AA76" i="93"/>
  <c r="AA77" i="93"/>
  <c r="AM77" i="93" s="1"/>
  <c r="AA78" i="93"/>
  <c r="AM78" i="93" s="1"/>
  <c r="AA79" i="93"/>
  <c r="AM79" i="93" s="1"/>
  <c r="AA80" i="93"/>
  <c r="AM80" i="93" s="1"/>
  <c r="AA81" i="93"/>
  <c r="AM81" i="93" s="1"/>
  <c r="AA82" i="93"/>
  <c r="AM82" i="93" s="1"/>
  <c r="AB8" i="93" a="1"/>
  <c r="AB8" i="93" s="1"/>
  <c r="AB9" i="93" a="1"/>
  <c r="AB9" i="93" s="1"/>
  <c r="AB10" i="93" a="1"/>
  <c r="AB10" i="93" s="1"/>
  <c r="AB11" i="93" a="1"/>
  <c r="AB11" i="93" s="1"/>
  <c r="AB12" i="93" a="1"/>
  <c r="AB12" i="93" s="1"/>
  <c r="AB13" i="93" a="1"/>
  <c r="AB13" i="93" s="1"/>
  <c r="AB14" i="93" a="1"/>
  <c r="AB14" i="93" s="1"/>
  <c r="AB15" i="93" a="1"/>
  <c r="AB15" i="93" s="1"/>
  <c r="AB16" i="93" a="1"/>
  <c r="AB16" i="93" s="1"/>
  <c r="AB17" i="93" a="1"/>
  <c r="AB17" i="93" s="1"/>
  <c r="AB18" i="93" a="1"/>
  <c r="AB18" i="93" s="1"/>
  <c r="AB19" i="93" a="1"/>
  <c r="AB19" i="93" s="1"/>
  <c r="AB20" i="93" a="1"/>
  <c r="AB20" i="93" s="1"/>
  <c r="AB21" i="93" a="1"/>
  <c r="AB21" i="93" s="1"/>
  <c r="AB22" i="93" a="1"/>
  <c r="AB22" i="93" s="1"/>
  <c r="AB23" i="93" a="1"/>
  <c r="AB23" i="93" s="1"/>
  <c r="AB24" i="93" a="1"/>
  <c r="AB24" i="93" s="1"/>
  <c r="AB25" i="93" a="1"/>
  <c r="AB25" i="93" s="1"/>
  <c r="AB26" i="93" a="1"/>
  <c r="AB26" i="93" s="1"/>
  <c r="AB27" i="93" a="1"/>
  <c r="AB27" i="93" s="1"/>
  <c r="AB28" i="93" a="1"/>
  <c r="AB28" i="93" s="1"/>
  <c r="AB29" i="93" a="1"/>
  <c r="AB29" i="93" s="1"/>
  <c r="AB30" i="93" a="1"/>
  <c r="AB30" i="93" s="1"/>
  <c r="AB31" i="93" a="1"/>
  <c r="AB31" i="93" s="1"/>
  <c r="AB32" i="93" a="1"/>
  <c r="AB32" i="93" s="1"/>
  <c r="AB33" i="93" a="1"/>
  <c r="AB33" i="93" s="1"/>
  <c r="AB34" i="93" a="1"/>
  <c r="AB34" i="93" s="1"/>
  <c r="AB35" i="93" a="1"/>
  <c r="AB35" i="93" s="1"/>
  <c r="AB36" i="93" a="1"/>
  <c r="AB36" i="93" s="1"/>
  <c r="AB37" i="93" a="1"/>
  <c r="AB37" i="93" s="1"/>
  <c r="AB38" i="93" a="1"/>
  <c r="AB38" i="93" s="1"/>
  <c r="AB39" i="93" a="1"/>
  <c r="AB39" i="93" s="1"/>
  <c r="AB40" i="93" a="1"/>
  <c r="AB40" i="93" s="1"/>
  <c r="AB41" i="93" a="1"/>
  <c r="AB41" i="93" s="1"/>
  <c r="AB42" i="93" a="1"/>
  <c r="AB42" i="93" s="1"/>
  <c r="AB43" i="93" a="1"/>
  <c r="AB43" i="93" s="1"/>
  <c r="AB44" i="93" a="1"/>
  <c r="AB44" i="93" s="1"/>
  <c r="AB45" i="93" a="1"/>
  <c r="AB45" i="93" s="1"/>
  <c r="AB46" i="93" a="1"/>
  <c r="AB46" i="93" s="1"/>
  <c r="AB47" i="93" a="1"/>
  <c r="AB47" i="93" s="1"/>
  <c r="AB48" i="93" a="1"/>
  <c r="AB48" i="93" s="1"/>
  <c r="AB49" i="93" a="1"/>
  <c r="AB49" i="93" s="1"/>
  <c r="AZ49" i="93" s="1"/>
  <c r="AB50" i="93" a="1"/>
  <c r="AB50" i="93" s="1"/>
  <c r="AB51" i="93" a="1"/>
  <c r="AB51" i="93" s="1"/>
  <c r="AB52" i="93" a="1"/>
  <c r="AB52" i="93" s="1"/>
  <c r="AB53" i="93" a="1"/>
  <c r="AB53" i="93" s="1"/>
  <c r="AB54" i="93" a="1"/>
  <c r="AB54" i="93" s="1"/>
  <c r="AB55" i="93" a="1"/>
  <c r="AB55" i="93" s="1"/>
  <c r="AB56" i="93" a="1"/>
  <c r="AB56" i="93" s="1"/>
  <c r="AB57" i="93" a="1"/>
  <c r="AB57" i="93" s="1"/>
  <c r="AB58" i="93" a="1"/>
  <c r="AB58" i="93" s="1"/>
  <c r="AB59" i="93" a="1"/>
  <c r="AB59" i="93" s="1"/>
  <c r="AB60" i="93" a="1"/>
  <c r="AB60" i="93" s="1"/>
  <c r="AB61" i="93" a="1"/>
  <c r="AB61" i="93" s="1"/>
  <c r="AB62" i="93" a="1"/>
  <c r="AB62" i="93" s="1"/>
  <c r="AB63" i="93" a="1"/>
  <c r="AB63" i="93" s="1"/>
  <c r="AB64" i="93" a="1"/>
  <c r="AB64" i="93" s="1"/>
  <c r="AB65" i="93" a="1"/>
  <c r="AB65" i="93" s="1"/>
  <c r="AB66" i="93" a="1"/>
  <c r="AB66" i="93" s="1"/>
  <c r="AB67" i="93" a="1"/>
  <c r="AB67" i="93" s="1"/>
  <c r="AB68" i="93" a="1"/>
  <c r="AB68" i="93" s="1"/>
  <c r="AB69" i="93" a="1"/>
  <c r="AB69" i="93" s="1"/>
  <c r="AB70" i="93" a="1"/>
  <c r="AB70" i="93" s="1"/>
  <c r="AB71" i="93" a="1"/>
  <c r="AB71" i="93" s="1"/>
  <c r="AB72" i="93" a="1"/>
  <c r="AB72" i="93" s="1"/>
  <c r="AB73" i="93" a="1"/>
  <c r="AB73" i="93" s="1"/>
  <c r="AB74" i="93" a="1"/>
  <c r="AB74" i="93" s="1"/>
  <c r="AB75" i="93" a="1"/>
  <c r="AB75" i="93" s="1"/>
  <c r="AB76" i="93" a="1"/>
  <c r="AB76" i="93" s="1"/>
  <c r="AZ76" i="93" s="1"/>
  <c r="AB77" i="93" a="1"/>
  <c r="AB77" i="93" s="1"/>
  <c r="AB78" i="93" a="1"/>
  <c r="AB78" i="93" s="1"/>
  <c r="AB79" i="93" a="1"/>
  <c r="AB79" i="93" s="1"/>
  <c r="AB80" i="93" a="1"/>
  <c r="AB80" i="93" s="1"/>
  <c r="AB81" i="93" a="1"/>
  <c r="AB81" i="93" s="1"/>
  <c r="AZ81" i="93" s="1"/>
  <c r="AB82" i="93" a="1"/>
  <c r="AB82" i="93" s="1"/>
  <c r="AH8" i="93"/>
  <c r="AH9" i="93"/>
  <c r="AH10" i="93"/>
  <c r="AH11" i="93"/>
  <c r="AH12" i="93"/>
  <c r="AH13" i="93"/>
  <c r="AH14" i="93"/>
  <c r="AH15" i="93"/>
  <c r="AH16" i="93"/>
  <c r="AH17" i="93"/>
  <c r="AH18" i="93"/>
  <c r="AH19" i="93"/>
  <c r="AH20" i="93"/>
  <c r="AH21" i="93"/>
  <c r="AH22" i="93"/>
  <c r="AH23" i="93"/>
  <c r="AH24" i="93"/>
  <c r="AH25" i="93"/>
  <c r="AH26" i="93"/>
  <c r="AH27" i="93"/>
  <c r="AH28" i="93"/>
  <c r="AH29" i="93"/>
  <c r="AH30" i="93"/>
  <c r="AH31" i="93"/>
  <c r="AH32" i="93"/>
  <c r="AH33" i="93"/>
  <c r="AH34" i="93"/>
  <c r="AH35" i="93"/>
  <c r="AH36" i="93"/>
  <c r="AH37" i="93"/>
  <c r="AH38" i="93"/>
  <c r="AH39" i="93"/>
  <c r="AH40" i="93"/>
  <c r="AH41" i="93"/>
  <c r="AH42" i="93"/>
  <c r="AH43" i="93"/>
  <c r="AH44" i="93"/>
  <c r="AH45" i="93"/>
  <c r="AH46" i="93"/>
  <c r="AH47" i="93"/>
  <c r="AH48" i="93"/>
  <c r="AH49" i="93"/>
  <c r="AH50" i="93"/>
  <c r="AH51" i="93"/>
  <c r="AH52" i="93"/>
  <c r="AH53" i="93"/>
  <c r="AH54" i="93"/>
  <c r="AH55" i="93"/>
  <c r="AH56" i="93"/>
  <c r="AH57" i="93"/>
  <c r="AH58" i="93"/>
  <c r="AH59" i="93"/>
  <c r="AH60" i="93"/>
  <c r="AH61" i="93"/>
  <c r="AH62" i="93"/>
  <c r="AH63" i="93"/>
  <c r="AH64" i="93"/>
  <c r="AH65" i="93"/>
  <c r="AH66" i="93"/>
  <c r="AH67" i="93"/>
  <c r="AH68" i="93"/>
  <c r="AH69" i="93"/>
  <c r="AH70" i="93"/>
  <c r="AH71" i="93"/>
  <c r="AH72" i="93"/>
  <c r="AH73" i="93"/>
  <c r="AH74" i="93"/>
  <c r="AH75" i="93"/>
  <c r="AH76" i="93"/>
  <c r="AH77" i="93"/>
  <c r="AH78" i="93"/>
  <c r="AH79" i="93"/>
  <c r="AH80" i="93"/>
  <c r="AH81" i="93"/>
  <c r="AH82" i="93"/>
  <c r="AI8" i="93"/>
  <c r="AK8" i="93" s="1" a="1"/>
  <c r="AK8" i="93" s="1"/>
  <c r="AL8" i="93" s="1" a="1"/>
  <c r="AL8" i="93" s="1"/>
  <c r="AI9" i="93"/>
  <c r="AK9" i="93" s="1" a="1"/>
  <c r="AK9" i="93" s="1"/>
  <c r="AL9" i="93" s="1" a="1"/>
  <c r="AL9" i="93" s="1"/>
  <c r="AI10" i="93"/>
  <c r="AK10" i="93" s="1" a="1"/>
  <c r="AK10" i="93" s="1"/>
  <c r="AL10" i="93" s="1" a="1"/>
  <c r="AL10" i="93" s="1"/>
  <c r="AI11" i="93"/>
  <c r="AI12" i="93"/>
  <c r="AI13" i="93"/>
  <c r="AJ13" i="93" s="1" a="1"/>
  <c r="AJ13" i="93" s="1"/>
  <c r="AI14" i="93"/>
  <c r="AJ14" i="93" s="1" a="1"/>
  <c r="AJ14" i="93" s="1"/>
  <c r="AI15" i="93"/>
  <c r="AJ15" i="93" s="1" a="1"/>
  <c r="AJ15" i="93" s="1"/>
  <c r="AI16" i="93"/>
  <c r="AK16" i="93" s="1" a="1"/>
  <c r="AK16" i="93" s="1"/>
  <c r="AL16" i="93" s="1" a="1"/>
  <c r="AL16" i="93" s="1"/>
  <c r="AI17" i="93"/>
  <c r="AK17" i="93" s="1" a="1"/>
  <c r="AK17" i="93" s="1"/>
  <c r="AL17" i="93" s="1" a="1"/>
  <c r="AL17" i="93" s="1"/>
  <c r="AI18" i="93"/>
  <c r="AJ18" i="93" s="1" a="1"/>
  <c r="AJ18" i="93" s="1"/>
  <c r="AI19" i="93"/>
  <c r="AJ19" i="93" s="1" a="1"/>
  <c r="AJ19" i="93" s="1"/>
  <c r="AI20" i="93"/>
  <c r="AK20" i="93" s="1" a="1"/>
  <c r="AK20" i="93" s="1"/>
  <c r="AL20" i="93" s="1" a="1"/>
  <c r="AL20" i="93" s="1"/>
  <c r="AI21" i="93"/>
  <c r="AI22" i="93"/>
  <c r="AI23" i="93"/>
  <c r="AJ23" i="93" s="1" a="1"/>
  <c r="AJ23" i="93" s="1"/>
  <c r="AI24" i="93"/>
  <c r="AK24" i="93" s="1" a="1"/>
  <c r="AK24" i="93" s="1"/>
  <c r="AL24" i="93" s="1" a="1"/>
  <c r="AL24" i="93" s="1"/>
  <c r="AI25" i="93"/>
  <c r="AJ25" i="93" s="1" a="1"/>
  <c r="AJ25" i="93" s="1"/>
  <c r="AI26" i="93"/>
  <c r="AJ26" i="93" s="1" a="1"/>
  <c r="AJ26" i="93" s="1"/>
  <c r="AI27" i="93"/>
  <c r="AK27" i="93" s="1" a="1"/>
  <c r="AK27" i="93" s="1"/>
  <c r="AL27" i="93" s="1" a="1"/>
  <c r="AL27" i="93" s="1"/>
  <c r="AI28" i="93"/>
  <c r="AJ28" i="93" s="1" a="1"/>
  <c r="AJ28" i="93" s="1"/>
  <c r="AI29" i="93"/>
  <c r="AK29" i="93" s="1" a="1"/>
  <c r="AK29" i="93" s="1"/>
  <c r="AL29" i="93" s="1" a="1"/>
  <c r="AL29" i="93" s="1"/>
  <c r="AI30" i="93"/>
  <c r="AJ30" i="93" s="1" a="1"/>
  <c r="AJ30" i="93" s="1"/>
  <c r="AI31" i="93"/>
  <c r="AI32" i="93"/>
  <c r="AK32" i="93" s="1" a="1"/>
  <c r="AK32" i="93" s="1"/>
  <c r="AL32" i="93" s="1" a="1"/>
  <c r="AL32" i="93" s="1"/>
  <c r="AI33" i="93"/>
  <c r="AJ33" i="93" s="1" a="1"/>
  <c r="AJ33" i="93" s="1"/>
  <c r="AI34" i="93"/>
  <c r="AJ34" i="93" s="1" a="1"/>
  <c r="AJ34" i="93" s="1"/>
  <c r="AI35" i="93"/>
  <c r="AJ35" i="93" s="1" a="1"/>
  <c r="AJ35" i="93" s="1"/>
  <c r="AI36" i="93"/>
  <c r="AK36" i="93" s="1" a="1"/>
  <c r="AK36" i="93" s="1"/>
  <c r="AL36" i="93" s="1" a="1"/>
  <c r="AL36" i="93" s="1"/>
  <c r="AI37" i="93"/>
  <c r="AK37" i="93" s="1" a="1"/>
  <c r="AK37" i="93" s="1"/>
  <c r="AL37" i="93" s="1" a="1"/>
  <c r="AL37" i="93" s="1"/>
  <c r="AI38" i="93"/>
  <c r="AJ38" i="93" s="1" a="1"/>
  <c r="AJ38" i="93" s="1"/>
  <c r="AI39" i="93"/>
  <c r="AJ39" i="93" s="1" a="1"/>
  <c r="AJ39" i="93" s="1"/>
  <c r="AI40" i="93"/>
  <c r="AK40" i="93" s="1" a="1"/>
  <c r="AK40" i="93" s="1"/>
  <c r="AL40" i="93" s="1" a="1"/>
  <c r="AL40" i="93" s="1"/>
  <c r="AI41" i="93"/>
  <c r="AI42" i="93"/>
  <c r="AK42" i="93" s="1" a="1"/>
  <c r="AK42" i="93" s="1"/>
  <c r="AL42" i="93" s="1" a="1"/>
  <c r="AL42" i="93" s="1"/>
  <c r="AI43" i="93"/>
  <c r="AJ43" i="93" s="1" a="1"/>
  <c r="AJ43" i="93" s="1"/>
  <c r="AI44" i="93"/>
  <c r="AJ44" i="93" s="1" a="1"/>
  <c r="AJ44" i="93" s="1"/>
  <c r="AI45" i="93"/>
  <c r="AJ45" i="93" s="1" a="1"/>
  <c r="AJ45" i="93" s="1"/>
  <c r="AI46" i="93"/>
  <c r="AK46" i="93" s="1" a="1"/>
  <c r="AK46" i="93" s="1"/>
  <c r="AL46" i="93" s="1" a="1"/>
  <c r="AL46" i="93" s="1"/>
  <c r="AI47" i="93"/>
  <c r="AJ47" i="93" s="1" a="1"/>
  <c r="AJ47" i="93" s="1"/>
  <c r="AI48" i="93"/>
  <c r="AK48" i="93" s="1" a="1"/>
  <c r="AK48" i="93" s="1"/>
  <c r="AL48" i="93" s="1" a="1"/>
  <c r="AL48" i="93" s="1"/>
  <c r="AI49" i="93"/>
  <c r="AJ49" i="93" s="1" a="1"/>
  <c r="AJ49" i="93" s="1"/>
  <c r="AI50" i="93"/>
  <c r="AK50" i="93" s="1" a="1"/>
  <c r="AK50" i="93" s="1"/>
  <c r="AL50" i="93" s="1" a="1"/>
  <c r="AL50" i="93" s="1"/>
  <c r="AI51" i="93"/>
  <c r="AI52" i="93"/>
  <c r="AK52" i="93" s="1" a="1"/>
  <c r="AK52" i="93" s="1"/>
  <c r="AL52" i="93" s="1" a="1"/>
  <c r="AL52" i="93" s="1"/>
  <c r="AI53" i="93"/>
  <c r="AK53" i="93" s="1" a="1"/>
  <c r="AK53" i="93" s="1"/>
  <c r="AL53" i="93" s="1" a="1"/>
  <c r="AL53" i="93" s="1"/>
  <c r="AI54" i="93"/>
  <c r="AJ54" i="93" s="1" a="1"/>
  <c r="AJ54" i="93" s="1"/>
  <c r="AI55" i="93"/>
  <c r="AJ55" i="93" s="1" a="1"/>
  <c r="AJ55" i="93" s="1"/>
  <c r="AI56" i="93"/>
  <c r="AK56" i="93" s="1" a="1"/>
  <c r="AK56" i="93" s="1"/>
  <c r="AL56" i="93" s="1" a="1"/>
  <c r="AL56" i="93" s="1"/>
  <c r="AI57" i="93"/>
  <c r="AJ57" i="93" s="1" a="1"/>
  <c r="AJ57" i="93" s="1"/>
  <c r="AI58" i="93"/>
  <c r="AJ58" i="93" s="1" a="1"/>
  <c r="AJ58" i="93" s="1"/>
  <c r="AI59" i="93"/>
  <c r="AK59" i="93" s="1" a="1"/>
  <c r="AK59" i="93" s="1"/>
  <c r="AL59" i="93" s="1" a="1"/>
  <c r="AL59" i="93" s="1"/>
  <c r="AI60" i="93"/>
  <c r="AI61" i="93"/>
  <c r="AI62" i="93"/>
  <c r="AK62" i="93" s="1" a="1"/>
  <c r="AK62" i="93" s="1"/>
  <c r="AL62" i="93" s="1" a="1"/>
  <c r="AL62" i="93" s="1"/>
  <c r="AI63" i="93"/>
  <c r="AJ63" i="93" s="1" a="1"/>
  <c r="AJ63" i="93" s="1"/>
  <c r="AI64" i="93"/>
  <c r="AJ64" i="93" s="1" a="1"/>
  <c r="AJ64" i="93" s="1"/>
  <c r="AI65" i="93"/>
  <c r="AJ65" i="93" s="1" a="1"/>
  <c r="AJ65" i="93" s="1"/>
  <c r="AI66" i="93"/>
  <c r="AJ66" i="93" s="1" a="1"/>
  <c r="AJ66" i="93" s="1"/>
  <c r="AI67" i="93"/>
  <c r="AK67" i="93" s="1" a="1"/>
  <c r="AK67" i="93" s="1"/>
  <c r="AL67" i="93" s="1" a="1"/>
  <c r="AL67" i="93" s="1"/>
  <c r="AI68" i="93"/>
  <c r="AK68" i="93" s="1" a="1"/>
  <c r="AK68" i="93" s="1"/>
  <c r="AL68" i="93" s="1" a="1"/>
  <c r="AL68" i="93" s="1"/>
  <c r="AI69" i="93"/>
  <c r="AJ69" i="93" s="1" a="1"/>
  <c r="AJ69" i="93" s="1"/>
  <c r="AI70" i="93"/>
  <c r="AK70" i="93" s="1" a="1"/>
  <c r="AK70" i="93" s="1"/>
  <c r="AL70" i="93" s="1" a="1"/>
  <c r="AL70" i="93" s="1"/>
  <c r="AI71" i="93"/>
  <c r="AI72" i="93"/>
  <c r="AI73" i="93"/>
  <c r="AJ73" i="93" s="1" a="1"/>
  <c r="AJ73" i="93" s="1"/>
  <c r="AI74" i="93"/>
  <c r="AK74" i="93" s="1" a="1"/>
  <c r="AK74" i="93" s="1"/>
  <c r="AL74" i="93" s="1" a="1"/>
  <c r="AL74" i="93" s="1"/>
  <c r="AI75" i="93"/>
  <c r="AK75" i="93" s="1" a="1"/>
  <c r="AK75" i="93" s="1"/>
  <c r="AL75" i="93" s="1" a="1"/>
  <c r="AL75" i="93" s="1"/>
  <c r="AI76" i="93"/>
  <c r="AK76" i="93" s="1" a="1"/>
  <c r="AK76" i="93" s="1"/>
  <c r="AL76" i="93" s="1" a="1"/>
  <c r="AL76" i="93" s="1"/>
  <c r="AI77" i="93"/>
  <c r="AJ77" i="93" s="1" a="1"/>
  <c r="AJ77" i="93" s="1"/>
  <c r="AI78" i="93"/>
  <c r="AJ78" i="93" s="1" a="1"/>
  <c r="AJ78" i="93" s="1"/>
  <c r="AI79" i="93"/>
  <c r="AK79" i="93" s="1" a="1"/>
  <c r="AK79" i="93" s="1"/>
  <c r="AL79" i="93" s="1" a="1"/>
  <c r="AL79" i="93" s="1"/>
  <c r="AI80" i="93"/>
  <c r="AI81" i="93"/>
  <c r="AI82" i="93"/>
  <c r="AI9" i="92"/>
  <c r="AE11" i="92"/>
  <c r="AD12" i="92"/>
  <c r="AJ13" i="92"/>
  <c r="AK14" i="92"/>
  <c r="AA29" i="92"/>
  <c r="AM31" i="92"/>
  <c r="AI48" i="92"/>
  <c r="AA49" i="92"/>
  <c r="AE51" i="92"/>
  <c r="AK52" i="92"/>
  <c r="AA61" i="92"/>
  <c r="AA62" i="92"/>
  <c r="AA65" i="92"/>
  <c r="AA69" i="92"/>
  <c r="AM71" i="92"/>
  <c r="AA72" i="92"/>
  <c r="AA81" i="92"/>
  <c r="AA82" i="92"/>
  <c r="AA85" i="92"/>
  <c r="AI89" i="92"/>
  <c r="AM91" i="92"/>
  <c r="AA107" i="92"/>
  <c r="AK108" i="92"/>
  <c r="AA109" i="92"/>
  <c r="AC110" i="92"/>
  <c r="AE111" i="92"/>
  <c r="AK112" i="92"/>
  <c r="AB114" i="92"/>
  <c r="AI129" i="92"/>
  <c r="AE131" i="92"/>
  <c r="AI132" i="92"/>
  <c r="AA141" i="92"/>
  <c r="AK142" i="92"/>
  <c r="AF146" i="92"/>
  <c r="AI149" i="92"/>
  <c r="AD150" i="92"/>
  <c r="AE151" i="92"/>
  <c r="AA152" i="92"/>
  <c r="AA161" i="92"/>
  <c r="AA162" i="92"/>
  <c r="AA165" i="92"/>
  <c r="AE171" i="92"/>
  <c r="AA182" i="92"/>
  <c r="AB188" i="92"/>
  <c r="AA189" i="92"/>
  <c r="AE191" i="92"/>
  <c r="AM192" i="92"/>
  <c r="AA201" i="92"/>
  <c r="AA205" i="92"/>
  <c r="AA209" i="92"/>
  <c r="AM211" i="92"/>
  <c r="AA221" i="92"/>
  <c r="AA229" i="92"/>
  <c r="AE231" i="92"/>
  <c r="AK232" i="92"/>
  <c r="AJ235" i="92"/>
  <c r="AJ236" i="92"/>
  <c r="AI15" i="92"/>
  <c r="AI16" i="92"/>
  <c r="AA18" i="92"/>
  <c r="AI22" i="92"/>
  <c r="AI26" i="92"/>
  <c r="AA37" i="92"/>
  <c r="AA38" i="92"/>
  <c r="AI42" i="92"/>
  <c r="AA55" i="92"/>
  <c r="AA56" i="92"/>
  <c r="AA57" i="92"/>
  <c r="AA58" i="92"/>
  <c r="AA67" i="92"/>
  <c r="AA75" i="92"/>
  <c r="AI76" i="92"/>
  <c r="AA78" i="92"/>
  <c r="AA95" i="92"/>
  <c r="AI96" i="92"/>
  <c r="AA115" i="92"/>
  <c r="AA116" i="92"/>
  <c r="AI136" i="92"/>
  <c r="AA138" i="92"/>
  <c r="AA157" i="92"/>
  <c r="AA158" i="92"/>
  <c r="AA174" i="92"/>
  <c r="AI175" i="92"/>
  <c r="AI176" i="92"/>
  <c r="AI177" i="92"/>
  <c r="AA178" i="92"/>
  <c r="AA186" i="92"/>
  <c r="AI188" i="92"/>
  <c r="AA197" i="92"/>
  <c r="AA198" i="92"/>
  <c r="AA218" i="92"/>
  <c r="AI236" i="92"/>
  <c r="AI237" i="92"/>
  <c r="AI238" i="92"/>
  <c r="AJ15" i="92"/>
  <c r="AJ16" i="92"/>
  <c r="AJ17" i="92"/>
  <c r="AB18" i="92"/>
  <c r="AJ21" i="92"/>
  <c r="AB22" i="92"/>
  <c r="AB34" i="92"/>
  <c r="AJ37" i="92"/>
  <c r="AJ38" i="92"/>
  <c r="AB42" i="92"/>
  <c r="AB54" i="92"/>
  <c r="AB56" i="92"/>
  <c r="AJ57" i="92"/>
  <c r="AB58" i="92"/>
  <c r="AB65" i="92"/>
  <c r="AB66" i="92"/>
  <c r="AB68" i="92"/>
  <c r="AB75" i="92"/>
  <c r="AB76" i="92"/>
  <c r="AB77" i="92"/>
  <c r="AB78" i="92"/>
  <c r="AB81" i="92"/>
  <c r="AJ95" i="92"/>
  <c r="AB96" i="92"/>
  <c r="AB97" i="92"/>
  <c r="AB98" i="92"/>
  <c r="AB117" i="92"/>
  <c r="AB118" i="92"/>
  <c r="AJ122" i="92"/>
  <c r="AB135" i="92"/>
  <c r="AJ136" i="92"/>
  <c r="AB137" i="92"/>
  <c r="AB138" i="92"/>
  <c r="AJ142" i="92"/>
  <c r="AB154" i="92"/>
  <c r="AB156" i="92"/>
  <c r="AB157" i="92"/>
  <c r="AJ158" i="92"/>
  <c r="AB162" i="92"/>
  <c r="AJ165" i="92"/>
  <c r="AJ166" i="92"/>
  <c r="AB175" i="92"/>
  <c r="AB176" i="92"/>
  <c r="AB178" i="92"/>
  <c r="AJ181" i="92"/>
  <c r="AB195" i="92"/>
  <c r="AJ196" i="92"/>
  <c r="AJ197" i="92"/>
  <c r="AB198" i="92"/>
  <c r="AJ208" i="92"/>
  <c r="AJ217" i="92"/>
  <c r="AB218" i="92"/>
  <c r="AJ237" i="92"/>
  <c r="AJ238" i="92"/>
  <c r="AK9" i="92"/>
  <c r="AK11" i="92"/>
  <c r="AK15" i="92"/>
  <c r="AK16" i="92"/>
  <c r="AK17" i="92"/>
  <c r="AK18" i="92"/>
  <c r="AK20" i="92"/>
  <c r="AK21" i="92"/>
  <c r="AC22" i="92"/>
  <c r="AK25" i="92"/>
  <c r="AK28" i="92"/>
  <c r="AC31" i="92"/>
  <c r="AC34" i="92"/>
  <c r="AC35" i="92"/>
  <c r="AC36" i="92"/>
  <c r="AC37" i="92"/>
  <c r="AK42" i="92"/>
  <c r="AK45" i="92"/>
  <c r="AC48" i="92"/>
  <c r="AK49" i="92"/>
  <c r="AC51" i="92"/>
  <c r="AK54" i="92"/>
  <c r="AK55" i="92"/>
  <c r="AC58" i="92"/>
  <c r="AK60" i="92"/>
  <c r="AK61" i="92"/>
  <c r="AK65" i="92"/>
  <c r="AK71" i="92"/>
  <c r="AC74" i="92"/>
  <c r="AK75" i="92"/>
  <c r="AC76" i="92"/>
  <c r="AC77" i="92"/>
  <c r="AK78" i="92"/>
  <c r="AK80" i="92"/>
  <c r="AK81" i="92"/>
  <c r="AC82" i="92"/>
  <c r="AC85" i="92"/>
  <c r="AK97" i="92"/>
  <c r="AC101" i="92"/>
  <c r="AC102" i="92"/>
  <c r="AC105" i="92"/>
  <c r="AK114" i="92"/>
  <c r="AK115" i="92"/>
  <c r="AK116" i="92"/>
  <c r="AC117" i="92"/>
  <c r="AC118" i="92"/>
  <c r="AC121" i="92"/>
  <c r="AC122" i="92"/>
  <c r="AC133" i="92"/>
  <c r="AK134" i="92"/>
  <c r="AC135" i="92"/>
  <c r="AC136" i="92"/>
  <c r="AK140" i="92"/>
  <c r="AC141" i="92"/>
  <c r="AC149" i="92"/>
  <c r="AK155" i="92"/>
  <c r="AC156" i="92"/>
  <c r="AC157" i="92"/>
  <c r="AK158" i="92"/>
  <c r="AC161" i="92"/>
  <c r="AC162" i="92"/>
  <c r="AK165" i="92"/>
  <c r="AK166" i="92"/>
  <c r="AK168" i="92"/>
  <c r="AK169" i="92"/>
  <c r="AC171" i="92"/>
  <c r="AC174" i="92"/>
  <c r="AC175" i="92"/>
  <c r="AC176" i="92"/>
  <c r="AC177" i="92"/>
  <c r="AC178" i="92"/>
  <c r="AC180" i="92"/>
  <c r="AC182" i="92"/>
  <c r="AC185" i="92"/>
  <c r="AK191" i="92"/>
  <c r="AK194" i="92"/>
  <c r="AK195" i="92"/>
  <c r="AK196" i="92"/>
  <c r="AC197" i="92"/>
  <c r="AK198" i="92"/>
  <c r="AC200" i="92"/>
  <c r="AK201" i="92"/>
  <c r="AK202" i="92"/>
  <c r="AK214" i="92"/>
  <c r="AK217" i="92"/>
  <c r="AK218" i="92"/>
  <c r="AK236" i="92"/>
  <c r="AK237" i="92"/>
  <c r="AK238" i="92"/>
  <c r="AL8" i="92"/>
  <c r="AL9" i="92"/>
  <c r="AL14" i="92"/>
  <c r="AL15" i="92"/>
  <c r="AD16" i="92"/>
  <c r="AL17" i="92"/>
  <c r="AD18" i="92"/>
  <c r="AL21" i="92"/>
  <c r="AD22" i="92"/>
  <c r="AD25" i="92"/>
  <c r="AD28" i="92"/>
  <c r="AD29" i="92"/>
  <c r="AD31" i="92"/>
  <c r="AL34" i="92"/>
  <c r="AD35" i="92"/>
  <c r="AL36" i="92"/>
  <c r="AD38" i="92"/>
  <c r="AL41" i="92"/>
  <c r="AL42" i="92"/>
  <c r="AD43" i="92"/>
  <c r="AD45" i="92"/>
  <c r="AL48" i="92"/>
  <c r="AL49" i="92"/>
  <c r="AL51" i="92"/>
  <c r="AD54" i="92"/>
  <c r="AL57" i="92"/>
  <c r="AD58" i="92"/>
  <c r="AL61" i="92"/>
  <c r="AD65" i="92"/>
  <c r="AD67" i="92"/>
  <c r="AL68" i="92"/>
  <c r="AL69" i="92"/>
  <c r="AL76" i="92"/>
  <c r="AD77" i="92"/>
  <c r="AL78" i="92"/>
  <c r="AD81" i="92"/>
  <c r="AD82" i="92"/>
  <c r="AL85" i="92"/>
  <c r="AD89" i="92"/>
  <c r="AD91" i="92"/>
  <c r="AL94" i="92"/>
  <c r="AL95" i="92"/>
  <c r="AL96" i="92"/>
  <c r="AL97" i="92"/>
  <c r="AL98" i="92"/>
  <c r="AD102" i="92"/>
  <c r="AD114" i="92"/>
  <c r="AD115" i="92"/>
  <c r="AD116" i="92"/>
  <c r="AD117" i="92"/>
  <c r="AD118" i="92"/>
  <c r="AL121" i="92"/>
  <c r="AL122" i="92"/>
  <c r="AD125" i="92"/>
  <c r="AL134" i="92"/>
  <c r="AD135" i="92"/>
  <c r="AD136" i="92"/>
  <c r="AD137" i="92"/>
  <c r="AL138" i="92"/>
  <c r="AD141" i="92"/>
  <c r="AL142" i="92"/>
  <c r="AD145" i="92"/>
  <c r="AD148" i="92"/>
  <c r="AD158" i="92"/>
  <c r="AD161" i="92"/>
  <c r="AD162" i="92"/>
  <c r="AD165" i="92"/>
  <c r="AD168" i="92"/>
  <c r="AD171" i="92"/>
  <c r="AD174" i="92"/>
  <c r="AD175" i="92"/>
  <c r="AD176" i="92"/>
  <c r="AD177" i="92"/>
  <c r="AL178" i="92"/>
  <c r="AD181" i="92"/>
  <c r="AD182" i="92"/>
  <c r="AD185" i="92"/>
  <c r="AL191" i="92"/>
  <c r="AL195" i="92"/>
  <c r="AL196" i="92"/>
  <c r="AD198" i="92"/>
  <c r="AD202" i="92"/>
  <c r="AD205" i="92"/>
  <c r="AD206" i="92"/>
  <c r="AL208" i="92"/>
  <c r="AD209" i="92"/>
  <c r="AL214" i="92"/>
  <c r="AL215" i="92"/>
  <c r="AL216" i="92"/>
  <c r="AL217" i="92"/>
  <c r="AD218" i="92"/>
  <c r="AL221" i="92"/>
  <c r="AL222" i="92"/>
  <c r="AD225" i="92"/>
  <c r="AD229" i="92"/>
  <c r="AD231" i="92"/>
  <c r="AD238" i="92"/>
  <c r="AM8" i="92"/>
  <c r="AM9" i="92"/>
  <c r="AM14" i="92"/>
  <c r="AM15" i="92"/>
  <c r="AE16" i="92"/>
  <c r="AE17" i="92"/>
  <c r="AM21" i="92"/>
  <c r="AE22" i="92"/>
  <c r="AE24" i="92"/>
  <c r="AM25" i="92"/>
  <c r="AM28" i="92"/>
  <c r="AM29" i="92"/>
  <c r="AM34" i="92"/>
  <c r="AE35" i="92"/>
  <c r="AE36" i="92"/>
  <c r="AE45" i="92"/>
  <c r="AE48" i="92"/>
  <c r="AE49" i="92"/>
  <c r="AE54" i="92"/>
  <c r="AE55" i="92"/>
  <c r="AE56" i="92"/>
  <c r="AE57" i="92"/>
  <c r="AE58" i="92"/>
  <c r="AE61" i="92"/>
  <c r="AE62" i="92"/>
  <c r="AE65" i="92"/>
  <c r="AE68" i="92"/>
  <c r="AE69" i="92"/>
  <c r="AE74" i="92"/>
  <c r="AE75" i="92"/>
  <c r="AM82" i="92"/>
  <c r="AE85" i="92"/>
  <c r="AE88" i="92"/>
  <c r="AE89" i="92"/>
  <c r="AM94" i="92"/>
  <c r="AM95" i="92"/>
  <c r="AM96" i="92"/>
  <c r="AM97" i="92"/>
  <c r="AE98" i="92"/>
  <c r="AE101" i="92"/>
  <c r="AE102" i="92"/>
  <c r="AM105" i="92"/>
  <c r="AE108" i="92"/>
  <c r="AE109" i="92"/>
  <c r="AE122" i="92"/>
  <c r="AM125" i="92"/>
  <c r="AE126" i="92"/>
  <c r="AM128" i="92"/>
  <c r="AM129" i="92"/>
  <c r="AE134" i="92"/>
  <c r="AE135" i="92"/>
  <c r="AM136" i="92"/>
  <c r="AM137" i="92"/>
  <c r="AE138" i="92"/>
  <c r="AM141" i="92"/>
  <c r="AE142" i="92"/>
  <c r="AE145" i="92"/>
  <c r="AE148" i="92"/>
  <c r="AM157" i="92"/>
  <c r="AE161" i="92"/>
  <c r="AE162" i="92"/>
  <c r="AE164" i="92"/>
  <c r="AE165" i="92"/>
  <c r="AE168" i="92"/>
  <c r="AE169" i="92"/>
  <c r="AE174" i="92"/>
  <c r="AM177" i="92"/>
  <c r="AM178" i="92"/>
  <c r="AM181" i="92"/>
  <c r="AM182" i="92"/>
  <c r="AM185" i="92"/>
  <c r="AE194" i="92"/>
  <c r="AE195" i="92"/>
  <c r="AE196" i="92"/>
  <c r="AE197" i="92"/>
  <c r="AE198" i="92"/>
  <c r="AM201" i="92"/>
  <c r="AE202" i="92"/>
  <c r="AE205" i="92"/>
  <c r="AM208" i="92"/>
  <c r="AM209" i="92"/>
  <c r="AE214" i="92"/>
  <c r="AE215" i="92"/>
  <c r="AE216" i="92"/>
  <c r="AE217" i="92"/>
  <c r="AM225" i="92"/>
  <c r="AE234" i="92"/>
  <c r="AM236" i="92"/>
  <c r="AE237" i="92"/>
  <c r="AN8" i="92"/>
  <c r="AN9" i="92"/>
  <c r="AN11" i="92"/>
  <c r="AF14" i="92"/>
  <c r="AN15" i="92"/>
  <c r="AN16" i="92"/>
  <c r="AN17" i="92"/>
  <c r="AN18" i="92"/>
  <c r="AF19" i="92"/>
  <c r="AF22" i="92"/>
  <c r="AF25" i="92"/>
  <c r="AF27" i="92"/>
  <c r="AF28" i="92"/>
  <c r="AF29" i="92"/>
  <c r="AN31" i="92"/>
  <c r="AN32" i="92"/>
  <c r="AF34" i="92"/>
  <c r="AF35" i="92"/>
  <c r="AF36" i="92"/>
  <c r="AF37" i="92"/>
  <c r="AN39" i="92"/>
  <c r="AF41" i="92"/>
  <c r="AN45" i="92"/>
  <c r="AF46" i="92"/>
  <c r="AN47" i="92"/>
  <c r="AN48" i="92"/>
  <c r="AF49" i="92"/>
  <c r="AF51" i="92"/>
  <c r="AF55" i="92"/>
  <c r="AF56" i="92"/>
  <c r="AF57" i="92"/>
  <c r="AF58" i="92"/>
  <c r="AN61" i="92"/>
  <c r="AN68" i="92"/>
  <c r="AN69" i="92"/>
  <c r="AF71" i="92"/>
  <c r="AF74" i="92"/>
  <c r="AF75" i="92"/>
  <c r="AN76" i="92"/>
  <c r="AF77" i="92"/>
  <c r="AF78" i="92"/>
  <c r="AN79" i="92"/>
  <c r="AF81" i="92"/>
  <c r="AF82" i="92"/>
  <c r="AF85" i="92"/>
  <c r="AF88" i="92"/>
  <c r="AN89" i="92"/>
  <c r="AF91" i="92"/>
  <c r="AN94" i="92"/>
  <c r="AN95" i="92"/>
  <c r="AN96" i="92"/>
  <c r="AF102" i="92"/>
  <c r="AF105" i="92"/>
  <c r="AF108" i="92"/>
  <c r="AF109" i="92"/>
  <c r="AF111" i="92"/>
  <c r="AN115" i="92"/>
  <c r="AN118" i="92"/>
  <c r="AN119" i="92"/>
  <c r="AF121" i="92"/>
  <c r="AN122" i="92"/>
  <c r="AF125" i="92"/>
  <c r="AF136" i="92"/>
  <c r="AF137" i="92"/>
  <c r="AN138" i="92"/>
  <c r="AF139" i="92"/>
  <c r="AF141" i="92"/>
  <c r="AF142" i="92"/>
  <c r="AN145" i="92"/>
  <c r="AF148" i="92"/>
  <c r="AN149" i="92"/>
  <c r="AF151" i="92"/>
  <c r="AN154" i="92"/>
  <c r="AF155" i="92"/>
  <c r="AF156" i="92"/>
  <c r="AF157" i="92"/>
  <c r="AF161" i="92"/>
  <c r="AF162" i="92"/>
  <c r="AF168" i="92"/>
  <c r="AN171" i="92"/>
  <c r="AN172" i="92"/>
  <c r="AN174" i="92"/>
  <c r="AN175" i="92"/>
  <c r="AF177" i="92"/>
  <c r="AF178" i="92"/>
  <c r="AF179" i="92"/>
  <c r="AN181" i="92"/>
  <c r="AF182" i="92"/>
  <c r="AN185" i="92"/>
  <c r="AN188" i="92"/>
  <c r="AN191" i="92"/>
  <c r="AN195" i="92"/>
  <c r="AF196" i="92"/>
  <c r="AN197" i="92"/>
  <c r="AN198" i="92"/>
  <c r="AF201" i="92"/>
  <c r="AF202" i="92"/>
  <c r="AF205" i="92"/>
  <c r="AF208" i="92"/>
  <c r="AF209" i="92"/>
  <c r="AF214" i="92"/>
  <c r="AF215" i="92"/>
  <c r="AF216" i="92"/>
  <c r="AN217" i="92"/>
  <c r="AF218" i="92"/>
  <c r="AN219" i="92"/>
  <c r="AF221" i="92"/>
  <c r="AF222" i="92"/>
  <c r="AF225" i="92"/>
  <c r="AN228" i="92"/>
  <c r="AN229" i="92"/>
  <c r="AF235" i="92"/>
  <c r="AF236" i="92"/>
  <c r="AF237" i="92"/>
  <c r="AF238" i="92"/>
  <c r="AF239" i="92"/>
  <c r="AG8" i="92"/>
  <c r="AG9" i="92"/>
  <c r="AG11" i="92"/>
  <c r="AG14" i="92"/>
  <c r="AG15" i="92"/>
  <c r="AO16" i="92"/>
  <c r="AG18" i="92"/>
  <c r="AG25" i="92"/>
  <c r="AG26" i="92"/>
  <c r="AO29" i="92"/>
  <c r="AG31" i="92"/>
  <c r="AG34" i="92"/>
  <c r="AG35" i="92"/>
  <c r="AG36" i="92"/>
  <c r="AO37" i="92"/>
  <c r="AG38" i="92"/>
  <c r="AG40" i="92"/>
  <c r="AG41" i="92"/>
  <c r="AG42" i="92"/>
  <c r="AG45" i="92"/>
  <c r="AG47" i="92"/>
  <c r="AG48" i="92"/>
  <c r="AG49" i="92"/>
  <c r="AG51" i="92"/>
  <c r="AG54" i="92"/>
  <c r="AG55" i="92"/>
  <c r="AG57" i="92"/>
  <c r="AO58" i="92"/>
  <c r="AG60" i="92"/>
  <c r="AG62" i="92"/>
  <c r="AG65" i="92"/>
  <c r="AO68" i="92"/>
  <c r="AO69" i="92"/>
  <c r="AG71" i="92"/>
  <c r="AG74" i="92"/>
  <c r="AG76" i="92"/>
  <c r="AG85" i="92"/>
  <c r="AO89" i="92"/>
  <c r="AO91" i="92"/>
  <c r="AG94" i="92"/>
  <c r="AG95" i="92"/>
  <c r="AO96" i="92"/>
  <c r="AG97" i="92"/>
  <c r="AG98" i="92"/>
  <c r="AO100" i="92"/>
  <c r="AO101" i="92"/>
  <c r="AO102" i="92"/>
  <c r="AG103" i="92"/>
  <c r="AG105" i="92"/>
  <c r="AG108" i="92"/>
  <c r="AO115" i="92"/>
  <c r="AO116" i="92"/>
  <c r="AO117" i="92"/>
  <c r="AO118" i="92"/>
  <c r="AO121" i="92"/>
  <c r="AO122" i="92"/>
  <c r="AG129" i="92"/>
  <c r="AG131" i="92"/>
  <c r="AG134" i="92"/>
  <c r="AG136" i="92"/>
  <c r="AO142" i="92"/>
  <c r="AO145" i="92"/>
  <c r="AO148" i="92"/>
  <c r="AO149" i="92"/>
  <c r="AO151" i="92"/>
  <c r="AG154" i="92"/>
  <c r="AG155" i="92"/>
  <c r="AG156" i="92"/>
  <c r="AO157" i="92"/>
  <c r="AO158" i="92"/>
  <c r="AO160" i="92"/>
  <c r="AO161" i="92"/>
  <c r="AG162" i="92"/>
  <c r="AO165" i="92"/>
  <c r="AO171" i="92"/>
  <c r="AO172" i="92"/>
  <c r="AG174" i="92"/>
  <c r="AG176" i="92"/>
  <c r="AG177" i="92"/>
  <c r="AG178" i="92"/>
  <c r="AG180" i="92"/>
  <c r="AO181" i="92"/>
  <c r="AG182" i="92"/>
  <c r="AG183" i="92"/>
  <c r="AO185" i="92"/>
  <c r="AO188" i="92"/>
  <c r="AG189" i="92"/>
  <c r="AG191" i="92"/>
  <c r="AO194" i="92"/>
  <c r="AG195" i="92"/>
  <c r="AG197" i="92"/>
  <c r="AG198" i="92"/>
  <c r="AG201" i="92"/>
  <c r="AG202" i="92"/>
  <c r="AG203" i="92"/>
  <c r="AG205" i="92"/>
  <c r="AG208" i="92"/>
  <c r="AG209" i="92"/>
  <c r="AG211" i="92"/>
  <c r="AG214" i="92"/>
  <c r="AO215" i="92"/>
  <c r="AO216" i="92"/>
  <c r="AG220" i="92"/>
  <c r="AO221" i="92"/>
  <c r="AG222" i="92"/>
  <c r="AG231" i="92"/>
  <c r="AG234" i="92"/>
  <c r="AG235" i="92"/>
  <c r="AG236" i="92"/>
  <c r="AO237" i="92"/>
  <c r="AG240" i="92"/>
  <c r="AH8" i="92"/>
  <c r="AH9" i="92"/>
  <c r="AH11" i="92"/>
  <c r="AP12" i="92"/>
  <c r="AH14" i="92"/>
  <c r="AH17" i="92"/>
  <c r="AH18" i="92"/>
  <c r="AH19" i="92"/>
  <c r="AH20" i="92"/>
  <c r="AH21" i="92"/>
  <c r="AH22" i="92"/>
  <c r="AP25" i="92"/>
  <c r="AH27" i="92"/>
  <c r="AH28" i="92"/>
  <c r="AP29" i="92"/>
  <c r="AP31" i="92"/>
  <c r="AP34" i="92"/>
  <c r="AP35" i="92"/>
  <c r="AP36" i="92"/>
  <c r="AP37" i="92"/>
  <c r="AH38" i="92"/>
  <c r="AH39" i="92"/>
  <c r="AP40" i="92"/>
  <c r="AP48" i="92"/>
  <c r="AH51" i="92"/>
  <c r="AH54" i="92"/>
  <c r="AH55" i="92"/>
  <c r="AH56" i="92"/>
  <c r="AP57" i="92"/>
  <c r="AP58" i="92"/>
  <c r="AH59" i="92"/>
  <c r="AP60" i="92"/>
  <c r="AP61" i="92"/>
  <c r="AH62" i="92"/>
  <c r="AH65" i="92"/>
  <c r="AH68" i="92"/>
  <c r="AH69" i="92"/>
  <c r="AH74" i="92"/>
  <c r="AH76" i="92"/>
  <c r="AP78" i="92"/>
  <c r="AP81" i="92"/>
  <c r="AP82" i="92"/>
  <c r="AP85" i="92"/>
  <c r="AH88" i="92"/>
  <c r="AH89" i="92"/>
  <c r="AH91" i="92"/>
  <c r="AH94" i="92"/>
  <c r="AP95" i="92"/>
  <c r="AH96" i="92"/>
  <c r="AH97" i="92"/>
  <c r="AH98" i="92"/>
  <c r="AP100" i="92"/>
  <c r="AP101" i="92"/>
  <c r="AP102" i="92"/>
  <c r="AH109" i="92"/>
  <c r="AP111" i="92"/>
  <c r="AH116" i="92"/>
  <c r="AH117" i="92"/>
  <c r="AH118" i="92"/>
  <c r="AP119" i="92"/>
  <c r="AH120" i="92"/>
  <c r="AH121" i="92"/>
  <c r="AH122" i="92"/>
  <c r="AP125" i="92"/>
  <c r="AP128" i="92"/>
  <c r="AH129" i="92"/>
  <c r="AP131" i="92"/>
  <c r="AH134" i="92"/>
  <c r="AP135" i="92"/>
  <c r="AH136" i="92"/>
  <c r="AH138" i="92"/>
  <c r="AP139" i="92"/>
  <c r="AH140" i="92"/>
  <c r="AH142" i="92"/>
  <c r="AH145" i="92"/>
  <c r="AP148" i="92"/>
  <c r="AP149" i="92"/>
  <c r="AH151" i="92"/>
  <c r="AP154" i="92"/>
  <c r="AH155" i="92"/>
  <c r="AP156" i="92"/>
  <c r="AP157" i="92"/>
  <c r="AH158" i="92"/>
  <c r="AH160" i="92"/>
  <c r="AP161" i="92"/>
  <c r="AP162" i="92"/>
  <c r="AP165" i="92"/>
  <c r="AH169" i="92"/>
  <c r="AH171" i="92"/>
  <c r="AH176" i="92"/>
  <c r="AH177" i="92"/>
  <c r="AP178" i="92"/>
  <c r="AH179" i="92"/>
  <c r="AP180" i="92"/>
  <c r="AP182" i="92"/>
  <c r="AH185" i="92"/>
  <c r="AP188" i="92"/>
  <c r="AH189" i="92"/>
  <c r="AH191" i="92"/>
  <c r="AH194" i="92"/>
  <c r="AH195" i="92"/>
  <c r="AH196" i="92"/>
  <c r="AH198" i="92"/>
  <c r="AH202" i="92"/>
  <c r="AP205" i="92"/>
  <c r="AP208" i="92"/>
  <c r="AH209" i="92"/>
  <c r="AP211" i="92"/>
  <c r="AP214" i="92"/>
  <c r="AH215" i="92"/>
  <c r="AH216" i="92"/>
  <c r="AH217" i="92"/>
  <c r="AH218" i="92"/>
  <c r="AH219" i="92"/>
  <c r="AH227" i="92"/>
  <c r="AP229" i="92"/>
  <c r="AH234" i="92"/>
  <c r="AH235" i="92"/>
  <c r="AH236" i="92"/>
  <c r="AP237" i="92"/>
  <c r="AP238" i="92"/>
  <c r="AP239" i="92"/>
  <c r="AH240" i="92"/>
  <c r="AH125" i="92"/>
  <c r="AI78" i="92"/>
  <c r="W8" i="27"/>
  <c r="W9" i="27"/>
  <c r="W10" i="27"/>
  <c r="W11" i="27"/>
  <c r="W12" i="27"/>
  <c r="W13" i="27"/>
  <c r="W14" i="27"/>
  <c r="W15" i="27"/>
  <c r="W16" i="27"/>
  <c r="W17" i="27"/>
  <c r="W18" i="27"/>
  <c r="W19" i="27"/>
  <c r="W20" i="27"/>
  <c r="W21" i="27"/>
  <c r="W22" i="27"/>
  <c r="W23" i="27"/>
  <c r="W24" i="27"/>
  <c r="W25" i="27"/>
  <c r="W26" i="27"/>
  <c r="W27" i="27"/>
  <c r="W28" i="27"/>
  <c r="W29" i="27"/>
  <c r="W30" i="27"/>
  <c r="W31" i="27"/>
  <c r="W32" i="27"/>
  <c r="W33" i="27"/>
  <c r="W34" i="27"/>
  <c r="W35" i="27"/>
  <c r="W36" i="27"/>
  <c r="W37" i="27"/>
  <c r="W38" i="27"/>
  <c r="W39" i="27"/>
  <c r="W40" i="27"/>
  <c r="W41" i="27"/>
  <c r="W42" i="27"/>
  <c r="W43" i="27"/>
  <c r="W44" i="27"/>
  <c r="W45" i="27"/>
  <c r="W46" i="27"/>
  <c r="W47" i="27"/>
  <c r="W48" i="27"/>
  <c r="W49" i="27"/>
  <c r="W50" i="27"/>
  <c r="W51" i="27"/>
  <c r="W52" i="27"/>
  <c r="W53" i="27"/>
  <c r="W54" i="27"/>
  <c r="W55" i="27"/>
  <c r="W56" i="27"/>
  <c r="W57" i="27"/>
  <c r="W58" i="27"/>
  <c r="W59" i="27"/>
  <c r="W60" i="27"/>
  <c r="W61" i="27"/>
  <c r="W62" i="27"/>
  <c r="W63" i="27"/>
  <c r="W64" i="27"/>
  <c r="W65" i="27"/>
  <c r="W66" i="27"/>
  <c r="W67" i="27"/>
  <c r="W68" i="27"/>
  <c r="W69" i="27"/>
  <c r="W70" i="27"/>
  <c r="W71" i="27"/>
  <c r="W72" i="27"/>
  <c r="W73" i="27"/>
  <c r="W74" i="27"/>
  <c r="W75" i="27"/>
  <c r="W76" i="27"/>
  <c r="W77" i="27"/>
  <c r="W78" i="27"/>
  <c r="W79" i="27"/>
  <c r="W80" i="27"/>
  <c r="W81" i="27"/>
  <c r="W82" i="27"/>
  <c r="W83" i="27"/>
  <c r="W84" i="27"/>
  <c r="W85" i="27"/>
  <c r="W86" i="27"/>
  <c r="W87" i="27"/>
  <c r="W88" i="27"/>
  <c r="W89" i="27"/>
  <c r="W90" i="27"/>
  <c r="W91" i="27"/>
  <c r="W92" i="27"/>
  <c r="W93" i="27"/>
  <c r="W94" i="27"/>
  <c r="W95" i="27"/>
  <c r="W96" i="27"/>
  <c r="W97" i="27"/>
  <c r="W98" i="27"/>
  <c r="W99" i="27"/>
  <c r="W100" i="27"/>
  <c r="W101" i="27"/>
  <c r="W102" i="27"/>
  <c r="W103" i="27"/>
  <c r="W104" i="27"/>
  <c r="W105" i="27"/>
  <c r="W106" i="27"/>
  <c r="W107" i="27"/>
  <c r="W108" i="27"/>
  <c r="W109" i="27"/>
  <c r="W110" i="27"/>
  <c r="W111" i="27"/>
  <c r="W112" i="27"/>
  <c r="W113" i="27"/>
  <c r="W114" i="27"/>
  <c r="W115" i="27"/>
  <c r="W116" i="27"/>
  <c r="W117" i="27"/>
  <c r="W118" i="27"/>
  <c r="W119" i="27"/>
  <c r="W120" i="27"/>
  <c r="W121" i="27"/>
  <c r="W122" i="27"/>
  <c r="W123" i="27"/>
  <c r="W124" i="27"/>
  <c r="W125" i="27"/>
  <c r="W126" i="27"/>
  <c r="W127" i="27"/>
  <c r="W128" i="27"/>
  <c r="W129" i="27"/>
  <c r="W130" i="27"/>
  <c r="W131" i="27"/>
  <c r="W132" i="27"/>
  <c r="W133" i="27"/>
  <c r="W134" i="27"/>
  <c r="W135" i="27"/>
  <c r="W136" i="27"/>
  <c r="W137" i="27"/>
  <c r="W138" i="27"/>
  <c r="W139" i="27"/>
  <c r="W140" i="27"/>
  <c r="W141" i="27"/>
  <c r="W142" i="27"/>
  <c r="W143" i="27"/>
  <c r="W144" i="27"/>
  <c r="W145" i="27"/>
  <c r="W146" i="27"/>
  <c r="W147" i="27"/>
  <c r="W148" i="27"/>
  <c r="W149" i="27"/>
  <c r="W150" i="27"/>
  <c r="W151" i="27"/>
  <c r="W152" i="27"/>
  <c r="W153" i="27"/>
  <c r="W154" i="27"/>
  <c r="W155" i="27"/>
  <c r="W156" i="27"/>
  <c r="W157" i="27"/>
  <c r="W158" i="27"/>
  <c r="W159" i="27"/>
  <c r="W160" i="27"/>
  <c r="W161" i="27"/>
  <c r="W162" i="27"/>
  <c r="W163" i="27"/>
  <c r="W164" i="27"/>
  <c r="W165" i="27"/>
  <c r="W166" i="27"/>
  <c r="W167" i="27"/>
  <c r="W168" i="27"/>
  <c r="W169" i="27"/>
  <c r="W170" i="27"/>
  <c r="W171" i="27"/>
  <c r="W172" i="27"/>
  <c r="W173" i="27"/>
  <c r="W174" i="27"/>
  <c r="W175" i="27"/>
  <c r="W176" i="27"/>
  <c r="W177" i="27"/>
  <c r="W178" i="27"/>
  <c r="W179" i="27"/>
  <c r="W180" i="27"/>
  <c r="W181" i="27"/>
  <c r="W182" i="27"/>
  <c r="W183" i="27"/>
  <c r="W184" i="27"/>
  <c r="W185" i="27"/>
  <c r="W186" i="27"/>
  <c r="W187" i="27"/>
  <c r="W188" i="27"/>
  <c r="W189" i="27"/>
  <c r="W190" i="27"/>
  <c r="W191" i="27"/>
  <c r="W192" i="27"/>
  <c r="W193" i="27"/>
  <c r="W194" i="27"/>
  <c r="W195" i="27"/>
  <c r="W196" i="27"/>
  <c r="W197" i="27"/>
  <c r="W198" i="27"/>
  <c r="W199" i="27"/>
  <c r="W200" i="27"/>
  <c r="W201" i="27"/>
  <c r="W202" i="27"/>
  <c r="W203" i="27"/>
  <c r="W204" i="27"/>
  <c r="W205" i="27"/>
  <c r="W206" i="27"/>
  <c r="W207" i="27"/>
  <c r="W208" i="27"/>
  <c r="W209" i="27"/>
  <c r="W210" i="27"/>
  <c r="W211" i="27"/>
  <c r="W212" i="27"/>
  <c r="W213" i="27"/>
  <c r="W214" i="27"/>
  <c r="W215" i="27"/>
  <c r="W216" i="27"/>
  <c r="W217" i="27"/>
  <c r="W218" i="27"/>
  <c r="W219" i="27"/>
  <c r="W220" i="27"/>
  <c r="W221" i="27"/>
  <c r="W222" i="27"/>
  <c r="W223" i="27"/>
  <c r="W224" i="27"/>
  <c r="W225" i="27"/>
  <c r="W226" i="27"/>
  <c r="W227" i="27"/>
  <c r="W228" i="27"/>
  <c r="W229" i="27"/>
  <c r="W230" i="27"/>
  <c r="W231" i="27"/>
  <c r="W232" i="27"/>
  <c r="W233" i="27"/>
  <c r="W234" i="27"/>
  <c r="W235" i="27"/>
  <c r="W236" i="27"/>
  <c r="W237" i="27"/>
  <c r="W238" i="27"/>
  <c r="W239" i="27"/>
  <c r="W240"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X88" i="27"/>
  <c r="X89" i="27"/>
  <c r="X90" i="27"/>
  <c r="X91" i="27"/>
  <c r="X92" i="27"/>
  <c r="X93" i="27"/>
  <c r="X94" i="27"/>
  <c r="X95" i="27"/>
  <c r="X96" i="27"/>
  <c r="X97" i="27"/>
  <c r="X98" i="27"/>
  <c r="X99" i="27"/>
  <c r="X100" i="27"/>
  <c r="X101" i="27"/>
  <c r="X102" i="27"/>
  <c r="X103" i="27"/>
  <c r="X104" i="27"/>
  <c r="X105" i="27"/>
  <c r="X106" i="27"/>
  <c r="X107" i="27"/>
  <c r="X108" i="27"/>
  <c r="X109" i="27"/>
  <c r="X110" i="27"/>
  <c r="X111" i="27"/>
  <c r="X112" i="27"/>
  <c r="X113" i="27"/>
  <c r="X114" i="27"/>
  <c r="X115" i="27"/>
  <c r="X116" i="27"/>
  <c r="X117" i="27"/>
  <c r="X118" i="27"/>
  <c r="X119" i="27"/>
  <c r="X120" i="27"/>
  <c r="X121" i="27"/>
  <c r="X122" i="27"/>
  <c r="X123" i="27"/>
  <c r="X124" i="27"/>
  <c r="X125" i="27"/>
  <c r="X126" i="27"/>
  <c r="X127" i="27"/>
  <c r="X128" i="27"/>
  <c r="X129" i="27"/>
  <c r="X130" i="27"/>
  <c r="X131" i="27"/>
  <c r="X132" i="27"/>
  <c r="X133" i="27"/>
  <c r="X134" i="27"/>
  <c r="X135" i="27"/>
  <c r="X136" i="27"/>
  <c r="X137" i="27"/>
  <c r="X138" i="27"/>
  <c r="X139" i="27"/>
  <c r="X140" i="27"/>
  <c r="X141" i="27"/>
  <c r="X142" i="27"/>
  <c r="X143" i="27"/>
  <c r="X144" i="27"/>
  <c r="X145" i="27"/>
  <c r="X146" i="27"/>
  <c r="X147" i="27"/>
  <c r="X148" i="27"/>
  <c r="X149" i="27"/>
  <c r="X150" i="27"/>
  <c r="X151" i="27"/>
  <c r="X152" i="27"/>
  <c r="X153" i="27"/>
  <c r="X154" i="27"/>
  <c r="X155" i="27"/>
  <c r="X156" i="27"/>
  <c r="X157" i="27"/>
  <c r="X158" i="27"/>
  <c r="X159" i="27"/>
  <c r="X160" i="27"/>
  <c r="X161" i="27"/>
  <c r="X162" i="27"/>
  <c r="X163" i="27"/>
  <c r="X164" i="27"/>
  <c r="X165" i="27"/>
  <c r="X166" i="27"/>
  <c r="X167" i="27"/>
  <c r="X168" i="27"/>
  <c r="X169" i="27"/>
  <c r="X170" i="27"/>
  <c r="X171" i="27"/>
  <c r="X172" i="27"/>
  <c r="X173" i="27"/>
  <c r="X174" i="27"/>
  <c r="X175" i="27"/>
  <c r="X176" i="27"/>
  <c r="X177" i="27"/>
  <c r="X178" i="27"/>
  <c r="X179" i="27"/>
  <c r="X180" i="27"/>
  <c r="X181" i="27"/>
  <c r="X182" i="27"/>
  <c r="X183" i="27"/>
  <c r="X184" i="27"/>
  <c r="X185" i="27"/>
  <c r="X186" i="27"/>
  <c r="X187" i="27"/>
  <c r="X188" i="27"/>
  <c r="X189" i="27"/>
  <c r="X190" i="27"/>
  <c r="X191" i="27"/>
  <c r="X192" i="27"/>
  <c r="X193" i="27"/>
  <c r="X194" i="27"/>
  <c r="X195" i="27"/>
  <c r="X196" i="27"/>
  <c r="X197" i="27"/>
  <c r="X198" i="27"/>
  <c r="X199" i="27"/>
  <c r="X200" i="27"/>
  <c r="X201" i="27"/>
  <c r="X202" i="27"/>
  <c r="X203" i="27"/>
  <c r="X204" i="27"/>
  <c r="X205" i="27"/>
  <c r="X206" i="27"/>
  <c r="X207" i="27"/>
  <c r="X208" i="27"/>
  <c r="X209" i="27"/>
  <c r="X210" i="27"/>
  <c r="X211" i="27"/>
  <c r="X212" i="27"/>
  <c r="X213" i="27"/>
  <c r="X214" i="27"/>
  <c r="X215" i="27"/>
  <c r="X216" i="27"/>
  <c r="X217" i="27"/>
  <c r="X218" i="27"/>
  <c r="X219" i="27"/>
  <c r="X220" i="27"/>
  <c r="X221" i="27"/>
  <c r="X222" i="27"/>
  <c r="X223" i="27"/>
  <c r="X224" i="27"/>
  <c r="X225" i="27"/>
  <c r="X226" i="27"/>
  <c r="X227" i="27"/>
  <c r="X228" i="27"/>
  <c r="X229" i="27"/>
  <c r="X230" i="27"/>
  <c r="X231" i="27"/>
  <c r="X232" i="27"/>
  <c r="X233" i="27"/>
  <c r="X234" i="27"/>
  <c r="X235" i="27"/>
  <c r="X236" i="27"/>
  <c r="X237" i="27"/>
  <c r="X238" i="27"/>
  <c r="X239" i="27"/>
  <c r="X240" i="27"/>
  <c r="Y8"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Y36" i="27"/>
  <c r="Y37" i="27"/>
  <c r="Y38" i="27"/>
  <c r="Y39" i="27"/>
  <c r="Y40" i="27"/>
  <c r="Y41" i="27"/>
  <c r="Y42" i="27"/>
  <c r="Y43" i="27"/>
  <c r="Y44" i="27"/>
  <c r="Y45" i="27"/>
  <c r="Y46" i="27"/>
  <c r="Y47" i="27"/>
  <c r="Y48" i="27"/>
  <c r="Y49" i="27"/>
  <c r="Y50" i="27"/>
  <c r="Y51" i="27"/>
  <c r="Y52" i="27"/>
  <c r="Y53" i="27"/>
  <c r="Y54" i="27"/>
  <c r="Y55" i="27"/>
  <c r="Y56" i="27"/>
  <c r="Y57" i="27"/>
  <c r="Y58" i="27"/>
  <c r="Y59" i="27"/>
  <c r="Y60" i="27"/>
  <c r="Y61" i="27"/>
  <c r="Y62" i="27"/>
  <c r="Y63" i="27"/>
  <c r="Y64" i="27"/>
  <c r="Y65" i="27"/>
  <c r="Y66" i="27"/>
  <c r="Y67" i="27"/>
  <c r="Y68" i="27"/>
  <c r="Y69" i="27"/>
  <c r="Y70" i="27"/>
  <c r="Y71" i="27"/>
  <c r="Y72" i="27"/>
  <c r="Y73" i="27"/>
  <c r="Y74" i="27"/>
  <c r="Y75" i="27"/>
  <c r="Y76" i="27"/>
  <c r="Y77" i="27"/>
  <c r="Y78" i="27"/>
  <c r="Y79" i="27"/>
  <c r="Y80" i="27"/>
  <c r="Y81" i="27"/>
  <c r="Y82" i="27"/>
  <c r="Y83" i="27"/>
  <c r="Y84" i="27"/>
  <c r="Y85" i="27"/>
  <c r="Y86" i="27"/>
  <c r="Y87" i="27"/>
  <c r="Y88" i="27"/>
  <c r="Y89" i="27"/>
  <c r="Y90" i="27"/>
  <c r="Y91" i="27"/>
  <c r="Y92" i="27"/>
  <c r="Y93" i="27"/>
  <c r="Y94" i="27"/>
  <c r="Y95" i="27"/>
  <c r="Y96" i="27"/>
  <c r="Y97" i="27"/>
  <c r="Y98" i="27"/>
  <c r="Y99" i="27"/>
  <c r="Y100" i="27"/>
  <c r="Y101" i="27"/>
  <c r="Y102" i="27"/>
  <c r="Y103" i="27"/>
  <c r="Y104" i="27"/>
  <c r="Y105" i="27"/>
  <c r="Y106" i="27"/>
  <c r="Y107" i="27"/>
  <c r="Y108" i="27"/>
  <c r="Y109" i="27"/>
  <c r="Y110" i="27"/>
  <c r="Y111" i="27"/>
  <c r="Y112" i="27"/>
  <c r="Y113" i="27"/>
  <c r="Y114" i="27"/>
  <c r="Y115" i="27"/>
  <c r="Y116" i="27"/>
  <c r="Y117" i="27"/>
  <c r="Y118" i="27"/>
  <c r="Y119" i="27"/>
  <c r="Y120" i="27"/>
  <c r="Y121" i="27"/>
  <c r="Y122" i="27"/>
  <c r="Y123" i="27"/>
  <c r="Y124" i="27"/>
  <c r="Y125" i="27"/>
  <c r="Y126" i="27"/>
  <c r="Y127" i="27"/>
  <c r="Y128" i="27"/>
  <c r="Y129" i="27"/>
  <c r="Y130" i="27"/>
  <c r="Y131" i="27"/>
  <c r="Y132" i="27"/>
  <c r="Y133" i="27"/>
  <c r="Y134" i="27"/>
  <c r="Y135" i="27"/>
  <c r="Y136" i="27"/>
  <c r="Y137" i="27"/>
  <c r="Y138" i="27"/>
  <c r="Y139" i="27"/>
  <c r="Y140" i="27"/>
  <c r="Y141" i="27"/>
  <c r="Y142" i="27"/>
  <c r="Y143" i="27"/>
  <c r="Y144" i="27"/>
  <c r="Y145" i="27"/>
  <c r="Y146" i="27"/>
  <c r="Y147" i="27"/>
  <c r="Y148" i="27"/>
  <c r="Y149" i="27"/>
  <c r="Y150" i="27"/>
  <c r="Y151" i="27"/>
  <c r="Y152" i="27"/>
  <c r="Y153" i="27"/>
  <c r="Y154" i="27"/>
  <c r="Y155" i="27"/>
  <c r="Y156" i="27"/>
  <c r="Y157" i="27"/>
  <c r="Y158" i="27"/>
  <c r="Y159" i="27"/>
  <c r="Y160" i="27"/>
  <c r="Y161" i="27"/>
  <c r="Y162" i="27"/>
  <c r="Y163" i="27"/>
  <c r="Y164" i="27"/>
  <c r="Y165" i="27"/>
  <c r="Y166" i="27"/>
  <c r="Y167" i="27"/>
  <c r="Y168" i="27"/>
  <c r="Y169" i="27"/>
  <c r="Y170" i="27"/>
  <c r="Y171" i="27"/>
  <c r="Y172" i="27"/>
  <c r="Y173" i="27"/>
  <c r="Y174" i="27"/>
  <c r="Y175" i="27"/>
  <c r="Y176" i="27"/>
  <c r="Y177" i="27"/>
  <c r="Y178" i="27"/>
  <c r="Y179" i="27"/>
  <c r="Y180" i="27"/>
  <c r="Y181" i="27"/>
  <c r="Y182" i="27"/>
  <c r="Y183" i="27"/>
  <c r="Y184" i="27"/>
  <c r="Y185" i="27"/>
  <c r="Y186" i="27"/>
  <c r="Y187" i="27"/>
  <c r="Y188" i="27"/>
  <c r="Y189" i="27"/>
  <c r="Y190" i="27"/>
  <c r="Y191" i="27"/>
  <c r="Y192" i="27"/>
  <c r="Y193" i="27"/>
  <c r="Y194" i="27"/>
  <c r="Y195" i="27"/>
  <c r="Y196" i="27"/>
  <c r="Y197" i="27"/>
  <c r="Y198" i="27"/>
  <c r="Y199" i="27"/>
  <c r="Y200" i="27"/>
  <c r="Y201" i="27"/>
  <c r="Y202" i="27"/>
  <c r="Y203" i="27"/>
  <c r="Y204" i="27"/>
  <c r="Y205" i="27"/>
  <c r="Y206" i="27"/>
  <c r="Y207" i="27"/>
  <c r="Y208" i="27"/>
  <c r="Y209" i="27"/>
  <c r="Y210" i="27"/>
  <c r="Y211" i="27"/>
  <c r="Y212" i="27"/>
  <c r="Y213" i="27"/>
  <c r="Y214" i="27"/>
  <c r="Y215" i="27"/>
  <c r="Y216" i="27"/>
  <c r="Y217" i="27"/>
  <c r="Y218" i="27"/>
  <c r="Y219" i="27"/>
  <c r="Y220" i="27"/>
  <c r="Y221" i="27"/>
  <c r="Y222" i="27"/>
  <c r="Y223" i="27"/>
  <c r="Y224" i="27"/>
  <c r="Y225" i="27"/>
  <c r="Y226" i="27"/>
  <c r="Y227" i="27"/>
  <c r="Y228" i="27"/>
  <c r="Y229" i="27"/>
  <c r="Y230" i="27"/>
  <c r="Y231" i="27"/>
  <c r="Y232" i="27"/>
  <c r="Y233" i="27"/>
  <c r="Y234" i="27"/>
  <c r="Y235" i="27"/>
  <c r="Y236" i="27"/>
  <c r="Y237" i="27"/>
  <c r="Y238" i="27"/>
  <c r="Y239" i="27"/>
  <c r="Y240"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Z88" i="27"/>
  <c r="Z89" i="27"/>
  <c r="Z90" i="27"/>
  <c r="Z91" i="27"/>
  <c r="Z92" i="27"/>
  <c r="Z93" i="27"/>
  <c r="Z94" i="27"/>
  <c r="Z95" i="27"/>
  <c r="Z96" i="27"/>
  <c r="Z97" i="27"/>
  <c r="Z98" i="27"/>
  <c r="Z99" i="27"/>
  <c r="Z100" i="27"/>
  <c r="Z101" i="27"/>
  <c r="Z102" i="27"/>
  <c r="Z103" i="27"/>
  <c r="Z104" i="27"/>
  <c r="Z105" i="27"/>
  <c r="Z106" i="27"/>
  <c r="Z107" i="27"/>
  <c r="Z108" i="27"/>
  <c r="Z109" i="27"/>
  <c r="Z110" i="27"/>
  <c r="Z111" i="27"/>
  <c r="Z112" i="27"/>
  <c r="Z113" i="27"/>
  <c r="Z114" i="27"/>
  <c r="Z115" i="27"/>
  <c r="Z116" i="27"/>
  <c r="Z117" i="27"/>
  <c r="Z118" i="27"/>
  <c r="Z119" i="27"/>
  <c r="Z120" i="27"/>
  <c r="Z121" i="27"/>
  <c r="Z122" i="27"/>
  <c r="Z123" i="27"/>
  <c r="Z124" i="27"/>
  <c r="Z125" i="27"/>
  <c r="Z126" i="27"/>
  <c r="Z127" i="27"/>
  <c r="Z128" i="27"/>
  <c r="Z129" i="27"/>
  <c r="Z130" i="27"/>
  <c r="Z131" i="27"/>
  <c r="Z132" i="27"/>
  <c r="Z133" i="27"/>
  <c r="Z134" i="27"/>
  <c r="Z135" i="27"/>
  <c r="Z136" i="27"/>
  <c r="Z137" i="27"/>
  <c r="Z138" i="27"/>
  <c r="Z139" i="27"/>
  <c r="Z140" i="27"/>
  <c r="Z141" i="27"/>
  <c r="Z142" i="27"/>
  <c r="Z143" i="27"/>
  <c r="Z144" i="27"/>
  <c r="Z145" i="27"/>
  <c r="Z146" i="27"/>
  <c r="Z147" i="27"/>
  <c r="Z148" i="27"/>
  <c r="Z149" i="27"/>
  <c r="Z150" i="27"/>
  <c r="Z151" i="27"/>
  <c r="Z152" i="27"/>
  <c r="Z153" i="27"/>
  <c r="Z154" i="27"/>
  <c r="Z155" i="27"/>
  <c r="Z156" i="27"/>
  <c r="Z157" i="27"/>
  <c r="Z158" i="27"/>
  <c r="Z159" i="27"/>
  <c r="Z160" i="27"/>
  <c r="Z161" i="27"/>
  <c r="Z162" i="27"/>
  <c r="Z163" i="27"/>
  <c r="Z164" i="27"/>
  <c r="Z165" i="27"/>
  <c r="Z166" i="27"/>
  <c r="Z167" i="27"/>
  <c r="Z168" i="27"/>
  <c r="Z169" i="27"/>
  <c r="Z170" i="27"/>
  <c r="Z171" i="27"/>
  <c r="Z172" i="27"/>
  <c r="Z173" i="27"/>
  <c r="Z174" i="27"/>
  <c r="Z175" i="27"/>
  <c r="Z176" i="27"/>
  <c r="Z177" i="27"/>
  <c r="Z178" i="27"/>
  <c r="Z179" i="27"/>
  <c r="Z180" i="27"/>
  <c r="Z181" i="27"/>
  <c r="Z182" i="27"/>
  <c r="Z183" i="27"/>
  <c r="Z184" i="27"/>
  <c r="Z185" i="27"/>
  <c r="Z186" i="27"/>
  <c r="Z187" i="27"/>
  <c r="Z188" i="27"/>
  <c r="Z189" i="27"/>
  <c r="Z190" i="27"/>
  <c r="Z191" i="27"/>
  <c r="Z192" i="27"/>
  <c r="Z193" i="27"/>
  <c r="Z194" i="27"/>
  <c r="Z195" i="27"/>
  <c r="Z196" i="27"/>
  <c r="Z197" i="27"/>
  <c r="Z198" i="27"/>
  <c r="Z199" i="27"/>
  <c r="Z200" i="27"/>
  <c r="Z201" i="27"/>
  <c r="Z202" i="27"/>
  <c r="Z203" i="27"/>
  <c r="Z204" i="27"/>
  <c r="Z205" i="27"/>
  <c r="Z206" i="27"/>
  <c r="Z207" i="27"/>
  <c r="Z208" i="27"/>
  <c r="Z209" i="27"/>
  <c r="Z210" i="27"/>
  <c r="Z211" i="27"/>
  <c r="Z212" i="27"/>
  <c r="Z213" i="27"/>
  <c r="Z214" i="27"/>
  <c r="Z215" i="27"/>
  <c r="Z216" i="27"/>
  <c r="Z217" i="27"/>
  <c r="Z218" i="27"/>
  <c r="Z219" i="27"/>
  <c r="Z220" i="27"/>
  <c r="Z221" i="27"/>
  <c r="Z222" i="27"/>
  <c r="Z223" i="27"/>
  <c r="Z224" i="27"/>
  <c r="Z225" i="27"/>
  <c r="Z226" i="27"/>
  <c r="Z227" i="27"/>
  <c r="Z228" i="27"/>
  <c r="Z229" i="27"/>
  <c r="Z230" i="27"/>
  <c r="Z231" i="27"/>
  <c r="Z232" i="27"/>
  <c r="Z233" i="27"/>
  <c r="Z234" i="27"/>
  <c r="Z235" i="27"/>
  <c r="Z236" i="27"/>
  <c r="Z237" i="27"/>
  <c r="Z238" i="27"/>
  <c r="Z239" i="27"/>
  <c r="Z240" i="27"/>
  <c r="AA8" i="27"/>
  <c r="AA9" i="27"/>
  <c r="AA10" i="27"/>
  <c r="AA11" i="27"/>
  <c r="AA12" i="27"/>
  <c r="AA13" i="27"/>
  <c r="AA14" i="27"/>
  <c r="AA15" i="27"/>
  <c r="AA16" i="27"/>
  <c r="AA17" i="27"/>
  <c r="AA18" i="27"/>
  <c r="AA19" i="27"/>
  <c r="AA20" i="27"/>
  <c r="AA21" i="27"/>
  <c r="AA22" i="27"/>
  <c r="AA23" i="27"/>
  <c r="AA24" i="27"/>
  <c r="AA25" i="27"/>
  <c r="AA26" i="27"/>
  <c r="AA27" i="27"/>
  <c r="AA28" i="27"/>
  <c r="AA29" i="27"/>
  <c r="AA30" i="27"/>
  <c r="AA31" i="27"/>
  <c r="AA32" i="27"/>
  <c r="AA33" i="27"/>
  <c r="AA34" i="27"/>
  <c r="AA35" i="27"/>
  <c r="AA36" i="27"/>
  <c r="AA37" i="27"/>
  <c r="AA38" i="27"/>
  <c r="AA39" i="27"/>
  <c r="AA40" i="27"/>
  <c r="AA41" i="27"/>
  <c r="AA42" i="27"/>
  <c r="AA43" i="27"/>
  <c r="AA44" i="27"/>
  <c r="AA45" i="27"/>
  <c r="AA46" i="27"/>
  <c r="AA47" i="27"/>
  <c r="AA48" i="27"/>
  <c r="AA49" i="27"/>
  <c r="AA50" i="27"/>
  <c r="AA51" i="27"/>
  <c r="AA52" i="27"/>
  <c r="AA53" i="27"/>
  <c r="AA54" i="27"/>
  <c r="AA55" i="27"/>
  <c r="AA56" i="27"/>
  <c r="AA57" i="27"/>
  <c r="AA58" i="27"/>
  <c r="AA59" i="27"/>
  <c r="AA60" i="27"/>
  <c r="AA61" i="27"/>
  <c r="AA62" i="27"/>
  <c r="AA63" i="27"/>
  <c r="AA64" i="27"/>
  <c r="AA65" i="27"/>
  <c r="AA66" i="27"/>
  <c r="AA67" i="27"/>
  <c r="AA68" i="27"/>
  <c r="AA69" i="27"/>
  <c r="AA70" i="27"/>
  <c r="AA71" i="27"/>
  <c r="AA72" i="27"/>
  <c r="AA73" i="27"/>
  <c r="AA74" i="27"/>
  <c r="AA75" i="27"/>
  <c r="AA76" i="27"/>
  <c r="AA77" i="27"/>
  <c r="AA78" i="27"/>
  <c r="AA79" i="27"/>
  <c r="AA80" i="27"/>
  <c r="AA81" i="27"/>
  <c r="AA82" i="27"/>
  <c r="AA83" i="27"/>
  <c r="AA84" i="27"/>
  <c r="AA85" i="27"/>
  <c r="AA86" i="27"/>
  <c r="AA87" i="27"/>
  <c r="AA88" i="27"/>
  <c r="AA89" i="27"/>
  <c r="AA90" i="27"/>
  <c r="AA91" i="27"/>
  <c r="AA92" i="27"/>
  <c r="AA93" i="27"/>
  <c r="AA94" i="27"/>
  <c r="AA95" i="27"/>
  <c r="AA96" i="27"/>
  <c r="AA97" i="27"/>
  <c r="AA98" i="27"/>
  <c r="AA99" i="27"/>
  <c r="AA100" i="27"/>
  <c r="AA101" i="27"/>
  <c r="AA102" i="27"/>
  <c r="AA103" i="27"/>
  <c r="AA104" i="27"/>
  <c r="AA105" i="27"/>
  <c r="AA106" i="27"/>
  <c r="AA107" i="27"/>
  <c r="AA108" i="27"/>
  <c r="AA109" i="27"/>
  <c r="AA110" i="27"/>
  <c r="AA111" i="27"/>
  <c r="AA112" i="27"/>
  <c r="AA113" i="27"/>
  <c r="AA114" i="27"/>
  <c r="AA115" i="27"/>
  <c r="AA116" i="27"/>
  <c r="AA117" i="27"/>
  <c r="AA118" i="27"/>
  <c r="AA119" i="27"/>
  <c r="AA120" i="27"/>
  <c r="AA121" i="27"/>
  <c r="AA122" i="27"/>
  <c r="AA123" i="27"/>
  <c r="AA124" i="27"/>
  <c r="AA125" i="27"/>
  <c r="AA126" i="27"/>
  <c r="AA127" i="27"/>
  <c r="AA128" i="27"/>
  <c r="AA129" i="27"/>
  <c r="AA130" i="27"/>
  <c r="AA131" i="27"/>
  <c r="AA132" i="27"/>
  <c r="AA133" i="27"/>
  <c r="AA134" i="27"/>
  <c r="AA135" i="27"/>
  <c r="AA136" i="27"/>
  <c r="AA137" i="27"/>
  <c r="AA138" i="27"/>
  <c r="AA139" i="27"/>
  <c r="AA140" i="27"/>
  <c r="AA141" i="27"/>
  <c r="AA142" i="27"/>
  <c r="AA143" i="27"/>
  <c r="AA144" i="27"/>
  <c r="AA145" i="27"/>
  <c r="AA146" i="27"/>
  <c r="AA147" i="27"/>
  <c r="AA148" i="27"/>
  <c r="AA149" i="27"/>
  <c r="AA150" i="27"/>
  <c r="AA151" i="27"/>
  <c r="AA152" i="27"/>
  <c r="AA153" i="27"/>
  <c r="AA154" i="27"/>
  <c r="AA155" i="27"/>
  <c r="AA156" i="27"/>
  <c r="AA157" i="27"/>
  <c r="AA158" i="27"/>
  <c r="AA159" i="27"/>
  <c r="AA160" i="27"/>
  <c r="AA161" i="27"/>
  <c r="AA162" i="27"/>
  <c r="AA163" i="27"/>
  <c r="AA164" i="27"/>
  <c r="AA165" i="27"/>
  <c r="AA166" i="27"/>
  <c r="AA167" i="27"/>
  <c r="AA168" i="27"/>
  <c r="AA169" i="27"/>
  <c r="AA170" i="27"/>
  <c r="AA171" i="27"/>
  <c r="AA172" i="27"/>
  <c r="AA173" i="27"/>
  <c r="AA174" i="27"/>
  <c r="AA175" i="27"/>
  <c r="AA176" i="27"/>
  <c r="AA177" i="27"/>
  <c r="AA178" i="27"/>
  <c r="AA179" i="27"/>
  <c r="AA180" i="27"/>
  <c r="AA181" i="27"/>
  <c r="AA182" i="27"/>
  <c r="AA183" i="27"/>
  <c r="AA184" i="27"/>
  <c r="AA185" i="27"/>
  <c r="AA186" i="27"/>
  <c r="AA187" i="27"/>
  <c r="AA188" i="27"/>
  <c r="AA189" i="27"/>
  <c r="AA190" i="27"/>
  <c r="AA191" i="27"/>
  <c r="AA192" i="27"/>
  <c r="AA193" i="27"/>
  <c r="AA194" i="27"/>
  <c r="AA195" i="27"/>
  <c r="AA196" i="27"/>
  <c r="AA197" i="27"/>
  <c r="AA198" i="27"/>
  <c r="AA199" i="27"/>
  <c r="AA200" i="27"/>
  <c r="AA201" i="27"/>
  <c r="AA202" i="27"/>
  <c r="AA203" i="27"/>
  <c r="AA204" i="27"/>
  <c r="AA205" i="27"/>
  <c r="AA206" i="27"/>
  <c r="AA207" i="27"/>
  <c r="AA208" i="27"/>
  <c r="AA209" i="27"/>
  <c r="AA210" i="27"/>
  <c r="AA211" i="27"/>
  <c r="AA212" i="27"/>
  <c r="AA213" i="27"/>
  <c r="AA214" i="27"/>
  <c r="AA215" i="27"/>
  <c r="AA216" i="27"/>
  <c r="AA217" i="27"/>
  <c r="AA218" i="27"/>
  <c r="AA219" i="27"/>
  <c r="AA220" i="27"/>
  <c r="AA221" i="27"/>
  <c r="AA222" i="27"/>
  <c r="AA223" i="27"/>
  <c r="AA224" i="27"/>
  <c r="AA225" i="27"/>
  <c r="AA226" i="27"/>
  <c r="AA227" i="27"/>
  <c r="AA228" i="27"/>
  <c r="AA229" i="27"/>
  <c r="AA230" i="27"/>
  <c r="AA231" i="27"/>
  <c r="AA232" i="27"/>
  <c r="AA233" i="27"/>
  <c r="AA234" i="27"/>
  <c r="AA235" i="27"/>
  <c r="AA236" i="27"/>
  <c r="AA237" i="27"/>
  <c r="AA238" i="27"/>
  <c r="AA239" i="27"/>
  <c r="AA240"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AB89" i="27"/>
  <c r="AB90" i="27"/>
  <c r="AB91" i="27"/>
  <c r="AB92" i="27"/>
  <c r="AB93" i="27"/>
  <c r="AB94" i="27"/>
  <c r="AB95" i="27"/>
  <c r="AB96" i="27"/>
  <c r="AB97" i="27"/>
  <c r="AB98" i="27"/>
  <c r="AB99" i="27"/>
  <c r="AB100" i="27"/>
  <c r="AB101" i="27"/>
  <c r="AB102" i="27"/>
  <c r="AB103" i="27"/>
  <c r="AB104" i="27"/>
  <c r="AB105" i="27"/>
  <c r="AB106" i="27"/>
  <c r="AB107" i="27"/>
  <c r="AB108" i="27"/>
  <c r="AB109" i="27"/>
  <c r="AB110" i="27"/>
  <c r="AB111" i="27"/>
  <c r="AB112" i="27"/>
  <c r="AB113" i="27"/>
  <c r="AB114" i="27"/>
  <c r="AB115" i="27"/>
  <c r="AB116" i="27"/>
  <c r="AB117" i="27"/>
  <c r="AB118" i="27"/>
  <c r="AB119" i="27"/>
  <c r="AB120" i="27"/>
  <c r="AB121" i="27"/>
  <c r="AB122" i="27"/>
  <c r="AB123" i="27"/>
  <c r="AB124" i="27"/>
  <c r="AB125" i="27"/>
  <c r="AB126" i="27"/>
  <c r="AB127" i="27"/>
  <c r="AB128" i="27"/>
  <c r="AB129" i="27"/>
  <c r="AB130" i="27"/>
  <c r="AB131" i="27"/>
  <c r="AB132" i="27"/>
  <c r="AB133" i="27"/>
  <c r="AB134" i="27"/>
  <c r="AB135" i="27"/>
  <c r="AB136" i="27"/>
  <c r="AB137" i="27"/>
  <c r="AB138" i="27"/>
  <c r="AB139" i="27"/>
  <c r="AB140" i="27"/>
  <c r="AB141" i="27"/>
  <c r="AB142" i="27"/>
  <c r="AB143" i="27"/>
  <c r="AB144" i="27"/>
  <c r="AB145" i="27"/>
  <c r="AB146" i="27"/>
  <c r="AB147" i="27"/>
  <c r="AB148" i="27"/>
  <c r="AB149" i="27"/>
  <c r="AB150" i="27"/>
  <c r="AB151" i="27"/>
  <c r="AB152" i="27"/>
  <c r="AB153" i="27"/>
  <c r="AB154" i="27"/>
  <c r="AB155" i="27"/>
  <c r="AB156" i="27"/>
  <c r="AB157" i="27"/>
  <c r="AB158" i="27"/>
  <c r="AB159" i="27"/>
  <c r="AB160" i="27"/>
  <c r="AB161" i="27"/>
  <c r="AB162" i="27"/>
  <c r="AB163" i="27"/>
  <c r="AB164" i="27"/>
  <c r="AB165" i="27"/>
  <c r="AB166" i="27"/>
  <c r="AB167" i="27"/>
  <c r="AB168" i="27"/>
  <c r="AB169" i="27"/>
  <c r="AB170" i="27"/>
  <c r="AB171" i="27"/>
  <c r="AB172" i="27"/>
  <c r="AB173" i="27"/>
  <c r="AB174" i="27"/>
  <c r="AB175" i="27"/>
  <c r="AB176" i="27"/>
  <c r="AB177" i="27"/>
  <c r="AB178" i="27"/>
  <c r="AB179" i="27"/>
  <c r="AB180" i="27"/>
  <c r="AB181" i="27"/>
  <c r="AB182" i="27"/>
  <c r="AB183" i="27"/>
  <c r="AB184" i="27"/>
  <c r="AB185" i="27"/>
  <c r="AB186" i="27"/>
  <c r="AB187" i="27"/>
  <c r="AB188" i="27"/>
  <c r="AB189" i="27"/>
  <c r="AB190" i="27"/>
  <c r="AB191" i="27"/>
  <c r="AB192" i="27"/>
  <c r="AB193" i="27"/>
  <c r="AB194" i="27"/>
  <c r="AB195" i="27"/>
  <c r="AB196" i="27"/>
  <c r="AB197" i="27"/>
  <c r="AB198" i="27"/>
  <c r="AB199" i="27"/>
  <c r="AB200" i="27"/>
  <c r="AB201" i="27"/>
  <c r="AB202" i="27"/>
  <c r="AB203" i="27"/>
  <c r="AB204" i="27"/>
  <c r="AB205" i="27"/>
  <c r="AB206" i="27"/>
  <c r="AB207" i="27"/>
  <c r="AB208" i="27"/>
  <c r="AB209" i="27"/>
  <c r="AB210" i="27"/>
  <c r="AB211" i="27"/>
  <c r="AB212" i="27"/>
  <c r="AB213" i="27"/>
  <c r="AB214" i="27"/>
  <c r="AB215" i="27"/>
  <c r="AB216" i="27"/>
  <c r="AB217" i="27"/>
  <c r="AB218" i="27"/>
  <c r="AB219" i="27"/>
  <c r="AB220" i="27"/>
  <c r="AB221" i="27"/>
  <c r="AB222" i="27"/>
  <c r="AB223" i="27"/>
  <c r="AB224" i="27"/>
  <c r="AB225" i="27"/>
  <c r="AB226" i="27"/>
  <c r="AB227" i="27"/>
  <c r="AB228" i="27"/>
  <c r="AB229" i="27"/>
  <c r="AB230" i="27"/>
  <c r="AB231" i="27"/>
  <c r="AB232" i="27"/>
  <c r="AB233" i="27"/>
  <c r="AB234" i="27"/>
  <c r="AB235" i="27"/>
  <c r="AB236" i="27"/>
  <c r="AB237" i="27"/>
  <c r="AB238" i="27"/>
  <c r="AB239" i="27"/>
  <c r="AB240" i="27"/>
  <c r="AC8" i="27"/>
  <c r="AC9" i="27"/>
  <c r="AC10" i="27"/>
  <c r="AC11" i="27"/>
  <c r="AC12" i="27"/>
  <c r="AC13" i="27"/>
  <c r="AC14" i="27"/>
  <c r="AC15" i="27"/>
  <c r="AC16" i="27"/>
  <c r="AC17" i="27"/>
  <c r="AC18" i="27"/>
  <c r="AC19" i="27"/>
  <c r="AC20" i="27"/>
  <c r="AC21" i="27"/>
  <c r="AC22" i="27"/>
  <c r="AC23" i="27"/>
  <c r="AC24" i="27"/>
  <c r="AC25" i="27"/>
  <c r="AC26" i="27"/>
  <c r="AC27" i="27"/>
  <c r="AC28" i="27"/>
  <c r="AC29" i="27"/>
  <c r="AC30" i="27"/>
  <c r="AC31" i="27"/>
  <c r="AC32" i="27"/>
  <c r="AC33" i="27"/>
  <c r="AC34" i="27"/>
  <c r="AC35" i="27"/>
  <c r="AC36" i="27"/>
  <c r="AC37" i="27"/>
  <c r="AC38" i="27"/>
  <c r="AC39" i="27"/>
  <c r="AC40" i="27"/>
  <c r="AC41" i="27"/>
  <c r="AC42" i="27"/>
  <c r="AC43" i="27"/>
  <c r="AC44" i="27"/>
  <c r="AC45" i="27"/>
  <c r="AC46" i="27"/>
  <c r="AC47" i="27"/>
  <c r="AC48" i="27"/>
  <c r="AC49" i="27"/>
  <c r="AC50" i="27"/>
  <c r="AC51" i="27"/>
  <c r="AC52" i="27"/>
  <c r="AC53" i="27"/>
  <c r="AC54" i="27"/>
  <c r="AC55" i="27"/>
  <c r="AC56" i="27"/>
  <c r="AC57" i="27"/>
  <c r="AC58" i="27"/>
  <c r="AC59" i="27"/>
  <c r="AC60" i="27"/>
  <c r="AC61" i="27"/>
  <c r="AC62" i="27"/>
  <c r="AC63" i="27"/>
  <c r="AC64" i="27"/>
  <c r="AC65" i="27"/>
  <c r="AC66" i="27"/>
  <c r="AC67" i="27"/>
  <c r="AC68" i="27"/>
  <c r="AC69" i="27"/>
  <c r="AC70" i="27"/>
  <c r="AC71" i="27"/>
  <c r="AC72" i="27"/>
  <c r="AC73" i="27"/>
  <c r="AC74" i="27"/>
  <c r="AC75" i="27"/>
  <c r="AC76" i="27"/>
  <c r="AC77" i="27"/>
  <c r="AC78" i="27"/>
  <c r="AC79" i="27"/>
  <c r="AC80" i="27"/>
  <c r="AC81" i="27"/>
  <c r="AC82" i="27"/>
  <c r="AC83" i="27"/>
  <c r="AC84" i="27"/>
  <c r="AC85" i="27"/>
  <c r="AC86" i="27"/>
  <c r="AC87" i="27"/>
  <c r="AC88" i="27"/>
  <c r="AC89" i="27"/>
  <c r="AC90" i="27"/>
  <c r="AC91" i="27"/>
  <c r="AC92" i="27"/>
  <c r="AC93" i="27"/>
  <c r="AC94" i="27"/>
  <c r="AC95" i="27"/>
  <c r="AC96" i="27"/>
  <c r="AC97" i="27"/>
  <c r="AC98" i="27"/>
  <c r="AC99" i="27"/>
  <c r="AC100" i="27"/>
  <c r="AC101" i="27"/>
  <c r="AC102" i="27"/>
  <c r="AC103" i="27"/>
  <c r="AC104" i="27"/>
  <c r="AC105" i="27"/>
  <c r="AC106" i="27"/>
  <c r="AC107" i="27"/>
  <c r="AC108" i="27"/>
  <c r="AC109" i="27"/>
  <c r="AC110" i="27"/>
  <c r="AC111" i="27"/>
  <c r="AC112" i="27"/>
  <c r="AC113" i="27"/>
  <c r="AC114" i="27"/>
  <c r="AC115" i="27"/>
  <c r="AC116" i="27"/>
  <c r="AC117" i="27"/>
  <c r="AC118" i="27"/>
  <c r="AC119" i="27"/>
  <c r="AC120" i="27"/>
  <c r="AC121" i="27"/>
  <c r="AC122" i="27"/>
  <c r="AC123" i="27"/>
  <c r="AC124" i="27"/>
  <c r="AC125" i="27"/>
  <c r="AC126" i="27"/>
  <c r="AC127" i="27"/>
  <c r="AC128" i="27"/>
  <c r="AC129" i="27"/>
  <c r="AC130" i="27"/>
  <c r="AC131" i="27"/>
  <c r="AC132" i="27"/>
  <c r="AC133" i="27"/>
  <c r="AC134" i="27"/>
  <c r="AC135" i="27"/>
  <c r="AC136" i="27"/>
  <c r="AC137" i="27"/>
  <c r="AC138" i="27"/>
  <c r="AC139" i="27"/>
  <c r="AC140" i="27"/>
  <c r="AC141" i="27"/>
  <c r="AC142" i="27"/>
  <c r="AC143" i="27"/>
  <c r="AC144" i="27"/>
  <c r="AC145" i="27"/>
  <c r="AC146" i="27"/>
  <c r="AC147" i="27"/>
  <c r="AC148" i="27"/>
  <c r="AC149" i="27"/>
  <c r="AC150" i="27"/>
  <c r="AC151" i="27"/>
  <c r="AC152" i="27"/>
  <c r="AC153" i="27"/>
  <c r="AC154" i="27"/>
  <c r="AC155" i="27"/>
  <c r="AC156" i="27"/>
  <c r="AC157" i="27"/>
  <c r="AC158" i="27"/>
  <c r="AC159" i="27"/>
  <c r="AC160" i="27"/>
  <c r="AC161" i="27"/>
  <c r="AC162" i="27"/>
  <c r="AC163" i="27"/>
  <c r="AC164" i="27"/>
  <c r="AC165" i="27"/>
  <c r="AC166" i="27"/>
  <c r="AC167" i="27"/>
  <c r="AC168" i="27"/>
  <c r="AC169" i="27"/>
  <c r="AC170" i="27"/>
  <c r="AC171" i="27"/>
  <c r="AC172" i="27"/>
  <c r="AC173" i="27"/>
  <c r="AC174" i="27"/>
  <c r="AC175" i="27"/>
  <c r="AC176" i="27"/>
  <c r="AC177" i="27"/>
  <c r="AC178" i="27"/>
  <c r="AC179" i="27"/>
  <c r="AC180" i="27"/>
  <c r="AC181" i="27"/>
  <c r="AC182" i="27"/>
  <c r="AC183" i="27"/>
  <c r="AC184" i="27"/>
  <c r="AC185" i="27"/>
  <c r="AC186" i="27"/>
  <c r="AC187" i="27"/>
  <c r="AC188" i="27"/>
  <c r="AC189" i="27"/>
  <c r="AC190" i="27"/>
  <c r="AC191" i="27"/>
  <c r="AC192" i="27"/>
  <c r="AC193" i="27"/>
  <c r="AC194" i="27"/>
  <c r="AC195" i="27"/>
  <c r="AC196" i="27"/>
  <c r="AC197" i="27"/>
  <c r="AC198" i="27"/>
  <c r="AC199" i="27"/>
  <c r="AC200" i="27"/>
  <c r="AC201" i="27"/>
  <c r="AC202" i="27"/>
  <c r="AC203" i="27"/>
  <c r="AC204" i="27"/>
  <c r="AC205" i="27"/>
  <c r="AC206" i="27"/>
  <c r="AC207" i="27"/>
  <c r="AC208" i="27"/>
  <c r="AC209" i="27"/>
  <c r="AC210" i="27"/>
  <c r="AC211" i="27"/>
  <c r="AC212" i="27"/>
  <c r="AC213" i="27"/>
  <c r="AC214" i="27"/>
  <c r="AC215" i="27"/>
  <c r="AC216" i="27"/>
  <c r="AC217" i="27"/>
  <c r="AC218" i="27"/>
  <c r="AC219" i="27"/>
  <c r="AC220" i="27"/>
  <c r="AC221" i="27"/>
  <c r="AC222" i="27"/>
  <c r="AC223" i="27"/>
  <c r="AC224" i="27"/>
  <c r="AC225" i="27"/>
  <c r="AC226" i="27"/>
  <c r="AC227" i="27"/>
  <c r="AC228" i="27"/>
  <c r="AC229" i="27"/>
  <c r="AC230" i="27"/>
  <c r="AC231" i="27"/>
  <c r="AC232" i="27"/>
  <c r="AC233" i="27"/>
  <c r="AC234" i="27"/>
  <c r="AC235" i="27"/>
  <c r="AC236" i="27"/>
  <c r="AC237" i="27"/>
  <c r="AC238" i="27"/>
  <c r="AC239" i="27"/>
  <c r="AC240" i="27"/>
  <c r="AD8" i="27"/>
  <c r="AD9" i="27"/>
  <c r="AD10" i="27"/>
  <c r="AD11" i="27"/>
  <c r="AD12" i="27"/>
  <c r="AD13" i="27"/>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D44" i="27"/>
  <c r="AD45" i="27"/>
  <c r="AD46" i="27"/>
  <c r="AD47" i="27"/>
  <c r="AD48" i="27"/>
  <c r="AD49" i="27"/>
  <c r="AD50" i="27"/>
  <c r="AD51" i="27"/>
  <c r="AD52" i="27"/>
  <c r="AD53" i="27"/>
  <c r="AD54" i="27"/>
  <c r="AD55" i="27"/>
  <c r="AD56" i="27"/>
  <c r="AD57" i="27"/>
  <c r="AD58" i="27"/>
  <c r="AD59" i="27"/>
  <c r="AD60" i="27"/>
  <c r="AD61" i="27"/>
  <c r="AD62" i="27"/>
  <c r="AD63" i="27"/>
  <c r="AD64" i="27"/>
  <c r="AD65" i="27"/>
  <c r="AD66" i="27"/>
  <c r="AD67" i="27"/>
  <c r="AD68" i="27"/>
  <c r="AD69" i="27"/>
  <c r="AD70" i="27"/>
  <c r="AD71" i="27"/>
  <c r="AD72" i="27"/>
  <c r="AD73" i="27"/>
  <c r="AD74" i="27"/>
  <c r="AD75" i="27"/>
  <c r="AD76" i="27"/>
  <c r="AD77" i="27"/>
  <c r="AD78" i="27"/>
  <c r="AD79" i="27"/>
  <c r="AD80" i="27"/>
  <c r="AD81" i="27"/>
  <c r="AD82" i="27"/>
  <c r="AD83" i="27"/>
  <c r="AD84" i="27"/>
  <c r="AD85" i="27"/>
  <c r="AD86" i="27"/>
  <c r="AD87" i="27"/>
  <c r="AD88" i="27"/>
  <c r="AD89" i="27"/>
  <c r="AD90" i="27"/>
  <c r="AD91" i="27"/>
  <c r="AD92" i="27"/>
  <c r="AD93" i="27"/>
  <c r="AD94" i="27"/>
  <c r="AD95" i="27"/>
  <c r="AD96" i="27"/>
  <c r="AD97" i="27"/>
  <c r="AD98" i="27"/>
  <c r="AD99" i="27"/>
  <c r="AD100" i="27"/>
  <c r="AD101" i="27"/>
  <c r="AD102" i="27"/>
  <c r="AD103" i="27"/>
  <c r="AD104" i="27"/>
  <c r="AD105" i="27"/>
  <c r="AD106" i="27"/>
  <c r="AD107" i="27"/>
  <c r="AD108" i="27"/>
  <c r="AD109" i="27"/>
  <c r="AD110" i="27"/>
  <c r="AD111" i="27"/>
  <c r="AD112" i="27"/>
  <c r="AD113" i="27"/>
  <c r="AD114" i="27"/>
  <c r="AD115" i="27"/>
  <c r="AD116" i="27"/>
  <c r="AD117" i="27"/>
  <c r="AD118" i="27"/>
  <c r="AD119" i="27"/>
  <c r="AD120" i="27"/>
  <c r="AD121" i="27"/>
  <c r="AD122" i="27"/>
  <c r="AD123" i="27"/>
  <c r="AD124" i="27"/>
  <c r="AD125" i="27"/>
  <c r="AD126" i="27"/>
  <c r="AD127" i="27"/>
  <c r="AD128" i="27"/>
  <c r="AD129" i="27"/>
  <c r="AD130" i="27"/>
  <c r="AD131" i="27"/>
  <c r="AD132" i="27"/>
  <c r="AD133" i="27"/>
  <c r="AD134" i="27"/>
  <c r="AD135" i="27"/>
  <c r="AD136" i="27"/>
  <c r="AD137" i="27"/>
  <c r="AD138" i="27"/>
  <c r="AD139" i="27"/>
  <c r="AD140" i="27"/>
  <c r="AD141" i="27"/>
  <c r="AD142" i="27"/>
  <c r="AD143" i="27"/>
  <c r="AD144" i="27"/>
  <c r="AD145" i="27"/>
  <c r="AD146" i="27"/>
  <c r="AD147" i="27"/>
  <c r="AD148" i="27"/>
  <c r="AD149" i="27"/>
  <c r="AD150" i="27"/>
  <c r="AD151" i="27"/>
  <c r="AD152" i="27"/>
  <c r="AD153" i="27"/>
  <c r="AD154" i="27"/>
  <c r="AD155" i="27"/>
  <c r="AD156" i="27"/>
  <c r="AD157" i="27"/>
  <c r="AD158" i="27"/>
  <c r="AD159" i="27"/>
  <c r="AD160" i="27"/>
  <c r="AD161" i="27"/>
  <c r="AD162" i="27"/>
  <c r="AD163" i="27"/>
  <c r="AD164" i="27"/>
  <c r="AD165" i="27"/>
  <c r="AD166" i="27"/>
  <c r="AD167" i="27"/>
  <c r="AD168" i="27"/>
  <c r="AD169" i="27"/>
  <c r="AD170" i="27"/>
  <c r="AD171" i="27"/>
  <c r="AD172" i="27"/>
  <c r="AD173" i="27"/>
  <c r="AD174" i="27"/>
  <c r="AD175" i="27"/>
  <c r="AD176" i="27"/>
  <c r="AD177" i="27"/>
  <c r="AD178" i="27"/>
  <c r="AD179" i="27"/>
  <c r="AD180" i="27"/>
  <c r="AD181" i="27"/>
  <c r="AD182" i="27"/>
  <c r="AD183" i="27"/>
  <c r="AD184" i="27"/>
  <c r="AD185" i="27"/>
  <c r="AD186" i="27"/>
  <c r="AD187" i="27"/>
  <c r="AD188" i="27"/>
  <c r="AD189" i="27"/>
  <c r="AD190" i="27"/>
  <c r="AD191" i="27"/>
  <c r="AD192" i="27"/>
  <c r="AD193" i="27"/>
  <c r="AD194" i="27"/>
  <c r="AD195" i="27"/>
  <c r="AD196" i="27"/>
  <c r="AD197" i="27"/>
  <c r="AD198" i="27"/>
  <c r="AD199" i="27"/>
  <c r="AD200" i="27"/>
  <c r="AD201" i="27"/>
  <c r="AD202" i="27"/>
  <c r="AD203" i="27"/>
  <c r="AD204" i="27"/>
  <c r="AD205" i="27"/>
  <c r="AD206" i="27"/>
  <c r="AD207" i="27"/>
  <c r="AD208" i="27"/>
  <c r="AD209" i="27"/>
  <c r="AD210" i="27"/>
  <c r="AD211" i="27"/>
  <c r="AD212" i="27"/>
  <c r="AD213" i="27"/>
  <c r="AD214" i="27"/>
  <c r="AD215" i="27"/>
  <c r="AD216" i="27"/>
  <c r="AD217" i="27"/>
  <c r="AD218" i="27"/>
  <c r="AD219" i="27"/>
  <c r="AD220" i="27"/>
  <c r="AD221" i="27"/>
  <c r="AD222" i="27"/>
  <c r="AD223" i="27"/>
  <c r="AD224" i="27"/>
  <c r="AD225" i="27"/>
  <c r="AD226" i="27"/>
  <c r="AD227" i="27"/>
  <c r="AD228" i="27"/>
  <c r="AD229" i="27"/>
  <c r="AD230" i="27"/>
  <c r="AD231" i="27"/>
  <c r="AD232" i="27"/>
  <c r="AD233" i="27"/>
  <c r="AD234" i="27"/>
  <c r="AD235" i="27"/>
  <c r="AD236" i="27"/>
  <c r="AD237" i="27"/>
  <c r="AD238" i="27"/>
  <c r="AD239" i="27"/>
  <c r="AD240"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E64" i="27"/>
  <c r="AE65" i="27"/>
  <c r="AE66" i="27"/>
  <c r="AE67" i="27"/>
  <c r="AE68" i="27"/>
  <c r="AE69" i="27"/>
  <c r="AE70" i="27"/>
  <c r="AE71" i="27"/>
  <c r="AE72" i="27"/>
  <c r="AE73" i="27"/>
  <c r="AE74" i="27"/>
  <c r="AE75" i="27"/>
  <c r="AE76" i="27"/>
  <c r="AE77" i="27"/>
  <c r="AE78" i="27"/>
  <c r="AE79" i="27"/>
  <c r="AE80" i="27"/>
  <c r="AE81" i="27"/>
  <c r="AE82" i="27"/>
  <c r="AE83" i="27"/>
  <c r="AE84" i="27"/>
  <c r="AE85" i="27"/>
  <c r="AE86" i="27"/>
  <c r="AE87" i="27"/>
  <c r="AE88" i="27"/>
  <c r="AE89" i="27"/>
  <c r="AE90" i="27"/>
  <c r="AE91" i="27"/>
  <c r="AE92" i="27"/>
  <c r="AE93" i="27"/>
  <c r="AE94" i="27"/>
  <c r="AE95" i="27"/>
  <c r="AE96" i="27"/>
  <c r="AE97" i="27"/>
  <c r="AE98" i="27"/>
  <c r="AE99" i="27"/>
  <c r="AE100" i="27"/>
  <c r="AE101" i="27"/>
  <c r="AE102" i="27"/>
  <c r="AE103" i="27"/>
  <c r="AE104" i="27"/>
  <c r="AE105" i="27"/>
  <c r="AE106" i="27"/>
  <c r="AE107" i="27"/>
  <c r="AE108" i="27"/>
  <c r="AE109" i="27"/>
  <c r="AE110" i="27"/>
  <c r="AE111" i="27"/>
  <c r="AE112" i="27"/>
  <c r="AE113" i="27"/>
  <c r="AE114" i="27"/>
  <c r="AE115" i="27"/>
  <c r="AE116" i="27"/>
  <c r="AE117" i="27"/>
  <c r="AE118" i="27"/>
  <c r="AE119" i="27"/>
  <c r="AE120" i="27"/>
  <c r="AE121" i="27"/>
  <c r="AE122" i="27"/>
  <c r="AE123" i="27"/>
  <c r="AE124" i="27"/>
  <c r="AE125" i="27"/>
  <c r="AE126" i="27"/>
  <c r="AE127" i="27"/>
  <c r="AE128" i="27"/>
  <c r="AE129" i="27"/>
  <c r="AE130" i="27"/>
  <c r="AE131" i="27"/>
  <c r="AE132" i="27"/>
  <c r="AE133" i="27"/>
  <c r="AE134" i="27"/>
  <c r="AE135" i="27"/>
  <c r="AE136" i="27"/>
  <c r="AE137" i="27"/>
  <c r="AE138" i="27"/>
  <c r="AE139" i="27"/>
  <c r="AE140" i="27"/>
  <c r="AE141" i="27"/>
  <c r="AE142" i="27"/>
  <c r="AE143" i="27"/>
  <c r="AE144" i="27"/>
  <c r="AE145" i="27"/>
  <c r="AE146" i="27"/>
  <c r="AE147" i="27"/>
  <c r="AE148" i="27"/>
  <c r="AE149" i="27"/>
  <c r="AE150" i="27"/>
  <c r="AE151" i="27"/>
  <c r="AE152" i="27"/>
  <c r="AE153" i="27"/>
  <c r="AE154" i="27"/>
  <c r="AE155" i="27"/>
  <c r="AE156" i="27"/>
  <c r="AE157" i="27"/>
  <c r="AE158" i="27"/>
  <c r="AE159" i="27"/>
  <c r="AE160" i="27"/>
  <c r="AE161" i="27"/>
  <c r="AE162" i="27"/>
  <c r="AE163" i="27"/>
  <c r="AE164" i="27"/>
  <c r="AE165" i="27"/>
  <c r="AE166" i="27"/>
  <c r="AE167" i="27"/>
  <c r="AE168" i="27"/>
  <c r="AE169" i="27"/>
  <c r="AE170" i="27"/>
  <c r="AE171" i="27"/>
  <c r="AE172" i="27"/>
  <c r="AE173" i="27"/>
  <c r="AE174" i="27"/>
  <c r="AE175" i="27"/>
  <c r="AE176" i="27"/>
  <c r="AE177" i="27"/>
  <c r="AE178" i="27"/>
  <c r="AE179" i="27"/>
  <c r="AE180" i="27"/>
  <c r="AE181" i="27"/>
  <c r="AE182" i="27"/>
  <c r="AE183" i="27"/>
  <c r="AE184" i="27"/>
  <c r="AE185" i="27"/>
  <c r="AE186" i="27"/>
  <c r="AE187" i="27"/>
  <c r="AE188" i="27"/>
  <c r="AE189" i="27"/>
  <c r="AE190" i="27"/>
  <c r="AE191" i="27"/>
  <c r="AE192" i="27"/>
  <c r="AE193" i="27"/>
  <c r="AE194" i="27"/>
  <c r="AE195" i="27"/>
  <c r="AE196" i="27"/>
  <c r="AE197" i="27"/>
  <c r="AE198" i="27"/>
  <c r="AE199" i="27"/>
  <c r="AE200" i="27"/>
  <c r="AE201" i="27"/>
  <c r="AE202" i="27"/>
  <c r="AE203" i="27"/>
  <c r="AE204" i="27"/>
  <c r="AE205" i="27"/>
  <c r="AE206" i="27"/>
  <c r="AE207" i="27"/>
  <c r="AE208" i="27"/>
  <c r="AE209" i="27"/>
  <c r="AE210" i="27"/>
  <c r="AE211" i="27"/>
  <c r="AE212" i="27"/>
  <c r="AE213" i="27"/>
  <c r="AE214" i="27"/>
  <c r="AE215" i="27"/>
  <c r="AE216" i="27"/>
  <c r="AE217" i="27"/>
  <c r="AE218" i="27"/>
  <c r="AE219" i="27"/>
  <c r="AE220" i="27"/>
  <c r="AE221" i="27"/>
  <c r="AE222" i="27"/>
  <c r="AE223" i="27"/>
  <c r="AE224" i="27"/>
  <c r="AE225" i="27"/>
  <c r="AE226" i="27"/>
  <c r="AE227" i="27"/>
  <c r="AE228" i="27"/>
  <c r="AE229" i="27"/>
  <c r="AE230" i="27"/>
  <c r="AE231" i="27"/>
  <c r="AE232" i="27"/>
  <c r="AE233" i="27"/>
  <c r="AE234" i="27"/>
  <c r="AE235" i="27"/>
  <c r="AE236" i="27"/>
  <c r="AE237" i="27"/>
  <c r="AE238" i="27"/>
  <c r="AE239" i="27"/>
  <c r="AE240" i="27"/>
  <c r="AF8" i="27"/>
  <c r="AF9" i="27"/>
  <c r="AF10" i="27"/>
  <c r="AF11" i="27"/>
  <c r="AF12" i="27"/>
  <c r="AF13" i="27"/>
  <c r="AF14" i="27"/>
  <c r="AF15" i="27"/>
  <c r="AF16" i="27"/>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F64" i="27"/>
  <c r="AF65" i="27"/>
  <c r="AF66" i="27"/>
  <c r="AF67" i="27"/>
  <c r="AF68" i="27"/>
  <c r="AF69" i="27"/>
  <c r="AF70" i="27"/>
  <c r="AF71" i="27"/>
  <c r="AF72" i="27"/>
  <c r="AF73" i="27"/>
  <c r="AF74" i="27"/>
  <c r="AF75" i="27"/>
  <c r="AF76" i="27"/>
  <c r="AF77" i="27"/>
  <c r="AF78" i="27"/>
  <c r="AF79" i="27"/>
  <c r="AF80" i="27"/>
  <c r="AF81" i="27"/>
  <c r="AF82" i="27"/>
  <c r="AF83" i="27"/>
  <c r="AF84" i="27"/>
  <c r="AF85" i="27"/>
  <c r="AF86" i="27"/>
  <c r="AF87" i="27"/>
  <c r="AF88" i="27"/>
  <c r="AF89" i="27"/>
  <c r="AF90" i="27"/>
  <c r="AF91" i="27"/>
  <c r="AF92" i="27"/>
  <c r="AF93" i="27"/>
  <c r="AF94" i="27"/>
  <c r="AF95" i="27"/>
  <c r="AF96" i="27"/>
  <c r="AF97" i="27"/>
  <c r="AF98" i="27"/>
  <c r="AF99" i="27"/>
  <c r="AF100" i="27"/>
  <c r="AF101" i="27"/>
  <c r="AF102" i="27"/>
  <c r="AF103" i="27"/>
  <c r="AF104" i="27"/>
  <c r="AF105" i="27"/>
  <c r="AF106" i="27"/>
  <c r="AF107" i="27"/>
  <c r="AF108" i="27"/>
  <c r="AF109" i="27"/>
  <c r="AF110" i="27"/>
  <c r="AF111" i="27"/>
  <c r="AF112" i="27"/>
  <c r="AF113" i="27"/>
  <c r="AF114" i="27"/>
  <c r="AF115" i="27"/>
  <c r="AF116" i="27"/>
  <c r="AF117" i="27"/>
  <c r="AF118" i="27"/>
  <c r="AF119" i="27"/>
  <c r="AF120" i="27"/>
  <c r="AF121" i="27"/>
  <c r="AF122" i="27"/>
  <c r="AF123" i="27"/>
  <c r="AF124" i="27"/>
  <c r="AF125" i="27"/>
  <c r="AF126" i="27"/>
  <c r="AF127" i="27"/>
  <c r="AF128" i="27"/>
  <c r="AF129" i="27"/>
  <c r="AF130" i="27"/>
  <c r="AF131" i="27"/>
  <c r="AF132" i="27"/>
  <c r="AF133" i="27"/>
  <c r="AF134" i="27"/>
  <c r="AF135" i="27"/>
  <c r="AF136" i="27"/>
  <c r="AF137" i="27"/>
  <c r="AF138" i="27"/>
  <c r="AF139" i="27"/>
  <c r="AF140" i="27"/>
  <c r="AF141" i="27"/>
  <c r="AF142" i="27"/>
  <c r="AF143" i="27"/>
  <c r="AF144" i="27"/>
  <c r="AF145" i="27"/>
  <c r="AF146" i="27"/>
  <c r="AF147" i="27"/>
  <c r="AF148" i="27"/>
  <c r="AF149" i="27"/>
  <c r="AF150" i="27"/>
  <c r="AF151" i="27"/>
  <c r="AF152" i="27"/>
  <c r="AF153" i="27"/>
  <c r="AF154" i="27"/>
  <c r="AF155" i="27"/>
  <c r="AF156" i="27"/>
  <c r="AF157" i="27"/>
  <c r="AF158" i="27"/>
  <c r="AF159" i="27"/>
  <c r="AF160" i="27"/>
  <c r="AF161" i="27"/>
  <c r="AF162" i="27"/>
  <c r="AF163" i="27"/>
  <c r="AF164" i="27"/>
  <c r="AF165" i="27"/>
  <c r="AF166" i="27"/>
  <c r="AF167" i="27"/>
  <c r="AF168" i="27"/>
  <c r="AF169" i="27"/>
  <c r="AF170" i="27"/>
  <c r="AF171" i="27"/>
  <c r="AF172" i="27"/>
  <c r="AF173" i="27"/>
  <c r="AF174" i="27"/>
  <c r="AF175" i="27"/>
  <c r="AF176" i="27"/>
  <c r="AF177" i="27"/>
  <c r="AF178" i="27"/>
  <c r="AF179" i="27"/>
  <c r="AF180" i="27"/>
  <c r="AF181" i="27"/>
  <c r="AF182" i="27"/>
  <c r="AF183" i="27"/>
  <c r="AF184" i="27"/>
  <c r="AF185" i="27"/>
  <c r="AF186" i="27"/>
  <c r="AF187" i="27"/>
  <c r="AF188" i="27"/>
  <c r="AF189" i="27"/>
  <c r="AF190" i="27"/>
  <c r="AF191" i="27"/>
  <c r="AF192" i="27"/>
  <c r="AF193" i="27"/>
  <c r="AF194" i="27"/>
  <c r="AF195" i="27"/>
  <c r="AF196" i="27"/>
  <c r="AF197" i="27"/>
  <c r="AF198" i="27"/>
  <c r="AF199" i="27"/>
  <c r="AF200" i="27"/>
  <c r="AF201" i="27"/>
  <c r="AF202" i="27"/>
  <c r="AF203" i="27"/>
  <c r="AF204" i="27"/>
  <c r="AF205" i="27"/>
  <c r="AF206" i="27"/>
  <c r="AF207" i="27"/>
  <c r="AF208" i="27"/>
  <c r="AF209" i="27"/>
  <c r="AF210" i="27"/>
  <c r="AF211" i="27"/>
  <c r="AF212" i="27"/>
  <c r="AF213" i="27"/>
  <c r="AF214" i="27"/>
  <c r="AF215" i="27"/>
  <c r="AF216" i="27"/>
  <c r="AF217" i="27"/>
  <c r="AF218" i="27"/>
  <c r="AF219" i="27"/>
  <c r="AF220" i="27"/>
  <c r="AF221" i="27"/>
  <c r="AF222" i="27"/>
  <c r="AF223" i="27"/>
  <c r="AF224" i="27"/>
  <c r="AF225" i="27"/>
  <c r="AF226" i="27"/>
  <c r="AF227" i="27"/>
  <c r="AF228" i="27"/>
  <c r="AF229" i="27"/>
  <c r="AF230" i="27"/>
  <c r="AF231" i="27"/>
  <c r="AF232" i="27"/>
  <c r="AF233" i="27"/>
  <c r="AF234" i="27"/>
  <c r="AF235" i="27"/>
  <c r="AF236" i="27"/>
  <c r="AF237" i="27"/>
  <c r="AF238" i="27"/>
  <c r="AF239" i="27"/>
  <c r="AF240" i="27"/>
  <c r="AG8" i="27"/>
  <c r="AG9" i="27"/>
  <c r="AG10" i="27"/>
  <c r="AG11" i="27"/>
  <c r="AG12" i="27"/>
  <c r="AG13" i="27"/>
  <c r="AG14" i="27"/>
  <c r="AG15" i="27"/>
  <c r="AG16" i="27"/>
  <c r="AG17" i="27"/>
  <c r="AG18" i="27"/>
  <c r="AG19" i="27"/>
  <c r="AG20" i="27"/>
  <c r="AG21" i="27"/>
  <c r="AG22" i="27"/>
  <c r="AG23" i="27"/>
  <c r="AG24" i="27"/>
  <c r="AG25" i="27"/>
  <c r="AG26" i="27"/>
  <c r="AG27" i="27"/>
  <c r="AG28" i="27"/>
  <c r="AG29" i="27"/>
  <c r="AG30" i="27"/>
  <c r="AG31" i="27"/>
  <c r="AG32" i="27"/>
  <c r="AG33" i="27"/>
  <c r="AG34" i="27"/>
  <c r="AG35" i="27"/>
  <c r="AG36" i="27"/>
  <c r="AG37" i="27"/>
  <c r="AG38" i="27"/>
  <c r="AG39" i="27"/>
  <c r="AG40" i="27"/>
  <c r="AG41" i="27"/>
  <c r="AG42" i="27"/>
  <c r="AG43" i="27"/>
  <c r="AG44" i="27"/>
  <c r="AG45" i="27"/>
  <c r="AG46" i="27"/>
  <c r="AG47" i="27"/>
  <c r="AG48" i="27"/>
  <c r="AG49" i="27"/>
  <c r="AG50" i="27"/>
  <c r="AG51" i="27"/>
  <c r="AG52" i="27"/>
  <c r="AG53" i="27"/>
  <c r="AG54" i="27"/>
  <c r="AG55" i="27"/>
  <c r="AG56" i="27"/>
  <c r="AG57" i="27"/>
  <c r="AG58" i="27"/>
  <c r="AG59" i="27"/>
  <c r="AG60" i="27"/>
  <c r="AG61" i="27"/>
  <c r="AG62" i="27"/>
  <c r="AG63" i="27"/>
  <c r="AG64" i="27"/>
  <c r="AG65" i="27"/>
  <c r="AG66" i="27"/>
  <c r="AG67" i="27"/>
  <c r="AG68" i="27"/>
  <c r="AG69" i="27"/>
  <c r="AG70" i="27"/>
  <c r="AG71" i="27"/>
  <c r="AG72" i="27"/>
  <c r="AG73" i="27"/>
  <c r="AG74" i="27"/>
  <c r="AG75" i="27"/>
  <c r="AG76" i="27"/>
  <c r="AG77" i="27"/>
  <c r="AG78" i="27"/>
  <c r="AG79" i="27"/>
  <c r="AG80" i="27"/>
  <c r="AG81" i="27"/>
  <c r="AG82" i="27"/>
  <c r="AG83" i="27"/>
  <c r="AG84" i="27"/>
  <c r="AG85" i="27"/>
  <c r="AG86" i="27"/>
  <c r="AG87" i="27"/>
  <c r="AG88" i="27"/>
  <c r="AG89" i="27"/>
  <c r="AG90" i="27"/>
  <c r="AG91" i="27"/>
  <c r="AG92" i="27"/>
  <c r="AG93" i="27"/>
  <c r="AG94" i="27"/>
  <c r="AG95" i="27"/>
  <c r="AG96" i="27"/>
  <c r="AG97" i="27"/>
  <c r="AG98" i="27"/>
  <c r="AG99" i="27"/>
  <c r="AG100" i="27"/>
  <c r="AG101" i="27"/>
  <c r="AG102" i="27"/>
  <c r="AG103" i="27"/>
  <c r="AG104" i="27"/>
  <c r="AG105" i="27"/>
  <c r="AG106" i="27"/>
  <c r="AG107" i="27"/>
  <c r="AG108" i="27"/>
  <c r="AG109" i="27"/>
  <c r="AG110" i="27"/>
  <c r="AG111" i="27"/>
  <c r="AG112" i="27"/>
  <c r="AG113" i="27"/>
  <c r="AG114" i="27"/>
  <c r="AG115" i="27"/>
  <c r="AG116" i="27"/>
  <c r="AG117" i="27"/>
  <c r="AG118" i="27"/>
  <c r="AG119" i="27"/>
  <c r="AG120" i="27"/>
  <c r="AG121" i="27"/>
  <c r="AG122" i="27"/>
  <c r="AG123" i="27"/>
  <c r="AG124" i="27"/>
  <c r="AG125" i="27"/>
  <c r="AG126" i="27"/>
  <c r="AG127" i="27"/>
  <c r="AG128" i="27"/>
  <c r="AG129" i="27"/>
  <c r="AG130" i="27"/>
  <c r="AG131" i="27"/>
  <c r="AG132" i="27"/>
  <c r="AG133" i="27"/>
  <c r="AG134" i="27"/>
  <c r="AG135" i="27"/>
  <c r="AG136" i="27"/>
  <c r="AG137" i="27"/>
  <c r="AG138" i="27"/>
  <c r="AG139" i="27"/>
  <c r="AG140" i="27"/>
  <c r="AG141" i="27"/>
  <c r="AG142" i="27"/>
  <c r="AG143" i="27"/>
  <c r="AG144" i="27"/>
  <c r="AG145" i="27"/>
  <c r="AG146" i="27"/>
  <c r="AG147" i="27"/>
  <c r="AG148" i="27"/>
  <c r="AG149" i="27"/>
  <c r="AG150" i="27"/>
  <c r="AG151" i="27"/>
  <c r="AG152" i="27"/>
  <c r="AG153" i="27"/>
  <c r="AG154" i="27"/>
  <c r="AG155" i="27"/>
  <c r="AG156" i="27"/>
  <c r="AG157" i="27"/>
  <c r="AG158" i="27"/>
  <c r="AG159" i="27"/>
  <c r="AG160" i="27"/>
  <c r="AG161" i="27"/>
  <c r="AG162" i="27"/>
  <c r="AG163" i="27"/>
  <c r="AG164" i="27"/>
  <c r="AG165" i="27"/>
  <c r="AG166" i="27"/>
  <c r="AG167" i="27"/>
  <c r="AG168" i="27"/>
  <c r="AG169" i="27"/>
  <c r="AG170" i="27"/>
  <c r="AG171" i="27"/>
  <c r="AG172" i="27"/>
  <c r="AG173" i="27"/>
  <c r="AG174" i="27"/>
  <c r="AG175" i="27"/>
  <c r="AG176" i="27"/>
  <c r="AG177" i="27"/>
  <c r="AG178" i="27"/>
  <c r="AG179" i="27"/>
  <c r="AG180" i="27"/>
  <c r="AG181" i="27"/>
  <c r="AG182" i="27"/>
  <c r="AG183" i="27"/>
  <c r="AG184" i="27"/>
  <c r="AG185" i="27"/>
  <c r="AG186" i="27"/>
  <c r="AG187" i="27"/>
  <c r="AG188" i="27"/>
  <c r="AG189" i="27"/>
  <c r="AG190" i="27"/>
  <c r="AG191" i="27"/>
  <c r="AG192" i="27"/>
  <c r="AG193" i="27"/>
  <c r="AG194" i="27"/>
  <c r="AG195" i="27"/>
  <c r="AG196" i="27"/>
  <c r="AG197" i="27"/>
  <c r="AG198" i="27"/>
  <c r="AG199" i="27"/>
  <c r="AG200" i="27"/>
  <c r="AG201" i="27"/>
  <c r="AG202" i="27"/>
  <c r="AG203" i="27"/>
  <c r="AG204" i="27"/>
  <c r="AG205" i="27"/>
  <c r="AG206" i="27"/>
  <c r="AG207" i="27"/>
  <c r="AG208" i="27"/>
  <c r="AG209" i="27"/>
  <c r="AG210" i="27"/>
  <c r="AG211" i="27"/>
  <c r="AG212" i="27"/>
  <c r="AG213" i="27"/>
  <c r="AG214" i="27"/>
  <c r="AG215" i="27"/>
  <c r="AG216" i="27"/>
  <c r="AG217" i="27"/>
  <c r="AG218" i="27"/>
  <c r="AG219" i="27"/>
  <c r="AG220" i="27"/>
  <c r="AG221" i="27"/>
  <c r="AG222" i="27"/>
  <c r="AG223" i="27"/>
  <c r="AG224" i="27"/>
  <c r="AG225" i="27"/>
  <c r="AG226" i="27"/>
  <c r="AG227" i="27"/>
  <c r="AG228" i="27"/>
  <c r="AG229" i="27"/>
  <c r="AG230" i="27"/>
  <c r="AG231" i="27"/>
  <c r="AG232" i="27"/>
  <c r="AG233" i="27"/>
  <c r="AG234" i="27"/>
  <c r="AG235" i="27"/>
  <c r="AG236" i="27"/>
  <c r="AG237" i="27"/>
  <c r="AG238" i="27"/>
  <c r="AG239" i="27"/>
  <c r="AG240" i="27"/>
  <c r="AH8" i="27"/>
  <c r="AH9" i="27"/>
  <c r="AH10" i="27"/>
  <c r="AH11" i="27"/>
  <c r="AH12" i="27"/>
  <c r="AH13" i="27"/>
  <c r="AH14" i="27"/>
  <c r="AH15" i="27"/>
  <c r="AH16" i="27"/>
  <c r="AH17" i="27"/>
  <c r="AH18" i="27"/>
  <c r="AH19" i="27"/>
  <c r="AH20" i="27"/>
  <c r="AH21" i="27"/>
  <c r="AH22" i="27"/>
  <c r="AH23" i="27"/>
  <c r="AH24" i="27"/>
  <c r="AH25" i="27"/>
  <c r="AH26" i="27"/>
  <c r="AH27" i="27"/>
  <c r="AH28" i="27"/>
  <c r="AH29" i="27"/>
  <c r="AH30" i="27"/>
  <c r="AH31" i="27"/>
  <c r="AH32" i="27"/>
  <c r="AH33" i="27"/>
  <c r="AH34" i="27"/>
  <c r="AH35" i="27"/>
  <c r="AH36" i="27"/>
  <c r="AH37" i="27"/>
  <c r="AH38" i="27"/>
  <c r="AH39" i="27"/>
  <c r="AH40" i="27"/>
  <c r="AH41" i="27"/>
  <c r="AH42" i="27"/>
  <c r="AH43" i="27"/>
  <c r="AH44" i="27"/>
  <c r="AH45" i="27"/>
  <c r="AH46" i="27"/>
  <c r="AH47" i="27"/>
  <c r="AH48" i="27"/>
  <c r="AH49" i="27"/>
  <c r="AH50" i="27"/>
  <c r="AH51" i="27"/>
  <c r="AH52" i="27"/>
  <c r="AH53" i="27"/>
  <c r="AH54" i="27"/>
  <c r="AH55" i="27"/>
  <c r="AH56" i="27"/>
  <c r="AH57" i="27"/>
  <c r="AH58" i="27"/>
  <c r="AH59" i="27"/>
  <c r="AH60" i="27"/>
  <c r="AH61" i="27"/>
  <c r="AH62" i="27"/>
  <c r="AH63" i="27"/>
  <c r="AH64" i="27"/>
  <c r="AH65" i="27"/>
  <c r="AH66" i="27"/>
  <c r="AH67" i="27"/>
  <c r="AH68" i="27"/>
  <c r="AH69" i="27"/>
  <c r="AH70" i="27"/>
  <c r="AH71" i="27"/>
  <c r="AH72" i="27"/>
  <c r="AH73" i="27"/>
  <c r="AH74" i="27"/>
  <c r="AH75" i="27"/>
  <c r="AH76" i="27"/>
  <c r="AH77" i="27"/>
  <c r="AH78" i="27"/>
  <c r="AH79" i="27"/>
  <c r="AH80" i="27"/>
  <c r="AH81" i="27"/>
  <c r="AH82" i="27"/>
  <c r="AH83" i="27"/>
  <c r="AH84" i="27"/>
  <c r="AH85" i="27"/>
  <c r="AH86" i="27"/>
  <c r="AH87" i="27"/>
  <c r="AH88" i="27"/>
  <c r="AH89" i="27"/>
  <c r="AH90" i="27"/>
  <c r="AH91" i="27"/>
  <c r="AH92" i="27"/>
  <c r="AH93" i="27"/>
  <c r="AH94" i="27"/>
  <c r="AH95" i="27"/>
  <c r="AH96" i="27"/>
  <c r="AH97" i="27"/>
  <c r="AH98" i="27"/>
  <c r="AH99" i="27"/>
  <c r="AH100" i="27"/>
  <c r="AH101" i="27"/>
  <c r="AH102" i="27"/>
  <c r="AH103" i="27"/>
  <c r="AH104" i="27"/>
  <c r="AH105" i="27"/>
  <c r="AH106" i="27"/>
  <c r="AH107" i="27"/>
  <c r="AH108" i="27"/>
  <c r="AH109" i="27"/>
  <c r="AH110" i="27"/>
  <c r="AH111" i="27"/>
  <c r="AH112" i="27"/>
  <c r="AH113" i="27"/>
  <c r="AH114" i="27"/>
  <c r="AH115" i="27"/>
  <c r="AH116" i="27"/>
  <c r="AH117" i="27"/>
  <c r="AH118" i="27"/>
  <c r="AH119" i="27"/>
  <c r="AH120" i="27"/>
  <c r="AH121" i="27"/>
  <c r="AH122" i="27"/>
  <c r="AH123" i="27"/>
  <c r="AH124" i="27"/>
  <c r="AH125" i="27"/>
  <c r="AH126" i="27"/>
  <c r="AH127" i="27"/>
  <c r="AH128" i="27"/>
  <c r="AH129" i="27"/>
  <c r="AH130" i="27"/>
  <c r="AH131" i="27"/>
  <c r="AH132" i="27"/>
  <c r="AH133" i="27"/>
  <c r="AH134" i="27"/>
  <c r="AH135" i="27"/>
  <c r="AH136" i="27"/>
  <c r="AH137" i="27"/>
  <c r="AH138" i="27"/>
  <c r="AH139" i="27"/>
  <c r="AH140" i="27"/>
  <c r="AH141" i="27"/>
  <c r="AH142" i="27"/>
  <c r="AH143" i="27"/>
  <c r="AH144" i="27"/>
  <c r="AH145" i="27"/>
  <c r="AH146" i="27"/>
  <c r="AH147" i="27"/>
  <c r="AH148" i="27"/>
  <c r="AH149" i="27"/>
  <c r="AH150" i="27"/>
  <c r="AH151" i="27"/>
  <c r="AH152" i="27"/>
  <c r="AH153" i="27"/>
  <c r="AH154" i="27"/>
  <c r="AH155" i="27"/>
  <c r="AH156" i="27"/>
  <c r="AH157" i="27"/>
  <c r="AH158" i="27"/>
  <c r="AH159" i="27"/>
  <c r="AH160" i="27"/>
  <c r="AH161" i="27"/>
  <c r="AH162" i="27"/>
  <c r="AH163" i="27"/>
  <c r="AH164" i="27"/>
  <c r="AH165" i="27"/>
  <c r="AH166" i="27"/>
  <c r="AH167" i="27"/>
  <c r="AH168" i="27"/>
  <c r="AH169" i="27"/>
  <c r="AH170" i="27"/>
  <c r="AH171" i="27"/>
  <c r="AH172" i="27"/>
  <c r="AH173" i="27"/>
  <c r="AH174" i="27"/>
  <c r="AH175" i="27"/>
  <c r="AH176" i="27"/>
  <c r="AH177" i="27"/>
  <c r="AH178" i="27"/>
  <c r="AH179" i="27"/>
  <c r="AH180" i="27"/>
  <c r="AH181" i="27"/>
  <c r="AH182" i="27"/>
  <c r="AH183" i="27"/>
  <c r="AH184" i="27"/>
  <c r="AH185" i="27"/>
  <c r="AH186" i="27"/>
  <c r="AH187" i="27"/>
  <c r="AH188" i="27"/>
  <c r="AH189" i="27"/>
  <c r="AH190" i="27"/>
  <c r="AH191" i="27"/>
  <c r="AH192" i="27"/>
  <c r="AH193" i="27"/>
  <c r="AH194" i="27"/>
  <c r="AH195" i="27"/>
  <c r="AH196" i="27"/>
  <c r="AH197" i="27"/>
  <c r="AH198" i="27"/>
  <c r="AH199" i="27"/>
  <c r="AH200" i="27"/>
  <c r="AH201" i="27"/>
  <c r="AH202" i="27"/>
  <c r="AH203" i="27"/>
  <c r="AH204" i="27"/>
  <c r="AH205" i="27"/>
  <c r="AH206" i="27"/>
  <c r="AH207" i="27"/>
  <c r="AH208" i="27"/>
  <c r="AH209" i="27"/>
  <c r="AH210" i="27"/>
  <c r="AH211" i="27"/>
  <c r="AH212" i="27"/>
  <c r="AH213" i="27"/>
  <c r="AH214" i="27"/>
  <c r="AH215" i="27"/>
  <c r="AH216" i="27"/>
  <c r="AH217" i="27"/>
  <c r="AH218" i="27"/>
  <c r="AH219" i="27"/>
  <c r="AH220" i="27"/>
  <c r="AH221" i="27"/>
  <c r="AH222" i="27"/>
  <c r="AH223" i="27"/>
  <c r="AH224" i="27"/>
  <c r="AH225" i="27"/>
  <c r="AH226" i="27"/>
  <c r="AH227" i="27"/>
  <c r="AH228" i="27"/>
  <c r="AH229" i="27"/>
  <c r="AH230" i="27"/>
  <c r="AH231" i="27"/>
  <c r="AH232" i="27"/>
  <c r="AH233" i="27"/>
  <c r="AH234" i="27"/>
  <c r="AH235" i="27"/>
  <c r="AH236" i="27"/>
  <c r="AH237" i="27"/>
  <c r="AH238" i="27"/>
  <c r="AH239" i="27"/>
  <c r="AH240" i="27"/>
  <c r="AI8" i="27"/>
  <c r="AI9" i="27"/>
  <c r="AO9" i="27" s="1" a="1"/>
  <c r="AO9" i="27" s="1"/>
  <c r="AI10" i="27"/>
  <c r="AK10" i="27" s="1"/>
  <c r="AI11" i="27"/>
  <c r="AI12" i="27"/>
  <c r="AO12" i="27" s="1" a="1"/>
  <c r="AO12" i="27" s="1"/>
  <c r="AQ12" i="27" s="1"/>
  <c r="AI13" i="27"/>
  <c r="AJ13" i="27" s="1" a="1"/>
  <c r="AJ13" i="27" s="1"/>
  <c r="AN13" i="27" s="1" a="1"/>
  <c r="AN13" i="27" s="1"/>
  <c r="AI14" i="27"/>
  <c r="AO14" i="27" s="1" a="1"/>
  <c r="AO14" i="27" s="1"/>
  <c r="AQ14" i="27" s="1"/>
  <c r="AI15" i="27"/>
  <c r="AI16" i="27"/>
  <c r="AJ16" i="27" s="1" a="1"/>
  <c r="AJ16" i="27" s="1"/>
  <c r="AN16" i="27" s="1" a="1"/>
  <c r="AN16" i="27" s="1"/>
  <c r="AI17" i="27"/>
  <c r="AK17" i="27" s="1"/>
  <c r="AI18" i="27"/>
  <c r="AI19" i="27"/>
  <c r="AO19" i="27" s="1" a="1"/>
  <c r="AO19" i="27" s="1"/>
  <c r="AI20" i="27"/>
  <c r="AK20" i="27" s="1"/>
  <c r="AI21" i="27"/>
  <c r="AI22" i="27"/>
  <c r="AI23" i="27"/>
  <c r="AO23" i="27" s="1" a="1"/>
  <c r="AO23" i="27" s="1"/>
  <c r="AR23" i="27" s="1"/>
  <c r="AI24" i="27"/>
  <c r="AK24" i="27" s="1"/>
  <c r="AI25" i="27"/>
  <c r="AI26" i="27"/>
  <c r="AI27" i="27"/>
  <c r="AJ27" i="27" s="1" a="1"/>
  <c r="AJ27" i="27" s="1"/>
  <c r="AN27" i="27" s="1" a="1"/>
  <c r="AN27" i="27" s="1"/>
  <c r="AI28" i="27"/>
  <c r="AO28" i="27" s="1" a="1"/>
  <c r="AO28" i="27" s="1"/>
  <c r="AI29" i="27"/>
  <c r="AI30" i="27"/>
  <c r="AI31" i="27"/>
  <c r="AI32" i="27"/>
  <c r="AK32" i="27" s="1"/>
  <c r="AI33" i="27"/>
  <c r="AI34" i="27"/>
  <c r="AO34" i="27" s="1" a="1"/>
  <c r="AO34" i="27" s="1"/>
  <c r="AI35" i="27"/>
  <c r="AI36" i="27"/>
  <c r="AK36" i="27" s="1"/>
  <c r="AI37" i="27"/>
  <c r="AK37" i="27" s="1"/>
  <c r="AI38" i="27"/>
  <c r="AI39" i="27"/>
  <c r="AI40" i="27"/>
  <c r="AK40" i="27" s="1"/>
  <c r="AI41" i="27"/>
  <c r="AI42" i="27"/>
  <c r="AI43" i="27"/>
  <c r="AK43" i="27" s="1"/>
  <c r="AI44" i="27"/>
  <c r="AJ44" i="27" s="1" a="1"/>
  <c r="AJ44" i="27" s="1"/>
  <c r="AN44" i="27" s="1" a="1"/>
  <c r="AN44" i="27" s="1"/>
  <c r="AI45" i="27"/>
  <c r="AO45" i="27" s="1" a="1"/>
  <c r="AO45" i="27" s="1"/>
  <c r="AQ45" i="27" s="1"/>
  <c r="AI46" i="27"/>
  <c r="AI47" i="27"/>
  <c r="AJ47" i="27" s="1" a="1"/>
  <c r="AJ47" i="27" s="1"/>
  <c r="AI48" i="27"/>
  <c r="AI49" i="27"/>
  <c r="AI50" i="27"/>
  <c r="AI51" i="27"/>
  <c r="AI52" i="27"/>
  <c r="AJ52" i="27" s="1" a="1"/>
  <c r="AJ52" i="27" s="1"/>
  <c r="AI53" i="27"/>
  <c r="AI54" i="27"/>
  <c r="AO54" i="27" s="1" a="1"/>
  <c r="AO54" i="27" s="1"/>
  <c r="AQ54" i="27" s="1"/>
  <c r="AI55" i="27"/>
  <c r="AI56" i="27"/>
  <c r="AJ56" i="27" s="1" a="1"/>
  <c r="AJ56" i="27" s="1"/>
  <c r="AN56" i="27" s="1" a="1"/>
  <c r="AN56" i="27" s="1"/>
  <c r="AI57" i="27"/>
  <c r="AK57" i="27" s="1"/>
  <c r="AI58" i="27"/>
  <c r="AO58" i="27" s="1" a="1"/>
  <c r="AO58" i="27" s="1"/>
  <c r="AI59" i="27"/>
  <c r="AJ59" i="27" s="1" a="1"/>
  <c r="AJ59" i="27" s="1"/>
  <c r="AI60" i="27"/>
  <c r="AK60" i="27" s="1"/>
  <c r="AI61" i="27"/>
  <c r="AI62" i="27"/>
  <c r="AK62" i="27" s="1"/>
  <c r="AI63" i="27"/>
  <c r="AI64" i="27"/>
  <c r="AK64" i="27" s="1"/>
  <c r="AI65" i="27"/>
  <c r="AO65" i="27" s="1" a="1"/>
  <c r="AO65" i="27" s="1"/>
  <c r="AU65" i="27" s="1" a="1"/>
  <c r="AU65" i="27" s="1"/>
  <c r="AW65" i="27" s="1"/>
  <c r="AI66" i="27"/>
  <c r="AI67" i="27"/>
  <c r="AI68" i="27"/>
  <c r="AO68" i="27" s="1" a="1"/>
  <c r="AO68" i="27" s="1"/>
  <c r="AI69" i="27"/>
  <c r="AI70" i="27"/>
  <c r="AJ70" i="27" s="1" a="1"/>
  <c r="AJ70" i="27" s="1"/>
  <c r="AI71" i="27"/>
  <c r="AI72" i="27"/>
  <c r="AO72" i="27" s="1" a="1"/>
  <c r="AO72" i="27" s="1"/>
  <c r="AI73" i="27"/>
  <c r="AI74" i="27"/>
  <c r="AO74" i="27" s="1" a="1"/>
  <c r="AO74" i="27" s="1"/>
  <c r="AP74" i="27" s="1" a="1"/>
  <c r="AP74" i="27" s="1"/>
  <c r="AI75" i="27"/>
  <c r="AI76" i="27"/>
  <c r="AI77" i="27"/>
  <c r="AK77" i="27" s="1"/>
  <c r="AI78" i="27"/>
  <c r="AI79" i="27"/>
  <c r="AJ79" i="27" s="1" a="1"/>
  <c r="AJ79" i="27" s="1"/>
  <c r="AN79" i="27" s="1" a="1"/>
  <c r="AN79" i="27" s="1"/>
  <c r="AI80" i="27"/>
  <c r="AK80" i="27" s="1"/>
  <c r="AI81" i="27"/>
  <c r="AI82" i="27"/>
  <c r="AI83" i="27"/>
  <c r="AI84" i="27"/>
  <c r="AK84" i="27" s="1"/>
  <c r="AI85" i="27"/>
  <c r="AI86" i="27"/>
  <c r="AK86" i="27" s="1"/>
  <c r="AI87" i="27"/>
  <c r="AO87" i="27" s="1" a="1"/>
  <c r="AO87" i="27" s="1"/>
  <c r="AI88" i="27"/>
  <c r="AO88" i="27" s="1" a="1"/>
  <c r="AO88" i="27" s="1"/>
  <c r="AU88" i="27" s="1" a="1"/>
  <c r="AU88" i="27" s="1"/>
  <c r="AI89" i="27"/>
  <c r="AK89" i="27" s="1"/>
  <c r="AI90" i="27"/>
  <c r="AI91" i="27"/>
  <c r="AI92" i="27"/>
  <c r="AI93" i="27"/>
  <c r="AO93" i="27" s="1" a="1"/>
  <c r="AO93" i="27" s="1"/>
  <c r="AI94" i="27"/>
  <c r="AO94" i="27" s="1" a="1"/>
  <c r="AO94" i="27" s="1"/>
  <c r="AI95" i="27"/>
  <c r="AI96" i="27"/>
  <c r="AJ96" i="27" s="1" a="1"/>
  <c r="AJ96" i="27" s="1"/>
  <c r="AI97" i="27"/>
  <c r="AK97" i="27" s="1"/>
  <c r="AI98" i="27"/>
  <c r="AO98" i="27" s="1" a="1"/>
  <c r="AO98" i="27" s="1"/>
  <c r="AU98" i="27" s="1" a="1"/>
  <c r="AU98" i="27" s="1"/>
  <c r="AW98" i="27" s="1"/>
  <c r="AI99" i="27"/>
  <c r="AJ99" i="27" s="1" a="1"/>
  <c r="AJ99" i="27" s="1"/>
  <c r="AN99" i="27" s="1" a="1"/>
  <c r="AN99" i="27" s="1"/>
  <c r="AI100" i="27"/>
  <c r="AK100" i="27" s="1"/>
  <c r="AI101" i="27"/>
  <c r="AI102" i="27"/>
  <c r="AI103" i="27"/>
  <c r="AK103" i="27" s="1"/>
  <c r="AI104" i="27"/>
  <c r="AI105" i="27"/>
  <c r="AO105" i="27" s="1" a="1"/>
  <c r="AO105" i="27" s="1"/>
  <c r="AU105" i="27" s="1" a="1"/>
  <c r="AU105" i="27" s="1"/>
  <c r="AW105" i="27" s="1"/>
  <c r="AI106" i="27"/>
  <c r="AI107" i="27"/>
  <c r="AI108" i="27"/>
  <c r="AO108" i="27" s="1" a="1"/>
  <c r="AO108" i="27" s="1"/>
  <c r="AP108" i="27" s="1" a="1"/>
  <c r="AP108" i="27" s="1"/>
  <c r="AI109" i="27"/>
  <c r="AO109" i="27" s="1" a="1"/>
  <c r="AO109" i="27" s="1"/>
  <c r="AI110" i="27"/>
  <c r="AK110" i="27" s="1"/>
  <c r="AI111" i="27"/>
  <c r="AI112" i="27"/>
  <c r="AJ112" i="27" s="1" a="1"/>
  <c r="AJ112" i="27" s="1"/>
  <c r="AI113" i="27"/>
  <c r="AO113" i="27" s="1" a="1"/>
  <c r="AO113" i="27" s="1"/>
  <c r="AI114" i="27"/>
  <c r="AO114" i="27" s="1" a="1"/>
  <c r="AO114" i="27" s="1"/>
  <c r="AR114" i="27" s="1"/>
  <c r="AI115" i="27"/>
  <c r="AI116" i="27"/>
  <c r="AK116" i="27" s="1"/>
  <c r="AI117" i="27"/>
  <c r="AK117" i="27" s="1"/>
  <c r="AI118" i="27"/>
  <c r="AI119" i="27"/>
  <c r="AO119" i="27" s="1" a="1"/>
  <c r="AO119" i="27" s="1"/>
  <c r="AI120" i="27"/>
  <c r="AK120" i="27" s="1"/>
  <c r="AI121" i="27"/>
  <c r="AI122" i="27"/>
  <c r="AK122" i="27" s="1"/>
  <c r="AI123" i="27"/>
  <c r="AI124" i="27"/>
  <c r="AI125" i="27"/>
  <c r="AJ125" i="27" s="1" a="1"/>
  <c r="AJ125" i="27" s="1"/>
  <c r="AN125" i="27" s="1" a="1"/>
  <c r="AN125" i="27" s="1"/>
  <c r="AI126" i="27"/>
  <c r="AI127" i="27"/>
  <c r="AJ127" i="27" s="1" a="1"/>
  <c r="AJ127" i="27" s="1"/>
  <c r="AI128" i="27"/>
  <c r="AO128" i="27" s="1" a="1"/>
  <c r="AO128" i="27" s="1"/>
  <c r="AQ128" i="27" s="1"/>
  <c r="AI129" i="27"/>
  <c r="AJ129" i="27" s="1" a="1"/>
  <c r="AJ129" i="27" s="1"/>
  <c r="AN129" i="27" s="1" a="1"/>
  <c r="AN129" i="27" s="1"/>
  <c r="AI130" i="27"/>
  <c r="AJ130" i="27" s="1" a="1"/>
  <c r="AJ130" i="27" s="1"/>
  <c r="AN130" i="27" s="1" a="1"/>
  <c r="AN130" i="27" s="1"/>
  <c r="AI131" i="27"/>
  <c r="AI132" i="27"/>
  <c r="AJ132" i="27" s="1" a="1"/>
  <c r="AJ132" i="27" s="1"/>
  <c r="AI133" i="27"/>
  <c r="AK133" i="27" s="1"/>
  <c r="AI134" i="27"/>
  <c r="AO134" i="27" s="1" a="1"/>
  <c r="AO134" i="27" s="1"/>
  <c r="AP134" i="27" s="1" a="1"/>
  <c r="AP134" i="27" s="1"/>
  <c r="AI135" i="27"/>
  <c r="AI136" i="27"/>
  <c r="AK136" i="27" s="1"/>
  <c r="AI137" i="27"/>
  <c r="AK137" i="27" s="1"/>
  <c r="AI138" i="27"/>
  <c r="AO138" i="27" s="1" a="1"/>
  <c r="AO138" i="27" s="1"/>
  <c r="AP138" i="27" s="1" a="1"/>
  <c r="AP138" i="27" s="1"/>
  <c r="AI139" i="27"/>
  <c r="AO139" i="27" s="1" a="1"/>
  <c r="AO139" i="27" s="1"/>
  <c r="AP139" i="27" s="1" a="1"/>
  <c r="AP139" i="27" s="1"/>
  <c r="AI140" i="27"/>
  <c r="AK140" i="27" s="1"/>
  <c r="AI141" i="27"/>
  <c r="AI142" i="27"/>
  <c r="AO142" i="27" s="1" a="1"/>
  <c r="AO142" i="27" s="1"/>
  <c r="AU142" i="27" s="1" a="1"/>
  <c r="AU142" i="27" s="1"/>
  <c r="AW142" i="27" s="1"/>
  <c r="AI143" i="27"/>
  <c r="AJ143" i="27" s="1" a="1"/>
  <c r="AJ143" i="27" s="1"/>
  <c r="AN143" i="27" s="1" a="1"/>
  <c r="AN143" i="27" s="1"/>
  <c r="AI144" i="27"/>
  <c r="AK144" i="27" s="1"/>
  <c r="AI145" i="27"/>
  <c r="AJ145" i="27" s="1" a="1"/>
  <c r="AJ145" i="27" s="1"/>
  <c r="AN145" i="27" s="1" a="1"/>
  <c r="AN145" i="27" s="1"/>
  <c r="AI146" i="27"/>
  <c r="AI147" i="27"/>
  <c r="AJ147" i="27" s="1" a="1"/>
  <c r="AJ147" i="27" s="1"/>
  <c r="AI148" i="27"/>
  <c r="AO148" i="27" s="1" a="1"/>
  <c r="AO148" i="27" s="1"/>
  <c r="AI149" i="27"/>
  <c r="AJ149" i="27" s="1" a="1"/>
  <c r="AJ149" i="27" s="1"/>
  <c r="AI150" i="27"/>
  <c r="AK150" i="27" s="1"/>
  <c r="AI151" i="27"/>
  <c r="AI152" i="27"/>
  <c r="AK152" i="27" s="1"/>
  <c r="AI153" i="27"/>
  <c r="AO153" i="27" s="1" a="1"/>
  <c r="AO153" i="27" s="1"/>
  <c r="AI154" i="27"/>
  <c r="AO154" i="27" s="1" a="1"/>
  <c r="AO154" i="27" s="1"/>
  <c r="AU154" i="27" s="1" a="1"/>
  <c r="AU154" i="27" s="1"/>
  <c r="AI155" i="27"/>
  <c r="AI156" i="27"/>
  <c r="AI157" i="27"/>
  <c r="AK157" i="27" s="1"/>
  <c r="AI158" i="27"/>
  <c r="AO158" i="27" s="1" a="1"/>
  <c r="AO158" i="27" s="1"/>
  <c r="AP158" i="27" s="1" a="1"/>
  <c r="AP158" i="27" s="1"/>
  <c r="AI159" i="27"/>
  <c r="AJ159" i="27" s="1" a="1"/>
  <c r="AJ159" i="27" s="1"/>
  <c r="AN159" i="27" s="1" a="1"/>
  <c r="AN159" i="27" s="1"/>
  <c r="AI160" i="27"/>
  <c r="AK160" i="27" s="1"/>
  <c r="AI161" i="27"/>
  <c r="AI162" i="27"/>
  <c r="AO162" i="27" s="1" a="1"/>
  <c r="AO162" i="27" s="1"/>
  <c r="AI163" i="27"/>
  <c r="AJ163" i="27" s="1" a="1"/>
  <c r="AJ163" i="27" s="1"/>
  <c r="AN163" i="27" s="1" a="1"/>
  <c r="AN163" i="27" s="1"/>
  <c r="AI164" i="27"/>
  <c r="AJ164" i="27" s="1" a="1"/>
  <c r="AJ164" i="27" s="1"/>
  <c r="AN164" i="27" s="1" a="1"/>
  <c r="AN164" i="27" s="1"/>
  <c r="AI165" i="27"/>
  <c r="AI166" i="27"/>
  <c r="AO166" i="27" s="1" a="1"/>
  <c r="AO166" i="27" s="1"/>
  <c r="AU166" i="27" s="1" a="1"/>
  <c r="AU166" i="27" s="1"/>
  <c r="AW166" i="27" s="1"/>
  <c r="AI167" i="27"/>
  <c r="AK167" i="27" s="1"/>
  <c r="AI168" i="27"/>
  <c r="AO168" i="27" s="1" a="1"/>
  <c r="AO168" i="27" s="1"/>
  <c r="AU168" i="27" s="1" a="1"/>
  <c r="AU168" i="27" s="1"/>
  <c r="AX168" i="27" s="1"/>
  <c r="AI169" i="27"/>
  <c r="AK169" i="27" s="1"/>
  <c r="AI170" i="27"/>
  <c r="AK170" i="27" s="1"/>
  <c r="AI171" i="27"/>
  <c r="AI172" i="27"/>
  <c r="AJ172" i="27" s="1" a="1"/>
  <c r="AJ172" i="27" s="1"/>
  <c r="AI173" i="27"/>
  <c r="AO173" i="27" s="1" a="1"/>
  <c r="AO173" i="27" s="1"/>
  <c r="AI174" i="27"/>
  <c r="AO174" i="27" s="1" a="1"/>
  <c r="AO174" i="27" s="1"/>
  <c r="AI175" i="27"/>
  <c r="AI176" i="27"/>
  <c r="AI177" i="27"/>
  <c r="AK177" i="27" s="1"/>
  <c r="AI178" i="27"/>
  <c r="AI179" i="27"/>
  <c r="AI180" i="27"/>
  <c r="AK180" i="27" s="1"/>
  <c r="AI181" i="27"/>
  <c r="AI182" i="27"/>
  <c r="AJ182" i="27" s="1" a="1"/>
  <c r="AJ182" i="27" s="1"/>
  <c r="AN182" i="27" s="1" a="1"/>
  <c r="AN182" i="27" s="1"/>
  <c r="AI183" i="27"/>
  <c r="AK183" i="27" s="1"/>
  <c r="AI184" i="27"/>
  <c r="AI185" i="27"/>
  <c r="AO185" i="27" s="1" a="1"/>
  <c r="AO185" i="27" s="1"/>
  <c r="AU185" i="27" s="1" a="1"/>
  <c r="AU185" i="27" s="1"/>
  <c r="AI186" i="27"/>
  <c r="AO186" i="27" s="1" a="1"/>
  <c r="AO186" i="27" s="1"/>
  <c r="AR186" i="27" s="1"/>
  <c r="AI187" i="27"/>
  <c r="AJ187" i="27" s="1" a="1"/>
  <c r="AJ187" i="27" s="1"/>
  <c r="AN187" i="27" s="1" a="1"/>
  <c r="AN187" i="27" s="1"/>
  <c r="AI188" i="27"/>
  <c r="AO188" i="27" s="1" a="1"/>
  <c r="AO188" i="27" s="1"/>
  <c r="AI189" i="27"/>
  <c r="AO189" i="27" s="1" a="1"/>
  <c r="AO189" i="27" s="1"/>
  <c r="AU189" i="27" s="1" a="1"/>
  <c r="AU189" i="27" s="1"/>
  <c r="AW189" i="27" s="1"/>
  <c r="AI190" i="27"/>
  <c r="AJ190" i="27" s="1" a="1"/>
  <c r="AJ190" i="27" s="1"/>
  <c r="AN190" i="27" s="1" a="1"/>
  <c r="AN190" i="27" s="1"/>
  <c r="AI191" i="27"/>
  <c r="AI192" i="27"/>
  <c r="AJ192" i="27" s="1" a="1"/>
  <c r="AJ192" i="27" s="1"/>
  <c r="AI193" i="27"/>
  <c r="AO193" i="27" s="1" a="1"/>
  <c r="AO193" i="27" s="1"/>
  <c r="AP193" i="27" s="1" a="1"/>
  <c r="AP193" i="27" s="1"/>
  <c r="AI194" i="27"/>
  <c r="AO194" i="27" s="1" a="1"/>
  <c r="AO194" i="27" s="1"/>
  <c r="AS194" i="27" s="1"/>
  <c r="AT194" i="27" s="1" a="1"/>
  <c r="AT194" i="27" s="1"/>
  <c r="AI195" i="27"/>
  <c r="AI196" i="27"/>
  <c r="AI197" i="27"/>
  <c r="AK197" i="27" s="1"/>
  <c r="AI198" i="27"/>
  <c r="AO198" i="27" s="1" a="1"/>
  <c r="AO198" i="27" s="1"/>
  <c r="AI199" i="27"/>
  <c r="AJ199" i="27" s="1" a="1"/>
  <c r="AJ199" i="27" s="1"/>
  <c r="AN199" i="27" s="1" a="1"/>
  <c r="AN199" i="27" s="1"/>
  <c r="AI200" i="27"/>
  <c r="AK200" i="27" s="1"/>
  <c r="AI201" i="27"/>
  <c r="AI202" i="27"/>
  <c r="AO202" i="27" s="1" a="1"/>
  <c r="AO202" i="27" s="1"/>
  <c r="AI203" i="27"/>
  <c r="AI204" i="27"/>
  <c r="AK204" i="27" s="1"/>
  <c r="AI205" i="27"/>
  <c r="AI206" i="27"/>
  <c r="AO206" i="27" s="1" a="1"/>
  <c r="AO206" i="27" s="1"/>
  <c r="AS206" i="27" s="1"/>
  <c r="AT206" i="27" s="1" a="1"/>
  <c r="AT206" i="27" s="1"/>
  <c r="AI207" i="27"/>
  <c r="AJ207" i="27" s="1" a="1"/>
  <c r="AJ207" i="27" s="1"/>
  <c r="AN207" i="27" s="1" a="1"/>
  <c r="AN207" i="27" s="1"/>
  <c r="AI208" i="27"/>
  <c r="AO208" i="27" s="1" a="1"/>
  <c r="AO208" i="27" s="1"/>
  <c r="AQ208" i="27" s="1"/>
  <c r="AI209" i="27"/>
  <c r="AK209" i="27" s="1"/>
  <c r="AI210" i="27"/>
  <c r="AK210" i="27" s="1"/>
  <c r="AI211" i="27"/>
  <c r="AI212" i="27"/>
  <c r="AJ212" i="27" s="1" a="1"/>
  <c r="AJ212" i="27" s="1"/>
  <c r="AI213" i="27"/>
  <c r="AI214" i="27"/>
  <c r="AO214" i="27" s="1" a="1"/>
  <c r="AO214" i="27" s="1"/>
  <c r="AU214" i="27" s="1" a="1"/>
  <c r="AU214" i="27" s="1"/>
  <c r="AI215" i="27"/>
  <c r="AI216" i="27"/>
  <c r="AJ216" i="27" s="1" a="1"/>
  <c r="AJ216" i="27" s="1"/>
  <c r="AN216" i="27" s="1" a="1"/>
  <c r="AN216" i="27" s="1"/>
  <c r="AI217" i="27"/>
  <c r="AK217" i="27" s="1"/>
  <c r="AI218" i="27"/>
  <c r="AO218" i="27" s="1" a="1"/>
  <c r="AO218" i="27" s="1"/>
  <c r="AI219" i="27"/>
  <c r="AK219" i="27" s="1"/>
  <c r="AI220" i="27"/>
  <c r="AK220" i="27" s="1"/>
  <c r="AI221" i="27"/>
  <c r="AI222" i="27"/>
  <c r="AI223" i="27"/>
  <c r="AK223" i="27" s="1"/>
  <c r="AI224" i="27"/>
  <c r="AI225" i="27"/>
  <c r="AJ225" i="27" s="1" a="1"/>
  <c r="AJ225" i="27" s="1"/>
  <c r="AN225" i="27" s="1" a="1"/>
  <c r="AN225" i="27" s="1"/>
  <c r="AI226" i="27"/>
  <c r="AI227" i="27"/>
  <c r="AJ227" i="27" s="1" a="1"/>
  <c r="AJ227" i="27" s="1"/>
  <c r="AN227" i="27" s="1" a="1"/>
  <c r="AN227" i="27" s="1"/>
  <c r="AI228" i="27"/>
  <c r="AO228" i="27" s="1" a="1"/>
  <c r="AO228" i="27" s="1"/>
  <c r="AU228" i="27" s="1" a="1"/>
  <c r="AU228" i="27" s="1"/>
  <c r="AI229" i="27"/>
  <c r="AJ229" i="27" s="1" a="1"/>
  <c r="AJ229" i="27" s="1"/>
  <c r="AI230" i="27"/>
  <c r="AI231" i="27"/>
  <c r="AI232" i="27"/>
  <c r="AO232" i="27" s="1" a="1"/>
  <c r="AO232" i="27" s="1"/>
  <c r="AI233" i="27"/>
  <c r="AK233" i="27" s="1"/>
  <c r="AI234" i="27"/>
  <c r="AO234" i="27" s="1" a="1"/>
  <c r="AO234" i="27" s="1"/>
  <c r="AI235" i="27"/>
  <c r="AI236" i="27"/>
  <c r="AJ236" i="27" s="1" a="1"/>
  <c r="AJ236" i="27" s="1"/>
  <c r="AI237" i="27"/>
  <c r="AK237" i="27" s="1"/>
  <c r="AI238" i="27"/>
  <c r="AO238" i="27" s="1" a="1"/>
  <c r="AO238" i="27" s="1"/>
  <c r="AP238" i="27" s="1" a="1"/>
  <c r="AP238" i="27" s="1"/>
  <c r="AI239" i="27"/>
  <c r="AJ239" i="27" s="1" a="1"/>
  <c r="AJ239" i="27" s="1"/>
  <c r="AI240" i="27"/>
  <c r="AK240" i="27" s="1"/>
  <c r="AL8" i="27"/>
  <c r="AL9" i="27"/>
  <c r="AL10" i="27"/>
  <c r="AL11" i="27"/>
  <c r="AL12" i="27"/>
  <c r="AL13" i="27"/>
  <c r="AL14" i="27"/>
  <c r="AL15" i="27"/>
  <c r="AL16" i="27"/>
  <c r="AL17" i="27"/>
  <c r="AL18" i="27"/>
  <c r="AL19" i="27"/>
  <c r="AL20" i="27"/>
  <c r="AL21" i="27"/>
  <c r="AL22" i="27"/>
  <c r="AL23" i="27"/>
  <c r="AL24" i="27"/>
  <c r="AL25" i="27"/>
  <c r="AL26" i="27"/>
  <c r="AL27" i="27"/>
  <c r="AL28" i="27"/>
  <c r="AL29" i="27"/>
  <c r="AL30" i="27"/>
  <c r="AL31" i="27"/>
  <c r="AL32" i="27"/>
  <c r="AL33" i="27"/>
  <c r="AL34" i="27"/>
  <c r="AL35" i="27"/>
  <c r="AL36" i="27"/>
  <c r="AL37" i="27"/>
  <c r="AL38" i="27"/>
  <c r="AL39" i="27"/>
  <c r="AL40" i="27"/>
  <c r="AL41" i="27"/>
  <c r="AL42" i="27"/>
  <c r="AL43" i="27"/>
  <c r="AL44" i="27"/>
  <c r="AL45" i="27"/>
  <c r="AL46" i="27"/>
  <c r="AL47" i="27"/>
  <c r="AL48" i="27"/>
  <c r="AL49" i="27"/>
  <c r="AL50" i="27"/>
  <c r="AL51" i="27"/>
  <c r="AL52" i="27"/>
  <c r="AL53" i="27"/>
  <c r="AL54" i="27"/>
  <c r="AL55" i="27"/>
  <c r="AL56" i="27"/>
  <c r="AL57" i="27"/>
  <c r="AL58" i="27"/>
  <c r="AL59" i="27"/>
  <c r="AL60" i="27"/>
  <c r="AL61" i="27"/>
  <c r="AL62" i="27"/>
  <c r="AL63" i="27"/>
  <c r="AL64" i="27"/>
  <c r="AL65" i="27"/>
  <c r="AL66" i="27"/>
  <c r="AL67" i="27"/>
  <c r="AL68" i="27"/>
  <c r="AL69" i="27"/>
  <c r="AL70" i="27"/>
  <c r="AL71" i="27"/>
  <c r="AL72" i="27"/>
  <c r="AL73" i="27"/>
  <c r="AL74" i="27"/>
  <c r="AL75" i="27"/>
  <c r="AL76" i="27"/>
  <c r="AL77" i="27"/>
  <c r="AL78" i="27"/>
  <c r="AL79" i="27"/>
  <c r="AL80" i="27"/>
  <c r="AL81" i="27"/>
  <c r="AL82" i="27"/>
  <c r="AL83" i="27"/>
  <c r="AL84" i="27"/>
  <c r="AL85" i="27"/>
  <c r="AL86" i="27"/>
  <c r="AL87" i="27"/>
  <c r="AL88" i="27"/>
  <c r="AL89" i="27"/>
  <c r="AL90" i="27"/>
  <c r="AL91" i="27"/>
  <c r="AL92" i="27"/>
  <c r="AL93" i="27"/>
  <c r="AL94" i="27"/>
  <c r="AL95" i="27"/>
  <c r="AL96" i="27"/>
  <c r="AL97" i="27"/>
  <c r="AL98" i="27"/>
  <c r="AL99" i="27"/>
  <c r="AL100" i="27"/>
  <c r="AL101" i="27"/>
  <c r="AL102" i="27"/>
  <c r="AL103" i="27"/>
  <c r="AL104" i="27"/>
  <c r="AL105" i="27"/>
  <c r="AL106" i="27"/>
  <c r="AL107" i="27"/>
  <c r="AL108" i="27"/>
  <c r="AL109" i="27"/>
  <c r="AL110" i="27"/>
  <c r="AL111" i="27"/>
  <c r="AL112" i="27"/>
  <c r="AL113" i="27"/>
  <c r="AL114" i="27"/>
  <c r="AL115" i="27"/>
  <c r="AL116" i="27"/>
  <c r="AL117" i="27"/>
  <c r="AL118" i="27"/>
  <c r="AL119" i="27"/>
  <c r="AL120" i="27"/>
  <c r="AL121" i="27"/>
  <c r="AL122" i="27"/>
  <c r="AL123" i="27"/>
  <c r="AL124" i="27"/>
  <c r="AL125" i="27"/>
  <c r="AL126" i="27"/>
  <c r="AL127" i="27"/>
  <c r="AL128" i="27"/>
  <c r="AL129" i="27"/>
  <c r="AL130" i="27"/>
  <c r="AL131" i="27"/>
  <c r="AL132" i="27"/>
  <c r="AL133" i="27"/>
  <c r="AL134" i="27"/>
  <c r="AL135" i="27"/>
  <c r="AL136" i="27"/>
  <c r="AL137" i="27"/>
  <c r="AL138" i="27"/>
  <c r="AL139" i="27"/>
  <c r="AL140" i="27"/>
  <c r="AL141" i="27"/>
  <c r="AL142" i="27"/>
  <c r="AL143" i="27"/>
  <c r="AL144" i="27"/>
  <c r="AL145" i="27"/>
  <c r="AL146" i="27"/>
  <c r="AL147" i="27"/>
  <c r="AL148" i="27"/>
  <c r="AL149" i="27"/>
  <c r="AL150" i="27"/>
  <c r="AL151" i="27"/>
  <c r="AL152" i="27"/>
  <c r="AL153" i="27"/>
  <c r="AL154" i="27"/>
  <c r="AL155" i="27"/>
  <c r="AL156" i="27"/>
  <c r="AL157" i="27"/>
  <c r="AL158" i="27"/>
  <c r="AL159" i="27"/>
  <c r="AL160" i="27"/>
  <c r="AL161" i="27"/>
  <c r="AL162" i="27"/>
  <c r="AL163" i="27"/>
  <c r="AL164" i="27"/>
  <c r="AL165" i="27"/>
  <c r="AL166" i="27"/>
  <c r="AL167" i="27"/>
  <c r="AL168" i="27"/>
  <c r="AL169" i="27"/>
  <c r="AL170" i="27"/>
  <c r="AL171" i="27"/>
  <c r="AL172" i="27"/>
  <c r="AL173" i="27"/>
  <c r="AL174" i="27"/>
  <c r="AL175" i="27"/>
  <c r="AL176" i="27"/>
  <c r="AL177" i="27"/>
  <c r="AL178" i="27"/>
  <c r="AL179" i="27"/>
  <c r="AL180" i="27"/>
  <c r="AL181" i="27"/>
  <c r="AL182" i="27"/>
  <c r="AL183" i="27"/>
  <c r="AL184" i="27"/>
  <c r="AL185" i="27"/>
  <c r="AL186" i="27"/>
  <c r="AL187" i="27"/>
  <c r="AL188" i="27"/>
  <c r="AL189" i="27"/>
  <c r="AL190" i="27"/>
  <c r="AL191" i="27"/>
  <c r="AL192" i="27"/>
  <c r="AL193" i="27"/>
  <c r="AL194" i="27"/>
  <c r="AL195" i="27"/>
  <c r="AL196" i="27"/>
  <c r="AL197" i="27"/>
  <c r="AL198" i="27"/>
  <c r="AL199" i="27"/>
  <c r="AL200" i="27"/>
  <c r="AL201" i="27"/>
  <c r="AL202" i="27"/>
  <c r="AL203" i="27"/>
  <c r="AL204" i="27"/>
  <c r="AL205" i="27"/>
  <c r="AL206" i="27"/>
  <c r="AL207" i="27"/>
  <c r="AL208" i="27"/>
  <c r="AL209" i="27"/>
  <c r="AL210" i="27"/>
  <c r="AL211" i="27"/>
  <c r="AL212" i="27"/>
  <c r="AL213" i="27"/>
  <c r="AL214" i="27"/>
  <c r="AL215" i="27"/>
  <c r="AL216" i="27"/>
  <c r="AL217" i="27"/>
  <c r="AL218" i="27"/>
  <c r="AL219" i="27"/>
  <c r="AL220" i="27"/>
  <c r="AL221" i="27"/>
  <c r="AL222" i="27"/>
  <c r="AL223" i="27"/>
  <c r="AL224" i="27"/>
  <c r="AL225" i="27"/>
  <c r="AL226" i="27"/>
  <c r="AL227" i="27"/>
  <c r="AL228" i="27"/>
  <c r="AL229" i="27"/>
  <c r="AL230" i="27"/>
  <c r="AL231" i="27"/>
  <c r="AL232" i="27"/>
  <c r="AL233" i="27"/>
  <c r="AL234" i="27"/>
  <c r="AL235" i="27"/>
  <c r="AL236" i="27"/>
  <c r="AL237" i="27"/>
  <c r="AL238" i="27"/>
  <c r="AL239" i="27"/>
  <c r="AL240" i="27"/>
  <c r="AU25" i="93" l="1"/>
  <c r="AZ25" i="93" s="1"/>
  <c r="AU24" i="93"/>
  <c r="AZ24" i="93"/>
  <c r="AU13" i="93"/>
  <c r="AZ13" i="93" s="1"/>
  <c r="AU72" i="93"/>
  <c r="AZ72" i="93"/>
  <c r="AU47" i="93"/>
  <c r="AZ47" i="93" s="1"/>
  <c r="AU59" i="93"/>
  <c r="AZ59" i="93" s="1"/>
  <c r="AU23" i="93"/>
  <c r="AZ23" i="93"/>
  <c r="AU34" i="93"/>
  <c r="AZ34" i="93" s="1"/>
  <c r="AU22" i="93"/>
  <c r="AZ22" i="93" s="1"/>
  <c r="AU10" i="93"/>
  <c r="AZ10" i="93" s="1"/>
  <c r="AU69" i="93"/>
  <c r="AZ69" i="93" s="1"/>
  <c r="AU45" i="93"/>
  <c r="AZ45" i="93" s="1"/>
  <c r="AU33" i="93"/>
  <c r="AZ33" i="93" s="1"/>
  <c r="AU9" i="93"/>
  <c r="AZ9" i="93"/>
  <c r="AU60" i="93"/>
  <c r="AZ60" i="93" s="1"/>
  <c r="AU71" i="93"/>
  <c r="AZ71" i="93" s="1"/>
  <c r="AU80" i="93"/>
  <c r="AZ80" i="93" s="1"/>
  <c r="AU68" i="93"/>
  <c r="AZ68" i="93"/>
  <c r="AU56" i="93"/>
  <c r="AZ56" i="93" s="1"/>
  <c r="AU44" i="93"/>
  <c r="AZ44" i="93" s="1"/>
  <c r="AU32" i="93"/>
  <c r="AZ32" i="93" s="1"/>
  <c r="AU20" i="93"/>
  <c r="AZ20" i="93" s="1"/>
  <c r="AU73" i="93"/>
  <c r="AZ73" i="93"/>
  <c r="AU79" i="93"/>
  <c r="AZ79" i="93" s="1"/>
  <c r="AU43" i="93"/>
  <c r="AZ43" i="93"/>
  <c r="AU31" i="93"/>
  <c r="AZ31" i="93" s="1"/>
  <c r="AU19" i="93"/>
  <c r="AZ19" i="93"/>
  <c r="AU54" i="93"/>
  <c r="AZ54" i="93" s="1"/>
  <c r="AU53" i="93"/>
  <c r="AZ53" i="93" s="1"/>
  <c r="AU29" i="93"/>
  <c r="AZ29" i="93" s="1"/>
  <c r="AU42" i="93"/>
  <c r="AZ42" i="93" s="1"/>
  <c r="AU64" i="93"/>
  <c r="AZ64" i="93" s="1"/>
  <c r="AU52" i="93"/>
  <c r="AZ52" i="93"/>
  <c r="AU16" i="93"/>
  <c r="AZ16" i="93" s="1"/>
  <c r="AU30" i="93"/>
  <c r="AZ30" i="93" s="1"/>
  <c r="AU75" i="93"/>
  <c r="AZ75" i="93" s="1"/>
  <c r="AU51" i="93"/>
  <c r="AZ51" i="93" s="1"/>
  <c r="AU39" i="93"/>
  <c r="AZ39" i="93"/>
  <c r="AU15" i="93"/>
  <c r="AZ15" i="93" s="1"/>
  <c r="AU74" i="93"/>
  <c r="AZ74" i="93"/>
  <c r="AU62" i="93"/>
  <c r="AZ62" i="93" s="1"/>
  <c r="AU50" i="93"/>
  <c r="AZ50" i="93" s="1"/>
  <c r="AU26" i="93"/>
  <c r="AZ26" i="93" s="1"/>
  <c r="AU14" i="93"/>
  <c r="AZ14" i="93" s="1"/>
  <c r="AU82" i="93"/>
  <c r="AZ82" i="93" s="1"/>
  <c r="AG215" i="92"/>
  <c r="AE137" i="92"/>
  <c r="AD21" i="92"/>
  <c r="AC78" i="92"/>
  <c r="AB142" i="92"/>
  <c r="AA177" i="92"/>
  <c r="AA42" i="92"/>
  <c r="AG16" i="92"/>
  <c r="AF217" i="92"/>
  <c r="AF94" i="92"/>
  <c r="AO40" i="92"/>
  <c r="AN91" i="92"/>
  <c r="AN25" i="92"/>
  <c r="AN22" i="92"/>
  <c r="AM148" i="92"/>
  <c r="AJ154" i="92"/>
  <c r="AO45" i="92"/>
  <c r="AM145" i="92"/>
  <c r="AM138" i="92"/>
  <c r="AM58" i="92"/>
  <c r="AK174" i="92"/>
  <c r="AK121" i="92"/>
  <c r="AL185" i="92"/>
  <c r="AL31" i="92"/>
  <c r="AK37" i="92"/>
  <c r="AP9" i="92"/>
  <c r="AJ54" i="92"/>
  <c r="AO183" i="92"/>
  <c r="AI197" i="92"/>
  <c r="AO98" i="92"/>
  <c r="AI85" i="92"/>
  <c r="AL182" i="92"/>
  <c r="AE29" i="92"/>
  <c r="AC9" i="92"/>
  <c r="AL29" i="92"/>
  <c r="AK171" i="92"/>
  <c r="AL118" i="92"/>
  <c r="AL77" i="92"/>
  <c r="AO202" i="92"/>
  <c r="AE14" i="92"/>
  <c r="AE9" i="92"/>
  <c r="AK48" i="92"/>
  <c r="AF174" i="92"/>
  <c r="AO203" i="92"/>
  <c r="AO205" i="92"/>
  <c r="AE15" i="92"/>
  <c r="AJ195" i="92"/>
  <c r="AL81" i="92"/>
  <c r="AN208" i="92"/>
  <c r="AL45" i="92"/>
  <c r="AD121" i="92"/>
  <c r="AC114" i="92"/>
  <c r="AC108" i="92"/>
  <c r="AH25" i="92"/>
  <c r="AC65" i="92"/>
  <c r="AC61" i="92"/>
  <c r="AL82" i="92"/>
  <c r="AH237" i="92"/>
  <c r="AN202" i="92"/>
  <c r="AL43" i="92"/>
  <c r="AH149" i="92"/>
  <c r="AN141" i="92"/>
  <c r="AH148" i="92"/>
  <c r="AN105" i="92"/>
  <c r="AH85" i="92"/>
  <c r="AN14" i="92"/>
  <c r="AM205" i="92"/>
  <c r="AG158" i="92"/>
  <c r="AM162" i="92"/>
  <c r="AC60" i="92"/>
  <c r="AC97" i="92"/>
  <c r="AH82" i="92"/>
  <c r="AO235" i="92"/>
  <c r="AO234" i="92"/>
  <c r="AF175" i="92"/>
  <c r="AF76" i="92"/>
  <c r="AM88" i="92"/>
  <c r="AN77" i="92"/>
  <c r="AF17" i="92"/>
  <c r="AN75" i="92"/>
  <c r="AF15" i="92"/>
  <c r="AN41" i="92"/>
  <c r="AI158" i="92"/>
  <c r="AG89" i="92"/>
  <c r="AB16" i="92"/>
  <c r="AO36" i="92"/>
  <c r="AN29" i="92"/>
  <c r="AK161" i="92"/>
  <c r="AI138" i="92"/>
  <c r="AG58" i="92"/>
  <c r="AB15" i="92"/>
  <c r="AF79" i="92"/>
  <c r="AN111" i="92"/>
  <c r="AL54" i="92"/>
  <c r="AF45" i="92"/>
  <c r="AJ118" i="92"/>
  <c r="AD78" i="92"/>
  <c r="AG149" i="92"/>
  <c r="AG148" i="92"/>
  <c r="AN74" i="92"/>
  <c r="AO34" i="92"/>
  <c r="AK156" i="92"/>
  <c r="AE129" i="92"/>
  <c r="AD17" i="92"/>
  <c r="AA175" i="92"/>
  <c r="AP235" i="92"/>
  <c r="AO31" i="92"/>
  <c r="AN19" i="92"/>
  <c r="AL165" i="92"/>
  <c r="AI75" i="92"/>
  <c r="AE128" i="92"/>
  <c r="AD8" i="92"/>
  <c r="AN148" i="92"/>
  <c r="AM89" i="92"/>
  <c r="AC14" i="92"/>
  <c r="AM85" i="92"/>
  <c r="AF16" i="92"/>
  <c r="AD48" i="92"/>
  <c r="AK157" i="92"/>
  <c r="AN239" i="92"/>
  <c r="AL162" i="92"/>
  <c r="AN238" i="92"/>
  <c r="AL161" i="92"/>
  <c r="AK105" i="92"/>
  <c r="AI57" i="92"/>
  <c r="AM56" i="92"/>
  <c r="AO35" i="92"/>
  <c r="AI58" i="92"/>
  <c r="AP55" i="92"/>
  <c r="AK102" i="92"/>
  <c r="AI55" i="92"/>
  <c r="AC155" i="92"/>
  <c r="AP88" i="92"/>
  <c r="AP27" i="92"/>
  <c r="AM54" i="92"/>
  <c r="AM51" i="92"/>
  <c r="AE209" i="92"/>
  <c r="AM231" i="92"/>
  <c r="AM168" i="92"/>
  <c r="AE94" i="92"/>
  <c r="AE91" i="92"/>
  <c r="AE31" i="92"/>
  <c r="AK117" i="92"/>
  <c r="AC75" i="92"/>
  <c r="AK35" i="92"/>
  <c r="AC198" i="92"/>
  <c r="AK31" i="92"/>
  <c r="AK22" i="92"/>
  <c r="AC115" i="92"/>
  <c r="AB181" i="92"/>
  <c r="AP240" i="92"/>
  <c r="AP215" i="92"/>
  <c r="AP155" i="92"/>
  <c r="AP94" i="92"/>
  <c r="AH58" i="92"/>
  <c r="AJ137" i="92"/>
  <c r="AJ135" i="92"/>
  <c r="AJ76" i="92"/>
  <c r="AJ68" i="92"/>
  <c r="AJ56" i="92"/>
  <c r="AB21" i="92"/>
  <c r="AJ34" i="92"/>
  <c r="AB17" i="92"/>
  <c r="AJ198" i="92"/>
  <c r="AM215" i="92"/>
  <c r="AM191" i="92"/>
  <c r="AM16" i="92"/>
  <c r="AE71" i="92"/>
  <c r="AM171" i="92"/>
  <c r="AM11" i="92"/>
  <c r="AM151" i="92"/>
  <c r="AM135" i="92"/>
  <c r="AE8" i="92"/>
  <c r="AM131" i="92"/>
  <c r="AM111" i="92"/>
  <c r="AM61" i="92"/>
  <c r="AE96" i="92"/>
  <c r="AC191" i="92"/>
  <c r="AC158" i="92"/>
  <c r="AK122" i="92"/>
  <c r="AC71" i="92"/>
  <c r="AK58" i="92"/>
  <c r="AK185" i="92"/>
  <c r="AD215" i="92"/>
  <c r="AD214" i="92"/>
  <c r="AD178" i="92"/>
  <c r="AL202" i="92"/>
  <c r="AL25" i="92"/>
  <c r="AD134" i="92"/>
  <c r="AL22" i="92"/>
  <c r="AL177" i="92"/>
  <c r="AD94" i="92"/>
  <c r="AL168" i="92"/>
  <c r="AD85" i="92"/>
  <c r="AO38" i="92"/>
  <c r="AG185" i="92"/>
  <c r="AO236" i="92"/>
  <c r="AG181" i="92"/>
  <c r="AO11" i="92"/>
  <c r="AO231" i="92"/>
  <c r="AO211" i="92"/>
  <c r="AG122" i="92"/>
  <c r="AO208" i="92"/>
  <c r="AG96" i="92"/>
  <c r="AI161" i="92"/>
  <c r="AI157" i="92"/>
  <c r="AI61" i="92"/>
  <c r="AI56" i="92"/>
  <c r="AI201" i="92"/>
  <c r="AO103" i="92"/>
  <c r="AN125" i="92"/>
  <c r="AD98" i="92"/>
  <c r="AN222" i="92"/>
  <c r="AC11" i="92"/>
  <c r="AP209" i="92"/>
  <c r="AP145" i="92"/>
  <c r="AO136" i="92"/>
  <c r="AK197" i="92"/>
  <c r="AH178" i="92"/>
  <c r="AG37" i="92"/>
  <c r="AB136" i="92"/>
  <c r="AJ18" i="92"/>
  <c r="AL125" i="92"/>
  <c r="AO95" i="92"/>
  <c r="AM214" i="92"/>
  <c r="AD51" i="92"/>
  <c r="AI174" i="92"/>
  <c r="AO9" i="92"/>
  <c r="AP179" i="92"/>
  <c r="AP177" i="92"/>
  <c r="AL171" i="92"/>
  <c r="AK74" i="92"/>
  <c r="AO97" i="92"/>
  <c r="AJ77" i="92"/>
  <c r="AG188" i="92"/>
  <c r="AM57" i="92"/>
  <c r="AE21" i="92"/>
  <c r="AE141" i="92"/>
  <c r="AG157" i="92"/>
  <c r="AP236" i="92"/>
  <c r="AL89" i="92"/>
  <c r="AK162" i="92"/>
  <c r="AO214" i="92"/>
  <c r="AK36" i="92"/>
  <c r="AE136" i="92"/>
  <c r="AH214" i="92"/>
  <c r="AG100" i="92"/>
  <c r="AH154" i="92"/>
  <c r="AE97" i="92"/>
  <c r="AA176" i="92"/>
  <c r="AK118" i="92"/>
  <c r="AO182" i="92"/>
  <c r="AJ138" i="92"/>
  <c r="AA76" i="92"/>
  <c r="AO105" i="92"/>
  <c r="AP98" i="92"/>
  <c r="AM65" i="92"/>
  <c r="AL181" i="92"/>
  <c r="AI82" i="92"/>
  <c r="AG29" i="92"/>
  <c r="AF11" i="92"/>
  <c r="AE25" i="92"/>
  <c r="AD95" i="92"/>
  <c r="AP97" i="92"/>
  <c r="AN209" i="92"/>
  <c r="AN28" i="92"/>
  <c r="AM161" i="92"/>
  <c r="AM62" i="92"/>
  <c r="AJ75" i="92"/>
  <c r="AI81" i="92"/>
  <c r="AC238" i="92"/>
  <c r="AE225" i="92"/>
  <c r="AP234" i="92"/>
  <c r="AO85" i="92"/>
  <c r="AO191" i="92"/>
  <c r="AK149" i="92"/>
  <c r="AG121" i="92"/>
  <c r="AO189" i="92"/>
  <c r="AO57" i="92"/>
  <c r="AN142" i="92"/>
  <c r="AM142" i="92"/>
  <c r="AK133" i="92"/>
  <c r="AK34" i="92"/>
  <c r="AJ42" i="92"/>
  <c r="AI62" i="92"/>
  <c r="AG116" i="92"/>
  <c r="AE211" i="92"/>
  <c r="AE105" i="92"/>
  <c r="AP59" i="92"/>
  <c r="AM55" i="92"/>
  <c r="AL28" i="92"/>
  <c r="AH119" i="92"/>
  <c r="AG101" i="92"/>
  <c r="AP191" i="92"/>
  <c r="AF89" i="92"/>
  <c r="AP189" i="92"/>
  <c r="AN121" i="92"/>
  <c r="AL158" i="92"/>
  <c r="AE95" i="92"/>
  <c r="AD76" i="92"/>
  <c r="AP22" i="92"/>
  <c r="AO180" i="92"/>
  <c r="AP176" i="92"/>
  <c r="AP14" i="92"/>
  <c r="AO154" i="92"/>
  <c r="AM122" i="92"/>
  <c r="AL16" i="92"/>
  <c r="AI182" i="92"/>
  <c r="AH239" i="92"/>
  <c r="AF39" i="92"/>
  <c r="AP151" i="92"/>
  <c r="AO129" i="92"/>
  <c r="AK101" i="92"/>
  <c r="AI162" i="92"/>
  <c r="AH238" i="92"/>
  <c r="AE82" i="92"/>
  <c r="AF18" i="92"/>
  <c r="AP142" i="92"/>
  <c r="AM169" i="92"/>
  <c r="AJ117" i="92"/>
  <c r="AH211" i="92"/>
  <c r="AP109" i="92"/>
  <c r="AO209" i="92"/>
  <c r="AE28" i="92"/>
  <c r="AG78" i="92"/>
  <c r="AO78" i="92"/>
  <c r="AE115" i="92"/>
  <c r="AM115" i="92"/>
  <c r="AA217" i="92"/>
  <c r="AI217" i="92"/>
  <c r="AI34" i="92"/>
  <c r="AA34" i="92"/>
  <c r="AH75" i="92"/>
  <c r="AP75" i="92"/>
  <c r="AO137" i="92"/>
  <c r="AG137" i="92"/>
  <c r="AE114" i="92"/>
  <c r="AM114" i="92"/>
  <c r="AD101" i="92"/>
  <c r="AL101" i="92"/>
  <c r="AC137" i="92"/>
  <c r="AK137" i="92"/>
  <c r="AA225" i="92"/>
  <c r="AI225" i="92"/>
  <c r="AA145" i="92"/>
  <c r="AI145" i="92"/>
  <c r="AA45" i="92"/>
  <c r="AI45" i="92"/>
  <c r="AK180" i="92"/>
  <c r="AJ178" i="92"/>
  <c r="AG171" i="92"/>
  <c r="AD195" i="92"/>
  <c r="AJ176" i="92"/>
  <c r="AI65" i="92"/>
  <c r="AP198" i="92"/>
  <c r="AK177" i="92"/>
  <c r="AL38" i="92"/>
  <c r="AL35" i="92"/>
  <c r="AN225" i="92"/>
  <c r="AI198" i="92"/>
  <c r="AD34" i="92"/>
  <c r="AP21" i="92"/>
  <c r="AO55" i="92"/>
  <c r="AN37" i="92"/>
  <c r="AM197" i="92"/>
  <c r="AF8" i="92"/>
  <c r="AC21" i="92"/>
  <c r="AH231" i="92"/>
  <c r="AP231" i="92"/>
  <c r="AH141" i="92"/>
  <c r="AP141" i="92"/>
  <c r="AO82" i="92"/>
  <c r="AG82" i="92"/>
  <c r="AO28" i="92"/>
  <c r="AG28" i="92"/>
  <c r="AF169" i="92"/>
  <c r="AN169" i="92"/>
  <c r="AE158" i="92"/>
  <c r="AM158" i="92"/>
  <c r="AK148" i="92"/>
  <c r="AC148" i="92"/>
  <c r="AK57" i="92"/>
  <c r="AC57" i="92"/>
  <c r="AB116" i="92"/>
  <c r="AJ116" i="92"/>
  <c r="AP200" i="92"/>
  <c r="AH200" i="92"/>
  <c r="AG141" i="92"/>
  <c r="AO141" i="92"/>
  <c r="AN99" i="92"/>
  <c r="AF99" i="92"/>
  <c r="AE78" i="92"/>
  <c r="AM78" i="92"/>
  <c r="AK98" i="92"/>
  <c r="AC98" i="92"/>
  <c r="AJ115" i="92"/>
  <c r="AB115" i="92"/>
  <c r="AA135" i="92"/>
  <c r="AI135" i="92"/>
  <c r="AH228" i="92"/>
  <c r="AP228" i="92"/>
  <c r="AG140" i="92"/>
  <c r="AO140" i="92"/>
  <c r="AG80" i="92"/>
  <c r="AO80" i="92"/>
  <c r="AF134" i="92"/>
  <c r="AN134" i="92"/>
  <c r="AN65" i="92"/>
  <c r="AF65" i="92"/>
  <c r="AE117" i="92"/>
  <c r="AM117" i="92"/>
  <c r="AD236" i="92"/>
  <c r="AL236" i="92"/>
  <c r="AL155" i="92"/>
  <c r="AD155" i="92"/>
  <c r="AD71" i="92"/>
  <c r="AL71" i="92"/>
  <c r="AA228" i="92"/>
  <c r="AI228" i="92"/>
  <c r="AA208" i="92"/>
  <c r="AI208" i="92"/>
  <c r="AI168" i="92"/>
  <c r="AA168" i="92"/>
  <c r="AA128" i="92"/>
  <c r="AI128" i="92"/>
  <c r="AB88" i="92"/>
  <c r="AJ88" i="92"/>
  <c r="AK8" i="92"/>
  <c r="AC8" i="92"/>
  <c r="AP108" i="92"/>
  <c r="AH108" i="92"/>
  <c r="AG223" i="92"/>
  <c r="AO223" i="92"/>
  <c r="AF131" i="92"/>
  <c r="AN131" i="92"/>
  <c r="AE116" i="92"/>
  <c r="AM116" i="92"/>
  <c r="AE37" i="92"/>
  <c r="AM37" i="92"/>
  <c r="AL154" i="92"/>
  <c r="AD154" i="92"/>
  <c r="AB101" i="92"/>
  <c r="AJ101" i="92"/>
  <c r="AA117" i="92"/>
  <c r="AI117" i="92"/>
  <c r="AP168" i="92"/>
  <c r="AH168" i="92"/>
  <c r="AN129" i="92"/>
  <c r="AF129" i="92"/>
  <c r="AD234" i="92"/>
  <c r="AL234" i="92"/>
  <c r="AK228" i="92"/>
  <c r="AC228" i="92"/>
  <c r="AG172" i="92"/>
  <c r="AN194" i="92"/>
  <c r="AF194" i="92"/>
  <c r="AD146" i="92"/>
  <c r="AL146" i="92"/>
  <c r="AK178" i="92"/>
  <c r="AD191" i="92"/>
  <c r="AJ175" i="92"/>
  <c r="AK176" i="92"/>
  <c r="AJ162" i="92"/>
  <c r="AI205" i="92"/>
  <c r="AN235" i="92"/>
  <c r="AK175" i="92"/>
  <c r="AH111" i="92"/>
  <c r="AA48" i="92"/>
  <c r="AM198" i="92"/>
  <c r="AH102" i="92"/>
  <c r="AP20" i="92"/>
  <c r="AO54" i="92"/>
  <c r="AN36" i="92"/>
  <c r="AM196" i="92"/>
  <c r="AC20" i="92"/>
  <c r="AH175" i="92"/>
  <c r="AP175" i="92"/>
  <c r="AH80" i="92"/>
  <c r="AP80" i="92"/>
  <c r="AG200" i="92"/>
  <c r="AO200" i="92"/>
  <c r="AG56" i="92"/>
  <c r="AO56" i="92"/>
  <c r="AF199" i="92"/>
  <c r="AN199" i="92"/>
  <c r="AF101" i="92"/>
  <c r="AN101" i="92"/>
  <c r="AF38" i="92"/>
  <c r="AN38" i="92"/>
  <c r="AM121" i="92"/>
  <c r="AE121" i="92"/>
  <c r="AM42" i="92"/>
  <c r="AE42" i="92"/>
  <c r="AL157" i="92"/>
  <c r="AD157" i="92"/>
  <c r="AL75" i="92"/>
  <c r="AD75" i="92"/>
  <c r="AO114" i="92"/>
  <c r="AG114" i="92"/>
  <c r="AF135" i="92"/>
  <c r="AN135" i="92"/>
  <c r="AE118" i="92"/>
  <c r="AM118" i="92"/>
  <c r="AE41" i="92"/>
  <c r="AM41" i="92"/>
  <c r="AL156" i="92"/>
  <c r="AD156" i="92"/>
  <c r="AL74" i="92"/>
  <c r="AD74" i="92"/>
  <c r="AK56" i="92"/>
  <c r="AC56" i="92"/>
  <c r="AA235" i="92"/>
  <c r="AI235" i="92"/>
  <c r="AF68" i="92"/>
  <c r="AH199" i="92"/>
  <c r="AP199" i="92"/>
  <c r="AO225" i="92"/>
  <c r="AG225" i="92"/>
  <c r="AJ105" i="92"/>
  <c r="AB105" i="92"/>
  <c r="AH77" i="92"/>
  <c r="AP77" i="92"/>
  <c r="AN97" i="92"/>
  <c r="AF97" i="92"/>
  <c r="AM155" i="92"/>
  <c r="AE155" i="92"/>
  <c r="AD235" i="92"/>
  <c r="AL235" i="92"/>
  <c r="AD105" i="92"/>
  <c r="AL105" i="92"/>
  <c r="AC234" i="92"/>
  <c r="AK234" i="92"/>
  <c r="AC96" i="92"/>
  <c r="AK96" i="92"/>
  <c r="AP42" i="92"/>
  <c r="AH42" i="92"/>
  <c r="AG169" i="92"/>
  <c r="AO169" i="92"/>
  <c r="AM154" i="92"/>
  <c r="AE154" i="92"/>
  <c r="AC138" i="92"/>
  <c r="AK138" i="92"/>
  <c r="AH225" i="92"/>
  <c r="AP225" i="92"/>
  <c r="AO77" i="92"/>
  <c r="AG77" i="92"/>
  <c r="AO21" i="92"/>
  <c r="AG21" i="92"/>
  <c r="AF128" i="92"/>
  <c r="AN128" i="92"/>
  <c r="AE188" i="92"/>
  <c r="AM188" i="92"/>
  <c r="AC91" i="92"/>
  <c r="AK91" i="92"/>
  <c r="AJ41" i="92"/>
  <c r="AB41" i="92"/>
  <c r="AA185" i="92"/>
  <c r="AI185" i="92"/>
  <c r="AM195" i="92"/>
  <c r="AP18" i="92"/>
  <c r="AO48" i="92"/>
  <c r="AM194" i="92"/>
  <c r="AL114" i="92"/>
  <c r="AP17" i="92"/>
  <c r="AL102" i="92"/>
  <c r="AA236" i="92"/>
  <c r="AH201" i="92"/>
  <c r="AP201" i="92"/>
  <c r="AH114" i="92"/>
  <c r="AP114" i="92"/>
  <c r="AG229" i="92"/>
  <c r="AO229" i="92"/>
  <c r="AE81" i="92"/>
  <c r="AM81" i="92"/>
  <c r="AK100" i="92"/>
  <c r="AC100" i="92"/>
  <c r="AP174" i="92"/>
  <c r="AH174" i="92"/>
  <c r="AH79" i="92"/>
  <c r="AP79" i="92"/>
  <c r="AG173" i="92"/>
  <c r="AO173" i="92"/>
  <c r="AG81" i="92"/>
  <c r="AO81" i="92"/>
  <c r="AD237" i="92"/>
  <c r="AL237" i="92"/>
  <c r="AK145" i="92"/>
  <c r="AC145" i="92"/>
  <c r="AI169" i="92"/>
  <c r="AA169" i="92"/>
  <c r="AG111" i="92"/>
  <c r="AO111" i="92"/>
  <c r="AF98" i="92"/>
  <c r="AN98" i="92"/>
  <c r="AM238" i="92"/>
  <c r="AE238" i="92"/>
  <c r="AE156" i="92"/>
  <c r="AM156" i="92"/>
  <c r="AM77" i="92"/>
  <c r="AE77" i="92"/>
  <c r="AE38" i="92"/>
  <c r="AM38" i="92"/>
  <c r="AD197" i="92"/>
  <c r="AL197" i="92"/>
  <c r="AD111" i="92"/>
  <c r="AL111" i="92"/>
  <c r="AC235" i="92"/>
  <c r="AK235" i="92"/>
  <c r="AA234" i="92"/>
  <c r="AI234" i="92"/>
  <c r="AA118" i="92"/>
  <c r="AI118" i="92"/>
  <c r="AI36" i="92"/>
  <c r="AA36" i="92"/>
  <c r="AA148" i="92"/>
  <c r="AI148" i="92"/>
  <c r="AI28" i="92"/>
  <c r="AA28" i="92"/>
  <c r="AP45" i="92"/>
  <c r="AH45" i="92"/>
  <c r="AG23" i="92"/>
  <c r="AO23" i="92"/>
  <c r="AN62" i="92"/>
  <c r="AF62" i="92"/>
  <c r="AM76" i="92"/>
  <c r="AE76" i="92"/>
  <c r="AI35" i="92"/>
  <c r="AA35" i="92"/>
  <c r="AJ188" i="92"/>
  <c r="AP197" i="92"/>
  <c r="AH197" i="92"/>
  <c r="AP105" i="92"/>
  <c r="AH105" i="92"/>
  <c r="AG138" i="92"/>
  <c r="AO138" i="92"/>
  <c r="AC95" i="92"/>
  <c r="AK95" i="92"/>
  <c r="AM106" i="92"/>
  <c r="AE106" i="92"/>
  <c r="AK182" i="92"/>
  <c r="AE157" i="92"/>
  <c r="AD196" i="92"/>
  <c r="AH41" i="92"/>
  <c r="AP41" i="92"/>
  <c r="AO168" i="92"/>
  <c r="AG168" i="92"/>
  <c r="AF159" i="92"/>
  <c r="AN159" i="92"/>
  <c r="AN59" i="92"/>
  <c r="AF59" i="92"/>
  <c r="AE149" i="92"/>
  <c r="AM149" i="92"/>
  <c r="AC221" i="92"/>
  <c r="AK221" i="92"/>
  <c r="AA125" i="92"/>
  <c r="AI125" i="92"/>
  <c r="AA105" i="92"/>
  <c r="AI105" i="92"/>
  <c r="AA25" i="92"/>
  <c r="AI25" i="92"/>
  <c r="AP19" i="92"/>
  <c r="AO49" i="92"/>
  <c r="AN35" i="92"/>
  <c r="AL115" i="92"/>
  <c r="AI165" i="92"/>
  <c r="AC16" i="92"/>
  <c r="AC15" i="92"/>
  <c r="AL238" i="92"/>
  <c r="AH221" i="92"/>
  <c r="AP221" i="92"/>
  <c r="AG75" i="92"/>
  <c r="AO75" i="92"/>
  <c r="AI98" i="92"/>
  <c r="AA98" i="92"/>
  <c r="AB102" i="92"/>
  <c r="AJ102" i="92"/>
  <c r="AF188" i="92"/>
  <c r="AB95" i="92"/>
  <c r="AE222" i="92"/>
  <c r="AM222" i="92"/>
  <c r="AG160" i="92"/>
  <c r="AB237" i="92"/>
  <c r="AM218" i="92"/>
  <c r="AE218" i="92"/>
  <c r="AP68" i="92"/>
  <c r="AD222" i="92"/>
  <c r="AL145" i="92"/>
  <c r="AB217" i="92"/>
  <c r="AA15" i="92"/>
  <c r="AJ216" i="92"/>
  <c r="AB216" i="92"/>
  <c r="AP62" i="92"/>
  <c r="AH37" i="92"/>
  <c r="AD138" i="92"/>
  <c r="AO14" i="92"/>
  <c r="AK77" i="92"/>
  <c r="AD57" i="92"/>
  <c r="AG61" i="92"/>
  <c r="AO61" i="92"/>
  <c r="AP129" i="92"/>
  <c r="AP39" i="92"/>
  <c r="AO74" i="92"/>
  <c r="AN58" i="92"/>
  <c r="AM216" i="92"/>
  <c r="AM108" i="92"/>
  <c r="AL135" i="92"/>
  <c r="AL58" i="92"/>
  <c r="AK200" i="92"/>
  <c r="AE185" i="92"/>
  <c r="AC134" i="92"/>
  <c r="AC45" i="92"/>
  <c r="AG165" i="92"/>
  <c r="AH99" i="92"/>
  <c r="AP99" i="92"/>
  <c r="AO218" i="92"/>
  <c r="AG218" i="92"/>
  <c r="AO162" i="92"/>
  <c r="AB238" i="92"/>
  <c r="AG17" i="92"/>
  <c r="AO17" i="92"/>
  <c r="AK41" i="92"/>
  <c r="AC41" i="92"/>
  <c r="AA101" i="92"/>
  <c r="AI101" i="92"/>
  <c r="AP218" i="92"/>
  <c r="AN156" i="92"/>
  <c r="AN117" i="92"/>
  <c r="AF117" i="92"/>
  <c r="AD56" i="92"/>
  <c r="AL56" i="92"/>
  <c r="AN151" i="92"/>
  <c r="AD55" i="92"/>
  <c r="AL55" i="92"/>
  <c r="AL218" i="92"/>
  <c r="AK85" i="92"/>
  <c r="AI141" i="92"/>
  <c r="AC142" i="92"/>
  <c r="AD217" i="92"/>
  <c r="AC201" i="92"/>
  <c r="AP28" i="92"/>
  <c r="AN57" i="92"/>
  <c r="AJ218" i="92"/>
  <c r="AI221" i="92"/>
  <c r="AI18" i="92"/>
  <c r="AH131" i="92"/>
  <c r="AF122" i="92"/>
  <c r="AE182" i="92"/>
  <c r="AD49" i="92"/>
  <c r="AC42" i="92"/>
  <c r="AB38" i="92"/>
  <c r="AA114" i="92"/>
  <c r="AI114" i="92"/>
  <c r="AM228" i="92"/>
  <c r="AE228" i="92"/>
  <c r="AA188" i="92"/>
  <c r="AP219" i="92"/>
  <c r="AF185" i="92"/>
  <c r="AN54" i="92"/>
  <c r="AF54" i="92"/>
  <c r="AK38" i="92"/>
  <c r="AC38" i="92"/>
  <c r="AL229" i="92"/>
  <c r="AO128" i="92"/>
  <c r="AG128" i="92"/>
  <c r="AP65" i="92"/>
  <c r="AH40" i="92"/>
  <c r="AD221" i="92"/>
  <c r="AE175" i="92"/>
  <c r="AM175" i="92"/>
  <c r="AH156" i="92"/>
  <c r="AC202" i="92"/>
  <c r="AP134" i="92"/>
  <c r="AO15" i="92"/>
  <c r="AL141" i="92"/>
  <c r="AF154" i="92"/>
  <c r="AO76" i="92"/>
  <c r="AM217" i="92"/>
  <c r="AF31" i="92"/>
  <c r="AD216" i="92"/>
  <c r="AG120" i="92"/>
  <c r="AO120" i="92"/>
  <c r="AP122" i="92"/>
  <c r="AO8" i="92"/>
  <c r="AN51" i="92"/>
  <c r="AK135" i="92"/>
  <c r="AJ81" i="92"/>
  <c r="AE177" i="92"/>
  <c r="AD122" i="92"/>
  <c r="AB37" i="92"/>
  <c r="AH222" i="92"/>
  <c r="AP222" i="92"/>
  <c r="AG20" i="92"/>
  <c r="AO20" i="92"/>
  <c r="AG135" i="92"/>
  <c r="AO135" i="92"/>
  <c r="AH220" i="92"/>
  <c r="AP220" i="92"/>
  <c r="AG161" i="92"/>
  <c r="AA181" i="92"/>
  <c r="AI181" i="92"/>
  <c r="AA121" i="92"/>
  <c r="AI121" i="92"/>
  <c r="AP217" i="92"/>
  <c r="AL225" i="92"/>
  <c r="AD142" i="92"/>
  <c r="AG125" i="92"/>
  <c r="AO125" i="92"/>
  <c r="AP216" i="92"/>
  <c r="AM109" i="92"/>
  <c r="AL65" i="92"/>
  <c r="AF176" i="92"/>
  <c r="AN176" i="92"/>
  <c r="AJ78" i="92"/>
  <c r="AI95" i="92"/>
  <c r="AH128" i="92"/>
  <c r="AE34" i="92"/>
  <c r="AP56" i="92"/>
  <c r="AN109" i="92"/>
  <c r="AF48" i="92"/>
  <c r="AB208" i="92"/>
  <c r="AO60" i="92"/>
  <c r="AN178" i="92"/>
  <c r="AJ114" i="92"/>
  <c r="AM174" i="92"/>
  <c r="AN221" i="92"/>
  <c r="AF149" i="92"/>
  <c r="AN218" i="92"/>
  <c r="AN161" i="92"/>
  <c r="AN34" i="92"/>
  <c r="AN215" i="92"/>
  <c r="AN157" i="92"/>
  <c r="AN71" i="92"/>
  <c r="AF61" i="92"/>
  <c r="AN155" i="92"/>
  <c r="AN205" i="92"/>
  <c r="AN108" i="92"/>
  <c r="AN201" i="92"/>
  <c r="AN102" i="92"/>
  <c r="AF9" i="92"/>
  <c r="AF195" i="92"/>
  <c r="AN146" i="92"/>
  <c r="AN182" i="92"/>
  <c r="AN137" i="92"/>
  <c r="AN179" i="92"/>
  <c r="AN136" i="92"/>
  <c r="AN177" i="92"/>
  <c r="AN88" i="92"/>
  <c r="AN78" i="92"/>
  <c r="AJ17" i="93" a="1"/>
  <c r="AJ17" i="93" s="1"/>
  <c r="AN50" i="93"/>
  <c r="AN30" i="93"/>
  <c r="AO210" i="27" a="1"/>
  <c r="AO210" i="27" s="1"/>
  <c r="AQ210" i="27" s="1"/>
  <c r="AO239" i="113" a="1"/>
  <c r="AO239" i="113" s="1"/>
  <c r="AS239" i="113" s="1"/>
  <c r="AT239" i="113" s="1" a="1"/>
  <c r="AT239" i="113" s="1"/>
  <c r="AK13" i="113"/>
  <c r="AM13" i="113" s="1"/>
  <c r="AK132" i="113"/>
  <c r="AM132" i="113" s="1"/>
  <c r="AO143" i="113" a="1"/>
  <c r="AO143" i="113" s="1"/>
  <c r="AQ143" i="113" s="1"/>
  <c r="AO140" i="113" a="1"/>
  <c r="AO140" i="113" s="1"/>
  <c r="AR140" i="113" s="1"/>
  <c r="AJ88" i="113" a="1"/>
  <c r="AJ88" i="113" s="1"/>
  <c r="AN88" i="113" s="1" a="1"/>
  <c r="AN88" i="113" s="1"/>
  <c r="AK143" i="113"/>
  <c r="AM143" i="113" s="1"/>
  <c r="AO144" i="113" a="1"/>
  <c r="AO144" i="113" s="1"/>
  <c r="AK77" i="113"/>
  <c r="AM77" i="113" s="1"/>
  <c r="AJ77" i="113" a="1"/>
  <c r="AJ77" i="113" s="1"/>
  <c r="AN77" i="113" s="1" a="1"/>
  <c r="AN77" i="113" s="1"/>
  <c r="AO77" i="113" a="1"/>
  <c r="AO77" i="113" s="1"/>
  <c r="AU77" i="113" s="1" a="1"/>
  <c r="AU77" i="113" s="1"/>
  <c r="AO141" i="113" a="1"/>
  <c r="AO141" i="113" s="1"/>
  <c r="AQ141" i="113" s="1"/>
  <c r="AK140" i="113"/>
  <c r="AM140" i="113" s="1"/>
  <c r="AJ141" i="113" a="1"/>
  <c r="AJ141" i="113" s="1"/>
  <c r="AN141" i="113" s="1" a="1"/>
  <c r="AN141" i="113" s="1"/>
  <c r="AK233" i="113"/>
  <c r="AM233" i="113" s="1"/>
  <c r="AK82" i="113"/>
  <c r="AM82" i="113" s="1"/>
  <c r="AJ87" i="113" a="1"/>
  <c r="AJ87" i="113" s="1"/>
  <c r="AN87" i="113" s="1" a="1"/>
  <c r="AN87" i="113" s="1"/>
  <c r="AJ222" i="113" a="1"/>
  <c r="AJ222" i="113" s="1"/>
  <c r="AN222" i="113" s="1" a="1"/>
  <c r="AN222" i="113" s="1"/>
  <c r="AJ86" i="113" a="1"/>
  <c r="AJ86" i="113" s="1"/>
  <c r="AN86" i="113" s="1" a="1"/>
  <c r="AN86" i="113" s="1"/>
  <c r="AO235" i="113" a="1"/>
  <c r="AO235" i="113" s="1"/>
  <c r="AQ235" i="113" s="1"/>
  <c r="AO236" i="113" a="1"/>
  <c r="AO236" i="113" s="1"/>
  <c r="AU236" i="113" s="1" a="1"/>
  <c r="AU236" i="113" s="1"/>
  <c r="AW236" i="113" s="1"/>
  <c r="AJ234" i="113" a="1"/>
  <c r="AJ234" i="113" s="1"/>
  <c r="AN234" i="113" s="1" a="1"/>
  <c r="AN234" i="113" s="1"/>
  <c r="AJ235" i="113" a="1"/>
  <c r="AJ235" i="113" s="1"/>
  <c r="AN235" i="113" s="1" a="1"/>
  <c r="AN235" i="113" s="1"/>
  <c r="AJ157" i="113" a="1"/>
  <c r="AJ157" i="113" s="1"/>
  <c r="AN157" i="113" s="1" a="1"/>
  <c r="AN157" i="113" s="1"/>
  <c r="AO157" i="113" a="1"/>
  <c r="AO157" i="113" s="1"/>
  <c r="AU157" i="113" s="1" a="1"/>
  <c r="AU157" i="113" s="1"/>
  <c r="AK157" i="113"/>
  <c r="AM157" i="113" s="1"/>
  <c r="AK74" i="113"/>
  <c r="AM74" i="113" s="1"/>
  <c r="AJ74" i="113" a="1"/>
  <c r="AJ74" i="113" s="1"/>
  <c r="AN74" i="113" s="1" a="1"/>
  <c r="AN74" i="113" s="1"/>
  <c r="AO234" i="113" a="1"/>
  <c r="AO234" i="113" s="1"/>
  <c r="AP234" i="113" s="1" a="1"/>
  <c r="AP234" i="113" s="1"/>
  <c r="AO18" i="113" a="1"/>
  <c r="AO18" i="113" s="1"/>
  <c r="AK97" i="113"/>
  <c r="AM97" i="113" s="1"/>
  <c r="AK237" i="113"/>
  <c r="AM237" i="113" s="1"/>
  <c r="AO237" i="113" a="1"/>
  <c r="AO237" i="113" s="1"/>
  <c r="AU237" i="113" s="1" a="1"/>
  <c r="AU237" i="113" s="1"/>
  <c r="AW237" i="113" s="1"/>
  <c r="AJ29" i="113" a="1"/>
  <c r="AJ29" i="113" s="1"/>
  <c r="AN29" i="113" s="1" a="1"/>
  <c r="AN29" i="113" s="1"/>
  <c r="AO29" i="113" a="1"/>
  <c r="AO29" i="113" s="1"/>
  <c r="AP29" i="113" s="1" a="1"/>
  <c r="AP29" i="113" s="1"/>
  <c r="AK156" i="113"/>
  <c r="AM156" i="113" s="1"/>
  <c r="AO156" i="113" a="1"/>
  <c r="AO156" i="113" s="1"/>
  <c r="AR156" i="113" s="1"/>
  <c r="AK55" i="113"/>
  <c r="AM55" i="113" s="1"/>
  <c r="AK139" i="113"/>
  <c r="AM139" i="113" s="1"/>
  <c r="AK205" i="113"/>
  <c r="AM205" i="113" s="1"/>
  <c r="AK232" i="113"/>
  <c r="AM232" i="113" s="1"/>
  <c r="AJ8" i="113" a="1"/>
  <c r="AJ8" i="113" s="1"/>
  <c r="AN8" i="113" s="1" a="1"/>
  <c r="AN8" i="113" s="1"/>
  <c r="AM17" i="113"/>
  <c r="AK88" i="113"/>
  <c r="AM88" i="113" s="1"/>
  <c r="AO139" i="113" a="1"/>
  <c r="AO139" i="113" s="1"/>
  <c r="AQ139" i="113" s="1"/>
  <c r="AK8" i="113"/>
  <c r="AM8" i="113" s="1"/>
  <c r="AM37" i="113"/>
  <c r="AO37" i="113" a="1"/>
  <c r="AO37" i="113" s="1"/>
  <c r="AP37" i="113" s="1" a="1"/>
  <c r="AP37" i="113" s="1"/>
  <c r="AK220" i="113"/>
  <c r="AM220" i="113" s="1"/>
  <c r="AJ190" i="113" a="1"/>
  <c r="AJ190" i="113" s="1"/>
  <c r="AN190" i="113" s="1" a="1"/>
  <c r="AN190" i="113" s="1"/>
  <c r="AK229" i="113"/>
  <c r="AM229" i="113" s="1"/>
  <c r="AJ231" i="113" a="1"/>
  <c r="AJ231" i="113" s="1"/>
  <c r="AN231" i="113" s="1" a="1"/>
  <c r="AN231" i="113" s="1"/>
  <c r="AM49" i="113"/>
  <c r="AK190" i="113"/>
  <c r="AM190" i="113" s="1"/>
  <c r="AO209" i="113" a="1"/>
  <c r="AO209" i="113" s="1"/>
  <c r="AU209" i="113" s="1" a="1"/>
  <c r="AU209" i="113" s="1"/>
  <c r="AO220" i="113" a="1"/>
  <c r="AO220" i="113" s="1"/>
  <c r="AO85" i="113" a="1"/>
  <c r="AO85" i="113" s="1"/>
  <c r="AQ85" i="113" s="1"/>
  <c r="AK128" i="113"/>
  <c r="AM128" i="113" s="1"/>
  <c r="AM230" i="113"/>
  <c r="AO229" i="113" a="1"/>
  <c r="AO229" i="113" s="1"/>
  <c r="AQ229" i="113" s="1"/>
  <c r="AO230" i="113" a="1"/>
  <c r="AO230" i="113" s="1"/>
  <c r="AS230" i="113" s="1"/>
  <c r="AT230" i="113" s="1" a="1"/>
  <c r="AT230" i="113" s="1"/>
  <c r="AK58" i="113"/>
  <c r="AM58" i="113" s="1"/>
  <c r="AO208" i="113" a="1"/>
  <c r="AO208" i="113" s="1"/>
  <c r="AP208" i="113" s="1" a="1"/>
  <c r="AP208" i="113" s="1"/>
  <c r="AO27" i="113" a="1"/>
  <c r="AO27" i="113" s="1"/>
  <c r="AO58" i="113" a="1"/>
  <c r="AO58" i="113" s="1"/>
  <c r="AP58" i="113" s="1" a="1"/>
  <c r="AP58" i="113" s="1"/>
  <c r="AO68" i="113" a="1"/>
  <c r="AO68" i="113" s="1"/>
  <c r="AS68" i="113" s="1"/>
  <c r="AT68" i="113" s="1" a="1"/>
  <c r="AT68" i="113" s="1"/>
  <c r="AO104" i="113" a="1"/>
  <c r="AO104" i="113" s="1"/>
  <c r="AQ189" i="113"/>
  <c r="AJ63" i="113" a="1"/>
  <c r="AJ63" i="113" s="1"/>
  <c r="AN63" i="113" s="1" a="1"/>
  <c r="AN63" i="113" s="1"/>
  <c r="AJ166" i="113" a="1"/>
  <c r="AJ166" i="113" s="1"/>
  <c r="AN166" i="113" s="1" a="1"/>
  <c r="AN166" i="113" s="1"/>
  <c r="AO110" i="113" a="1"/>
  <c r="AO110" i="113" s="1"/>
  <c r="AR110" i="113" s="1"/>
  <c r="AK166" i="113"/>
  <c r="AM166" i="113" s="1"/>
  <c r="AM209" i="113"/>
  <c r="AJ136" i="113" a="1"/>
  <c r="AJ136" i="113" s="1"/>
  <c r="AN136" i="113" s="1" a="1"/>
  <c r="AN136" i="113" s="1"/>
  <c r="AJ154" i="113" a="1"/>
  <c r="AJ154" i="113" s="1"/>
  <c r="AN154" i="113" s="1" a="1"/>
  <c r="AN154" i="113" s="1"/>
  <c r="AJ100" i="113" a="1"/>
  <c r="AJ100" i="113" s="1"/>
  <c r="AN100" i="113" s="1" a="1"/>
  <c r="AN100" i="113" s="1"/>
  <c r="AK101" i="113"/>
  <c r="AM101" i="113" s="1"/>
  <c r="AK109" i="113"/>
  <c r="AM109" i="113" s="1"/>
  <c r="AK110" i="113"/>
  <c r="AM110" i="113" s="1"/>
  <c r="AM135" i="113"/>
  <c r="AK158" i="113"/>
  <c r="AM158" i="113" s="1"/>
  <c r="AK225" i="113"/>
  <c r="AM225" i="113" s="1"/>
  <c r="AK226" i="113"/>
  <c r="AM226" i="113" s="1"/>
  <c r="AK134" i="113"/>
  <c r="AM134" i="113" s="1"/>
  <c r="AJ135" i="113" a="1"/>
  <c r="AJ135" i="113" s="1"/>
  <c r="AN135" i="113" s="1" a="1"/>
  <c r="AN135" i="113" s="1"/>
  <c r="AK125" i="113"/>
  <c r="AM125" i="113" s="1"/>
  <c r="AJ225" i="113" a="1"/>
  <c r="AJ225" i="113" s="1"/>
  <c r="AN225" i="113" s="1" a="1"/>
  <c r="AN225" i="113" s="1"/>
  <c r="AJ226" i="113" a="1"/>
  <c r="AJ226" i="113" s="1"/>
  <c r="AN226" i="113" s="1" a="1"/>
  <c r="AN226" i="113" s="1"/>
  <c r="AJ13" i="113" a="1"/>
  <c r="AJ13" i="113" s="1"/>
  <c r="AN13" i="113" s="1" a="1"/>
  <c r="AN13" i="113" s="1"/>
  <c r="AK73" i="113"/>
  <c r="AM73" i="113" s="1"/>
  <c r="AO125" i="113" a="1"/>
  <c r="AO125" i="113" s="1"/>
  <c r="AR125" i="113" s="1"/>
  <c r="AO126" i="113" a="1"/>
  <c r="AO126" i="113" s="1"/>
  <c r="AP126" i="113" s="1" a="1"/>
  <c r="AP126" i="113" s="1"/>
  <c r="AO133" i="113" a="1"/>
  <c r="AO133" i="113" s="1"/>
  <c r="AK136" i="113"/>
  <c r="AM136" i="113" s="1"/>
  <c r="AK137" i="113"/>
  <c r="AM137" i="113" s="1"/>
  <c r="AK154" i="113"/>
  <c r="AM154" i="113" s="1"/>
  <c r="AO171" i="113" a="1"/>
  <c r="AO171" i="113" s="1"/>
  <c r="AP171" i="113" s="1" a="1"/>
  <c r="AP171" i="113" s="1"/>
  <c r="AK195" i="113"/>
  <c r="AM195" i="113" s="1"/>
  <c r="AJ205" i="113" a="1"/>
  <c r="AJ205" i="113" s="1"/>
  <c r="AN205" i="113" s="1" a="1"/>
  <c r="AN205" i="113" s="1"/>
  <c r="AK54" i="113"/>
  <c r="AM54" i="113" s="1"/>
  <c r="AO135" i="113" a="1"/>
  <c r="AO135" i="113" s="1"/>
  <c r="BC135" i="113" s="1" a="1"/>
  <c r="BC135" i="113" s="1"/>
  <c r="AO101" i="113" a="1"/>
  <c r="AO101" i="113" s="1"/>
  <c r="AR101" i="113" s="1"/>
  <c r="AO73" i="113" a="1"/>
  <c r="AO73" i="113" s="1"/>
  <c r="AQ73" i="113" s="1"/>
  <c r="AJ98" i="113" a="1"/>
  <c r="AJ98" i="113" s="1"/>
  <c r="AN98" i="113" s="1" a="1"/>
  <c r="AN98" i="113" s="1"/>
  <c r="AO136" i="113" a="1"/>
  <c r="AO136" i="113" s="1"/>
  <c r="AO183" i="113" a="1"/>
  <c r="AO183" i="113" s="1"/>
  <c r="AK192" i="113"/>
  <c r="AM192" i="113" s="1"/>
  <c r="AO195" i="113" a="1"/>
  <c r="AO195" i="113" s="1"/>
  <c r="AJ197" i="113" a="1"/>
  <c r="AJ197" i="113" s="1"/>
  <c r="AN197" i="113" s="1" a="1"/>
  <c r="AN197" i="113" s="1"/>
  <c r="AK98" i="113"/>
  <c r="AM98" i="113" s="1"/>
  <c r="AJ106" i="113" a="1"/>
  <c r="AJ106" i="113" s="1"/>
  <c r="AN106" i="113" s="1" a="1"/>
  <c r="AN106" i="113" s="1"/>
  <c r="AJ107" i="113" a="1"/>
  <c r="AJ107" i="113" s="1"/>
  <c r="AN107" i="113" s="1" a="1"/>
  <c r="AN107" i="113" s="1"/>
  <c r="AO163" i="113" a="1"/>
  <c r="AO163" i="113" s="1"/>
  <c r="AQ163" i="113" s="1"/>
  <c r="AK189" i="113"/>
  <c r="AM189" i="113" s="1"/>
  <c r="AO193" i="113" a="1"/>
  <c r="AO193" i="113" s="1"/>
  <c r="AU193" i="113" s="1" a="1"/>
  <c r="AU193" i="113" s="1"/>
  <c r="AK197" i="113"/>
  <c r="AM197" i="113" s="1"/>
  <c r="AJ6" i="113" a="1"/>
  <c r="AJ6" i="113" s="1"/>
  <c r="AN6" i="113" s="1" a="1"/>
  <c r="AN6" i="113" s="1"/>
  <c r="AN20" i="113" a="1"/>
  <c r="AN20" i="113" s="1"/>
  <c r="AO74" i="113" a="1"/>
  <c r="AO74" i="113" s="1"/>
  <c r="AR74" i="113" s="1"/>
  <c r="AJ81" i="113" a="1"/>
  <c r="AJ81" i="113" s="1"/>
  <c r="AN81" i="113" s="1" a="1"/>
  <c r="AN81" i="113" s="1"/>
  <c r="AJ96" i="113" a="1"/>
  <c r="AJ96" i="113" s="1"/>
  <c r="AN96" i="113" s="1" a="1"/>
  <c r="AN96" i="113" s="1"/>
  <c r="AJ120" i="113" a="1"/>
  <c r="AJ120" i="113" s="1"/>
  <c r="AN120" i="113" s="1" a="1"/>
  <c r="AN120" i="113" s="1"/>
  <c r="AO152" i="113" a="1"/>
  <c r="AO152" i="113" s="1"/>
  <c r="AU152" i="113" s="1" a="1"/>
  <c r="AU152" i="113" s="1"/>
  <c r="AW152" i="113" s="1"/>
  <c r="AJ180" i="113" a="1"/>
  <c r="AJ180" i="113" s="1"/>
  <c r="AN180" i="113" s="1" a="1"/>
  <c r="AN180" i="113" s="1"/>
  <c r="AN196" i="113" a="1"/>
  <c r="AN196" i="113" s="1"/>
  <c r="AO199" i="113" a="1"/>
  <c r="AO199" i="113" s="1"/>
  <c r="AU199" i="113" s="1" a="1"/>
  <c r="AU199" i="113" s="1"/>
  <c r="AK214" i="113"/>
  <c r="AM214" i="113" s="1"/>
  <c r="AJ158" i="113" a="1"/>
  <c r="AJ158" i="113" s="1"/>
  <c r="AN158" i="113" s="1" a="1"/>
  <c r="AN158" i="113" s="1"/>
  <c r="AO137" i="113" a="1"/>
  <c r="AO137" i="113" s="1"/>
  <c r="AR137" i="113" s="1"/>
  <c r="AJ152" i="113" a="1"/>
  <c r="AJ152" i="113" s="1"/>
  <c r="AN152" i="113" s="1" a="1"/>
  <c r="AN152" i="113" s="1"/>
  <c r="AJ122" i="113" a="1"/>
  <c r="AJ122" i="113" s="1"/>
  <c r="AN122" i="113" s="1" a="1"/>
  <c r="AN122" i="113" s="1"/>
  <c r="AK175" i="113"/>
  <c r="AM175" i="113" s="1"/>
  <c r="AO205" i="113" a="1"/>
  <c r="AO205" i="113" s="1"/>
  <c r="AR205" i="113" s="1"/>
  <c r="AK6" i="113"/>
  <c r="AM6" i="113" s="1"/>
  <c r="AK96" i="113"/>
  <c r="AM96" i="113" s="1"/>
  <c r="AO121" i="113" a="1"/>
  <c r="AO121" i="113" s="1"/>
  <c r="AR121" i="113" s="1"/>
  <c r="AM122" i="113"/>
  <c r="AJ123" i="113" a="1"/>
  <c r="AJ123" i="113" s="1"/>
  <c r="AN123" i="113" s="1" a="1"/>
  <c r="AN123" i="113" s="1"/>
  <c r="AK180" i="113"/>
  <c r="AM180" i="113" s="1"/>
  <c r="AK181" i="113"/>
  <c r="AM181" i="113" s="1"/>
  <c r="AJ110" i="113" a="1"/>
  <c r="AJ110" i="113" s="1"/>
  <c r="AN110" i="113" s="1" a="1"/>
  <c r="AN110" i="113" s="1"/>
  <c r="AJ207" i="113" a="1"/>
  <c r="AJ207" i="113" s="1"/>
  <c r="AN207" i="113" s="1" a="1"/>
  <c r="AN207" i="113" s="1"/>
  <c r="AK228" i="113"/>
  <c r="AM228" i="113" s="1"/>
  <c r="AM100" i="113"/>
  <c r="AO100" i="113" a="1"/>
  <c r="AO100" i="113" s="1"/>
  <c r="AR100" i="113" s="1"/>
  <c r="AJ163" i="113" a="1"/>
  <c r="AJ163" i="113" s="1"/>
  <c r="AN163" i="113" s="1" a="1"/>
  <c r="AN163" i="113" s="1"/>
  <c r="AJ189" i="113" a="1"/>
  <c r="AJ189" i="113" s="1"/>
  <c r="AN189" i="113" s="1" a="1"/>
  <c r="AN189" i="113" s="1"/>
  <c r="AO225" i="113" a="1"/>
  <c r="AO225" i="113" s="1"/>
  <c r="AU225" i="113" s="1" a="1"/>
  <c r="AU225" i="113" s="1"/>
  <c r="AO226" i="113" a="1"/>
  <c r="AO226" i="113" s="1"/>
  <c r="AS226" i="113" s="1"/>
  <c r="AT226" i="113" s="1" a="1"/>
  <c r="AT226" i="113" s="1"/>
  <c r="AM193" i="113"/>
  <c r="AK199" i="113"/>
  <c r="AM199" i="113" s="1"/>
  <c r="AO98" i="113" a="1"/>
  <c r="AO98" i="113" s="1"/>
  <c r="AO107" i="113" a="1"/>
  <c r="AO107" i="113" s="1"/>
  <c r="AS107" i="113" s="1"/>
  <c r="AT107" i="113" s="1" a="1"/>
  <c r="AT107" i="113" s="1"/>
  <c r="AK120" i="113"/>
  <c r="AM120" i="113" s="1"/>
  <c r="AO122" i="113" a="1"/>
  <c r="AO122" i="113" s="1"/>
  <c r="AR122" i="113" s="1"/>
  <c r="AO175" i="113" a="1"/>
  <c r="AO175" i="113" s="1"/>
  <c r="AP175" i="113" s="1" a="1"/>
  <c r="AP175" i="113" s="1"/>
  <c r="AO196" i="113" a="1"/>
  <c r="AO196" i="113" s="1"/>
  <c r="AP196" i="113" s="1" a="1"/>
  <c r="AP196" i="113" s="1"/>
  <c r="AO33" i="113" a="1"/>
  <c r="AO33" i="113" s="1"/>
  <c r="AU33" i="113" s="1" a="1"/>
  <c r="AU33" i="113" s="1"/>
  <c r="AV33" i="113" s="1" a="1"/>
  <c r="AV33" i="113" s="1"/>
  <c r="AK39" i="113"/>
  <c r="AM39" i="113" s="1"/>
  <c r="AO174" i="113" a="1"/>
  <c r="AO174" i="113" s="1"/>
  <c r="AR174" i="113" s="1"/>
  <c r="AO180" i="113" a="1"/>
  <c r="AO180" i="113" s="1"/>
  <c r="AO181" i="113" a="1"/>
  <c r="AO181" i="113" s="1"/>
  <c r="AQ181" i="113" s="1"/>
  <c r="AJ187" i="113" a="1"/>
  <c r="AJ187" i="113" s="1"/>
  <c r="AN187" i="113" s="1" a="1"/>
  <c r="AN187" i="113" s="1"/>
  <c r="AS189" i="113"/>
  <c r="AT189" i="113" s="1" a="1"/>
  <c r="AT189" i="113" s="1"/>
  <c r="AO197" i="113" a="1"/>
  <c r="AO197" i="113" s="1"/>
  <c r="AQ197" i="113" s="1"/>
  <c r="AK219" i="113"/>
  <c r="AM219" i="113" s="1"/>
  <c r="AO13" i="113" a="1"/>
  <c r="AO13" i="113" s="1"/>
  <c r="AU13" i="113" s="1" a="1"/>
  <c r="AU13" i="113" s="1"/>
  <c r="AO53" i="113" a="1"/>
  <c r="AO53" i="113" s="1"/>
  <c r="AU53" i="113" s="1" a="1"/>
  <c r="AU53" i="113" s="1"/>
  <c r="AW53" i="113" s="1"/>
  <c r="AK81" i="113"/>
  <c r="AM81" i="113" s="1"/>
  <c r="AO96" i="113" a="1"/>
  <c r="AO96" i="113" s="1"/>
  <c r="AU96" i="113" s="1" a="1"/>
  <c r="AU96" i="113" s="1"/>
  <c r="AW96" i="113" s="1"/>
  <c r="AJ239" i="113" a="1"/>
  <c r="AJ239" i="113" s="1"/>
  <c r="AN239" i="113" s="1" a="1"/>
  <c r="AN239" i="113" s="1"/>
  <c r="AO81" i="113" a="1"/>
  <c r="AO81" i="113" s="1"/>
  <c r="AJ104" i="113" a="1"/>
  <c r="AJ104" i="113" s="1"/>
  <c r="AN104" i="113" s="1" a="1"/>
  <c r="AN104" i="113" s="1"/>
  <c r="AO120" i="113" a="1"/>
  <c r="AO120" i="113" s="1"/>
  <c r="AK168" i="113"/>
  <c r="AM168" i="113" s="1"/>
  <c r="AJ221" i="113" a="1"/>
  <c r="AJ221" i="113" s="1"/>
  <c r="AN221" i="113" s="1" a="1"/>
  <c r="AN221" i="113" s="1"/>
  <c r="AK239" i="113"/>
  <c r="AM239" i="113" s="1"/>
  <c r="AR31" i="113"/>
  <c r="AO39" i="113" a="1"/>
  <c r="AO39" i="113" s="1"/>
  <c r="AS39" i="113" s="1"/>
  <c r="AT39" i="113" s="1" a="1"/>
  <c r="AT39" i="113" s="1"/>
  <c r="AJ58" i="113" a="1"/>
  <c r="AJ58" i="113" s="1"/>
  <c r="AN58" i="113" s="1" a="1"/>
  <c r="AN58" i="113" s="1"/>
  <c r="AO211" i="113" a="1"/>
  <c r="AO211" i="113" s="1"/>
  <c r="AK234" i="113"/>
  <c r="AM234" i="113" s="1"/>
  <c r="AS31" i="113"/>
  <c r="AT31" i="113" s="1" a="1"/>
  <c r="AT31" i="113" s="1"/>
  <c r="AK221" i="113"/>
  <c r="AM221" i="113" s="1"/>
  <c r="AU95" i="113" a="1"/>
  <c r="AU95" i="113" s="1"/>
  <c r="AW95" i="113" s="1"/>
  <c r="AQ95" i="113"/>
  <c r="AP95" i="113" a="1"/>
  <c r="AP95" i="113" s="1"/>
  <c r="AR95" i="113"/>
  <c r="AU106" i="113" a="1"/>
  <c r="AU106" i="113" s="1"/>
  <c r="AW106" i="113" s="1"/>
  <c r="AQ106" i="113"/>
  <c r="AS76" i="113"/>
  <c r="AT76" i="113" s="1" a="1"/>
  <c r="AT76" i="113" s="1"/>
  <c r="AU76" i="113" a="1"/>
  <c r="AU76" i="113" s="1"/>
  <c r="AX76" i="113" s="1"/>
  <c r="AQ76" i="113"/>
  <c r="AP76" i="113" a="1"/>
  <c r="AP76" i="113" s="1"/>
  <c r="AU24" i="113" a="1"/>
  <c r="AU24" i="113" s="1"/>
  <c r="AX24" i="113" s="1"/>
  <c r="AO114" i="113" a="1"/>
  <c r="AO114" i="113" s="1"/>
  <c r="AS114" i="113" s="1"/>
  <c r="AT114" i="113" s="1" a="1"/>
  <c r="AT114" i="113" s="1"/>
  <c r="AK116" i="113"/>
  <c r="AM116" i="113" s="1"/>
  <c r="AO30" i="113" a="1"/>
  <c r="AO30" i="113" s="1"/>
  <c r="AO16" i="113" a="1"/>
  <c r="AO16" i="113" s="1"/>
  <c r="AS113" i="113"/>
  <c r="AT113" i="113" s="1" a="1"/>
  <c r="AT113" i="113" s="1"/>
  <c r="AQ113" i="113"/>
  <c r="AK9" i="113"/>
  <c r="AM9" i="113" s="1"/>
  <c r="AR106" i="113"/>
  <c r="AK106" i="113"/>
  <c r="AM106" i="113" s="1"/>
  <c r="AR165" i="113"/>
  <c r="AU165" i="113" a="1"/>
  <c r="AU165" i="113" s="1"/>
  <c r="AX165" i="113" s="1"/>
  <c r="AO62" i="113" a="1"/>
  <c r="AO62" i="113" s="1"/>
  <c r="AU62" i="113" s="1" a="1"/>
  <c r="AU62" i="113" s="1"/>
  <c r="AK57" i="113"/>
  <c r="AM57" i="113" s="1"/>
  <c r="AJ57" i="113" a="1"/>
  <c r="AJ57" i="113" s="1"/>
  <c r="AN57" i="113" s="1" a="1"/>
  <c r="AN57" i="113" s="1"/>
  <c r="AO206" i="113" a="1"/>
  <c r="AO206" i="113" s="1"/>
  <c r="AS206" i="113" s="1"/>
  <c r="AT206" i="113" s="1" a="1"/>
  <c r="AT206" i="113" s="1"/>
  <c r="AK206" i="113"/>
  <c r="AM206" i="113" s="1"/>
  <c r="AJ206" i="113" a="1"/>
  <c r="AJ206" i="113" s="1"/>
  <c r="AN206" i="113" s="1" a="1"/>
  <c r="AN206" i="113" s="1"/>
  <c r="AS231" i="113"/>
  <c r="AT231" i="113" s="1" a="1"/>
  <c r="AT231" i="113" s="1"/>
  <c r="AU231" i="113" a="1"/>
  <c r="AU231" i="113" s="1"/>
  <c r="AQ231" i="113"/>
  <c r="AK28" i="113"/>
  <c r="AM28" i="113" s="1"/>
  <c r="AJ28" i="113" a="1"/>
  <c r="AJ28" i="113" s="1"/>
  <c r="AN28" i="113" s="1" a="1"/>
  <c r="AN28" i="113" s="1"/>
  <c r="AK29" i="113"/>
  <c r="AM29" i="113" s="1"/>
  <c r="AO49" i="113" a="1"/>
  <c r="AO49" i="113" s="1"/>
  <c r="AR49" i="113" s="1"/>
  <c r="AJ49" i="113" a="1"/>
  <c r="AJ49" i="113" s="1"/>
  <c r="AN49" i="113" s="1" a="1"/>
  <c r="AN49" i="113" s="1"/>
  <c r="AO50" i="113" a="1"/>
  <c r="AO50" i="113" s="1"/>
  <c r="AR50" i="113" s="1"/>
  <c r="AJ50" i="113" a="1"/>
  <c r="AJ50" i="113" s="1"/>
  <c r="AN50" i="113" s="1" a="1"/>
  <c r="AN50" i="113" s="1"/>
  <c r="AR54" i="113"/>
  <c r="AJ55" i="113" a="1"/>
  <c r="AJ55" i="113" s="1"/>
  <c r="AN55" i="113" s="1" a="1"/>
  <c r="AN55" i="113" s="1"/>
  <c r="AM104" i="113"/>
  <c r="AO177" i="113" a="1"/>
  <c r="AO177" i="113" s="1"/>
  <c r="AO187" i="113" a="1"/>
  <c r="AO187" i="113" s="1"/>
  <c r="AU187" i="113" s="1" a="1"/>
  <c r="AU187" i="113" s="1"/>
  <c r="AJ199" i="113" a="1"/>
  <c r="AJ199" i="113" s="1"/>
  <c r="AN199" i="113" s="1" a="1"/>
  <c r="AN199" i="113" s="1"/>
  <c r="AP231" i="113" a="1"/>
  <c r="AP231" i="113" s="1"/>
  <c r="AO186" i="113" a="1"/>
  <c r="AO186" i="113" s="1"/>
  <c r="AJ186" i="113" a="1"/>
  <c r="AJ186" i="113" s="1"/>
  <c r="AN186" i="113" s="1" a="1"/>
  <c r="AN186" i="113" s="1"/>
  <c r="AK103" i="113"/>
  <c r="AM103" i="113" s="1"/>
  <c r="AU55" i="113" a="1"/>
  <c r="AU55" i="113" s="1"/>
  <c r="AV55" i="113" s="1" a="1"/>
  <c r="AV55" i="113" s="1"/>
  <c r="AK114" i="113"/>
  <c r="AM114" i="113" s="1"/>
  <c r="AO161" i="113" a="1"/>
  <c r="AO161" i="113" s="1"/>
  <c r="AS161" i="113" s="1"/>
  <c r="AT161" i="113" s="1" a="1"/>
  <c r="AT161" i="113" s="1"/>
  <c r="AK161" i="113"/>
  <c r="AM161" i="113" s="1"/>
  <c r="AJ172" i="113" a="1"/>
  <c r="AJ172" i="113" s="1"/>
  <c r="AN172" i="113" s="1" a="1"/>
  <c r="AN172" i="113" s="1"/>
  <c r="AK24" i="113"/>
  <c r="AM24" i="113" s="1"/>
  <c r="AJ24" i="113" a="1"/>
  <c r="AJ24" i="113" s="1"/>
  <c r="AN24" i="113" s="1" a="1"/>
  <c r="AN24" i="113" s="1"/>
  <c r="AO48" i="113" a="1"/>
  <c r="AO48" i="113" s="1"/>
  <c r="AR48" i="113" s="1"/>
  <c r="AR55" i="113"/>
  <c r="AJ61" i="113" a="1"/>
  <c r="AJ61" i="113" s="1"/>
  <c r="AN61" i="113" s="1" a="1"/>
  <c r="AN61" i="113" s="1"/>
  <c r="AK76" i="113"/>
  <c r="AM76" i="113" s="1"/>
  <c r="AO83" i="113" a="1"/>
  <c r="AO83" i="113" s="1"/>
  <c r="AU83" i="113" s="1" a="1"/>
  <c r="AU83" i="113" s="1"/>
  <c r="AW83" i="113" s="1"/>
  <c r="AO93" i="113" a="1"/>
  <c r="AO93" i="113" s="1"/>
  <c r="AS93" i="113" s="1"/>
  <c r="AT93" i="113" s="1" a="1"/>
  <c r="AT93" i="113" s="1"/>
  <c r="AJ161" i="113" a="1"/>
  <c r="AJ161" i="113" s="1"/>
  <c r="AN161" i="113" s="1" a="1"/>
  <c r="AN161" i="113" s="1"/>
  <c r="AK172" i="113"/>
  <c r="AM172" i="113" s="1"/>
  <c r="AK62" i="113"/>
  <c r="AM62" i="113" s="1"/>
  <c r="AJ76" i="113" a="1"/>
  <c r="AJ76" i="113" s="1"/>
  <c r="AN76" i="113" s="1" a="1"/>
  <c r="AN76" i="113" s="1"/>
  <c r="AO116" i="113" a="1"/>
  <c r="AO116" i="113" s="1"/>
  <c r="AK133" i="113"/>
  <c r="AM133" i="113" s="1"/>
  <c r="AJ133" i="113" a="1"/>
  <c r="AJ133" i="113" s="1"/>
  <c r="AN133" i="113" s="1" a="1"/>
  <c r="AN133" i="113" s="1"/>
  <c r="AJ160" i="113" a="1"/>
  <c r="AJ160" i="113" s="1"/>
  <c r="AN160" i="113" s="1" a="1"/>
  <c r="AN160" i="113" s="1"/>
  <c r="AO8" i="113" a="1"/>
  <c r="AO8" i="113" s="1"/>
  <c r="AP8" i="113" s="1" a="1"/>
  <c r="AP8" i="113" s="1"/>
  <c r="AS63" i="113"/>
  <c r="AT63" i="113" s="1" a="1"/>
  <c r="AT63" i="113" s="1"/>
  <c r="AR63" i="113"/>
  <c r="AK64" i="113"/>
  <c r="AM64" i="113" s="1"/>
  <c r="AJ117" i="113" a="1"/>
  <c r="AJ117" i="113" s="1"/>
  <c r="AN117" i="113" s="1" a="1"/>
  <c r="AN117" i="113" s="1"/>
  <c r="AK160" i="113"/>
  <c r="AM160" i="113" s="1"/>
  <c r="AJ80" i="113" a="1"/>
  <c r="AJ80" i="113" s="1"/>
  <c r="AN80" i="113" s="1" a="1"/>
  <c r="AN80" i="113" s="1"/>
  <c r="AK102" i="113"/>
  <c r="AM102" i="113" s="1"/>
  <c r="AU64" i="113" a="1"/>
  <c r="AU64" i="113" s="1"/>
  <c r="AX64" i="113" s="1"/>
  <c r="AQ64" i="113"/>
  <c r="AK4" i="113"/>
  <c r="AM4" i="113" s="1"/>
  <c r="AO130" i="113" a="1"/>
  <c r="AO130" i="113" s="1"/>
  <c r="AQ130" i="113" s="1"/>
  <c r="AK130" i="113"/>
  <c r="AM130" i="113" s="1"/>
  <c r="AJ138" i="113" a="1"/>
  <c r="AJ138" i="113" s="1"/>
  <c r="AN138" i="113" s="1" a="1"/>
  <c r="AN138" i="113" s="1"/>
  <c r="AO167" i="113" a="1"/>
  <c r="AO167" i="113" s="1"/>
  <c r="AS167" i="113" s="1"/>
  <c r="AT167" i="113" s="1" a="1"/>
  <c r="AT167" i="113" s="1"/>
  <c r="AJ223" i="113" a="1"/>
  <c r="AJ223" i="113" s="1"/>
  <c r="AN223" i="113" s="1" a="1"/>
  <c r="AN223" i="113" s="1"/>
  <c r="AO56" i="113" a="1"/>
  <c r="AO56" i="113" s="1"/>
  <c r="AS56" i="113" s="1"/>
  <c r="AT56" i="113" s="1" a="1"/>
  <c r="AT56" i="113" s="1"/>
  <c r="AK204" i="113"/>
  <c r="AM204" i="113" s="1"/>
  <c r="AJ204" i="113" a="1"/>
  <c r="AJ204" i="113" s="1"/>
  <c r="AN204" i="113" s="1" a="1"/>
  <c r="AN204" i="113" s="1"/>
  <c r="AR64" i="113"/>
  <c r="AK53" i="113"/>
  <c r="AM53" i="113" s="1"/>
  <c r="AJ53" i="113" a="1"/>
  <c r="AJ53" i="113" s="1"/>
  <c r="AN53" i="113" s="1" a="1"/>
  <c r="AN53" i="113" s="1"/>
  <c r="AJ130" i="113" a="1"/>
  <c r="AJ130" i="113" s="1"/>
  <c r="AN130" i="113" s="1" a="1"/>
  <c r="AN130" i="113" s="1"/>
  <c r="AK142" i="113"/>
  <c r="AM142" i="113" s="1"/>
  <c r="AJ167" i="113" a="1"/>
  <c r="AJ167" i="113" s="1"/>
  <c r="AN167" i="113" s="1" a="1"/>
  <c r="AN167" i="113" s="1"/>
  <c r="AR182" i="113"/>
  <c r="AK182" i="113"/>
  <c r="AM182" i="113" s="1"/>
  <c r="AJ182" i="113" a="1"/>
  <c r="AJ182" i="113" s="1"/>
  <c r="AN182" i="113" s="1" a="1"/>
  <c r="AN182" i="113" s="1"/>
  <c r="AJ227" i="113" a="1"/>
  <c r="AJ227" i="113" s="1"/>
  <c r="AN227" i="113" s="1" a="1"/>
  <c r="AN227" i="113" s="1"/>
  <c r="AU57" i="113" a="1"/>
  <c r="AU57" i="113" s="1"/>
  <c r="AP57" i="113" a="1"/>
  <c r="AP57" i="113" s="1"/>
  <c r="AK83" i="113"/>
  <c r="AM83" i="113" s="1"/>
  <c r="AJ83" i="113" a="1"/>
  <c r="AJ83" i="113" s="1"/>
  <c r="AN83" i="113" s="1" a="1"/>
  <c r="AN83" i="113" s="1"/>
  <c r="AM176" i="113"/>
  <c r="AK80" i="113"/>
  <c r="AM80" i="113" s="1"/>
  <c r="AK186" i="113"/>
  <c r="AM186" i="113" s="1"/>
  <c r="AK16" i="113"/>
  <c r="AM16" i="113" s="1"/>
  <c r="AO102" i="113" a="1"/>
  <c r="AO102" i="113" s="1"/>
  <c r="AQ102" i="113" s="1"/>
  <c r="AO90" i="113" a="1"/>
  <c r="AO90" i="113" s="1"/>
  <c r="AS90" i="113" s="1"/>
  <c r="AT90" i="113" s="1" a="1"/>
  <c r="AT90" i="113" s="1"/>
  <c r="AK90" i="113"/>
  <c r="AM90" i="113" s="1"/>
  <c r="AJ90" i="113" a="1"/>
  <c r="AJ90" i="113" s="1"/>
  <c r="AN90" i="113" s="1" a="1"/>
  <c r="AN90" i="113" s="1"/>
  <c r="AS64" i="113"/>
  <c r="AT64" i="113" s="1" a="1"/>
  <c r="AT64" i="113" s="1"/>
  <c r="AK65" i="113"/>
  <c r="AM65" i="113" s="1"/>
  <c r="AJ69" i="113" a="1"/>
  <c r="AJ69" i="113" s="1"/>
  <c r="AN69" i="113" s="1" a="1"/>
  <c r="AN69" i="113" s="1"/>
  <c r="AJ45" i="113" a="1"/>
  <c r="AJ45" i="113" s="1"/>
  <c r="AN45" i="113" s="1" a="1"/>
  <c r="AN45" i="113" s="1"/>
  <c r="AK68" i="113"/>
  <c r="AM68" i="113" s="1"/>
  <c r="AJ109" i="113" a="1"/>
  <c r="AJ109" i="113" s="1"/>
  <c r="AN109" i="113" s="1" a="1"/>
  <c r="AN109" i="113" s="1"/>
  <c r="AO109" i="113" a="1"/>
  <c r="AO109" i="113" s="1"/>
  <c r="AU109" i="113" s="1" a="1"/>
  <c r="AU109" i="113" s="1"/>
  <c r="AX109" i="113" s="1"/>
  <c r="AK167" i="113"/>
  <c r="AM167" i="113" s="1"/>
  <c r="AS57" i="113"/>
  <c r="AT57" i="113" s="1" a="1"/>
  <c r="AT57" i="113" s="1"/>
  <c r="AO34" i="113" a="1"/>
  <c r="AO34" i="113" s="1"/>
  <c r="AJ116" i="113" a="1"/>
  <c r="AJ116" i="113" s="1"/>
  <c r="AN116" i="113" s="1" a="1"/>
  <c r="AN116" i="113" s="1"/>
  <c r="AJ16" i="113" a="1"/>
  <c r="AJ16" i="113" s="1"/>
  <c r="AN16" i="113" s="1" a="1"/>
  <c r="AN16" i="113" s="1"/>
  <c r="AJ93" i="113" a="1"/>
  <c r="AJ93" i="113" s="1"/>
  <c r="AN93" i="113" s="1" a="1"/>
  <c r="AN93" i="113" s="1"/>
  <c r="AK138" i="113"/>
  <c r="AM138" i="113" s="1"/>
  <c r="AJ65" i="113" a="1"/>
  <c r="AJ65" i="113" s="1"/>
  <c r="AN65" i="113" s="1" a="1"/>
  <c r="AN65" i="113" s="1"/>
  <c r="AK45" i="113"/>
  <c r="AM45" i="113" s="1"/>
  <c r="AM67" i="113"/>
  <c r="AO138" i="113" a="1"/>
  <c r="AO138" i="113" s="1"/>
  <c r="AR138" i="113" s="1"/>
  <c r="AK144" i="113"/>
  <c r="AM144" i="113" s="1"/>
  <c r="AJ144" i="113" a="1"/>
  <c r="AJ144" i="113" s="1"/>
  <c r="AN144" i="113" s="1" a="1"/>
  <c r="AN144" i="113" s="1"/>
  <c r="AM227" i="113"/>
  <c r="AR231" i="113"/>
  <c r="AK231" i="113"/>
  <c r="AM231" i="113" s="1"/>
  <c r="AJ103" i="113" a="1"/>
  <c r="AJ103" i="113" s="1"/>
  <c r="AN103" i="113" s="1" a="1"/>
  <c r="AN103" i="113" s="1"/>
  <c r="AJ159" i="113" a="1"/>
  <c r="AJ159" i="113" s="1"/>
  <c r="AN159" i="113" s="1" a="1"/>
  <c r="AN159" i="113" s="1"/>
  <c r="AO51" i="113" a="1"/>
  <c r="AO51" i="113" s="1"/>
  <c r="AR51" i="113" s="1"/>
  <c r="AU182" i="113" a="1"/>
  <c r="AU182" i="113" s="1"/>
  <c r="AX182" i="113" s="1"/>
  <c r="AO227" i="113" a="1"/>
  <c r="AO227" i="113" s="1"/>
  <c r="AK236" i="113"/>
  <c r="AM236" i="113" s="1"/>
  <c r="AO238" i="113" a="1"/>
  <c r="AO238" i="113" s="1"/>
  <c r="AK238" i="113"/>
  <c r="AM238" i="113" s="1"/>
  <c r="AO67" i="113" a="1"/>
  <c r="AO67" i="113" s="1"/>
  <c r="AQ67" i="113" s="1"/>
  <c r="AS95" i="113"/>
  <c r="AT95" i="113" s="1" a="1"/>
  <c r="AT95" i="113" s="1"/>
  <c r="AK95" i="113"/>
  <c r="AM95" i="113" s="1"/>
  <c r="AK33" i="113"/>
  <c r="AM33" i="113" s="1"/>
  <c r="AJ33" i="113" a="1"/>
  <c r="AJ33" i="113" s="1"/>
  <c r="AN33" i="113" s="1" a="1"/>
  <c r="AN33" i="113" s="1"/>
  <c r="AK51" i="113"/>
  <c r="AM51" i="113" s="1"/>
  <c r="AJ95" i="113" a="1"/>
  <c r="AJ95" i="113" s="1"/>
  <c r="AN95" i="113" s="1" a="1"/>
  <c r="AN95" i="113" s="1"/>
  <c r="AJ236" i="113" a="1"/>
  <c r="AJ236" i="113" s="1"/>
  <c r="AN236" i="113" s="1" a="1"/>
  <c r="AN236" i="113" s="1"/>
  <c r="AJ238" i="113" a="1"/>
  <c r="AJ238" i="113" s="1"/>
  <c r="AN238" i="113" s="1" a="1"/>
  <c r="AN238" i="113" s="1"/>
  <c r="AJ230" i="113" a="1"/>
  <c r="AJ230" i="113" s="1"/>
  <c r="AN230" i="113" s="1" a="1"/>
  <c r="AN230" i="113" s="1"/>
  <c r="AJ233" i="113" a="1"/>
  <c r="AJ233" i="113" s="1"/>
  <c r="AN233" i="113" s="1" a="1"/>
  <c r="AN233" i="113" s="1"/>
  <c r="AJ137" i="113" a="1"/>
  <c r="AJ137" i="113" s="1"/>
  <c r="AN137" i="113" s="1" a="1"/>
  <c r="AN137" i="113" s="1"/>
  <c r="AJ171" i="113" a="1"/>
  <c r="AJ171" i="113" s="1"/>
  <c r="AN171" i="113" s="1" a="1"/>
  <c r="AN171" i="113" s="1"/>
  <c r="AJ175" i="113" a="1"/>
  <c r="AJ175" i="113" s="1"/>
  <c r="AN175" i="113" s="1" a="1"/>
  <c r="AN175" i="113" s="1"/>
  <c r="AO232" i="113" a="1"/>
  <c r="AO232" i="113" s="1"/>
  <c r="AQ232" i="113" s="1"/>
  <c r="AJ139" i="113" a="1"/>
  <c r="AJ139" i="113" s="1"/>
  <c r="AN139" i="113" s="1" a="1"/>
  <c r="AN139" i="113" s="1"/>
  <c r="AJ228" i="113" a="1"/>
  <c r="AJ228" i="113" s="1"/>
  <c r="AN228" i="113" s="1" a="1"/>
  <c r="AN228" i="113" s="1"/>
  <c r="AJ145" i="113" a="1"/>
  <c r="AJ145" i="113" s="1"/>
  <c r="AN145" i="113" s="1" a="1"/>
  <c r="AN145" i="113" s="1"/>
  <c r="AJ193" i="113" a="1"/>
  <c r="AJ193" i="113" s="1"/>
  <c r="AN193" i="113" s="1" a="1"/>
  <c r="AN193" i="113" s="1"/>
  <c r="AO228" i="113" a="1"/>
  <c r="AO228" i="113" s="1"/>
  <c r="AR228" i="113" s="1"/>
  <c r="AJ156" i="113" a="1"/>
  <c r="AJ156" i="113" s="1"/>
  <c r="AN156" i="113" s="1" a="1"/>
  <c r="AN156" i="113" s="1"/>
  <c r="AJ181" i="113" a="1"/>
  <c r="AJ181" i="113" s="1"/>
  <c r="AN181" i="113" s="1" a="1"/>
  <c r="AN181" i="113" s="1"/>
  <c r="AJ209" i="113" a="1"/>
  <c r="AJ209" i="113" s="1"/>
  <c r="AN209" i="113" s="1" a="1"/>
  <c r="AN209" i="113" s="1"/>
  <c r="AJ211" i="113" a="1"/>
  <c r="AJ211" i="113" s="1"/>
  <c r="AN211" i="113" s="1" a="1"/>
  <c r="AN211" i="113" s="1"/>
  <c r="AJ232" i="113" a="1"/>
  <c r="AJ232" i="113" s="1"/>
  <c r="AN232" i="113" s="1" a="1"/>
  <c r="AN232" i="113" s="1"/>
  <c r="AN12" i="113" a="1"/>
  <c r="AN12" i="113" s="1"/>
  <c r="AM131" i="113"/>
  <c r="AQ75" i="113"/>
  <c r="AU75" i="113" a="1"/>
  <c r="AU75" i="113" s="1"/>
  <c r="AX75" i="113" s="1"/>
  <c r="AP75" i="113" a="1"/>
  <c r="AP75" i="113" s="1"/>
  <c r="AQ88" i="113"/>
  <c r="AR88" i="113"/>
  <c r="AU88" i="113" a="1"/>
  <c r="AU88" i="113" s="1"/>
  <c r="AS88" i="113"/>
  <c r="AT88" i="113" s="1" a="1"/>
  <c r="AT88" i="113" s="1"/>
  <c r="AP88" i="113" a="1"/>
  <c r="AP88" i="113" s="1"/>
  <c r="AQ214" i="113"/>
  <c r="AP214" i="113" a="1"/>
  <c r="AP214" i="113" s="1"/>
  <c r="AU214" i="113" a="1"/>
  <c r="AU214" i="113" s="1"/>
  <c r="AX214" i="113" s="1"/>
  <c r="AU5" i="113" a="1"/>
  <c r="AU5" i="113" s="1"/>
  <c r="AS5" i="113"/>
  <c r="AT5" i="113" s="1" a="1"/>
  <c r="AT5" i="113" s="1"/>
  <c r="AQ5" i="113"/>
  <c r="AP5" i="113" a="1"/>
  <c r="AP5" i="113" s="1"/>
  <c r="AU31" i="113" a="1"/>
  <c r="AU31" i="113" s="1"/>
  <c r="AX31" i="113" s="1"/>
  <c r="AP31" i="113" a="1"/>
  <c r="AP31" i="113" s="1"/>
  <c r="AQ31" i="113"/>
  <c r="AU60" i="113" a="1"/>
  <c r="AU60" i="113" s="1"/>
  <c r="AX60" i="113" s="1"/>
  <c r="AQ60" i="113"/>
  <c r="AP4" i="113" a="1"/>
  <c r="AP4" i="113" s="1"/>
  <c r="AR4" i="113"/>
  <c r="AU4" i="113" a="1"/>
  <c r="AU4" i="113" s="1"/>
  <c r="AX4" i="113" s="1"/>
  <c r="AQ4" i="113"/>
  <c r="AL1" i="113"/>
  <c r="AO41" i="113" a="1"/>
  <c r="AO41" i="113" s="1"/>
  <c r="AK41" i="113"/>
  <c r="AM41" i="113" s="1"/>
  <c r="AN41" i="113" a="1"/>
  <c r="AN41" i="113" s="1"/>
  <c r="AK44" i="113"/>
  <c r="AM44" i="113" s="1"/>
  <c r="AO14" i="113" a="1"/>
  <c r="AO14" i="113" s="1"/>
  <c r="AR14" i="113" s="1"/>
  <c r="AJ44" i="113" a="1"/>
  <c r="AJ44" i="113" s="1"/>
  <c r="AN44" i="113" s="1" a="1"/>
  <c r="AN44" i="113" s="1"/>
  <c r="AJ14" i="113" a="1"/>
  <c r="AJ14" i="113" s="1"/>
  <c r="AN14" i="113" s="1" a="1"/>
  <c r="AN14" i="113" s="1"/>
  <c r="AU71" i="113" a="1"/>
  <c r="AU71" i="113" s="1"/>
  <c r="AX71" i="113" s="1"/>
  <c r="AP71" i="113" a="1"/>
  <c r="AP71" i="113" s="1"/>
  <c r="AR71" i="113"/>
  <c r="AQ71" i="113"/>
  <c r="AJ36" i="113" a="1"/>
  <c r="AJ36" i="113" s="1"/>
  <c r="AN36" i="113" s="1" a="1"/>
  <c r="AN36" i="113" s="1"/>
  <c r="AO36" i="113" a="1"/>
  <c r="AO36" i="113" s="1"/>
  <c r="AP80" i="113" a="1"/>
  <c r="AP80" i="113" s="1"/>
  <c r="AQ80" i="113"/>
  <c r="AS80" i="113"/>
  <c r="AT80" i="113" s="1" a="1"/>
  <c r="AT80" i="113" s="1"/>
  <c r="AR80" i="113"/>
  <c r="AU80" i="113" a="1"/>
  <c r="AU80" i="113" s="1"/>
  <c r="AX80" i="113" s="1"/>
  <c r="AP215" i="113" a="1"/>
  <c r="AP215" i="113" s="1"/>
  <c r="AQ215" i="113"/>
  <c r="AO9" i="113" a="1"/>
  <c r="AO9" i="113" s="1"/>
  <c r="AR9" i="113" s="1"/>
  <c r="AK14" i="113"/>
  <c r="AM14" i="113" s="1"/>
  <c r="AK36" i="113"/>
  <c r="AM36" i="113" s="1"/>
  <c r="AU215" i="113" a="1"/>
  <c r="AU215" i="113" s="1"/>
  <c r="AJ9" i="113" a="1"/>
  <c r="AJ9" i="113" s="1"/>
  <c r="AN9" i="113" s="1" a="1"/>
  <c r="AN9" i="113" s="1"/>
  <c r="AO44" i="113" a="1"/>
  <c r="AO44" i="113" s="1"/>
  <c r="AS44" i="113" s="1"/>
  <c r="AT44" i="113" s="1" a="1"/>
  <c r="AT44" i="113" s="1"/>
  <c r="AU6" i="113" a="1"/>
  <c r="AU6" i="113" s="1"/>
  <c r="AQ6" i="113"/>
  <c r="AP6" i="113" a="1"/>
  <c r="AP6" i="113" s="1"/>
  <c r="AJ11" i="113" a="1"/>
  <c r="AJ11" i="113" s="1"/>
  <c r="AN11" i="113" s="1" a="1"/>
  <c r="AN11" i="113" s="1"/>
  <c r="AO11" i="113" a="1"/>
  <c r="AO11" i="113" s="1"/>
  <c r="AS11" i="113" s="1"/>
  <c r="AT11" i="113" s="1" a="1"/>
  <c r="AT11" i="113" s="1"/>
  <c r="AO26" i="113" a="1"/>
  <c r="AO26" i="113" s="1"/>
  <c r="AR26" i="113" s="1"/>
  <c r="AJ26" i="113" a="1"/>
  <c r="AJ26" i="113" s="1"/>
  <c r="AN26" i="113" s="1" a="1"/>
  <c r="AN26" i="113" s="1"/>
  <c r="AK26" i="113"/>
  <c r="AM26" i="113" s="1"/>
  <c r="AK11" i="113"/>
  <c r="AM11" i="113" s="1"/>
  <c r="AK12" i="113"/>
  <c r="AM12" i="113" s="1"/>
  <c r="AO12" i="113" a="1"/>
  <c r="AO12" i="113" s="1"/>
  <c r="AS12" i="113" s="1"/>
  <c r="AT12" i="113" s="1" a="1"/>
  <c r="AT12" i="113" s="1"/>
  <c r="AV63" i="113" a="1"/>
  <c r="AV63" i="113" s="1"/>
  <c r="AR75" i="113"/>
  <c r="AK75" i="113"/>
  <c r="AM75" i="113" s="1"/>
  <c r="AJ75" i="113" a="1"/>
  <c r="AJ75" i="113" s="1"/>
  <c r="AN75" i="113" s="1" a="1"/>
  <c r="AN75" i="113" s="1"/>
  <c r="AS75" i="113"/>
  <c r="AT75" i="113" s="1" a="1"/>
  <c r="AT75" i="113" s="1"/>
  <c r="AU23" i="113" a="1"/>
  <c r="AU23" i="113" s="1"/>
  <c r="AQ23" i="113"/>
  <c r="AP23" i="113" a="1"/>
  <c r="AP23" i="113" s="1"/>
  <c r="AK15" i="113"/>
  <c r="AM15" i="113" s="1"/>
  <c r="AO15" i="113" a="1"/>
  <c r="AO15" i="113" s="1"/>
  <c r="AS15" i="113" s="1"/>
  <c r="AT15" i="113" s="1" a="1"/>
  <c r="AT15" i="113" s="1"/>
  <c r="AP28" i="113" a="1"/>
  <c r="AP28" i="113" s="1"/>
  <c r="AS28" i="113"/>
  <c r="AT28" i="113" s="1" a="1"/>
  <c r="AT28" i="113" s="1"/>
  <c r="AQ28" i="113"/>
  <c r="AU28" i="113" a="1"/>
  <c r="AU28" i="113" s="1"/>
  <c r="AR28" i="113"/>
  <c r="AO10" i="113" a="1"/>
  <c r="AO10" i="113" s="1"/>
  <c r="AR10" i="113" s="1"/>
  <c r="AK10" i="113"/>
  <c r="AM10" i="113" s="1"/>
  <c r="AJ15" i="113" a="1"/>
  <c r="AJ15" i="113" s="1"/>
  <c r="AN15" i="113" s="1" a="1"/>
  <c r="AN15" i="113" s="1"/>
  <c r="AK25" i="113"/>
  <c r="AM25" i="113" s="1"/>
  <c r="AO25" i="113" a="1"/>
  <c r="AO25" i="113" s="1"/>
  <c r="AR25" i="113" s="1"/>
  <c r="AQ82" i="113"/>
  <c r="AP82" i="113" a="1"/>
  <c r="AP82" i="113" s="1"/>
  <c r="AU82" i="113" a="1"/>
  <c r="AU82" i="113" s="1"/>
  <c r="AS82" i="113"/>
  <c r="AT82" i="113" s="1" a="1"/>
  <c r="AT82" i="113" s="1"/>
  <c r="AR82" i="113"/>
  <c r="AJ10" i="113" a="1"/>
  <c r="AJ10" i="113" s="1"/>
  <c r="AN10" i="113" s="1" a="1"/>
  <c r="AN10" i="113" s="1"/>
  <c r="AJ25" i="113" a="1"/>
  <c r="AJ25" i="113" s="1"/>
  <c r="AN25" i="113" s="1" a="1"/>
  <c r="AN25" i="113" s="1"/>
  <c r="AX63" i="113"/>
  <c r="AO21" i="113" a="1"/>
  <c r="AO21" i="113" s="1"/>
  <c r="AS21" i="113" s="1"/>
  <c r="AT21" i="113" s="1" a="1"/>
  <c r="AT21" i="113" s="1"/>
  <c r="AK30" i="113"/>
  <c r="AM30" i="113" s="1"/>
  <c r="AJ42" i="113" a="1"/>
  <c r="AJ42" i="113" s="1"/>
  <c r="AN42" i="113" s="1" a="1"/>
  <c r="AN42" i="113" s="1"/>
  <c r="AM42" i="113"/>
  <c r="AO42" i="113" a="1"/>
  <c r="AO42" i="113" s="1"/>
  <c r="AK56" i="113"/>
  <c r="AM56" i="113" s="1"/>
  <c r="AJ56" i="113" a="1"/>
  <c r="AJ56" i="113" s="1"/>
  <c r="AN56" i="113" s="1" a="1"/>
  <c r="AN56" i="113" s="1"/>
  <c r="AQ134" i="113"/>
  <c r="AU134" i="113" a="1"/>
  <c r="AU134" i="113" s="1"/>
  <c r="AX134" i="113" s="1"/>
  <c r="AP134" i="113" a="1"/>
  <c r="AP134" i="113" s="1"/>
  <c r="AJ4" i="113" a="1"/>
  <c r="AJ4" i="113" s="1"/>
  <c r="AN4" i="113" s="1" a="1"/>
  <c r="AN4" i="113" s="1"/>
  <c r="AR5" i="113"/>
  <c r="AJ5" i="113" a="1"/>
  <c r="AJ5" i="113" s="1"/>
  <c r="AN5" i="113" s="1" a="1"/>
  <c r="AN5" i="113" s="1"/>
  <c r="AK5" i="113"/>
  <c r="AM5" i="113" s="1"/>
  <c r="AR6" i="113"/>
  <c r="AS6" i="113"/>
  <c r="AT6" i="113" s="1" a="1"/>
  <c r="AT6" i="113" s="1"/>
  <c r="AK7" i="113"/>
  <c r="AM7" i="113" s="1"/>
  <c r="AO7" i="113" a="1"/>
  <c r="AO7" i="113" s="1"/>
  <c r="AR7" i="113" s="1"/>
  <c r="AN7" i="113" a="1"/>
  <c r="AN7" i="113" s="1"/>
  <c r="AJ17" i="113" a="1"/>
  <c r="AJ17" i="113" s="1"/>
  <c r="AN17" i="113" s="1" a="1"/>
  <c r="AN17" i="113" s="1"/>
  <c r="AO17" i="113" a="1"/>
  <c r="AO17" i="113" s="1"/>
  <c r="AJ30" i="113" a="1"/>
  <c r="AJ30" i="113" s="1"/>
  <c r="AN30" i="113" s="1" a="1"/>
  <c r="AN30" i="113" s="1"/>
  <c r="AU54" i="113" a="1"/>
  <c r="AU54" i="113" s="1"/>
  <c r="AX54" i="113" s="1"/>
  <c r="AQ54" i="113"/>
  <c r="AP54" i="113" a="1"/>
  <c r="AP54" i="113" s="1"/>
  <c r="AS134" i="113"/>
  <c r="AT134" i="113" s="1" a="1"/>
  <c r="AT134" i="113" s="1"/>
  <c r="AJ37" i="113" a="1"/>
  <c r="AJ37" i="113" s="1"/>
  <c r="AN37" i="113" s="1" a="1"/>
  <c r="AN37" i="113" s="1"/>
  <c r="AK60" i="113"/>
  <c r="AM60" i="113" s="1"/>
  <c r="AJ60" i="113" a="1"/>
  <c r="AJ60" i="113" s="1"/>
  <c r="AN60" i="113" s="1" a="1"/>
  <c r="AN60" i="113" s="1"/>
  <c r="AS60" i="113"/>
  <c r="AT60" i="113" s="1" a="1"/>
  <c r="AT60" i="113" s="1"/>
  <c r="AR60" i="113"/>
  <c r="AO70" i="113" a="1"/>
  <c r="AO70" i="113" s="1"/>
  <c r="AR70" i="113" s="1"/>
  <c r="AM70" i="113"/>
  <c r="AJ70" i="113" a="1"/>
  <c r="AJ70" i="113" s="1"/>
  <c r="AN70" i="113" s="1" a="1"/>
  <c r="AN70" i="113" s="1"/>
  <c r="AP78" i="113" a="1"/>
  <c r="AP78" i="113" s="1"/>
  <c r="AJ34" i="113" a="1"/>
  <c r="AJ34" i="113" s="1"/>
  <c r="AN34" i="113" s="1" a="1"/>
  <c r="AN34" i="113" s="1"/>
  <c r="AK40" i="113"/>
  <c r="AM40" i="113" s="1"/>
  <c r="AO79" i="113" a="1"/>
  <c r="AO79" i="113" s="1"/>
  <c r="AR79" i="113" s="1"/>
  <c r="AJ79" i="113" a="1"/>
  <c r="AJ79" i="113" s="1"/>
  <c r="AN79" i="113" s="1" a="1"/>
  <c r="AN79" i="113" s="1"/>
  <c r="AS4" i="113"/>
  <c r="AT4" i="113" s="1" a="1"/>
  <c r="AT4" i="113" s="1"/>
  <c r="AJ40" i="113" a="1"/>
  <c r="AJ40" i="113" s="1"/>
  <c r="AN40" i="113" s="1" a="1"/>
  <c r="AN40" i="113" s="1"/>
  <c r="AQ78" i="113"/>
  <c r="AK79" i="113"/>
  <c r="AM79" i="113" s="1"/>
  <c r="AJ21" i="113" a="1"/>
  <c r="AJ21" i="113" s="1"/>
  <c r="AN21" i="113" s="1" a="1"/>
  <c r="AN21" i="113" s="1"/>
  <c r="AJ22" i="113" a="1"/>
  <c r="AJ22" i="113" s="1"/>
  <c r="AN22" i="113" s="1" a="1"/>
  <c r="AN22" i="113" s="1"/>
  <c r="AK23" i="113"/>
  <c r="AM23" i="113" s="1"/>
  <c r="AK32" i="113"/>
  <c r="AM32" i="113" s="1"/>
  <c r="AJ43" i="113" a="1"/>
  <c r="AJ43" i="113" s="1"/>
  <c r="AN43" i="113" s="1" a="1"/>
  <c r="AN43" i="113" s="1"/>
  <c r="AJ46" i="113" a="1"/>
  <c r="AJ46" i="113" s="1"/>
  <c r="AN46" i="113" s="1" a="1"/>
  <c r="AN46" i="113" s="1"/>
  <c r="AJ48" i="113" a="1"/>
  <c r="AJ48" i="113" s="1"/>
  <c r="AN48" i="113" s="1" a="1"/>
  <c r="AN48" i="113" s="1"/>
  <c r="AK48" i="113"/>
  <c r="AM48" i="113" s="1"/>
  <c r="AO59" i="113" a="1"/>
  <c r="AO59" i="113" s="1"/>
  <c r="AR59" i="113" s="1"/>
  <c r="AJ59" i="113" a="1"/>
  <c r="AJ59" i="113" s="1"/>
  <c r="AN59" i="113" s="1" a="1"/>
  <c r="AN59" i="113" s="1"/>
  <c r="AU72" i="113" a="1"/>
  <c r="AU72" i="113" s="1"/>
  <c r="AX72" i="113" s="1"/>
  <c r="AQ72" i="113"/>
  <c r="AP72" i="113" a="1"/>
  <c r="AP72" i="113" s="1"/>
  <c r="AR72" i="113"/>
  <c r="AS78" i="113"/>
  <c r="AT78" i="113" s="1" a="1"/>
  <c r="AT78" i="113" s="1"/>
  <c r="AJ32" i="113" a="1"/>
  <c r="AJ32" i="113" s="1"/>
  <c r="AN32" i="113" s="1" a="1"/>
  <c r="AN32" i="113" s="1"/>
  <c r="AK43" i="113"/>
  <c r="AM43" i="113" s="1"/>
  <c r="AS55" i="113"/>
  <c r="AT55" i="113" s="1" a="1"/>
  <c r="AT55" i="113" s="1"/>
  <c r="AP55" i="113" a="1"/>
  <c r="AP55" i="113" s="1"/>
  <c r="AQ55" i="113"/>
  <c r="AO69" i="113" a="1"/>
  <c r="AO69" i="113" s="1"/>
  <c r="AS69" i="113" s="1"/>
  <c r="AT69" i="113" s="1" a="1"/>
  <c r="AT69" i="113" s="1"/>
  <c r="AK69" i="113"/>
  <c r="AM69" i="113" s="1"/>
  <c r="AU78" i="113" a="1"/>
  <c r="AU78" i="113" s="1"/>
  <c r="AX78" i="113" s="1"/>
  <c r="AK93" i="113"/>
  <c r="AM93" i="113" s="1"/>
  <c r="AS103" i="113"/>
  <c r="AT103" i="113" s="1" a="1"/>
  <c r="AT103" i="113" s="1"/>
  <c r="AR103" i="113"/>
  <c r="AK19" i="113"/>
  <c r="AM19" i="113" s="1"/>
  <c r="AJ19" i="113" a="1"/>
  <c r="AJ19" i="113" s="1"/>
  <c r="AN19" i="113" s="1" a="1"/>
  <c r="AN19" i="113" s="1"/>
  <c r="AK21" i="113"/>
  <c r="AM21" i="113" s="1"/>
  <c r="AK22" i="113"/>
  <c r="AM22" i="113" s="1"/>
  <c r="AK46" i="113"/>
  <c r="AM46" i="113" s="1"/>
  <c r="AK59" i="113"/>
  <c r="AM59" i="113" s="1"/>
  <c r="AO94" i="113" a="1"/>
  <c r="AO94" i="113" s="1"/>
  <c r="AS94" i="113" s="1"/>
  <c r="AT94" i="113" s="1" a="1"/>
  <c r="AT94" i="113" s="1"/>
  <c r="AK94" i="113"/>
  <c r="AM94" i="113" s="1"/>
  <c r="AJ94" i="113" a="1"/>
  <c r="AJ94" i="113" s="1"/>
  <c r="AN94" i="113" s="1" a="1"/>
  <c r="AN94" i="113" s="1"/>
  <c r="AR24" i="113"/>
  <c r="AQ24" i="113"/>
  <c r="AJ31" i="113" a="1"/>
  <c r="AJ31" i="113" s="1"/>
  <c r="AN31" i="113" s="1" a="1"/>
  <c r="AN31" i="113" s="1"/>
  <c r="AJ38" i="113" a="1"/>
  <c r="AJ38" i="113" s="1"/>
  <c r="AN38" i="113" s="1" a="1"/>
  <c r="AN38" i="113" s="1"/>
  <c r="AO38" i="113" a="1"/>
  <c r="AO38" i="113" s="1"/>
  <c r="AK38" i="113"/>
  <c r="AM38" i="113" s="1"/>
  <c r="AP24" i="113" a="1"/>
  <c r="AP24" i="113" s="1"/>
  <c r="AK31" i="113"/>
  <c r="AM31" i="113" s="1"/>
  <c r="AO40" i="113" a="1"/>
  <c r="AO40" i="113" s="1"/>
  <c r="AO43" i="113" a="1"/>
  <c r="AO43" i="113" s="1"/>
  <c r="AO22" i="113" a="1"/>
  <c r="AO22" i="113" s="1"/>
  <c r="AS22" i="113" s="1"/>
  <c r="AT22" i="113" s="1" a="1"/>
  <c r="AT22" i="113" s="1"/>
  <c r="AU103" i="113" a="1"/>
  <c r="AU103" i="113" s="1"/>
  <c r="AQ103" i="113"/>
  <c r="AO35" i="113" a="1"/>
  <c r="AO35" i="113" s="1"/>
  <c r="AK35" i="113"/>
  <c r="AM35" i="113" s="1"/>
  <c r="AK34" i="113"/>
  <c r="AM34" i="113" s="1"/>
  <c r="AJ35" i="113" a="1"/>
  <c r="AJ35" i="113" s="1"/>
  <c r="AN35" i="113" s="1" a="1"/>
  <c r="AN35" i="113" s="1"/>
  <c r="AJ23" i="113" a="1"/>
  <c r="AJ23" i="113" s="1"/>
  <c r="AN23" i="113" s="1" a="1"/>
  <c r="AN23" i="113" s="1"/>
  <c r="AS23" i="113"/>
  <c r="AT23" i="113" s="1" a="1"/>
  <c r="AT23" i="113" s="1"/>
  <c r="AR23" i="113"/>
  <c r="AS24" i="113"/>
  <c r="AT24" i="113" s="1" a="1"/>
  <c r="AT24" i="113" s="1"/>
  <c r="AJ18" i="113" a="1"/>
  <c r="AJ18" i="113" s="1"/>
  <c r="AN18" i="113" s="1" a="1"/>
  <c r="AN18" i="113" s="1"/>
  <c r="AM18" i="113"/>
  <c r="AO19" i="113" a="1"/>
  <c r="AO19" i="113" s="1"/>
  <c r="AO32" i="113" a="1"/>
  <c r="AO32" i="113" s="1"/>
  <c r="AO46" i="113" a="1"/>
  <c r="AO46" i="113" s="1"/>
  <c r="AR46" i="113" s="1"/>
  <c r="AP103" i="113" a="1"/>
  <c r="AP103" i="113" s="1"/>
  <c r="AK71" i="113"/>
  <c r="AM71" i="113" s="1"/>
  <c r="AJ71" i="113" a="1"/>
  <c r="AJ71" i="113" s="1"/>
  <c r="AN71" i="113" s="1" a="1"/>
  <c r="AN71" i="113" s="1"/>
  <c r="AS71" i="113"/>
  <c r="AT71" i="113" s="1" a="1"/>
  <c r="AT71" i="113" s="1"/>
  <c r="AR76" i="113"/>
  <c r="AR78" i="113"/>
  <c r="AK78" i="113"/>
  <c r="AM78" i="113" s="1"/>
  <c r="AJ78" i="113" a="1"/>
  <c r="AJ78" i="113" s="1"/>
  <c r="AN78" i="113" s="1" a="1"/>
  <c r="AN78" i="113" s="1"/>
  <c r="AJ148" i="113" a="1"/>
  <c r="AJ148" i="113" s="1"/>
  <c r="AN148" i="113" s="1" a="1"/>
  <c r="AN148" i="113" s="1"/>
  <c r="AJ47" i="113" a="1"/>
  <c r="AJ47" i="113" s="1"/>
  <c r="AN47" i="113" s="1" a="1"/>
  <c r="AN47" i="113" s="1"/>
  <c r="AO47" i="113" a="1"/>
  <c r="AO47" i="113" s="1"/>
  <c r="AO61" i="113" a="1"/>
  <c r="AO61" i="113" s="1"/>
  <c r="AK61" i="113"/>
  <c r="AM61" i="113" s="1"/>
  <c r="AU113" i="113" a="1"/>
  <c r="AU113" i="113" s="1"/>
  <c r="AP113" i="113" a="1"/>
  <c r="AP113" i="113" s="1"/>
  <c r="AP146" i="113" a="1"/>
  <c r="AP146" i="113" s="1"/>
  <c r="AQ146" i="113"/>
  <c r="AU146" i="113" a="1"/>
  <c r="AU146" i="113" s="1"/>
  <c r="AR146" i="113"/>
  <c r="AO45" i="113" a="1"/>
  <c r="AO45" i="113" s="1"/>
  <c r="AS45" i="113" s="1"/>
  <c r="AT45" i="113" s="1" a="1"/>
  <c r="AT45" i="113" s="1"/>
  <c r="AK47" i="113"/>
  <c r="AM47" i="113" s="1"/>
  <c r="AU127" i="113" a="1"/>
  <c r="AU127" i="113" s="1"/>
  <c r="AX127" i="113" s="1"/>
  <c r="AQ127" i="113"/>
  <c r="AP127" i="113" a="1"/>
  <c r="AP127" i="113" s="1"/>
  <c r="AS54" i="113"/>
  <c r="AT54" i="113" s="1" a="1"/>
  <c r="AT54" i="113" s="1"/>
  <c r="AJ72" i="113" a="1"/>
  <c r="AJ72" i="113" s="1"/>
  <c r="AN72" i="113" s="1" a="1"/>
  <c r="AN72" i="113" s="1"/>
  <c r="AS72" i="113"/>
  <c r="AT72" i="113" s="1" a="1"/>
  <c r="AT72" i="113" s="1"/>
  <c r="AK27" i="113"/>
  <c r="AM27" i="113" s="1"/>
  <c r="AJ54" i="113" a="1"/>
  <c r="AJ54" i="113" s="1"/>
  <c r="AN54" i="113" s="1" a="1"/>
  <c r="AN54" i="113" s="1"/>
  <c r="AO91" i="113" a="1"/>
  <c r="AO91" i="113" s="1"/>
  <c r="AK91" i="113"/>
  <c r="AM91" i="113" s="1"/>
  <c r="AJ91" i="113" a="1"/>
  <c r="AJ91" i="113" s="1"/>
  <c r="AN91" i="113" s="1" a="1"/>
  <c r="AN91" i="113" s="1"/>
  <c r="AK52" i="113"/>
  <c r="AM52" i="113" s="1"/>
  <c r="AO52" i="113" a="1"/>
  <c r="AO52" i="113" s="1"/>
  <c r="AO20" i="113" a="1"/>
  <c r="AO20" i="113" s="1"/>
  <c r="AK20" i="113"/>
  <c r="AM20" i="113" s="1"/>
  <c r="AJ27" i="113" a="1"/>
  <c r="AJ27" i="113" s="1"/>
  <c r="AN27" i="113" s="1" a="1"/>
  <c r="AN27" i="113" s="1"/>
  <c r="AJ51" i="113" a="1"/>
  <c r="AJ51" i="113" s="1"/>
  <c r="AN51" i="113" s="1" a="1"/>
  <c r="AN51" i="113" s="1"/>
  <c r="AP64" i="113" a="1"/>
  <c r="AP64" i="113" s="1"/>
  <c r="AJ68" i="113" a="1"/>
  <c r="AJ68" i="113" s="1"/>
  <c r="AN68" i="113" s="1" a="1"/>
  <c r="AN68" i="113" s="1"/>
  <c r="AK72" i="113"/>
  <c r="AM72" i="113" s="1"/>
  <c r="AO153" i="113" a="1"/>
  <c r="AO153" i="113" s="1"/>
  <c r="AR153" i="113" s="1"/>
  <c r="AJ153" i="113" a="1"/>
  <c r="AJ153" i="113" s="1"/>
  <c r="AN153" i="113" s="1" a="1"/>
  <c r="AN153" i="113" s="1"/>
  <c r="AK153" i="113"/>
  <c r="AM153" i="113" s="1"/>
  <c r="AK50" i="113"/>
  <c r="AM50" i="113" s="1"/>
  <c r="AR57" i="113"/>
  <c r="AJ111" i="113" a="1"/>
  <c r="AJ111" i="113" s="1"/>
  <c r="AN111" i="113" s="1" a="1"/>
  <c r="AN111" i="113" s="1"/>
  <c r="AO111" i="113" a="1"/>
  <c r="AO111" i="113" s="1"/>
  <c r="AQ115" i="113"/>
  <c r="AU115" i="113" a="1"/>
  <c r="AU115" i="113" s="1"/>
  <c r="AX115" i="113" s="1"/>
  <c r="AK99" i="113"/>
  <c r="AM99" i="113" s="1"/>
  <c r="AO99" i="113" a="1"/>
  <c r="AO99" i="113" s="1"/>
  <c r="AJ99" i="113" a="1"/>
  <c r="AJ99" i="113" s="1"/>
  <c r="AN99" i="113" s="1" a="1"/>
  <c r="AN99" i="113" s="1"/>
  <c r="AO112" i="113" a="1"/>
  <c r="AO112" i="113" s="1"/>
  <c r="AS112" i="113" s="1"/>
  <c r="AT112" i="113" s="1" a="1"/>
  <c r="AT112" i="113" s="1"/>
  <c r="AK112" i="113"/>
  <c r="AM112" i="113" s="1"/>
  <c r="AJ112" i="113" a="1"/>
  <c r="AJ112" i="113" s="1"/>
  <c r="AN112" i="113" s="1" a="1"/>
  <c r="AN112" i="113" s="1"/>
  <c r="AP115" i="113" a="1"/>
  <c r="AP115" i="113" s="1"/>
  <c r="AK164" i="113"/>
  <c r="AM164" i="113" s="1"/>
  <c r="AJ164" i="113" a="1"/>
  <c r="AJ164" i="113" s="1"/>
  <c r="AN164" i="113" s="1" a="1"/>
  <c r="AN164" i="113" s="1"/>
  <c r="AO164" i="113" a="1"/>
  <c r="AO164" i="113" s="1"/>
  <c r="AQ57" i="113"/>
  <c r="AP63" i="113" a="1"/>
  <c r="AP63" i="113" s="1"/>
  <c r="AQ63" i="113"/>
  <c r="AK111" i="113"/>
  <c r="AM111" i="113" s="1"/>
  <c r="AR115" i="113"/>
  <c r="AK149" i="113"/>
  <c r="AM149" i="113" s="1"/>
  <c r="AO149" i="113" a="1"/>
  <c r="AO149" i="113" s="1"/>
  <c r="AS149" i="113" s="1"/>
  <c r="AT149" i="113" s="1" a="1"/>
  <c r="AT149" i="113" s="1"/>
  <c r="AJ149" i="113" a="1"/>
  <c r="AJ149" i="113" s="1"/>
  <c r="AN149" i="113" s="1" a="1"/>
  <c r="AN149" i="113" s="1"/>
  <c r="AO92" i="113" a="1"/>
  <c r="AO92" i="113" s="1"/>
  <c r="AS92" i="113" s="1"/>
  <c r="AT92" i="113" s="1" a="1"/>
  <c r="AT92" i="113" s="1"/>
  <c r="AK92" i="113"/>
  <c r="AM92" i="113" s="1"/>
  <c r="AJ92" i="113" a="1"/>
  <c r="AJ92" i="113" s="1"/>
  <c r="AN92" i="113" s="1" a="1"/>
  <c r="AN92" i="113" s="1"/>
  <c r="AO108" i="113" a="1"/>
  <c r="AO108" i="113" s="1"/>
  <c r="AS108" i="113" s="1"/>
  <c r="AT108" i="113" s="1" a="1"/>
  <c r="AT108" i="113" s="1"/>
  <c r="AJ108" i="113" a="1"/>
  <c r="AJ108" i="113" s="1"/>
  <c r="AN108" i="113" s="1" a="1"/>
  <c r="AN108" i="113" s="1"/>
  <c r="AM108" i="113"/>
  <c r="AK148" i="113"/>
  <c r="AM148" i="113" s="1"/>
  <c r="AO148" i="113" a="1"/>
  <c r="AO148" i="113" s="1"/>
  <c r="AR148" i="113" s="1"/>
  <c r="AP166" i="113" a="1"/>
  <c r="AP166" i="113" s="1"/>
  <c r="AQ166" i="113"/>
  <c r="AU166" i="113" a="1"/>
  <c r="AU166" i="113" s="1"/>
  <c r="AS166" i="113"/>
  <c r="AT166" i="113" s="1" a="1"/>
  <c r="AT166" i="113" s="1"/>
  <c r="AK84" i="113"/>
  <c r="AM84" i="113" s="1"/>
  <c r="AO84" i="113" a="1"/>
  <c r="AO84" i="113" s="1"/>
  <c r="AK89" i="113"/>
  <c r="AM89" i="113" s="1"/>
  <c r="AK66" i="113"/>
  <c r="AM66" i="113" s="1"/>
  <c r="AO66" i="113" a="1"/>
  <c r="AO66" i="113" s="1"/>
  <c r="AJ82" i="113" a="1"/>
  <c r="AJ82" i="113" s="1"/>
  <c r="AN82" i="113" s="1" a="1"/>
  <c r="AN82" i="113" s="1"/>
  <c r="AJ84" i="113" a="1"/>
  <c r="AJ84" i="113" s="1"/>
  <c r="AN84" i="113" s="1" a="1"/>
  <c r="AN84" i="113" s="1"/>
  <c r="AK86" i="113"/>
  <c r="AM86" i="113" s="1"/>
  <c r="AO86" i="113" a="1"/>
  <c r="AO86" i="113" s="1"/>
  <c r="AS86" i="113" s="1"/>
  <c r="AT86" i="113" s="1" a="1"/>
  <c r="AT86" i="113" s="1"/>
  <c r="AK85" i="113"/>
  <c r="AM85" i="113" s="1"/>
  <c r="AJ134" i="113" a="1"/>
  <c r="AJ134" i="113" s="1"/>
  <c r="AN134" i="113" s="1" a="1"/>
  <c r="AN134" i="113" s="1"/>
  <c r="AR134" i="113"/>
  <c r="AP106" i="113" a="1"/>
  <c r="AP106" i="113" s="1"/>
  <c r="AO118" i="113" a="1"/>
  <c r="AO118" i="113" s="1"/>
  <c r="AN118" i="113" a="1"/>
  <c r="AN118" i="113" s="1"/>
  <c r="AK118" i="113"/>
  <c r="AM118" i="113" s="1"/>
  <c r="AK127" i="113"/>
  <c r="AM127" i="113" s="1"/>
  <c r="AS127" i="113"/>
  <c r="AT127" i="113" s="1" a="1"/>
  <c r="AT127" i="113" s="1"/>
  <c r="AR127" i="113"/>
  <c r="AJ127" i="113" a="1"/>
  <c r="AJ127" i="113" s="1"/>
  <c r="AN127" i="113" s="1" a="1"/>
  <c r="AN127" i="113" s="1"/>
  <c r="AK63" i="113"/>
  <c r="AM63" i="113" s="1"/>
  <c r="AJ102" i="113" a="1"/>
  <c r="AJ102" i="113" s="1"/>
  <c r="AN102" i="113" s="1" a="1"/>
  <c r="AN102" i="113" s="1"/>
  <c r="AJ119" i="113" a="1"/>
  <c r="AJ119" i="113" s="1"/>
  <c r="AN119" i="113" s="1" a="1"/>
  <c r="AN119" i="113" s="1"/>
  <c r="AK119" i="113"/>
  <c r="AM119" i="113" s="1"/>
  <c r="AO119" i="113" a="1"/>
  <c r="AO119" i="113" s="1"/>
  <c r="AS119" i="113" s="1"/>
  <c r="AT119" i="113" s="1" a="1"/>
  <c r="AT119" i="113" s="1"/>
  <c r="AO128" i="113" a="1"/>
  <c r="AO128" i="113" s="1"/>
  <c r="AR128" i="113" s="1"/>
  <c r="AN128" i="113" a="1"/>
  <c r="AN128" i="113" s="1"/>
  <c r="AJ64" i="113" a="1"/>
  <c r="AJ64" i="113" s="1"/>
  <c r="AN64" i="113" s="1" a="1"/>
  <c r="AN64" i="113" s="1"/>
  <c r="AO105" i="113" a="1"/>
  <c r="AO105" i="113" s="1"/>
  <c r="AK105" i="113"/>
  <c r="AM105" i="113" s="1"/>
  <c r="AJ105" i="113" a="1"/>
  <c r="AJ105" i="113" s="1"/>
  <c r="AN105" i="113" s="1" a="1"/>
  <c r="AN105" i="113" s="1"/>
  <c r="AJ89" i="113" a="1"/>
  <c r="AJ89" i="113" s="1"/>
  <c r="AN89" i="113" s="1" a="1"/>
  <c r="AN89" i="113" s="1"/>
  <c r="AO89" i="113" a="1"/>
  <c r="AO89" i="113" s="1"/>
  <c r="AO188" i="113" a="1"/>
  <c r="AO188" i="113" s="1"/>
  <c r="AK188" i="113"/>
  <c r="AM188" i="113" s="1"/>
  <c r="AJ188" i="113" a="1"/>
  <c r="AJ188" i="113" s="1"/>
  <c r="AN188" i="113" s="1" a="1"/>
  <c r="AN188" i="113" s="1"/>
  <c r="AO65" i="113" a="1"/>
  <c r="AO65" i="113" s="1"/>
  <c r="AS65" i="113" s="1"/>
  <c r="AT65" i="113" s="1" a="1"/>
  <c r="AT65" i="113" s="1"/>
  <c r="AK87" i="113"/>
  <c r="AM87" i="113" s="1"/>
  <c r="AO87" i="113" a="1"/>
  <c r="AO87" i="113" s="1"/>
  <c r="AS87" i="113" s="1"/>
  <c r="AT87" i="113" s="1" a="1"/>
  <c r="AT87" i="113" s="1"/>
  <c r="AK151" i="113"/>
  <c r="AM151" i="113" s="1"/>
  <c r="AJ162" i="113" a="1"/>
  <c r="AJ162" i="113" s="1"/>
  <c r="AN162" i="113" s="1" a="1"/>
  <c r="AN162" i="113" s="1"/>
  <c r="AO162" i="113" a="1"/>
  <c r="AO162" i="113" s="1"/>
  <c r="AK162" i="113"/>
  <c r="AM162" i="113" s="1"/>
  <c r="AJ169" i="113" a="1"/>
  <c r="AJ169" i="113" s="1"/>
  <c r="AN169" i="113" s="1" a="1"/>
  <c r="AN169" i="113" s="1"/>
  <c r="AO169" i="113" a="1"/>
  <c r="AO169" i="113" s="1"/>
  <c r="AR169" i="113" s="1"/>
  <c r="AM169" i="113"/>
  <c r="AJ146" i="113" a="1"/>
  <c r="AJ146" i="113" s="1"/>
  <c r="AN146" i="113" s="1" a="1"/>
  <c r="AN146" i="113" s="1"/>
  <c r="AS146" i="113"/>
  <c r="AT146" i="113" s="1" a="1"/>
  <c r="AT146" i="113" s="1"/>
  <c r="AK146" i="113"/>
  <c r="AM146" i="113" s="1"/>
  <c r="AJ67" i="113" a="1"/>
  <c r="AJ67" i="113" s="1"/>
  <c r="AN67" i="113" s="1" a="1"/>
  <c r="AN67" i="113" s="1"/>
  <c r="AO117" i="113" a="1"/>
  <c r="AO117" i="113" s="1"/>
  <c r="AR117" i="113" s="1"/>
  <c r="AM117" i="113"/>
  <c r="AO131" i="113" a="1"/>
  <c r="AO131" i="113" s="1"/>
  <c r="AO151" i="113" a="1"/>
  <c r="AO151" i="113" s="1"/>
  <c r="AJ151" i="113" a="1"/>
  <c r="AJ151" i="113" s="1"/>
  <c r="AN151" i="113" s="1" a="1"/>
  <c r="AN151" i="113" s="1"/>
  <c r="AJ131" i="113" a="1"/>
  <c r="AJ131" i="113" s="1"/>
  <c r="AN131" i="113" s="1" a="1"/>
  <c r="AN131" i="113" s="1"/>
  <c r="AJ115" i="113" a="1"/>
  <c r="AJ115" i="113" s="1"/>
  <c r="AN115" i="113" s="1" a="1"/>
  <c r="AN115" i="113" s="1"/>
  <c r="AN142" i="113" a="1"/>
  <c r="AN142" i="113" s="1"/>
  <c r="AO142" i="113" a="1"/>
  <c r="AO142" i="113" s="1"/>
  <c r="AQ165" i="113"/>
  <c r="AM126" i="113"/>
  <c r="AO159" i="113" a="1"/>
  <c r="AO159" i="113" s="1"/>
  <c r="AS159" i="113" s="1"/>
  <c r="AT159" i="113" s="1" a="1"/>
  <c r="AT159" i="113" s="1"/>
  <c r="AK159" i="113"/>
  <c r="AM159" i="113" s="1"/>
  <c r="AK163" i="113"/>
  <c r="AM163" i="113" s="1"/>
  <c r="AK115" i="113"/>
  <c r="AM115" i="113" s="1"/>
  <c r="AJ126" i="113" a="1"/>
  <c r="AJ126" i="113" s="1"/>
  <c r="AN126" i="113" s="1" a="1"/>
  <c r="AN126" i="113" s="1"/>
  <c r="AJ129" i="113" a="1"/>
  <c r="AJ129" i="113" s="1"/>
  <c r="AN129" i="113" s="1" a="1"/>
  <c r="AN129" i="113" s="1"/>
  <c r="AO129" i="113" a="1"/>
  <c r="AO129" i="113" s="1"/>
  <c r="AK129" i="113"/>
  <c r="AM129" i="113" s="1"/>
  <c r="AJ184" i="113" a="1"/>
  <c r="AJ184" i="113" s="1"/>
  <c r="AN184" i="113" s="1" a="1"/>
  <c r="AN184" i="113" s="1"/>
  <c r="AO184" i="113" a="1"/>
  <c r="AO184" i="113" s="1"/>
  <c r="AK184" i="113"/>
  <c r="AM184" i="113" s="1"/>
  <c r="AR113" i="113"/>
  <c r="AK113" i="113"/>
  <c r="AM113" i="113" s="1"/>
  <c r="AJ121" i="113" a="1"/>
  <c r="AJ121" i="113" s="1"/>
  <c r="AN121" i="113" s="1" a="1"/>
  <c r="AN121" i="113" s="1"/>
  <c r="AJ101" i="113" a="1"/>
  <c r="AJ101" i="113" s="1"/>
  <c r="AN101" i="113" s="1" a="1"/>
  <c r="AN101" i="113" s="1"/>
  <c r="AJ113" i="113" a="1"/>
  <c r="AJ113" i="113" s="1"/>
  <c r="AN113" i="113" s="1" a="1"/>
  <c r="AN113" i="113" s="1"/>
  <c r="AJ165" i="113" a="1"/>
  <c r="AJ165" i="113" s="1"/>
  <c r="AN165" i="113" s="1" a="1"/>
  <c r="AN165" i="113" s="1"/>
  <c r="AS165" i="113"/>
  <c r="AT165" i="113" s="1" a="1"/>
  <c r="AT165" i="113" s="1"/>
  <c r="AK165" i="113"/>
  <c r="AM165" i="113" s="1"/>
  <c r="AK174" i="113"/>
  <c r="AM174" i="113" s="1"/>
  <c r="AK121" i="113"/>
  <c r="AM121" i="113" s="1"/>
  <c r="AJ150" i="113" a="1"/>
  <c r="AJ150" i="113" s="1"/>
  <c r="AN150" i="113" s="1" a="1"/>
  <c r="AN150" i="113" s="1"/>
  <c r="AO150" i="113" a="1"/>
  <c r="AO150" i="113" s="1"/>
  <c r="AK155" i="113"/>
  <c r="AM155" i="113" s="1"/>
  <c r="AO155" i="113" a="1"/>
  <c r="AO155" i="113" s="1"/>
  <c r="AJ155" i="113" a="1"/>
  <c r="AJ155" i="113" s="1"/>
  <c r="AN155" i="113" s="1" a="1"/>
  <c r="AN155" i="113" s="1"/>
  <c r="AQ158" i="113"/>
  <c r="AS158" i="113"/>
  <c r="AT158" i="113" s="1" a="1"/>
  <c r="AT158" i="113" s="1"/>
  <c r="AP158" i="113" a="1"/>
  <c r="AP158" i="113" s="1"/>
  <c r="AJ97" i="113" a="1"/>
  <c r="AJ97" i="113" s="1"/>
  <c r="AN97" i="113" s="1" a="1"/>
  <c r="AN97" i="113" s="1"/>
  <c r="AO97" i="113" a="1"/>
  <c r="AO97" i="113" s="1"/>
  <c r="AR97" i="113" s="1"/>
  <c r="AJ114" i="113" a="1"/>
  <c r="AJ114" i="113" s="1"/>
  <c r="AN114" i="113" s="1" a="1"/>
  <c r="AN114" i="113" s="1"/>
  <c r="AO147" i="113" a="1"/>
  <c r="AO147" i="113" s="1"/>
  <c r="AR147" i="113" s="1"/>
  <c r="AK147" i="113"/>
  <c r="AM147" i="113" s="1"/>
  <c r="AJ147" i="113" a="1"/>
  <c r="AJ147" i="113" s="1"/>
  <c r="AN147" i="113" s="1" a="1"/>
  <c r="AN147" i="113" s="1"/>
  <c r="AK150" i="113"/>
  <c r="AM150" i="113" s="1"/>
  <c r="AU158" i="113" a="1"/>
  <c r="AU158" i="113" s="1"/>
  <c r="AO178" i="113" a="1"/>
  <c r="AO178" i="113" s="1"/>
  <c r="AK178" i="113"/>
  <c r="AM178" i="113" s="1"/>
  <c r="AK107" i="113"/>
  <c r="AM107" i="113" s="1"/>
  <c r="AK123" i="113"/>
  <c r="AM123" i="113" s="1"/>
  <c r="AO123" i="113" a="1"/>
  <c r="AO123" i="113" s="1"/>
  <c r="AO124" i="113" a="1"/>
  <c r="AO124" i="113" s="1"/>
  <c r="AK124" i="113"/>
  <c r="AM124" i="113" s="1"/>
  <c r="AK152" i="113"/>
  <c r="AM152" i="113" s="1"/>
  <c r="AJ178" i="113" a="1"/>
  <c r="AJ178" i="113" s="1"/>
  <c r="AN178" i="113" s="1" a="1"/>
  <c r="AN178" i="113" s="1"/>
  <c r="AJ179" i="113" a="1"/>
  <c r="AJ179" i="113" s="1"/>
  <c r="AN179" i="113" s="1" a="1"/>
  <c r="AN179" i="113" s="1"/>
  <c r="AO179" i="113" a="1"/>
  <c r="AO179" i="113" s="1"/>
  <c r="AK179" i="113"/>
  <c r="AM179" i="113" s="1"/>
  <c r="AJ203" i="113" a="1"/>
  <c r="AJ203" i="113" s="1"/>
  <c r="AN203" i="113" s="1" a="1"/>
  <c r="AN203" i="113" s="1"/>
  <c r="AO203" i="113" a="1"/>
  <c r="AO203" i="113" s="1"/>
  <c r="AR203" i="113" s="1"/>
  <c r="AK203" i="113"/>
  <c r="AM203" i="113" s="1"/>
  <c r="AS115" i="113"/>
  <c r="AT115" i="113" s="1" a="1"/>
  <c r="AT115" i="113" s="1"/>
  <c r="AJ125" i="113" a="1"/>
  <c r="AJ125" i="113" s="1"/>
  <c r="AN125" i="113" s="1" a="1"/>
  <c r="AN125" i="113" s="1"/>
  <c r="AP165" i="113" a="1"/>
  <c r="AP165" i="113" s="1"/>
  <c r="AQ191" i="113"/>
  <c r="AP191" i="113" a="1"/>
  <c r="AP191" i="113" s="1"/>
  <c r="AU191" i="113" a="1"/>
  <c r="AU191" i="113" s="1"/>
  <c r="AK141" i="113"/>
  <c r="AM141" i="113" s="1"/>
  <c r="AS106" i="113"/>
  <c r="AT106" i="113" s="1" a="1"/>
  <c r="AT106" i="113" s="1"/>
  <c r="AO145" i="113" a="1"/>
  <c r="AO145" i="113" s="1"/>
  <c r="AR145" i="113" s="1"/>
  <c r="AQ160" i="113"/>
  <c r="AJ173" i="113" a="1"/>
  <c r="AJ173" i="113" s="1"/>
  <c r="AN173" i="113" s="1" a="1"/>
  <c r="AN173" i="113" s="1"/>
  <c r="AK173" i="113"/>
  <c r="AM173" i="113" s="1"/>
  <c r="AM145" i="113"/>
  <c r="AP160" i="113" a="1"/>
  <c r="AP160" i="113" s="1"/>
  <c r="AR160" i="113"/>
  <c r="AS160" i="113"/>
  <c r="AT160" i="113" s="1" a="1"/>
  <c r="AT160" i="113" s="1"/>
  <c r="AO173" i="113" a="1"/>
  <c r="AO173" i="113" s="1"/>
  <c r="AS173" i="113" s="1"/>
  <c r="AT173" i="113" s="1" a="1"/>
  <c r="AT173" i="113" s="1"/>
  <c r="AJ170" i="113" a="1"/>
  <c r="AJ170" i="113" s="1"/>
  <c r="AN170" i="113" s="1" a="1"/>
  <c r="AN170" i="113" s="1"/>
  <c r="AO170" i="113" a="1"/>
  <c r="AO170" i="113" s="1"/>
  <c r="AK170" i="113"/>
  <c r="AM170" i="113" s="1"/>
  <c r="AU160" i="113" a="1"/>
  <c r="AU160" i="113" s="1"/>
  <c r="AK216" i="113"/>
  <c r="AM216" i="113" s="1"/>
  <c r="AO216" i="113" a="1"/>
  <c r="AO216" i="113" s="1"/>
  <c r="AR216" i="113" s="1"/>
  <c r="AJ216" i="113" a="1"/>
  <c r="AJ216" i="113" s="1"/>
  <c r="AN216" i="113" s="1" a="1"/>
  <c r="AN216" i="113" s="1"/>
  <c r="AO132" i="113" a="1"/>
  <c r="AO132" i="113" s="1"/>
  <c r="AS191" i="113"/>
  <c r="AT191" i="113" s="1" a="1"/>
  <c r="AT191" i="113" s="1"/>
  <c r="AR191" i="113"/>
  <c r="AK191" i="113"/>
  <c r="AM191" i="113" s="1"/>
  <c r="AJ191" i="113" a="1"/>
  <c r="AJ191" i="113" s="1"/>
  <c r="AN191" i="113" s="1" a="1"/>
  <c r="AN191" i="113" s="1"/>
  <c r="AO172" i="113" a="1"/>
  <c r="AO172" i="113" s="1"/>
  <c r="AR172" i="113" s="1"/>
  <c r="AN143" i="113" a="1"/>
  <c r="AN143" i="113" s="1"/>
  <c r="AO154" i="113" a="1"/>
  <c r="AO154" i="113" s="1"/>
  <c r="AO168" i="113" a="1"/>
  <c r="AO168" i="113" s="1"/>
  <c r="AR168" i="113" s="1"/>
  <c r="AN168" i="113" a="1"/>
  <c r="AN168" i="113" s="1"/>
  <c r="AJ177" i="113" a="1"/>
  <c r="AJ177" i="113" s="1"/>
  <c r="AN177" i="113" s="1" a="1"/>
  <c r="AN177" i="113" s="1"/>
  <c r="AK177" i="113"/>
  <c r="AM177" i="113" s="1"/>
  <c r="AO176" i="113" a="1"/>
  <c r="AO176" i="113" s="1"/>
  <c r="AR176" i="113" s="1"/>
  <c r="AU189" i="113" a="1"/>
  <c r="AU189" i="113" s="1"/>
  <c r="AR189" i="113"/>
  <c r="AP189" i="113" a="1"/>
  <c r="AP189" i="113" s="1"/>
  <c r="AJ176" i="113" a="1"/>
  <c r="AJ176" i="113" s="1"/>
  <c r="AN176" i="113" s="1" a="1"/>
  <c r="AN176" i="113" s="1"/>
  <c r="AJ185" i="113" a="1"/>
  <c r="AJ185" i="113" s="1"/>
  <c r="AN185" i="113" s="1" a="1"/>
  <c r="AN185" i="113" s="1"/>
  <c r="AO185" i="113" a="1"/>
  <c r="AO185" i="113" s="1"/>
  <c r="AR185" i="113" s="1"/>
  <c r="AK185" i="113"/>
  <c r="AM185" i="113" s="1"/>
  <c r="AR158" i="113"/>
  <c r="AO192" i="113" a="1"/>
  <c r="AO192" i="113" s="1"/>
  <c r="AN192" i="113" a="1"/>
  <c r="AN192" i="113" s="1"/>
  <c r="AQ182" i="113"/>
  <c r="AP182" i="113" a="1"/>
  <c r="AP182" i="113" s="1"/>
  <c r="AO198" i="113" a="1"/>
  <c r="AO198" i="113" s="1"/>
  <c r="AS198" i="113" s="1"/>
  <c r="AT198" i="113" s="1" a="1"/>
  <c r="AT198" i="113" s="1"/>
  <c r="AJ198" i="113" a="1"/>
  <c r="AJ198" i="113" s="1"/>
  <c r="AN198" i="113" s="1" a="1"/>
  <c r="AN198" i="113" s="1"/>
  <c r="AM198" i="113"/>
  <c r="AO201" i="113" a="1"/>
  <c r="AO201" i="113" s="1"/>
  <c r="AS201" i="113" s="1"/>
  <c r="AT201" i="113" s="1" a="1"/>
  <c r="AT201" i="113" s="1"/>
  <c r="AM201" i="113"/>
  <c r="AJ201" i="113" a="1"/>
  <c r="AJ201" i="113" s="1"/>
  <c r="AN201" i="113" s="1" a="1"/>
  <c r="AN201" i="113" s="1"/>
  <c r="AR215" i="113"/>
  <c r="AO194" i="113" a="1"/>
  <c r="AO194" i="113" s="1"/>
  <c r="AS194" i="113" s="1"/>
  <c r="AT194" i="113" s="1" a="1"/>
  <c r="AT194" i="113" s="1"/>
  <c r="AK194" i="113"/>
  <c r="AM194" i="113" s="1"/>
  <c r="AK200" i="113"/>
  <c r="AM200" i="113" s="1"/>
  <c r="AO200" i="113" a="1"/>
  <c r="AO200" i="113" s="1"/>
  <c r="AR200" i="113" s="1"/>
  <c r="AJ200" i="113" a="1"/>
  <c r="AJ200" i="113" s="1"/>
  <c r="AN200" i="113" s="1" a="1"/>
  <c r="AN200" i="113" s="1"/>
  <c r="AJ194" i="113" a="1"/>
  <c r="AJ194" i="113" s="1"/>
  <c r="AN194" i="113" s="1" a="1"/>
  <c r="AN194" i="113" s="1"/>
  <c r="AO207" i="113" a="1"/>
  <c r="AO207" i="113" s="1"/>
  <c r="AK207" i="113"/>
  <c r="AM207" i="113" s="1"/>
  <c r="AJ214" i="113" a="1"/>
  <c r="AJ214" i="113" s="1"/>
  <c r="AN214" i="113" s="1" a="1"/>
  <c r="AN214" i="113" s="1"/>
  <c r="AS214" i="113"/>
  <c r="AT214" i="113" s="1" a="1"/>
  <c r="AT214" i="113" s="1"/>
  <c r="AR214" i="113"/>
  <c r="AM187" i="113"/>
  <c r="AK212" i="113"/>
  <c r="AM212" i="113" s="1"/>
  <c r="AO212" i="113" a="1"/>
  <c r="AO212" i="113" s="1"/>
  <c r="AR212" i="113" s="1"/>
  <c r="AJ212" i="113" a="1"/>
  <c r="AJ212" i="113" s="1"/>
  <c r="AN212" i="113" s="1" a="1"/>
  <c r="AN212" i="113" s="1"/>
  <c r="AK183" i="113"/>
  <c r="AM183" i="113" s="1"/>
  <c r="AJ183" i="113" a="1"/>
  <c r="AJ183" i="113" s="1"/>
  <c r="AN183" i="113" s="1" a="1"/>
  <c r="AN183" i="113" s="1"/>
  <c r="AO204" i="113" a="1"/>
  <c r="AO204" i="113" s="1"/>
  <c r="AM202" i="113"/>
  <c r="AK210" i="113"/>
  <c r="AM210" i="113" s="1"/>
  <c r="AO217" i="113" a="1"/>
  <c r="AO217" i="113" s="1"/>
  <c r="AR217" i="113" s="1"/>
  <c r="AM217" i="113"/>
  <c r="AM171" i="113"/>
  <c r="AJ202" i="113" a="1"/>
  <c r="AJ202" i="113" s="1"/>
  <c r="AN202" i="113" s="1" a="1"/>
  <c r="AN202" i="113" s="1"/>
  <c r="AJ210" i="113" a="1"/>
  <c r="AJ210" i="113" s="1"/>
  <c r="AN210" i="113" s="1" a="1"/>
  <c r="AN210" i="113" s="1"/>
  <c r="AK213" i="113"/>
  <c r="AM213" i="113" s="1"/>
  <c r="AO213" i="113" a="1"/>
  <c r="AO213" i="113" s="1"/>
  <c r="AS213" i="113" s="1"/>
  <c r="AT213" i="113" s="1" a="1"/>
  <c r="AT213" i="113" s="1"/>
  <c r="AJ217" i="113" a="1"/>
  <c r="AJ217" i="113" s="1"/>
  <c r="AN217" i="113" s="1" a="1"/>
  <c r="AN217" i="113" s="1"/>
  <c r="AN224" i="113" a="1"/>
  <c r="AN224" i="113" s="1"/>
  <c r="AO224" i="113" a="1"/>
  <c r="AO224" i="113" s="1"/>
  <c r="AS224" i="113" s="1"/>
  <c r="AT224" i="113" s="1" a="1"/>
  <c r="AT224" i="113" s="1"/>
  <c r="AK224" i="113"/>
  <c r="AM224" i="113" s="1"/>
  <c r="AJ215" i="113" a="1"/>
  <c r="AJ215" i="113" s="1"/>
  <c r="AN215" i="113" s="1" a="1"/>
  <c r="AN215" i="113" s="1"/>
  <c r="AS215" i="113"/>
  <c r="AT215" i="113" s="1" a="1"/>
  <c r="AT215" i="113" s="1"/>
  <c r="AK215" i="113"/>
  <c r="AM215" i="113" s="1"/>
  <c r="AO210" i="113" a="1"/>
  <c r="AO210" i="113" s="1"/>
  <c r="AS210" i="113" s="1"/>
  <c r="AT210" i="113" s="1" a="1"/>
  <c r="AT210" i="113" s="1"/>
  <c r="AO202" i="113" a="1"/>
  <c r="AO202" i="113" s="1"/>
  <c r="AR202" i="113" s="1"/>
  <c r="AJ219" i="113" a="1"/>
  <c r="AJ219" i="113" s="1"/>
  <c r="AN219" i="113" s="1" a="1"/>
  <c r="AN219" i="113" s="1"/>
  <c r="AO219" i="113" a="1"/>
  <c r="AO219" i="113" s="1"/>
  <c r="AR219" i="113" s="1"/>
  <c r="AS182" i="113"/>
  <c r="AT182" i="113" s="1" a="1"/>
  <c r="AT182" i="113" s="1"/>
  <c r="AK196" i="113"/>
  <c r="AM196" i="113" s="1"/>
  <c r="AK208" i="113"/>
  <c r="AM208" i="113" s="1"/>
  <c r="AJ208" i="113" a="1"/>
  <c r="AJ208" i="113" s="1"/>
  <c r="AN208" i="113" s="1" a="1"/>
  <c r="AN208" i="113" s="1"/>
  <c r="AQ233" i="113"/>
  <c r="AU233" i="113" a="1"/>
  <c r="AU233" i="113" s="1"/>
  <c r="AX233" i="113" s="1"/>
  <c r="AS233" i="113"/>
  <c r="AT233" i="113" s="1" a="1"/>
  <c r="AT233" i="113" s="1"/>
  <c r="AP233" i="113" a="1"/>
  <c r="AP233" i="113" s="1"/>
  <c r="AO222" i="113" a="1"/>
  <c r="AO222" i="113" s="1"/>
  <c r="AO223" i="113" a="1"/>
  <c r="AO223" i="113" s="1"/>
  <c r="AO218" i="113" a="1"/>
  <c r="AO218" i="113" s="1"/>
  <c r="AK218" i="113"/>
  <c r="AM218" i="113" s="1"/>
  <c r="AJ218" i="113" a="1"/>
  <c r="AJ218" i="113" s="1"/>
  <c r="AN218" i="113" s="1" a="1"/>
  <c r="AN218" i="113" s="1"/>
  <c r="AK222" i="113"/>
  <c r="AM222" i="113" s="1"/>
  <c r="AM223" i="113"/>
  <c r="AO190" i="113" a="1"/>
  <c r="AO190" i="113" s="1"/>
  <c r="AJ220" i="113" a="1"/>
  <c r="AJ220" i="113" s="1"/>
  <c r="AN220" i="113" s="1" a="1"/>
  <c r="AN220" i="113" s="1"/>
  <c r="AR233" i="113"/>
  <c r="AO221" i="113" a="1"/>
  <c r="AO221" i="113" s="1"/>
  <c r="AJ240" i="113" a="1"/>
  <c r="AJ240" i="113" s="1"/>
  <c r="AN240" i="113" s="1" a="1"/>
  <c r="AN240" i="113" s="1"/>
  <c r="AK240" i="113"/>
  <c r="AM240" i="113" s="1"/>
  <c r="AM211" i="113"/>
  <c r="AK235" i="113"/>
  <c r="AM235" i="113" s="1"/>
  <c r="AJ237" i="113" a="1"/>
  <c r="AJ237" i="113" s="1"/>
  <c r="AN237" i="113" s="1" a="1"/>
  <c r="AN237" i="113" s="1"/>
  <c r="AO240" i="113" a="1"/>
  <c r="AO240" i="113" s="1"/>
  <c r="AS240" i="113" s="1"/>
  <c r="AT240" i="113" s="1" a="1"/>
  <c r="AT240" i="113" s="1"/>
  <c r="AN63" i="93"/>
  <c r="AN29" i="93"/>
  <c r="AN72" i="93"/>
  <c r="AN32" i="93"/>
  <c r="AN10" i="93"/>
  <c r="AR142" i="27"/>
  <c r="AO130" i="27" a="1"/>
  <c r="AO130" i="27" s="1"/>
  <c r="AU130" i="27" s="1" a="1"/>
  <c r="AU130" i="27" s="1"/>
  <c r="AX130" i="27" s="1"/>
  <c r="AY130" i="27" s="1"/>
  <c r="AZ130" i="27" s="1" a="1"/>
  <c r="AZ130" i="27" s="1"/>
  <c r="AB222" i="92"/>
  <c r="AJ222" i="92"/>
  <c r="AJ177" i="92"/>
  <c r="AB177" i="92"/>
  <c r="AI77" i="92"/>
  <c r="AA77" i="92"/>
  <c r="AA17" i="92"/>
  <c r="AI17" i="92"/>
  <c r="AA196" i="92"/>
  <c r="AI196" i="92"/>
  <c r="AA156" i="92"/>
  <c r="AI156" i="92"/>
  <c r="AC216" i="92"/>
  <c r="AK216" i="92"/>
  <c r="AA195" i="92"/>
  <c r="AI195" i="92"/>
  <c r="AB234" i="92"/>
  <c r="AJ234" i="92"/>
  <c r="AA194" i="92"/>
  <c r="AI194" i="92"/>
  <c r="AF233" i="92"/>
  <c r="AN233" i="92"/>
  <c r="AL213" i="92"/>
  <c r="AD213" i="92"/>
  <c r="AA193" i="92"/>
  <c r="AI193" i="92"/>
  <c r="AF173" i="92"/>
  <c r="AN173" i="92"/>
  <c r="AE73" i="92"/>
  <c r="AM73" i="92"/>
  <c r="AF33" i="92"/>
  <c r="AN33" i="92"/>
  <c r="AO18" i="92"/>
  <c r="AM36" i="92"/>
  <c r="AI116" i="92"/>
  <c r="AF229" i="92"/>
  <c r="AF171" i="92"/>
  <c r="AD69" i="92"/>
  <c r="AC166" i="92"/>
  <c r="AB13" i="92"/>
  <c r="AP193" i="92"/>
  <c r="AM35" i="92"/>
  <c r="AI115" i="92"/>
  <c r="AG118" i="92"/>
  <c r="AF228" i="92"/>
  <c r="AD208" i="92"/>
  <c r="AD68" i="92"/>
  <c r="AA238" i="92"/>
  <c r="AK193" i="92"/>
  <c r="AN56" i="92"/>
  <c r="AJ98" i="92"/>
  <c r="AG221" i="92"/>
  <c r="AG117" i="92"/>
  <c r="AD97" i="92"/>
  <c r="AC112" i="92"/>
  <c r="AA237" i="92"/>
  <c r="AP91" i="92"/>
  <c r="AM69" i="92"/>
  <c r="AA233" i="92"/>
  <c r="AN55" i="92"/>
  <c r="AJ157" i="92"/>
  <c r="AD96" i="92"/>
  <c r="AP89" i="92"/>
  <c r="AP11" i="92"/>
  <c r="AM68" i="92"/>
  <c r="AJ156" i="92"/>
  <c r="AH165" i="92"/>
  <c r="AH36" i="92"/>
  <c r="AG216" i="92"/>
  <c r="AG115" i="92"/>
  <c r="AC18" i="92"/>
  <c r="AO112" i="92"/>
  <c r="AN192" i="92"/>
  <c r="AO94" i="92"/>
  <c r="AK82" i="92"/>
  <c r="AP171" i="92"/>
  <c r="AO41" i="92"/>
  <c r="AN85" i="92"/>
  <c r="AH35" i="92"/>
  <c r="AC196" i="92"/>
  <c r="AC17" i="92"/>
  <c r="AH213" i="92"/>
  <c r="AP169" i="92"/>
  <c r="AN82" i="92"/>
  <c r="AL137" i="92"/>
  <c r="AH34" i="92"/>
  <c r="AC195" i="92"/>
  <c r="AB57" i="92"/>
  <c r="AP121" i="92"/>
  <c r="AP38" i="92"/>
  <c r="AO197" i="92"/>
  <c r="BA197" i="113" s="1" a="1"/>
  <c r="BA197" i="113" s="1"/>
  <c r="AN81" i="92"/>
  <c r="AM98" i="92"/>
  <c r="AL136" i="92"/>
  <c r="AI152" i="92"/>
  <c r="AH81" i="92"/>
  <c r="AE201" i="92"/>
  <c r="AC52" i="92"/>
  <c r="AP52" i="92"/>
  <c r="AL12" i="92"/>
  <c r="AI38" i="92"/>
  <c r="AG151" i="92"/>
  <c r="AG102" i="92"/>
  <c r="AF198" i="92"/>
  <c r="AC237" i="92"/>
  <c r="AC49" i="92"/>
  <c r="AP233" i="92"/>
  <c r="AG133" i="92"/>
  <c r="AM152" i="92"/>
  <c r="AP116" i="92"/>
  <c r="AL174" i="92"/>
  <c r="AI37" i="92"/>
  <c r="AH31" i="92"/>
  <c r="AF197" i="92"/>
  <c r="AC236" i="92"/>
  <c r="AO97" i="27" a="1"/>
  <c r="AO97" i="27" s="1"/>
  <c r="AR97" i="27" s="1"/>
  <c r="AM134" i="92"/>
  <c r="AN212" i="92"/>
  <c r="AJ233" i="92"/>
  <c r="AJ33" i="92"/>
  <c r="AI12" i="92"/>
  <c r="AN196" i="92"/>
  <c r="AH205" i="92"/>
  <c r="AG194" i="92"/>
  <c r="AG145" i="92"/>
  <c r="AH73" i="92"/>
  <c r="AL113" i="92"/>
  <c r="AF172" i="92"/>
  <c r="AO17" i="27" a="1"/>
  <c r="AO17" i="27" s="1"/>
  <c r="AR17" i="27" s="1"/>
  <c r="AP196" i="92"/>
  <c r="AM165" i="92"/>
  <c r="AG142" i="92"/>
  <c r="AE192" i="92"/>
  <c r="AA132" i="92"/>
  <c r="AP195" i="92"/>
  <c r="AM202" i="92"/>
  <c r="AM164" i="92"/>
  <c r="AI178" i="92"/>
  <c r="AH61" i="92"/>
  <c r="AE236" i="92"/>
  <c r="AC232" i="92"/>
  <c r="AF93" i="92"/>
  <c r="AP194" i="92"/>
  <c r="AM237" i="92"/>
  <c r="AH60" i="92"/>
  <c r="AN92" i="92"/>
  <c r="AK51" i="92"/>
  <c r="AH12" i="92"/>
  <c r="AA192" i="92"/>
  <c r="AH173" i="92"/>
  <c r="AH93" i="92"/>
  <c r="AI72" i="92"/>
  <c r="AN47" i="27" a="1"/>
  <c r="AN47" i="27" s="1"/>
  <c r="AK90" i="27"/>
  <c r="AM90" i="27" s="1"/>
  <c r="AO127" i="27" a="1"/>
  <c r="AO127" i="27" s="1"/>
  <c r="AR127" i="27" s="1"/>
  <c r="AJ170" i="27" a="1"/>
  <c r="AJ170" i="27" s="1"/>
  <c r="AN170" i="27" s="1" a="1"/>
  <c r="AN170" i="27" s="1"/>
  <c r="AO110" i="27" a="1"/>
  <c r="AO110" i="27" s="1"/>
  <c r="AR110" i="27" s="1"/>
  <c r="AO84" i="27" a="1"/>
  <c r="AO84" i="27" s="1"/>
  <c r="AR84" i="27" s="1"/>
  <c r="AJ90" i="27" a="1"/>
  <c r="AJ90" i="27" s="1"/>
  <c r="AN90" i="27" s="1" a="1"/>
  <c r="AN90" i="27" s="1"/>
  <c r="AN70" i="92"/>
  <c r="AF70" i="92"/>
  <c r="AJ94" i="92"/>
  <c r="AB94" i="92"/>
  <c r="AJ230" i="92"/>
  <c r="AD230" i="92"/>
  <c r="AE170" i="92"/>
  <c r="AB30" i="92"/>
  <c r="AJ10" i="92"/>
  <c r="AH230" i="92"/>
  <c r="AL88" i="92"/>
  <c r="AD88" i="92"/>
  <c r="AJ190" i="92"/>
  <c r="AA190" i="92"/>
  <c r="AH49" i="92"/>
  <c r="AP49" i="92"/>
  <c r="AN211" i="92"/>
  <c r="AF211" i="92"/>
  <c r="AE18" i="92"/>
  <c r="AM18" i="92"/>
  <c r="AI97" i="92"/>
  <c r="AA97" i="92"/>
  <c r="AA227" i="92"/>
  <c r="AM207" i="92"/>
  <c r="AP207" i="92"/>
  <c r="AF167" i="92"/>
  <c r="AA147" i="92"/>
  <c r="AE147" i="92"/>
  <c r="AK107" i="92"/>
  <c r="AL87" i="92"/>
  <c r="AA47" i="92"/>
  <c r="AJ110" i="92"/>
  <c r="AF47" i="92"/>
  <c r="AH71" i="92"/>
  <c r="AP71" i="92"/>
  <c r="AK226" i="92"/>
  <c r="AC226" i="92"/>
  <c r="AJ206" i="92"/>
  <c r="AB206" i="92"/>
  <c r="AM186" i="92"/>
  <c r="AE186" i="92"/>
  <c r="AF126" i="92"/>
  <c r="AN126" i="92"/>
  <c r="AK86" i="92"/>
  <c r="AC86" i="92"/>
  <c r="AK66" i="92"/>
  <c r="AC66" i="92"/>
  <c r="AL46" i="92"/>
  <c r="AD46" i="92"/>
  <c r="AE26" i="92"/>
  <c r="AM26" i="92"/>
  <c r="AP227" i="92"/>
  <c r="AO153" i="92"/>
  <c r="AG153" i="92"/>
  <c r="AK215" i="92"/>
  <c r="AC215" i="92"/>
  <c r="AF234" i="92"/>
  <c r="AN234" i="92"/>
  <c r="AM176" i="92"/>
  <c r="AE176" i="92"/>
  <c r="AE46" i="92"/>
  <c r="AM46" i="92"/>
  <c r="AB150" i="92"/>
  <c r="AG22" i="92"/>
  <c r="AO22" i="92"/>
  <c r="AJ125" i="92"/>
  <c r="AB125" i="92"/>
  <c r="AB90" i="92"/>
  <c r="AL90" i="92"/>
  <c r="AO90" i="92"/>
  <c r="AG175" i="92"/>
  <c r="AO175" i="92"/>
  <c r="AA122" i="92"/>
  <c r="AI122" i="92"/>
  <c r="AE210" i="92"/>
  <c r="AG43" i="92"/>
  <c r="AO43" i="92"/>
  <c r="AK30" i="92"/>
  <c r="AB25" i="92"/>
  <c r="AJ25" i="92"/>
  <c r="AH115" i="92"/>
  <c r="AP115" i="92"/>
  <c r="AG196" i="92"/>
  <c r="AO196" i="92"/>
  <c r="AG66" i="92"/>
  <c r="AO66" i="92"/>
  <c r="AK26" i="92"/>
  <c r="AC26" i="92"/>
  <c r="AI137" i="92"/>
  <c r="AA137" i="92"/>
  <c r="AH137" i="92"/>
  <c r="AP137" i="92"/>
  <c r="AL37" i="92"/>
  <c r="AD37" i="92"/>
  <c r="AO217" i="92"/>
  <c r="AG217" i="92"/>
  <c r="AF165" i="92"/>
  <c r="AN165" i="92"/>
  <c r="AJ161" i="92"/>
  <c r="AB161" i="92"/>
  <c r="AH30" i="92"/>
  <c r="AG88" i="92"/>
  <c r="AO88" i="92"/>
  <c r="AA187" i="92"/>
  <c r="AI187" i="92"/>
  <c r="AB215" i="92"/>
  <c r="AJ215" i="92"/>
  <c r="AJ155" i="92"/>
  <c r="AB155" i="92"/>
  <c r="AJ55" i="92"/>
  <c r="AB55" i="92"/>
  <c r="AP159" i="92"/>
  <c r="AH159" i="92"/>
  <c r="AB214" i="92"/>
  <c r="AJ214" i="92"/>
  <c r="AB174" i="92"/>
  <c r="AJ174" i="92"/>
  <c r="AA154" i="92"/>
  <c r="AI154" i="92"/>
  <c r="AI134" i="92"/>
  <c r="AA134" i="92"/>
  <c r="AK94" i="92"/>
  <c r="AC94" i="92"/>
  <c r="AI74" i="92"/>
  <c r="AA74" i="92"/>
  <c r="AA54" i="92"/>
  <c r="AI54" i="92"/>
  <c r="AO238" i="92"/>
  <c r="AG238" i="92"/>
  <c r="AF50" i="92"/>
  <c r="AD201" i="92"/>
  <c r="AL201" i="92"/>
  <c r="AL62" i="92"/>
  <c r="AD62" i="92"/>
  <c r="AI133" i="92"/>
  <c r="AA133" i="92"/>
  <c r="AB113" i="92"/>
  <c r="AJ113" i="92"/>
  <c r="AA93" i="92"/>
  <c r="AI93" i="92"/>
  <c r="AA53" i="92"/>
  <c r="AI53" i="92"/>
  <c r="AN139" i="92"/>
  <c r="AG109" i="92"/>
  <c r="AO109" i="92"/>
  <c r="AJ212" i="92"/>
  <c r="AB212" i="92"/>
  <c r="AK92" i="92"/>
  <c r="AC92" i="92"/>
  <c r="AH181" i="92"/>
  <c r="AP181" i="92"/>
  <c r="AJ194" i="92"/>
  <c r="AB194" i="92"/>
  <c r="AC165" i="92"/>
  <c r="AG46" i="92"/>
  <c r="AF26" i="92"/>
  <c r="AA106" i="92"/>
  <c r="AA66" i="92"/>
  <c r="AK76" i="92"/>
  <c r="AF115" i="92"/>
  <c r="AP206" i="92"/>
  <c r="AB122" i="92"/>
  <c r="AP54" i="92"/>
  <c r="AE125" i="92"/>
  <c r="AA16" i="92"/>
  <c r="AI218" i="92"/>
  <c r="AP136" i="92"/>
  <c r="AO176" i="92"/>
  <c r="AO71" i="92"/>
  <c r="AO42" i="92"/>
  <c r="AJ22" i="92"/>
  <c r="AI186" i="92"/>
  <c r="AH101" i="92"/>
  <c r="AC214" i="92"/>
  <c r="AB158" i="92"/>
  <c r="AI13" i="92"/>
  <c r="AO201" i="92"/>
  <c r="AN162" i="92"/>
  <c r="AL198" i="92"/>
  <c r="AH100" i="92"/>
  <c r="AA96" i="92"/>
  <c r="AH66" i="92"/>
  <c r="AO174" i="92"/>
  <c r="AN46" i="92"/>
  <c r="AF138" i="92"/>
  <c r="AF69" i="92"/>
  <c r="AA136" i="92"/>
  <c r="AH48" i="92"/>
  <c r="AD9" i="92"/>
  <c r="AH86" i="92"/>
  <c r="AK136" i="92"/>
  <c r="AP160" i="92"/>
  <c r="AO222" i="92"/>
  <c r="AO65" i="92"/>
  <c r="AJ58" i="92"/>
  <c r="AH188" i="92"/>
  <c r="AP158" i="92"/>
  <c r="AP76" i="92"/>
  <c r="AO195" i="92"/>
  <c r="AO62" i="92"/>
  <c r="AN216" i="92"/>
  <c r="AH182" i="92"/>
  <c r="AG237" i="92"/>
  <c r="AC25" i="92"/>
  <c r="AH106" i="92"/>
  <c r="AJ12" i="92"/>
  <c r="AM17" i="92"/>
  <c r="AH180" i="92"/>
  <c r="AD36" i="92"/>
  <c r="AB9" i="92"/>
  <c r="AM45" i="92"/>
  <c r="AH126" i="92"/>
  <c r="AD61" i="92"/>
  <c r="AO108" i="92"/>
  <c r="AP202" i="92"/>
  <c r="AP120" i="92"/>
  <c r="AP74" i="92"/>
  <c r="AO134" i="92"/>
  <c r="AN168" i="92"/>
  <c r="AJ97" i="92"/>
  <c r="AI229" i="92"/>
  <c r="AH139" i="92"/>
  <c r="AH29" i="92"/>
  <c r="AF191" i="92"/>
  <c r="AF96" i="92"/>
  <c r="AC169" i="92"/>
  <c r="AC140" i="92"/>
  <c r="AC81" i="92"/>
  <c r="AC55" i="92"/>
  <c r="AA129" i="92"/>
  <c r="AA22" i="92"/>
  <c r="AA26" i="92"/>
  <c r="AO156" i="92"/>
  <c r="AJ96" i="92"/>
  <c r="AF95" i="92"/>
  <c r="AE181" i="92"/>
  <c r="AC194" i="92"/>
  <c r="AC168" i="92"/>
  <c r="AC80" i="92"/>
  <c r="AC54" i="92"/>
  <c r="AO178" i="92"/>
  <c r="AO155" i="92"/>
  <c r="AJ66" i="92"/>
  <c r="AE178" i="92"/>
  <c r="AC218" i="92"/>
  <c r="AC28" i="92"/>
  <c r="AB236" i="92"/>
  <c r="AP96" i="92"/>
  <c r="AO177" i="92"/>
  <c r="AJ65" i="92"/>
  <c r="AI109" i="92"/>
  <c r="AE208" i="92"/>
  <c r="AD15" i="92"/>
  <c r="AC217" i="92"/>
  <c r="AB235" i="92"/>
  <c r="AB197" i="92"/>
  <c r="AA89" i="92"/>
  <c r="AO198" i="92"/>
  <c r="AN214" i="92"/>
  <c r="AI107" i="92"/>
  <c r="AI49" i="92"/>
  <c r="AH208" i="92"/>
  <c r="AF119" i="92"/>
  <c r="AD42" i="92"/>
  <c r="AD14" i="92"/>
  <c r="AB196" i="92"/>
  <c r="AP118" i="92"/>
  <c r="AM234" i="92"/>
  <c r="AH162" i="92"/>
  <c r="AF118" i="92"/>
  <c r="AD41" i="92"/>
  <c r="AB166" i="92"/>
  <c r="AO220" i="92"/>
  <c r="AN237" i="92"/>
  <c r="AN27" i="92"/>
  <c r="AH161" i="92"/>
  <c r="AB165" i="92"/>
  <c r="AP140" i="92"/>
  <c r="AO26" i="92"/>
  <c r="AN236" i="92"/>
  <c r="AM102" i="92"/>
  <c r="AM75" i="92"/>
  <c r="AA9" i="92"/>
  <c r="AO25" i="92"/>
  <c r="AM74" i="92"/>
  <c r="AL67" i="92"/>
  <c r="AK141" i="92"/>
  <c r="AK110" i="92"/>
  <c r="AG69" i="92"/>
  <c r="AF145" i="92"/>
  <c r="AO147" i="27" a="1"/>
  <c r="AO147" i="27" s="1"/>
  <c r="AS147" i="27" s="1"/>
  <c r="AT147" i="27" s="1" a="1"/>
  <c r="AT147" i="27" s="1"/>
  <c r="AP138" i="92"/>
  <c r="AP8" i="92"/>
  <c r="AN49" i="92"/>
  <c r="AM49" i="92"/>
  <c r="AL206" i="92"/>
  <c r="AL176" i="92"/>
  <c r="AL150" i="92"/>
  <c r="AL117" i="92"/>
  <c r="AL91" i="92"/>
  <c r="AI189" i="92"/>
  <c r="AA149" i="92"/>
  <c r="AO240" i="92"/>
  <c r="AM48" i="92"/>
  <c r="AM24" i="92"/>
  <c r="AL205" i="92"/>
  <c r="AL175" i="92"/>
  <c r="AL148" i="92"/>
  <c r="AL116" i="92"/>
  <c r="AM22" i="92"/>
  <c r="AL231" i="92"/>
  <c r="AI69" i="92"/>
  <c r="AG91" i="92"/>
  <c r="AP185" i="92"/>
  <c r="AI67" i="92"/>
  <c r="AI209" i="92"/>
  <c r="AO67" i="27" a="1"/>
  <c r="AO67" i="27" s="1"/>
  <c r="AR67" i="27" s="1"/>
  <c r="AI29" i="92"/>
  <c r="AP51" i="92"/>
  <c r="AK187" i="27"/>
  <c r="AM187" i="27" s="1"/>
  <c r="AK127" i="27"/>
  <c r="AM127" i="27" s="1"/>
  <c r="AO227" i="27" a="1"/>
  <c r="AO227" i="27" s="1"/>
  <c r="AS227" i="27" s="1"/>
  <c r="AT227" i="27" s="1" a="1"/>
  <c r="AT227" i="27" s="1"/>
  <c r="AO207" i="27" a="1"/>
  <c r="AO207" i="27" s="1"/>
  <c r="AS207" i="27" s="1"/>
  <c r="AT207" i="27" s="1" a="1"/>
  <c r="AT207" i="27" s="1"/>
  <c r="AN65" i="93"/>
  <c r="AO107" i="27" a="1"/>
  <c r="AO107" i="27" s="1"/>
  <c r="AU107" i="27" s="1" a="1"/>
  <c r="AU107" i="27" s="1"/>
  <c r="AW107" i="27" s="1"/>
  <c r="AO96" i="27" a="1"/>
  <c r="AO96" i="27" s="1"/>
  <c r="AU96" i="27" s="1" a="1"/>
  <c r="AU96" i="27" s="1"/>
  <c r="AV96" i="27" s="1" a="1"/>
  <c r="AV96" i="27" s="1"/>
  <c r="AN55" i="93"/>
  <c r="AN35" i="93"/>
  <c r="AM140" i="27"/>
  <c r="AM136" i="27"/>
  <c r="AK16" i="27"/>
  <c r="AM16" i="27" s="1"/>
  <c r="AJ70" i="93" a="1"/>
  <c r="AJ70" i="93" s="1"/>
  <c r="AJ52" i="93" a="1"/>
  <c r="AJ52" i="93" s="1"/>
  <c r="AJ20" i="27" a="1"/>
  <c r="AJ20" i="27" s="1"/>
  <c r="AN20" i="27" s="1" a="1"/>
  <c r="AN20" i="27" s="1"/>
  <c r="AJ32" i="93" a="1"/>
  <c r="AJ32" i="93" s="1"/>
  <c r="AU138" i="27" a="1"/>
  <c r="AU138" i="27" s="1"/>
  <c r="AW138" i="27" s="1"/>
  <c r="AJ9" i="93" a="1"/>
  <c r="AJ9" i="93" s="1"/>
  <c r="AQ158" i="27"/>
  <c r="AO220" i="27" a="1"/>
  <c r="AO220" i="27" s="1"/>
  <c r="AS220" i="27" s="1"/>
  <c r="AT220" i="27" s="1" a="1"/>
  <c r="AT220" i="27" s="1"/>
  <c r="AO20" i="27" a="1"/>
  <c r="AO20" i="27" s="1"/>
  <c r="AR20" i="27" s="1"/>
  <c r="AO217" i="27" a="1"/>
  <c r="AO217" i="27" s="1"/>
  <c r="AU217" i="27" s="1" a="1"/>
  <c r="AU217" i="27" s="1"/>
  <c r="AW217" i="27" s="1"/>
  <c r="AQ138" i="27"/>
  <c r="AO216" i="27" a="1"/>
  <c r="AO216" i="27" s="1"/>
  <c r="AQ216" i="27" s="1"/>
  <c r="AK78" i="93" a="1"/>
  <c r="AK78" i="93" s="1"/>
  <c r="AL78" i="93" s="1" a="1"/>
  <c r="AL78" i="93" s="1"/>
  <c r="AO27" i="27" a="1"/>
  <c r="AO27" i="27" s="1"/>
  <c r="AR27" i="27" s="1"/>
  <c r="AK58" i="93" a="1"/>
  <c r="AK58" i="93" s="1"/>
  <c r="AL58" i="93" s="1" a="1"/>
  <c r="AL58" i="93" s="1"/>
  <c r="AK47" i="93" a="1"/>
  <c r="AK47" i="93" s="1"/>
  <c r="AL47" i="93" s="1" a="1"/>
  <c r="AL47" i="93" s="1"/>
  <c r="AO47" i="27" a="1"/>
  <c r="AO47" i="27" s="1"/>
  <c r="AR47" i="27" s="1"/>
  <c r="AK38" i="93" a="1"/>
  <c r="AK38" i="93" s="1"/>
  <c r="AL38" i="93" s="1" a="1"/>
  <c r="AL38" i="93" s="1"/>
  <c r="AK77" i="93" a="1"/>
  <c r="AK77" i="93" s="1"/>
  <c r="AL77" i="93" s="1" a="1"/>
  <c r="AL77" i="93" s="1"/>
  <c r="AO187" i="27" a="1"/>
  <c r="AO187" i="27" s="1"/>
  <c r="AR187" i="27" s="1"/>
  <c r="AK30" i="93" a="1"/>
  <c r="AK30" i="93" s="1"/>
  <c r="AL30" i="93" s="1" a="1"/>
  <c r="AL30" i="93" s="1"/>
  <c r="AO171" i="27" a="1"/>
  <c r="AO171" i="27" s="1"/>
  <c r="AU171" i="27" s="1" a="1"/>
  <c r="AU171" i="27" s="1"/>
  <c r="AW171" i="27" s="1"/>
  <c r="AS108" i="27"/>
  <c r="AT108" i="27" s="1" a="1"/>
  <c r="AT108" i="27" s="1"/>
  <c r="AO10" i="27" a="1"/>
  <c r="AO10" i="27" s="1"/>
  <c r="AP10" i="27" s="1" a="1"/>
  <c r="AP10" i="27" s="1"/>
  <c r="AO167" i="27" a="1"/>
  <c r="AO167" i="27" s="1"/>
  <c r="AU167" i="27" s="1" a="1"/>
  <c r="AU167" i="27" s="1"/>
  <c r="AW167" i="27" s="1"/>
  <c r="AN70" i="27" a="1"/>
  <c r="AN70" i="27" s="1"/>
  <c r="AN28" i="93"/>
  <c r="AN13" i="93"/>
  <c r="AJ37" i="93" a="1"/>
  <c r="AJ37" i="93" s="1"/>
  <c r="AN42" i="93"/>
  <c r="AJ27" i="93" a="1"/>
  <c r="AJ27" i="93" s="1"/>
  <c r="AN73" i="93"/>
  <c r="AN53" i="93"/>
  <c r="AN76" i="93"/>
  <c r="AQ23" i="27"/>
  <c r="AK27" i="27"/>
  <c r="AM27" i="27" s="1"/>
  <c r="AO213" i="27" a="1"/>
  <c r="AO213" i="27" s="1"/>
  <c r="AS213" i="27" s="1"/>
  <c r="AT213" i="27" s="1" a="1"/>
  <c r="AT213" i="27" s="1"/>
  <c r="AU8" i="93"/>
  <c r="AZ8" i="93" s="1"/>
  <c r="AN8" i="93"/>
  <c r="AM110" i="27"/>
  <c r="AN74" i="93"/>
  <c r="AM72" i="93"/>
  <c r="AJ68" i="93" a="1"/>
  <c r="AJ68" i="93" s="1"/>
  <c r="AN33" i="93"/>
  <c r="AO70" i="27" a="1"/>
  <c r="AO70" i="27" s="1"/>
  <c r="AP70" i="27" s="1" a="1"/>
  <c r="AP70" i="27" s="1"/>
  <c r="AU35" i="93"/>
  <c r="AZ35" i="93" s="1"/>
  <c r="AJ67" i="93" a="1"/>
  <c r="AJ67" i="93" s="1"/>
  <c r="AN12" i="93"/>
  <c r="AP154" i="27" a="1"/>
  <c r="AP154" i="27" s="1"/>
  <c r="AO170" i="27" a="1"/>
  <c r="AO170" i="27" s="1"/>
  <c r="AP170" i="27" s="1" a="1"/>
  <c r="AP170" i="27" s="1"/>
  <c r="AJ50" i="27" a="1"/>
  <c r="AJ50" i="27" s="1"/>
  <c r="AN50" i="27" s="1" a="1"/>
  <c r="AN50" i="27" s="1"/>
  <c r="AO230" i="27" a="1"/>
  <c r="AO230" i="27" s="1"/>
  <c r="AR230" i="27" s="1"/>
  <c r="AJ59" i="93" a="1"/>
  <c r="AJ59" i="93" s="1"/>
  <c r="AN71" i="93"/>
  <c r="AN54" i="93"/>
  <c r="AM32" i="93"/>
  <c r="AJ53" i="93" a="1"/>
  <c r="AJ53" i="93" s="1"/>
  <c r="AO164" i="27" a="1"/>
  <c r="AO164" i="27" s="1"/>
  <c r="AP164" i="27" s="1" a="1"/>
  <c r="AP164" i="27" s="1"/>
  <c r="AO223" i="27" a="1"/>
  <c r="AO223" i="27" s="1"/>
  <c r="AP223" i="27" s="1" a="1"/>
  <c r="AP223" i="27" s="1"/>
  <c r="AO30" i="27" a="1"/>
  <c r="AO30" i="27" s="1"/>
  <c r="AU30" i="27" s="1" a="1"/>
  <c r="AU30" i="27" s="1"/>
  <c r="AK230" i="27"/>
  <c r="AM230" i="27" s="1"/>
  <c r="AK66" i="93" a="1"/>
  <c r="AK66" i="93" s="1"/>
  <c r="AL66" i="93" s="1" a="1"/>
  <c r="AL66" i="93" s="1"/>
  <c r="AO150" i="27" a="1"/>
  <c r="AO150" i="27" s="1"/>
  <c r="AU150" i="27" s="1" a="1"/>
  <c r="AU150" i="27" s="1"/>
  <c r="AW150" i="27" s="1"/>
  <c r="AK224" i="27"/>
  <c r="AM224" i="27" s="1"/>
  <c r="AN52" i="93"/>
  <c r="AJ50" i="93" a="1"/>
  <c r="AJ50" i="93" s="1"/>
  <c r="AN80" i="93"/>
  <c r="AN75" i="93"/>
  <c r="AU74" i="27" a="1"/>
  <c r="AU74" i="27" s="1"/>
  <c r="AW74" i="27" s="1"/>
  <c r="AJ48" i="93" a="1"/>
  <c r="AJ48" i="93" s="1"/>
  <c r="AN47" i="93"/>
  <c r="AN59" i="93"/>
  <c r="AN39" i="93"/>
  <c r="AO144" i="27" a="1"/>
  <c r="AO144" i="27" s="1"/>
  <c r="AR144" i="27" s="1"/>
  <c r="AK163" i="27"/>
  <c r="AM163" i="27" s="1"/>
  <c r="AK49" i="93" a="1"/>
  <c r="AK49" i="93" s="1"/>
  <c r="AL49" i="93" s="1" a="1"/>
  <c r="AL49" i="93" s="1"/>
  <c r="AJ46" i="93" a="1"/>
  <c r="AJ46" i="93" s="1"/>
  <c r="AN66" i="93"/>
  <c r="AN46" i="93"/>
  <c r="AK124" i="27"/>
  <c r="AM124" i="27" s="1"/>
  <c r="AK39" i="93" a="1"/>
  <c r="AK39" i="93" s="1"/>
  <c r="AL39" i="93" s="1" a="1"/>
  <c r="AL39" i="93" s="1"/>
  <c r="AJ29" i="93" a="1"/>
  <c r="AJ29" i="93" s="1"/>
  <c r="AO124" i="27" a="1"/>
  <c r="AO124" i="27" s="1"/>
  <c r="AQ124" i="27" s="1"/>
  <c r="AN15" i="93"/>
  <c r="AJ10" i="93" a="1"/>
  <c r="AJ10" i="93" s="1"/>
  <c r="AK19" i="93" a="1"/>
  <c r="AK19" i="93" s="1"/>
  <c r="AL19" i="93" s="1" a="1"/>
  <c r="AL19" i="93" s="1"/>
  <c r="AN51" i="93"/>
  <c r="AU55" i="93"/>
  <c r="AZ55" i="93" s="1"/>
  <c r="AK18" i="93" a="1"/>
  <c r="AK18" i="93" s="1"/>
  <c r="AL18" i="93" s="1" a="1"/>
  <c r="AL18" i="93" s="1"/>
  <c r="AJ8" i="93" a="1"/>
  <c r="AJ8" i="93" s="1"/>
  <c r="AM233" i="27"/>
  <c r="AO190" i="27" a="1"/>
  <c r="AO190" i="27" s="1"/>
  <c r="AU190" i="27" s="1" a="1"/>
  <c r="AU190" i="27" s="1"/>
  <c r="AX190" i="27" s="1"/>
  <c r="AY190" i="27" s="1"/>
  <c r="AZ190" i="27" s="1" a="1"/>
  <c r="AZ190" i="27" s="1"/>
  <c r="AO90" i="27" a="1"/>
  <c r="AO90" i="27" s="1"/>
  <c r="AQ90" i="27" s="1"/>
  <c r="AM167" i="27"/>
  <c r="AJ230" i="27" a="1"/>
  <c r="AJ230" i="27" s="1"/>
  <c r="AN230" i="27" s="1" a="1"/>
  <c r="AN230" i="27" s="1"/>
  <c r="AO184" i="27" a="1"/>
  <c r="AO184" i="27" s="1"/>
  <c r="AS184" i="27" s="1"/>
  <c r="AT184" i="27" s="1" a="1"/>
  <c r="AT184" i="27" s="1"/>
  <c r="AJ184" i="27" a="1"/>
  <c r="AJ184" i="27" s="1"/>
  <c r="AN184" i="27" s="1" a="1"/>
  <c r="AN184" i="27" s="1"/>
  <c r="AU48" i="93"/>
  <c r="AZ48" i="93" s="1"/>
  <c r="AN27" i="93"/>
  <c r="AO197" i="27" a="1"/>
  <c r="AO197" i="27" s="1"/>
  <c r="AR197" i="27" s="1"/>
  <c r="AO137" i="27" a="1"/>
  <c r="AO137" i="27" s="1"/>
  <c r="AU137" i="27" s="1" a="1"/>
  <c r="AU137" i="27" s="1"/>
  <c r="AV137" i="27" s="1" a="1"/>
  <c r="AV137" i="27" s="1"/>
  <c r="AU66" i="93"/>
  <c r="AZ66" i="93" s="1"/>
  <c r="AU65" i="93"/>
  <c r="AZ65" i="93" s="1"/>
  <c r="AN36" i="93"/>
  <c r="AO136" i="27" a="1"/>
  <c r="AO136" i="27" s="1"/>
  <c r="AP136" i="27" s="1" a="1"/>
  <c r="AP136" i="27" s="1"/>
  <c r="AO240" i="27" a="1"/>
  <c r="AO240" i="27" s="1"/>
  <c r="AU240" i="27" s="1" a="1"/>
  <c r="AU240" i="27" s="1"/>
  <c r="AW240" i="27" s="1"/>
  <c r="AM42" i="93"/>
  <c r="AK64" i="93" a="1"/>
  <c r="AK64" i="93" s="1"/>
  <c r="AL64" i="93" s="1" a="1"/>
  <c r="AL64" i="93" s="1"/>
  <c r="AO56" i="27" a="1"/>
  <c r="AO56" i="27" s="1"/>
  <c r="AR56" i="27" s="1"/>
  <c r="AM197" i="27"/>
  <c r="AU63" i="93"/>
  <c r="AZ63" i="93" s="1"/>
  <c r="AN26" i="93"/>
  <c r="AU206" i="27" a="1"/>
  <c r="AU206" i="27" s="1"/>
  <c r="AV206" i="27" s="1" a="1"/>
  <c r="AV206" i="27" s="1"/>
  <c r="AO237" i="27" a="1"/>
  <c r="AO237" i="27" s="1"/>
  <c r="AQ237" i="27" s="1"/>
  <c r="AO50" i="27" a="1"/>
  <c r="AO50" i="27" s="1"/>
  <c r="AS50" i="27" s="1"/>
  <c r="AT50" i="27" s="1" a="1"/>
  <c r="AT50" i="27" s="1"/>
  <c r="AJ144" i="27" a="1"/>
  <c r="AJ144" i="27" s="1"/>
  <c r="AN144" i="27" s="1" a="1"/>
  <c r="AN144" i="27" s="1"/>
  <c r="AN25" i="93"/>
  <c r="AM177" i="27"/>
  <c r="AN62" i="93"/>
  <c r="AN22" i="93"/>
  <c r="AJ79" i="93" a="1"/>
  <c r="AJ79" i="93" s="1"/>
  <c r="AO57" i="27" a="1"/>
  <c r="AO57" i="27" s="1"/>
  <c r="AR57" i="27" s="1"/>
  <c r="AO37" i="27" a="1"/>
  <c r="AO37" i="27" s="1"/>
  <c r="AP37" i="27" s="1" a="1"/>
  <c r="AP37" i="27" s="1"/>
  <c r="AN19" i="93"/>
  <c r="AN64" i="93"/>
  <c r="AN24" i="93"/>
  <c r="AO117" i="27" a="1"/>
  <c r="AO117" i="27" s="1"/>
  <c r="AP117" i="27" s="1" a="1"/>
  <c r="AP117" i="27" s="1"/>
  <c r="AM37" i="27"/>
  <c r="AO176" i="27" a="1"/>
  <c r="AO176" i="27" s="1"/>
  <c r="AQ176" i="27" s="1"/>
  <c r="AO116" i="27" a="1"/>
  <c r="AO116" i="27" s="1"/>
  <c r="AS116" i="27" s="1"/>
  <c r="AT116" i="27" s="1" a="1"/>
  <c r="AT116" i="27" s="1"/>
  <c r="AO36" i="27" a="1"/>
  <c r="AO36" i="27" s="1"/>
  <c r="AU36" i="27" s="1" a="1"/>
  <c r="AU36" i="27" s="1"/>
  <c r="AM157" i="27"/>
  <c r="AN56" i="93"/>
  <c r="AN16" i="93"/>
  <c r="AN23" i="93"/>
  <c r="AO196" i="27" a="1"/>
  <c r="AO196" i="27" s="1"/>
  <c r="AU196" i="27" s="1" a="1"/>
  <c r="AU196" i="27" s="1"/>
  <c r="AV196" i="27" s="1" a="1"/>
  <c r="AV196" i="27" s="1"/>
  <c r="AM57" i="27"/>
  <c r="AR138" i="27"/>
  <c r="AO236" i="27" a="1"/>
  <c r="AO236" i="27" s="1"/>
  <c r="AR236" i="27" s="1"/>
  <c r="AO177" i="27" a="1"/>
  <c r="AO177" i="27" s="1"/>
  <c r="AU177" i="27" s="1" a="1"/>
  <c r="AU177" i="27" s="1"/>
  <c r="AV177" i="27" s="1" a="1"/>
  <c r="AV177" i="27" s="1"/>
  <c r="AU158" i="27" a="1"/>
  <c r="AU158" i="27" s="1"/>
  <c r="AW158" i="27" s="1"/>
  <c r="AM144" i="27"/>
  <c r="AK184" i="27"/>
  <c r="AM184" i="27" s="1"/>
  <c r="AJ24" i="27" a="1"/>
  <c r="AJ24" i="27" s="1"/>
  <c r="AN24" i="27" s="1" a="1"/>
  <c r="AN24" i="27" s="1"/>
  <c r="AO99" i="27" a="1"/>
  <c r="AO99" i="27" s="1"/>
  <c r="AQ99" i="27" s="1"/>
  <c r="AM137" i="27"/>
  <c r="AU46" i="93"/>
  <c r="AZ46" i="93" s="1"/>
  <c r="AN45" i="93"/>
  <c r="AO159" i="27" a="1"/>
  <c r="AO159" i="27" s="1"/>
  <c r="AQ159" i="27" s="1"/>
  <c r="AM97" i="27"/>
  <c r="AO157" i="27" a="1"/>
  <c r="AO157" i="27" s="1"/>
  <c r="AR157" i="27" s="1"/>
  <c r="AO76" i="27" a="1"/>
  <c r="AO76" i="27" s="1"/>
  <c r="AR76" i="27" s="1"/>
  <c r="AU36" i="93"/>
  <c r="AZ36" i="93" s="1"/>
  <c r="AK73" i="93" a="1"/>
  <c r="AK73" i="93" s="1"/>
  <c r="AL73" i="93" s="1" a="1"/>
  <c r="AL73" i="93" s="1"/>
  <c r="AK28" i="93" a="1"/>
  <c r="AK28" i="93" s="1"/>
  <c r="AL28" i="93" s="1" a="1"/>
  <c r="AL28" i="93" s="1"/>
  <c r="AN79" i="93"/>
  <c r="AN34" i="93"/>
  <c r="AN14" i="93"/>
  <c r="AK39" i="27"/>
  <c r="AM39" i="27" s="1"/>
  <c r="AO204" i="27" a="1"/>
  <c r="AO204" i="27" s="1"/>
  <c r="AS204" i="27" s="1"/>
  <c r="AT204" i="27" s="1" a="1"/>
  <c r="AT204" i="27" s="1"/>
  <c r="AM237" i="27"/>
  <c r="AM77" i="27"/>
  <c r="AN82" i="93"/>
  <c r="AU14" i="27" a="1"/>
  <c r="AU14" i="27" s="1"/>
  <c r="AV14" i="27" s="1" a="1"/>
  <c r="AV14" i="27" s="1"/>
  <c r="AO203" i="27" a="1"/>
  <c r="AO203" i="27" s="1"/>
  <c r="AP203" i="27" s="1" a="1"/>
  <c r="AP203" i="27" s="1"/>
  <c r="AK69" i="93" a="1"/>
  <c r="AK69" i="93" s="1"/>
  <c r="AL69" i="93" s="1" a="1"/>
  <c r="AL69" i="93" s="1"/>
  <c r="AK26" i="93" a="1"/>
  <c r="AK26" i="93" s="1"/>
  <c r="AL26" i="93" s="1" a="1"/>
  <c r="AL26" i="93" s="1"/>
  <c r="AJ40" i="93" a="1"/>
  <c r="AJ40" i="93" s="1"/>
  <c r="AP94" i="27" a="1"/>
  <c r="AP94" i="27" s="1"/>
  <c r="AS94" i="27"/>
  <c r="AT94" i="27" s="1" a="1"/>
  <c r="AT94" i="27" s="1"/>
  <c r="AU94" i="27" a="1"/>
  <c r="AU94" i="27" s="1"/>
  <c r="AW94" i="27" s="1"/>
  <c r="AR94" i="27"/>
  <c r="AQ94" i="27"/>
  <c r="AR113" i="27"/>
  <c r="AU113" i="27" a="1"/>
  <c r="AU113" i="27" s="1"/>
  <c r="AX113" i="27" s="1"/>
  <c r="AY113" i="27" s="1"/>
  <c r="AZ113" i="27" s="1" a="1"/>
  <c r="AZ113" i="27" s="1"/>
  <c r="AP93" i="27" a="1"/>
  <c r="AP93" i="27" s="1"/>
  <c r="AR93" i="27"/>
  <c r="AU93" i="27" a="1"/>
  <c r="AU93" i="27" s="1"/>
  <c r="AV93" i="27" s="1" a="1"/>
  <c r="AV93" i="27" s="1"/>
  <c r="AQ93" i="27"/>
  <c r="AU67" i="93"/>
  <c r="AZ67" i="93" s="1"/>
  <c r="AN67" i="93"/>
  <c r="AU70" i="93"/>
  <c r="AZ70" i="93" s="1"/>
  <c r="AN70" i="93"/>
  <c r="AQ72" i="27"/>
  <c r="AP72" i="27" a="1"/>
  <c r="AP72" i="27" s="1"/>
  <c r="AU72" i="27" a="1"/>
  <c r="AU72" i="27" s="1"/>
  <c r="AV72" i="27" s="1" a="1"/>
  <c r="AV72" i="27" s="1"/>
  <c r="AN81" i="93"/>
  <c r="AU61" i="93"/>
  <c r="AZ61" i="93" s="1"/>
  <c r="AN61" i="93"/>
  <c r="AU41" i="93"/>
  <c r="AZ41" i="93" s="1"/>
  <c r="AN41" i="93"/>
  <c r="AN78" i="93"/>
  <c r="AU78" i="93"/>
  <c r="AZ78" i="93" s="1"/>
  <c r="AU40" i="93"/>
  <c r="AZ40" i="93" s="1"/>
  <c r="AN40" i="93"/>
  <c r="AU21" i="93"/>
  <c r="AZ21" i="93" s="1"/>
  <c r="AN21" i="93"/>
  <c r="AN58" i="93"/>
  <c r="AU58" i="93"/>
  <c r="AZ58" i="93" s="1"/>
  <c r="AN57" i="93"/>
  <c r="AU57" i="93"/>
  <c r="AZ57" i="93" s="1"/>
  <c r="AN37" i="93"/>
  <c r="AU37" i="93"/>
  <c r="AZ37" i="93" s="1"/>
  <c r="AN18" i="93"/>
  <c r="AU18" i="93"/>
  <c r="AZ18" i="93" s="1"/>
  <c r="AN17" i="93"/>
  <c r="AU17" i="93"/>
  <c r="AZ17" i="93" s="1"/>
  <c r="AN38" i="93"/>
  <c r="AU38" i="93"/>
  <c r="AZ38" i="93" s="1"/>
  <c r="AO143" i="27" a="1"/>
  <c r="AO143" i="27" s="1"/>
  <c r="AU143" i="27" s="1" a="1"/>
  <c r="AU143" i="27" s="1"/>
  <c r="AX143" i="27" s="1"/>
  <c r="AY143" i="27" s="1"/>
  <c r="AZ143" i="27" s="1" a="1"/>
  <c r="AZ143" i="27" s="1"/>
  <c r="AO92" i="27" a="1"/>
  <c r="AO92" i="27" s="1"/>
  <c r="AU92" i="27" s="1" a="1"/>
  <c r="AU92" i="27" s="1"/>
  <c r="AW92" i="27" s="1"/>
  <c r="AM100" i="27"/>
  <c r="AK212" i="27"/>
  <c r="AM212" i="27" s="1"/>
  <c r="AN11" i="93"/>
  <c r="AK23" i="93" a="1"/>
  <c r="AK23" i="93" s="1"/>
  <c r="AL23" i="93" s="1" a="1"/>
  <c r="AL23" i="93" s="1"/>
  <c r="AN31" i="93"/>
  <c r="AO91" i="27" a="1"/>
  <c r="AO91" i="27" s="1"/>
  <c r="AS91" i="27" s="1"/>
  <c r="AT91" i="27" s="1" a="1"/>
  <c r="AT91" i="27" s="1"/>
  <c r="AO32" i="27" a="1"/>
  <c r="AO32" i="27" s="1"/>
  <c r="AP32" i="27" s="1" a="1"/>
  <c r="AP32" i="27" s="1"/>
  <c r="AK192" i="27"/>
  <c r="AM192" i="27" s="1"/>
  <c r="AS14" i="27"/>
  <c r="AT14" i="27" s="1" a="1"/>
  <c r="AT14" i="27" s="1"/>
  <c r="AJ42" i="93" a="1"/>
  <c r="AJ42" i="93" s="1"/>
  <c r="AJ24" i="93" a="1"/>
  <c r="AJ24" i="93" s="1"/>
  <c r="AO212" i="27" a="1"/>
  <c r="AO212" i="27" s="1"/>
  <c r="AU212" i="27" s="1" a="1"/>
  <c r="AU212" i="27" s="1"/>
  <c r="AU77" i="93"/>
  <c r="AZ77" i="93" s="1"/>
  <c r="AN9" i="93"/>
  <c r="AO239" i="27" a="1"/>
  <c r="AO239" i="27" s="1"/>
  <c r="AQ239" i="27" s="1"/>
  <c r="AO80" i="27" a="1"/>
  <c r="AO80" i="27" s="1"/>
  <c r="AS80" i="27" s="1"/>
  <c r="AT80" i="27" s="1" a="1"/>
  <c r="AT80" i="27" s="1"/>
  <c r="AK143" i="27"/>
  <c r="AM143" i="27" s="1"/>
  <c r="AN49" i="93"/>
  <c r="AK14" i="93" a="1"/>
  <c r="AK14" i="93" s="1"/>
  <c r="AL14" i="93" s="1" a="1"/>
  <c r="AL14" i="93" s="1"/>
  <c r="AO172" i="27" a="1"/>
  <c r="AO172" i="27" s="1"/>
  <c r="AR172" i="27" s="1"/>
  <c r="AK15" i="93" a="1"/>
  <c r="AK15" i="93" s="1"/>
  <c r="AL15" i="93" s="1" a="1"/>
  <c r="AL15" i="93" s="1"/>
  <c r="AO79" i="27" a="1"/>
  <c r="AO79" i="27" s="1"/>
  <c r="AP79" i="27" s="1" a="1"/>
  <c r="AP79" i="27" s="1"/>
  <c r="AM200" i="27"/>
  <c r="AJ139" i="27" a="1"/>
  <c r="AJ139" i="27" s="1"/>
  <c r="AN139" i="27" s="1" a="1"/>
  <c r="AN139" i="27" s="1"/>
  <c r="AN69" i="93"/>
  <c r="AN48" i="93"/>
  <c r="AJ62" i="93" a="1"/>
  <c r="AJ62" i="93" s="1"/>
  <c r="AU12" i="93"/>
  <c r="AZ12" i="93" s="1"/>
  <c r="AK35" i="93" a="1"/>
  <c r="AK35" i="93" s="1"/>
  <c r="AL35" i="93" s="1" a="1"/>
  <c r="AL35" i="93" s="1"/>
  <c r="AU11" i="93"/>
  <c r="AZ11" i="93" s="1"/>
  <c r="AK57" i="93" a="1"/>
  <c r="AK57" i="93" s="1"/>
  <c r="AL57" i="93" s="1" a="1"/>
  <c r="AL57" i="93" s="1"/>
  <c r="AK34" i="93" a="1"/>
  <c r="AK34" i="93" s="1"/>
  <c r="AL34" i="93" s="1" a="1"/>
  <c r="AL34" i="93" s="1"/>
  <c r="AJ36" i="93" a="1"/>
  <c r="AJ36" i="93" s="1"/>
  <c r="AJ16" i="93" a="1"/>
  <c r="AJ16" i="93" s="1"/>
  <c r="AU186" i="27" a="1"/>
  <c r="AU186" i="27" s="1"/>
  <c r="AW186" i="27" s="1"/>
  <c r="AO163" i="27" a="1"/>
  <c r="AO163" i="27" s="1"/>
  <c r="AS163" i="27" s="1"/>
  <c r="AT163" i="27" s="1" a="1"/>
  <c r="AT163" i="27" s="1"/>
  <c r="AK99" i="27"/>
  <c r="AM99" i="27" s="1"/>
  <c r="AN44" i="93"/>
  <c r="AK55" i="93" a="1"/>
  <c r="AK55" i="93" s="1"/>
  <c r="AL55" i="93" s="1" a="1"/>
  <c r="AL55" i="93" s="1"/>
  <c r="AN43" i="93"/>
  <c r="AM76" i="93"/>
  <c r="AK54" i="93" a="1"/>
  <c r="AK54" i="93" s="1"/>
  <c r="AL54" i="93" s="1" a="1"/>
  <c r="AL54" i="93" s="1"/>
  <c r="AO132" i="27" a="1"/>
  <c r="AO132" i="27" s="1"/>
  <c r="AR132" i="27" s="1"/>
  <c r="AS54" i="27"/>
  <c r="AT54" i="27" s="1" a="1"/>
  <c r="AT54" i="27" s="1"/>
  <c r="AO233" i="27" a="1"/>
  <c r="AO233" i="27" s="1"/>
  <c r="AQ233" i="27" s="1"/>
  <c r="AN212" i="27" a="1"/>
  <c r="AN212" i="27" s="1"/>
  <c r="AK92" i="27"/>
  <c r="AM92" i="27" s="1"/>
  <c r="AO160" i="27" a="1"/>
  <c r="AO160" i="27" s="1"/>
  <c r="AU160" i="27" s="1" a="1"/>
  <c r="AU160" i="27" s="1"/>
  <c r="AX160" i="27" s="1"/>
  <c r="AY160" i="27" s="1"/>
  <c r="AO112" i="27" a="1"/>
  <c r="AO112" i="27" s="1"/>
  <c r="AR112" i="27" s="1"/>
  <c r="AN192" i="27" a="1"/>
  <c r="AN192" i="27" s="1"/>
  <c r="AM160" i="27"/>
  <c r="AJ40" i="27" a="1"/>
  <c r="AJ40" i="27" s="1"/>
  <c r="AN40" i="27" s="1" a="1"/>
  <c r="AN40" i="27" s="1"/>
  <c r="AU28" i="93"/>
  <c r="AZ28" i="93" s="1"/>
  <c r="AN20" i="93"/>
  <c r="AO231" i="27" a="1"/>
  <c r="AO231" i="27" s="1"/>
  <c r="AQ231" i="27" s="1"/>
  <c r="AO111" i="27" a="1"/>
  <c r="AO111" i="27" s="1"/>
  <c r="AU111" i="27" s="1" a="1"/>
  <c r="AU111" i="27" s="1"/>
  <c r="AW111" i="27" s="1"/>
  <c r="AN172" i="27" a="1"/>
  <c r="AN172" i="27" s="1"/>
  <c r="AU27" i="93"/>
  <c r="AZ27" i="93" s="1"/>
  <c r="AN132" i="27" a="1"/>
  <c r="AN132" i="27" s="1"/>
  <c r="AN112" i="27" a="1"/>
  <c r="AN112" i="27" s="1"/>
  <c r="AN60" i="93"/>
  <c r="AJ75" i="93" a="1"/>
  <c r="AJ75" i="93" s="1"/>
  <c r="AN68" i="93"/>
  <c r="AO152" i="27" a="1"/>
  <c r="AO152" i="27" s="1"/>
  <c r="AQ152" i="27" s="1"/>
  <c r="AK52" i="27"/>
  <c r="AM52" i="27" s="1"/>
  <c r="AJ74" i="93" a="1"/>
  <c r="AJ74" i="93" s="1"/>
  <c r="AO192" i="27" a="1"/>
  <c r="AO192" i="27" s="1"/>
  <c r="AR192" i="27" s="1"/>
  <c r="AN59" i="27" a="1"/>
  <c r="AN59" i="27" s="1"/>
  <c r="AO151" i="27" a="1"/>
  <c r="AO151" i="27" s="1"/>
  <c r="AP151" i="27" s="1" a="1"/>
  <c r="AP151" i="27" s="1"/>
  <c r="AO183" i="27" a="1"/>
  <c r="AO183" i="27" s="1"/>
  <c r="AP183" i="27" s="1" a="1"/>
  <c r="AP183" i="27" s="1"/>
  <c r="AM40" i="27"/>
  <c r="AK25" i="93" a="1"/>
  <c r="AK25" i="93" s="1"/>
  <c r="AL25" i="93" s="1" a="1"/>
  <c r="AL25" i="93" s="1"/>
  <c r="AN52" i="27" a="1"/>
  <c r="AN52" i="27" s="1"/>
  <c r="AO180" i="27" a="1"/>
  <c r="AO180" i="27" s="1"/>
  <c r="AR180" i="27" s="1"/>
  <c r="AO43" i="27" a="1"/>
  <c r="AO43" i="27" s="1"/>
  <c r="AS43" i="27" s="1"/>
  <c r="AT43" i="27" s="1" a="1"/>
  <c r="AT43" i="27" s="1"/>
  <c r="AK227" i="27"/>
  <c r="AM227" i="27" s="1"/>
  <c r="AN77" i="93"/>
  <c r="AO179" i="27" a="1"/>
  <c r="AO179" i="27" s="1"/>
  <c r="AS179" i="27" s="1"/>
  <c r="AT179" i="27" s="1" a="1"/>
  <c r="AT179" i="27" s="1"/>
  <c r="AR34" i="27"/>
  <c r="AP34" i="27" a="1"/>
  <c r="AP34" i="27" s="1"/>
  <c r="AS34" i="27"/>
  <c r="AT34" i="27" s="1" a="1"/>
  <c r="AT34" i="27" s="1"/>
  <c r="AQ34" i="27"/>
  <c r="AU34" i="27" a="1"/>
  <c r="AU34" i="27" s="1"/>
  <c r="AX34" i="27" s="1"/>
  <c r="AY34" i="27" s="1"/>
  <c r="AP174" i="27" a="1"/>
  <c r="AP174" i="27" s="1"/>
  <c r="AQ174" i="27"/>
  <c r="AU174" i="27" a="1"/>
  <c r="AU174" i="27" s="1"/>
  <c r="AV174" i="27" s="1" a="1"/>
  <c r="AV174" i="27" s="1"/>
  <c r="AS174" i="27"/>
  <c r="AT174" i="27" s="1" a="1"/>
  <c r="AT174" i="27" s="1"/>
  <c r="AP109" i="27" a="1"/>
  <c r="AP109" i="27" s="1"/>
  <c r="AQ109" i="27"/>
  <c r="AL224" i="92"/>
  <c r="AD204" i="92"/>
  <c r="AL184" i="92"/>
  <c r="AL144" i="92"/>
  <c r="AL124" i="92"/>
  <c r="AL84" i="92"/>
  <c r="AL64" i="92"/>
  <c r="AL44" i="92"/>
  <c r="AL24" i="92"/>
  <c r="AP69" i="92"/>
  <c r="AU54" i="27" a="1"/>
  <c r="AU54" i="27" s="1"/>
  <c r="AX54" i="27" s="1"/>
  <c r="AS186" i="27"/>
  <c r="AT186" i="27" s="1" a="1"/>
  <c r="AT186" i="27" s="1"/>
  <c r="AR174" i="27"/>
  <c r="AR14" i="27"/>
  <c r="AO149" i="27" a="1"/>
  <c r="AO149" i="27" s="1"/>
  <c r="AR149" i="27" s="1"/>
  <c r="AK203" i="27"/>
  <c r="AM203" i="27" s="1"/>
  <c r="AK83" i="27"/>
  <c r="AM83" i="27" s="1"/>
  <c r="AJ136" i="27" a="1"/>
  <c r="AJ136" i="27" s="1"/>
  <c r="AN136" i="27" s="1" a="1"/>
  <c r="AN136" i="27" s="1"/>
  <c r="AL18" i="92"/>
  <c r="AH157" i="92"/>
  <c r="AH95" i="92"/>
  <c r="AJ85" i="92"/>
  <c r="AB85" i="92"/>
  <c r="AJ202" i="92"/>
  <c r="AB202" i="92"/>
  <c r="AO209" i="27" a="1"/>
  <c r="AO209" i="27" s="1"/>
  <c r="AU209" i="27" s="1" a="1"/>
  <c r="AU209" i="27" s="1"/>
  <c r="AX209" i="27" s="1"/>
  <c r="AO59" i="27" a="1"/>
  <c r="AO59" i="27" s="1"/>
  <c r="AR59" i="27" s="1"/>
  <c r="AK79" i="27"/>
  <c r="AM79" i="27" s="1"/>
  <c r="AJ116" i="27" a="1"/>
  <c r="AJ116" i="27" s="1"/>
  <c r="AN116" i="27" s="1" a="1"/>
  <c r="AN116" i="27" s="1"/>
  <c r="AG68" i="92"/>
  <c r="AF219" i="92"/>
  <c r="AS72" i="27"/>
  <c r="AT72" i="27" s="1" a="1"/>
  <c r="AT72" i="27" s="1"/>
  <c r="AO103" i="27" a="1"/>
  <c r="AO103" i="27" s="1"/>
  <c r="AS103" i="27" s="1"/>
  <c r="AT103" i="27" s="1" a="1"/>
  <c r="AT103" i="27" s="1"/>
  <c r="AK190" i="27"/>
  <c r="AM190" i="27" s="1"/>
  <c r="AJ103" i="27" a="1"/>
  <c r="AJ103" i="27" s="1"/>
  <c r="AN103" i="27" s="1" a="1"/>
  <c r="AN103" i="27" s="1"/>
  <c r="AO51" i="92"/>
  <c r="AH229" i="92"/>
  <c r="AH57" i="92"/>
  <c r="AF32" i="92"/>
  <c r="AN239" i="27" a="1"/>
  <c r="AN239" i="27" s="1"/>
  <c r="AM219" i="27"/>
  <c r="AK59" i="27"/>
  <c r="AM59" i="27" s="1"/>
  <c r="AK159" i="27"/>
  <c r="AM159" i="27" s="1"/>
  <c r="AO47" i="92"/>
  <c r="AO169" i="27" a="1"/>
  <c r="AO169" i="27" s="1"/>
  <c r="AS169" i="27" s="1"/>
  <c r="AT169" i="27" s="1" a="1"/>
  <c r="AT169" i="27" s="1"/>
  <c r="AM209" i="27"/>
  <c r="AK149" i="27"/>
  <c r="AM149" i="27" s="1"/>
  <c r="AJ43" i="27" a="1"/>
  <c r="AJ43" i="27" s="1"/>
  <c r="AN43" i="27" s="1" a="1"/>
  <c r="AN43" i="27" s="1"/>
  <c r="AL209" i="92"/>
  <c r="AO129" i="27" a="1"/>
  <c r="AO129" i="27" s="1"/>
  <c r="AR129" i="27" s="1"/>
  <c r="AO39" i="27" a="1"/>
  <c r="AO39" i="27" s="1"/>
  <c r="AS39" i="27" s="1"/>
  <c r="AT39" i="27" s="1" a="1"/>
  <c r="AT39" i="27" s="1"/>
  <c r="AM116" i="27"/>
  <c r="AK139" i="27"/>
  <c r="AM139" i="27" s="1"/>
  <c r="AK23" i="27"/>
  <c r="AM23" i="27" s="1"/>
  <c r="AJ39" i="27" a="1"/>
  <c r="AJ39" i="27" s="1"/>
  <c r="AN39" i="27" s="1" a="1"/>
  <c r="AN39" i="27" s="1"/>
  <c r="AO131" i="92"/>
  <c r="AH78" i="92"/>
  <c r="AJ36" i="92"/>
  <c r="AB36" i="92"/>
  <c r="AE235" i="92"/>
  <c r="AM235" i="92"/>
  <c r="AJ35" i="92"/>
  <c r="AB35" i="92"/>
  <c r="AC172" i="92"/>
  <c r="AK172" i="92"/>
  <c r="AD32" i="92"/>
  <c r="AL32" i="92"/>
  <c r="AN149" i="27" a="1"/>
  <c r="AN149" i="27" s="1"/>
  <c r="AM103" i="27"/>
  <c r="AR72" i="27"/>
  <c r="AO123" i="27" a="1"/>
  <c r="AO123" i="27" s="1"/>
  <c r="AP123" i="27" s="1" a="1"/>
  <c r="AP123" i="27" s="1"/>
  <c r="AM183" i="27"/>
  <c r="AF116" i="92"/>
  <c r="AN116" i="92"/>
  <c r="AA146" i="92"/>
  <c r="AI146" i="92"/>
  <c r="AU238" i="27" a="1"/>
  <c r="AU238" i="27" s="1"/>
  <c r="AW238" i="27" s="1"/>
  <c r="AS114" i="27"/>
  <c r="AT114" i="27" s="1" a="1"/>
  <c r="AT114" i="27" s="1"/>
  <c r="AO219" i="27" a="1"/>
  <c r="AO219" i="27" s="1"/>
  <c r="AQ219" i="27" s="1"/>
  <c r="AO83" i="27" a="1"/>
  <c r="AO83" i="27" s="1"/>
  <c r="AK123" i="27"/>
  <c r="AM123" i="27" s="1"/>
  <c r="AJ209" i="27" a="1"/>
  <c r="AJ209" i="27" s="1"/>
  <c r="AN209" i="27" s="1" a="1"/>
  <c r="AN209" i="27" s="1"/>
  <c r="AC116" i="92"/>
  <c r="AP117" i="92"/>
  <c r="AH135" i="92"/>
  <c r="AN114" i="92"/>
  <c r="AF114" i="92"/>
  <c r="AJ62" i="92"/>
  <c r="AB62" i="92"/>
  <c r="AA68" i="92"/>
  <c r="AI68" i="92"/>
  <c r="AH16" i="92"/>
  <c r="AP16" i="92"/>
  <c r="BA16" i="113" s="1" a="1"/>
  <c r="BA16" i="113" s="1"/>
  <c r="AJ61" i="92"/>
  <c r="AB61" i="92"/>
  <c r="AO229" i="27" a="1"/>
  <c r="AO229" i="27" s="1"/>
  <c r="AU229" i="27" s="1" a="1"/>
  <c r="AU229" i="27" s="1"/>
  <c r="AK229" i="27"/>
  <c r="AM229" i="27" s="1"/>
  <c r="AJ167" i="27" a="1"/>
  <c r="AJ167" i="27" s="1"/>
  <c r="AN167" i="27" s="1" a="1"/>
  <c r="AN167" i="27" s="1"/>
  <c r="AH15" i="92"/>
  <c r="AP15" i="92"/>
  <c r="AO228" i="92"/>
  <c r="AG228" i="92"/>
  <c r="AN158" i="92"/>
  <c r="AF158" i="92"/>
  <c r="AF181" i="92"/>
  <c r="AM126" i="92"/>
  <c r="AM101" i="92"/>
  <c r="AU87" i="27" a="1"/>
  <c r="AU87" i="27" s="1"/>
  <c r="AX87" i="27" s="1"/>
  <c r="AY87" i="27" s="1"/>
  <c r="AZ87" i="27" s="1" a="1"/>
  <c r="AZ87" i="27" s="1"/>
  <c r="AQ87" i="27"/>
  <c r="AP148" i="27" a="1"/>
  <c r="AP148" i="27" s="1"/>
  <c r="AU148" i="27" a="1"/>
  <c r="AU148" i="27" s="1"/>
  <c r="AV148" i="27" s="1" a="1"/>
  <c r="AV148" i="27" s="1"/>
  <c r="AQ148" i="27"/>
  <c r="AQ188" i="27"/>
  <c r="AU188" i="27" a="1"/>
  <c r="AU188" i="27" s="1"/>
  <c r="AW188" i="27" s="1"/>
  <c r="AU208" i="27" a="1"/>
  <c r="AU208" i="27" s="1"/>
  <c r="AV208" i="27" s="1" a="1"/>
  <c r="AV208" i="27" s="1"/>
  <c r="AR88" i="27"/>
  <c r="AR208" i="27"/>
  <c r="AJ183" i="27" a="1"/>
  <c r="AJ183" i="27" s="1"/>
  <c r="AN183" i="27" s="1" a="1"/>
  <c r="AN183" i="27" s="1"/>
  <c r="AN229" i="27" a="1"/>
  <c r="AN229" i="27" s="1"/>
  <c r="AJ169" i="27" a="1"/>
  <c r="AJ169" i="27" s="1"/>
  <c r="AN169" i="27" s="1" a="1"/>
  <c r="AN169" i="27" s="1"/>
  <c r="AJ23" i="27" a="1"/>
  <c r="AJ23" i="27" s="1"/>
  <c r="AN23" i="27" s="1" a="1"/>
  <c r="AN23" i="27" s="1"/>
  <c r="AR185" i="27"/>
  <c r="AU194" i="27" a="1"/>
  <c r="AU194" i="27" s="1"/>
  <c r="AV194" i="27" s="1" a="1"/>
  <c r="AV194" i="27" s="1"/>
  <c r="AU12" i="27" a="1"/>
  <c r="AU12" i="27" s="1"/>
  <c r="AW12" i="27" s="1"/>
  <c r="AR45" i="27"/>
  <c r="AM43" i="27"/>
  <c r="AJ150" i="27" a="1"/>
  <c r="AJ150" i="27" s="1"/>
  <c r="AN150" i="27" s="1" a="1"/>
  <c r="AN150" i="27" s="1"/>
  <c r="AJ10" i="27" a="1"/>
  <c r="AJ10" i="27" s="1"/>
  <c r="AN10" i="27" s="1" a="1"/>
  <c r="AN10" i="27" s="1"/>
  <c r="AP12" i="27" a="1"/>
  <c r="AP12" i="27" s="1"/>
  <c r="AO85" i="27" a="1"/>
  <c r="AO85" i="27" s="1"/>
  <c r="AS85" i="27" s="1"/>
  <c r="AT85" i="27" s="1" a="1"/>
  <c r="AT85" i="27" s="1"/>
  <c r="AR148" i="27"/>
  <c r="AU128" i="27" a="1"/>
  <c r="AU128" i="27" s="1"/>
  <c r="AX128" i="27" s="1"/>
  <c r="AY128" i="27" s="1"/>
  <c r="AZ128" i="27" s="1" a="1"/>
  <c r="AZ128" i="27" s="1"/>
  <c r="AQ108" i="27"/>
  <c r="AN147" i="27" a="1"/>
  <c r="AN147" i="27" s="1"/>
  <c r="AM223" i="27"/>
  <c r="AM36" i="27"/>
  <c r="AJ123" i="27" a="1"/>
  <c r="AJ123" i="27" s="1"/>
  <c r="AN123" i="27" s="1" a="1"/>
  <c r="AN123" i="27" s="1"/>
  <c r="AS148" i="27"/>
  <c r="AT148" i="27" s="1" a="1"/>
  <c r="AT148" i="27" s="1"/>
  <c r="AQ105" i="27"/>
  <c r="AN96" i="27" a="1"/>
  <c r="AN96" i="27" s="1"/>
  <c r="AJ223" i="27" a="1"/>
  <c r="AJ223" i="27" s="1"/>
  <c r="AN223" i="27" s="1" a="1"/>
  <c r="AN223" i="27" s="1"/>
  <c r="AJ83" i="27" a="1"/>
  <c r="AJ83" i="27" s="1"/>
  <c r="AN83" i="27" s="1" a="1"/>
  <c r="AN83" i="27" s="1"/>
  <c r="AJ219" i="27" a="1"/>
  <c r="AJ219" i="27" s="1"/>
  <c r="AN219" i="27" s="1" a="1"/>
  <c r="AN219" i="27" s="1"/>
  <c r="AJ76" i="27" a="1"/>
  <c r="AJ76" i="27" s="1"/>
  <c r="AN76" i="27" s="1" a="1"/>
  <c r="AN76" i="27" s="1"/>
  <c r="AU108" i="27" a="1"/>
  <c r="AU108" i="27" s="1"/>
  <c r="AW108" i="27" s="1"/>
  <c r="AR105" i="27"/>
  <c r="AQ194" i="27"/>
  <c r="AK207" i="27"/>
  <c r="AM207" i="27" s="1"/>
  <c r="AJ210" i="27" a="1"/>
  <c r="AJ210" i="27" s="1"/>
  <c r="AN210" i="27" s="1" a="1"/>
  <c r="AN210" i="27" s="1"/>
  <c r="AS12" i="27"/>
  <c r="AT12" i="27" s="1" a="1"/>
  <c r="AT12" i="27" s="1"/>
  <c r="AP45" i="27" a="1"/>
  <c r="AP45" i="27" s="1"/>
  <c r="AU45" i="27" a="1"/>
  <c r="AU45" i="27" s="1"/>
  <c r="AW45" i="27" s="1"/>
  <c r="AK196" i="27"/>
  <c r="AM196" i="27" s="1"/>
  <c r="AQ9" i="27"/>
  <c r="AU9" i="27" a="1"/>
  <c r="AU9" i="27" s="1"/>
  <c r="AX9" i="27" s="1"/>
  <c r="AY9" i="27" s="1"/>
  <c r="AZ9" i="27" s="1" a="1"/>
  <c r="AZ9" i="27" s="1"/>
  <c r="AS9" i="27"/>
  <c r="AT9" i="27" s="1" a="1"/>
  <c r="AT9" i="27" s="1"/>
  <c r="AX154" i="27"/>
  <c r="AW154" i="27"/>
  <c r="AQ162" i="27"/>
  <c r="AU162" i="27" a="1"/>
  <c r="AU162" i="27" s="1"/>
  <c r="AX162" i="27" s="1"/>
  <c r="AY162" i="27" s="1"/>
  <c r="AZ162" i="27" s="1" a="1"/>
  <c r="AZ162" i="27" s="1"/>
  <c r="AP162" i="27" a="1"/>
  <c r="AP162" i="27" s="1"/>
  <c r="AR162" i="27"/>
  <c r="AP202" i="27" a="1"/>
  <c r="AP202" i="27" s="1"/>
  <c r="AU202" i="27" a="1"/>
  <c r="AU202" i="27" s="1"/>
  <c r="AX202" i="27" s="1"/>
  <c r="AY202" i="27" s="1"/>
  <c r="AZ202" i="27" s="1" a="1"/>
  <c r="AZ202" i="27" s="1"/>
  <c r="AX105" i="27"/>
  <c r="AY105" i="27" s="1"/>
  <c r="AV105" i="27" a="1"/>
  <c r="AV105" i="27" s="1"/>
  <c r="AV189" i="27" a="1"/>
  <c r="AV189" i="27" s="1"/>
  <c r="AX189" i="27"/>
  <c r="AY189" i="27" s="1"/>
  <c r="AZ189" i="27" s="1" a="1"/>
  <c r="AZ189" i="27" s="1"/>
  <c r="AP185" i="27" a="1"/>
  <c r="AP185" i="27" s="1"/>
  <c r="AQ185" i="27"/>
  <c r="AK235" i="27"/>
  <c r="AM235" i="27" s="1"/>
  <c r="AO235" i="27" a="1"/>
  <c r="AO235" i="27" s="1"/>
  <c r="AU235" i="27" s="1" a="1"/>
  <c r="AU235" i="27" s="1"/>
  <c r="AV235" i="27" s="1" a="1"/>
  <c r="AV235" i="27" s="1"/>
  <c r="AJ215" i="27" a="1"/>
  <c r="AJ215" i="27" s="1"/>
  <c r="AN215" i="27" s="1" a="1"/>
  <c r="AN215" i="27" s="1"/>
  <c r="AO215" i="27" a="1"/>
  <c r="AO215" i="27" s="1"/>
  <c r="AP215" i="27" s="1" a="1"/>
  <c r="AP215" i="27" s="1"/>
  <c r="AK215" i="27"/>
  <c r="AM215" i="27" s="1"/>
  <c r="AK175" i="27"/>
  <c r="AM175" i="27" s="1"/>
  <c r="AJ175" i="27" a="1"/>
  <c r="AJ175" i="27" s="1"/>
  <c r="AN175" i="27" s="1" a="1"/>
  <c r="AN175" i="27" s="1"/>
  <c r="AO175" i="27" a="1"/>
  <c r="AO175" i="27" s="1"/>
  <c r="AS175" i="27" s="1"/>
  <c r="AT175" i="27" s="1" a="1"/>
  <c r="AT175" i="27" s="1"/>
  <c r="AO115" i="27" a="1"/>
  <c r="AO115" i="27" s="1"/>
  <c r="AR115" i="27" s="1"/>
  <c r="AK115" i="27"/>
  <c r="AM115" i="27" s="1"/>
  <c r="AJ115" i="27" a="1"/>
  <c r="AJ115" i="27" s="1"/>
  <c r="AN115" i="27" s="1" a="1"/>
  <c r="AN115" i="27" s="1"/>
  <c r="AK95" i="27"/>
  <c r="AM95" i="27" s="1"/>
  <c r="AJ95" i="27" a="1"/>
  <c r="AJ95" i="27" s="1"/>
  <c r="AN95" i="27" s="1" a="1"/>
  <c r="AN95" i="27" s="1"/>
  <c r="AO95" i="27" a="1"/>
  <c r="AO95" i="27" s="1"/>
  <c r="AU95" i="27" s="1" a="1"/>
  <c r="AU95" i="27" s="1"/>
  <c r="AX95" i="27" s="1"/>
  <c r="AY95" i="27" s="1"/>
  <c r="AO75" i="27" a="1"/>
  <c r="AO75" i="27" s="1"/>
  <c r="AS75" i="27" s="1"/>
  <c r="AT75" i="27" s="1" a="1"/>
  <c r="AT75" i="27" s="1"/>
  <c r="AJ75" i="27" a="1"/>
  <c r="AJ75" i="27" s="1"/>
  <c r="AN75" i="27" s="1" a="1"/>
  <c r="AN75" i="27" s="1"/>
  <c r="AK75" i="27"/>
  <c r="AM75" i="27" s="1"/>
  <c r="AK55" i="27"/>
  <c r="AM55" i="27" s="1"/>
  <c r="AO55" i="27" a="1"/>
  <c r="AO55" i="27" s="1"/>
  <c r="AR55" i="27" s="1"/>
  <c r="AK35" i="27"/>
  <c r="AM35" i="27" s="1"/>
  <c r="AJ35" i="27" a="1"/>
  <c r="AJ35" i="27" s="1"/>
  <c r="AN35" i="27" s="1" a="1"/>
  <c r="AN35" i="27" s="1"/>
  <c r="AO35" i="27" a="1"/>
  <c r="AO35" i="27" s="1"/>
  <c r="AR35" i="27" s="1"/>
  <c r="AJ15" i="27" a="1"/>
  <c r="AJ15" i="27" s="1"/>
  <c r="AN15" i="27" s="1" a="1"/>
  <c r="AN15" i="27" s="1"/>
  <c r="AK15" i="27"/>
  <c r="AM15" i="27" s="1"/>
  <c r="AO15" i="27" a="1"/>
  <c r="AO15" i="27" s="1"/>
  <c r="AS15" i="27" s="1"/>
  <c r="AT15" i="27" s="1" a="1"/>
  <c r="AT15" i="27" s="1"/>
  <c r="AP28" i="27" a="1"/>
  <c r="AP28" i="27" s="1"/>
  <c r="AS28" i="27"/>
  <c r="AT28" i="27" s="1" a="1"/>
  <c r="AT28" i="27" s="1"/>
  <c r="AR28" i="27"/>
  <c r="AU28" i="27" a="1"/>
  <c r="AU28" i="27" s="1"/>
  <c r="AK155" i="27"/>
  <c r="AM155" i="27" s="1"/>
  <c r="AJ155" i="27" a="1"/>
  <c r="AJ155" i="27" s="1"/>
  <c r="AN155" i="27" s="1" a="1"/>
  <c r="AN155" i="27" s="1"/>
  <c r="AO155" i="27" a="1"/>
  <c r="AO155" i="27" s="1"/>
  <c r="AS155" i="27" s="1"/>
  <c r="AT155" i="27" s="1" a="1"/>
  <c r="AT155" i="27" s="1"/>
  <c r="AJ135" i="27" a="1"/>
  <c r="AJ135" i="27" s="1"/>
  <c r="AN135" i="27" s="1" a="1"/>
  <c r="AN135" i="27" s="1"/>
  <c r="AK135" i="27"/>
  <c r="AM135" i="27" s="1"/>
  <c r="AO135" i="27" a="1"/>
  <c r="AO135" i="27" s="1"/>
  <c r="AS135" i="27" s="1"/>
  <c r="AT135" i="27" s="1" a="1"/>
  <c r="AT135" i="27" s="1"/>
  <c r="AP68" i="27" a="1"/>
  <c r="AP68" i="27" s="1"/>
  <c r="AS68" i="27"/>
  <c r="AT68" i="27" s="1" a="1"/>
  <c r="AT68" i="27" s="1"/>
  <c r="AR68" i="27"/>
  <c r="AU68" i="27" a="1"/>
  <c r="AU68" i="27" s="1"/>
  <c r="AV68" i="27" s="1" a="1"/>
  <c r="AV68" i="27" s="1"/>
  <c r="AK195" i="27"/>
  <c r="AM195" i="27" s="1"/>
  <c r="AO195" i="27" a="1"/>
  <c r="AO195" i="27" s="1"/>
  <c r="AU195" i="27" s="1" a="1"/>
  <c r="AU195" i="27" s="1"/>
  <c r="AW195" i="27" s="1"/>
  <c r="AR154" i="27"/>
  <c r="AQ154" i="27"/>
  <c r="AS139" i="27"/>
  <c r="AT139" i="27" s="1" a="1"/>
  <c r="AT139" i="27" s="1"/>
  <c r="AO25" i="27" a="1"/>
  <c r="AO25" i="27" s="1"/>
  <c r="AQ25" i="27" s="1"/>
  <c r="AJ62" i="27" a="1"/>
  <c r="AJ62" i="27" s="1"/>
  <c r="AN62" i="27" s="1" a="1"/>
  <c r="AN62" i="27" s="1"/>
  <c r="AK213" i="27"/>
  <c r="AM213" i="27" s="1"/>
  <c r="AJ213" i="27" a="1"/>
  <c r="AJ213" i="27" s="1"/>
  <c r="AN213" i="27" s="1" a="1"/>
  <c r="AN213" i="27" s="1"/>
  <c r="AK193" i="27"/>
  <c r="AM193" i="27" s="1"/>
  <c r="AK173" i="27"/>
  <c r="AM173" i="27" s="1"/>
  <c r="AJ153" i="27" a="1"/>
  <c r="AJ153" i="27" s="1"/>
  <c r="AN153" i="27" s="1" a="1"/>
  <c r="AN153" i="27" s="1"/>
  <c r="AM133" i="27"/>
  <c r="AJ133" i="27" a="1"/>
  <c r="AJ133" i="27" s="1"/>
  <c r="AN133" i="27" s="1" a="1"/>
  <c r="AN133" i="27" s="1"/>
  <c r="AK113" i="27"/>
  <c r="AM113" i="27" s="1"/>
  <c r="AJ113" i="27" a="1"/>
  <c r="AJ113" i="27" s="1"/>
  <c r="AN113" i="27" s="1" a="1"/>
  <c r="AN113" i="27" s="1"/>
  <c r="AJ93" i="27" a="1"/>
  <c r="AJ93" i="27" s="1"/>
  <c r="AN93" i="27" s="1" a="1"/>
  <c r="AN93" i="27" s="1"/>
  <c r="AK93" i="27"/>
  <c r="AM93" i="27" s="1"/>
  <c r="AO73" i="27" a="1"/>
  <c r="AO73" i="27" s="1"/>
  <c r="AJ73" i="27" a="1"/>
  <c r="AJ73" i="27" s="1"/>
  <c r="AN73" i="27" s="1" a="1"/>
  <c r="AN73" i="27" s="1"/>
  <c r="AK53" i="27"/>
  <c r="AM53" i="27" s="1"/>
  <c r="AO53" i="27" a="1"/>
  <c r="AO53" i="27" s="1"/>
  <c r="AJ33" i="27" a="1"/>
  <c r="AJ33" i="27" s="1"/>
  <c r="AN33" i="27" s="1" a="1"/>
  <c r="AN33" i="27" s="1"/>
  <c r="AO33" i="27" a="1"/>
  <c r="AO33" i="27" s="1"/>
  <c r="AK33" i="27"/>
  <c r="AM33" i="27" s="1"/>
  <c r="AK13" i="27"/>
  <c r="AM13" i="27" s="1"/>
  <c r="AO13" i="27" a="1"/>
  <c r="AO13" i="27" s="1"/>
  <c r="AU13" i="27" s="1" a="1"/>
  <c r="AU13" i="27" s="1"/>
  <c r="AQ193" i="27"/>
  <c r="AU114" i="27" a="1"/>
  <c r="AU114" i="27" s="1"/>
  <c r="AS93" i="27"/>
  <c r="AT93" i="27" s="1" a="1"/>
  <c r="AT93" i="27" s="1"/>
  <c r="AO205" i="27" a="1"/>
  <c r="AO205" i="27" s="1"/>
  <c r="AQ205" i="27" s="1"/>
  <c r="AO125" i="27" a="1"/>
  <c r="AO125" i="27" s="1"/>
  <c r="AK129" i="27"/>
  <c r="AM129" i="27" s="1"/>
  <c r="AJ173" i="27" a="1"/>
  <c r="AJ173" i="27" s="1"/>
  <c r="AN173" i="27" s="1" a="1"/>
  <c r="AN173" i="27" s="1"/>
  <c r="AJ53" i="27" a="1"/>
  <c r="AJ53" i="27" s="1"/>
  <c r="AN53" i="27" s="1" a="1"/>
  <c r="AN53" i="27" s="1"/>
  <c r="AO131" i="27" a="1"/>
  <c r="AO131" i="27" s="1"/>
  <c r="AS131" i="27" s="1"/>
  <c r="AT131" i="27" s="1" a="1"/>
  <c r="AT131" i="27" s="1"/>
  <c r="AJ109" i="27" a="1"/>
  <c r="AJ109" i="27" s="1"/>
  <c r="AN109" i="27" s="1" a="1"/>
  <c r="AN109" i="27" s="1"/>
  <c r="AK109" i="27"/>
  <c r="AM109" i="27" s="1"/>
  <c r="AJ89" i="27" a="1"/>
  <c r="AJ89" i="27" s="1"/>
  <c r="AN89" i="27" s="1" a="1"/>
  <c r="AN89" i="27" s="1"/>
  <c r="AM89" i="27"/>
  <c r="AO89" i="27" a="1"/>
  <c r="AO89" i="27" s="1"/>
  <c r="AR89" i="27" s="1"/>
  <c r="AJ69" i="27" a="1"/>
  <c r="AJ69" i="27" s="1"/>
  <c r="AN69" i="27" s="1" a="1"/>
  <c r="AN69" i="27" s="1"/>
  <c r="AK69" i="27"/>
  <c r="AM69" i="27" s="1"/>
  <c r="AJ49" i="27" a="1"/>
  <c r="AJ49" i="27" s="1"/>
  <c r="AN49" i="27" s="1" a="1"/>
  <c r="AN49" i="27" s="1"/>
  <c r="AK49" i="27"/>
  <c r="AM49" i="27" s="1"/>
  <c r="AO49" i="27" a="1"/>
  <c r="AO49" i="27" s="1"/>
  <c r="AU49" i="27" s="1" a="1"/>
  <c r="AU49" i="27" s="1"/>
  <c r="AJ29" i="27" a="1"/>
  <c r="AJ29" i="27" s="1"/>
  <c r="AN29" i="27" s="1" a="1"/>
  <c r="AN29" i="27" s="1"/>
  <c r="AK29" i="27"/>
  <c r="AM29" i="27" s="1"/>
  <c r="AO29" i="27" a="1"/>
  <c r="AO29" i="27" s="1"/>
  <c r="AU29" i="27" s="1" a="1"/>
  <c r="AU29" i="27" s="1"/>
  <c r="AJ9" i="27" a="1"/>
  <c r="AJ9" i="27" s="1"/>
  <c r="AN9" i="27" s="1" a="1"/>
  <c r="AN9" i="27" s="1"/>
  <c r="AK9" i="27"/>
  <c r="AM9" i="27" s="1"/>
  <c r="AV168" i="27" a="1"/>
  <c r="AV168" i="27" s="1"/>
  <c r="AU193" i="27" a="1"/>
  <c r="AU193" i="27" s="1"/>
  <c r="AX193" i="27" s="1"/>
  <c r="AU139" i="27" a="1"/>
  <c r="AU139" i="27" s="1"/>
  <c r="AP14" i="27" a="1"/>
  <c r="AP14" i="27" s="1"/>
  <c r="AO225" i="27" a="1"/>
  <c r="AO225" i="27" s="1"/>
  <c r="AU225" i="27" s="1" a="1"/>
  <c r="AU225" i="27" s="1"/>
  <c r="AX225" i="27" s="1"/>
  <c r="AY225" i="27" s="1"/>
  <c r="AZ225" i="27" s="1" a="1"/>
  <c r="AZ225" i="27" s="1"/>
  <c r="AO122" i="27" a="1"/>
  <c r="AO122" i="27" s="1"/>
  <c r="AS122" i="27" s="1"/>
  <c r="AT122" i="27" s="1" a="1"/>
  <c r="AT122" i="27" s="1"/>
  <c r="AQ74" i="27"/>
  <c r="AS87" i="27"/>
  <c r="AT87" i="27" s="1" a="1"/>
  <c r="AT87" i="27" s="1"/>
  <c r="AP87" i="27" a="1"/>
  <c r="AP87" i="27" s="1"/>
  <c r="AR87" i="27"/>
  <c r="AM169" i="27"/>
  <c r="AP105" i="27" a="1"/>
  <c r="AP105" i="27" s="1"/>
  <c r="AJ233" i="27" a="1"/>
  <c r="AJ233" i="27" s="1"/>
  <c r="AN233" i="27" s="1" a="1"/>
  <c r="AN233" i="27" s="1"/>
  <c r="AJ185" i="27" a="1"/>
  <c r="AJ185" i="27" s="1"/>
  <c r="AN185" i="27" s="1" a="1"/>
  <c r="AN185" i="27" s="1"/>
  <c r="AS185" i="27"/>
  <c r="AT185" i="27" s="1" a="1"/>
  <c r="AT185" i="27" s="1"/>
  <c r="AX185" i="27"/>
  <c r="AY185" i="27" s="1"/>
  <c r="AX65" i="27"/>
  <c r="AJ165" i="27" a="1"/>
  <c r="AJ165" i="27" s="1"/>
  <c r="AN165" i="27" s="1" a="1"/>
  <c r="AN165" i="27" s="1"/>
  <c r="AO165" i="27" a="1"/>
  <c r="AO165" i="27" s="1"/>
  <c r="AR165" i="27" s="1"/>
  <c r="AS74" i="27"/>
  <c r="AT74" i="27" s="1" a="1"/>
  <c r="AT74" i="27" s="1"/>
  <c r="AR193" i="27"/>
  <c r="AR74" i="27"/>
  <c r="AQ114" i="27"/>
  <c r="AO145" i="27" a="1"/>
  <c r="AO145" i="27" s="1"/>
  <c r="AJ224" i="27" a="1"/>
  <c r="AJ224" i="27" s="1"/>
  <c r="AN224" i="27" s="1" a="1"/>
  <c r="AN224" i="27" s="1"/>
  <c r="AO224" i="27" a="1"/>
  <c r="AO224" i="27" s="1"/>
  <c r="AP224" i="27" s="1" a="1"/>
  <c r="AP224" i="27" s="1"/>
  <c r="AJ204" i="27" a="1"/>
  <c r="AJ204" i="27" s="1"/>
  <c r="AN204" i="27" s="1" a="1"/>
  <c r="AN204" i="27" s="1"/>
  <c r="AK164" i="27"/>
  <c r="AM164" i="27" s="1"/>
  <c r="AJ124" i="27" a="1"/>
  <c r="AJ124" i="27" s="1"/>
  <c r="AN124" i="27" s="1" a="1"/>
  <c r="AN124" i="27" s="1"/>
  <c r="AK104" i="27"/>
  <c r="AM104" i="27" s="1"/>
  <c r="AO104" i="27" a="1"/>
  <c r="AO104" i="27" s="1"/>
  <c r="AJ84" i="27" a="1"/>
  <c r="AJ84" i="27" s="1"/>
  <c r="AN84" i="27" s="1" a="1"/>
  <c r="AN84" i="27" s="1"/>
  <c r="AO64" i="27" a="1"/>
  <c r="AO64" i="27" s="1"/>
  <c r="AJ64" i="27" a="1"/>
  <c r="AJ64" i="27" s="1"/>
  <c r="AN64" i="27" s="1" a="1"/>
  <c r="AN64" i="27" s="1"/>
  <c r="AM64" i="27"/>
  <c r="AO44" i="27" a="1"/>
  <c r="AO44" i="27" s="1"/>
  <c r="AQ44" i="27" s="1"/>
  <c r="AK44" i="27"/>
  <c r="AM44" i="27" s="1"/>
  <c r="AM24" i="27"/>
  <c r="AO24" i="27" a="1"/>
  <c r="AO24" i="27" s="1"/>
  <c r="AR194" i="27"/>
  <c r="AP194" i="27" a="1"/>
  <c r="AP194" i="27" s="1"/>
  <c r="AK189" i="27"/>
  <c r="AM189" i="27" s="1"/>
  <c r="AP23" i="27" a="1"/>
  <c r="AP23" i="27" s="1"/>
  <c r="AS23" i="27"/>
  <c r="AT23" i="27" s="1" a="1"/>
  <c r="AT23" i="27" s="1"/>
  <c r="AU23" i="27" a="1"/>
  <c r="AU23" i="27" s="1"/>
  <c r="AK162" i="27"/>
  <c r="AM162" i="27" s="1"/>
  <c r="AS162" i="27"/>
  <c r="AT162" i="27" s="1" a="1"/>
  <c r="AT162" i="27" s="1"/>
  <c r="AR109" i="27"/>
  <c r="AU109" i="27" a="1"/>
  <c r="AU109" i="27" s="1"/>
  <c r="AV109" i="27" s="1" a="1"/>
  <c r="AV109" i="27" s="1"/>
  <c r="AS154" i="27"/>
  <c r="AT154" i="27" s="1" a="1"/>
  <c r="AT154" i="27" s="1"/>
  <c r="AS109" i="27"/>
  <c r="AT109" i="27" s="1" a="1"/>
  <c r="AT109" i="27" s="1"/>
  <c r="AJ104" i="27" a="1"/>
  <c r="AJ104" i="27" s="1"/>
  <c r="AN104" i="27" s="1" a="1"/>
  <c r="AN104" i="27" s="1"/>
  <c r="AM204" i="27"/>
  <c r="AM84" i="27"/>
  <c r="AK153" i="27"/>
  <c r="AM153" i="27" s="1"/>
  <c r="AJ193" i="27" a="1"/>
  <c r="AJ193" i="27" s="1"/>
  <c r="AN193" i="27" s="1" a="1"/>
  <c r="AN193" i="27" s="1"/>
  <c r="AW168" i="27"/>
  <c r="AS193" i="27"/>
  <c r="AT193" i="27" s="1" a="1"/>
  <c r="AT193" i="27" s="1"/>
  <c r="AS105" i="27"/>
  <c r="AT105" i="27" s="1" a="1"/>
  <c r="AT105" i="27" s="1"/>
  <c r="AO133" i="27" a="1"/>
  <c r="AO133" i="27" s="1"/>
  <c r="AQ133" i="27" s="1"/>
  <c r="AO69" i="27" a="1"/>
  <c r="AO69" i="27" s="1"/>
  <c r="AR69" i="27" s="1"/>
  <c r="AK73" i="27"/>
  <c r="AM73" i="27" s="1"/>
  <c r="AJ189" i="27" a="1"/>
  <c r="AJ189" i="27" s="1"/>
  <c r="AN189" i="27" s="1" a="1"/>
  <c r="AN189" i="27" s="1"/>
  <c r="AJ63" i="27" a="1"/>
  <c r="AJ63" i="27" s="1"/>
  <c r="AN63" i="27" s="1" a="1"/>
  <c r="AN63" i="27" s="1"/>
  <c r="AK63" i="27"/>
  <c r="AM63" i="27" s="1"/>
  <c r="AJ179" i="27" a="1"/>
  <c r="AJ179" i="27" s="1"/>
  <c r="AN179" i="27" s="1" a="1"/>
  <c r="AN179" i="27" s="1"/>
  <c r="AJ119" i="27" a="1"/>
  <c r="AJ119" i="27" s="1"/>
  <c r="AN119" i="27" s="1" a="1"/>
  <c r="AN119" i="27" s="1"/>
  <c r="AK119" i="27"/>
  <c r="AM119" i="27" s="1"/>
  <c r="AJ19" i="27" a="1"/>
  <c r="AJ19" i="27" s="1"/>
  <c r="AN19" i="27" s="1" a="1"/>
  <c r="AN19" i="27" s="1"/>
  <c r="AK19" i="27"/>
  <c r="AM19" i="27" s="1"/>
  <c r="AO199" i="27" a="1"/>
  <c r="AO199" i="27" s="1"/>
  <c r="AU199" i="27" s="1" a="1"/>
  <c r="AU199" i="27" s="1"/>
  <c r="AO77" i="27" a="1"/>
  <c r="AO77" i="27" s="1"/>
  <c r="AP77" i="27" s="1" a="1"/>
  <c r="AP77" i="27" s="1"/>
  <c r="AO52" i="27" a="1"/>
  <c r="AO52" i="27" s="1"/>
  <c r="AK179" i="27"/>
  <c r="AM179" i="27" s="1"/>
  <c r="AK176" i="27"/>
  <c r="AM176" i="27" s="1"/>
  <c r="AK156" i="27"/>
  <c r="AM156" i="27" s="1"/>
  <c r="AJ156" i="27" a="1"/>
  <c r="AJ156" i="27" s="1"/>
  <c r="AN156" i="27" s="1" a="1"/>
  <c r="AN156" i="27" s="1"/>
  <c r="AJ203" i="27" a="1"/>
  <c r="AJ203" i="27" s="1"/>
  <c r="AN203" i="27" s="1" a="1"/>
  <c r="AN203" i="27" s="1"/>
  <c r="AJ232" i="27" a="1"/>
  <c r="AJ232" i="27" s="1"/>
  <c r="AN232" i="27" s="1" a="1"/>
  <c r="AN232" i="27" s="1"/>
  <c r="AJ152" i="27" a="1"/>
  <c r="AJ152" i="27" s="1"/>
  <c r="AN152" i="27" s="1" a="1"/>
  <c r="AN152" i="27" s="1"/>
  <c r="AM152" i="27"/>
  <c r="AJ92" i="27" a="1"/>
  <c r="AJ92" i="27" s="1"/>
  <c r="AN92" i="27" s="1" a="1"/>
  <c r="AN92" i="27" s="1"/>
  <c r="AJ72" i="27" a="1"/>
  <c r="AJ72" i="27" s="1"/>
  <c r="AN72" i="27" s="1" a="1"/>
  <c r="AN72" i="27" s="1"/>
  <c r="AK72" i="27"/>
  <c r="AM72" i="27" s="1"/>
  <c r="AJ32" i="27" a="1"/>
  <c r="AJ32" i="27" s="1"/>
  <c r="AN32" i="27" s="1" a="1"/>
  <c r="AN32" i="27" s="1"/>
  <c r="AM32" i="27"/>
  <c r="AJ12" i="27" a="1"/>
  <c r="AJ12" i="27" s="1"/>
  <c r="AN12" i="27" s="1" a="1"/>
  <c r="AN12" i="27" s="1"/>
  <c r="AJ81" i="93" a="1"/>
  <c r="AJ81" i="93" s="1"/>
  <c r="AK81" i="93" a="1"/>
  <c r="AK81" i="93" s="1"/>
  <c r="AL81" i="93" s="1" a="1"/>
  <c r="AL81" i="93" s="1"/>
  <c r="AJ61" i="93" a="1"/>
  <c r="AJ61" i="93" s="1"/>
  <c r="AK61" i="93" a="1"/>
  <c r="AK61" i="93" s="1"/>
  <c r="AL61" i="93" s="1" a="1"/>
  <c r="AL61" i="93" s="1"/>
  <c r="AJ41" i="93" a="1"/>
  <c r="AJ41" i="93" s="1"/>
  <c r="AK41" i="93" a="1"/>
  <c r="AK41" i="93" s="1"/>
  <c r="AL41" i="93" s="1" a="1"/>
  <c r="AL41" i="93" s="1"/>
  <c r="AJ21" i="93" a="1"/>
  <c r="AJ21" i="93" s="1"/>
  <c r="AK21" i="93" a="1"/>
  <c r="AK21" i="93" s="1"/>
  <c r="AL21" i="93" s="1" a="1"/>
  <c r="AL21" i="93" s="1"/>
  <c r="AJ107" i="27" a="1"/>
  <c r="AJ107" i="27" s="1"/>
  <c r="AN107" i="27" s="1" a="1"/>
  <c r="AN107" i="27" s="1"/>
  <c r="AK107" i="27"/>
  <c r="AM107" i="27" s="1"/>
  <c r="AJ87" i="27" a="1"/>
  <c r="AJ87" i="27" s="1"/>
  <c r="AN87" i="27" s="1" a="1"/>
  <c r="AN87" i="27" s="1"/>
  <c r="AK87" i="27"/>
  <c r="AM87" i="27" s="1"/>
  <c r="AJ67" i="27" a="1"/>
  <c r="AJ67" i="27" s="1"/>
  <c r="AN67" i="27" s="1" a="1"/>
  <c r="AN67" i="27" s="1"/>
  <c r="AK67" i="27"/>
  <c r="AM67" i="27" s="1"/>
  <c r="AO63" i="27" a="1"/>
  <c r="AO63" i="27" s="1"/>
  <c r="AN127" i="27" a="1"/>
  <c r="AN127" i="27" s="1"/>
  <c r="AM217" i="27"/>
  <c r="AK199" i="27"/>
  <c r="AM199" i="27" s="1"/>
  <c r="AK76" i="27"/>
  <c r="AM76" i="27" s="1"/>
  <c r="AJ176" i="27" a="1"/>
  <c r="AJ176" i="27" s="1"/>
  <c r="AN176" i="27" s="1" a="1"/>
  <c r="AN176" i="27" s="1"/>
  <c r="AO16" i="27" a="1"/>
  <c r="AO16" i="27" s="1"/>
  <c r="AK33" i="93" a="1"/>
  <c r="AK33" i="93" s="1"/>
  <c r="AL33" i="93" s="1" a="1"/>
  <c r="AL33" i="93" s="1"/>
  <c r="AK65" i="93" a="1"/>
  <c r="AK65" i="93" s="1"/>
  <c r="AL65" i="93" s="1" a="1"/>
  <c r="AL65" i="93" s="1"/>
  <c r="AJ72" i="93" a="1"/>
  <c r="AJ72" i="93" s="1"/>
  <c r="AK72" i="93" a="1"/>
  <c r="AK72" i="93" s="1"/>
  <c r="AL72" i="93" s="1" a="1"/>
  <c r="AL72" i="93" s="1"/>
  <c r="AJ12" i="93" a="1"/>
  <c r="AJ12" i="93" s="1"/>
  <c r="AK12" i="93" a="1"/>
  <c r="AK12" i="93" s="1"/>
  <c r="AL12" i="93" s="1" a="1"/>
  <c r="AL12" i="93" s="1"/>
  <c r="AJ71" i="93" a="1"/>
  <c r="AJ71" i="93" s="1"/>
  <c r="AK71" i="93" a="1"/>
  <c r="AK71" i="93" s="1"/>
  <c r="AL71" i="93" s="1" a="1"/>
  <c r="AL71" i="93" s="1"/>
  <c r="AJ51" i="93" a="1"/>
  <c r="AJ51" i="93" s="1"/>
  <c r="AK51" i="93" a="1"/>
  <c r="AK51" i="93" s="1"/>
  <c r="AL51" i="93" s="1" a="1"/>
  <c r="AL51" i="93" s="1"/>
  <c r="AJ31" i="93" a="1"/>
  <c r="AJ31" i="93" s="1"/>
  <c r="AK31" i="93" a="1"/>
  <c r="AK31" i="93" s="1"/>
  <c r="AL31" i="93" s="1" a="1"/>
  <c r="AL31" i="93" s="1"/>
  <c r="AJ11" i="93" a="1"/>
  <c r="AJ11" i="93" s="1"/>
  <c r="AK11" i="93" a="1"/>
  <c r="AK11" i="93" s="1"/>
  <c r="AL11" i="93" s="1" a="1"/>
  <c r="AL11" i="93" s="1"/>
  <c r="AK63" i="93" a="1"/>
  <c r="AK63" i="93" s="1"/>
  <c r="AL63" i="93" s="1" a="1"/>
  <c r="AL63" i="93" s="1"/>
  <c r="AK13" i="93" a="1"/>
  <c r="AK13" i="93" s="1"/>
  <c r="AL13" i="93" s="1" a="1"/>
  <c r="AL13" i="93" s="1"/>
  <c r="AK45" i="93" a="1"/>
  <c r="AK45" i="93" s="1"/>
  <c r="AL45" i="93" s="1" a="1"/>
  <c r="AL45" i="93" s="1"/>
  <c r="AK44" i="93" a="1"/>
  <c r="AK44" i="93" s="1"/>
  <c r="AL44" i="93" s="1" a="1"/>
  <c r="AL44" i="93" s="1"/>
  <c r="AK43" i="93" a="1"/>
  <c r="AK43" i="93" s="1"/>
  <c r="AL43" i="93" s="1" a="1"/>
  <c r="AL43" i="93" s="1"/>
  <c r="AJ82" i="93" a="1"/>
  <c r="AJ82" i="93" s="1"/>
  <c r="AK82" i="93" a="1"/>
  <c r="AK82" i="93" s="1"/>
  <c r="AL82" i="93" s="1" a="1"/>
  <c r="AL82" i="93" s="1"/>
  <c r="AJ22" i="93" a="1"/>
  <c r="AJ22" i="93" s="1"/>
  <c r="AK22" i="93" a="1"/>
  <c r="AK22" i="93" s="1"/>
  <c r="AL22" i="93" s="1" a="1"/>
  <c r="AL22" i="93" s="1"/>
  <c r="AK80" i="93" a="1"/>
  <c r="AK80" i="93" s="1"/>
  <c r="AL80" i="93" s="1" a="1"/>
  <c r="AL80" i="93" s="1"/>
  <c r="AJ80" i="93" a="1"/>
  <c r="AJ80" i="93" s="1"/>
  <c r="AJ60" i="93" a="1"/>
  <c r="AJ60" i="93" s="1"/>
  <c r="AK60" i="93" a="1"/>
  <c r="AK60" i="93" s="1"/>
  <c r="AL60" i="93" s="1" a="1"/>
  <c r="AL60" i="93" s="1"/>
  <c r="AJ20" i="93" a="1"/>
  <c r="AJ20" i="93" s="1"/>
  <c r="AJ56" i="93" a="1"/>
  <c r="AJ56" i="93" s="1"/>
  <c r="AJ76" i="93" a="1"/>
  <c r="AJ76" i="93" s="1"/>
  <c r="AJ221" i="27" a="1"/>
  <c r="AJ221" i="27" s="1"/>
  <c r="AN221" i="27" s="1" a="1"/>
  <c r="AN221" i="27" s="1"/>
  <c r="AK221" i="27"/>
  <c r="AM221" i="27" s="1"/>
  <c r="AO221" i="27" a="1"/>
  <c r="AO221" i="27" s="1"/>
  <c r="AP221" i="27" s="1" a="1"/>
  <c r="AP221" i="27" s="1"/>
  <c r="AJ201" i="27" a="1"/>
  <c r="AJ201" i="27" s="1"/>
  <c r="AN201" i="27" s="1" a="1"/>
  <c r="AN201" i="27" s="1"/>
  <c r="AK201" i="27"/>
  <c r="AM201" i="27" s="1"/>
  <c r="AO201" i="27" a="1"/>
  <c r="AO201" i="27" s="1"/>
  <c r="AR201" i="27" s="1"/>
  <c r="AK181" i="27"/>
  <c r="AM181" i="27" s="1"/>
  <c r="AJ181" i="27" a="1"/>
  <c r="AJ181" i="27" s="1"/>
  <c r="AN181" i="27" s="1" a="1"/>
  <c r="AN181" i="27" s="1"/>
  <c r="AO181" i="27" a="1"/>
  <c r="AO181" i="27" s="1"/>
  <c r="AO161" i="27" a="1"/>
  <c r="AO161" i="27" s="1"/>
  <c r="AR161" i="27" s="1"/>
  <c r="AJ161" i="27" a="1"/>
  <c r="AJ161" i="27" s="1"/>
  <c r="AN161" i="27" s="1" a="1"/>
  <c r="AN161" i="27" s="1"/>
  <c r="AK161" i="27"/>
  <c r="AM161" i="27" s="1"/>
  <c r="AK141" i="27"/>
  <c r="AM141" i="27" s="1"/>
  <c r="AO141" i="27" a="1"/>
  <c r="AO141" i="27" s="1"/>
  <c r="AR141" i="27" s="1"/>
  <c r="AJ141" i="27" a="1"/>
  <c r="AJ141" i="27" s="1"/>
  <c r="AN141" i="27" s="1" a="1"/>
  <c r="AN141" i="27" s="1"/>
  <c r="AJ121" i="27" a="1"/>
  <c r="AJ121" i="27" s="1"/>
  <c r="AN121" i="27" s="1" a="1"/>
  <c r="AN121" i="27" s="1"/>
  <c r="AO121" i="27" a="1"/>
  <c r="AO121" i="27" s="1"/>
  <c r="AS121" i="27" s="1"/>
  <c r="AT121" i="27" s="1" a="1"/>
  <c r="AT121" i="27" s="1"/>
  <c r="AK121" i="27"/>
  <c r="AM121" i="27" s="1"/>
  <c r="AK101" i="27"/>
  <c r="AM101" i="27" s="1"/>
  <c r="AO101" i="27" a="1"/>
  <c r="AO101" i="27" s="1"/>
  <c r="AJ101" i="27" a="1"/>
  <c r="AJ101" i="27" s="1"/>
  <c r="AN101" i="27" s="1" a="1"/>
  <c r="AN101" i="27" s="1"/>
  <c r="AK81" i="27"/>
  <c r="AM81" i="27" s="1"/>
  <c r="AJ81" i="27" a="1"/>
  <c r="AJ81" i="27" s="1"/>
  <c r="AN81" i="27" s="1" a="1"/>
  <c r="AN81" i="27" s="1"/>
  <c r="AO81" i="27" a="1"/>
  <c r="AO81" i="27" s="1"/>
  <c r="AS81" i="27" s="1"/>
  <c r="AT81" i="27" s="1" a="1"/>
  <c r="AT81" i="27" s="1"/>
  <c r="AJ61" i="27" a="1"/>
  <c r="AJ61" i="27" s="1"/>
  <c r="AN61" i="27" s="1" a="1"/>
  <c r="AN61" i="27" s="1"/>
  <c r="AO61" i="27" a="1"/>
  <c r="AO61" i="27" s="1"/>
  <c r="AQ61" i="27" s="1"/>
  <c r="AK61" i="27"/>
  <c r="AM61" i="27" s="1"/>
  <c r="AO41" i="27" a="1"/>
  <c r="AO41" i="27" s="1"/>
  <c r="AK41" i="27"/>
  <c r="AM41" i="27" s="1"/>
  <c r="AJ41" i="27" a="1"/>
  <c r="AJ41" i="27" s="1"/>
  <c r="AN41" i="27" s="1" a="1"/>
  <c r="AN41" i="27" s="1"/>
  <c r="AJ21" i="27" a="1"/>
  <c r="AJ21" i="27" s="1"/>
  <c r="AN21" i="27" s="1" a="1"/>
  <c r="AN21" i="27" s="1"/>
  <c r="AO21" i="27" a="1"/>
  <c r="AO21" i="27" s="1"/>
  <c r="AS21" i="27" s="1"/>
  <c r="AT21" i="27" s="1" a="1"/>
  <c r="AT21" i="27" s="1"/>
  <c r="AK21" i="27"/>
  <c r="AM21" i="27" s="1"/>
  <c r="AX98" i="27"/>
  <c r="AY98" i="27" s="1"/>
  <c r="AZ98" i="27" s="1" a="1"/>
  <c r="AZ98" i="27" s="1"/>
  <c r="AV98" i="27" a="1"/>
  <c r="AV98" i="27" s="1"/>
  <c r="AQ134" i="27"/>
  <c r="AU134" i="27" a="1"/>
  <c r="AU134" i="27" s="1"/>
  <c r="AW228" i="27"/>
  <c r="AV228" i="27" a="1"/>
  <c r="AV228" i="27" s="1"/>
  <c r="AH226" i="92"/>
  <c r="AP226" i="92"/>
  <c r="AH186" i="92"/>
  <c r="AP186" i="92"/>
  <c r="AH166" i="92"/>
  <c r="AP166" i="92"/>
  <c r="AH26" i="92"/>
  <c r="AP26" i="92"/>
  <c r="AG239" i="92"/>
  <c r="AO239" i="92"/>
  <c r="AO219" i="92"/>
  <c r="AG219" i="92"/>
  <c r="AO199" i="92"/>
  <c r="AG199" i="92"/>
  <c r="AO179" i="92"/>
  <c r="AG179" i="92"/>
  <c r="AO159" i="92"/>
  <c r="AG159" i="92"/>
  <c r="AO139" i="92"/>
  <c r="AG139" i="92"/>
  <c r="AO119" i="92"/>
  <c r="AG119" i="92"/>
  <c r="AO99" i="92"/>
  <c r="AG99" i="92"/>
  <c r="AG79" i="92"/>
  <c r="AO79" i="92"/>
  <c r="AG59" i="92"/>
  <c r="AO59" i="92"/>
  <c r="AG39" i="92"/>
  <c r="AO39" i="92"/>
  <c r="AG19" i="92"/>
  <c r="AO19" i="92"/>
  <c r="AF231" i="92"/>
  <c r="AN231" i="92"/>
  <c r="AF189" i="92"/>
  <c r="AN189" i="92"/>
  <c r="AF42" i="92"/>
  <c r="AN42" i="92"/>
  <c r="AF21" i="92"/>
  <c r="AN21" i="92"/>
  <c r="AY168" i="27"/>
  <c r="AZ168" i="27" s="1" a="1"/>
  <c r="AZ168" i="27" s="1"/>
  <c r="AX228" i="27"/>
  <c r="AQ198" i="27"/>
  <c r="AU198" i="27" a="1"/>
  <c r="AU198" i="27" s="1"/>
  <c r="AP153" i="27" a="1"/>
  <c r="AP153" i="27" s="1"/>
  <c r="AS153" i="27"/>
  <c r="AT153" i="27" s="1" a="1"/>
  <c r="AT153" i="27" s="1"/>
  <c r="AU153" i="27" a="1"/>
  <c r="AU153" i="27" s="1"/>
  <c r="AX153" i="27" s="1"/>
  <c r="AW185" i="27"/>
  <c r="AV185" i="27" a="1"/>
  <c r="AV185" i="27" s="1"/>
  <c r="AU58" i="27" a="1"/>
  <c r="AU58" i="27" s="1"/>
  <c r="AR58" i="27"/>
  <c r="AR232" i="27"/>
  <c r="AU232" i="27" a="1"/>
  <c r="AU232" i="27" s="1"/>
  <c r="AX232" i="27" s="1"/>
  <c r="AY232" i="27" s="1"/>
  <c r="AZ232" i="27" s="1" a="1"/>
  <c r="AZ232" i="27" s="1"/>
  <c r="AP113" i="27" a="1"/>
  <c r="AP113" i="27" s="1"/>
  <c r="AS113" i="27"/>
  <c r="AT113" i="27" s="1" a="1"/>
  <c r="AT113" i="27" s="1"/>
  <c r="AR9" i="27"/>
  <c r="AP9" i="27" a="1"/>
  <c r="AP9" i="27" s="1"/>
  <c r="AC160" i="92"/>
  <c r="AK160" i="92"/>
  <c r="AJ222" i="27" a="1"/>
  <c r="AJ222" i="27" s="1"/>
  <c r="AN222" i="27" s="1" a="1"/>
  <c r="AN222" i="27" s="1"/>
  <c r="AK222" i="27"/>
  <c r="AM222" i="27" s="1"/>
  <c r="AO222" i="27" a="1"/>
  <c r="AO222" i="27" s="1"/>
  <c r="AR222" i="27" s="1"/>
  <c r="AJ202" i="27" a="1"/>
  <c r="AJ202" i="27" s="1"/>
  <c r="AN202" i="27" s="1" a="1"/>
  <c r="AN202" i="27" s="1"/>
  <c r="AK202" i="27"/>
  <c r="AM202" i="27" s="1"/>
  <c r="AK182" i="27"/>
  <c r="AM182" i="27" s="1"/>
  <c r="AO182" i="27" a="1"/>
  <c r="AO182" i="27" s="1"/>
  <c r="AU182" i="27" s="1" a="1"/>
  <c r="AU182" i="27" s="1"/>
  <c r="AV182" i="27" s="1" a="1"/>
  <c r="AV182" i="27" s="1"/>
  <c r="AJ162" i="27" a="1"/>
  <c r="AJ162" i="27" s="1"/>
  <c r="AN162" i="27" s="1" a="1"/>
  <c r="AN162" i="27" s="1"/>
  <c r="AK142" i="27"/>
  <c r="AM142" i="27" s="1"/>
  <c r="AJ142" i="27" a="1"/>
  <c r="AJ142" i="27" s="1"/>
  <c r="AN142" i="27" s="1" a="1"/>
  <c r="AN142" i="27" s="1"/>
  <c r="AS142" i="27"/>
  <c r="AT142" i="27" s="1" a="1"/>
  <c r="AT142" i="27" s="1"/>
  <c r="AJ122" i="27" a="1"/>
  <c r="AJ122" i="27" s="1"/>
  <c r="AN122" i="27" s="1" a="1"/>
  <c r="AN122" i="27" s="1"/>
  <c r="AM122" i="27"/>
  <c r="AK102" i="27"/>
  <c r="AM102" i="27" s="1"/>
  <c r="AO102" i="27" a="1"/>
  <c r="AO102" i="27" s="1"/>
  <c r="AJ102" i="27" a="1"/>
  <c r="AJ102" i="27" s="1"/>
  <c r="AN102" i="27" s="1" a="1"/>
  <c r="AN102" i="27" s="1"/>
  <c r="AO82" i="27" a="1"/>
  <c r="AO82" i="27" s="1"/>
  <c r="AU82" i="27" s="1" a="1"/>
  <c r="AU82" i="27" s="1"/>
  <c r="AK82" i="27"/>
  <c r="AM82" i="27" s="1"/>
  <c r="AJ82" i="27" a="1"/>
  <c r="AJ82" i="27" s="1"/>
  <c r="AN82" i="27" s="1" a="1"/>
  <c r="AN82" i="27" s="1"/>
  <c r="AO62" i="27" a="1"/>
  <c r="AO62" i="27" s="1"/>
  <c r="AS62" i="27" s="1"/>
  <c r="AT62" i="27" s="1" a="1"/>
  <c r="AT62" i="27" s="1"/>
  <c r="AM62" i="27"/>
  <c r="AJ42" i="27" a="1"/>
  <c r="AJ42" i="27" s="1"/>
  <c r="AN42" i="27" s="1" a="1"/>
  <c r="AN42" i="27" s="1"/>
  <c r="AO42" i="27" a="1"/>
  <c r="AO42" i="27" s="1"/>
  <c r="AS42" i="27" s="1"/>
  <c r="AT42" i="27" s="1" a="1"/>
  <c r="AT42" i="27" s="1"/>
  <c r="AK42" i="27"/>
  <c r="AM42" i="27" s="1"/>
  <c r="AO22" i="27" a="1"/>
  <c r="AO22" i="27" s="1"/>
  <c r="AJ22" i="27" a="1"/>
  <c r="AJ22" i="27" s="1"/>
  <c r="AN22" i="27" s="1" a="1"/>
  <c r="AN22" i="27" s="1"/>
  <c r="AK22" i="27"/>
  <c r="AM22" i="27" s="1"/>
  <c r="AQ142" i="27"/>
  <c r="AP142" i="27" a="1"/>
  <c r="AP142" i="27" s="1"/>
  <c r="AR108" i="27"/>
  <c r="AM17" i="27"/>
  <c r="AK239" i="27"/>
  <c r="AM239" i="27" s="1"/>
  <c r="AK132" i="27"/>
  <c r="AM132" i="27" s="1"/>
  <c r="AK96" i="27"/>
  <c r="AM96" i="27" s="1"/>
  <c r="AK30" i="27"/>
  <c r="AM30" i="27" s="1"/>
  <c r="AJ120" i="27" a="1"/>
  <c r="AJ120" i="27" s="1"/>
  <c r="AN120" i="27" s="1" a="1"/>
  <c r="AN120" i="27" s="1"/>
  <c r="AO191" i="27" a="1"/>
  <c r="AO191" i="27" s="1"/>
  <c r="AO156" i="27" a="1"/>
  <c r="AO156" i="27" s="1"/>
  <c r="AP156" i="27" s="1" a="1"/>
  <c r="AP156" i="27" s="1"/>
  <c r="AO60" i="27" a="1"/>
  <c r="AO60" i="27" s="1"/>
  <c r="AO40" i="27" a="1"/>
  <c r="AO40" i="27" s="1"/>
  <c r="AM220" i="27"/>
  <c r="AK236" i="27"/>
  <c r="AM236" i="27" s="1"/>
  <c r="AK130" i="27"/>
  <c r="AM130" i="27" s="1"/>
  <c r="AM10" i="27"/>
  <c r="AK56" i="27"/>
  <c r="AM56" i="27" s="1"/>
  <c r="AJ140" i="27" a="1"/>
  <c r="AJ140" i="27" s="1"/>
  <c r="AN140" i="27" s="1" a="1"/>
  <c r="AN140" i="27" s="1"/>
  <c r="AJ36" i="27" a="1"/>
  <c r="AJ36" i="27" s="1"/>
  <c r="AN36" i="27" s="1" a="1"/>
  <c r="AN36" i="27" s="1"/>
  <c r="AA41" i="92"/>
  <c r="AI41" i="92"/>
  <c r="AA21" i="92"/>
  <c r="AI21" i="92"/>
  <c r="AM240" i="27"/>
  <c r="AM210" i="27"/>
  <c r="AJ110" i="27" a="1"/>
  <c r="AJ110" i="27" s="1"/>
  <c r="AN110" i="27" s="1" a="1"/>
  <c r="AN110" i="27" s="1"/>
  <c r="AJ60" i="27" a="1"/>
  <c r="AJ60" i="27" s="1"/>
  <c r="AN60" i="27" s="1" a="1"/>
  <c r="AN60" i="27" s="1"/>
  <c r="AM180" i="27"/>
  <c r="AM150" i="27"/>
  <c r="AM120" i="27"/>
  <c r="AK50" i="27"/>
  <c r="AM50" i="27" s="1"/>
  <c r="AJ180" i="27" a="1"/>
  <c r="AJ180" i="27" s="1"/>
  <c r="AN180" i="27" s="1" a="1"/>
  <c r="AN180" i="27" s="1"/>
  <c r="AJ160" i="27" a="1"/>
  <c r="AJ160" i="27" s="1"/>
  <c r="AN160" i="27" s="1" a="1"/>
  <c r="AN160" i="27" s="1"/>
  <c r="AJ30" i="27" a="1"/>
  <c r="AJ30" i="27" s="1"/>
  <c r="AN30" i="27" s="1" a="1"/>
  <c r="AN30" i="27" s="1"/>
  <c r="AJ80" i="27" a="1"/>
  <c r="AJ80" i="27" s="1"/>
  <c r="AN80" i="27" s="1" a="1"/>
  <c r="AN80" i="27" s="1"/>
  <c r="AO200" i="27" a="1"/>
  <c r="AO200" i="27" s="1"/>
  <c r="AR200" i="27" s="1"/>
  <c r="AO71" i="27" a="1"/>
  <c r="AO71" i="27" s="1"/>
  <c r="AO51" i="27" a="1"/>
  <c r="AO51" i="27" s="1"/>
  <c r="AQ51" i="27" s="1"/>
  <c r="AO31" i="27" a="1"/>
  <c r="AO31" i="27" s="1"/>
  <c r="AO11" i="27" a="1"/>
  <c r="AO11" i="27" s="1"/>
  <c r="AM117" i="27"/>
  <c r="AM60" i="27"/>
  <c r="AK216" i="27"/>
  <c r="AM216" i="27" s="1"/>
  <c r="AK147" i="27"/>
  <c r="AM147" i="27" s="1"/>
  <c r="AK47" i="27"/>
  <c r="AM47" i="27" s="1"/>
  <c r="AK12" i="27"/>
  <c r="AM12" i="27" s="1"/>
  <c r="AJ55" i="27" a="1"/>
  <c r="AJ55" i="27" s="1"/>
  <c r="AN55" i="27" s="1" a="1"/>
  <c r="AN55" i="27" s="1"/>
  <c r="AJ200" i="27" a="1"/>
  <c r="AJ200" i="27" s="1"/>
  <c r="AN200" i="27" s="1" a="1"/>
  <c r="AN200" i="27" s="1"/>
  <c r="AJ240" i="27" a="1"/>
  <c r="AJ240" i="27" s="1"/>
  <c r="AN240" i="27" s="1" a="1"/>
  <c r="AN240" i="27" s="1"/>
  <c r="AM170" i="27"/>
  <c r="AJ220" i="27" a="1"/>
  <c r="AJ220" i="27" s="1"/>
  <c r="AN220" i="27" s="1" a="1"/>
  <c r="AN220" i="27" s="1"/>
  <c r="AJ196" i="27" a="1"/>
  <c r="AJ196" i="27" s="1"/>
  <c r="AN196" i="27" s="1" a="1"/>
  <c r="AN196" i="27" s="1"/>
  <c r="AJ100" i="27" a="1"/>
  <c r="AJ100" i="27" s="1"/>
  <c r="AN100" i="27" s="1" a="1"/>
  <c r="AN100" i="27" s="1"/>
  <c r="AO211" i="27" a="1"/>
  <c r="AO211" i="27" s="1"/>
  <c r="AO140" i="27" a="1"/>
  <c r="AO140" i="27" s="1"/>
  <c r="AR140" i="27" s="1"/>
  <c r="AN236" i="27" a="1"/>
  <c r="AN236" i="27" s="1"/>
  <c r="AM80" i="27"/>
  <c r="AK70" i="27"/>
  <c r="AM70" i="27" s="1"/>
  <c r="AP114" i="27" a="1"/>
  <c r="AP114" i="27" s="1"/>
  <c r="AM20" i="27"/>
  <c r="AJ235" i="27" a="1"/>
  <c r="AJ235" i="27" s="1"/>
  <c r="AN235" i="27" s="1" a="1"/>
  <c r="AN235" i="27" s="1"/>
  <c r="AO120" i="27" a="1"/>
  <c r="AO120" i="27" s="1"/>
  <c r="AO100" i="27" a="1"/>
  <c r="AO100" i="27" s="1"/>
  <c r="AS234" i="27"/>
  <c r="AT234" i="27" s="1" a="1"/>
  <c r="AT234" i="27" s="1"/>
  <c r="AP234" i="27" a="1"/>
  <c r="AP234" i="27" s="1"/>
  <c r="AQ234" i="27"/>
  <c r="AR234" i="27"/>
  <c r="AU234" i="27" a="1"/>
  <c r="AU234" i="27" s="1"/>
  <c r="AV88" i="27" a="1"/>
  <c r="AV88" i="27" s="1"/>
  <c r="AW88" i="27"/>
  <c r="AX88" i="27"/>
  <c r="AR119" i="27"/>
  <c r="AP119" i="27" a="1"/>
  <c r="AP119" i="27" s="1"/>
  <c r="AS119" i="27"/>
  <c r="AT119" i="27" s="1" a="1"/>
  <c r="AT119" i="27" s="1"/>
  <c r="AQ119" i="27"/>
  <c r="AU119" i="27" a="1"/>
  <c r="AU119" i="27" s="1"/>
  <c r="AP173" i="27" a="1"/>
  <c r="AP173" i="27" s="1"/>
  <c r="AR173" i="27"/>
  <c r="AQ173" i="27"/>
  <c r="AS173" i="27"/>
  <c r="AT173" i="27" s="1" a="1"/>
  <c r="AT173" i="27" s="1"/>
  <c r="AU173" i="27" a="1"/>
  <c r="AU173" i="27" s="1"/>
  <c r="AP218" i="27" a="1"/>
  <c r="AP218" i="27" s="1"/>
  <c r="AU218" i="27" a="1"/>
  <c r="AU218" i="27" s="1"/>
  <c r="AQ218" i="27"/>
  <c r="AV166" i="27" a="1"/>
  <c r="AV166" i="27" s="1"/>
  <c r="AX166" i="27"/>
  <c r="AV214" i="27" a="1"/>
  <c r="AV214" i="27" s="1"/>
  <c r="AX214" i="27"/>
  <c r="AW214" i="27"/>
  <c r="AV65" i="27" a="1"/>
  <c r="AV65" i="27" s="1"/>
  <c r="AV154" i="27" a="1"/>
  <c r="AV154" i="27" s="1"/>
  <c r="AV142" i="27" a="1"/>
  <c r="AV142" i="27" s="1"/>
  <c r="AX142" i="27"/>
  <c r="AQ206" i="27"/>
  <c r="AP206" i="27" a="1"/>
  <c r="AP206" i="27" s="1"/>
  <c r="AR206" i="27"/>
  <c r="AR189" i="27"/>
  <c r="AP189" i="27" a="1"/>
  <c r="AP189" i="27" s="1"/>
  <c r="AS189" i="27"/>
  <c r="AT189" i="27" s="1" a="1"/>
  <c r="AT189" i="27" s="1"/>
  <c r="AR19" i="27"/>
  <c r="AQ19" i="27"/>
  <c r="AP19" i="27" a="1"/>
  <c r="AP19" i="27" s="1"/>
  <c r="AS19" i="27"/>
  <c r="AT19" i="27" s="1" a="1"/>
  <c r="AT19" i="27" s="1"/>
  <c r="AU19" i="27" a="1"/>
  <c r="AU19" i="27" s="1"/>
  <c r="AP186" i="27" a="1"/>
  <c r="AP186" i="27" s="1"/>
  <c r="AQ186" i="27"/>
  <c r="AQ189" i="27"/>
  <c r="AP166" i="27" a="1"/>
  <c r="AP166" i="27" s="1"/>
  <c r="AQ166" i="27"/>
  <c r="AS166" i="27"/>
  <c r="AT166" i="27" s="1" a="1"/>
  <c r="AT166" i="27" s="1"/>
  <c r="AQ214" i="27"/>
  <c r="AP214" i="27" a="1"/>
  <c r="AP214" i="27" s="1"/>
  <c r="AR214" i="27"/>
  <c r="AS214" i="27"/>
  <c r="AT214" i="27" s="1" a="1"/>
  <c r="AT214" i="27" s="1"/>
  <c r="AP198" i="27" a="1"/>
  <c r="AP198" i="27" s="1"/>
  <c r="AR198" i="27"/>
  <c r="AR65" i="27"/>
  <c r="AS65" i="27"/>
  <c r="AT65" i="27" s="1" a="1"/>
  <c r="AT65" i="27" s="1"/>
  <c r="AP65" i="27" a="1"/>
  <c r="AP65" i="27" s="1"/>
  <c r="AQ65" i="27"/>
  <c r="AP188" i="27" a="1"/>
  <c r="AP188" i="27" s="1"/>
  <c r="AS188" i="27"/>
  <c r="AT188" i="27" s="1" a="1"/>
  <c r="AT188" i="27" s="1"/>
  <c r="AR188" i="27"/>
  <c r="AP228" i="27" a="1"/>
  <c r="AP228" i="27" s="1"/>
  <c r="AS228" i="27"/>
  <c r="AT228" i="27" s="1" a="1"/>
  <c r="AT228" i="27" s="1"/>
  <c r="AQ228" i="27"/>
  <c r="AP98" i="27" a="1"/>
  <c r="AP98" i="27" s="1"/>
  <c r="AQ98" i="27"/>
  <c r="AP54" i="27" a="1"/>
  <c r="AP54" i="27" s="1"/>
  <c r="AQ202" i="27"/>
  <c r="AR202" i="27"/>
  <c r="AS202" i="27"/>
  <c r="AT202" i="27" s="1" a="1"/>
  <c r="AT202" i="27" s="1"/>
  <c r="AJ226" i="27" a="1"/>
  <c r="AJ226" i="27" s="1"/>
  <c r="AN226" i="27" s="1" a="1"/>
  <c r="AN226" i="27" s="1"/>
  <c r="AK226" i="27"/>
  <c r="AM226" i="27" s="1"/>
  <c r="AO226" i="27" a="1"/>
  <c r="AO226" i="27" s="1"/>
  <c r="AJ206" i="27" a="1"/>
  <c r="AJ206" i="27" s="1"/>
  <c r="AN206" i="27" s="1" a="1"/>
  <c r="AN206" i="27" s="1"/>
  <c r="AK206" i="27"/>
  <c r="AM206" i="27" s="1"/>
  <c r="AJ186" i="27" a="1"/>
  <c r="AJ186" i="27" s="1"/>
  <c r="AN186" i="27" s="1" a="1"/>
  <c r="AN186" i="27" s="1"/>
  <c r="AK186" i="27"/>
  <c r="AM186" i="27" s="1"/>
  <c r="AJ166" i="27" a="1"/>
  <c r="AJ166" i="27" s="1"/>
  <c r="AN166" i="27" s="1" a="1"/>
  <c r="AN166" i="27" s="1"/>
  <c r="AK166" i="27"/>
  <c r="AM166" i="27" s="1"/>
  <c r="AR166" i="27"/>
  <c r="AJ146" i="27" a="1"/>
  <c r="AJ146" i="27" s="1"/>
  <c r="AN146" i="27" s="1" a="1"/>
  <c r="AN146" i="27" s="1"/>
  <c r="AK146" i="27"/>
  <c r="AM146" i="27" s="1"/>
  <c r="AO146" i="27" a="1"/>
  <c r="AO146" i="27" s="1"/>
  <c r="AR146" i="27" s="1"/>
  <c r="AJ126" i="27" a="1"/>
  <c r="AJ126" i="27" s="1"/>
  <c r="AN126" i="27" s="1" a="1"/>
  <c r="AN126" i="27" s="1"/>
  <c r="AK126" i="27"/>
  <c r="AM126" i="27" s="1"/>
  <c r="AO126" i="27" a="1"/>
  <c r="AO126" i="27" s="1"/>
  <c r="AJ106" i="27" a="1"/>
  <c r="AJ106" i="27" s="1"/>
  <c r="AN106" i="27" s="1" a="1"/>
  <c r="AN106" i="27" s="1"/>
  <c r="AK106" i="27"/>
  <c r="AM106" i="27" s="1"/>
  <c r="AJ86" i="27" a="1"/>
  <c r="AJ86" i="27" s="1"/>
  <c r="AN86" i="27" s="1" a="1"/>
  <c r="AN86" i="27" s="1"/>
  <c r="AM86" i="27"/>
  <c r="AO86" i="27" a="1"/>
  <c r="AO86" i="27" s="1"/>
  <c r="AJ66" i="27" a="1"/>
  <c r="AJ66" i="27" s="1"/>
  <c r="AN66" i="27" s="1" a="1"/>
  <c r="AN66" i="27" s="1"/>
  <c r="AK66" i="27"/>
  <c r="AM66" i="27" s="1"/>
  <c r="AJ46" i="27" a="1"/>
  <c r="AJ46" i="27" s="1"/>
  <c r="AN46" i="27" s="1" a="1"/>
  <c r="AN46" i="27" s="1"/>
  <c r="AK46" i="27"/>
  <c r="AM46" i="27" s="1"/>
  <c r="AO46" i="27" a="1"/>
  <c r="AO46" i="27" s="1"/>
  <c r="AR46" i="27" s="1"/>
  <c r="AJ26" i="27" a="1"/>
  <c r="AJ26" i="27" s="1"/>
  <c r="AN26" i="27" s="1" a="1"/>
  <c r="AN26" i="27" s="1"/>
  <c r="AK26" i="27"/>
  <c r="AM26" i="27" s="1"/>
  <c r="AO26" i="27" a="1"/>
  <c r="AO26" i="27" s="1"/>
  <c r="AR228" i="27"/>
  <c r="AQ153" i="27"/>
  <c r="AP168" i="27" a="1"/>
  <c r="AP168" i="27" s="1"/>
  <c r="AQ168" i="27"/>
  <c r="AS168" i="27"/>
  <c r="AT168" i="27" s="1" a="1"/>
  <c r="AT168" i="27" s="1"/>
  <c r="AR168" i="27"/>
  <c r="AQ238" i="27"/>
  <c r="AP58" i="27" a="1"/>
  <c r="AP58" i="27" s="1"/>
  <c r="AQ58" i="27"/>
  <c r="AR134" i="27"/>
  <c r="AR54" i="27"/>
  <c r="AP128" i="27" a="1"/>
  <c r="AP128" i="27" s="1"/>
  <c r="AS128" i="27"/>
  <c r="AT128" i="27" s="1" a="1"/>
  <c r="AT128" i="27" s="1"/>
  <c r="AR128" i="27"/>
  <c r="AK238" i="27"/>
  <c r="AM238" i="27" s="1"/>
  <c r="AJ238" i="27" a="1"/>
  <c r="AJ238" i="27" s="1"/>
  <c r="AN238" i="27" s="1" a="1"/>
  <c r="AN238" i="27" s="1"/>
  <c r="AS238" i="27"/>
  <c r="AT238" i="27" s="1" a="1"/>
  <c r="AT238" i="27" s="1"/>
  <c r="AR238" i="27"/>
  <c r="AK218" i="27"/>
  <c r="AM218" i="27" s="1"/>
  <c r="AJ218" i="27" a="1"/>
  <c r="AJ218" i="27" s="1"/>
  <c r="AN218" i="27" s="1" a="1"/>
  <c r="AN218" i="27" s="1"/>
  <c r="AS218" i="27"/>
  <c r="AT218" i="27" s="1" a="1"/>
  <c r="AT218" i="27" s="1"/>
  <c r="AR218" i="27"/>
  <c r="AK198" i="27"/>
  <c r="AM198" i="27" s="1"/>
  <c r="AJ198" i="27" a="1"/>
  <c r="AJ198" i="27" s="1"/>
  <c r="AN198" i="27" s="1" a="1"/>
  <c r="AN198" i="27" s="1"/>
  <c r="AS198" i="27"/>
  <c r="AT198" i="27" s="1" a="1"/>
  <c r="AT198" i="27" s="1"/>
  <c r="AK178" i="27"/>
  <c r="AM178" i="27" s="1"/>
  <c r="AJ178" i="27" a="1"/>
  <c r="AJ178" i="27" s="1"/>
  <c r="AN178" i="27" s="1" a="1"/>
  <c r="AN178" i="27" s="1"/>
  <c r="AO178" i="27" a="1"/>
  <c r="AO178" i="27" s="1"/>
  <c r="AK158" i="27"/>
  <c r="AM158" i="27" s="1"/>
  <c r="AJ158" i="27" a="1"/>
  <c r="AJ158" i="27" s="1"/>
  <c r="AN158" i="27" s="1" a="1"/>
  <c r="AN158" i="27" s="1"/>
  <c r="AR158" i="27"/>
  <c r="AS158" i="27"/>
  <c r="AT158" i="27" s="1" a="1"/>
  <c r="AT158" i="27" s="1"/>
  <c r="AK138" i="27"/>
  <c r="AM138" i="27" s="1"/>
  <c r="AJ138" i="27" a="1"/>
  <c r="AJ138" i="27" s="1"/>
  <c r="AN138" i="27" s="1" a="1"/>
  <c r="AN138" i="27" s="1"/>
  <c r="AS138" i="27"/>
  <c r="AT138" i="27" s="1" a="1"/>
  <c r="AT138" i="27" s="1"/>
  <c r="AK118" i="27"/>
  <c r="AM118" i="27" s="1"/>
  <c r="AJ118" i="27" a="1"/>
  <c r="AJ118" i="27" s="1"/>
  <c r="AN118" i="27" s="1" a="1"/>
  <c r="AN118" i="27" s="1"/>
  <c r="AO118" i="27" a="1"/>
  <c r="AO118" i="27" s="1"/>
  <c r="AK98" i="27"/>
  <c r="AM98" i="27" s="1"/>
  <c r="AJ98" i="27" a="1"/>
  <c r="AJ98" i="27" s="1"/>
  <c r="AN98" i="27" s="1" a="1"/>
  <c r="AN98" i="27" s="1"/>
  <c r="AS98" i="27"/>
  <c r="AT98" i="27" s="1" a="1"/>
  <c r="AT98" i="27" s="1"/>
  <c r="AK78" i="27"/>
  <c r="AM78" i="27" s="1"/>
  <c r="AJ78" i="27" a="1"/>
  <c r="AJ78" i="27" s="1"/>
  <c r="AN78" i="27" s="1" a="1"/>
  <c r="AN78" i="27" s="1"/>
  <c r="AO78" i="27" a="1"/>
  <c r="AO78" i="27" s="1"/>
  <c r="AR78" i="27" s="1"/>
  <c r="AK58" i="27"/>
  <c r="AM58" i="27" s="1"/>
  <c r="AJ58" i="27" a="1"/>
  <c r="AJ58" i="27" s="1"/>
  <c r="AN58" i="27" s="1" a="1"/>
  <c r="AN58" i="27" s="1"/>
  <c r="AS58" i="27"/>
  <c r="AT58" i="27" s="1" a="1"/>
  <c r="AT58" i="27" s="1"/>
  <c r="AK38" i="27"/>
  <c r="AM38" i="27" s="1"/>
  <c r="AJ38" i="27" a="1"/>
  <c r="AJ38" i="27" s="1"/>
  <c r="AN38" i="27" s="1" a="1"/>
  <c r="AN38" i="27" s="1"/>
  <c r="AO38" i="27" a="1"/>
  <c r="AO38" i="27" s="1"/>
  <c r="AS38" i="27" s="1"/>
  <c r="AT38" i="27" s="1" a="1"/>
  <c r="AT38" i="27" s="1"/>
  <c r="AK18" i="27"/>
  <c r="AM18" i="27" s="1"/>
  <c r="AJ18" i="27" a="1"/>
  <c r="AJ18" i="27" s="1"/>
  <c r="AN18" i="27" s="1" a="1"/>
  <c r="AN18" i="27" s="1"/>
  <c r="AO18" i="27" a="1"/>
  <c r="AO18" i="27" s="1"/>
  <c r="AR98" i="27"/>
  <c r="AO106" i="27" a="1"/>
  <c r="AO106" i="27" s="1"/>
  <c r="AR106" i="27" s="1"/>
  <c r="AP88" i="27" a="1"/>
  <c r="AP88" i="27" s="1"/>
  <c r="AS88" i="27"/>
  <c r="AT88" i="27" s="1" a="1"/>
  <c r="AT88" i="27" s="1"/>
  <c r="AQ88" i="27"/>
  <c r="AS134" i="27"/>
  <c r="AT134" i="27" s="1" a="1"/>
  <c r="AT134" i="27" s="1"/>
  <c r="AR153" i="27"/>
  <c r="AP208" i="27" a="1"/>
  <c r="AP208" i="27" s="1"/>
  <c r="AS208" i="27"/>
  <c r="AT208" i="27" s="1" a="1"/>
  <c r="AT208" i="27" s="1"/>
  <c r="AQ232" i="27"/>
  <c r="AP232" i="27" a="1"/>
  <c r="AP232" i="27" s="1"/>
  <c r="AR139" i="27"/>
  <c r="AQ139" i="27"/>
  <c r="AS232" i="27"/>
  <c r="AT232" i="27" s="1" a="1"/>
  <c r="AT232" i="27" s="1"/>
  <c r="AO66" i="27" a="1"/>
  <c r="AO66" i="27" s="1"/>
  <c r="AS45" i="27"/>
  <c r="AT45" i="27" s="1" a="1"/>
  <c r="AT45" i="27" s="1"/>
  <c r="AJ228" i="27" a="1"/>
  <c r="AJ228" i="27" s="1"/>
  <c r="AN228" i="27" s="1" a="1"/>
  <c r="AN228" i="27" s="1"/>
  <c r="AK228" i="27"/>
  <c r="AM228" i="27" s="1"/>
  <c r="AJ208" i="27" a="1"/>
  <c r="AJ208" i="27" s="1"/>
  <c r="AN208" i="27" s="1" a="1"/>
  <c r="AN208" i="27" s="1"/>
  <c r="AK208" i="27"/>
  <c r="AM208" i="27" s="1"/>
  <c r="AJ188" i="27" a="1"/>
  <c r="AJ188" i="27" s="1"/>
  <c r="AN188" i="27" s="1" a="1"/>
  <c r="AN188" i="27" s="1"/>
  <c r="AK188" i="27"/>
  <c r="AM188" i="27" s="1"/>
  <c r="AJ168" i="27" a="1"/>
  <c r="AJ168" i="27" s="1"/>
  <c r="AN168" i="27" s="1" a="1"/>
  <c r="AN168" i="27" s="1"/>
  <c r="AK168" i="27"/>
  <c r="AM168" i="27" s="1"/>
  <c r="AJ148" i="27" a="1"/>
  <c r="AJ148" i="27" s="1"/>
  <c r="AN148" i="27" s="1" a="1"/>
  <c r="AN148" i="27" s="1"/>
  <c r="AK148" i="27"/>
  <c r="AM148" i="27" s="1"/>
  <c r="AJ128" i="27" a="1"/>
  <c r="AJ128" i="27" s="1"/>
  <c r="AN128" i="27" s="1" a="1"/>
  <c r="AN128" i="27" s="1"/>
  <c r="AK128" i="27"/>
  <c r="AM128" i="27" s="1"/>
  <c r="AJ108" i="27" a="1"/>
  <c r="AJ108" i="27" s="1"/>
  <c r="AN108" i="27" s="1" a="1"/>
  <c r="AN108" i="27" s="1"/>
  <c r="AK108" i="27"/>
  <c r="AM108" i="27" s="1"/>
  <c r="AJ88" i="27" a="1"/>
  <c r="AJ88" i="27" s="1"/>
  <c r="AN88" i="27" s="1" a="1"/>
  <c r="AN88" i="27" s="1"/>
  <c r="AK88" i="27"/>
  <c r="AM88" i="27" s="1"/>
  <c r="AJ68" i="27" a="1"/>
  <c r="AJ68" i="27" s="1"/>
  <c r="AN68" i="27" s="1" a="1"/>
  <c r="AN68" i="27" s="1"/>
  <c r="AK68" i="27"/>
  <c r="AM68" i="27" s="1"/>
  <c r="AJ48" i="27" a="1"/>
  <c r="AJ48" i="27" s="1"/>
  <c r="AN48" i="27" s="1" a="1"/>
  <c r="AN48" i="27" s="1"/>
  <c r="AK48" i="27"/>
  <c r="AM48" i="27" s="1"/>
  <c r="AJ28" i="27" a="1"/>
  <c r="AJ28" i="27" s="1"/>
  <c r="AN28" i="27" s="1" a="1"/>
  <c r="AN28" i="27" s="1"/>
  <c r="AK28" i="27"/>
  <c r="AM28" i="27" s="1"/>
  <c r="AJ8" i="27" a="1"/>
  <c r="AJ8" i="27" s="1"/>
  <c r="AN8" i="27" s="1" a="1"/>
  <c r="AN8" i="27" s="1"/>
  <c r="AK8" i="27"/>
  <c r="AM8" i="27" s="1"/>
  <c r="AQ28" i="27"/>
  <c r="AQ113" i="27"/>
  <c r="AQ68" i="27"/>
  <c r="AO8" i="27" a="1"/>
  <c r="AO8" i="27" s="1"/>
  <c r="AR12" i="27"/>
  <c r="AO48" i="27" a="1"/>
  <c r="AO48" i="27" s="1"/>
  <c r="AK225" i="27"/>
  <c r="AM225" i="27" s="1"/>
  <c r="AK205" i="27"/>
  <c r="AM205" i="27" s="1"/>
  <c r="AK185" i="27"/>
  <c r="AM185" i="27" s="1"/>
  <c r="AK165" i="27"/>
  <c r="AM165" i="27" s="1"/>
  <c r="AK145" i="27"/>
  <c r="AM145" i="27" s="1"/>
  <c r="AK125" i="27"/>
  <c r="AM125" i="27" s="1"/>
  <c r="AK105" i="27"/>
  <c r="AM105" i="27" s="1"/>
  <c r="AK85" i="27"/>
  <c r="AM85" i="27" s="1"/>
  <c r="AK65" i="27"/>
  <c r="AM65" i="27" s="1"/>
  <c r="AK45" i="27"/>
  <c r="AM45" i="27" s="1"/>
  <c r="AK25" i="27"/>
  <c r="AM25" i="27" s="1"/>
  <c r="AJ105" i="27" a="1"/>
  <c r="AJ105" i="27" s="1"/>
  <c r="AN105" i="27" s="1" a="1"/>
  <c r="AN105" i="27" s="1"/>
  <c r="AK112" i="27"/>
  <c r="AM112" i="27" s="1"/>
  <c r="AJ85" i="27" a="1"/>
  <c r="AJ85" i="27" s="1"/>
  <c r="AN85" i="27" s="1" a="1"/>
  <c r="AN85" i="27" s="1"/>
  <c r="AK172" i="27"/>
  <c r="AM172" i="27" s="1"/>
  <c r="AJ195" i="27" a="1"/>
  <c r="AJ195" i="27" s="1"/>
  <c r="AN195" i="27" s="1" a="1"/>
  <c r="AN195" i="27" s="1"/>
  <c r="AJ65" i="27" a="1"/>
  <c r="AJ65" i="27" s="1"/>
  <c r="AN65" i="27" s="1" a="1"/>
  <c r="AN65" i="27" s="1"/>
  <c r="AK232" i="27"/>
  <c r="AM232" i="27" s="1"/>
  <c r="AJ45" i="27" a="1"/>
  <c r="AJ45" i="27" s="1"/>
  <c r="AN45" i="27" s="1" a="1"/>
  <c r="AN45" i="27" s="1"/>
  <c r="AJ25" i="27" a="1"/>
  <c r="AJ25" i="27" s="1"/>
  <c r="AN25" i="27" s="1" a="1"/>
  <c r="AN25" i="27" s="1"/>
  <c r="AJ205" i="27" a="1"/>
  <c r="AJ205" i="27" s="1"/>
  <c r="AN205" i="27" s="1" a="1"/>
  <c r="AN205" i="27" s="1"/>
  <c r="AJ234" i="27" a="1"/>
  <c r="AJ234" i="27" s="1"/>
  <c r="AN234" i="27" s="1" a="1"/>
  <c r="AN234" i="27" s="1"/>
  <c r="AK234" i="27"/>
  <c r="AM234" i="27" s="1"/>
  <c r="AJ214" i="27" a="1"/>
  <c r="AJ214" i="27" s="1"/>
  <c r="AN214" i="27" s="1" a="1"/>
  <c r="AN214" i="27" s="1"/>
  <c r="AK214" i="27"/>
  <c r="AM214" i="27" s="1"/>
  <c r="AJ194" i="27" a="1"/>
  <c r="AJ194" i="27" s="1"/>
  <c r="AN194" i="27" s="1" a="1"/>
  <c r="AN194" i="27" s="1"/>
  <c r="AK194" i="27"/>
  <c r="AM194" i="27" s="1"/>
  <c r="AJ174" i="27" a="1"/>
  <c r="AJ174" i="27" s="1"/>
  <c r="AN174" i="27" s="1" a="1"/>
  <c r="AN174" i="27" s="1"/>
  <c r="AK174" i="27"/>
  <c r="AM174" i="27" s="1"/>
  <c r="AJ154" i="27" a="1"/>
  <c r="AJ154" i="27" s="1"/>
  <c r="AN154" i="27" s="1" a="1"/>
  <c r="AN154" i="27" s="1"/>
  <c r="AK154" i="27"/>
  <c r="AM154" i="27" s="1"/>
  <c r="AJ134" i="27" a="1"/>
  <c r="AJ134" i="27" s="1"/>
  <c r="AN134" i="27" s="1" a="1"/>
  <c r="AN134" i="27" s="1"/>
  <c r="AK134" i="27"/>
  <c r="AM134" i="27" s="1"/>
  <c r="AJ114" i="27" a="1"/>
  <c r="AJ114" i="27" s="1"/>
  <c r="AN114" i="27" s="1" a="1"/>
  <c r="AN114" i="27" s="1"/>
  <c r="AK114" i="27"/>
  <c r="AM114" i="27" s="1"/>
  <c r="AJ94" i="27" a="1"/>
  <c r="AJ94" i="27" s="1"/>
  <c r="AN94" i="27" s="1" a="1"/>
  <c r="AN94" i="27" s="1"/>
  <c r="AK94" i="27"/>
  <c r="AM94" i="27" s="1"/>
  <c r="AJ74" i="27" a="1"/>
  <c r="AJ74" i="27" s="1"/>
  <c r="AN74" i="27" s="1" a="1"/>
  <c r="AN74" i="27" s="1"/>
  <c r="AK74" i="27"/>
  <c r="AM74" i="27" s="1"/>
  <c r="AJ54" i="27" a="1"/>
  <c r="AJ54" i="27" s="1"/>
  <c r="AN54" i="27" s="1" a="1"/>
  <c r="AN54" i="27" s="1"/>
  <c r="AK54" i="27"/>
  <c r="AM54" i="27" s="1"/>
  <c r="AJ34" i="27" a="1"/>
  <c r="AJ34" i="27" s="1"/>
  <c r="AN34" i="27" s="1" a="1"/>
  <c r="AN34" i="27" s="1"/>
  <c r="AK34" i="27"/>
  <c r="AM34" i="27" s="1"/>
  <c r="AJ14" i="27" a="1"/>
  <c r="AJ14" i="27" s="1"/>
  <c r="AN14" i="27" s="1" a="1"/>
  <c r="AN14" i="27" s="1"/>
  <c r="AK14" i="27"/>
  <c r="AM14" i="27" s="1"/>
  <c r="AK231" i="27"/>
  <c r="AM231" i="27" s="1"/>
  <c r="AK211" i="27"/>
  <c r="AM211" i="27" s="1"/>
  <c r="AK191" i="27"/>
  <c r="AM191" i="27" s="1"/>
  <c r="AK171" i="27"/>
  <c r="AM171" i="27" s="1"/>
  <c r="AK151" i="27"/>
  <c r="AM151" i="27" s="1"/>
  <c r="AK131" i="27"/>
  <c r="AM131" i="27" s="1"/>
  <c r="AK111" i="27"/>
  <c r="AM111" i="27" s="1"/>
  <c r="AK91" i="27"/>
  <c r="AM91" i="27" s="1"/>
  <c r="AK71" i="27"/>
  <c r="AM71" i="27" s="1"/>
  <c r="AK51" i="27"/>
  <c r="AM51" i="27" s="1"/>
  <c r="AK31" i="27"/>
  <c r="AM31" i="27" s="1"/>
  <c r="AK11" i="27"/>
  <c r="AM11" i="27" s="1"/>
  <c r="AJ231" i="27" a="1"/>
  <c r="AJ231" i="27" s="1"/>
  <c r="AN231" i="27" s="1" a="1"/>
  <c r="AN231" i="27" s="1"/>
  <c r="AJ211" i="27" a="1"/>
  <c r="AJ211" i="27" s="1"/>
  <c r="AN211" i="27" s="1" a="1"/>
  <c r="AN211" i="27" s="1"/>
  <c r="AJ191" i="27" a="1"/>
  <c r="AJ191" i="27" s="1"/>
  <c r="AN191" i="27" s="1" a="1"/>
  <c r="AN191" i="27" s="1"/>
  <c r="AJ171" i="27" a="1"/>
  <c r="AJ171" i="27" s="1"/>
  <c r="AN171" i="27" s="1" a="1"/>
  <c r="AN171" i="27" s="1"/>
  <c r="AJ151" i="27" a="1"/>
  <c r="AJ151" i="27" s="1"/>
  <c r="AN151" i="27" s="1" a="1"/>
  <c r="AN151" i="27" s="1"/>
  <c r="AJ131" i="27" a="1"/>
  <c r="AJ131" i="27" s="1"/>
  <c r="AN131" i="27" s="1" a="1"/>
  <c r="AN131" i="27" s="1"/>
  <c r="AJ111" i="27" a="1"/>
  <c r="AJ111" i="27" s="1"/>
  <c r="AN111" i="27" s="1" a="1"/>
  <c r="AN111" i="27" s="1"/>
  <c r="AJ91" i="27" a="1"/>
  <c r="AJ91" i="27" s="1"/>
  <c r="AN91" i="27" s="1" a="1"/>
  <c r="AN91" i="27" s="1"/>
  <c r="AJ71" i="27" a="1"/>
  <c r="AJ71" i="27" s="1"/>
  <c r="AN71" i="27" s="1" a="1"/>
  <c r="AN71" i="27" s="1"/>
  <c r="AJ51" i="27" a="1"/>
  <c r="AJ51" i="27" s="1"/>
  <c r="AN51" i="27" s="1" a="1"/>
  <c r="AN51" i="27" s="1"/>
  <c r="AJ31" i="27" a="1"/>
  <c r="AJ31" i="27" s="1"/>
  <c r="AN31" i="27" s="1" a="1"/>
  <c r="AN31" i="27" s="1"/>
  <c r="AJ11" i="27" a="1"/>
  <c r="AJ11" i="27" s="1"/>
  <c r="AN11" i="27" s="1" a="1"/>
  <c r="AN11" i="27" s="1"/>
  <c r="AJ237" i="27" a="1"/>
  <c r="AJ237" i="27" s="1"/>
  <c r="AN237" i="27" s="1" a="1"/>
  <c r="AN237" i="27" s="1"/>
  <c r="AJ217" i="27" a="1"/>
  <c r="AJ217" i="27" s="1"/>
  <c r="AN217" i="27" s="1" a="1"/>
  <c r="AN217" i="27" s="1"/>
  <c r="AJ197" i="27" a="1"/>
  <c r="AJ197" i="27" s="1"/>
  <c r="AN197" i="27" s="1" a="1"/>
  <c r="AN197" i="27" s="1"/>
  <c r="AJ177" i="27" a="1"/>
  <c r="AJ177" i="27" s="1"/>
  <c r="AN177" i="27" s="1" a="1"/>
  <c r="AN177" i="27" s="1"/>
  <c r="AJ157" i="27" a="1"/>
  <c r="AJ157" i="27" s="1"/>
  <c r="AN157" i="27" s="1" a="1"/>
  <c r="AN157" i="27" s="1"/>
  <c r="AJ137" i="27" a="1"/>
  <c r="AJ137" i="27" s="1"/>
  <c r="AN137" i="27" s="1" a="1"/>
  <c r="AN137" i="27" s="1"/>
  <c r="AJ117" i="27" a="1"/>
  <c r="AJ117" i="27" s="1"/>
  <c r="AN117" i="27" s="1" a="1"/>
  <c r="AN117" i="27" s="1"/>
  <c r="AJ97" i="27" a="1"/>
  <c r="AJ97" i="27" s="1"/>
  <c r="AN97" i="27" s="1" a="1"/>
  <c r="AN97" i="27" s="1"/>
  <c r="AJ77" i="27" a="1"/>
  <c r="AJ77" i="27" s="1"/>
  <c r="AN77" i="27" s="1" a="1"/>
  <c r="AN77" i="27" s="1"/>
  <c r="AJ57" i="27" a="1"/>
  <c r="AJ57" i="27" s="1"/>
  <c r="AN57" i="27" s="1" a="1"/>
  <c r="AN57" i="27" s="1"/>
  <c r="AJ37" i="27" a="1"/>
  <c r="AJ37" i="27" s="1"/>
  <c r="AN37" i="27" s="1" a="1"/>
  <c r="AN37" i="27" s="1"/>
  <c r="AJ17" i="27" a="1"/>
  <c r="AJ17" i="27" s="1"/>
  <c r="AN17" i="27" s="1" a="1"/>
  <c r="AN17" i="27" s="1"/>
  <c r="AH206" i="92" l="1"/>
  <c r="AA13" i="92"/>
  <c r="AH193" i="92"/>
  <c r="AB12" i="92"/>
  <c r="BA61" i="113" a="1"/>
  <c r="BA61" i="113" s="1"/>
  <c r="BA34" i="113" a="1"/>
  <c r="BA34" i="113" s="1"/>
  <c r="AD124" i="92"/>
  <c r="AB190" i="92"/>
  <c r="AB33" i="92"/>
  <c r="BC34" i="113" a="1"/>
  <c r="BC34" i="113" s="1"/>
  <c r="BA18" i="113" a="1"/>
  <c r="BA18" i="113" s="1"/>
  <c r="AR209" i="113"/>
  <c r="AM210" i="92"/>
  <c r="BA235" i="113" a="1"/>
  <c r="BA235" i="113" s="1"/>
  <c r="AA12" i="92"/>
  <c r="AF192" i="92"/>
  <c r="BA77" i="113" a="1"/>
  <c r="BA77" i="113" s="1"/>
  <c r="BA95" i="113" a="1"/>
  <c r="BA95" i="113" s="1"/>
  <c r="BA198" i="113" a="1"/>
  <c r="BA198" i="113" s="1"/>
  <c r="BA15" i="113" a="1"/>
  <c r="BA15" i="113" s="1"/>
  <c r="BC158" i="113" a="1"/>
  <c r="BC158" i="113" s="1"/>
  <c r="AP230" i="92"/>
  <c r="AN26" i="92"/>
  <c r="AE152" i="92"/>
  <c r="AI233" i="92"/>
  <c r="AF212" i="92"/>
  <c r="AJ9" i="92"/>
  <c r="BA161" i="113" a="1"/>
  <c r="BA161" i="113" s="1"/>
  <c r="BC16" i="113" a="1"/>
  <c r="BC16" i="113" s="1"/>
  <c r="BA165" i="113" a="1"/>
  <c r="BA165" i="113" s="1"/>
  <c r="BA156" i="113" a="1"/>
  <c r="BA156" i="113" s="1"/>
  <c r="AD64" i="92"/>
  <c r="BA174" i="113" a="1"/>
  <c r="BA174" i="113" s="1"/>
  <c r="BA115" i="113" a="1"/>
  <c r="BA115" i="113" s="1"/>
  <c r="BA138" i="113" a="1"/>
  <c r="BA138" i="113" s="1"/>
  <c r="BA96" i="113" a="1"/>
  <c r="BA96" i="113" s="1"/>
  <c r="BA196" i="113" a="1"/>
  <c r="BA196" i="113" s="1"/>
  <c r="BA35" i="113" a="1"/>
  <c r="BA35" i="113" s="1"/>
  <c r="BC95" i="113" a="1"/>
  <c r="BC95" i="113" s="1"/>
  <c r="BA22" i="113" a="1"/>
  <c r="BA22" i="113" s="1"/>
  <c r="BA56" i="113" a="1"/>
  <c r="BA56" i="113" s="1"/>
  <c r="AP213" i="92"/>
  <c r="AD87" i="92"/>
  <c r="AB233" i="92"/>
  <c r="BA85" i="113" a="1"/>
  <c r="BA85" i="113" s="1"/>
  <c r="BA25" i="113" a="1"/>
  <c r="BA25" i="113" s="1"/>
  <c r="AH207" i="92"/>
  <c r="BA195" i="113" a="1"/>
  <c r="BA195" i="113" s="1"/>
  <c r="BA101" i="113" a="1"/>
  <c r="BA101" i="113" s="1"/>
  <c r="AI192" i="92"/>
  <c r="AG112" i="92"/>
  <c r="BA37" i="113" a="1"/>
  <c r="BA37" i="113" s="1"/>
  <c r="BA135" i="113" a="1"/>
  <c r="BA135" i="113" s="1"/>
  <c r="AD224" i="92"/>
  <c r="AI227" i="92"/>
  <c r="BA17" i="113" a="1"/>
  <c r="BA17" i="113" s="1"/>
  <c r="BA54" i="113" a="1"/>
  <c r="BA54" i="113" s="1"/>
  <c r="BC115" i="113" a="1"/>
  <c r="BC115" i="113" s="1"/>
  <c r="AQ239" i="113"/>
  <c r="AQ110" i="113"/>
  <c r="BA178" i="113" a="1"/>
  <c r="BA178" i="113" s="1"/>
  <c r="BA105" i="113" a="1"/>
  <c r="BA105" i="113" s="1"/>
  <c r="BA75" i="113" a="1"/>
  <c r="BA75" i="113" s="1"/>
  <c r="BC75" i="113" a="1"/>
  <c r="BC75" i="113" s="1"/>
  <c r="AJ133" i="92"/>
  <c r="AB133" i="92"/>
  <c r="AG110" i="92"/>
  <c r="AO110" i="92"/>
  <c r="BA177" i="113" a="1"/>
  <c r="BA177" i="113" s="1"/>
  <c r="AF73" i="92"/>
  <c r="AN73" i="92"/>
  <c r="BA118" i="113" a="1"/>
  <c r="BA118" i="113" s="1"/>
  <c r="BA42" i="113" a="1"/>
  <c r="BA42" i="113" s="1"/>
  <c r="BA236" i="113" a="1"/>
  <c r="BA236" i="113" s="1"/>
  <c r="BA175" i="113" a="1"/>
  <c r="BA175" i="113" s="1"/>
  <c r="AH212" i="92"/>
  <c r="AP212" i="92"/>
  <c r="BA122" i="113" a="1"/>
  <c r="BA122" i="113" s="1"/>
  <c r="AO227" i="92"/>
  <c r="AG227" i="92"/>
  <c r="BC165" i="113" a="1"/>
  <c r="BC165" i="113" s="1"/>
  <c r="AL104" i="92"/>
  <c r="AD104" i="92"/>
  <c r="BA9" i="113" a="1"/>
  <c r="BA9" i="113" s="1"/>
  <c r="AF150" i="92"/>
  <c r="AN150" i="92"/>
  <c r="BA76" i="113" a="1"/>
  <c r="BA76" i="113" s="1"/>
  <c r="BC76" i="113" a="1"/>
  <c r="BC76" i="113" s="1"/>
  <c r="AJ193" i="92"/>
  <c r="AB193" i="92"/>
  <c r="BA176" i="113" a="1"/>
  <c r="BA176" i="113" s="1"/>
  <c r="AH46" i="92"/>
  <c r="AP46" i="92"/>
  <c r="AG30" i="92"/>
  <c r="AO30" i="92"/>
  <c r="AL66" i="92"/>
  <c r="AD66" i="92"/>
  <c r="AD164" i="92"/>
  <c r="AL164" i="92"/>
  <c r="BC98" i="113" a="1"/>
  <c r="BC98" i="113" s="1"/>
  <c r="BA157" i="113" a="1"/>
  <c r="BA157" i="113" s="1"/>
  <c r="BA58" i="113" a="1"/>
  <c r="BA58" i="113" s="1"/>
  <c r="BA238" i="113" a="1"/>
  <c r="BA238" i="113" s="1"/>
  <c r="AB27" i="92"/>
  <c r="AJ27" i="92"/>
  <c r="BA38" i="113" a="1"/>
  <c r="BA38" i="113" s="1"/>
  <c r="BA65" i="113" a="1"/>
  <c r="BA65" i="113" s="1"/>
  <c r="AD113" i="92"/>
  <c r="AL173" i="92"/>
  <c r="AD173" i="92"/>
  <c r="AL228" i="92"/>
  <c r="AD228" i="92"/>
  <c r="AD172" i="92"/>
  <c r="AL172" i="92"/>
  <c r="AJ170" i="92"/>
  <c r="AB170" i="92"/>
  <c r="BA36" i="113" a="1"/>
  <c r="BA36" i="113" s="1"/>
  <c r="BA41" i="113" a="1"/>
  <c r="BA41" i="113" s="1"/>
  <c r="AC230" i="92"/>
  <c r="AK230" i="92"/>
  <c r="AH146" i="92"/>
  <c r="AP146" i="92"/>
  <c r="BA234" i="113" a="1"/>
  <c r="BA234" i="113" s="1"/>
  <c r="BA97" i="113" a="1"/>
  <c r="BA97" i="113" s="1"/>
  <c r="BA98" i="113" a="1"/>
  <c r="BA98" i="113" s="1"/>
  <c r="AP110" i="113" a="1"/>
  <c r="AP110" i="113" s="1"/>
  <c r="BA117" i="113" a="1"/>
  <c r="BA117" i="113" s="1"/>
  <c r="BA136" i="113" a="1"/>
  <c r="BA136" i="113" s="1"/>
  <c r="BC81" i="113" a="1"/>
  <c r="BC81" i="113" s="1"/>
  <c r="BC238" i="113" a="1"/>
  <c r="BC238" i="113" s="1"/>
  <c r="AP173" i="92"/>
  <c r="BA114" i="113" a="1"/>
  <c r="BA114" i="113" s="1"/>
  <c r="AP66" i="92"/>
  <c r="BA158" i="113" a="1"/>
  <c r="BA158" i="113" s="1"/>
  <c r="BA57" i="113" a="1"/>
  <c r="BA57" i="113" s="1"/>
  <c r="BC54" i="113" a="1"/>
  <c r="BC54" i="113" s="1"/>
  <c r="BA218" i="113" a="1"/>
  <c r="BA218" i="113" s="1"/>
  <c r="BA116" i="113" a="1"/>
  <c r="BA116" i="113" s="1"/>
  <c r="BA237" i="113" a="1"/>
  <c r="BA237" i="113" s="1"/>
  <c r="BA81" i="113" a="1"/>
  <c r="BA81" i="113" s="1"/>
  <c r="BA217" i="113" a="1"/>
  <c r="BA217" i="113" s="1"/>
  <c r="BC57" i="113" a="1"/>
  <c r="BC57" i="113" s="1"/>
  <c r="BC18" i="113" a="1"/>
  <c r="BC18" i="113" s="1"/>
  <c r="BC55" i="113" a="1"/>
  <c r="BC55" i="113" s="1"/>
  <c r="BA55" i="113" a="1"/>
  <c r="BA55" i="113" s="1"/>
  <c r="AF213" i="92"/>
  <c r="AN213" i="92"/>
  <c r="BA78" i="113" a="1"/>
  <c r="BA78" i="113" s="1"/>
  <c r="BC78" i="113" a="1"/>
  <c r="BC78" i="113" s="1"/>
  <c r="BA137" i="113" a="1"/>
  <c r="BA137" i="113" s="1"/>
  <c r="BA21" i="113" a="1"/>
  <c r="BA21" i="113" s="1"/>
  <c r="AF92" i="92"/>
  <c r="AN190" i="92"/>
  <c r="AF190" i="92"/>
  <c r="AN72" i="92"/>
  <c r="AF72" i="92"/>
  <c r="AN93" i="92"/>
  <c r="AU230" i="113" a="1"/>
  <c r="AU230" i="113" s="1"/>
  <c r="AX230" i="113" s="1"/>
  <c r="AY230" i="113" s="1"/>
  <c r="AR152" i="113"/>
  <c r="AP209" i="113" a="1"/>
  <c r="AP209" i="113" s="1"/>
  <c r="AQ209" i="113"/>
  <c r="AR163" i="113"/>
  <c r="AQ236" i="113"/>
  <c r="AP239" i="113" a="1"/>
  <c r="AP239" i="113" s="1"/>
  <c r="AU239" i="113" a="1"/>
  <c r="AU239" i="113" s="1"/>
  <c r="AX239" i="113" s="1"/>
  <c r="AR239" i="113"/>
  <c r="AR230" i="113"/>
  <c r="AR167" i="113"/>
  <c r="AP143" i="113" a="1"/>
  <c r="AP143" i="113" s="1"/>
  <c r="AU110" i="113" a="1"/>
  <c r="AU110" i="113" s="1"/>
  <c r="AV110" i="113" s="1" a="1"/>
  <c r="AV110" i="113" s="1"/>
  <c r="AS110" i="113"/>
  <c r="AT110" i="113" s="1" a="1"/>
  <c r="AT110" i="113" s="1"/>
  <c r="AS143" i="113"/>
  <c r="AT143" i="113" s="1" a="1"/>
  <c r="AT143" i="113" s="1"/>
  <c r="AS140" i="113"/>
  <c r="AT140" i="113" s="1" a="1"/>
  <c r="AT140" i="113" s="1"/>
  <c r="AS209" i="113"/>
  <c r="AT209" i="113" s="1" a="1"/>
  <c r="AT209" i="113" s="1"/>
  <c r="AR143" i="113"/>
  <c r="AU143" i="113" a="1"/>
  <c r="AU143" i="113" s="1"/>
  <c r="AX143" i="113" s="1"/>
  <c r="AS167" i="27"/>
  <c r="AT167" i="27" s="1" a="1"/>
  <c r="AT167" i="27" s="1"/>
  <c r="AP237" i="113" a="1"/>
  <c r="AP237" i="113" s="1"/>
  <c r="AQ140" i="113"/>
  <c r="AU140" i="113" a="1"/>
  <c r="AU140" i="113" s="1"/>
  <c r="AX140" i="113" s="1"/>
  <c r="BC237" i="113" a="1"/>
  <c r="BC237" i="113" s="1"/>
  <c r="AQ237" i="113"/>
  <c r="AP140" i="113" a="1"/>
  <c r="AP140" i="113" s="1"/>
  <c r="AR237" i="113"/>
  <c r="AX237" i="113"/>
  <c r="AY237" i="113" s="1"/>
  <c r="AU197" i="113" a="1"/>
  <c r="AU197" i="113" s="1"/>
  <c r="AV197" i="113" s="1" a="1"/>
  <c r="AV197" i="113" s="1"/>
  <c r="AP197" i="113" a="1"/>
  <c r="AP197" i="113" s="1"/>
  <c r="AS210" i="27"/>
  <c r="AT210" i="27" s="1" a="1"/>
  <c r="AT210" i="27" s="1"/>
  <c r="AR210" i="27"/>
  <c r="AU210" i="27" a="1"/>
  <c r="AU210" i="27" s="1"/>
  <c r="AX210" i="27" s="1"/>
  <c r="AY210" i="27" s="1"/>
  <c r="AZ210" i="27" s="1" a="1"/>
  <c r="AZ210" i="27" s="1"/>
  <c r="AP210" i="27" a="1"/>
  <c r="AP210" i="27" s="1"/>
  <c r="AR147" i="27"/>
  <c r="AS97" i="27"/>
  <c r="AT97" i="27" s="1" a="1"/>
  <c r="AT97" i="27" s="1"/>
  <c r="AQ130" i="27"/>
  <c r="AQ30" i="27"/>
  <c r="AR117" i="27"/>
  <c r="AS216" i="27"/>
  <c r="AT216" i="27" s="1" a="1"/>
  <c r="AT216" i="27" s="1"/>
  <c r="AP130" i="27" a="1"/>
  <c r="AP130" i="27" s="1"/>
  <c r="AS157" i="27"/>
  <c r="AT157" i="27" s="1" a="1"/>
  <c r="AT157" i="27" s="1"/>
  <c r="AU97" i="27" a="1"/>
  <c r="AU97" i="27" s="1"/>
  <c r="AV97" i="27" s="1" a="1"/>
  <c r="AV97" i="27" s="1"/>
  <c r="AS144" i="113"/>
  <c r="AT144" i="113" s="1" a="1"/>
  <c r="AT144" i="113" s="1"/>
  <c r="AS157" i="113"/>
  <c r="AT157" i="113" s="1" a="1"/>
  <c r="AT157" i="113" s="1"/>
  <c r="AS34" i="113"/>
  <c r="AT34" i="113" s="1" a="1"/>
  <c r="AT34" i="113" s="1"/>
  <c r="AV237" i="113" a="1"/>
  <c r="AV237" i="113" s="1"/>
  <c r="AP167" i="113" a="1"/>
  <c r="AP167" i="113" s="1"/>
  <c r="AP157" i="113" a="1"/>
  <c r="AP157" i="113" s="1"/>
  <c r="AQ230" i="113"/>
  <c r="AQ93" i="113"/>
  <c r="AR157" i="113"/>
  <c r="AQ157" i="113"/>
  <c r="AU167" i="113" a="1"/>
  <c r="AU167" i="113" s="1"/>
  <c r="AW167" i="113" s="1"/>
  <c r="AP230" i="113" a="1"/>
  <c r="AP230" i="113" s="1"/>
  <c r="AS237" i="113"/>
  <c r="AT237" i="113" s="1" a="1"/>
  <c r="AT237" i="113" s="1"/>
  <c r="BC157" i="113" a="1"/>
  <c r="BC157" i="113" s="1"/>
  <c r="AU27" i="113" a="1"/>
  <c r="AU27" i="113" s="1"/>
  <c r="AX27" i="113" s="1"/>
  <c r="AY27" i="113" s="1"/>
  <c r="AZ27" i="113" s="1" a="1"/>
  <c r="AZ27" i="113" s="1"/>
  <c r="AR12" i="113"/>
  <c r="AQ27" i="113"/>
  <c r="AS208" i="113"/>
  <c r="AT208" i="113" s="1" a="1"/>
  <c r="AT208" i="113" s="1"/>
  <c r="AR208" i="113"/>
  <c r="AU208" i="113" a="1"/>
  <c r="AU208" i="113" s="1"/>
  <c r="AV208" i="113" s="1" a="1"/>
  <c r="AV208" i="113" s="1"/>
  <c r="AU175" i="113" a="1"/>
  <c r="AU175" i="113" s="1"/>
  <c r="AV175" i="113" s="1" a="1"/>
  <c r="AV175" i="113" s="1"/>
  <c r="AQ48" i="113"/>
  <c r="AP93" i="113" a="1"/>
  <c r="AP93" i="113" s="1"/>
  <c r="AS48" i="113"/>
  <c r="AT48" i="113" s="1" a="1"/>
  <c r="AT48" i="113" s="1"/>
  <c r="AQ167" i="113"/>
  <c r="AR65" i="113"/>
  <c r="AQ144" i="113"/>
  <c r="AR144" i="113"/>
  <c r="AU144" i="113" a="1"/>
  <c r="AU144" i="113" s="1"/>
  <c r="AX144" i="113" s="1"/>
  <c r="AY144" i="113" s="1"/>
  <c r="AZ144" i="113" s="1" a="1"/>
  <c r="AZ144" i="113" s="1"/>
  <c r="AP144" i="113" a="1"/>
  <c r="AP144" i="113" s="1"/>
  <c r="AS133" i="113"/>
  <c r="AT133" i="113" s="1" a="1"/>
  <c r="AT133" i="113" s="1"/>
  <c r="AR139" i="113"/>
  <c r="AQ29" i="113"/>
  <c r="AV96" i="113" a="1"/>
  <c r="AV96" i="113" s="1"/>
  <c r="BC85" i="113" a="1"/>
  <c r="BC85" i="113" s="1"/>
  <c r="AR96" i="113"/>
  <c r="AX96" i="113"/>
  <c r="AY96" i="113" s="1"/>
  <c r="AP85" i="113" a="1"/>
  <c r="AP85" i="113" s="1"/>
  <c r="AQ121" i="113"/>
  <c r="AR225" i="113"/>
  <c r="AU85" i="113" a="1"/>
  <c r="AU85" i="113" s="1"/>
  <c r="AV85" i="113" s="1" a="1"/>
  <c r="AV85" i="113" s="1"/>
  <c r="AS139" i="113"/>
  <c r="AT139" i="113" s="1" a="1"/>
  <c r="AT139" i="113" s="1"/>
  <c r="AU116" i="113" a="1"/>
  <c r="AU116" i="113" s="1"/>
  <c r="AX116" i="113" s="1"/>
  <c r="AR69" i="113"/>
  <c r="AP27" i="113" a="1"/>
  <c r="AP27" i="113" s="1"/>
  <c r="AR27" i="113"/>
  <c r="AQ101" i="113"/>
  <c r="AR85" i="113"/>
  <c r="AS27" i="113"/>
  <c r="AT27" i="113" s="1" a="1"/>
  <c r="AT27" i="113" s="1"/>
  <c r="AQ220" i="113"/>
  <c r="AR116" i="113"/>
  <c r="AS116" i="113"/>
  <c r="AT116" i="113" s="1" a="1"/>
  <c r="AT116" i="113" s="1"/>
  <c r="AU101" i="113" a="1"/>
  <c r="AU101" i="113" s="1"/>
  <c r="AX101" i="113" s="1"/>
  <c r="AY101" i="113" s="1"/>
  <c r="AZ101" i="113" s="1" a="1"/>
  <c r="AZ101" i="113" s="1"/>
  <c r="AR220" i="113"/>
  <c r="AP174" i="113" a="1"/>
  <c r="AP174" i="113" s="1"/>
  <c r="AP141" i="113" a="1"/>
  <c r="AP141" i="113" s="1"/>
  <c r="BC174" i="113" a="1"/>
  <c r="BC174" i="113" s="1"/>
  <c r="AS85" i="113"/>
  <c r="AT85" i="113" s="1" a="1"/>
  <c r="AT85" i="113" s="1"/>
  <c r="AS74" i="113"/>
  <c r="AT74" i="113" s="1" a="1"/>
  <c r="AT74" i="113" s="1"/>
  <c r="AU16" i="113" a="1"/>
  <c r="AU16" i="113" s="1"/>
  <c r="AV16" i="113" s="1" a="1"/>
  <c r="AV16" i="113" s="1"/>
  <c r="AQ180" i="113"/>
  <c r="AS121" i="113"/>
  <c r="AT121" i="113" s="1" a="1"/>
  <c r="AT121" i="113" s="1"/>
  <c r="AS217" i="113"/>
  <c r="AT217" i="113" s="1" a="1"/>
  <c r="AT217" i="113" s="1"/>
  <c r="AR171" i="113"/>
  <c r="AW182" i="113"/>
  <c r="AS141" i="113"/>
  <c r="AT141" i="113" s="1" a="1"/>
  <c r="AT141" i="113" s="1"/>
  <c r="AQ226" i="113"/>
  <c r="AR18" i="113"/>
  <c r="AQ174" i="113"/>
  <c r="AU141" i="113" a="1"/>
  <c r="AU141" i="113" s="1"/>
  <c r="AX141" i="113" s="1"/>
  <c r="AR11" i="113"/>
  <c r="AS228" i="113"/>
  <c r="AT228" i="113" s="1" a="1"/>
  <c r="AT228" i="113" s="1"/>
  <c r="AU227" i="113" a="1"/>
  <c r="AU227" i="113" s="1"/>
  <c r="AX227" i="113" s="1"/>
  <c r="AY227" i="113" s="1"/>
  <c r="AZ227" i="113" s="1" a="1"/>
  <c r="AZ227" i="113" s="1"/>
  <c r="AU174" i="113" a="1"/>
  <c r="AU174" i="113" s="1"/>
  <c r="AW174" i="113" s="1"/>
  <c r="AW33" i="113"/>
  <c r="AR229" i="113"/>
  <c r="AU228" i="113" a="1"/>
  <c r="AU228" i="113" s="1"/>
  <c r="AX228" i="113" s="1"/>
  <c r="AS229" i="113"/>
  <c r="AT229" i="113" s="1" a="1"/>
  <c r="AT229" i="113" s="1"/>
  <c r="AS236" i="113"/>
  <c r="AT236" i="113" s="1" a="1"/>
  <c r="AT236" i="113" s="1"/>
  <c r="AR227" i="113"/>
  <c r="AS199" i="113"/>
  <c r="AT199" i="113" s="1" a="1"/>
  <c r="AT199" i="113" s="1"/>
  <c r="AQ171" i="113"/>
  <c r="AS46" i="113"/>
  <c r="AT46" i="113" s="1" a="1"/>
  <c r="AT46" i="113" s="1"/>
  <c r="AX83" i="113"/>
  <c r="AY83" i="113" s="1"/>
  <c r="AZ83" i="113" s="1" a="1"/>
  <c r="AZ83" i="113" s="1"/>
  <c r="AP62" i="113" a="1"/>
  <c r="AP62" i="113" s="1"/>
  <c r="AQ58" i="113"/>
  <c r="AS53" i="113"/>
  <c r="AT53" i="113" s="1" a="1"/>
  <c r="AT53" i="113" s="1"/>
  <c r="AP180" i="113" a="1"/>
  <c r="AP180" i="113" s="1"/>
  <c r="AP96" i="113" a="1"/>
  <c r="AP96" i="113" s="1"/>
  <c r="AS77" i="113"/>
  <c r="AT77" i="113" s="1" a="1"/>
  <c r="AT77" i="113" s="1"/>
  <c r="AU30" i="113" a="1"/>
  <c r="AU30" i="113" s="1"/>
  <c r="AX30" i="113" s="1"/>
  <c r="AY30" i="113" s="1"/>
  <c r="AZ30" i="113" s="1" a="1"/>
  <c r="AZ30" i="113" s="1"/>
  <c r="AS58" i="113"/>
  <c r="AT58" i="113" s="1" a="1"/>
  <c r="AT58" i="113" s="1"/>
  <c r="BC77" i="113" a="1"/>
  <c r="BC77" i="113" s="1"/>
  <c r="AQ30" i="113"/>
  <c r="AP229" i="113" a="1"/>
  <c r="AP229" i="113" s="1"/>
  <c r="AU121" i="113" a="1"/>
  <c r="AU121" i="113" s="1"/>
  <c r="AX121" i="113" s="1"/>
  <c r="AS174" i="113"/>
  <c r="AT174" i="113" s="1" a="1"/>
  <c r="AT174" i="113" s="1"/>
  <c r="AR226" i="113"/>
  <c r="AS181" i="113"/>
  <c r="AT181" i="113" s="1" a="1"/>
  <c r="AT181" i="113" s="1"/>
  <c r="AV236" i="113" a="1"/>
  <c r="AV236" i="113" s="1"/>
  <c r="BC137" i="113" a="1"/>
  <c r="BC137" i="113" s="1"/>
  <c r="AR77" i="113"/>
  <c r="AP30" i="113" a="1"/>
  <c r="AP30" i="113" s="1"/>
  <c r="AS62" i="113"/>
  <c r="AT62" i="113" s="1" a="1"/>
  <c r="AT62" i="113" s="1"/>
  <c r="AP77" i="113" a="1"/>
  <c r="AP77" i="113" s="1"/>
  <c r="AQ227" i="113"/>
  <c r="AR141" i="113"/>
  <c r="AP121" i="113" a="1"/>
  <c r="AP121" i="113" s="1"/>
  <c r="AU137" i="113" a="1"/>
  <c r="AU137" i="113" s="1"/>
  <c r="AV137" i="113" s="1" a="1"/>
  <c r="AV137" i="113" s="1"/>
  <c r="BC156" i="113" a="1"/>
  <c r="BC156" i="113" s="1"/>
  <c r="AP225" i="113" a="1"/>
  <c r="AP225" i="113" s="1"/>
  <c r="AR180" i="113"/>
  <c r="AP156" i="113" a="1"/>
  <c r="AP156" i="113" s="1"/>
  <c r="AS96" i="113"/>
  <c r="AT96" i="113" s="1" a="1"/>
  <c r="AT96" i="113" s="1"/>
  <c r="AP137" i="113" a="1"/>
  <c r="AP137" i="113" s="1"/>
  <c r="AQ77" i="113"/>
  <c r="AQ74" i="113"/>
  <c r="AU226" i="113" a="1"/>
  <c r="AU226" i="113" s="1"/>
  <c r="AX226" i="113" s="1"/>
  <c r="AY226" i="113" s="1"/>
  <c r="AZ226" i="113" s="1" a="1"/>
  <c r="AZ226" i="113" s="1"/>
  <c r="AS180" i="113"/>
  <c r="AT180" i="113" s="1" a="1"/>
  <c r="AT180" i="113" s="1"/>
  <c r="AS171" i="113"/>
  <c r="AT171" i="113" s="1" a="1"/>
  <c r="AT171" i="113" s="1"/>
  <c r="AS156" i="113"/>
  <c r="AT156" i="113" s="1" a="1"/>
  <c r="AT156" i="113" s="1"/>
  <c r="BC96" i="113" a="1"/>
  <c r="BC96" i="113" s="1"/>
  <c r="AS130" i="113"/>
  <c r="AT130" i="113" s="1" a="1"/>
  <c r="AT130" i="113" s="1"/>
  <c r="AV95" i="113" a="1"/>
  <c r="AV95" i="113" s="1"/>
  <c r="AU74" i="113" a="1"/>
  <c r="AU74" i="113" s="1"/>
  <c r="AX74" i="113" s="1"/>
  <c r="AY74" i="113" s="1"/>
  <c r="AZ74" i="113" s="1" a="1"/>
  <c r="AZ74" i="113" s="1"/>
  <c r="AU171" i="113" a="1"/>
  <c r="AU171" i="113" s="1"/>
  <c r="AX171" i="113" s="1"/>
  <c r="AY171" i="113" s="1"/>
  <c r="AZ171" i="113" s="1" a="1"/>
  <c r="AZ171" i="113" s="1"/>
  <c r="AU93" i="113" a="1"/>
  <c r="AU93" i="113" s="1"/>
  <c r="AX93" i="113" s="1"/>
  <c r="AY93" i="113" s="1"/>
  <c r="AZ93" i="113" s="1" a="1"/>
  <c r="AZ93" i="113" s="1"/>
  <c r="AV83" i="113" a="1"/>
  <c r="AV83" i="113" s="1"/>
  <c r="AU229" i="113" a="1"/>
  <c r="AU229" i="113" s="1"/>
  <c r="AX229" i="113" s="1"/>
  <c r="AY229" i="113" s="1"/>
  <c r="AZ229" i="113" s="1" a="1"/>
  <c r="AZ229" i="113" s="1"/>
  <c r="AQ225" i="113"/>
  <c r="AS225" i="113"/>
  <c r="AT225" i="113" s="1" a="1"/>
  <c r="AT225" i="113" s="1"/>
  <c r="AR198" i="113"/>
  <c r="AR81" i="113"/>
  <c r="AX95" i="113"/>
  <c r="AY95" i="113" s="1"/>
  <c r="AP74" i="113" a="1"/>
  <c r="AP74" i="113" s="1"/>
  <c r="AU180" i="113" a="1"/>
  <c r="AU180" i="113" s="1"/>
  <c r="AV180" i="113" s="1" a="1"/>
  <c r="AV180" i="113" s="1"/>
  <c r="AQ62" i="113"/>
  <c r="AR58" i="113"/>
  <c r="AV182" i="113" a="1"/>
  <c r="AV182" i="113" s="1"/>
  <c r="AQ96" i="113"/>
  <c r="AP81" i="113" a="1"/>
  <c r="AP81" i="113" s="1"/>
  <c r="AU130" i="113" a="1"/>
  <c r="AU130" i="113" s="1"/>
  <c r="AX130" i="113" s="1"/>
  <c r="AY130" i="113" s="1"/>
  <c r="AZ130" i="113" s="1" a="1"/>
  <c r="AZ130" i="113" s="1"/>
  <c r="BC234" i="113" a="1"/>
  <c r="BC234" i="113" s="1"/>
  <c r="AQ133" i="113"/>
  <c r="AQ234" i="113"/>
  <c r="AQ161" i="113"/>
  <c r="AS49" i="113"/>
  <c r="AT49" i="113" s="1" a="1"/>
  <c r="AT49" i="113" s="1"/>
  <c r="AS67" i="113"/>
  <c r="AT67" i="113" s="1" a="1"/>
  <c r="AT67" i="113" s="1"/>
  <c r="AU68" i="113" a="1"/>
  <c r="AU68" i="113" s="1"/>
  <c r="AV68" i="113" s="1" a="1"/>
  <c r="AV68" i="113" s="1"/>
  <c r="AW64" i="113"/>
  <c r="AU138" i="113" a="1"/>
  <c r="AU138" i="113" s="1"/>
  <c r="AX138" i="113" s="1"/>
  <c r="AY138" i="113" s="1"/>
  <c r="AZ138" i="113" s="1" a="1"/>
  <c r="AZ138" i="113" s="1"/>
  <c r="AV64" i="113" a="1"/>
  <c r="AV64" i="113" s="1"/>
  <c r="AR199" i="113"/>
  <c r="AP100" i="113" a="1"/>
  <c r="AP100" i="113" s="1"/>
  <c r="AP34" i="113" a="1"/>
  <c r="AP34" i="113" s="1"/>
  <c r="AP68" i="113" a="1"/>
  <c r="AP68" i="113" s="1"/>
  <c r="AR235" i="113"/>
  <c r="AX152" i="113"/>
  <c r="AY152" i="113" s="1"/>
  <c r="AP232" i="113" a="1"/>
  <c r="AP232" i="113" s="1"/>
  <c r="BC196" i="113" a="1"/>
  <c r="BC196" i="113" s="1"/>
  <c r="AS163" i="113"/>
  <c r="AT163" i="113" s="1" a="1"/>
  <c r="AT163" i="113" s="1"/>
  <c r="AU73" i="113" a="1"/>
  <c r="AU73" i="113" s="1"/>
  <c r="AV73" i="113" s="1" a="1"/>
  <c r="AV73" i="113" s="1"/>
  <c r="BC138" i="113" a="1"/>
  <c r="BC138" i="113" s="1"/>
  <c r="AU58" i="113" a="1"/>
  <c r="AU58" i="113" s="1"/>
  <c r="AV58" i="113" s="1" a="1"/>
  <c r="AV58" i="113" s="1"/>
  <c r="AP51" i="113" a="1"/>
  <c r="AP51" i="113" s="1"/>
  <c r="AP53" i="113" a="1"/>
  <c r="AP53" i="113" s="1"/>
  <c r="AR107" i="113"/>
  <c r="AQ199" i="113"/>
  <c r="AQ34" i="113"/>
  <c r="AP13" i="113" a="1"/>
  <c r="AP13" i="113" s="1"/>
  <c r="AV152" i="113" a="1"/>
  <c r="AV152" i="113" s="1"/>
  <c r="AR133" i="113"/>
  <c r="AS18" i="113"/>
  <c r="AT18" i="113" s="1" a="1"/>
  <c r="AT18" i="113" s="1"/>
  <c r="AS37" i="113"/>
  <c r="AT37" i="113" s="1" a="1"/>
  <c r="AT37" i="113" s="1"/>
  <c r="AQ18" i="113"/>
  <c r="AU234" i="113" a="1"/>
  <c r="AU234" i="113" s="1"/>
  <c r="AX234" i="113" s="1"/>
  <c r="AY234" i="113" s="1"/>
  <c r="AZ234" i="113" s="1" a="1"/>
  <c r="AZ234" i="113" s="1"/>
  <c r="AU133" i="113" a="1"/>
  <c r="AU133" i="113" s="1"/>
  <c r="AX133" i="113" s="1"/>
  <c r="AP130" i="113" a="1"/>
  <c r="AP130" i="113" s="1"/>
  <c r="AP133" i="113" a="1"/>
  <c r="AP133" i="113" s="1"/>
  <c r="AW55" i="113"/>
  <c r="AS196" i="113"/>
  <c r="AT196" i="113" s="1" a="1"/>
  <c r="AT196" i="113" s="1"/>
  <c r="AQ33" i="113"/>
  <c r="AU49" i="113" a="1"/>
  <c r="AU49" i="113" s="1"/>
  <c r="AW49" i="113" s="1"/>
  <c r="AU196" i="113" a="1"/>
  <c r="AU196" i="113" s="1"/>
  <c r="AV196" i="113" s="1" a="1"/>
  <c r="AV196" i="113" s="1"/>
  <c r="AR196" i="113"/>
  <c r="AU156" i="113" a="1"/>
  <c r="AU156" i="113" s="1"/>
  <c r="AW156" i="113" s="1"/>
  <c r="AP138" i="113" a="1"/>
  <c r="AP138" i="113" s="1"/>
  <c r="AU100" i="113" a="1"/>
  <c r="AU100" i="113" s="1"/>
  <c r="AX100" i="113" s="1"/>
  <c r="AP49" i="113" a="1"/>
  <c r="AP49" i="113" s="1"/>
  <c r="AS183" i="113"/>
  <c r="AT183" i="113" s="1" a="1"/>
  <c r="AT183" i="113" s="1"/>
  <c r="AQ49" i="113"/>
  <c r="AR104" i="113"/>
  <c r="AX236" i="113"/>
  <c r="AY236" i="113" s="1"/>
  <c r="AZ236" i="113" s="1" a="1"/>
  <c r="AZ236" i="113" s="1"/>
  <c r="BC58" i="113" a="1"/>
  <c r="BC58" i="113" s="1"/>
  <c r="AS100" i="113"/>
  <c r="AT100" i="113" s="1" a="1"/>
  <c r="AT100" i="113" s="1"/>
  <c r="AR13" i="113"/>
  <c r="AS235" i="113"/>
  <c r="AT235" i="113" s="1" a="1"/>
  <c r="AT235" i="113" s="1"/>
  <c r="AQ107" i="113"/>
  <c r="AR30" i="113"/>
  <c r="AQ37" i="113"/>
  <c r="AS13" i="113"/>
  <c r="AT13" i="113" s="1" a="1"/>
  <c r="AT13" i="113" s="1"/>
  <c r="AS234" i="113"/>
  <c r="AT234" i="113" s="1" a="1"/>
  <c r="AT234" i="113" s="1"/>
  <c r="AU235" i="113" a="1"/>
  <c r="AU235" i="113" s="1"/>
  <c r="AX235" i="113" s="1"/>
  <c r="AY235" i="113" s="1"/>
  <c r="AZ235" i="113" s="1" a="1"/>
  <c r="AZ235" i="113" s="1"/>
  <c r="AP220" i="113" a="1"/>
  <c r="AP220" i="113" s="1"/>
  <c r="AR206" i="113"/>
  <c r="AQ183" i="113"/>
  <c r="AQ186" i="113"/>
  <c r="AP199" i="113" a="1"/>
  <c r="AP199" i="113" s="1"/>
  <c r="AR37" i="113"/>
  <c r="AQ13" i="113"/>
  <c r="AQ53" i="113"/>
  <c r="AV53" i="113" a="1"/>
  <c r="AV53" i="113" s="1"/>
  <c r="AP235" i="113" a="1"/>
  <c r="AP235" i="113" s="1"/>
  <c r="AP161" i="113" a="1"/>
  <c r="AP161" i="113" s="1"/>
  <c r="AU186" i="113" a="1"/>
  <c r="AU186" i="113" s="1"/>
  <c r="AX186" i="113" s="1"/>
  <c r="AR68" i="113"/>
  <c r="AQ81" i="113"/>
  <c r="BC37" i="113" a="1"/>
  <c r="BC37" i="113" s="1"/>
  <c r="AR62" i="113"/>
  <c r="AX53" i="113"/>
  <c r="AY53" i="113" s="1"/>
  <c r="AZ53" i="113" s="1" a="1"/>
  <c r="AZ53" i="113" s="1"/>
  <c r="AQ156" i="113"/>
  <c r="AQ100" i="113"/>
  <c r="AP104" i="113" a="1"/>
  <c r="AP104" i="113" s="1"/>
  <c r="AQ68" i="113"/>
  <c r="AR183" i="113"/>
  <c r="AU37" i="113" a="1"/>
  <c r="AU37" i="113" s="1"/>
  <c r="AX37" i="113" s="1"/>
  <c r="AP33" i="113" a="1"/>
  <c r="AP33" i="113" s="1"/>
  <c r="BC235" i="113" a="1"/>
  <c r="BC235" i="113" s="1"/>
  <c r="AP183" i="113" a="1"/>
  <c r="AP183" i="113" s="1"/>
  <c r="AS186" i="113"/>
  <c r="AT186" i="113" s="1" a="1"/>
  <c r="AT186" i="113" s="1"/>
  <c r="AU125" i="113" a="1"/>
  <c r="AU125" i="113" s="1"/>
  <c r="AX125" i="113" s="1"/>
  <c r="AY125" i="113" s="1"/>
  <c r="AZ125" i="113" s="1" a="1"/>
  <c r="AZ125" i="113" s="1"/>
  <c r="AR29" i="113"/>
  <c r="AU18" i="113" a="1"/>
  <c r="AU18" i="113" s="1"/>
  <c r="AX18" i="113" s="1"/>
  <c r="AY18" i="113" s="1"/>
  <c r="AS30" i="113"/>
  <c r="AT30" i="113" s="1" a="1"/>
  <c r="AT30" i="113" s="1"/>
  <c r="AP139" i="113" a="1"/>
  <c r="AP139" i="113" s="1"/>
  <c r="AU220" i="113" a="1"/>
  <c r="AU220" i="113" s="1"/>
  <c r="AU104" i="113" a="1"/>
  <c r="AU104" i="113" s="1"/>
  <c r="AV104" i="113" s="1" a="1"/>
  <c r="AV104" i="113" s="1"/>
  <c r="AQ138" i="113"/>
  <c r="AR234" i="113"/>
  <c r="AR67" i="113"/>
  <c r="AR33" i="113"/>
  <c r="BC197" i="113" a="1"/>
  <c r="BC197" i="113" s="1"/>
  <c r="AR236" i="113"/>
  <c r="AS138" i="113"/>
  <c r="AT138" i="113" s="1" a="1"/>
  <c r="AT138" i="113" s="1"/>
  <c r="AU139" i="113" a="1"/>
  <c r="AU139" i="113" s="1"/>
  <c r="AW139" i="113" s="1"/>
  <c r="AP236" i="113" a="1"/>
  <c r="AP236" i="113" s="1"/>
  <c r="AQ208" i="113"/>
  <c r="AU183" i="113" a="1"/>
  <c r="AU183" i="113" s="1"/>
  <c r="AX183" i="113" s="1"/>
  <c r="AY183" i="113" s="1"/>
  <c r="AZ183" i="113" s="1" a="1"/>
  <c r="AZ183" i="113" s="1"/>
  <c r="AU126" i="113" a="1"/>
  <c r="AU126" i="113" s="1"/>
  <c r="AX126" i="113" s="1"/>
  <c r="AY126" i="113" s="1"/>
  <c r="AZ126" i="113" s="1" a="1"/>
  <c r="AZ126" i="113" s="1"/>
  <c r="AS29" i="113"/>
  <c r="AT29" i="113" s="1" a="1"/>
  <c r="AT29" i="113" s="1"/>
  <c r="AP18" i="113" a="1"/>
  <c r="AP18" i="113" s="1"/>
  <c r="AS104" i="113"/>
  <c r="AT104" i="113" s="1" a="1"/>
  <c r="AT104" i="113" s="1"/>
  <c r="AS220" i="113"/>
  <c r="AT220" i="113" s="1" a="1"/>
  <c r="AT220" i="113" s="1"/>
  <c r="AQ196" i="113"/>
  <c r="AQ104" i="113"/>
  <c r="AR53" i="113"/>
  <c r="BC236" i="113" a="1"/>
  <c r="BC236" i="113" s="1"/>
  <c r="AP50" i="113" a="1"/>
  <c r="AP50" i="113" s="1"/>
  <c r="AU29" i="113" a="1"/>
  <c r="AU29" i="113" s="1"/>
  <c r="AV29" i="113" s="1" a="1"/>
  <c r="AV29" i="113" s="1"/>
  <c r="AS238" i="113"/>
  <c r="AT238" i="113" s="1" a="1"/>
  <c r="AT238" i="113" s="1"/>
  <c r="AR112" i="113"/>
  <c r="AU195" i="113" a="1"/>
  <c r="AU195" i="113" s="1"/>
  <c r="AU238" i="113" a="1"/>
  <c r="AU238" i="113" s="1"/>
  <c r="AV238" i="113" s="1" a="1"/>
  <c r="AV238" i="113" s="1"/>
  <c r="AR187" i="113"/>
  <c r="BC175" i="113" a="1"/>
  <c r="BC175" i="113" s="1"/>
  <c r="AS102" i="113"/>
  <c r="AT102" i="113" s="1" a="1"/>
  <c r="AT102" i="113" s="1"/>
  <c r="AP98" i="113" a="1"/>
  <c r="AP98" i="113" s="1"/>
  <c r="AU135" i="113" a="1"/>
  <c r="AU135" i="113" s="1"/>
  <c r="AW135" i="113" s="1"/>
  <c r="AQ126" i="113"/>
  <c r="AP107" i="113" a="1"/>
  <c r="AP107" i="113" s="1"/>
  <c r="AR94" i="113"/>
  <c r="AQ50" i="113"/>
  <c r="AR15" i="113"/>
  <c r="AQ175" i="113"/>
  <c r="AS175" i="113"/>
  <c r="AT175" i="113" s="1" a="1"/>
  <c r="AT175" i="113" s="1"/>
  <c r="AU98" i="113" a="1"/>
  <c r="AU98" i="113" s="1"/>
  <c r="AX98" i="113" s="1"/>
  <c r="AY98" i="113" s="1"/>
  <c r="AP135" i="113" a="1"/>
  <c r="AP135" i="113" s="1"/>
  <c r="AR126" i="113"/>
  <c r="AU107" i="113" a="1"/>
  <c r="AU107" i="113" s="1"/>
  <c r="AX107" i="113" s="1"/>
  <c r="AR102" i="113"/>
  <c r="AR175" i="113"/>
  <c r="AS120" i="113"/>
  <c r="AT120" i="113" s="1" a="1"/>
  <c r="AT120" i="113" s="1"/>
  <c r="AU56" i="113" a="1"/>
  <c r="AU56" i="113" s="1"/>
  <c r="AW56" i="113" s="1"/>
  <c r="AQ8" i="113"/>
  <c r="AP73" i="113" a="1"/>
  <c r="AP73" i="113" s="1"/>
  <c r="AS197" i="113"/>
  <c r="AT197" i="113" s="1" a="1"/>
  <c r="AT197" i="113" s="1"/>
  <c r="AS122" i="113"/>
  <c r="AT122" i="113" s="1" a="1"/>
  <c r="AT122" i="113" s="1"/>
  <c r="AP152" i="113" a="1"/>
  <c r="AP152" i="113" s="1"/>
  <c r="AP211" i="113" a="1"/>
  <c r="AP211" i="113" s="1"/>
  <c r="AU122" i="113" a="1"/>
  <c r="AU122" i="113" s="1"/>
  <c r="AX122" i="113" s="1"/>
  <c r="AS50" i="113"/>
  <c r="AT50" i="113" s="1" a="1"/>
  <c r="AT50" i="113" s="1"/>
  <c r="AS70" i="113"/>
  <c r="AT70" i="113" s="1" a="1"/>
  <c r="AT70" i="113" s="1"/>
  <c r="AR16" i="113"/>
  <c r="AU81" i="113" a="1"/>
  <c r="AU81" i="113" s="1"/>
  <c r="AV81" i="113" s="1" a="1"/>
  <c r="AV81" i="113" s="1"/>
  <c r="AQ56" i="113"/>
  <c r="AR8" i="113"/>
  <c r="AU181" i="113" a="1"/>
  <c r="AU181" i="113" s="1"/>
  <c r="AV181" i="113" s="1" a="1"/>
  <c r="AV181" i="113" s="1"/>
  <c r="AP187" i="113" a="1"/>
  <c r="AP187" i="113" s="1"/>
  <c r="AU211" i="113" a="1"/>
  <c r="AU211" i="113" s="1"/>
  <c r="AX211" i="113" s="1"/>
  <c r="AR186" i="113"/>
  <c r="AS16" i="113"/>
  <c r="AT16" i="113" s="1" a="1"/>
  <c r="AT16" i="113" s="1"/>
  <c r="AU8" i="113" a="1"/>
  <c r="AU8" i="113" s="1"/>
  <c r="AX8" i="113" s="1"/>
  <c r="AU205" i="113" a="1"/>
  <c r="AU205" i="113" s="1"/>
  <c r="AX205" i="113" s="1"/>
  <c r="AQ195" i="113"/>
  <c r="AQ187" i="113"/>
  <c r="AS83" i="113"/>
  <c r="AT83" i="113" s="1" a="1"/>
  <c r="AT83" i="113" s="1"/>
  <c r="AP186" i="113" a="1"/>
  <c r="AP186" i="113" s="1"/>
  <c r="BC122" i="113" a="1"/>
  <c r="BC122" i="113" s="1"/>
  <c r="AQ16" i="113"/>
  <c r="AP39" i="113" a="1"/>
  <c r="AP39" i="113" s="1"/>
  <c r="AS8" i="113"/>
  <c r="AT8" i="113" s="1" a="1"/>
  <c r="AT8" i="113" s="1"/>
  <c r="AR181" i="113"/>
  <c r="AR197" i="113"/>
  <c r="AP226" i="113" a="1"/>
  <c r="AP226" i="113" s="1"/>
  <c r="AQ120" i="113"/>
  <c r="AR195" i="113"/>
  <c r="AS187" i="113"/>
  <c r="AT187" i="113" s="1" a="1"/>
  <c r="AT187" i="113" s="1"/>
  <c r="AR211" i="113"/>
  <c r="BC136" i="113" a="1"/>
  <c r="BC136" i="113" s="1"/>
  <c r="AP102" i="113" a="1"/>
  <c r="AP102" i="113" s="1"/>
  <c r="AU102" i="113" a="1"/>
  <c r="AU102" i="113" s="1"/>
  <c r="AW102" i="113" s="1"/>
  <c r="AV165" i="113" a="1"/>
  <c r="AV165" i="113" s="1"/>
  <c r="AX55" i="113"/>
  <c r="AY55" i="113" s="1"/>
  <c r="AZ55" i="113" s="1" a="1"/>
  <c r="AZ55" i="113" s="1"/>
  <c r="AR39" i="113"/>
  <c r="AR73" i="113"/>
  <c r="AS101" i="113"/>
  <c r="AT101" i="113" s="1" a="1"/>
  <c r="AT101" i="113" s="1"/>
  <c r="AS137" i="113"/>
  <c r="AT137" i="113" s="1" a="1"/>
  <c r="AT137" i="113" s="1"/>
  <c r="AQ137" i="113"/>
  <c r="AQ136" i="113"/>
  <c r="AQ135" i="113"/>
  <c r="AU163" i="113" a="1"/>
  <c r="AU163" i="113" s="1"/>
  <c r="AV163" i="113" s="1" a="1"/>
  <c r="AV163" i="113" s="1"/>
  <c r="AS10" i="113"/>
  <c r="AT10" i="113" s="1" a="1"/>
  <c r="AT10" i="113" s="1"/>
  <c r="AU39" i="113" a="1"/>
  <c r="AU39" i="113" s="1"/>
  <c r="AX39" i="113" s="1"/>
  <c r="AY39" i="113" s="1"/>
  <c r="AZ39" i="113" s="1" a="1"/>
  <c r="AZ39" i="113" s="1"/>
  <c r="AP205" i="113" a="1"/>
  <c r="AP205" i="113" s="1"/>
  <c r="AS126" i="113"/>
  <c r="AT126" i="113" s="1" a="1"/>
  <c r="AT126" i="113" s="1"/>
  <c r="AQ39" i="113"/>
  <c r="AU120" i="113" a="1"/>
  <c r="AU120" i="113" s="1"/>
  <c r="AQ152" i="113"/>
  <c r="AP16" i="113" a="1"/>
  <c r="AP16" i="113" s="1"/>
  <c r="AS81" i="113"/>
  <c r="AT81" i="113" s="1" a="1"/>
  <c r="AT81" i="113" s="1"/>
  <c r="AQ211" i="113"/>
  <c r="AP136" i="113" a="1"/>
  <c r="AP136" i="113" s="1"/>
  <c r="AP193" i="113" a="1"/>
  <c r="AP193" i="113" s="1"/>
  <c r="AP181" i="113" a="1"/>
  <c r="AP181" i="113" s="1"/>
  <c r="AQ205" i="113"/>
  <c r="AR98" i="113"/>
  <c r="AP238" i="113" a="1"/>
  <c r="AP238" i="113" s="1"/>
  <c r="AP195" i="113" a="1"/>
  <c r="AP195" i="113" s="1"/>
  <c r="AS169" i="113"/>
  <c r="AT169" i="113" s="1" a="1"/>
  <c r="AT169" i="113" s="1"/>
  <c r="AR136" i="113"/>
  <c r="AS205" i="113"/>
  <c r="AT205" i="113" s="1" a="1"/>
  <c r="AT205" i="113" s="1"/>
  <c r="AP101" i="113" a="1"/>
  <c r="AP101" i="113" s="1"/>
  <c r="AQ98" i="113"/>
  <c r="AS135" i="113"/>
  <c r="AT135" i="113" s="1" a="1"/>
  <c r="AT135" i="113" s="1"/>
  <c r="AP67" i="113" a="1"/>
  <c r="AP67" i="113" s="1"/>
  <c r="AP120" i="113" a="1"/>
  <c r="AP120" i="113" s="1"/>
  <c r="AP125" i="113" a="1"/>
  <c r="AP125" i="113" s="1"/>
  <c r="AQ125" i="113"/>
  <c r="AP122" i="113" a="1"/>
  <c r="AP122" i="113" s="1"/>
  <c r="AQ122" i="113"/>
  <c r="AS125" i="113"/>
  <c r="AT125" i="113" s="1" a="1"/>
  <c r="AT125" i="113" s="1"/>
  <c r="AS152" i="113"/>
  <c r="AT152" i="113" s="1" a="1"/>
  <c r="AT152" i="113" s="1"/>
  <c r="AR120" i="113"/>
  <c r="AS195" i="113"/>
  <c r="AT195" i="113" s="1" a="1"/>
  <c r="AT195" i="113" s="1"/>
  <c r="AP163" i="113" a="1"/>
  <c r="AP163" i="113" s="1"/>
  <c r="AW165" i="113"/>
  <c r="BC195" i="113" a="1"/>
  <c r="BC195" i="113" s="1"/>
  <c r="AS193" i="113"/>
  <c r="AT193" i="113" s="1" a="1"/>
  <c r="AT193" i="113" s="1"/>
  <c r="AS227" i="113"/>
  <c r="AT227" i="113" s="1" a="1"/>
  <c r="AT227" i="113" s="1"/>
  <c r="AR193" i="113"/>
  <c r="AQ238" i="113"/>
  <c r="AU136" i="113" a="1"/>
  <c r="AU136" i="113" s="1"/>
  <c r="AV136" i="113" s="1" a="1"/>
  <c r="AV136" i="113" s="1"/>
  <c r="BC101" i="113" a="1"/>
  <c r="BC101" i="113" s="1"/>
  <c r="AR135" i="113"/>
  <c r="AQ193" i="113"/>
  <c r="AS136" i="113"/>
  <c r="AT136" i="113" s="1" a="1"/>
  <c r="AT136" i="113" s="1"/>
  <c r="AR238" i="113"/>
  <c r="AS211" i="113"/>
  <c r="AT211" i="113" s="1" a="1"/>
  <c r="AT211" i="113" s="1"/>
  <c r="AS98" i="113"/>
  <c r="AT98" i="113" s="1" a="1"/>
  <c r="AT98" i="113" s="1"/>
  <c r="AR130" i="113"/>
  <c r="AS33" i="113"/>
  <c r="AT33" i="113" s="1" a="1"/>
  <c r="AT33" i="113" s="1"/>
  <c r="AU67" i="113" a="1"/>
  <c r="AU67" i="113" s="1"/>
  <c r="AW67" i="113" s="1"/>
  <c r="AX33" i="113"/>
  <c r="AY33" i="113" s="1"/>
  <c r="AZ33" i="113" s="1" a="1"/>
  <c r="AZ33" i="113" s="1"/>
  <c r="AS73" i="113"/>
  <c r="AT73" i="113" s="1" a="1"/>
  <c r="AT73" i="113" s="1"/>
  <c r="AR240" i="113"/>
  <c r="BC56" i="113" a="1"/>
  <c r="BC56" i="113" s="1"/>
  <c r="AS79" i="113"/>
  <c r="AT79" i="113" s="1" a="1"/>
  <c r="AT79" i="113" s="1"/>
  <c r="AP56" i="113" a="1"/>
  <c r="AP56" i="113" s="1"/>
  <c r="AV57" i="113" a="1"/>
  <c r="AV57" i="113" s="1"/>
  <c r="AW57" i="113"/>
  <c r="AX57" i="113"/>
  <c r="AR161" i="113"/>
  <c r="BC161" i="113" a="1"/>
  <c r="BC161" i="113" s="1"/>
  <c r="AU161" i="113" a="1"/>
  <c r="AU161" i="113" s="1"/>
  <c r="AW76" i="113"/>
  <c r="AV76" i="113" a="1"/>
  <c r="AV76" i="113" s="1"/>
  <c r="AW231" i="113"/>
  <c r="AV231" i="113" a="1"/>
  <c r="AV231" i="113" s="1"/>
  <c r="BC177" i="113" a="1"/>
  <c r="BC177" i="113" s="1"/>
  <c r="AX106" i="113"/>
  <c r="AY106" i="113" s="1"/>
  <c r="AS203" i="113"/>
  <c r="AT203" i="113" s="1" a="1"/>
  <c r="AT203" i="113" s="1"/>
  <c r="AQ83" i="113"/>
  <c r="AS97" i="113"/>
  <c r="AT97" i="113" s="1" a="1"/>
  <c r="AT97" i="113" s="1"/>
  <c r="AP83" i="113" a="1"/>
  <c r="AP83" i="113" s="1"/>
  <c r="AR159" i="113"/>
  <c r="AS177" i="113"/>
  <c r="AT177" i="113" s="1" a="1"/>
  <c r="AT177" i="113" s="1"/>
  <c r="AR56" i="113"/>
  <c r="AR109" i="113"/>
  <c r="AU206" i="113" a="1"/>
  <c r="AU206" i="113" s="1"/>
  <c r="AQ206" i="113"/>
  <c r="AP206" i="113" a="1"/>
  <c r="AP206" i="113" s="1"/>
  <c r="AV24" i="113" a="1"/>
  <c r="AV24" i="113" s="1"/>
  <c r="AW24" i="113"/>
  <c r="AP109" i="113" a="1"/>
  <c r="AP109" i="113" s="1"/>
  <c r="AR173" i="113"/>
  <c r="BC114" i="113" a="1"/>
  <c r="BC114" i="113" s="1"/>
  <c r="AQ114" i="113"/>
  <c r="AU114" i="113" a="1"/>
  <c r="AU114" i="113" s="1"/>
  <c r="AP114" i="113" a="1"/>
  <c r="AP114" i="113" s="1"/>
  <c r="AP177" i="113" a="1"/>
  <c r="AP177" i="113" s="1"/>
  <c r="AU177" i="113" a="1"/>
  <c r="AU177" i="113" s="1"/>
  <c r="AX177" i="113" s="1"/>
  <c r="AX231" i="113"/>
  <c r="AY231" i="113" s="1"/>
  <c r="AS109" i="113"/>
  <c r="AT109" i="113" s="1" a="1"/>
  <c r="AT109" i="113" s="1"/>
  <c r="AU232" i="113" a="1"/>
  <c r="AU232" i="113" s="1"/>
  <c r="AX232" i="113" s="1"/>
  <c r="AY232" i="113" s="1"/>
  <c r="AZ232" i="113" s="1" a="1"/>
  <c r="AZ232" i="113" s="1"/>
  <c r="AP227" i="113" a="1"/>
  <c r="AP227" i="113" s="1"/>
  <c r="AR83" i="113"/>
  <c r="AU34" i="113" a="1"/>
  <c r="AU34" i="113" s="1"/>
  <c r="AW34" i="113" s="1"/>
  <c r="AS26" i="113"/>
  <c r="AT26" i="113" s="1" a="1"/>
  <c r="AT26" i="113" s="1"/>
  <c r="AQ109" i="113"/>
  <c r="AQ116" i="113"/>
  <c r="BC116" i="113" a="1"/>
  <c r="BC116" i="113" s="1"/>
  <c r="AP116" i="113" a="1"/>
  <c r="AP116" i="113" s="1"/>
  <c r="AR90" i="113"/>
  <c r="AU50" i="113" a="1"/>
  <c r="AU50" i="113" s="1"/>
  <c r="AQ177" i="113"/>
  <c r="AV106" i="113" a="1"/>
  <c r="AV106" i="113" s="1"/>
  <c r="AQ228" i="113"/>
  <c r="AP228" i="113" a="1"/>
  <c r="AP228" i="113" s="1"/>
  <c r="AQ51" i="113"/>
  <c r="AU51" i="113" a="1"/>
  <c r="AU51" i="113" s="1"/>
  <c r="AS51" i="113"/>
  <c r="AT51" i="113" s="1" a="1"/>
  <c r="AT51" i="113" s="1"/>
  <c r="AU48" i="113" a="1"/>
  <c r="AU48" i="113" s="1"/>
  <c r="AP48" i="113" a="1"/>
  <c r="AP48" i="113" s="1"/>
  <c r="AR232" i="113"/>
  <c r="AR93" i="113"/>
  <c r="AS14" i="113"/>
  <c r="AT14" i="113" s="1" a="1"/>
  <c r="AT14" i="113" s="1"/>
  <c r="AQ90" i="113"/>
  <c r="AU90" i="113" a="1"/>
  <c r="AU90" i="113" s="1"/>
  <c r="AR177" i="113"/>
  <c r="AP90" i="113" a="1"/>
  <c r="AP90" i="113" s="1"/>
  <c r="AS232" i="113"/>
  <c r="AT232" i="113" s="1" a="1"/>
  <c r="AT232" i="113" s="1"/>
  <c r="AR34" i="113"/>
  <c r="AR114" i="113"/>
  <c r="AY80" i="113"/>
  <c r="AZ80" i="113" s="1" a="1"/>
  <c r="AZ80" i="113" s="1"/>
  <c r="AQ19" i="113"/>
  <c r="AS19" i="113"/>
  <c r="AT19" i="113" s="1" a="1"/>
  <c r="AT19" i="113" s="1"/>
  <c r="AP19" i="113" a="1"/>
  <c r="AP19" i="113" s="1"/>
  <c r="AU19" i="113" a="1"/>
  <c r="AU19" i="113" s="1"/>
  <c r="AR19" i="113"/>
  <c r="AP35" i="113" a="1"/>
  <c r="AP35" i="113" s="1"/>
  <c r="BC35" i="113" a="1"/>
  <c r="BC35" i="113" s="1"/>
  <c r="AQ35" i="113"/>
  <c r="AU35" i="113" a="1"/>
  <c r="AU35" i="113" s="1"/>
  <c r="AR35" i="113"/>
  <c r="AS35" i="113"/>
  <c r="AT35" i="113" s="1" a="1"/>
  <c r="AT35" i="113" s="1"/>
  <c r="AU36" i="113" a="1"/>
  <c r="AU36" i="113" s="1"/>
  <c r="AQ36" i="113"/>
  <c r="AP36" i="113" a="1"/>
  <c r="AP36" i="113" s="1"/>
  <c r="BC36" i="113" a="1"/>
  <c r="BC36" i="113" s="1"/>
  <c r="AR36" i="113"/>
  <c r="AS36" i="113"/>
  <c r="AT36" i="113" s="1" a="1"/>
  <c r="AT36" i="113" s="1"/>
  <c r="AW6" i="113"/>
  <c r="AV6" i="113" a="1"/>
  <c r="AV6" i="113" s="1"/>
  <c r="AX6" i="113"/>
  <c r="AY76" i="113"/>
  <c r="AZ76" i="113" s="1" a="1"/>
  <c r="AZ76" i="113" s="1"/>
  <c r="AU52" i="113" a="1"/>
  <c r="AU52" i="113" s="1"/>
  <c r="AS52" i="113"/>
  <c r="AT52" i="113" s="1" a="1"/>
  <c r="AT52" i="113" s="1"/>
  <c r="AQ52" i="113"/>
  <c r="AP52" i="113" a="1"/>
  <c r="AP52" i="113" s="1"/>
  <c r="AR52" i="113"/>
  <c r="BC38" i="113" a="1"/>
  <c r="BC38" i="113" s="1"/>
  <c r="AQ38" i="113"/>
  <c r="AP38" i="113" a="1"/>
  <c r="AP38" i="113" s="1"/>
  <c r="AS38" i="113"/>
  <c r="AT38" i="113" s="1" a="1"/>
  <c r="AT38" i="113" s="1"/>
  <c r="AR38" i="113"/>
  <c r="AU38" i="113" a="1"/>
  <c r="AU38" i="113" s="1"/>
  <c r="AY4" i="113"/>
  <c r="AZ4" i="113" s="1" a="1"/>
  <c r="AZ4" i="113" s="1"/>
  <c r="AM1" i="113"/>
  <c r="AQ179" i="113"/>
  <c r="AU179" i="113" a="1"/>
  <c r="AU179" i="113" s="1"/>
  <c r="AP179" i="113" a="1"/>
  <c r="AP179" i="113" s="1"/>
  <c r="AR179" i="113"/>
  <c r="AS179" i="113"/>
  <c r="AT179" i="113" s="1" a="1"/>
  <c r="AT179" i="113" s="1"/>
  <c r="AP118" i="113" a="1"/>
  <c r="AP118" i="113" s="1"/>
  <c r="BC118" i="113" a="1"/>
  <c r="BC118" i="113" s="1"/>
  <c r="AQ118" i="113"/>
  <c r="AU118" i="113" a="1"/>
  <c r="AU118" i="113" s="1"/>
  <c r="AS118" i="113"/>
  <c r="AT118" i="113" s="1" a="1"/>
  <c r="AT118" i="113" s="1"/>
  <c r="AY115" i="113"/>
  <c r="AZ115" i="113" s="1" a="1"/>
  <c r="AZ115" i="113" s="1"/>
  <c r="AU131" i="113" a="1"/>
  <c r="AU131" i="113" s="1"/>
  <c r="AQ131" i="113"/>
  <c r="AP131" i="113" a="1"/>
  <c r="AP131" i="113" s="1"/>
  <c r="AR131" i="113"/>
  <c r="AS131" i="113"/>
  <c r="AT131" i="113" s="1" a="1"/>
  <c r="AT131" i="113" s="1"/>
  <c r="AU188" i="113" a="1"/>
  <c r="AU188" i="113" s="1"/>
  <c r="AP188" i="113" a="1"/>
  <c r="AP188" i="113" s="1"/>
  <c r="AQ188" i="113"/>
  <c r="AR188" i="113"/>
  <c r="AS188" i="113"/>
  <c r="AT188" i="113" s="1" a="1"/>
  <c r="AT188" i="113" s="1"/>
  <c r="AX28" i="113"/>
  <c r="AV28" i="113" a="1"/>
  <c r="AV28" i="113" s="1"/>
  <c r="AW28" i="113"/>
  <c r="AQ184" i="113"/>
  <c r="AU184" i="113" a="1"/>
  <c r="AU184" i="113" s="1"/>
  <c r="AP184" i="113" a="1"/>
  <c r="AP184" i="113" s="1"/>
  <c r="AS184" i="113"/>
  <c r="AT184" i="113" s="1" a="1"/>
  <c r="AT184" i="113" s="1"/>
  <c r="AR184" i="113"/>
  <c r="AQ47" i="113"/>
  <c r="AU47" i="113" a="1"/>
  <c r="AU47" i="113" s="1"/>
  <c r="AS47" i="113"/>
  <c r="AT47" i="113" s="1" a="1"/>
  <c r="AT47" i="113" s="1"/>
  <c r="AP47" i="113" a="1"/>
  <c r="AP47" i="113" s="1"/>
  <c r="AQ108" i="113"/>
  <c r="AU108" i="113" a="1"/>
  <c r="AU108" i="113" s="1"/>
  <c r="AP108" i="113" a="1"/>
  <c r="AP108" i="113" s="1"/>
  <c r="AR108" i="113"/>
  <c r="AU222" i="113" a="1"/>
  <c r="AU222" i="113" s="1"/>
  <c r="AP222" i="113" a="1"/>
  <c r="AP222" i="113" s="1"/>
  <c r="AS222" i="113"/>
  <c r="AT222" i="113" s="1" a="1"/>
  <c r="AT222" i="113" s="1"/>
  <c r="AQ222" i="113"/>
  <c r="AR222" i="113"/>
  <c r="AU111" i="113" a="1"/>
  <c r="AU111" i="113" s="1"/>
  <c r="AQ111" i="113"/>
  <c r="AP111" i="113" a="1"/>
  <c r="AP111" i="113" s="1"/>
  <c r="AS111" i="113"/>
  <c r="AT111" i="113" s="1" a="1"/>
  <c r="AT111" i="113" s="1"/>
  <c r="AR111" i="113"/>
  <c r="AV103" i="113" a="1"/>
  <c r="AV103" i="113" s="1"/>
  <c r="AW103" i="113"/>
  <c r="AX103" i="113"/>
  <c r="AW4" i="113"/>
  <c r="AV4" i="113" a="1"/>
  <c r="AV4" i="113" s="1"/>
  <c r="AQ162" i="113"/>
  <c r="AU162" i="113" a="1"/>
  <c r="AU162" i="113" s="1"/>
  <c r="AP162" i="113" a="1"/>
  <c r="AP162" i="113" s="1"/>
  <c r="AS162" i="113"/>
  <c r="AT162" i="113" s="1" a="1"/>
  <c r="AT162" i="113" s="1"/>
  <c r="AP207" i="113" a="1"/>
  <c r="AP207" i="113" s="1"/>
  <c r="AU207" i="113" a="1"/>
  <c r="AU207" i="113" s="1"/>
  <c r="AQ207" i="113"/>
  <c r="AS207" i="113"/>
  <c r="AT207" i="113" s="1" a="1"/>
  <c r="AT207" i="113" s="1"/>
  <c r="AR207" i="113"/>
  <c r="AQ178" i="113"/>
  <c r="AP178" i="113" a="1"/>
  <c r="AP178" i="113" s="1"/>
  <c r="BC178" i="113" a="1"/>
  <c r="BC178" i="113" s="1"/>
  <c r="AU178" i="113" a="1"/>
  <c r="AU178" i="113" s="1"/>
  <c r="AS178" i="113"/>
  <c r="AT178" i="113" s="1" a="1"/>
  <c r="AT178" i="113" s="1"/>
  <c r="AR178" i="113"/>
  <c r="AR162" i="113"/>
  <c r="BC105" i="113" a="1"/>
  <c r="BC105" i="113" s="1"/>
  <c r="AP105" i="113" a="1"/>
  <c r="AP105" i="113" s="1"/>
  <c r="AU105" i="113" a="1"/>
  <c r="AU105" i="113" s="1"/>
  <c r="AQ105" i="113"/>
  <c r="AS105" i="113"/>
  <c r="AT105" i="113" s="1" a="1"/>
  <c r="AT105" i="113" s="1"/>
  <c r="AR105" i="113"/>
  <c r="AQ99" i="113"/>
  <c r="AP99" i="113" a="1"/>
  <c r="AP99" i="113" s="1"/>
  <c r="AU99" i="113" a="1"/>
  <c r="AU99" i="113" s="1"/>
  <c r="AS99" i="113"/>
  <c r="AT99" i="113" s="1" a="1"/>
  <c r="AT99" i="113" s="1"/>
  <c r="AR99" i="113"/>
  <c r="AV146" i="113" a="1"/>
  <c r="AV146" i="113" s="1"/>
  <c r="AW146" i="113"/>
  <c r="AX146" i="113"/>
  <c r="AR47" i="113"/>
  <c r="AY109" i="113"/>
  <c r="AZ109" i="113" s="1" a="1"/>
  <c r="AZ109" i="113" s="1"/>
  <c r="AR118" i="113"/>
  <c r="AP190" i="113" a="1"/>
  <c r="AP190" i="113" s="1"/>
  <c r="AS190" i="113"/>
  <c r="AT190" i="113" s="1" a="1"/>
  <c r="AT190" i="113" s="1"/>
  <c r="AQ190" i="113"/>
  <c r="AR190" i="113"/>
  <c r="AU190" i="113" a="1"/>
  <c r="AU190" i="113" s="1"/>
  <c r="AY233" i="113"/>
  <c r="AZ233" i="113" s="1" a="1"/>
  <c r="AZ233" i="113" s="1"/>
  <c r="AU155" i="113" a="1"/>
  <c r="AU155" i="113" s="1"/>
  <c r="AQ155" i="113"/>
  <c r="AP155" i="113" a="1"/>
  <c r="AP155" i="113" s="1"/>
  <c r="AR155" i="113"/>
  <c r="AS155" i="113"/>
  <c r="AT155" i="113" s="1" a="1"/>
  <c r="AT155" i="113" s="1"/>
  <c r="AP89" i="113" a="1"/>
  <c r="AP89" i="113" s="1"/>
  <c r="AS89" i="113"/>
  <c r="AT89" i="113" s="1" a="1"/>
  <c r="AT89" i="113" s="1"/>
  <c r="AQ89" i="113"/>
  <c r="AU89" i="113" a="1"/>
  <c r="AU89" i="113" s="1"/>
  <c r="AU91" i="113" a="1"/>
  <c r="AU91" i="113" s="1"/>
  <c r="AP91" i="113" a="1"/>
  <c r="AP91" i="113" s="1"/>
  <c r="AQ91" i="113"/>
  <c r="AS91" i="113"/>
  <c r="AT91" i="113" s="1" a="1"/>
  <c r="AT91" i="113" s="1"/>
  <c r="AQ124" i="113"/>
  <c r="AS124" i="113"/>
  <c r="AT124" i="113" s="1" a="1"/>
  <c r="AT124" i="113" s="1"/>
  <c r="AR124" i="113"/>
  <c r="AP124" i="113" a="1"/>
  <c r="AP124" i="113" s="1"/>
  <c r="AU124" i="113" a="1"/>
  <c r="AU124" i="113" s="1"/>
  <c r="AR89" i="113"/>
  <c r="AR91" i="113"/>
  <c r="AP192" i="113" a="1"/>
  <c r="AP192" i="113" s="1"/>
  <c r="AU192" i="113" a="1"/>
  <c r="AU192" i="113" s="1"/>
  <c r="AQ192" i="113"/>
  <c r="AU154" i="113" a="1"/>
  <c r="AU154" i="113" s="1"/>
  <c r="AP154" i="113" a="1"/>
  <c r="AP154" i="113" s="1"/>
  <c r="AS154" i="113"/>
  <c r="AT154" i="113" s="1" a="1"/>
  <c r="AT154" i="113" s="1"/>
  <c r="AQ154" i="113"/>
  <c r="AP170" i="113" a="1"/>
  <c r="AP170" i="113" s="1"/>
  <c r="AS170" i="113"/>
  <c r="AT170" i="113" s="1" a="1"/>
  <c r="AT170" i="113" s="1"/>
  <c r="AQ170" i="113"/>
  <c r="AU170" i="113" a="1"/>
  <c r="AU170" i="113" s="1"/>
  <c r="AX157" i="113"/>
  <c r="AW157" i="113"/>
  <c r="AV157" i="113" a="1"/>
  <c r="AV157" i="113" s="1"/>
  <c r="AW191" i="113"/>
  <c r="AV191" i="113" a="1"/>
  <c r="AV191" i="113" s="1"/>
  <c r="AX191" i="113"/>
  <c r="AQ150" i="113"/>
  <c r="AP150" i="113" a="1"/>
  <c r="AP150" i="113" s="1"/>
  <c r="AU150" i="113" a="1"/>
  <c r="AU150" i="113" s="1"/>
  <c r="AY54" i="113"/>
  <c r="AZ54" i="113" s="1" a="1"/>
  <c r="AZ54" i="113" s="1"/>
  <c r="AP94" i="113" a="1"/>
  <c r="AP94" i="113" s="1"/>
  <c r="AU94" i="113" a="1"/>
  <c r="AU94" i="113" s="1"/>
  <c r="AQ94" i="113"/>
  <c r="AR22" i="113"/>
  <c r="AX77" i="113"/>
  <c r="AW77" i="113"/>
  <c r="AV77" i="113" a="1"/>
  <c r="AV77" i="113" s="1"/>
  <c r="AW71" i="113"/>
  <c r="AV71" i="113" a="1"/>
  <c r="AV71" i="113" s="1"/>
  <c r="AW214" i="113"/>
  <c r="AV214" i="113" a="1"/>
  <c r="AV214" i="113" s="1"/>
  <c r="AU218" i="113" a="1"/>
  <c r="AU218" i="113" s="1"/>
  <c r="BC218" i="113" a="1"/>
  <c r="BC218" i="113" s="1"/>
  <c r="AS218" i="113"/>
  <c r="AT218" i="113" s="1" a="1"/>
  <c r="AT218" i="113" s="1"/>
  <c r="AR218" i="113"/>
  <c r="AQ218" i="113"/>
  <c r="AP218" i="113" a="1"/>
  <c r="AP218" i="113" s="1"/>
  <c r="AQ202" i="113"/>
  <c r="AU202" i="113" a="1"/>
  <c r="AU202" i="113" s="1"/>
  <c r="AS202" i="113"/>
  <c r="AT202" i="113" s="1" a="1"/>
  <c r="AT202" i="113" s="1"/>
  <c r="AP202" i="113" a="1"/>
  <c r="AP202" i="113" s="1"/>
  <c r="AW225" i="113"/>
  <c r="AV225" i="113" a="1"/>
  <c r="AV225" i="113" s="1"/>
  <c r="AX225" i="113"/>
  <c r="AQ200" i="113"/>
  <c r="AP200" i="113" a="1"/>
  <c r="AP200" i="113" s="1"/>
  <c r="AU200" i="113" a="1"/>
  <c r="AU200" i="113" s="1"/>
  <c r="AS200" i="113"/>
  <c r="AT200" i="113" s="1" a="1"/>
  <c r="AT200" i="113" s="1"/>
  <c r="AS192" i="113"/>
  <c r="AT192" i="113" s="1" a="1"/>
  <c r="AT192" i="113" s="1"/>
  <c r="AR154" i="113"/>
  <c r="AQ172" i="113"/>
  <c r="AU172" i="113" a="1"/>
  <c r="AU172" i="113" s="1"/>
  <c r="AS172" i="113"/>
  <c r="AT172" i="113" s="1" a="1"/>
  <c r="AT172" i="113" s="1"/>
  <c r="AP172" i="113" a="1"/>
  <c r="AP172" i="113" s="1"/>
  <c r="AR150" i="113"/>
  <c r="AQ142" i="113"/>
  <c r="AP142" i="113" a="1"/>
  <c r="AP142" i="113" s="1"/>
  <c r="AU142" i="113" a="1"/>
  <c r="AU142" i="113" s="1"/>
  <c r="AS142" i="113"/>
  <c r="AT142" i="113" s="1" a="1"/>
  <c r="AT142" i="113" s="1"/>
  <c r="AR142" i="113"/>
  <c r="AV166" i="113" a="1"/>
  <c r="AV166" i="113" s="1"/>
  <c r="AX166" i="113"/>
  <c r="AW166" i="113"/>
  <c r="AQ149" i="113"/>
  <c r="AU149" i="113" a="1"/>
  <c r="AU149" i="113" s="1"/>
  <c r="AP149" i="113" a="1"/>
  <c r="AP149" i="113" s="1"/>
  <c r="AP59" i="113" a="1"/>
  <c r="AP59" i="113" s="1"/>
  <c r="AU59" i="113" a="1"/>
  <c r="AU59" i="113" s="1"/>
  <c r="AQ59" i="113"/>
  <c r="AW54" i="113"/>
  <c r="AV54" i="113" a="1"/>
  <c r="AV54" i="113" s="1"/>
  <c r="AX82" i="113"/>
  <c r="AW82" i="113"/>
  <c r="AV82" i="113" a="1"/>
  <c r="AV82" i="113" s="1"/>
  <c r="AU9" i="113" a="1"/>
  <c r="AU9" i="113" s="1"/>
  <c r="AQ9" i="113"/>
  <c r="AP9" i="113" a="1"/>
  <c r="AP9" i="113" s="1"/>
  <c r="AU14" i="113" a="1"/>
  <c r="AU14" i="113" s="1"/>
  <c r="AQ14" i="113"/>
  <c r="AP14" i="113" a="1"/>
  <c r="AP14" i="113" s="1"/>
  <c r="AX209" i="113"/>
  <c r="AW209" i="113"/>
  <c r="AV209" i="113" a="1"/>
  <c r="AV209" i="113" s="1"/>
  <c r="AU176" i="113" a="1"/>
  <c r="AU176" i="113" s="1"/>
  <c r="AQ176" i="113"/>
  <c r="AS176" i="113"/>
  <c r="AT176" i="113" s="1" a="1"/>
  <c r="AT176" i="113" s="1"/>
  <c r="BC176" i="113" a="1"/>
  <c r="BC176" i="113" s="1"/>
  <c r="AP176" i="113" a="1"/>
  <c r="AP176" i="113" s="1"/>
  <c r="AP216" i="113" a="1"/>
  <c r="AP216" i="113" s="1"/>
  <c r="AU216" i="113" a="1"/>
  <c r="AU216" i="113" s="1"/>
  <c r="AQ216" i="113"/>
  <c r="AR170" i="113"/>
  <c r="BC97" i="113" a="1"/>
  <c r="BC97" i="113" s="1"/>
  <c r="AU97" i="113" a="1"/>
  <c r="AU97" i="113" s="1"/>
  <c r="AQ97" i="113"/>
  <c r="AP97" i="113" a="1"/>
  <c r="AP97" i="113" s="1"/>
  <c r="AS150" i="113"/>
  <c r="AT150" i="113" s="1" a="1"/>
  <c r="AT150" i="113" s="1"/>
  <c r="AQ159" i="113"/>
  <c r="AP159" i="113" a="1"/>
  <c r="AP159" i="113" s="1"/>
  <c r="AU159" i="113" a="1"/>
  <c r="AU159" i="113" s="1"/>
  <c r="AQ65" i="113"/>
  <c r="AU65" i="113" a="1"/>
  <c r="AU65" i="113" s="1"/>
  <c r="AP65" i="113" a="1"/>
  <c r="AP65" i="113" s="1"/>
  <c r="BC65" i="113" a="1"/>
  <c r="BC65" i="113" s="1"/>
  <c r="AQ128" i="113"/>
  <c r="AP128" i="113" a="1"/>
  <c r="AP128" i="113" s="1"/>
  <c r="AU128" i="113" a="1"/>
  <c r="AU128" i="113" s="1"/>
  <c r="AU86" i="113" a="1"/>
  <c r="AU86" i="113" s="1"/>
  <c r="AQ86" i="113"/>
  <c r="AP86" i="113" a="1"/>
  <c r="AP86" i="113" s="1"/>
  <c r="AR149" i="113"/>
  <c r="AQ153" i="113"/>
  <c r="AP153" i="113" a="1"/>
  <c r="AP153" i="113" s="1"/>
  <c r="AU153" i="113" a="1"/>
  <c r="AU153" i="113" s="1"/>
  <c r="AW113" i="113"/>
  <c r="AX113" i="113"/>
  <c r="AV113" i="113" a="1"/>
  <c r="AV113" i="113" s="1"/>
  <c r="AU32" i="113" a="1"/>
  <c r="AU32" i="113" s="1"/>
  <c r="AQ32" i="113"/>
  <c r="AP32" i="113" a="1"/>
  <c r="AP32" i="113" s="1"/>
  <c r="AS59" i="113"/>
  <c r="AT59" i="113" s="1" a="1"/>
  <c r="AT59" i="113" s="1"/>
  <c r="AN1" i="113"/>
  <c r="AP11" i="113" a="1"/>
  <c r="AP11" i="113" s="1"/>
  <c r="AQ11" i="113"/>
  <c r="AU11" i="113" a="1"/>
  <c r="AU11" i="113" s="1"/>
  <c r="AS9" i="113"/>
  <c r="AT9" i="113" s="1" a="1"/>
  <c r="AT9" i="113" s="1"/>
  <c r="AW62" i="113"/>
  <c r="AV62" i="113" a="1"/>
  <c r="AV62" i="113" s="1"/>
  <c r="AU223" i="113" a="1"/>
  <c r="AU223" i="113" s="1"/>
  <c r="AQ223" i="113"/>
  <c r="AP223" i="113" a="1"/>
  <c r="AP223" i="113" s="1"/>
  <c r="AS223" i="113"/>
  <c r="AT223" i="113" s="1" a="1"/>
  <c r="AT223" i="113" s="1"/>
  <c r="AQ212" i="113"/>
  <c r="AP212" i="113" a="1"/>
  <c r="AP212" i="113" s="1"/>
  <c r="AU212" i="113" a="1"/>
  <c r="AU212" i="113" s="1"/>
  <c r="AQ201" i="113"/>
  <c r="AP201" i="113" a="1"/>
  <c r="AP201" i="113" s="1"/>
  <c r="AU201" i="113" a="1"/>
  <c r="AU201" i="113" s="1"/>
  <c r="AQ17" i="113"/>
  <c r="AS17" i="113"/>
  <c r="AT17" i="113" s="1" a="1"/>
  <c r="AT17" i="113" s="1"/>
  <c r="AU17" i="113" a="1"/>
  <c r="AU17" i="113" s="1"/>
  <c r="BC17" i="113" a="1"/>
  <c r="BC17" i="113" s="1"/>
  <c r="AR17" i="113"/>
  <c r="AP17" i="113" a="1"/>
  <c r="AP17" i="113" s="1"/>
  <c r="AS212" i="113"/>
  <c r="AT212" i="113" s="1" a="1"/>
  <c r="AT212" i="113" s="1"/>
  <c r="AR201" i="113"/>
  <c r="AW160" i="113"/>
  <c r="AX160" i="113"/>
  <c r="AV160" i="113" a="1"/>
  <c r="AV160" i="113" s="1"/>
  <c r="AQ123" i="113"/>
  <c r="AP123" i="113" a="1"/>
  <c r="AP123" i="113" s="1"/>
  <c r="AS123" i="113"/>
  <c r="AT123" i="113" s="1" a="1"/>
  <c r="AT123" i="113" s="1"/>
  <c r="AU123" i="113" a="1"/>
  <c r="AU123" i="113" s="1"/>
  <c r="AQ40" i="113"/>
  <c r="AP40" i="113" a="1"/>
  <c r="AP40" i="113" s="1"/>
  <c r="AU40" i="113" a="1"/>
  <c r="AU40" i="113" s="1"/>
  <c r="AV199" i="113" a="1"/>
  <c r="AV199" i="113" s="1"/>
  <c r="AX199" i="113"/>
  <c r="AW199" i="113"/>
  <c r="AX13" i="113"/>
  <c r="AV13" i="113" a="1"/>
  <c r="AV13" i="113" s="1"/>
  <c r="AW13" i="113"/>
  <c r="AR223" i="113"/>
  <c r="AV187" i="113" a="1"/>
  <c r="AV187" i="113" s="1"/>
  <c r="AW187" i="113"/>
  <c r="AX187" i="113"/>
  <c r="AQ119" i="113"/>
  <c r="AP119" i="113" a="1"/>
  <c r="AP119" i="113" s="1"/>
  <c r="AU119" i="113" a="1"/>
  <c r="AU119" i="113" s="1"/>
  <c r="AU45" i="113" a="1"/>
  <c r="AU45" i="113" s="1"/>
  <c r="AQ45" i="113"/>
  <c r="AP45" i="113" a="1"/>
  <c r="AP45" i="113" s="1"/>
  <c r="AQ61" i="113"/>
  <c r="BC61" i="113" a="1"/>
  <c r="BC61" i="113" s="1"/>
  <c r="AU61" i="113" a="1"/>
  <c r="AU61" i="113" s="1"/>
  <c r="AP61" i="113" a="1"/>
  <c r="AP61" i="113" s="1"/>
  <c r="AS61" i="113"/>
  <c r="AT61" i="113" s="1" a="1"/>
  <c r="AT61" i="113" s="1"/>
  <c r="AR61" i="113"/>
  <c r="AV23" i="113" a="1"/>
  <c r="AV23" i="113" s="1"/>
  <c r="AX23" i="113"/>
  <c r="AW23" i="113"/>
  <c r="AU224" i="113" a="1"/>
  <c r="AU224" i="113" s="1"/>
  <c r="AP224" i="113" a="1"/>
  <c r="AP224" i="113" s="1"/>
  <c r="AQ224" i="113"/>
  <c r="AQ194" i="113"/>
  <c r="AU194" i="113" a="1"/>
  <c r="AU194" i="113" s="1"/>
  <c r="AP194" i="113" a="1"/>
  <c r="AP194" i="113" s="1"/>
  <c r="AR194" i="113"/>
  <c r="AU117" i="113" a="1"/>
  <c r="AU117" i="113" s="1"/>
  <c r="AQ117" i="113"/>
  <c r="AP117" i="113" a="1"/>
  <c r="AP117" i="113" s="1"/>
  <c r="BC117" i="113" a="1"/>
  <c r="BC117" i="113" s="1"/>
  <c r="AR119" i="113"/>
  <c r="AR86" i="113"/>
  <c r="AU66" i="113" a="1"/>
  <c r="AU66" i="113" s="1"/>
  <c r="AS66" i="113"/>
  <c r="AT66" i="113" s="1" a="1"/>
  <c r="AT66" i="113" s="1"/>
  <c r="AQ66" i="113"/>
  <c r="AP66" i="113" a="1"/>
  <c r="AP66" i="113" s="1"/>
  <c r="AS148" i="113"/>
  <c r="AT148" i="113" s="1" a="1"/>
  <c r="AT148" i="113" s="1"/>
  <c r="AR92" i="113"/>
  <c r="AY31" i="113"/>
  <c r="AZ31" i="113" s="1" a="1"/>
  <c r="AZ31" i="113" s="1"/>
  <c r="AV5" i="113" a="1"/>
  <c r="AV5" i="113" s="1"/>
  <c r="AW5" i="113"/>
  <c r="AU129" i="113" a="1"/>
  <c r="AU129" i="113" s="1"/>
  <c r="AP129" i="113" a="1"/>
  <c r="AP129" i="113" s="1"/>
  <c r="AQ129" i="113"/>
  <c r="AS129" i="113"/>
  <c r="AT129" i="113" s="1" a="1"/>
  <c r="AT129" i="113" s="1"/>
  <c r="AR129" i="113"/>
  <c r="AY134" i="113"/>
  <c r="AZ134" i="113" s="1" a="1"/>
  <c r="AZ134" i="113" s="1"/>
  <c r="AY78" i="113"/>
  <c r="AZ78" i="113" s="1" a="1"/>
  <c r="AZ78" i="113" s="1"/>
  <c r="AQ42" i="113"/>
  <c r="AP42" i="113" a="1"/>
  <c r="AP42" i="113" s="1"/>
  <c r="BC42" i="113" a="1"/>
  <c r="BC42" i="113" s="1"/>
  <c r="AU42" i="113" a="1"/>
  <c r="AU42" i="113" s="1"/>
  <c r="AS42" i="113"/>
  <c r="AT42" i="113" s="1" a="1"/>
  <c r="AT42" i="113" s="1"/>
  <c r="AP185" i="113" a="1"/>
  <c r="AP185" i="113" s="1"/>
  <c r="AU185" i="113" a="1"/>
  <c r="AU185" i="113" s="1"/>
  <c r="AS185" i="113"/>
  <c r="AT185" i="113" s="1" a="1"/>
  <c r="AT185" i="113" s="1"/>
  <c r="AQ185" i="113"/>
  <c r="AP43" i="113" a="1"/>
  <c r="AP43" i="113" s="1"/>
  <c r="AQ43" i="113"/>
  <c r="AU43" i="113" a="1"/>
  <c r="AU43" i="113" s="1"/>
  <c r="AR42" i="113"/>
  <c r="AU44" i="113" a="1"/>
  <c r="AU44" i="113" s="1"/>
  <c r="AP44" i="113" a="1"/>
  <c r="AP44" i="113" s="1"/>
  <c r="AQ44" i="113"/>
  <c r="AW88" i="113"/>
  <c r="AX88" i="113"/>
  <c r="AV88" i="113" a="1"/>
  <c r="AV88" i="113" s="1"/>
  <c r="AW134" i="113"/>
  <c r="AV134" i="113" a="1"/>
  <c r="AV134" i="113" s="1"/>
  <c r="AQ210" i="113"/>
  <c r="AP210" i="113" a="1"/>
  <c r="AP210" i="113" s="1"/>
  <c r="AU210" i="113" a="1"/>
  <c r="AU210" i="113" s="1"/>
  <c r="AR210" i="113"/>
  <c r="AP145" i="113" a="1"/>
  <c r="AP145" i="113" s="1"/>
  <c r="AQ145" i="113"/>
  <c r="AU145" i="113" a="1"/>
  <c r="AU145" i="113" s="1"/>
  <c r="AS145" i="113"/>
  <c r="AT145" i="113" s="1" a="1"/>
  <c r="AT145" i="113" s="1"/>
  <c r="AR123" i="113"/>
  <c r="AP221" i="113" a="1"/>
  <c r="AP221" i="113" s="1"/>
  <c r="AQ221" i="113"/>
  <c r="AR221" i="113"/>
  <c r="AS221" i="113"/>
  <c r="AT221" i="113" s="1" a="1"/>
  <c r="AT221" i="113" s="1"/>
  <c r="AU221" i="113" a="1"/>
  <c r="AU221" i="113" s="1"/>
  <c r="AR224" i="113"/>
  <c r="AP204" i="113" a="1"/>
  <c r="AP204" i="113" s="1"/>
  <c r="AS204" i="113"/>
  <c r="AT204" i="113" s="1" a="1"/>
  <c r="AT204" i="113" s="1"/>
  <c r="AR204" i="113"/>
  <c r="AQ204" i="113"/>
  <c r="AU204" i="113" a="1"/>
  <c r="AU204" i="113" s="1"/>
  <c r="AU173" i="113" a="1"/>
  <c r="AU173" i="113" s="1"/>
  <c r="AQ173" i="113"/>
  <c r="AP173" i="113" a="1"/>
  <c r="AP173" i="113" s="1"/>
  <c r="AW158" i="113"/>
  <c r="AV158" i="113" a="1"/>
  <c r="AV158" i="113" s="1"/>
  <c r="AX158" i="113"/>
  <c r="AY182" i="113"/>
  <c r="AZ182" i="113" s="1" a="1"/>
  <c r="AZ182" i="113" s="1"/>
  <c r="AS117" i="113"/>
  <c r="AT117" i="113" s="1" a="1"/>
  <c r="AT117" i="113" s="1"/>
  <c r="AR66" i="113"/>
  <c r="AP70" i="113" a="1"/>
  <c r="AP70" i="113" s="1"/>
  <c r="AU70" i="113" a="1"/>
  <c r="AU70" i="113" s="1"/>
  <c r="AQ70" i="113"/>
  <c r="AU7" i="113" a="1"/>
  <c r="AU7" i="113" s="1"/>
  <c r="AQ7" i="113"/>
  <c r="AP7" i="113" a="1"/>
  <c r="AP7" i="113" s="1"/>
  <c r="AS7" i="113"/>
  <c r="AT7" i="113" s="1" a="1"/>
  <c r="AT7" i="113" s="1"/>
  <c r="AQ10" i="113"/>
  <c r="AU10" i="113" a="1"/>
  <c r="AU10" i="113" s="1"/>
  <c r="AP10" i="113" a="1"/>
  <c r="AP10" i="113" s="1"/>
  <c r="AP12" i="113" a="1"/>
  <c r="AP12" i="113" s="1"/>
  <c r="AU12" i="113" a="1"/>
  <c r="AU12" i="113" s="1"/>
  <c r="AQ12" i="113"/>
  <c r="AW80" i="113"/>
  <c r="AV80" i="113" a="1"/>
  <c r="AV80" i="113" s="1"/>
  <c r="AR44" i="113"/>
  <c r="AV60" i="113" a="1"/>
  <c r="AV60" i="113" s="1"/>
  <c r="AW60" i="113"/>
  <c r="AV193" i="113" a="1"/>
  <c r="AV193" i="113" s="1"/>
  <c r="AW193" i="113"/>
  <c r="AX193" i="113"/>
  <c r="AQ147" i="113"/>
  <c r="AU147" i="113" a="1"/>
  <c r="AU147" i="113" s="1"/>
  <c r="AP147" i="113" a="1"/>
  <c r="AP147" i="113" s="1"/>
  <c r="AX62" i="113"/>
  <c r="AY127" i="113"/>
  <c r="AZ127" i="113" s="1" a="1"/>
  <c r="AZ127" i="113" s="1"/>
  <c r="AR45" i="113"/>
  <c r="AY71" i="113"/>
  <c r="AZ71" i="113" s="1" a="1"/>
  <c r="AZ71" i="113" s="1"/>
  <c r="AP15" i="113" a="1"/>
  <c r="AP15" i="113" s="1"/>
  <c r="BC15" i="113" a="1"/>
  <c r="BC15" i="113" s="1"/>
  <c r="AU15" i="113" a="1"/>
  <c r="AU15" i="113" s="1"/>
  <c r="AQ15" i="113"/>
  <c r="AW215" i="113"/>
  <c r="AX215" i="113"/>
  <c r="AV215" i="113" a="1"/>
  <c r="AV215" i="113" s="1"/>
  <c r="AP151" i="113" a="1"/>
  <c r="AP151" i="113" s="1"/>
  <c r="AQ151" i="113"/>
  <c r="AU151" i="113" a="1"/>
  <c r="AU151" i="113" s="1"/>
  <c r="AU169" i="113" a="1"/>
  <c r="AU169" i="113" s="1"/>
  <c r="AQ169" i="113"/>
  <c r="AP169" i="113" a="1"/>
  <c r="AP169" i="113" s="1"/>
  <c r="AY64" i="113"/>
  <c r="AZ64" i="113" s="1" a="1"/>
  <c r="AZ64" i="113" s="1"/>
  <c r="AQ92" i="113"/>
  <c r="AU92" i="113" a="1"/>
  <c r="AU92" i="113" s="1"/>
  <c r="AP92" i="113" a="1"/>
  <c r="AP92" i="113" s="1"/>
  <c r="AQ164" i="113"/>
  <c r="AU164" i="113" a="1"/>
  <c r="AU164" i="113" s="1"/>
  <c r="AP164" i="113" a="1"/>
  <c r="AP164" i="113" s="1"/>
  <c r="AS43" i="113"/>
  <c r="AT43" i="113" s="1" a="1"/>
  <c r="AT43" i="113" s="1"/>
  <c r="AR40" i="113"/>
  <c r="AU25" i="113" a="1"/>
  <c r="AU25" i="113" s="1"/>
  <c r="AP25" i="113" a="1"/>
  <c r="AP25" i="113" s="1"/>
  <c r="BC25" i="113" a="1"/>
  <c r="BC25" i="113" s="1"/>
  <c r="AQ25" i="113"/>
  <c r="AQ41" i="113"/>
  <c r="AP41" i="113" a="1"/>
  <c r="AP41" i="113" s="1"/>
  <c r="AU41" i="113" a="1"/>
  <c r="AU41" i="113" s="1"/>
  <c r="BC41" i="113" a="1"/>
  <c r="BC41" i="113" s="1"/>
  <c r="AS168" i="113"/>
  <c r="AT168" i="113" s="1" a="1"/>
  <c r="AT168" i="113" s="1"/>
  <c r="AQ168" i="113"/>
  <c r="AP168" i="113" a="1"/>
  <c r="AP168" i="113" s="1"/>
  <c r="AU168" i="113" a="1"/>
  <c r="AU168" i="113" s="1"/>
  <c r="AS147" i="113"/>
  <c r="AT147" i="113" s="1" a="1"/>
  <c r="AT147" i="113" s="1"/>
  <c r="AR151" i="113"/>
  <c r="AR164" i="113"/>
  <c r="AW115" i="113"/>
  <c r="AV115" i="113" a="1"/>
  <c r="AV115" i="113" s="1"/>
  <c r="AV127" i="113" a="1"/>
  <c r="AV127" i="113" s="1"/>
  <c r="AW127" i="113"/>
  <c r="AU22" i="113" a="1"/>
  <c r="AU22" i="113" s="1"/>
  <c r="AP22" i="113" a="1"/>
  <c r="AP22" i="113" s="1"/>
  <c r="BC22" i="113" a="1"/>
  <c r="BC22" i="113" s="1"/>
  <c r="AQ22" i="113"/>
  <c r="AR43" i="113"/>
  <c r="AS40" i="113"/>
  <c r="AT40" i="113" s="1" a="1"/>
  <c r="AT40" i="113" s="1"/>
  <c r="AU21" i="113" a="1"/>
  <c r="AU21" i="113" s="1"/>
  <c r="BC21" i="113" a="1"/>
  <c r="BC21" i="113" s="1"/>
  <c r="AP21" i="113" a="1"/>
  <c r="AP21" i="113" s="1"/>
  <c r="AQ21" i="113"/>
  <c r="AS25" i="113"/>
  <c r="AT25" i="113" s="1" a="1"/>
  <c r="AT25" i="113" s="1"/>
  <c r="AQ26" i="113"/>
  <c r="AU26" i="113" a="1"/>
  <c r="AU26" i="113" s="1"/>
  <c r="AP26" i="113" a="1"/>
  <c r="AP26" i="113" s="1"/>
  <c r="AR41" i="113"/>
  <c r="AW75" i="113"/>
  <c r="AV75" i="113" a="1"/>
  <c r="AV75" i="113" s="1"/>
  <c r="AU87" i="113" a="1"/>
  <c r="AU87" i="113" s="1"/>
  <c r="AP87" i="113" a="1"/>
  <c r="AP87" i="113" s="1"/>
  <c r="AR87" i="113"/>
  <c r="AQ87" i="113"/>
  <c r="AU84" i="113" a="1"/>
  <c r="AU84" i="113" s="1"/>
  <c r="AQ84" i="113"/>
  <c r="AS84" i="113"/>
  <c r="AT84" i="113" s="1" a="1"/>
  <c r="AT84" i="113" s="1"/>
  <c r="AP84" i="113" a="1"/>
  <c r="AP84" i="113" s="1"/>
  <c r="AY165" i="113"/>
  <c r="AZ165" i="113" s="1" a="1"/>
  <c r="AZ165" i="113" s="1"/>
  <c r="AS164" i="113"/>
  <c r="AT164" i="113" s="1" a="1"/>
  <c r="AT164" i="113" s="1"/>
  <c r="AW72" i="113"/>
  <c r="AV72" i="113" a="1"/>
  <c r="AV72" i="113" s="1"/>
  <c r="AR32" i="113"/>
  <c r="AY63" i="113"/>
  <c r="AZ63" i="113" s="1" a="1"/>
  <c r="AZ63" i="113" s="1"/>
  <c r="AY214" i="113"/>
  <c r="AZ214" i="113" s="1" a="1"/>
  <c r="AZ214" i="113" s="1"/>
  <c r="AY72" i="113"/>
  <c r="AZ72" i="113" s="1" a="1"/>
  <c r="AZ72" i="113" s="1"/>
  <c r="AQ213" i="113"/>
  <c r="AP213" i="113" a="1"/>
  <c r="AP213" i="113" s="1"/>
  <c r="AU213" i="113" a="1"/>
  <c r="AU213" i="113" s="1"/>
  <c r="AR213" i="113"/>
  <c r="AP112" i="113" a="1"/>
  <c r="AP112" i="113" s="1"/>
  <c r="AU112" i="113" a="1"/>
  <c r="AU112" i="113" s="1"/>
  <c r="AQ112" i="113"/>
  <c r="AU46" i="113" a="1"/>
  <c r="AU46" i="113" s="1"/>
  <c r="AP46" i="113" a="1"/>
  <c r="AP46" i="113" s="1"/>
  <c r="AQ46" i="113"/>
  <c r="AU69" i="113" a="1"/>
  <c r="AU69" i="113" s="1"/>
  <c r="AQ69" i="113"/>
  <c r="AP69" i="113" a="1"/>
  <c r="AP69" i="113" s="1"/>
  <c r="AS32" i="113"/>
  <c r="AT32" i="113" s="1" a="1"/>
  <c r="AT32" i="113" s="1"/>
  <c r="AY60" i="113"/>
  <c r="AZ60" i="113" s="1" a="1"/>
  <c r="AZ60" i="113" s="1"/>
  <c r="AY75" i="113"/>
  <c r="AZ75" i="113" s="1" a="1"/>
  <c r="AZ75" i="113" s="1"/>
  <c r="AW109" i="113"/>
  <c r="AV109" i="113" a="1"/>
  <c r="AV109" i="113" s="1"/>
  <c r="AW31" i="113"/>
  <c r="AV31" i="113" a="1"/>
  <c r="AV31" i="113" s="1"/>
  <c r="AQ79" i="113"/>
  <c r="AU79" i="113" a="1"/>
  <c r="AU79" i="113" s="1"/>
  <c r="AP79" i="113" a="1"/>
  <c r="AP79" i="113" s="1"/>
  <c r="AU132" i="113" a="1"/>
  <c r="AU132" i="113" s="1"/>
  <c r="AQ132" i="113"/>
  <c r="AS132" i="113"/>
  <c r="AT132" i="113" s="1" a="1"/>
  <c r="AT132" i="113" s="1"/>
  <c r="AP132" i="113" a="1"/>
  <c r="AP132" i="113" s="1"/>
  <c r="AR132" i="113"/>
  <c r="AQ148" i="113"/>
  <c r="AP148" i="113" a="1"/>
  <c r="AP148" i="113" s="1"/>
  <c r="AU148" i="113" a="1"/>
  <c r="AU148" i="113" s="1"/>
  <c r="AV78" i="113" a="1"/>
  <c r="AV78" i="113" s="1"/>
  <c r="AW78" i="113"/>
  <c r="AU198" i="113" a="1"/>
  <c r="AU198" i="113" s="1"/>
  <c r="AQ198" i="113"/>
  <c r="BC198" i="113" a="1"/>
  <c r="BC198" i="113" s="1"/>
  <c r="AP198" i="113" a="1"/>
  <c r="AP198" i="113" s="1"/>
  <c r="AU240" i="113" a="1"/>
  <c r="AU240" i="113" s="1"/>
  <c r="AQ240" i="113"/>
  <c r="AP240" i="113" a="1"/>
  <c r="AP240" i="113" s="1"/>
  <c r="AU219" i="113" a="1"/>
  <c r="AU219" i="113" s="1"/>
  <c r="AQ219" i="113"/>
  <c r="AP219" i="113" a="1"/>
  <c r="AP219" i="113" s="1"/>
  <c r="AS219" i="113"/>
  <c r="AT219" i="113" s="1" a="1"/>
  <c r="AT219" i="113" s="1"/>
  <c r="AQ217" i="113"/>
  <c r="AP217" i="113" a="1"/>
  <c r="AP217" i="113" s="1"/>
  <c r="AU217" i="113" a="1"/>
  <c r="AU217" i="113" s="1"/>
  <c r="BC217" i="113" a="1"/>
  <c r="BC217" i="113" s="1"/>
  <c r="AS216" i="113"/>
  <c r="AT216" i="113" s="1" a="1"/>
  <c r="AT216" i="113" s="1"/>
  <c r="AP203" i="113" a="1"/>
  <c r="AP203" i="113" s="1"/>
  <c r="AQ203" i="113"/>
  <c r="AU203" i="113" a="1"/>
  <c r="AU203" i="113" s="1"/>
  <c r="AS151" i="113"/>
  <c r="AT151" i="113" s="1" a="1"/>
  <c r="AT151" i="113" s="1"/>
  <c r="AR192" i="113"/>
  <c r="AS128" i="113"/>
  <c r="AT128" i="113" s="1" a="1"/>
  <c r="AT128" i="113" s="1"/>
  <c r="AY24" i="113"/>
  <c r="AR84" i="113"/>
  <c r="AS153" i="113"/>
  <c r="AT153" i="113" s="1" a="1"/>
  <c r="AT153" i="113" s="1"/>
  <c r="AW233" i="113"/>
  <c r="AV233" i="113" a="1"/>
  <c r="AV233" i="113" s="1"/>
  <c r="AV189" i="113" a="1"/>
  <c r="AV189" i="113" s="1"/>
  <c r="AX189" i="113"/>
  <c r="AW189" i="113"/>
  <c r="AP20" i="113" a="1"/>
  <c r="AP20" i="113" s="1"/>
  <c r="AR20" i="113"/>
  <c r="AQ20" i="113"/>
  <c r="AS20" i="113"/>
  <c r="AT20" i="113" s="1" a="1"/>
  <c r="AT20" i="113" s="1"/>
  <c r="AU20" i="113" a="1"/>
  <c r="AU20" i="113" s="1"/>
  <c r="AR21" i="113"/>
  <c r="AX5" i="113"/>
  <c r="AS41" i="113"/>
  <c r="AT41" i="113" s="1" a="1"/>
  <c r="AT41" i="113" s="1"/>
  <c r="AS187" i="27"/>
  <c r="AT187" i="27" s="1" a="1"/>
  <c r="AT187" i="27" s="1"/>
  <c r="AU187" i="27" a="1"/>
  <c r="AU187" i="27" s="1"/>
  <c r="AV187" i="27" s="1" a="1"/>
  <c r="AV187" i="27" s="1"/>
  <c r="AU147" i="27" a="1"/>
  <c r="AU147" i="27" s="1"/>
  <c r="AW147" i="27" s="1"/>
  <c r="AP187" i="27" a="1"/>
  <c r="AP187" i="27" s="1"/>
  <c r="AQ187" i="27"/>
  <c r="AP144" i="27" a="1"/>
  <c r="AP144" i="27" s="1"/>
  <c r="AS203" i="27"/>
  <c r="AT203" i="27" s="1" a="1"/>
  <c r="AT203" i="27" s="1"/>
  <c r="AU127" i="27" a="1"/>
  <c r="AU127" i="27" s="1"/>
  <c r="AV127" i="27" s="1" a="1"/>
  <c r="AV127" i="27" s="1"/>
  <c r="AS84" i="27"/>
  <c r="AT84" i="27" s="1" a="1"/>
  <c r="AT84" i="27" s="1"/>
  <c r="AR167" i="27"/>
  <c r="AS152" i="27"/>
  <c r="AT152" i="27" s="1" a="1"/>
  <c r="AT152" i="27" s="1"/>
  <c r="AQ167" i="27"/>
  <c r="AU27" i="27" a="1"/>
  <c r="AU27" i="27" s="1"/>
  <c r="AX27" i="27" s="1"/>
  <c r="AY27" i="27" s="1"/>
  <c r="AZ27" i="27" s="1" a="1"/>
  <c r="AZ27" i="27" s="1"/>
  <c r="AP167" i="27" a="1"/>
  <c r="AP167" i="27" s="1"/>
  <c r="AP157" i="27" a="1"/>
  <c r="AP157" i="27" s="1"/>
  <c r="AQ157" i="27"/>
  <c r="AP147" i="27" a="1"/>
  <c r="AP147" i="27" s="1"/>
  <c r="AU56" i="27" a="1"/>
  <c r="AU56" i="27" s="1"/>
  <c r="AV56" i="27" s="1" a="1"/>
  <c r="AV56" i="27" s="1"/>
  <c r="AQ207" i="27"/>
  <c r="AR207" i="27"/>
  <c r="AQ147" i="27"/>
  <c r="AP97" i="27" a="1"/>
  <c r="AP97" i="27" s="1"/>
  <c r="AQ97" i="27"/>
  <c r="AX217" i="27"/>
  <c r="AY217" i="27" s="1"/>
  <c r="AZ217" i="27" s="1" a="1"/>
  <c r="AZ217" i="27" s="1"/>
  <c r="AS130" i="27"/>
  <c r="AT130" i="27" s="1" a="1"/>
  <c r="AT130" i="27" s="1"/>
  <c r="AR79" i="27"/>
  <c r="AV130" i="27" a="1"/>
  <c r="AV130" i="27" s="1"/>
  <c r="AQ76" i="27"/>
  <c r="AR130" i="27"/>
  <c r="AS180" i="27"/>
  <c r="AT180" i="27" s="1" a="1"/>
  <c r="AT180" i="27" s="1"/>
  <c r="AP129" i="27" a="1"/>
  <c r="AP129" i="27" s="1"/>
  <c r="AP27" i="27" a="1"/>
  <c r="AP27" i="27" s="1"/>
  <c r="AX186" i="27"/>
  <c r="AY186" i="27" s="1"/>
  <c r="AZ186" i="27" s="1" a="1"/>
  <c r="AZ186" i="27" s="1"/>
  <c r="AV186" i="27" a="1"/>
  <c r="AV186" i="27" s="1"/>
  <c r="AW130" i="27"/>
  <c r="AU230" i="27" a="1"/>
  <c r="AU230" i="27" s="1"/>
  <c r="AX230" i="27" s="1"/>
  <c r="AY230" i="27" s="1"/>
  <c r="AZ230" i="27" s="1" a="1"/>
  <c r="AZ230" i="27" s="1"/>
  <c r="AV217" i="27" a="1"/>
  <c r="AV217" i="27" s="1"/>
  <c r="AP207" i="27" a="1"/>
  <c r="AP207" i="27" s="1"/>
  <c r="AQ180" i="27"/>
  <c r="AR216" i="27"/>
  <c r="AV138" i="27" a="1"/>
  <c r="AV138" i="27" s="1"/>
  <c r="AR231" i="27"/>
  <c r="AS127" i="27"/>
  <c r="AT127" i="27" s="1" a="1"/>
  <c r="AT127" i="27" s="1"/>
  <c r="AS233" i="27"/>
  <c r="AT233" i="27" s="1" a="1"/>
  <c r="AT233" i="27" s="1"/>
  <c r="AS37" i="27"/>
  <c r="AT37" i="27" s="1" a="1"/>
  <c r="AT37" i="27" s="1"/>
  <c r="AS110" i="27"/>
  <c r="AT110" i="27" s="1" a="1"/>
  <c r="AT110" i="27" s="1"/>
  <c r="AQ17" i="27"/>
  <c r="AW113" i="27"/>
  <c r="AP197" i="27" a="1"/>
  <c r="AP197" i="27" s="1"/>
  <c r="AS197" i="27"/>
  <c r="AT197" i="27" s="1" a="1"/>
  <c r="AT197" i="27" s="1"/>
  <c r="AP110" i="27" a="1"/>
  <c r="AP110" i="27" s="1"/>
  <c r="AX138" i="27"/>
  <c r="AY138" i="27" s="1"/>
  <c r="AZ138" i="27" s="1" a="1"/>
  <c r="AZ138" i="27" s="1"/>
  <c r="AP225" i="27" a="1"/>
  <c r="AP225" i="27" s="1"/>
  <c r="AP196" i="27" a="1"/>
  <c r="AP196" i="27" s="1"/>
  <c r="AQ217" i="27"/>
  <c r="AS176" i="27"/>
  <c r="AT176" i="27" s="1" a="1"/>
  <c r="AT176" i="27" s="1"/>
  <c r="AS17" i="27"/>
  <c r="AT17" i="27" s="1" a="1"/>
  <c r="AT17" i="27" s="1"/>
  <c r="AR217" i="27"/>
  <c r="AP159" i="27" a="1"/>
  <c r="AP159" i="27" s="1"/>
  <c r="AR227" i="27"/>
  <c r="AQ110" i="27"/>
  <c r="AR159" i="27"/>
  <c r="AQ225" i="27"/>
  <c r="AP227" i="27" a="1"/>
  <c r="AP227" i="27" s="1"/>
  <c r="AQ160" i="27"/>
  <c r="AS129" i="27"/>
  <c r="AT129" i="27" s="1" a="1"/>
  <c r="AT129" i="27" s="1"/>
  <c r="AV34" i="27" a="1"/>
  <c r="AV34" i="27" s="1"/>
  <c r="AV190" i="27" a="1"/>
  <c r="AV190" i="27" s="1"/>
  <c r="AU17" i="27" a="1"/>
  <c r="AU17" i="27" s="1"/>
  <c r="AV17" i="27" s="1" a="1"/>
  <c r="AV17" i="27" s="1"/>
  <c r="AR190" i="27"/>
  <c r="AQ170" i="27"/>
  <c r="AQ89" i="27"/>
  <c r="AW137" i="27"/>
  <c r="AQ37" i="27"/>
  <c r="AQ227" i="27"/>
  <c r="AX137" i="27"/>
  <c r="AY137" i="27" s="1"/>
  <c r="AZ137" i="27" s="1" a="1"/>
  <c r="AZ137" i="27" s="1"/>
  <c r="AQ107" i="27"/>
  <c r="AQ92" i="27"/>
  <c r="AQ67" i="27"/>
  <c r="AR225" i="27"/>
  <c r="AP217" i="27" a="1"/>
  <c r="AP217" i="27" s="1"/>
  <c r="AS217" i="27"/>
  <c r="AT217" i="27" s="1" a="1"/>
  <c r="AT217" i="27" s="1"/>
  <c r="AQ190" i="27"/>
  <c r="AQ213" i="27"/>
  <c r="AW190" i="27"/>
  <c r="AQ127" i="27"/>
  <c r="AU84" i="27" a="1"/>
  <c r="AU84" i="27" s="1"/>
  <c r="AW84" i="27" s="1"/>
  <c r="AP84" i="27" a="1"/>
  <c r="AP84" i="27" s="1"/>
  <c r="AP92" i="27" a="1"/>
  <c r="AP92" i="27" s="1"/>
  <c r="AP236" i="27" a="1"/>
  <c r="AP236" i="27" s="1"/>
  <c r="AP213" i="27" a="1"/>
  <c r="AP213" i="27" s="1"/>
  <c r="AS172" i="27"/>
  <c r="AT172" i="27" s="1" a="1"/>
  <c r="AT172" i="27" s="1"/>
  <c r="AU110" i="27" a="1"/>
  <c r="AU110" i="27" s="1"/>
  <c r="AW110" i="27" s="1"/>
  <c r="AP17" i="27" a="1"/>
  <c r="AP17" i="27" s="1"/>
  <c r="AP176" i="27" a="1"/>
  <c r="AP176" i="27" s="1"/>
  <c r="AQ137" i="27"/>
  <c r="AP137" i="27" a="1"/>
  <c r="AP137" i="27" s="1"/>
  <c r="AS89" i="27"/>
  <c r="AT89" i="27" s="1" a="1"/>
  <c r="AT89" i="27" s="1"/>
  <c r="AQ212" i="27"/>
  <c r="AR92" i="27"/>
  <c r="AR213" i="27"/>
  <c r="AP127" i="27" a="1"/>
  <c r="AP127" i="27" s="1"/>
  <c r="AQ172" i="27"/>
  <c r="AU227" i="27" a="1"/>
  <c r="AU227" i="27" s="1"/>
  <c r="AX227" i="27" s="1"/>
  <c r="AY227" i="27" s="1"/>
  <c r="AO133" i="92"/>
  <c r="AO32" i="92"/>
  <c r="AG32" i="92"/>
  <c r="AN152" i="92"/>
  <c r="AF152" i="92"/>
  <c r="AP72" i="92"/>
  <c r="AH72" i="92"/>
  <c r="AM52" i="92"/>
  <c r="AE52" i="92"/>
  <c r="AL93" i="92"/>
  <c r="AD93" i="92"/>
  <c r="AP33" i="92"/>
  <c r="AH33" i="92"/>
  <c r="AP73" i="92"/>
  <c r="AH233" i="92"/>
  <c r="AE112" i="92"/>
  <c r="AM112" i="92"/>
  <c r="AP152" i="92"/>
  <c r="AH152" i="92"/>
  <c r="AP153" i="92"/>
  <c r="AH153" i="92"/>
  <c r="AJ185" i="92"/>
  <c r="AB185" i="92"/>
  <c r="AA33" i="92"/>
  <c r="AI33" i="92"/>
  <c r="AD133" i="92"/>
  <c r="AL133" i="92"/>
  <c r="AH113" i="92"/>
  <c r="AP113" i="92"/>
  <c r="AO152" i="92"/>
  <c r="AG152" i="92"/>
  <c r="AD193" i="92"/>
  <c r="AL193" i="92"/>
  <c r="AM147" i="92"/>
  <c r="AC193" i="92"/>
  <c r="AM213" i="92"/>
  <c r="AE213" i="92"/>
  <c r="AG132" i="92"/>
  <c r="AO132" i="92"/>
  <c r="AK189" i="92"/>
  <c r="AC189" i="92"/>
  <c r="AE32" i="92"/>
  <c r="AM32" i="92"/>
  <c r="AH192" i="92"/>
  <c r="AP192" i="92"/>
  <c r="AG52" i="92"/>
  <c r="AO52" i="92"/>
  <c r="AG232" i="92"/>
  <c r="AO232" i="92"/>
  <c r="AP86" i="92"/>
  <c r="AP93" i="92"/>
  <c r="AJ213" i="92"/>
  <c r="AB213" i="92"/>
  <c r="AN12" i="92"/>
  <c r="AF12" i="92"/>
  <c r="AH232" i="92"/>
  <c r="AP232" i="92"/>
  <c r="AF113" i="92"/>
  <c r="AN113" i="92"/>
  <c r="AC222" i="92"/>
  <c r="AK222" i="92"/>
  <c r="AJ93" i="92"/>
  <c r="AB93" i="92"/>
  <c r="AE233" i="92"/>
  <c r="AM233" i="92"/>
  <c r="AH13" i="92"/>
  <c r="AP13" i="92"/>
  <c r="AH132" i="92"/>
  <c r="AP132" i="92"/>
  <c r="AR111" i="27"/>
  <c r="AD144" i="92"/>
  <c r="AH52" i="92"/>
  <c r="AK93" i="92"/>
  <c r="AC93" i="92"/>
  <c r="AM92" i="92"/>
  <c r="AE92" i="92"/>
  <c r="AD232" i="92"/>
  <c r="AL232" i="92"/>
  <c r="AJ192" i="92"/>
  <c r="AB192" i="92"/>
  <c r="AN52" i="92"/>
  <c r="AF52" i="92"/>
  <c r="AN13" i="92"/>
  <c r="AF13" i="92"/>
  <c r="AN232" i="92"/>
  <c r="AF232" i="92"/>
  <c r="AB92" i="92"/>
  <c r="AJ92" i="92"/>
  <c r="AQ111" i="27"/>
  <c r="AP126" i="92"/>
  <c r="AB230" i="92"/>
  <c r="AD73" i="92"/>
  <c r="AL73" i="92"/>
  <c r="AE193" i="92"/>
  <c r="AM193" i="92"/>
  <c r="AM93" i="92"/>
  <c r="AE93" i="92"/>
  <c r="AL92" i="92"/>
  <c r="AD92" i="92"/>
  <c r="AG193" i="92"/>
  <c r="AO193" i="92"/>
  <c r="AL53" i="92"/>
  <c r="AD53" i="92"/>
  <c r="AP184" i="27" a="1"/>
  <c r="AP184" i="27" s="1"/>
  <c r="AM12" i="92"/>
  <c r="AE12" i="92"/>
  <c r="AF133" i="92"/>
  <c r="AN133" i="92"/>
  <c r="AD233" i="92"/>
  <c r="AL233" i="92"/>
  <c r="AP32" i="92"/>
  <c r="AH32" i="92"/>
  <c r="AK192" i="92"/>
  <c r="AC192" i="92"/>
  <c r="AF53" i="92"/>
  <c r="AN53" i="92"/>
  <c r="AE173" i="92"/>
  <c r="AM173" i="92"/>
  <c r="AA216" i="92"/>
  <c r="AI216" i="92"/>
  <c r="AG12" i="92"/>
  <c r="AO12" i="92"/>
  <c r="AG13" i="92"/>
  <c r="AO13" i="92"/>
  <c r="AE232" i="92"/>
  <c r="AM232" i="92"/>
  <c r="AP112" i="92"/>
  <c r="AH112" i="92"/>
  <c r="AO212" i="92"/>
  <c r="AG212" i="92"/>
  <c r="AD33" i="92"/>
  <c r="AL33" i="92"/>
  <c r="AV111" i="27" a="1"/>
  <c r="AV111" i="27" s="1"/>
  <c r="AX107" i="27"/>
  <c r="AY107" i="27" s="1"/>
  <c r="AZ107" i="27" s="1" a="1"/>
  <c r="AZ107" i="27" s="1"/>
  <c r="AJ150" i="92"/>
  <c r="AO72" i="92"/>
  <c r="AG72" i="92"/>
  <c r="AB173" i="92"/>
  <c r="AJ173" i="92"/>
  <c r="AJ134" i="92"/>
  <c r="AB134" i="92"/>
  <c r="AN193" i="92"/>
  <c r="AF193" i="92"/>
  <c r="AE113" i="92"/>
  <c r="AM113" i="92"/>
  <c r="AK233" i="92"/>
  <c r="AC233" i="92"/>
  <c r="AA222" i="92"/>
  <c r="AI222" i="92"/>
  <c r="AQ184" i="27"/>
  <c r="AV107" i="27" a="1"/>
  <c r="AV107" i="27" s="1"/>
  <c r="AI73" i="92"/>
  <c r="AA73" i="92"/>
  <c r="AC72" i="92"/>
  <c r="AK72" i="92"/>
  <c r="AO113" i="92"/>
  <c r="AG113" i="92"/>
  <c r="AC33" i="92"/>
  <c r="AK33" i="92"/>
  <c r="AS107" i="27"/>
  <c r="AT107" i="27" s="1" a="1"/>
  <c r="AT107" i="27" s="1"/>
  <c r="AU67" i="27" a="1"/>
  <c r="AU67" i="27" s="1"/>
  <c r="AX67" i="27" s="1"/>
  <c r="AY67" i="27" s="1"/>
  <c r="AZ67" i="27" s="1" a="1"/>
  <c r="AZ67" i="27" s="1"/>
  <c r="AA142" i="92"/>
  <c r="AI142" i="92"/>
  <c r="AK32" i="92"/>
  <c r="AC32" i="92"/>
  <c r="AA155" i="92"/>
  <c r="AI155" i="92"/>
  <c r="AK153" i="92"/>
  <c r="AC153" i="92"/>
  <c r="AC73" i="92"/>
  <c r="AK73" i="92"/>
  <c r="AG192" i="92"/>
  <c r="AO192" i="92"/>
  <c r="AM133" i="92"/>
  <c r="AE133" i="92"/>
  <c r="AL72" i="92"/>
  <c r="AD72" i="92"/>
  <c r="AR107" i="27"/>
  <c r="AC173" i="92"/>
  <c r="AK173" i="92"/>
  <c r="AJ73" i="92"/>
  <c r="AB73" i="92"/>
  <c r="AA213" i="92"/>
  <c r="AI213" i="92"/>
  <c r="AK181" i="92"/>
  <c r="BC181" i="113" s="1" a="1"/>
  <c r="BC181" i="113" s="1"/>
  <c r="AC181" i="92"/>
  <c r="AK113" i="92"/>
  <c r="AC113" i="92"/>
  <c r="AG93" i="92"/>
  <c r="AO93" i="92"/>
  <c r="AI173" i="92"/>
  <c r="AA173" i="92"/>
  <c r="AU184" i="27" a="1"/>
  <c r="AU184" i="27" s="1"/>
  <c r="AX184" i="27" s="1"/>
  <c r="AY184" i="27" s="1"/>
  <c r="AZ184" i="27" s="1" a="1"/>
  <c r="AZ184" i="27" s="1"/>
  <c r="AK53" i="92"/>
  <c r="AC53" i="92"/>
  <c r="AL13" i="92"/>
  <c r="AD13" i="92"/>
  <c r="AJ121" i="92"/>
  <c r="BC121" i="113" s="1" a="1"/>
  <c r="BC121" i="113" s="1"/>
  <c r="AB121" i="92"/>
  <c r="AG53" i="92"/>
  <c r="AO53" i="92"/>
  <c r="AN132" i="92"/>
  <c r="AF132" i="92"/>
  <c r="AR184" i="27"/>
  <c r="AL212" i="92"/>
  <c r="AD212" i="92"/>
  <c r="AM13" i="92"/>
  <c r="AE13" i="92"/>
  <c r="AJ72" i="92"/>
  <c r="AB72" i="92"/>
  <c r="AB172" i="92"/>
  <c r="AJ172" i="92"/>
  <c r="AO233" i="92"/>
  <c r="AG233" i="92"/>
  <c r="AD194" i="92"/>
  <c r="AL194" i="92"/>
  <c r="AE153" i="92"/>
  <c r="AM153" i="92"/>
  <c r="AG213" i="92"/>
  <c r="AO213" i="92"/>
  <c r="AA112" i="92"/>
  <c r="AI112" i="92"/>
  <c r="AE132" i="92"/>
  <c r="AM132" i="92"/>
  <c r="AE33" i="92"/>
  <c r="AM33" i="92"/>
  <c r="AP107" i="27" a="1"/>
  <c r="AP107" i="27" s="1"/>
  <c r="AJ30" i="92"/>
  <c r="AM72" i="92"/>
  <c r="AE72" i="92"/>
  <c r="AE212" i="92"/>
  <c r="AM212" i="92"/>
  <c r="AB168" i="92"/>
  <c r="AJ168" i="92"/>
  <c r="BA168" i="113" s="1" a="1"/>
  <c r="BA168" i="113" s="1"/>
  <c r="AK213" i="92"/>
  <c r="AC213" i="92"/>
  <c r="AM53" i="92"/>
  <c r="AE53" i="92"/>
  <c r="AE221" i="92"/>
  <c r="AM221" i="92"/>
  <c r="AH53" i="92"/>
  <c r="AP53" i="92"/>
  <c r="AJ53" i="92"/>
  <c r="AB53" i="92"/>
  <c r="AN112" i="92"/>
  <c r="AF112" i="92"/>
  <c r="AN153" i="92"/>
  <c r="AF153" i="92"/>
  <c r="AP67" i="27" a="1"/>
  <c r="AP67" i="27" s="1"/>
  <c r="AH92" i="92"/>
  <c r="AP92" i="92"/>
  <c r="AC208" i="92"/>
  <c r="AK208" i="92"/>
  <c r="BA208" i="113" s="1" a="1"/>
  <c r="BA208" i="113" s="1"/>
  <c r="AH133" i="92"/>
  <c r="AP133" i="92"/>
  <c r="AA113" i="92"/>
  <c r="AI113" i="92"/>
  <c r="AG92" i="92"/>
  <c r="AO92" i="92"/>
  <c r="AS67" i="27"/>
  <c r="AT67" i="27" s="1" a="1"/>
  <c r="AT67" i="27" s="1"/>
  <c r="AP172" i="92"/>
  <c r="AH172" i="92"/>
  <c r="AG73" i="92"/>
  <c r="AO73" i="92"/>
  <c r="AL112" i="92"/>
  <c r="AD112" i="92"/>
  <c r="AD153" i="92"/>
  <c r="AL153" i="92"/>
  <c r="AA153" i="92"/>
  <c r="AI153" i="92"/>
  <c r="AO33" i="92"/>
  <c r="AG33" i="92"/>
  <c r="AK13" i="92"/>
  <c r="AC13" i="92"/>
  <c r="AB153" i="92"/>
  <c r="AJ153" i="92"/>
  <c r="AS117" i="27"/>
  <c r="AT117" i="27" s="1" a="1"/>
  <c r="AT117" i="27" s="1"/>
  <c r="AU219" i="27" a="1"/>
  <c r="AU219" i="27" s="1"/>
  <c r="AX219" i="27" s="1"/>
  <c r="AQ84" i="27"/>
  <c r="AP219" i="27" a="1"/>
  <c r="AP219" i="27" s="1"/>
  <c r="AU117" i="27" a="1"/>
  <c r="AU117" i="27" s="1"/>
  <c r="AW117" i="27" s="1"/>
  <c r="AQ122" i="27"/>
  <c r="AV74" i="27" a="1"/>
  <c r="AV74" i="27" s="1"/>
  <c r="AW196" i="27"/>
  <c r="AX74" i="27"/>
  <c r="AY74" i="27" s="1"/>
  <c r="AZ74" i="27" s="1" a="1"/>
  <c r="AZ74" i="27" s="1"/>
  <c r="AU233" i="27" a="1"/>
  <c r="AU233" i="27" s="1"/>
  <c r="AV233" i="27" s="1" a="1"/>
  <c r="AV233" i="27" s="1"/>
  <c r="AX196" i="27"/>
  <c r="AY196" i="27" s="1"/>
  <c r="AZ196" i="27" s="1" a="1"/>
  <c r="AZ196" i="27" s="1"/>
  <c r="AR233" i="27"/>
  <c r="AU124" i="27" a="1"/>
  <c r="AU124" i="27" s="1"/>
  <c r="AV124" i="27" s="1" a="1"/>
  <c r="AV124" i="27" s="1"/>
  <c r="AR164" i="27"/>
  <c r="AP233" i="27" a="1"/>
  <c r="AP233" i="27" s="1"/>
  <c r="AW177" i="27"/>
  <c r="AS164" i="27"/>
  <c r="AT164" i="27" s="1" a="1"/>
  <c r="AT164" i="27" s="1"/>
  <c r="AS196" i="27"/>
  <c r="AT196" i="27" s="1" a="1"/>
  <c r="AT196" i="27" s="1"/>
  <c r="AS230" i="27"/>
  <c r="AT230" i="27" s="1" a="1"/>
  <c r="AT230" i="27" s="1"/>
  <c r="AP230" i="27" a="1"/>
  <c r="AP230" i="27" s="1"/>
  <c r="AX174" i="27"/>
  <c r="AY174" i="27" s="1"/>
  <c r="AZ174" i="27" s="1" a="1"/>
  <c r="AZ174" i="27" s="1"/>
  <c r="AS124" i="27"/>
  <c r="AT124" i="27" s="1" a="1"/>
  <c r="AT124" i="27" s="1"/>
  <c r="AQ230" i="27"/>
  <c r="AQ164" i="27"/>
  <c r="AQ222" i="27"/>
  <c r="AP216" i="27" a="1"/>
  <c r="AP216" i="27" s="1"/>
  <c r="AR183" i="27"/>
  <c r="AU216" i="27" a="1"/>
  <c r="AU216" i="27" s="1"/>
  <c r="AX216" i="27" s="1"/>
  <c r="AY216" i="27" s="1"/>
  <c r="AZ216" i="27" s="1" a="1"/>
  <c r="AZ216" i="27" s="1"/>
  <c r="AU90" i="27" a="1"/>
  <c r="AU90" i="27" s="1"/>
  <c r="AX90" i="27" s="1"/>
  <c r="AY90" i="27" s="1"/>
  <c r="AZ90" i="27" s="1" a="1"/>
  <c r="AZ90" i="27" s="1"/>
  <c r="AP177" i="27" a="1"/>
  <c r="AP177" i="27" s="1"/>
  <c r="AP90" i="27" a="1"/>
  <c r="AP90" i="27" s="1"/>
  <c r="AP50" i="27" a="1"/>
  <c r="AP50" i="27" s="1"/>
  <c r="AW193" i="27"/>
  <c r="AU50" i="27" a="1"/>
  <c r="AU50" i="27" s="1"/>
  <c r="AV50" i="27" s="1" a="1"/>
  <c r="AV50" i="27" s="1"/>
  <c r="AP116" i="27" a="1"/>
  <c r="AP116" i="27" s="1"/>
  <c r="AS222" i="27"/>
  <c r="AT222" i="27" s="1" a="1"/>
  <c r="AT222" i="27" s="1"/>
  <c r="AR116" i="27"/>
  <c r="AS190" i="27"/>
  <c r="AT190" i="27" s="1" a="1"/>
  <c r="AT190" i="27" s="1"/>
  <c r="AD90" i="92"/>
  <c r="AB110" i="92"/>
  <c r="AJ90" i="92"/>
  <c r="AU172" i="27" a="1"/>
  <c r="AU172" i="27" s="1"/>
  <c r="AX172" i="27" s="1"/>
  <c r="AY172" i="27" s="1"/>
  <c r="AV12" i="27" a="1"/>
  <c r="AV12" i="27" s="1"/>
  <c r="AR80" i="27"/>
  <c r="AQ80" i="27"/>
  <c r="AQ116" i="27"/>
  <c r="AP80" i="27" a="1"/>
  <c r="AP80" i="27" s="1"/>
  <c r="AP106" i="92"/>
  <c r="AL204" i="92"/>
  <c r="AC107" i="92"/>
  <c r="AR179" i="27"/>
  <c r="AP149" i="27" a="1"/>
  <c r="AP149" i="27" s="1"/>
  <c r="AQ117" i="27"/>
  <c r="AI66" i="92"/>
  <c r="AP30" i="92"/>
  <c r="AQ240" i="27"/>
  <c r="AV193" i="27" a="1"/>
  <c r="AV193" i="27" s="1"/>
  <c r="AR237" i="27"/>
  <c r="AI106" i="92"/>
  <c r="AR240" i="27"/>
  <c r="AX240" i="27"/>
  <c r="AY240" i="27" s="1"/>
  <c r="AZ240" i="27" s="1" a="1"/>
  <c r="AZ240" i="27" s="1"/>
  <c r="AP237" i="27" a="1"/>
  <c r="AP237" i="27" s="1"/>
  <c r="AM170" i="92"/>
  <c r="AP240" i="27" a="1"/>
  <c r="AP240" i="27" s="1"/>
  <c r="AV240" i="27" a="1"/>
  <c r="AV240" i="27" s="1"/>
  <c r="AQ179" i="27"/>
  <c r="AS27" i="27"/>
  <c r="AT27" i="27" s="1" a="1"/>
  <c r="AT27" i="27" s="1"/>
  <c r="AN167" i="92"/>
  <c r="AS240" i="27"/>
  <c r="AT240" i="27" s="1" a="1"/>
  <c r="AT240" i="27" s="1"/>
  <c r="AW206" i="27"/>
  <c r="AU237" i="27" a="1"/>
  <c r="AU237" i="27" s="1"/>
  <c r="AV237" i="27" s="1" a="1"/>
  <c r="AV237" i="27" s="1"/>
  <c r="AI147" i="92"/>
  <c r="AS237" i="27"/>
  <c r="AT237" i="27" s="1" a="1"/>
  <c r="AT237" i="27" s="1"/>
  <c r="AI47" i="92"/>
  <c r="AS20" i="27"/>
  <c r="AT20" i="27" s="1" a="1"/>
  <c r="AT20" i="27" s="1"/>
  <c r="AH210" i="92"/>
  <c r="AP210" i="92"/>
  <c r="AG50" i="92"/>
  <c r="AO50" i="92"/>
  <c r="AS231" i="27"/>
  <c r="AT231" i="27" s="1" a="1"/>
  <c r="AT231" i="27" s="1"/>
  <c r="AN50" i="92"/>
  <c r="AB10" i="92"/>
  <c r="AB69" i="92"/>
  <c r="AJ69" i="92"/>
  <c r="BA69" i="113" s="1" a="1"/>
  <c r="BA69" i="113" s="1"/>
  <c r="AE166" i="92"/>
  <c r="AM166" i="92"/>
  <c r="AJ86" i="92"/>
  <c r="AB86" i="92"/>
  <c r="AF166" i="92"/>
  <c r="AN166" i="92"/>
  <c r="AB70" i="92"/>
  <c r="AJ70" i="92"/>
  <c r="AE47" i="92"/>
  <c r="AM47" i="92"/>
  <c r="AK147" i="92"/>
  <c r="AC147" i="92"/>
  <c r="AN207" i="92"/>
  <c r="AF207" i="92"/>
  <c r="AA130" i="92"/>
  <c r="AI130" i="92"/>
  <c r="AE50" i="92"/>
  <c r="AM50" i="92"/>
  <c r="AH147" i="92"/>
  <c r="AP147" i="92"/>
  <c r="AJ169" i="92"/>
  <c r="AB169" i="92"/>
  <c r="AI206" i="92"/>
  <c r="AA206" i="92"/>
  <c r="AG166" i="92"/>
  <c r="AO166" i="92"/>
  <c r="AB186" i="92"/>
  <c r="AJ186" i="92"/>
  <c r="AA14" i="92"/>
  <c r="AI14" i="92"/>
  <c r="AJ210" i="92"/>
  <c r="AB210" i="92"/>
  <c r="AH47" i="92"/>
  <c r="AP47" i="92"/>
  <c r="AG107" i="92"/>
  <c r="AO107" i="92"/>
  <c r="AN147" i="92"/>
  <c r="AF147" i="92"/>
  <c r="AK207" i="92"/>
  <c r="AC207" i="92"/>
  <c r="AH130" i="92"/>
  <c r="AP130" i="92"/>
  <c r="AJ50" i="92"/>
  <c r="AB50" i="92"/>
  <c r="AK130" i="92"/>
  <c r="AC130" i="92"/>
  <c r="AQ35" i="27"/>
  <c r="AG90" i="92"/>
  <c r="AC30" i="92"/>
  <c r="AB106" i="92"/>
  <c r="AJ106" i="92"/>
  <c r="AB221" i="92"/>
  <c r="AJ221" i="92"/>
  <c r="AA94" i="92"/>
  <c r="AI94" i="92"/>
  <c r="BC94" i="113" s="1" a="1"/>
  <c r="BC94" i="113" s="1"/>
  <c r="AG150" i="92"/>
  <c r="AO150" i="92"/>
  <c r="AC47" i="92"/>
  <c r="AK47" i="92"/>
  <c r="AL107" i="92"/>
  <c r="AD107" i="92"/>
  <c r="AA207" i="92"/>
  <c r="AI207" i="92"/>
  <c r="AG130" i="92"/>
  <c r="AO130" i="92"/>
  <c r="AA10" i="92"/>
  <c r="AI10" i="92"/>
  <c r="AD170" i="92"/>
  <c r="AL170" i="92"/>
  <c r="AA215" i="92"/>
  <c r="AI215" i="92"/>
  <c r="AI70" i="92"/>
  <c r="AA70" i="92"/>
  <c r="AB109" i="92"/>
  <c r="AJ109" i="92"/>
  <c r="AK186" i="92"/>
  <c r="AC186" i="92"/>
  <c r="AK212" i="92"/>
  <c r="AC212" i="92"/>
  <c r="AH150" i="92"/>
  <c r="AP150" i="92"/>
  <c r="AH107" i="92"/>
  <c r="AP107" i="92"/>
  <c r="AO207" i="92"/>
  <c r="AG207" i="92"/>
  <c r="AF130" i="92"/>
  <c r="AN130" i="92"/>
  <c r="AE10" i="92"/>
  <c r="AM10" i="92"/>
  <c r="AG170" i="92"/>
  <c r="AO170" i="92"/>
  <c r="AC231" i="92"/>
  <c r="AK231" i="92"/>
  <c r="AP59" i="27" a="1"/>
  <c r="AP59" i="27" s="1"/>
  <c r="AR90" i="27"/>
  <c r="AP124" i="27" a="1"/>
  <c r="AP124" i="27" s="1"/>
  <c r="AL230" i="92"/>
  <c r="AD26" i="92"/>
  <c r="AL26" i="92"/>
  <c r="AA46" i="92"/>
  <c r="AI46" i="92"/>
  <c r="AK211" i="92"/>
  <c r="AC211" i="92"/>
  <c r="AG106" i="92"/>
  <c r="AO106" i="92"/>
  <c r="AM150" i="92"/>
  <c r="AE150" i="92"/>
  <c r="AJ47" i="92"/>
  <c r="AB47" i="92"/>
  <c r="AN107" i="92"/>
  <c r="AF107" i="92"/>
  <c r="AC167" i="92"/>
  <c r="AK167" i="92"/>
  <c r="AJ207" i="92"/>
  <c r="AB207" i="92"/>
  <c r="AD130" i="92"/>
  <c r="AL130" i="92"/>
  <c r="AN10" i="92"/>
  <c r="AF10" i="92"/>
  <c r="AK87" i="92"/>
  <c r="AC87" i="92"/>
  <c r="AS35" i="27"/>
  <c r="AT35" i="27" s="1" a="1"/>
  <c r="AT35" i="27" s="1"/>
  <c r="AR137" i="27"/>
  <c r="AB209" i="92"/>
  <c r="AJ209" i="92"/>
  <c r="AE86" i="92"/>
  <c r="AM86" i="92"/>
  <c r="AA88" i="92"/>
  <c r="AI88" i="92"/>
  <c r="AA92" i="92"/>
  <c r="AI92" i="92"/>
  <c r="AD169" i="92"/>
  <c r="AL169" i="92"/>
  <c r="AK150" i="92"/>
  <c r="AC150" i="92"/>
  <c r="AL47" i="92"/>
  <c r="AD47" i="92"/>
  <c r="AB107" i="92"/>
  <c r="AJ107" i="92"/>
  <c r="AD167" i="92"/>
  <c r="AL167" i="92"/>
  <c r="AD207" i="92"/>
  <c r="AL207" i="92"/>
  <c r="AM130" i="92"/>
  <c r="AE130" i="92"/>
  <c r="AO10" i="92"/>
  <c r="AG10" i="92"/>
  <c r="AH170" i="92"/>
  <c r="AP170" i="92"/>
  <c r="AI27" i="92"/>
  <c r="AA27" i="92"/>
  <c r="AS90" i="27"/>
  <c r="AT90" i="27" s="1" a="1"/>
  <c r="AT90" i="27" s="1"/>
  <c r="AD126" i="92"/>
  <c r="AL126" i="92"/>
  <c r="AF106" i="92"/>
  <c r="AN106" i="92"/>
  <c r="AA126" i="92"/>
  <c r="AI126" i="92"/>
  <c r="AA214" i="92"/>
  <c r="AI214" i="92"/>
  <c r="AE172" i="92"/>
  <c r="AM172" i="92"/>
  <c r="AL10" i="92"/>
  <c r="AD10" i="92"/>
  <c r="AG67" i="92"/>
  <c r="AO67" i="92"/>
  <c r="AE107" i="92"/>
  <c r="AM107" i="92"/>
  <c r="AG167" i="92"/>
  <c r="AO167" i="92"/>
  <c r="AB130" i="92"/>
  <c r="AJ130" i="92"/>
  <c r="AK10" i="92"/>
  <c r="AC10" i="92"/>
  <c r="AF170" i="92"/>
  <c r="AN170" i="92"/>
  <c r="AM206" i="92"/>
  <c r="AE206" i="92"/>
  <c r="AS159" i="27"/>
  <c r="AT159" i="27" s="1" a="1"/>
  <c r="AT159" i="27" s="1"/>
  <c r="AG226" i="92"/>
  <c r="AO226" i="92"/>
  <c r="AO186" i="92"/>
  <c r="AG186" i="92"/>
  <c r="AA212" i="92"/>
  <c r="AI212" i="92"/>
  <c r="AC46" i="92"/>
  <c r="AK46" i="92"/>
  <c r="AM226" i="92"/>
  <c r="AE226" i="92"/>
  <c r="AF67" i="92"/>
  <c r="AN67" i="92"/>
  <c r="AB127" i="92"/>
  <c r="AJ127" i="92"/>
  <c r="AE167" i="92"/>
  <c r="AM167" i="92"/>
  <c r="AE227" i="92"/>
  <c r="AM227" i="92"/>
  <c r="AH10" i="92"/>
  <c r="AP10" i="92"/>
  <c r="AC170" i="92"/>
  <c r="AK170" i="92"/>
  <c r="AJ8" i="92"/>
  <c r="AB8" i="92"/>
  <c r="AJ14" i="92"/>
  <c r="AB14" i="92"/>
  <c r="AM66" i="92"/>
  <c r="AE66" i="92"/>
  <c r="AN66" i="92"/>
  <c r="AF66" i="92"/>
  <c r="AL110" i="92"/>
  <c r="AD110" i="92"/>
  <c r="AH67" i="92"/>
  <c r="AP67" i="92"/>
  <c r="AM127" i="92"/>
  <c r="AE127" i="92"/>
  <c r="AA167" i="92"/>
  <c r="AI167" i="92"/>
  <c r="AN227" i="92"/>
  <c r="AF227" i="92"/>
  <c r="AB74" i="92"/>
  <c r="AJ74" i="92"/>
  <c r="AK126" i="92"/>
  <c r="AC126" i="92"/>
  <c r="AE146" i="92"/>
  <c r="AM146" i="92"/>
  <c r="AH110" i="92"/>
  <c r="AP110" i="92"/>
  <c r="AM67" i="92"/>
  <c r="AE67" i="92"/>
  <c r="AG127" i="92"/>
  <c r="AO127" i="92"/>
  <c r="AH167" i="92"/>
  <c r="AP167" i="92"/>
  <c r="AD227" i="92"/>
  <c r="AL227" i="92"/>
  <c r="AD30" i="92"/>
  <c r="AL30" i="92"/>
  <c r="AB108" i="92"/>
  <c r="AJ108" i="92"/>
  <c r="AD166" i="92"/>
  <c r="AL166" i="92"/>
  <c r="AF206" i="92"/>
  <c r="AN206" i="92"/>
  <c r="AJ226" i="92"/>
  <c r="AB226" i="92"/>
  <c r="AH90" i="92"/>
  <c r="AP90" i="92"/>
  <c r="AF110" i="92"/>
  <c r="AN110" i="92"/>
  <c r="AK67" i="92"/>
  <c r="AC67" i="92"/>
  <c r="AK127" i="92"/>
  <c r="AC127" i="92"/>
  <c r="AJ167" i="92"/>
  <c r="AB167" i="92"/>
  <c r="AJ227" i="92"/>
  <c r="AB227" i="92"/>
  <c r="AE30" i="92"/>
  <c r="AM30" i="92"/>
  <c r="AE230" i="92"/>
  <c r="AM230" i="92"/>
  <c r="AB141" i="92"/>
  <c r="AJ141" i="92"/>
  <c r="BA141" i="113" s="1" a="1"/>
  <c r="BA141" i="113" s="1"/>
  <c r="AA86" i="92"/>
  <c r="AI86" i="92"/>
  <c r="AJ46" i="92"/>
  <c r="AB46" i="92"/>
  <c r="AD192" i="92"/>
  <c r="AL192" i="92"/>
  <c r="AG126" i="92"/>
  <c r="AO126" i="92"/>
  <c r="AD86" i="92"/>
  <c r="AL86" i="92"/>
  <c r="AF90" i="92"/>
  <c r="AN90" i="92"/>
  <c r="AE110" i="92"/>
  <c r="AM110" i="92"/>
  <c r="AB67" i="92"/>
  <c r="AJ67" i="92"/>
  <c r="AA127" i="92"/>
  <c r="AI127" i="92"/>
  <c r="AK187" i="92"/>
  <c r="AC187" i="92"/>
  <c r="AN230" i="92"/>
  <c r="AF230" i="92"/>
  <c r="AK12" i="92"/>
  <c r="AC12" i="92"/>
  <c r="AA166" i="92"/>
  <c r="AI166" i="92"/>
  <c r="AB146" i="92"/>
  <c r="AJ146" i="92"/>
  <c r="AF86" i="92"/>
  <c r="AN86" i="92"/>
  <c r="AD226" i="92"/>
  <c r="AL226" i="92"/>
  <c r="AE90" i="92"/>
  <c r="AM90" i="92"/>
  <c r="AI110" i="92"/>
  <c r="AA110" i="92"/>
  <c r="AJ87" i="92"/>
  <c r="AB87" i="92"/>
  <c r="AH127" i="92"/>
  <c r="AP127" i="92"/>
  <c r="AJ187" i="92"/>
  <c r="AB187" i="92"/>
  <c r="AK227" i="92"/>
  <c r="AC227" i="92"/>
  <c r="AF30" i="92"/>
  <c r="AN30" i="92"/>
  <c r="AG230" i="92"/>
  <c r="AO230" i="92"/>
  <c r="AC229" i="92"/>
  <c r="AK229" i="92"/>
  <c r="AK69" i="92"/>
  <c r="AC69" i="92"/>
  <c r="AO146" i="92"/>
  <c r="AG146" i="92"/>
  <c r="AF186" i="92"/>
  <c r="AN186" i="92"/>
  <c r="AA90" i="92"/>
  <c r="AI90" i="92"/>
  <c r="AH87" i="92"/>
  <c r="AP87" i="92"/>
  <c r="AD127" i="92"/>
  <c r="AL127" i="92"/>
  <c r="AO187" i="92"/>
  <c r="AG187" i="92"/>
  <c r="AO190" i="92"/>
  <c r="AG190" i="92"/>
  <c r="AI30" i="92"/>
  <c r="AA30" i="92"/>
  <c r="AE207" i="92"/>
  <c r="AD186" i="92"/>
  <c r="AL186" i="92"/>
  <c r="AJ45" i="92"/>
  <c r="AB45" i="92"/>
  <c r="AK125" i="92"/>
  <c r="BA125" i="113" s="1" a="1"/>
  <c r="BA125" i="113" s="1"/>
  <c r="AC125" i="92"/>
  <c r="AO86" i="92"/>
  <c r="AG86" i="92"/>
  <c r="AK210" i="92"/>
  <c r="AC210" i="92"/>
  <c r="AK90" i="92"/>
  <c r="AC90" i="92"/>
  <c r="AH70" i="92"/>
  <c r="AP70" i="92"/>
  <c r="AF87" i="92"/>
  <c r="AN87" i="92"/>
  <c r="AF127" i="92"/>
  <c r="AN127" i="92"/>
  <c r="AL187" i="92"/>
  <c r="AD187" i="92"/>
  <c r="AC190" i="92"/>
  <c r="AK190" i="92"/>
  <c r="AI190" i="92"/>
  <c r="AM189" i="92"/>
  <c r="AE189" i="92"/>
  <c r="AB112" i="92"/>
  <c r="AJ112" i="92"/>
  <c r="AC206" i="92"/>
  <c r="AK206" i="92"/>
  <c r="AA226" i="92"/>
  <c r="AI226" i="92"/>
  <c r="AG210" i="92"/>
  <c r="AO210" i="92"/>
  <c r="AK70" i="92"/>
  <c r="AC70" i="92"/>
  <c r="AK27" i="92"/>
  <c r="AC27" i="92"/>
  <c r="AA87" i="92"/>
  <c r="AI87" i="92"/>
  <c r="AL147" i="92"/>
  <c r="AD147" i="92"/>
  <c r="AN187" i="92"/>
  <c r="AF187" i="92"/>
  <c r="AL190" i="92"/>
  <c r="AD190" i="92"/>
  <c r="AH50" i="92"/>
  <c r="AP50" i="92"/>
  <c r="AQ192" i="27"/>
  <c r="AU213" i="27" a="1"/>
  <c r="AU213" i="27" s="1"/>
  <c r="AW213" i="27" s="1"/>
  <c r="AG206" i="92"/>
  <c r="AO206" i="92"/>
  <c r="AB145" i="92"/>
  <c r="AJ145" i="92"/>
  <c r="BA145" i="113" s="1" a="1"/>
  <c r="BA145" i="113" s="1"/>
  <c r="AL52" i="92"/>
  <c r="AD52" i="92"/>
  <c r="AB26" i="92"/>
  <c r="AJ26" i="92"/>
  <c r="AA210" i="92"/>
  <c r="AI210" i="92"/>
  <c r="AM70" i="92"/>
  <c r="AE70" i="92"/>
  <c r="AD27" i="92"/>
  <c r="AL27" i="92"/>
  <c r="AG87" i="92"/>
  <c r="AO87" i="92"/>
  <c r="AM187" i="92"/>
  <c r="AE187" i="92"/>
  <c r="AM190" i="92"/>
  <c r="AE190" i="92"/>
  <c r="AA50" i="92"/>
  <c r="AI50" i="92"/>
  <c r="AP192" i="27" a="1"/>
  <c r="AP192" i="27" s="1"/>
  <c r="AD184" i="92"/>
  <c r="AO46" i="92"/>
  <c r="AK154" i="92"/>
  <c r="BA154" i="113" s="1" a="1"/>
  <c r="BA154" i="113" s="1"/>
  <c r="AC154" i="92"/>
  <c r="AN226" i="92"/>
  <c r="AF226" i="92"/>
  <c r="AJ126" i="92"/>
  <c r="AB126" i="92"/>
  <c r="AN210" i="92"/>
  <c r="AF210" i="92"/>
  <c r="AL70" i="92"/>
  <c r="AD70" i="92"/>
  <c r="AE27" i="92"/>
  <c r="AM27" i="92"/>
  <c r="AE87" i="92"/>
  <c r="AM87" i="92"/>
  <c r="AO147" i="92"/>
  <c r="AG147" i="92"/>
  <c r="AH187" i="92"/>
  <c r="AP187" i="92"/>
  <c r="AH190" i="92"/>
  <c r="AP190" i="92"/>
  <c r="AC50" i="92"/>
  <c r="AK50" i="92"/>
  <c r="AP190" i="27" a="1"/>
  <c r="AP190" i="27" s="1"/>
  <c r="AU20" i="27" a="1"/>
  <c r="AU20" i="27" s="1"/>
  <c r="AX20" i="27" s="1"/>
  <c r="AY20" i="27" s="1"/>
  <c r="AC146" i="92"/>
  <c r="AK146" i="92"/>
  <c r="AK205" i="92"/>
  <c r="AC205" i="92"/>
  <c r="AL106" i="92"/>
  <c r="AD106" i="92"/>
  <c r="AC106" i="92"/>
  <c r="AK106" i="92"/>
  <c r="AD210" i="92"/>
  <c r="AL210" i="92"/>
  <c r="AG70" i="92"/>
  <c r="AO70" i="92"/>
  <c r="AG27" i="92"/>
  <c r="AO27" i="92"/>
  <c r="AB147" i="92"/>
  <c r="AJ147" i="92"/>
  <c r="AL50" i="92"/>
  <c r="AD50" i="92"/>
  <c r="AQ220" i="27"/>
  <c r="AR220" i="27"/>
  <c r="AW202" i="27"/>
  <c r="AS235" i="27"/>
  <c r="AT235" i="27" s="1" a="1"/>
  <c r="AT235" i="27" s="1"/>
  <c r="AQ169" i="27"/>
  <c r="AU207" i="27" a="1"/>
  <c r="AU207" i="27" s="1"/>
  <c r="AQ10" i="27"/>
  <c r="AU180" i="27" a="1"/>
  <c r="AU180" i="27" s="1"/>
  <c r="AW180" i="27" s="1"/>
  <c r="AP180" i="27" a="1"/>
  <c r="AP180" i="27" s="1"/>
  <c r="AQ96" i="27"/>
  <c r="AD44" i="92"/>
  <c r="AP96" i="27" a="1"/>
  <c r="AP96" i="27" s="1"/>
  <c r="AW96" i="27"/>
  <c r="AP152" i="27" a="1"/>
  <c r="AP152" i="27" s="1"/>
  <c r="AS96" i="27"/>
  <c r="AT96" i="27" s="1" a="1"/>
  <c r="AT96" i="27" s="1"/>
  <c r="AX96" i="27"/>
  <c r="AY96" i="27" s="1"/>
  <c r="AZ96" i="27" s="1" a="1"/>
  <c r="AZ96" i="27" s="1"/>
  <c r="AW95" i="27"/>
  <c r="AR196" i="27"/>
  <c r="AQ203" i="27"/>
  <c r="AQ20" i="27"/>
  <c r="AR203" i="27"/>
  <c r="AR219" i="27"/>
  <c r="AR96" i="27"/>
  <c r="AS10" i="27"/>
  <c r="AT10" i="27" s="1" a="1"/>
  <c r="AT10" i="27" s="1"/>
  <c r="AS219" i="27"/>
  <c r="AT219" i="27" s="1" a="1"/>
  <c r="AT219" i="27" s="1"/>
  <c r="AS36" i="27"/>
  <c r="AT36" i="27" s="1" a="1"/>
  <c r="AT36" i="27" s="1"/>
  <c r="AQ136" i="27"/>
  <c r="AX93" i="27"/>
  <c r="AY93" i="27" s="1"/>
  <c r="AZ93" i="27" s="1" a="1"/>
  <c r="AZ93" i="27" s="1"/>
  <c r="AQ36" i="27"/>
  <c r="AU136" i="27" a="1"/>
  <c r="AU136" i="27" s="1"/>
  <c r="AX136" i="27" s="1"/>
  <c r="AW174" i="27"/>
  <c r="AW93" i="27"/>
  <c r="AQ196" i="27"/>
  <c r="AP229" i="27" a="1"/>
  <c r="AP229" i="27" s="1"/>
  <c r="AS136" i="27"/>
  <c r="AT136" i="27" s="1" a="1"/>
  <c r="AT136" i="27" s="1"/>
  <c r="AR171" i="27"/>
  <c r="AS171" i="27"/>
  <c r="AT171" i="27" s="1" a="1"/>
  <c r="AT171" i="27" s="1"/>
  <c r="AR229" i="27"/>
  <c r="AR136" i="27"/>
  <c r="AP47" i="27" a="1"/>
  <c r="AP47" i="27" s="1"/>
  <c r="AV171" i="27" a="1"/>
  <c r="AV171" i="27" s="1"/>
  <c r="AR10" i="27"/>
  <c r="AX171" i="27"/>
  <c r="AY171" i="27" s="1"/>
  <c r="AS239" i="27"/>
  <c r="AT239" i="27" s="1" a="1"/>
  <c r="AT239" i="27" s="1"/>
  <c r="AR103" i="27"/>
  <c r="AU80" i="27" a="1"/>
  <c r="AU80" i="27" s="1"/>
  <c r="AW80" i="27" s="1"/>
  <c r="AU10" i="27" a="1"/>
  <c r="AU10" i="27" s="1"/>
  <c r="AX10" i="27" s="1"/>
  <c r="AY10" i="27" s="1"/>
  <c r="AZ10" i="27" s="1" a="1"/>
  <c r="AZ10" i="27" s="1"/>
  <c r="AW14" i="27"/>
  <c r="AU220" i="27" a="1"/>
  <c r="AU220" i="27" s="1"/>
  <c r="AV220" i="27" s="1" a="1"/>
  <c r="AV220" i="27" s="1"/>
  <c r="AX14" i="27"/>
  <c r="AY14" i="27" s="1"/>
  <c r="AZ14" i="27" s="1" a="1"/>
  <c r="AZ14" i="27" s="1"/>
  <c r="AX194" i="27"/>
  <c r="AY194" i="27" s="1"/>
  <c r="AZ194" i="27" s="1" a="1"/>
  <c r="AZ194" i="27" s="1"/>
  <c r="AS76" i="27"/>
  <c r="AT76" i="27" s="1" a="1"/>
  <c r="AT76" i="27" s="1"/>
  <c r="AP36" i="27" a="1"/>
  <c r="AP36" i="27" s="1"/>
  <c r="AP220" i="27" a="1"/>
  <c r="AP220" i="27" s="1"/>
  <c r="AQ171" i="27"/>
  <c r="AR36" i="27"/>
  <c r="AR170" i="27"/>
  <c r="AP171" i="27" a="1"/>
  <c r="AP171" i="27" s="1"/>
  <c r="AU170" i="27" a="1"/>
  <c r="AU170" i="27" s="1"/>
  <c r="AV170" i="27" s="1" a="1"/>
  <c r="AV170" i="27" s="1"/>
  <c r="AV30" i="27" a="1"/>
  <c r="AV30" i="27" s="1"/>
  <c r="AX30" i="27"/>
  <c r="AY30" i="27" s="1"/>
  <c r="AZ30" i="27" s="1" a="1"/>
  <c r="AZ30" i="27" s="1"/>
  <c r="AP95" i="27" a="1"/>
  <c r="AP95" i="27" s="1"/>
  <c r="AV95" i="27" a="1"/>
  <c r="AV95" i="27" s="1"/>
  <c r="AQ95" i="27"/>
  <c r="AV158" i="27" a="1"/>
  <c r="AV158" i="27" s="1"/>
  <c r="AU116" i="27" a="1"/>
  <c r="AU116" i="27" s="1"/>
  <c r="AX116" i="27" s="1"/>
  <c r="AY116" i="27" s="1"/>
  <c r="AZ116" i="27" s="1" a="1"/>
  <c r="AZ116" i="27" s="1"/>
  <c r="AU157" i="27" a="1"/>
  <c r="AU157" i="27" s="1"/>
  <c r="AX157" i="27" s="1"/>
  <c r="AY157" i="27" s="1"/>
  <c r="AZ157" i="27" s="1" a="1"/>
  <c r="AZ157" i="27" s="1"/>
  <c r="AR30" i="27"/>
  <c r="AR32" i="27"/>
  <c r="AX158" i="27"/>
  <c r="AY158" i="27" s="1"/>
  <c r="AZ158" i="27" s="1" a="1"/>
  <c r="AZ158" i="27" s="1"/>
  <c r="AS32" i="27"/>
  <c r="AT32" i="27" s="1" a="1"/>
  <c r="AT32" i="27" s="1"/>
  <c r="AU164" i="27" a="1"/>
  <c r="AU164" i="27" s="1"/>
  <c r="AX164" i="27" s="1"/>
  <c r="AY164" i="27" s="1"/>
  <c r="AX12" i="27"/>
  <c r="AY12" i="27" s="1"/>
  <c r="AU204" i="27" a="1"/>
  <c r="AU204" i="27" s="1"/>
  <c r="AV204" i="27" s="1" a="1"/>
  <c r="AV204" i="27" s="1"/>
  <c r="AU25" i="27" a="1"/>
  <c r="AU25" i="27" s="1"/>
  <c r="AW25" i="27" s="1"/>
  <c r="AP204" i="27" a="1"/>
  <c r="AP204" i="27" s="1"/>
  <c r="AS170" i="27"/>
  <c r="AT170" i="27" s="1" a="1"/>
  <c r="AT170" i="27" s="1"/>
  <c r="AP20" i="27" a="1"/>
  <c r="AP20" i="27" s="1"/>
  <c r="AR204" i="27"/>
  <c r="AQ204" i="27"/>
  <c r="AU32" i="27" a="1"/>
  <c r="AU32" i="27" s="1"/>
  <c r="AV32" i="27" s="1" a="1"/>
  <c r="AV32" i="27" s="1"/>
  <c r="AQ32" i="27"/>
  <c r="AX72" i="27"/>
  <c r="AV128" i="27" a="1"/>
  <c r="AV128" i="27" s="1"/>
  <c r="AP25" i="27" a="1"/>
  <c r="AP25" i="27" s="1"/>
  <c r="AS137" i="27"/>
  <c r="AT137" i="27" s="1" a="1"/>
  <c r="AT137" i="27" s="1"/>
  <c r="AW128" i="27"/>
  <c r="AS25" i="27"/>
  <c r="AT25" i="27" s="1" a="1"/>
  <c r="AT25" i="27" s="1"/>
  <c r="AW194" i="27"/>
  <c r="AS212" i="27"/>
  <c r="AT212" i="27" s="1" a="1"/>
  <c r="AT212" i="27" s="1"/>
  <c r="AW72" i="27"/>
  <c r="AX212" i="27"/>
  <c r="AY212" i="27" s="1"/>
  <c r="AZ212" i="27" s="1" a="1"/>
  <c r="AZ212" i="27" s="1"/>
  <c r="AV212" i="27" a="1"/>
  <c r="AV212" i="27" s="1"/>
  <c r="AW212" i="27"/>
  <c r="AR235" i="27"/>
  <c r="AW54" i="27"/>
  <c r="AP169" i="27" a="1"/>
  <c r="AP169" i="27" s="1"/>
  <c r="AQ27" i="27"/>
  <c r="AQ235" i="27"/>
  <c r="AR42" i="27"/>
  <c r="AU223" i="27" a="1"/>
  <c r="AU223" i="27" s="1"/>
  <c r="AW223" i="27" s="1"/>
  <c r="AW235" i="27"/>
  <c r="AR160" i="27"/>
  <c r="AR182" i="27"/>
  <c r="AP56" i="27" a="1"/>
  <c r="AP56" i="27" s="1"/>
  <c r="AU203" i="27" a="1"/>
  <c r="AU203" i="27" s="1"/>
  <c r="AW203" i="27" s="1"/>
  <c r="AS223" i="27"/>
  <c r="AT223" i="27" s="1" a="1"/>
  <c r="AT223" i="27" s="1"/>
  <c r="AX235" i="27"/>
  <c r="AY235" i="27" s="1"/>
  <c r="AR123" i="27"/>
  <c r="AR223" i="27"/>
  <c r="AS79" i="27"/>
  <c r="AT79" i="27" s="1" a="1"/>
  <c r="AT79" i="27" s="1"/>
  <c r="AQ56" i="27"/>
  <c r="AQ42" i="27"/>
  <c r="AQ223" i="27"/>
  <c r="AU79" i="27" a="1"/>
  <c r="AU79" i="27" s="1"/>
  <c r="AV79" i="27" s="1" a="1"/>
  <c r="AV79" i="27" s="1"/>
  <c r="AP201" i="27" a="1"/>
  <c r="AP201" i="27" s="1"/>
  <c r="AV188" i="27" a="1"/>
  <c r="AV188" i="27" s="1"/>
  <c r="AQ79" i="27"/>
  <c r="AP111" i="27" a="1"/>
  <c r="AP111" i="27" s="1"/>
  <c r="AU221" i="27" a="1"/>
  <c r="AU221" i="27" s="1"/>
  <c r="AV221" i="27" s="1" a="1"/>
  <c r="AV221" i="27" s="1"/>
  <c r="AQ47" i="27"/>
  <c r="AU47" i="27" a="1"/>
  <c r="AU47" i="27" s="1"/>
  <c r="AS221" i="27"/>
  <c r="AT221" i="27" s="1" a="1"/>
  <c r="AT221" i="27" s="1"/>
  <c r="AR221" i="27"/>
  <c r="AU59" i="27" a="1"/>
  <c r="AU59" i="27" s="1"/>
  <c r="AV59" i="27" s="1" a="1"/>
  <c r="AV59" i="27" s="1"/>
  <c r="AQ201" i="27"/>
  <c r="AS59" i="27"/>
  <c r="AT59" i="27" s="1" a="1"/>
  <c r="AT59" i="27" s="1"/>
  <c r="AS56" i="27"/>
  <c r="AT56" i="27" s="1" a="1"/>
  <c r="AT56" i="27" s="1"/>
  <c r="AR176" i="27"/>
  <c r="AX111" i="27"/>
  <c r="AY111" i="27" s="1"/>
  <c r="AZ111" i="27" s="1" a="1"/>
  <c r="AZ111" i="27" s="1"/>
  <c r="AR75" i="27"/>
  <c r="AQ59" i="27"/>
  <c r="AQ236" i="27"/>
  <c r="AX92" i="27"/>
  <c r="AY92" i="27" s="1"/>
  <c r="AZ92" i="27" s="1" a="1"/>
  <c r="AZ92" i="27" s="1"/>
  <c r="AS192" i="27"/>
  <c r="AT192" i="27" s="1" a="1"/>
  <c r="AT192" i="27" s="1"/>
  <c r="AS47" i="27"/>
  <c r="AT47" i="27" s="1" a="1"/>
  <c r="AT47" i="27" s="1"/>
  <c r="AP235" i="27" a="1"/>
  <c r="AP235" i="27" s="1"/>
  <c r="AX206" i="27"/>
  <c r="AY206" i="27" s="1"/>
  <c r="AU176" i="27" a="1"/>
  <c r="AU176" i="27" s="1"/>
  <c r="AW87" i="27"/>
  <c r="AV113" i="27" a="1"/>
  <c r="AV113" i="27" s="1"/>
  <c r="AV87" i="27" a="1"/>
  <c r="AV87" i="27" s="1"/>
  <c r="AU169" i="27" a="1"/>
  <c r="AU169" i="27" s="1"/>
  <c r="AW169" i="27" s="1"/>
  <c r="AP150" i="27" a="1"/>
  <c r="AP150" i="27" s="1"/>
  <c r="AU70" i="27" a="1"/>
  <c r="AU70" i="27" s="1"/>
  <c r="AQ57" i="27"/>
  <c r="AP57" i="27" a="1"/>
  <c r="AP57" i="27" s="1"/>
  <c r="AQ70" i="27"/>
  <c r="AP76" i="27" a="1"/>
  <c r="AP76" i="27" s="1"/>
  <c r="AS144" i="27"/>
  <c r="AT144" i="27" s="1" a="1"/>
  <c r="AT144" i="27" s="1"/>
  <c r="AQ144" i="27"/>
  <c r="AV202" i="27" a="1"/>
  <c r="AV202" i="27" s="1"/>
  <c r="AS112" i="27"/>
  <c r="AT112" i="27" s="1" a="1"/>
  <c r="AT112" i="27" s="1"/>
  <c r="AR143" i="27"/>
  <c r="AR169" i="27"/>
  <c r="AQ143" i="27"/>
  <c r="AR70" i="27"/>
  <c r="AS143" i="27"/>
  <c r="AT143" i="27" s="1" a="1"/>
  <c r="AT143" i="27" s="1"/>
  <c r="AP143" i="27" a="1"/>
  <c r="AP143" i="27" s="1"/>
  <c r="AS182" i="27"/>
  <c r="AT182" i="27" s="1" a="1"/>
  <c r="AT182" i="27" s="1"/>
  <c r="AP99" i="27" a="1"/>
  <c r="AP99" i="27" s="1"/>
  <c r="AX94" i="27"/>
  <c r="AY94" i="27" s="1"/>
  <c r="AZ94" i="27" s="1" a="1"/>
  <c r="AZ94" i="27" s="1"/>
  <c r="AS30" i="27"/>
  <c r="AT30" i="27" s="1" a="1"/>
  <c r="AT30" i="27" s="1"/>
  <c r="AP30" i="27" a="1"/>
  <c r="AP30" i="27" s="1"/>
  <c r="AR124" i="27"/>
  <c r="AR99" i="27"/>
  <c r="AV94" i="27" a="1"/>
  <c r="AV94" i="27" s="1"/>
  <c r="AP49" i="27" a="1"/>
  <c r="AP49" i="27" s="1"/>
  <c r="AR150" i="27"/>
  <c r="AQ150" i="27"/>
  <c r="AS150" i="27"/>
  <c r="AT150" i="27" s="1" a="1"/>
  <c r="AT150" i="27" s="1"/>
  <c r="AS49" i="27"/>
  <c r="AT49" i="27" s="1" a="1"/>
  <c r="AT49" i="27" s="1"/>
  <c r="AP112" i="27" a="1"/>
  <c r="AP112" i="27" s="1"/>
  <c r="AR49" i="27"/>
  <c r="AV143" i="27" a="1"/>
  <c r="AV143" i="27" s="1"/>
  <c r="AS70" i="27"/>
  <c r="AT70" i="27" s="1" a="1"/>
  <c r="AT70" i="27" s="1"/>
  <c r="AU76" i="27" a="1"/>
  <c r="AU76" i="27" s="1"/>
  <c r="AU144" i="27" a="1"/>
  <c r="AU144" i="27" s="1"/>
  <c r="AR177" i="27"/>
  <c r="AQ163" i="27"/>
  <c r="AR91" i="27"/>
  <c r="AS57" i="27"/>
  <c r="AT57" i="27" s="1" a="1"/>
  <c r="AT57" i="27" s="1"/>
  <c r="AU57" i="27" a="1"/>
  <c r="AU57" i="27" s="1"/>
  <c r="AS177" i="27"/>
  <c r="AT177" i="27" s="1" a="1"/>
  <c r="AT177" i="27" s="1"/>
  <c r="AS205" i="27"/>
  <c r="AT205" i="27" s="1" a="1"/>
  <c r="AT205" i="27" s="1"/>
  <c r="AP163" i="27" a="1"/>
  <c r="AP163" i="27" s="1"/>
  <c r="AU132" i="27" a="1"/>
  <c r="AU132" i="27" s="1"/>
  <c r="AW132" i="27" s="1"/>
  <c r="AS132" i="27"/>
  <c r="AT132" i="27" s="1" a="1"/>
  <c r="AT132" i="27" s="1"/>
  <c r="AR50" i="27"/>
  <c r="AQ50" i="27"/>
  <c r="AQ177" i="27"/>
  <c r="AU231" i="27" a="1"/>
  <c r="AU231" i="27" s="1"/>
  <c r="AV231" i="27" s="1" a="1"/>
  <c r="AV231" i="27" s="1"/>
  <c r="AU152" i="27" a="1"/>
  <c r="AU152" i="27" s="1"/>
  <c r="AV152" i="27" s="1" a="1"/>
  <c r="AV152" i="27" s="1"/>
  <c r="AU239" i="27" a="1"/>
  <c r="AU239" i="27" s="1"/>
  <c r="AW239" i="27" s="1"/>
  <c r="AQ197" i="27"/>
  <c r="AU197" i="27" a="1"/>
  <c r="AU197" i="27" s="1"/>
  <c r="AW225" i="27"/>
  <c r="AR152" i="27"/>
  <c r="AW34" i="27"/>
  <c r="AP231" i="27" a="1"/>
  <c r="AP231" i="27" s="1"/>
  <c r="AS236" i="27"/>
  <c r="AT236" i="27" s="1" a="1"/>
  <c r="AT236" i="27" s="1"/>
  <c r="AU236" i="27" a="1"/>
  <c r="AU236" i="27" s="1"/>
  <c r="AV225" i="27" a="1"/>
  <c r="AV225" i="27" s="1"/>
  <c r="AU103" i="27" a="1"/>
  <c r="AU103" i="27" s="1"/>
  <c r="AX103" i="27" s="1"/>
  <c r="AY103" i="27" s="1"/>
  <c r="AZ103" i="27" s="1" a="1"/>
  <c r="AZ103" i="27" s="1"/>
  <c r="AQ91" i="27"/>
  <c r="AU159" i="27" a="1"/>
  <c r="AU159" i="27" s="1"/>
  <c r="AS225" i="27"/>
  <c r="AT225" i="27" s="1" a="1"/>
  <c r="AT225" i="27" s="1"/>
  <c r="AP122" i="27" a="1"/>
  <c r="AP122" i="27" s="1"/>
  <c r="AW143" i="27"/>
  <c r="AX148" i="27"/>
  <c r="AY148" i="27" s="1"/>
  <c r="AZ148" i="27" s="1" a="1"/>
  <c r="AZ148" i="27" s="1"/>
  <c r="AX108" i="27"/>
  <c r="AY108" i="27" s="1"/>
  <c r="AP91" i="27" a="1"/>
  <c r="AP91" i="27" s="1"/>
  <c r="AS115" i="27"/>
  <c r="AT115" i="27" s="1" a="1"/>
  <c r="AT115" i="27" s="1"/>
  <c r="AS92" i="27"/>
  <c r="AT92" i="27" s="1" a="1"/>
  <c r="AT92" i="27" s="1"/>
  <c r="AX208" i="27"/>
  <c r="AY208" i="27" s="1"/>
  <c r="AS82" i="27"/>
  <c r="AT82" i="27" s="1" a="1"/>
  <c r="AT82" i="27" s="1"/>
  <c r="AQ49" i="27"/>
  <c r="AP133" i="27" a="1"/>
  <c r="AP133" i="27" s="1"/>
  <c r="AR239" i="27"/>
  <c r="AX188" i="27"/>
  <c r="AY188" i="27" s="1"/>
  <c r="AZ188" i="27" s="1" a="1"/>
  <c r="AZ188" i="27" s="1"/>
  <c r="AS199" i="27"/>
  <c r="AT199" i="27" s="1" a="1"/>
  <c r="AT199" i="27" s="1"/>
  <c r="AS99" i="27"/>
  <c r="AT99" i="27" s="1" a="1"/>
  <c r="AT99" i="27" s="1"/>
  <c r="AU99" i="27" a="1"/>
  <c r="AU99" i="27" s="1"/>
  <c r="AS149" i="27"/>
  <c r="AT149" i="27" s="1" a="1"/>
  <c r="AT149" i="27" s="1"/>
  <c r="AV108" i="27" a="1"/>
  <c r="AV108" i="27" s="1"/>
  <c r="AV92" i="27" a="1"/>
  <c r="AV92" i="27" s="1"/>
  <c r="AX238" i="27"/>
  <c r="AY238" i="27" s="1"/>
  <c r="AZ238" i="27" s="1" a="1"/>
  <c r="AZ238" i="27" s="1"/>
  <c r="AW208" i="27"/>
  <c r="AX177" i="27"/>
  <c r="AY177" i="27" s="1"/>
  <c r="AZ177" i="27" s="1" a="1"/>
  <c r="AZ177" i="27" s="1"/>
  <c r="AV238" i="27" a="1"/>
  <c r="AV238" i="27" s="1"/>
  <c r="AU91" i="27" a="1"/>
  <c r="AU91" i="27" s="1"/>
  <c r="AX91" i="27" s="1"/>
  <c r="AP239" i="27" a="1"/>
  <c r="AP239" i="27" s="1"/>
  <c r="AR37" i="27"/>
  <c r="AU37" i="27" a="1"/>
  <c r="AU37" i="27" s="1"/>
  <c r="AY54" i="27"/>
  <c r="AZ54" i="27" s="1" a="1"/>
  <c r="AZ54" i="27" s="1"/>
  <c r="AS229" i="27"/>
  <c r="AT229" i="27" s="1" a="1"/>
  <c r="AT229" i="27" s="1"/>
  <c r="AQ132" i="27"/>
  <c r="AP132" i="27" a="1"/>
  <c r="AP132" i="27" s="1"/>
  <c r="AQ183" i="27"/>
  <c r="AU183" i="27" a="1"/>
  <c r="AU183" i="27" s="1"/>
  <c r="AR212" i="27"/>
  <c r="AP212" i="27" a="1"/>
  <c r="AP212" i="27" s="1"/>
  <c r="AQ209" i="27"/>
  <c r="AP199" i="27" a="1"/>
  <c r="AP199" i="27" s="1"/>
  <c r="AR199" i="27"/>
  <c r="AS151" i="27"/>
  <c r="AT151" i="27" s="1" a="1"/>
  <c r="AT151" i="27" s="1"/>
  <c r="AU151" i="27" a="1"/>
  <c r="AU151" i="27" s="1"/>
  <c r="AP172" i="27" a="1"/>
  <c r="AP172" i="27" s="1"/>
  <c r="AS77" i="27"/>
  <c r="AT77" i="27" s="1" a="1"/>
  <c r="AT77" i="27" s="1"/>
  <c r="AR77" i="27"/>
  <c r="AR163" i="27"/>
  <c r="AW232" i="27"/>
  <c r="AW9" i="27"/>
  <c r="AP179" i="27" a="1"/>
  <c r="AP179" i="27" s="1"/>
  <c r="AU163" i="27" a="1"/>
  <c r="AU163" i="27" s="1"/>
  <c r="AP43" i="27" a="1"/>
  <c r="AP43" i="27" s="1"/>
  <c r="AQ43" i="27"/>
  <c r="AQ112" i="27"/>
  <c r="AU112" i="27" a="1"/>
  <c r="AU112" i="27" s="1"/>
  <c r="AV232" i="27" a="1"/>
  <c r="AV232" i="27" s="1"/>
  <c r="AS183" i="27"/>
  <c r="AT183" i="27" s="1" a="1"/>
  <c r="AT183" i="27" s="1"/>
  <c r="AP160" i="27" a="1"/>
  <c r="AP160" i="27" s="1"/>
  <c r="AS160" i="27"/>
  <c r="AT160" i="27" s="1" a="1"/>
  <c r="AT160" i="27" s="1"/>
  <c r="AS111" i="27"/>
  <c r="AT111" i="27" s="1" a="1"/>
  <c r="AT111" i="27" s="1"/>
  <c r="AR209" i="27"/>
  <c r="AU43" i="27" a="1"/>
  <c r="AU43" i="27" s="1"/>
  <c r="AP209" i="27" a="1"/>
  <c r="AP209" i="27" s="1"/>
  <c r="AP62" i="27" a="1"/>
  <c r="AP62" i="27" s="1"/>
  <c r="AR15" i="27"/>
  <c r="AR85" i="27"/>
  <c r="AP15" i="27" a="1"/>
  <c r="AP15" i="27" s="1"/>
  <c r="AV54" i="27" a="1"/>
  <c r="AV54" i="27" s="1"/>
  <c r="AP69" i="27" a="1"/>
  <c r="AP69" i="27" s="1"/>
  <c r="AU179" i="27" a="1"/>
  <c r="AU179" i="27" s="1"/>
  <c r="AR151" i="27"/>
  <c r="AQ229" i="27"/>
  <c r="AU192" i="27" a="1"/>
  <c r="AU192" i="27" s="1"/>
  <c r="AX192" i="27" s="1"/>
  <c r="AY192" i="27" s="1"/>
  <c r="AR43" i="27"/>
  <c r="AQ151" i="27"/>
  <c r="AJ83" i="92"/>
  <c r="AB83" i="92"/>
  <c r="AA108" i="92"/>
  <c r="AI108" i="92"/>
  <c r="AN83" i="92"/>
  <c r="AF83" i="92"/>
  <c r="AD143" i="92"/>
  <c r="AL143" i="92"/>
  <c r="AA203" i="92"/>
  <c r="AI203" i="92"/>
  <c r="AF44" i="92"/>
  <c r="AN44" i="92"/>
  <c r="AG144" i="92"/>
  <c r="AO144" i="92"/>
  <c r="AE144" i="92"/>
  <c r="AM144" i="92"/>
  <c r="AX150" i="27"/>
  <c r="AY150" i="27" s="1"/>
  <c r="AZ150" i="27" s="1" a="1"/>
  <c r="AZ150" i="27" s="1"/>
  <c r="AW30" i="27"/>
  <c r="AK128" i="92"/>
  <c r="AC128" i="92"/>
  <c r="AC131" i="92"/>
  <c r="AK131" i="92"/>
  <c r="AB29" i="92"/>
  <c r="AJ29" i="92"/>
  <c r="AG163" i="92"/>
  <c r="AO163" i="92"/>
  <c r="AV229" i="27" a="1"/>
  <c r="AV229" i="27" s="1"/>
  <c r="AW229" i="27"/>
  <c r="AE23" i="92"/>
  <c r="AM23" i="92"/>
  <c r="AH83" i="92"/>
  <c r="AP83" i="92"/>
  <c r="AE143" i="92"/>
  <c r="AM143" i="92"/>
  <c r="AH223" i="92"/>
  <c r="AP223" i="92"/>
  <c r="AE44" i="92"/>
  <c r="AM44" i="92"/>
  <c r="AF104" i="92"/>
  <c r="AN104" i="92"/>
  <c r="AP224" i="92"/>
  <c r="AH224" i="92"/>
  <c r="AV150" i="27" a="1"/>
  <c r="AV150" i="27" s="1"/>
  <c r="AD149" i="92"/>
  <c r="AL149" i="92"/>
  <c r="AD11" i="92"/>
  <c r="AL11" i="92"/>
  <c r="AJ129" i="92"/>
  <c r="AB129" i="92"/>
  <c r="AP83" i="27" a="1"/>
  <c r="AP83" i="27" s="1"/>
  <c r="AU83" i="27" a="1"/>
  <c r="AU83" i="27" s="1"/>
  <c r="AR83" i="27"/>
  <c r="AQ83" i="27"/>
  <c r="AS83" i="27"/>
  <c r="AT83" i="27" s="1" a="1"/>
  <c r="AT83" i="27" s="1"/>
  <c r="AW209" i="27"/>
  <c r="AV209" i="27" a="1"/>
  <c r="AV209" i="27" s="1"/>
  <c r="AD83" i="92"/>
  <c r="AL83" i="92"/>
  <c r="AI143" i="92"/>
  <c r="AA143" i="92"/>
  <c r="AD223" i="92"/>
  <c r="AL223" i="92"/>
  <c r="AH44" i="92"/>
  <c r="AP44" i="92"/>
  <c r="AH104" i="92"/>
  <c r="AP104" i="92"/>
  <c r="AH164" i="92"/>
  <c r="AP164" i="92"/>
  <c r="AC224" i="92"/>
  <c r="AK224" i="92"/>
  <c r="AI230" i="92"/>
  <c r="AA230" i="92"/>
  <c r="AD129" i="92"/>
  <c r="AL129" i="92"/>
  <c r="AJ205" i="92"/>
  <c r="AB205" i="92"/>
  <c r="AF23" i="92"/>
  <c r="AN23" i="92"/>
  <c r="AE83" i="92"/>
  <c r="AM83" i="92"/>
  <c r="AM163" i="92"/>
  <c r="AE163" i="92"/>
  <c r="AM223" i="92"/>
  <c r="AE223" i="92"/>
  <c r="AK44" i="92"/>
  <c r="AC44" i="92"/>
  <c r="AJ104" i="92"/>
  <c r="AB104" i="92"/>
  <c r="AN164" i="92"/>
  <c r="AF164" i="92"/>
  <c r="AE224" i="92"/>
  <c r="AM224" i="92"/>
  <c r="AF203" i="92"/>
  <c r="AN203" i="92"/>
  <c r="AI172" i="92"/>
  <c r="AA172" i="92"/>
  <c r="AJ48" i="92"/>
  <c r="AB48" i="92"/>
  <c r="AD152" i="92"/>
  <c r="AL152" i="92"/>
  <c r="AJ229" i="92"/>
  <c r="AB229" i="92"/>
  <c r="AG123" i="92"/>
  <c r="AO123" i="92"/>
  <c r="AR39" i="27"/>
  <c r="AP39" i="27" a="1"/>
  <c r="AP39" i="27" s="1"/>
  <c r="AQ39" i="27"/>
  <c r="AU39" i="27" a="1"/>
  <c r="AU39" i="27" s="1"/>
  <c r="AH23" i="92"/>
  <c r="AP23" i="92"/>
  <c r="AA83" i="92"/>
  <c r="AI83" i="92"/>
  <c r="AH163" i="92"/>
  <c r="AP163" i="92"/>
  <c r="AJ223" i="92"/>
  <c r="AB223" i="92"/>
  <c r="AJ44" i="92"/>
  <c r="AB44" i="92"/>
  <c r="AE104" i="92"/>
  <c r="AM104" i="92"/>
  <c r="AJ164" i="92"/>
  <c r="AB164" i="92"/>
  <c r="AJ224" i="92"/>
  <c r="AB224" i="92"/>
  <c r="AR13" i="27"/>
  <c r="AB148" i="92"/>
  <c r="AJ148" i="92"/>
  <c r="AK109" i="92"/>
  <c r="AC109" i="92"/>
  <c r="AC89" i="92"/>
  <c r="AK89" i="92"/>
  <c r="AQ129" i="27"/>
  <c r="AU129" i="27" a="1"/>
  <c r="AU129" i="27" s="1"/>
  <c r="AP103" i="27" a="1"/>
  <c r="AP103" i="27" s="1"/>
  <c r="AQ103" i="27"/>
  <c r="AJ23" i="92"/>
  <c r="AB23" i="92"/>
  <c r="AF103" i="92"/>
  <c r="AN103" i="92"/>
  <c r="AN163" i="92"/>
  <c r="AF163" i="92"/>
  <c r="AI223" i="92"/>
  <c r="AA223" i="92"/>
  <c r="AG44" i="92"/>
  <c r="AO44" i="92"/>
  <c r="AK104" i="92"/>
  <c r="AC104" i="92"/>
  <c r="AO164" i="92"/>
  <c r="AG164" i="92"/>
  <c r="AF224" i="92"/>
  <c r="AN224" i="92"/>
  <c r="AL189" i="92"/>
  <c r="AD189" i="92"/>
  <c r="AK129" i="92"/>
  <c r="AC129" i="92"/>
  <c r="AC132" i="92"/>
  <c r="AK132" i="92"/>
  <c r="AK111" i="92"/>
  <c r="AC111" i="92"/>
  <c r="AL23" i="92"/>
  <c r="AD23" i="92"/>
  <c r="AH103" i="92"/>
  <c r="AP103" i="92"/>
  <c r="AL163" i="92"/>
  <c r="AD163" i="92"/>
  <c r="AO104" i="92"/>
  <c r="AG104" i="92"/>
  <c r="AK164" i="92"/>
  <c r="AC164" i="92"/>
  <c r="AG224" i="92"/>
  <c r="AO224" i="92"/>
  <c r="AG204" i="92"/>
  <c r="AO204" i="92"/>
  <c r="AK151" i="92"/>
  <c r="AC151" i="92"/>
  <c r="AK225" i="92"/>
  <c r="AC225" i="92"/>
  <c r="AA23" i="92"/>
  <c r="AI23" i="92"/>
  <c r="AB103" i="92"/>
  <c r="AJ103" i="92"/>
  <c r="AB163" i="92"/>
  <c r="AJ163" i="92"/>
  <c r="AF64" i="92"/>
  <c r="AN64" i="92"/>
  <c r="AK188" i="92"/>
  <c r="AC188" i="92"/>
  <c r="AG84" i="92"/>
  <c r="AO84" i="92"/>
  <c r="AQ221" i="27"/>
  <c r="AD24" i="92"/>
  <c r="AV9" i="27" a="1"/>
  <c r="AV9" i="27" s="1"/>
  <c r="AQ199" i="27"/>
  <c r="AA32" i="92"/>
  <c r="AI32" i="92"/>
  <c r="AL109" i="92"/>
  <c r="AD109" i="92"/>
  <c r="AG143" i="92"/>
  <c r="AO143" i="92"/>
  <c r="AF43" i="92"/>
  <c r="AN43" i="92"/>
  <c r="AD103" i="92"/>
  <c r="AL103" i="92"/>
  <c r="AA163" i="92"/>
  <c r="AI163" i="92"/>
  <c r="AH64" i="92"/>
  <c r="AP64" i="92"/>
  <c r="AH124" i="92"/>
  <c r="AP124" i="92"/>
  <c r="AJ184" i="92"/>
  <c r="AB184" i="92"/>
  <c r="AI232" i="92"/>
  <c r="AA232" i="92"/>
  <c r="AA102" i="92"/>
  <c r="AI102" i="92"/>
  <c r="AL132" i="92"/>
  <c r="AD132" i="92"/>
  <c r="AC184" i="92"/>
  <c r="AK184" i="92"/>
  <c r="AE43" i="92"/>
  <c r="AM43" i="92"/>
  <c r="AE103" i="92"/>
  <c r="AM103" i="92"/>
  <c r="AL183" i="92"/>
  <c r="AD183" i="92"/>
  <c r="AE64" i="92"/>
  <c r="AM64" i="92"/>
  <c r="AF124" i="92"/>
  <c r="AN124" i="92"/>
  <c r="AM184" i="92"/>
  <c r="AE184" i="92"/>
  <c r="AB143" i="92"/>
  <c r="AJ143" i="92"/>
  <c r="AJ152" i="92"/>
  <c r="AB152" i="92"/>
  <c r="AQ13" i="27"/>
  <c r="AU200" i="27" a="1"/>
  <c r="AU200" i="27" s="1"/>
  <c r="AW200" i="27" s="1"/>
  <c r="AV45" i="27" a="1"/>
  <c r="AV45" i="27" s="1"/>
  <c r="AJ49" i="92"/>
  <c r="AB49" i="92"/>
  <c r="AA170" i="92"/>
  <c r="AI170" i="92"/>
  <c r="AM229" i="92"/>
  <c r="AE229" i="92"/>
  <c r="AF24" i="92"/>
  <c r="AN24" i="92"/>
  <c r="AH43" i="92"/>
  <c r="AP43" i="92"/>
  <c r="AA103" i="92"/>
  <c r="AI103" i="92"/>
  <c r="AJ183" i="92"/>
  <c r="AB183" i="92"/>
  <c r="AK64" i="92"/>
  <c r="AC64" i="92"/>
  <c r="AB124" i="92"/>
  <c r="AJ124" i="92"/>
  <c r="AP184" i="92"/>
  <c r="AH184" i="92"/>
  <c r="AI150" i="92"/>
  <c r="AA150" i="92"/>
  <c r="AB149" i="92"/>
  <c r="AJ149" i="92"/>
  <c r="AA202" i="92"/>
  <c r="AI202" i="92"/>
  <c r="BC202" i="113" s="1" a="1"/>
  <c r="BC202" i="113" s="1"/>
  <c r="AB43" i="92"/>
  <c r="AJ43" i="92"/>
  <c r="AH123" i="92"/>
  <c r="AP123" i="92"/>
  <c r="AM183" i="92"/>
  <c r="AE183" i="92"/>
  <c r="AB64" i="92"/>
  <c r="AJ64" i="92"/>
  <c r="AE124" i="92"/>
  <c r="AM124" i="92"/>
  <c r="AN184" i="92"/>
  <c r="AF184" i="92"/>
  <c r="AD84" i="92"/>
  <c r="AC29" i="92"/>
  <c r="AK29" i="92"/>
  <c r="AJ201" i="92"/>
  <c r="BC201" i="113" s="1" a="1"/>
  <c r="BC201" i="113" s="1"/>
  <c r="AB201" i="92"/>
  <c r="AB28" i="92"/>
  <c r="AJ28" i="92"/>
  <c r="AI43" i="92"/>
  <c r="AA43" i="92"/>
  <c r="AF123" i="92"/>
  <c r="AN123" i="92"/>
  <c r="AH183" i="92"/>
  <c r="AP183" i="92"/>
  <c r="AG64" i="92"/>
  <c r="AO64" i="92"/>
  <c r="AC124" i="92"/>
  <c r="AK124" i="92"/>
  <c r="AG184" i="92"/>
  <c r="AO184" i="92"/>
  <c r="AA8" i="92"/>
  <c r="AI8" i="92"/>
  <c r="AK209" i="92"/>
  <c r="AC209" i="92"/>
  <c r="AJ225" i="92"/>
  <c r="AB225" i="92"/>
  <c r="AJ128" i="92"/>
  <c r="AB128" i="92"/>
  <c r="AB32" i="92"/>
  <c r="AJ32" i="92"/>
  <c r="AG63" i="92"/>
  <c r="AO63" i="92"/>
  <c r="AF223" i="92"/>
  <c r="AN223" i="92"/>
  <c r="AF63" i="92"/>
  <c r="AN63" i="92"/>
  <c r="AJ123" i="92"/>
  <c r="AB123" i="92"/>
  <c r="AN183" i="92"/>
  <c r="AF183" i="92"/>
  <c r="AS209" i="27"/>
  <c r="AT209" i="27" s="1" a="1"/>
  <c r="AT209" i="27" s="1"/>
  <c r="AO124" i="92"/>
  <c r="AG124" i="92"/>
  <c r="AL188" i="92"/>
  <c r="AD188" i="92"/>
  <c r="AK62" i="92"/>
  <c r="AC62" i="92"/>
  <c r="AB228" i="92"/>
  <c r="AJ228" i="92"/>
  <c r="BA228" i="113" s="1" a="1"/>
  <c r="BA228" i="113" s="1"/>
  <c r="AJ82" i="92"/>
  <c r="AB82" i="92"/>
  <c r="AD63" i="92"/>
  <c r="AL63" i="92"/>
  <c r="AD123" i="92"/>
  <c r="AL123" i="92"/>
  <c r="AA183" i="92"/>
  <c r="AI183" i="92"/>
  <c r="AJ84" i="92"/>
  <c r="AB84" i="92"/>
  <c r="AC204" i="92"/>
  <c r="AK204" i="92"/>
  <c r="AD211" i="92"/>
  <c r="AL211" i="92"/>
  <c r="AC152" i="92"/>
  <c r="AK152" i="92"/>
  <c r="AK88" i="92"/>
  <c r="AC88" i="92"/>
  <c r="AJ132" i="92"/>
  <c r="AB132" i="92"/>
  <c r="AU123" i="27" a="1"/>
  <c r="AU123" i="27" s="1"/>
  <c r="AQ123" i="27"/>
  <c r="AS123" i="27"/>
  <c r="AT123" i="27" s="1" a="1"/>
  <c r="AT123" i="27" s="1"/>
  <c r="AH63" i="92"/>
  <c r="AP63" i="92"/>
  <c r="AE123" i="92"/>
  <c r="AM123" i="92"/>
  <c r="AL203" i="92"/>
  <c r="AD203" i="92"/>
  <c r="AC24" i="92"/>
  <c r="AK24" i="92"/>
  <c r="AN84" i="92"/>
  <c r="AF84" i="92"/>
  <c r="AH144" i="92"/>
  <c r="AP144" i="92"/>
  <c r="AH204" i="92"/>
  <c r="AP204" i="92"/>
  <c r="AJ52" i="92"/>
  <c r="AB52" i="92"/>
  <c r="AS61" i="27"/>
  <c r="AT61" i="27" s="1" a="1"/>
  <c r="AT61" i="27" s="1"/>
  <c r="AW153" i="27"/>
  <c r="AQ69" i="27"/>
  <c r="AS55" i="27"/>
  <c r="AT55" i="27" s="1" a="1"/>
  <c r="AT55" i="27" s="1"/>
  <c r="AA52" i="92"/>
  <c r="AI52" i="92"/>
  <c r="AD128" i="92"/>
  <c r="AL128" i="92"/>
  <c r="AD108" i="92"/>
  <c r="AL108" i="92"/>
  <c r="AJ182" i="92"/>
  <c r="AB182" i="92"/>
  <c r="AE63" i="92"/>
  <c r="AM63" i="92"/>
  <c r="AA123" i="92"/>
  <c r="AI123" i="92"/>
  <c r="AH203" i="92"/>
  <c r="AP203" i="92"/>
  <c r="AP24" i="92"/>
  <c r="AH24" i="92"/>
  <c r="AP84" i="92"/>
  <c r="AH84" i="92"/>
  <c r="AF144" i="92"/>
  <c r="AN144" i="92"/>
  <c r="AJ204" i="92"/>
  <c r="AB204" i="92"/>
  <c r="AR215" i="27"/>
  <c r="AV153" i="27" a="1"/>
  <c r="AV153" i="27" s="1"/>
  <c r="AB89" i="92"/>
  <c r="AJ89" i="92"/>
  <c r="AD151" i="92"/>
  <c r="AL151" i="92"/>
  <c r="AD131" i="92"/>
  <c r="AL131" i="92"/>
  <c r="AJ232" i="92"/>
  <c r="AB232" i="92"/>
  <c r="AX229" i="27"/>
  <c r="AU149" i="27" a="1"/>
  <c r="AU149" i="27" s="1"/>
  <c r="AQ149" i="27"/>
  <c r="AB63" i="92"/>
  <c r="AJ63" i="92"/>
  <c r="AH143" i="92"/>
  <c r="AP143" i="92"/>
  <c r="AJ203" i="92"/>
  <c r="AB203" i="92"/>
  <c r="AJ24" i="92"/>
  <c r="AB24" i="92"/>
  <c r="AE84" i="92"/>
  <c r="AM84" i="92"/>
  <c r="AB144" i="92"/>
  <c r="AJ144" i="92"/>
  <c r="AM204" i="92"/>
  <c r="AE204" i="92"/>
  <c r="AJ189" i="92"/>
  <c r="AB189" i="92"/>
  <c r="AK68" i="92"/>
  <c r="AC68" i="92"/>
  <c r="AG83" i="92"/>
  <c r="AO83" i="92"/>
  <c r="AA63" i="92"/>
  <c r="AI63" i="92"/>
  <c r="AF143" i="92"/>
  <c r="AN143" i="92"/>
  <c r="AM203" i="92"/>
  <c r="AE203" i="92"/>
  <c r="AO24" i="92"/>
  <c r="AG24" i="92"/>
  <c r="AK84" i="92"/>
  <c r="AC84" i="92"/>
  <c r="AC144" i="92"/>
  <c r="AK144" i="92"/>
  <c r="AN204" i="92"/>
  <c r="AF204" i="92"/>
  <c r="AP29" i="27" a="1"/>
  <c r="AP29" i="27" s="1"/>
  <c r="AV195" i="27" a="1"/>
  <c r="AV195" i="27" s="1"/>
  <c r="AP195" i="27" a="1"/>
  <c r="AP195" i="27" s="1"/>
  <c r="AX195" i="27"/>
  <c r="AY195" i="27" s="1"/>
  <c r="AS195" i="27"/>
  <c r="AT195" i="27" s="1" a="1"/>
  <c r="AT195" i="27" s="1"/>
  <c r="AW148" i="27"/>
  <c r="AR195" i="27"/>
  <c r="AW182" i="27"/>
  <c r="AR131" i="27"/>
  <c r="AQ85" i="27"/>
  <c r="AP85" i="27" a="1"/>
  <c r="AP85" i="27" s="1"/>
  <c r="AS29" i="27"/>
  <c r="AT29" i="27" s="1" a="1"/>
  <c r="AT29" i="27" s="1"/>
  <c r="AR51" i="27"/>
  <c r="AS51" i="27"/>
  <c r="AT51" i="27" s="1" a="1"/>
  <c r="AT51" i="27" s="1"/>
  <c r="AX167" i="27"/>
  <c r="AY167" i="27" s="1"/>
  <c r="AZ167" i="27" s="1" a="1"/>
  <c r="AZ167" i="27" s="1"/>
  <c r="AV160" i="27" a="1"/>
  <c r="AV160" i="27" s="1"/>
  <c r="AZ105" i="27" a="1"/>
  <c r="AZ105" i="27" s="1"/>
  <c r="AV167" i="27" a="1"/>
  <c r="AV167" i="27" s="1"/>
  <c r="AW160" i="27"/>
  <c r="AQ156" i="27"/>
  <c r="AQ29" i="27"/>
  <c r="AR29" i="27"/>
  <c r="AU85" i="27" a="1"/>
  <c r="AU85" i="27" s="1"/>
  <c r="AX85" i="27" s="1"/>
  <c r="AP82" i="27" a="1"/>
  <c r="AP82" i="27" s="1"/>
  <c r="AQ82" i="27"/>
  <c r="AU131" i="27" a="1"/>
  <c r="AU131" i="27" s="1"/>
  <c r="AX131" i="27" s="1"/>
  <c r="AY131" i="27" s="1"/>
  <c r="AZ131" i="27" s="1" a="1"/>
  <c r="AZ131" i="27" s="1"/>
  <c r="AS161" i="27"/>
  <c r="AT161" i="27" s="1" a="1"/>
  <c r="AT161" i="27" s="1"/>
  <c r="AP131" i="27" a="1"/>
  <c r="AP131" i="27" s="1"/>
  <c r="AR135" i="27"/>
  <c r="AX45" i="27"/>
  <c r="AY45" i="27" s="1"/>
  <c r="AZ45" i="27" s="1" a="1"/>
  <c r="AZ45" i="27" s="1"/>
  <c r="AP141" i="27" a="1"/>
  <c r="AP141" i="27" s="1"/>
  <c r="AQ195" i="27"/>
  <c r="AQ131" i="27"/>
  <c r="AR81" i="27"/>
  <c r="AP200" i="27" a="1"/>
  <c r="AP200" i="27" s="1"/>
  <c r="AS156" i="27"/>
  <c r="AT156" i="27" s="1" a="1"/>
  <c r="AT156" i="27" s="1"/>
  <c r="AY65" i="27"/>
  <c r="AZ65" i="27" s="1" a="1"/>
  <c r="AZ65" i="27" s="1"/>
  <c r="AP205" i="27" a="1"/>
  <c r="AP205" i="27" s="1"/>
  <c r="AU205" i="27" a="1"/>
  <c r="AU205" i="27" s="1"/>
  <c r="AQ155" i="27"/>
  <c r="AP155" i="27" a="1"/>
  <c r="AP155" i="27" s="1"/>
  <c r="AU155" i="27" a="1"/>
  <c r="AU155" i="27" s="1"/>
  <c r="AR16" i="27"/>
  <c r="AS16" i="27"/>
  <c r="AT16" i="27" s="1" a="1"/>
  <c r="AT16" i="27" s="1"/>
  <c r="AQ16" i="27"/>
  <c r="AP16" i="27" a="1"/>
  <c r="AP16" i="27" s="1"/>
  <c r="AU16" i="27" a="1"/>
  <c r="AU16" i="27" s="1"/>
  <c r="AR205" i="27"/>
  <c r="AX182" i="27"/>
  <c r="AY182" i="27" s="1"/>
  <c r="AZ182" i="27" s="1" a="1"/>
  <c r="AZ182" i="27" s="1"/>
  <c r="AQ224" i="27"/>
  <c r="AU224" i="27" a="1"/>
  <c r="AU224" i="27" s="1"/>
  <c r="AR224" i="27"/>
  <c r="AS224" i="27"/>
  <c r="AT224" i="27" s="1" a="1"/>
  <c r="AT224" i="27" s="1"/>
  <c r="AP73" i="27" a="1"/>
  <c r="AP73" i="27" s="1"/>
  <c r="AU73" i="27" a="1"/>
  <c r="AU73" i="27" s="1"/>
  <c r="AR73" i="27"/>
  <c r="AS73" i="27"/>
  <c r="AT73" i="27" s="1" a="1"/>
  <c r="AT73" i="27" s="1"/>
  <c r="AQ73" i="27"/>
  <c r="AU175" i="27" a="1"/>
  <c r="AU175" i="27" s="1"/>
  <c r="AQ175" i="27"/>
  <c r="AP175" i="27" a="1"/>
  <c r="AP175" i="27" s="1"/>
  <c r="AU69" i="27" a="1"/>
  <c r="AU69" i="27" s="1"/>
  <c r="AS69" i="27"/>
  <c r="AT69" i="27" s="1" a="1"/>
  <c r="AT69" i="27" s="1"/>
  <c r="AP89" i="27" a="1"/>
  <c r="AP89" i="27" s="1"/>
  <c r="AU89" i="27" a="1"/>
  <c r="AU89" i="27" s="1"/>
  <c r="AP53" i="27" a="1"/>
  <c r="AP53" i="27" s="1"/>
  <c r="AQ53" i="27"/>
  <c r="AU53" i="27" a="1"/>
  <c r="AU53" i="27" s="1"/>
  <c r="AS53" i="27"/>
  <c r="AT53" i="27" s="1" a="1"/>
  <c r="AT53" i="27" s="1"/>
  <c r="AR53" i="27"/>
  <c r="AP182" i="27" a="1"/>
  <c r="AP182" i="27" s="1"/>
  <c r="AU133" i="27" a="1"/>
  <c r="AU133" i="27" s="1"/>
  <c r="AR133" i="27"/>
  <c r="AS133" i="27"/>
  <c r="AT133" i="27" s="1" a="1"/>
  <c r="AT133" i="27" s="1"/>
  <c r="AY209" i="27"/>
  <c r="AZ209" i="27" s="1" a="1"/>
  <c r="AZ209" i="27" s="1"/>
  <c r="AP24" i="27" a="1"/>
  <c r="AP24" i="27" s="1"/>
  <c r="AS24" i="27"/>
  <c r="AT24" i="27" s="1" a="1"/>
  <c r="AT24" i="27" s="1"/>
  <c r="AR24" i="27"/>
  <c r="AU24" i="27" a="1"/>
  <c r="AU24" i="27" s="1"/>
  <c r="AQ24" i="27"/>
  <c r="AR145" i="27"/>
  <c r="AP145" i="27" a="1"/>
  <c r="AP145" i="27" s="1"/>
  <c r="AU145" i="27" a="1"/>
  <c r="AU145" i="27" s="1"/>
  <c r="AS145" i="27"/>
  <c r="AT145" i="27" s="1" a="1"/>
  <c r="AT145" i="27" s="1"/>
  <c r="AQ145" i="27"/>
  <c r="AW139" i="27"/>
  <c r="AV139" i="27" a="1"/>
  <c r="AV139" i="27" s="1"/>
  <c r="AX139" i="27"/>
  <c r="AW28" i="27"/>
  <c r="AV28" i="27" a="1"/>
  <c r="AV28" i="27" s="1"/>
  <c r="AX28" i="27"/>
  <c r="AP75" i="27" a="1"/>
  <c r="AP75" i="27" s="1"/>
  <c r="AU75" i="27" a="1"/>
  <c r="AU75" i="27" s="1"/>
  <c r="AQ75" i="27"/>
  <c r="AQ182" i="27"/>
  <c r="AR25" i="27"/>
  <c r="AZ34" i="27" a="1"/>
  <c r="AZ34" i="27" s="1"/>
  <c r="AV114" i="27" a="1"/>
  <c r="AV114" i="27" s="1"/>
  <c r="AX114" i="27"/>
  <c r="AY114" i="27" s="1"/>
  <c r="AZ114" i="27" s="1" a="1"/>
  <c r="AZ114" i="27" s="1"/>
  <c r="AW114" i="27"/>
  <c r="AY154" i="27"/>
  <c r="AZ154" i="27" s="1" a="1"/>
  <c r="AZ154" i="27" s="1"/>
  <c r="AQ52" i="27"/>
  <c r="AU52" i="27" a="1"/>
  <c r="AU52" i="27" s="1"/>
  <c r="AP52" i="27" a="1"/>
  <c r="AP52" i="27" s="1"/>
  <c r="AS52" i="27"/>
  <c r="AT52" i="27" s="1" a="1"/>
  <c r="AT52" i="27" s="1"/>
  <c r="AR52" i="27"/>
  <c r="AP44" i="27" a="1"/>
  <c r="AP44" i="27" s="1"/>
  <c r="AU44" i="27" a="1"/>
  <c r="AU44" i="27" s="1"/>
  <c r="AS44" i="27"/>
  <c r="AT44" i="27" s="1" a="1"/>
  <c r="AT44" i="27" s="1"/>
  <c r="AR44" i="27"/>
  <c r="AS95" i="27"/>
  <c r="AT95" i="27" s="1" a="1"/>
  <c r="AT95" i="27" s="1"/>
  <c r="AQ215" i="27"/>
  <c r="AU215" i="27" a="1"/>
  <c r="AU215" i="27" s="1"/>
  <c r="AU125" i="27" a="1"/>
  <c r="AU125" i="27" s="1"/>
  <c r="AQ125" i="27"/>
  <c r="AP125" i="27" a="1"/>
  <c r="AP125" i="27" s="1"/>
  <c r="AQ200" i="27"/>
  <c r="AU77" i="27" a="1"/>
  <c r="AU77" i="27" s="1"/>
  <c r="AQ77" i="27"/>
  <c r="AR95" i="27"/>
  <c r="AV23" i="27" a="1"/>
  <c r="AV23" i="27" s="1"/>
  <c r="AW23" i="27"/>
  <c r="AX23" i="27"/>
  <c r="AY23" i="27" s="1"/>
  <c r="AZ23" i="27" s="1" a="1"/>
  <c r="AZ23" i="27" s="1"/>
  <c r="AR64" i="27"/>
  <c r="AS64" i="27"/>
  <c r="AT64" i="27" s="1" a="1"/>
  <c r="AT64" i="27" s="1"/>
  <c r="AP64" i="27" a="1"/>
  <c r="AP64" i="27" s="1"/>
  <c r="AQ64" i="27"/>
  <c r="AU64" i="27" a="1"/>
  <c r="AU64" i="27" s="1"/>
  <c r="AU15" i="27" a="1"/>
  <c r="AU15" i="27" s="1"/>
  <c r="AQ15" i="27"/>
  <c r="AS125" i="27"/>
  <c r="AT125" i="27" s="1" a="1"/>
  <c r="AT125" i="27" s="1"/>
  <c r="AP135" i="27" a="1"/>
  <c r="AP135" i="27" s="1"/>
  <c r="AU135" i="27" a="1"/>
  <c r="AU135" i="27" s="1"/>
  <c r="AQ135" i="27"/>
  <c r="AW109" i="27"/>
  <c r="AX109" i="27"/>
  <c r="AP104" i="27" a="1"/>
  <c r="AP104" i="27" s="1"/>
  <c r="AQ104" i="27"/>
  <c r="AR104" i="27"/>
  <c r="AU104" i="27" a="1"/>
  <c r="AU104" i="27" s="1"/>
  <c r="AS104" i="27"/>
  <c r="AT104" i="27" s="1" a="1"/>
  <c r="AT104" i="27" s="1"/>
  <c r="AP13" i="27" a="1"/>
  <c r="AP13" i="27" s="1"/>
  <c r="AS13" i="27"/>
  <c r="AT13" i="27" s="1" a="1"/>
  <c r="AT13" i="27" s="1"/>
  <c r="AP63" i="27" a="1"/>
  <c r="AP63" i="27" s="1"/>
  <c r="AU63" i="27" a="1"/>
  <c r="AU63" i="27" s="1"/>
  <c r="AR63" i="27"/>
  <c r="AS63" i="27"/>
  <c r="AT63" i="27" s="1" a="1"/>
  <c r="AT63" i="27" s="1"/>
  <c r="AQ63" i="27"/>
  <c r="AV29" i="27" a="1"/>
  <c r="AV29" i="27" s="1"/>
  <c r="AX29" i="27"/>
  <c r="AW29" i="27"/>
  <c r="AP35" i="27" a="1"/>
  <c r="AP35" i="27" s="1"/>
  <c r="AU35" i="27" a="1"/>
  <c r="AU35" i="27" s="1"/>
  <c r="AU122" i="27" a="1"/>
  <c r="AU122" i="27" s="1"/>
  <c r="AR122" i="27"/>
  <c r="AV162" i="27" a="1"/>
  <c r="AV162" i="27" s="1"/>
  <c r="AW162" i="27"/>
  <c r="AU156" i="27" a="1"/>
  <c r="AU156" i="27" s="1"/>
  <c r="AV156" i="27" s="1" a="1"/>
  <c r="AV156" i="27" s="1"/>
  <c r="AZ185" i="27" a="1"/>
  <c r="AZ185" i="27" s="1"/>
  <c r="AQ165" i="27"/>
  <c r="AP165" i="27" a="1"/>
  <c r="AP165" i="27" s="1"/>
  <c r="AU165" i="27" a="1"/>
  <c r="AU165" i="27" s="1"/>
  <c r="AS200" i="27"/>
  <c r="AT200" i="27" s="1" a="1"/>
  <c r="AT200" i="27" s="1"/>
  <c r="AR156" i="27"/>
  <c r="AR125" i="27"/>
  <c r="AV49" i="27" a="1"/>
  <c r="AV49" i="27" s="1"/>
  <c r="AW49" i="27"/>
  <c r="AX49" i="27"/>
  <c r="AP33" i="27" a="1"/>
  <c r="AP33" i="27" s="1"/>
  <c r="AS33" i="27"/>
  <c r="AT33" i="27" s="1" a="1"/>
  <c r="AT33" i="27" s="1"/>
  <c r="AR33" i="27"/>
  <c r="AU33" i="27" a="1"/>
  <c r="AU33" i="27" s="1"/>
  <c r="AQ33" i="27"/>
  <c r="AR155" i="27"/>
  <c r="AW36" i="27"/>
  <c r="AX36" i="27"/>
  <c r="AV36" i="27" a="1"/>
  <c r="AV36" i="27" s="1"/>
  <c r="AR175" i="27"/>
  <c r="AS165" i="27"/>
  <c r="AT165" i="27" s="1" a="1"/>
  <c r="AT165" i="27" s="1"/>
  <c r="AW68" i="27"/>
  <c r="AX68" i="27"/>
  <c r="AQ55" i="27"/>
  <c r="AP55" i="27" a="1"/>
  <c r="AP55" i="27" s="1"/>
  <c r="AU55" i="27" a="1"/>
  <c r="AU55" i="27" s="1"/>
  <c r="AP115" i="27" a="1"/>
  <c r="AP115" i="27" s="1"/>
  <c r="AQ115" i="27"/>
  <c r="AU115" i="27" a="1"/>
  <c r="AU115" i="27" s="1"/>
  <c r="AS215" i="27"/>
  <c r="AT215" i="27" s="1" a="1"/>
  <c r="AT215" i="27" s="1"/>
  <c r="AM19" i="92"/>
  <c r="AE19" i="92"/>
  <c r="AJ11" i="92"/>
  <c r="AB11" i="92"/>
  <c r="AC183" i="92"/>
  <c r="AK183" i="92"/>
  <c r="AC19" i="92"/>
  <c r="AK19" i="92"/>
  <c r="AC99" i="92"/>
  <c r="AK99" i="92"/>
  <c r="AC179" i="92"/>
  <c r="AK179" i="92"/>
  <c r="AE20" i="92"/>
  <c r="AM20" i="92"/>
  <c r="AE100" i="92"/>
  <c r="AM100" i="92"/>
  <c r="AE180" i="92"/>
  <c r="AM180" i="92"/>
  <c r="AB180" i="92"/>
  <c r="AJ180" i="92"/>
  <c r="AJ31" i="92"/>
  <c r="AB31" i="92"/>
  <c r="AC203" i="92"/>
  <c r="AK203" i="92"/>
  <c r="AA19" i="92"/>
  <c r="AI19" i="92"/>
  <c r="AA99" i="92"/>
  <c r="AI99" i="92"/>
  <c r="AA179" i="92"/>
  <c r="AI179" i="92"/>
  <c r="AF20" i="92"/>
  <c r="AN20" i="92"/>
  <c r="AF100" i="92"/>
  <c r="AN100" i="92"/>
  <c r="AF180" i="92"/>
  <c r="AN180" i="92"/>
  <c r="AP191" i="27" a="1"/>
  <c r="AP191" i="27" s="1"/>
  <c r="AS191" i="27"/>
  <c r="AT191" i="27" s="1" a="1"/>
  <c r="AT191" i="27" s="1"/>
  <c r="AQ191" i="27"/>
  <c r="AU191" i="27" a="1"/>
  <c r="AU191" i="27" s="1"/>
  <c r="AR191" i="27"/>
  <c r="AU42" i="27" a="1"/>
  <c r="AU42" i="27" s="1"/>
  <c r="AP42" i="27" a="1"/>
  <c r="AP42" i="27" s="1"/>
  <c r="AQ101" i="27"/>
  <c r="AU101" i="27" a="1"/>
  <c r="AU101" i="27" s="1"/>
  <c r="AP101" i="27" a="1"/>
  <c r="AP101" i="27" s="1"/>
  <c r="AS101" i="27"/>
  <c r="AT101" i="27" s="1" a="1"/>
  <c r="AT101" i="27" s="1"/>
  <c r="AC163" i="92"/>
  <c r="AK163" i="92"/>
  <c r="AZ95" i="27" a="1"/>
  <c r="AZ95" i="27" s="1"/>
  <c r="AJ51" i="92"/>
  <c r="AB51" i="92"/>
  <c r="AC223" i="92"/>
  <c r="AK223" i="92"/>
  <c r="AL19" i="92"/>
  <c r="AD19" i="92"/>
  <c r="AL99" i="92"/>
  <c r="AD99" i="92"/>
  <c r="AL179" i="92"/>
  <c r="AD179" i="92"/>
  <c r="AA20" i="92"/>
  <c r="AI20" i="92"/>
  <c r="AI100" i="92"/>
  <c r="AA100" i="92"/>
  <c r="AI180" i="92"/>
  <c r="AA180" i="92"/>
  <c r="AP41" i="27" a="1"/>
  <c r="AP41" i="27" s="1"/>
  <c r="AU41" i="27" a="1"/>
  <c r="AU41" i="27" s="1"/>
  <c r="AQ41" i="27"/>
  <c r="AM99" i="92"/>
  <c r="AE99" i="92"/>
  <c r="AJ71" i="92"/>
  <c r="AB71" i="92"/>
  <c r="AA11" i="92"/>
  <c r="AI11" i="92"/>
  <c r="AB39" i="92"/>
  <c r="AJ39" i="92"/>
  <c r="AB119" i="92"/>
  <c r="AJ119" i="92"/>
  <c r="AB199" i="92"/>
  <c r="AJ199" i="92"/>
  <c r="AD20" i="92"/>
  <c r="AL20" i="92"/>
  <c r="AD100" i="92"/>
  <c r="AL100" i="92"/>
  <c r="AD180" i="92"/>
  <c r="AL180" i="92"/>
  <c r="AP60" i="27" a="1"/>
  <c r="AP60" i="27" s="1"/>
  <c r="AQ60" i="27"/>
  <c r="AU60" i="27" a="1"/>
  <c r="AU60" i="27" s="1"/>
  <c r="AS60" i="27"/>
  <c r="AT60" i="27" s="1" a="1"/>
  <c r="AT60" i="27" s="1"/>
  <c r="AR60" i="27"/>
  <c r="AS78" i="27"/>
  <c r="AT78" i="27" s="1" a="1"/>
  <c r="AT78" i="27" s="1"/>
  <c r="AJ91" i="92"/>
  <c r="AB91" i="92"/>
  <c r="AA31" i="92"/>
  <c r="AI31" i="92"/>
  <c r="AM39" i="92"/>
  <c r="AE39" i="92"/>
  <c r="AM119" i="92"/>
  <c r="AE119" i="92"/>
  <c r="AM199" i="92"/>
  <c r="AE199" i="92"/>
  <c r="AB40" i="92"/>
  <c r="AJ40" i="92"/>
  <c r="AB120" i="92"/>
  <c r="AJ120" i="92"/>
  <c r="AB200" i="92"/>
  <c r="AJ200" i="92"/>
  <c r="AR121" i="27"/>
  <c r="AJ111" i="92"/>
  <c r="AB111" i="92"/>
  <c r="AA51" i="92"/>
  <c r="AI51" i="92"/>
  <c r="AP140" i="27" a="1"/>
  <c r="AP140" i="27" s="1"/>
  <c r="AU140" i="27" a="1"/>
  <c r="AU140" i="27" s="1"/>
  <c r="AQ140" i="27"/>
  <c r="AS140" i="27"/>
  <c r="AT140" i="27" s="1" a="1"/>
  <c r="AT140" i="27" s="1"/>
  <c r="AP11" i="27" a="1"/>
  <c r="AP11" i="27" s="1"/>
  <c r="AQ11" i="27"/>
  <c r="AR11" i="27"/>
  <c r="AU11" i="27" a="1"/>
  <c r="AU11" i="27" s="1"/>
  <c r="AS11" i="27"/>
  <c r="AT11" i="27" s="1" a="1"/>
  <c r="AT11" i="27" s="1"/>
  <c r="AC39" i="92"/>
  <c r="AK39" i="92"/>
  <c r="AC119" i="92"/>
  <c r="AK119" i="92"/>
  <c r="AC199" i="92"/>
  <c r="AK199" i="92"/>
  <c r="AE40" i="92"/>
  <c r="AM40" i="92"/>
  <c r="AE120" i="92"/>
  <c r="AM120" i="92"/>
  <c r="AE200" i="92"/>
  <c r="AM200" i="92"/>
  <c r="AY153" i="27"/>
  <c r="AZ153" i="27" s="1" a="1"/>
  <c r="AZ153" i="27" s="1"/>
  <c r="AQ161" i="27"/>
  <c r="AP161" i="27" a="1"/>
  <c r="AP161" i="27" s="1"/>
  <c r="AU161" i="27" a="1"/>
  <c r="AU161" i="27" s="1"/>
  <c r="AB100" i="92"/>
  <c r="AJ100" i="92"/>
  <c r="AJ131" i="92"/>
  <c r="AB131" i="92"/>
  <c r="AA71" i="92"/>
  <c r="AI71" i="92"/>
  <c r="AQ211" i="27"/>
  <c r="AU211" i="27" a="1"/>
  <c r="AU211" i="27" s="1"/>
  <c r="AR211" i="27"/>
  <c r="AS211" i="27"/>
  <c r="AT211" i="27" s="1" a="1"/>
  <c r="AT211" i="27" s="1"/>
  <c r="AP211" i="27" a="1"/>
  <c r="AP211" i="27" s="1"/>
  <c r="AS31" i="27"/>
  <c r="AT31" i="27" s="1" a="1"/>
  <c r="AT31" i="27" s="1"/>
  <c r="AQ31" i="27"/>
  <c r="AP31" i="27" a="1"/>
  <c r="AP31" i="27" s="1"/>
  <c r="AU31" i="27" a="1"/>
  <c r="AU31" i="27" s="1"/>
  <c r="AR31" i="27"/>
  <c r="AA39" i="92"/>
  <c r="AI39" i="92"/>
  <c r="AA119" i="92"/>
  <c r="AI119" i="92"/>
  <c r="AA199" i="92"/>
  <c r="AI199" i="92"/>
  <c r="AF40" i="92"/>
  <c r="AN40" i="92"/>
  <c r="AF120" i="92"/>
  <c r="AN120" i="92"/>
  <c r="AF200" i="92"/>
  <c r="AN200" i="92"/>
  <c r="AQ62" i="27"/>
  <c r="AU62" i="27" a="1"/>
  <c r="AU62" i="27" s="1"/>
  <c r="AR62" i="27"/>
  <c r="AP61" i="27" a="1"/>
  <c r="AP61" i="27" s="1"/>
  <c r="AU61" i="27" a="1"/>
  <c r="AU61" i="27" s="1"/>
  <c r="AR61" i="27"/>
  <c r="AP181" i="27" a="1"/>
  <c r="AP181" i="27" s="1"/>
  <c r="AU181" i="27" a="1"/>
  <c r="AU181" i="27" s="1"/>
  <c r="AQ181" i="27"/>
  <c r="AR181" i="27"/>
  <c r="AB20" i="92"/>
  <c r="AJ20" i="92"/>
  <c r="AJ151" i="92"/>
  <c r="AB151" i="92"/>
  <c r="AA91" i="92"/>
  <c r="AI91" i="92"/>
  <c r="AP51" i="27" a="1"/>
  <c r="AP51" i="27" s="1"/>
  <c r="AU51" i="27" a="1"/>
  <c r="AU51" i="27" s="1"/>
  <c r="AL39" i="92"/>
  <c r="AD39" i="92"/>
  <c r="AL119" i="92"/>
  <c r="AD119" i="92"/>
  <c r="AL199" i="92"/>
  <c r="AD199" i="92"/>
  <c r="AI40" i="92"/>
  <c r="AA40" i="92"/>
  <c r="AI120" i="92"/>
  <c r="AA120" i="92"/>
  <c r="AI200" i="92"/>
  <c r="AA200" i="92"/>
  <c r="AQ22" i="27"/>
  <c r="AP22" i="27" a="1"/>
  <c r="AP22" i="27" s="1"/>
  <c r="AS22" i="27"/>
  <c r="AT22" i="27" s="1" a="1"/>
  <c r="AT22" i="27" s="1"/>
  <c r="AR22" i="27"/>
  <c r="AU22" i="27" a="1"/>
  <c r="AU22" i="27" s="1"/>
  <c r="AJ171" i="92"/>
  <c r="AB171" i="92"/>
  <c r="AI111" i="92"/>
  <c r="AA111" i="92"/>
  <c r="AP71" i="27" a="1"/>
  <c r="AP71" i="27" s="1"/>
  <c r="AQ71" i="27"/>
  <c r="AU71" i="27" a="1"/>
  <c r="AU71" i="27" s="1"/>
  <c r="AR71" i="27"/>
  <c r="AS71" i="27"/>
  <c r="AT71" i="27" s="1" a="1"/>
  <c r="AT71" i="27" s="1"/>
  <c r="AB59" i="92"/>
  <c r="AJ59" i="92"/>
  <c r="AB139" i="92"/>
  <c r="AJ139" i="92"/>
  <c r="AB219" i="92"/>
  <c r="AJ219" i="92"/>
  <c r="AD40" i="92"/>
  <c r="AL40" i="92"/>
  <c r="AD120" i="92"/>
  <c r="AL120" i="92"/>
  <c r="AD200" i="92"/>
  <c r="AL200" i="92"/>
  <c r="AV198" i="27" a="1"/>
  <c r="AV198" i="27" s="1"/>
  <c r="AX198" i="27"/>
  <c r="AW198" i="27"/>
  <c r="AS181" i="27"/>
  <c r="AT181" i="27" s="1" a="1"/>
  <c r="AT181" i="27" s="1"/>
  <c r="AA24" i="92"/>
  <c r="AI24" i="92"/>
  <c r="AJ191" i="92"/>
  <c r="AB191" i="92"/>
  <c r="AI131" i="92"/>
  <c r="AA131" i="92"/>
  <c r="AM59" i="92"/>
  <c r="AE59" i="92"/>
  <c r="AM139" i="92"/>
  <c r="AE139" i="92"/>
  <c r="AM219" i="92"/>
  <c r="AE219" i="92"/>
  <c r="AB60" i="92"/>
  <c r="AJ60" i="92"/>
  <c r="AB140" i="92"/>
  <c r="AJ140" i="92"/>
  <c r="AB220" i="92"/>
  <c r="AJ220" i="92"/>
  <c r="AP121" i="27" a="1"/>
  <c r="AP121" i="27" s="1"/>
  <c r="AQ121" i="27"/>
  <c r="AU121" i="27" a="1"/>
  <c r="AU121" i="27" s="1"/>
  <c r="AA44" i="92"/>
  <c r="AI44" i="92"/>
  <c r="AJ211" i="92"/>
  <c r="AB211" i="92"/>
  <c r="AA151" i="92"/>
  <c r="AI151" i="92"/>
  <c r="AC59" i="92"/>
  <c r="AK59" i="92"/>
  <c r="AC139" i="92"/>
  <c r="AK139" i="92"/>
  <c r="AC219" i="92"/>
  <c r="AK219" i="92"/>
  <c r="AE60" i="92"/>
  <c r="AM60" i="92"/>
  <c r="AE140" i="92"/>
  <c r="AM140" i="92"/>
  <c r="AE220" i="92"/>
  <c r="AM220" i="92"/>
  <c r="AV58" i="27" a="1"/>
  <c r="AV58" i="27" s="1"/>
  <c r="AW58" i="27"/>
  <c r="AX58" i="27"/>
  <c r="AY58" i="27" s="1"/>
  <c r="AZ58" i="27" s="1" a="1"/>
  <c r="AZ58" i="27" s="1"/>
  <c r="AM179" i="92"/>
  <c r="AE179" i="92"/>
  <c r="AW199" i="27"/>
  <c r="AV199" i="27" a="1"/>
  <c r="AV199" i="27" s="1"/>
  <c r="AX199" i="27"/>
  <c r="AI64" i="92"/>
  <c r="AA64" i="92"/>
  <c r="AJ231" i="92"/>
  <c r="AB231" i="92"/>
  <c r="AA171" i="92"/>
  <c r="AI171" i="92"/>
  <c r="AC220" i="92"/>
  <c r="AK220" i="92"/>
  <c r="AA59" i="92"/>
  <c r="AI59" i="92"/>
  <c r="AA139" i="92"/>
  <c r="AI139" i="92"/>
  <c r="AA219" i="92"/>
  <c r="AI219" i="92"/>
  <c r="AF60" i="92"/>
  <c r="AN60" i="92"/>
  <c r="AF140" i="92"/>
  <c r="AN140" i="92"/>
  <c r="AF220" i="92"/>
  <c r="AN220" i="92"/>
  <c r="AR82" i="27"/>
  <c r="AP21" i="27" a="1"/>
  <c r="AP21" i="27" s="1"/>
  <c r="AU21" i="27" a="1"/>
  <c r="AU21" i="27" s="1"/>
  <c r="AQ21" i="27"/>
  <c r="AS141" i="27"/>
  <c r="AT141" i="27" s="1" a="1"/>
  <c r="AT141" i="27" s="1"/>
  <c r="AI84" i="92"/>
  <c r="AA84" i="92"/>
  <c r="AK23" i="92"/>
  <c r="AC23" i="92"/>
  <c r="AA191" i="92"/>
  <c r="AI191" i="92"/>
  <c r="AL59" i="92"/>
  <c r="AD59" i="92"/>
  <c r="AL139" i="92"/>
  <c r="AD139" i="92"/>
  <c r="AL219" i="92"/>
  <c r="AD219" i="92"/>
  <c r="AI60" i="92"/>
  <c r="AA60" i="92"/>
  <c r="AA140" i="92"/>
  <c r="AI140" i="92"/>
  <c r="AI220" i="92"/>
  <c r="AA220" i="92"/>
  <c r="AW82" i="27"/>
  <c r="AX82" i="27"/>
  <c r="AV82" i="27" a="1"/>
  <c r="AV82" i="27" s="1"/>
  <c r="AI104" i="92"/>
  <c r="AA104" i="92"/>
  <c r="AK43" i="92"/>
  <c r="AC43" i="92"/>
  <c r="AA211" i="92"/>
  <c r="AI211" i="92"/>
  <c r="AB79" i="92"/>
  <c r="AJ79" i="92"/>
  <c r="AB159" i="92"/>
  <c r="AJ159" i="92"/>
  <c r="AB239" i="92"/>
  <c r="AJ239" i="92"/>
  <c r="AD60" i="92"/>
  <c r="AL60" i="92"/>
  <c r="AD140" i="92"/>
  <c r="AL140" i="92"/>
  <c r="AD220" i="92"/>
  <c r="AL220" i="92"/>
  <c r="AP222" i="27" a="1"/>
  <c r="AP222" i="27" s="1"/>
  <c r="AU222" i="27" a="1"/>
  <c r="AU222" i="27" s="1"/>
  <c r="AY228" i="27"/>
  <c r="AZ228" i="27" s="1" a="1"/>
  <c r="AZ228" i="27" s="1"/>
  <c r="AR21" i="27"/>
  <c r="AQ81" i="27"/>
  <c r="AP81" i="27" a="1"/>
  <c r="AP81" i="27" s="1"/>
  <c r="AU81" i="27" a="1"/>
  <c r="AU81" i="27" s="1"/>
  <c r="AU201" i="27" a="1"/>
  <c r="AU201" i="27" s="1"/>
  <c r="AS201" i="27"/>
  <c r="AT201" i="27" s="1" a="1"/>
  <c r="AT201" i="27" s="1"/>
  <c r="AI124" i="92"/>
  <c r="AA124" i="92"/>
  <c r="AK63" i="92"/>
  <c r="AC63" i="92"/>
  <c r="AA231" i="92"/>
  <c r="AI231" i="92"/>
  <c r="AM79" i="92"/>
  <c r="AE79" i="92"/>
  <c r="AM159" i="92"/>
  <c r="AE159" i="92"/>
  <c r="AM239" i="92"/>
  <c r="AE239" i="92"/>
  <c r="AB80" i="92"/>
  <c r="AJ80" i="92"/>
  <c r="AB160" i="92"/>
  <c r="AJ160" i="92"/>
  <c r="AB240" i="92"/>
  <c r="AJ240" i="92"/>
  <c r="AA144" i="92"/>
  <c r="AI144" i="92"/>
  <c r="AK83" i="92"/>
  <c r="AC83" i="92"/>
  <c r="AC120" i="92"/>
  <c r="AK120" i="92"/>
  <c r="AK40" i="92"/>
  <c r="AC40" i="92"/>
  <c r="AC79" i="92"/>
  <c r="AK79" i="92"/>
  <c r="AC159" i="92"/>
  <c r="AK159" i="92"/>
  <c r="AC239" i="92"/>
  <c r="AK239" i="92"/>
  <c r="AE80" i="92"/>
  <c r="AM80" i="92"/>
  <c r="AE160" i="92"/>
  <c r="AM160" i="92"/>
  <c r="AE240" i="92"/>
  <c r="AM240" i="92"/>
  <c r="AQ102" i="27"/>
  <c r="AR102" i="27"/>
  <c r="AU102" i="27" a="1"/>
  <c r="AU102" i="27" s="1"/>
  <c r="AP102" i="27" a="1"/>
  <c r="AP102" i="27" s="1"/>
  <c r="AS102" i="27"/>
  <c r="AT102" i="27" s="1" a="1"/>
  <c r="AT102" i="27" s="1"/>
  <c r="AX134" i="27"/>
  <c r="AY134" i="27" s="1"/>
  <c r="AZ134" i="27" s="1" a="1"/>
  <c r="AZ134" i="27" s="1"/>
  <c r="AW134" i="27"/>
  <c r="AV134" i="27" a="1"/>
  <c r="AV134" i="27" s="1"/>
  <c r="AS41" i="27"/>
  <c r="AT41" i="27" s="1" a="1"/>
  <c r="AT41" i="27" s="1"/>
  <c r="AA164" i="92"/>
  <c r="AI164" i="92"/>
  <c r="AC103" i="92"/>
  <c r="AK103" i="92"/>
  <c r="AR100" i="27"/>
  <c r="AQ100" i="27"/>
  <c r="AU100" i="27" a="1"/>
  <c r="AU100" i="27" s="1"/>
  <c r="AP100" i="27" a="1"/>
  <c r="AP100" i="27" s="1"/>
  <c r="AS100" i="27"/>
  <c r="AT100" i="27" s="1" a="1"/>
  <c r="AT100" i="27" s="1"/>
  <c r="AC240" i="92"/>
  <c r="AK240" i="92"/>
  <c r="AA79" i="92"/>
  <c r="AI79" i="92"/>
  <c r="AA159" i="92"/>
  <c r="AI159" i="92"/>
  <c r="AA239" i="92"/>
  <c r="AI239" i="92"/>
  <c r="AF80" i="92"/>
  <c r="AN80" i="92"/>
  <c r="AF160" i="92"/>
  <c r="AN160" i="92"/>
  <c r="AF240" i="92"/>
  <c r="AN240" i="92"/>
  <c r="AQ141" i="27"/>
  <c r="AU141" i="27" a="1"/>
  <c r="AU141" i="27" s="1"/>
  <c r="AA184" i="92"/>
  <c r="AI184" i="92"/>
  <c r="AC123" i="92"/>
  <c r="AK123" i="92"/>
  <c r="AQ120" i="27"/>
  <c r="AP120" i="27" a="1"/>
  <c r="AP120" i="27" s="1"/>
  <c r="AU120" i="27" a="1"/>
  <c r="AU120" i="27" s="1"/>
  <c r="AS120" i="27"/>
  <c r="AT120" i="27" s="1" a="1"/>
  <c r="AT120" i="27" s="1"/>
  <c r="AR120" i="27"/>
  <c r="AL79" i="92"/>
  <c r="AD79" i="92"/>
  <c r="AL159" i="92"/>
  <c r="AD159" i="92"/>
  <c r="AL239" i="92"/>
  <c r="AD239" i="92"/>
  <c r="AI80" i="92"/>
  <c r="AA80" i="92"/>
  <c r="AA160" i="92"/>
  <c r="AI160" i="92"/>
  <c r="AI240" i="92"/>
  <c r="AA240" i="92"/>
  <c r="AR41" i="27"/>
  <c r="AR101" i="27"/>
  <c r="AI224" i="92"/>
  <c r="AA224" i="92"/>
  <c r="AI204" i="92"/>
  <c r="AA204" i="92"/>
  <c r="AC143" i="92"/>
  <c r="AK143" i="92"/>
  <c r="AB19" i="92"/>
  <c r="AJ19" i="92"/>
  <c r="AB99" i="92"/>
  <c r="AJ99" i="92"/>
  <c r="AB179" i="92"/>
  <c r="AJ179" i="92"/>
  <c r="AD80" i="92"/>
  <c r="AL80" i="92"/>
  <c r="AD160" i="92"/>
  <c r="AL160" i="92"/>
  <c r="AD240" i="92"/>
  <c r="AL240" i="92"/>
  <c r="AU40" i="27" a="1"/>
  <c r="AU40" i="27" s="1"/>
  <c r="AR40" i="27"/>
  <c r="AQ40" i="27"/>
  <c r="AP40" i="27" a="1"/>
  <c r="AP40" i="27" s="1"/>
  <c r="AS40" i="27"/>
  <c r="AT40" i="27" s="1" a="1"/>
  <c r="AT40" i="27" s="1"/>
  <c r="AW13" i="27"/>
  <c r="AX13" i="27"/>
  <c r="AV13" i="27" a="1"/>
  <c r="AV13" i="27" s="1"/>
  <c r="AP18" i="27" a="1"/>
  <c r="AP18" i="27" s="1"/>
  <c r="AR18" i="27"/>
  <c r="AU18" i="27" a="1"/>
  <c r="AU18" i="27" s="1"/>
  <c r="AQ18" i="27"/>
  <c r="AP178" i="27" a="1"/>
  <c r="AP178" i="27" s="1"/>
  <c r="AQ178" i="27"/>
  <c r="AR178" i="27"/>
  <c r="AU178" i="27" a="1"/>
  <c r="AU178" i="27" s="1"/>
  <c r="AP86" i="27" a="1"/>
  <c r="AP86" i="27" s="1"/>
  <c r="AS86" i="27"/>
  <c r="AT86" i="27" s="1" a="1"/>
  <c r="AT86" i="27" s="1"/>
  <c r="AR86" i="27"/>
  <c r="AQ86" i="27"/>
  <c r="AU86" i="27" a="1"/>
  <c r="AU86" i="27" s="1"/>
  <c r="AS178" i="27"/>
  <c r="AT178" i="27" s="1" a="1"/>
  <c r="AT178" i="27" s="1"/>
  <c r="AP8" i="27" a="1"/>
  <c r="AP8" i="27" s="1"/>
  <c r="AS8" i="27"/>
  <c r="AT8" i="27" s="1" a="1"/>
  <c r="AT8" i="27" s="1"/>
  <c r="AQ8" i="27"/>
  <c r="AR8" i="27"/>
  <c r="AU8" i="27" a="1"/>
  <c r="AU8" i="27" s="1"/>
  <c r="AP38" i="27" a="1"/>
  <c r="AP38" i="27" s="1"/>
  <c r="AQ38" i="27"/>
  <c r="AR38" i="27"/>
  <c r="AU38" i="27" a="1"/>
  <c r="AU38" i="27" s="1"/>
  <c r="AP118" i="27" a="1"/>
  <c r="AP118" i="27" s="1"/>
  <c r="AQ118" i="27"/>
  <c r="AR118" i="27"/>
  <c r="AU118" i="27" a="1"/>
  <c r="AU118" i="27" s="1"/>
  <c r="AS118" i="27"/>
  <c r="AT118" i="27" s="1" a="1"/>
  <c r="AT118" i="27" s="1"/>
  <c r="AP26" i="27" a="1"/>
  <c r="AP26" i="27" s="1"/>
  <c r="AU26" i="27" a="1"/>
  <c r="AU26" i="27" s="1"/>
  <c r="AQ26" i="27"/>
  <c r="AR26" i="27"/>
  <c r="AS26" i="27"/>
  <c r="AT26" i="27" s="1" a="1"/>
  <c r="AT26" i="27" s="1"/>
  <c r="AW119" i="27"/>
  <c r="AV119" i="27" a="1"/>
  <c r="AV119" i="27" s="1"/>
  <c r="AX119" i="27"/>
  <c r="AW19" i="27"/>
  <c r="AV19" i="27" a="1"/>
  <c r="AV19" i="27" s="1"/>
  <c r="AX19" i="27"/>
  <c r="AY214" i="27"/>
  <c r="AZ214" i="27" s="1" a="1"/>
  <c r="AZ214" i="27" s="1"/>
  <c r="AP48" i="27" a="1"/>
  <c r="AP48" i="27" s="1"/>
  <c r="AS48" i="27"/>
  <c r="AT48" i="27" s="1" a="1"/>
  <c r="AT48" i="27" s="1"/>
  <c r="AQ48" i="27"/>
  <c r="AU48" i="27" a="1"/>
  <c r="AU48" i="27" s="1"/>
  <c r="AR48" i="27"/>
  <c r="AW173" i="27"/>
  <c r="AV173" i="27" a="1"/>
  <c r="AV173" i="27" s="1"/>
  <c r="AX173" i="27"/>
  <c r="AY142" i="27"/>
  <c r="AZ142" i="27" s="1" a="1"/>
  <c r="AZ142" i="27" s="1"/>
  <c r="AX218" i="27"/>
  <c r="AW218" i="27"/>
  <c r="AV218" i="27" a="1"/>
  <c r="AV218" i="27" s="1"/>
  <c r="AP126" i="27" a="1"/>
  <c r="AP126" i="27" s="1"/>
  <c r="AU126" i="27" a="1"/>
  <c r="AU126" i="27" s="1"/>
  <c r="AQ126" i="27"/>
  <c r="AS126" i="27"/>
  <c r="AT126" i="27" s="1" a="1"/>
  <c r="AT126" i="27" s="1"/>
  <c r="AR126" i="27"/>
  <c r="AQ46" i="27"/>
  <c r="AP46" i="27" a="1"/>
  <c r="AP46" i="27" s="1"/>
  <c r="AS46" i="27"/>
  <c r="AT46" i="27" s="1" a="1"/>
  <c r="AT46" i="27" s="1"/>
  <c r="AU46" i="27" a="1"/>
  <c r="AU46" i="27" s="1"/>
  <c r="AY166" i="27"/>
  <c r="AQ106" i="27"/>
  <c r="AP106" i="27" a="1"/>
  <c r="AP106" i="27" s="1"/>
  <c r="AS106" i="27"/>
  <c r="AT106" i="27" s="1" a="1"/>
  <c r="AT106" i="27" s="1"/>
  <c r="AU106" i="27" a="1"/>
  <c r="AU106" i="27" s="1"/>
  <c r="AP226" i="27" a="1"/>
  <c r="AP226" i="27" s="1"/>
  <c r="AQ226" i="27"/>
  <c r="AR226" i="27"/>
  <c r="AU226" i="27" a="1"/>
  <c r="AU226" i="27" s="1"/>
  <c r="AS226" i="27"/>
  <c r="AT226" i="27" s="1" a="1"/>
  <c r="AT226" i="27" s="1"/>
  <c r="AY88" i="27"/>
  <c r="AX234" i="27"/>
  <c r="AV234" i="27" a="1"/>
  <c r="AV234" i="27" s="1"/>
  <c r="AW234" i="27"/>
  <c r="AZ160" i="27" a="1"/>
  <c r="AZ160" i="27" s="1"/>
  <c r="AP78" i="27" a="1"/>
  <c r="AP78" i="27" s="1"/>
  <c r="AQ78" i="27"/>
  <c r="AU78" i="27" a="1"/>
  <c r="AU78" i="27" s="1"/>
  <c r="AP66" i="27" a="1"/>
  <c r="AP66" i="27" s="1"/>
  <c r="AQ66" i="27"/>
  <c r="AS66" i="27"/>
  <c r="AT66" i="27" s="1" a="1"/>
  <c r="AT66" i="27" s="1"/>
  <c r="AR66" i="27"/>
  <c r="AU66" i="27" a="1"/>
  <c r="AU66" i="27" s="1"/>
  <c r="AS18" i="27"/>
  <c r="AT18" i="27" s="1" a="1"/>
  <c r="AT18" i="27" s="1"/>
  <c r="AQ146" i="27"/>
  <c r="AS146" i="27"/>
  <c r="AT146" i="27" s="1" a="1"/>
  <c r="AT146" i="27" s="1"/>
  <c r="AP146" i="27" a="1"/>
  <c r="AP146" i="27" s="1"/>
  <c r="AU146" i="27" a="1"/>
  <c r="AU146" i="27" s="1"/>
  <c r="AY193" i="27"/>
  <c r="AZ193" i="27" s="1" a="1"/>
  <c r="AZ193" i="27" s="1"/>
  <c r="BC9" i="113" l="1" a="1"/>
  <c r="BC9" i="113" s="1"/>
  <c r="BC155" i="113" a="1"/>
  <c r="BC155" i="113" s="1"/>
  <c r="BA89" i="113" a="1"/>
  <c r="BA89" i="113" s="1"/>
  <c r="BC221" i="113" a="1"/>
  <c r="BC221" i="113" s="1"/>
  <c r="BC225" i="113" a="1"/>
  <c r="BC225" i="113" s="1"/>
  <c r="BC145" i="113" a="1"/>
  <c r="BC145" i="113" s="1"/>
  <c r="BC229" i="113" a="1"/>
  <c r="BC229" i="113" s="1"/>
  <c r="BC151" i="113" a="1"/>
  <c r="BC151" i="113" s="1"/>
  <c r="BC51" i="113" a="1"/>
  <c r="BC51" i="113" s="1"/>
  <c r="BC129" i="113" a="1"/>
  <c r="BC129" i="113" s="1"/>
  <c r="BC100" i="113" a="1"/>
  <c r="BC100" i="113" s="1"/>
  <c r="BC200" i="113" a="1"/>
  <c r="BC200" i="113" s="1"/>
  <c r="BC59" i="113" a="1"/>
  <c r="BC59" i="113" s="1"/>
  <c r="BC189" i="113" a="1"/>
  <c r="BC189" i="113" s="1"/>
  <c r="BC167" i="113" a="1"/>
  <c r="BC167" i="113" s="1"/>
  <c r="BC204" i="113" a="1"/>
  <c r="BC204" i="113" s="1"/>
  <c r="BA109" i="113" a="1"/>
  <c r="BA109" i="113" s="1"/>
  <c r="BC107" i="113" a="1"/>
  <c r="BC107" i="113" s="1"/>
  <c r="BC53" i="113" a="1"/>
  <c r="BC53" i="113" s="1"/>
  <c r="BC13" i="113" a="1"/>
  <c r="BC13" i="113" s="1"/>
  <c r="BC211" i="113" a="1"/>
  <c r="BC211" i="113" s="1"/>
  <c r="BA205" i="113" a="1"/>
  <c r="BA205" i="113" s="1"/>
  <c r="BC12" i="113" a="1"/>
  <c r="BC12" i="113" s="1"/>
  <c r="BA140" i="113" a="1"/>
  <c r="BA140" i="113" s="1"/>
  <c r="BA84" i="113" a="1"/>
  <c r="BA84" i="113" s="1"/>
  <c r="BC111" i="113" a="1"/>
  <c r="BC111" i="113" s="1"/>
  <c r="BC219" i="113" a="1"/>
  <c r="BC219" i="113" s="1"/>
  <c r="BA221" i="113" a="1"/>
  <c r="BA221" i="113" s="1"/>
  <c r="BC70" i="113" a="1"/>
  <c r="BC70" i="113" s="1"/>
  <c r="BC212" i="113" a="1"/>
  <c r="BC212" i="113" s="1"/>
  <c r="BC43" i="113" a="1"/>
  <c r="BC43" i="113" s="1"/>
  <c r="BC47" i="113" a="1"/>
  <c r="BC47" i="113" s="1"/>
  <c r="BC128" i="113" a="1"/>
  <c r="BC128" i="113" s="1"/>
  <c r="BC149" i="113" a="1"/>
  <c r="BC149" i="113" s="1"/>
  <c r="BC26" i="113" a="1"/>
  <c r="BC26" i="113" s="1"/>
  <c r="BC44" i="113" a="1"/>
  <c r="BC44" i="113" s="1"/>
  <c r="BC144" i="113" a="1"/>
  <c r="BC144" i="113" s="1"/>
  <c r="BC222" i="113" a="1"/>
  <c r="BC222" i="113" s="1"/>
  <c r="BA108" i="113" a="1"/>
  <c r="BA108" i="113" s="1"/>
  <c r="BC84" i="113" a="1"/>
  <c r="BC84" i="113" s="1"/>
  <c r="BC206" i="113" a="1"/>
  <c r="BC206" i="113" s="1"/>
  <c r="BC183" i="113" a="1"/>
  <c r="BC183" i="113" s="1"/>
  <c r="BC232" i="113" a="1"/>
  <c r="BC232" i="113" s="1"/>
  <c r="BC33" i="113" a="1"/>
  <c r="BC33" i="113" s="1"/>
  <c r="BC173" i="113" a="1"/>
  <c r="BC173" i="113" s="1"/>
  <c r="BC192" i="113" a="1"/>
  <c r="BC192" i="113" s="1"/>
  <c r="BC154" i="113" a="1"/>
  <c r="BC154" i="113" s="1"/>
  <c r="BA128" i="113" a="1"/>
  <c r="BA128" i="113" s="1"/>
  <c r="BC126" i="113" a="1"/>
  <c r="BC126" i="113" s="1"/>
  <c r="BA212" i="113" a="1"/>
  <c r="BA212" i="113" s="1"/>
  <c r="BC92" i="113" a="1"/>
  <c r="BC92" i="113" s="1"/>
  <c r="BC49" i="113" a="1"/>
  <c r="BC49" i="113" s="1"/>
  <c r="BA233" i="113" a="1"/>
  <c r="BA233" i="113" s="1"/>
  <c r="BC119" i="113" a="1"/>
  <c r="BC119" i="113" s="1"/>
  <c r="BC230" i="113" a="1"/>
  <c r="BC230" i="113" s="1"/>
  <c r="BC184" i="113" a="1"/>
  <c r="BC184" i="113" s="1"/>
  <c r="BC62" i="113" a="1"/>
  <c r="BC62" i="113" s="1"/>
  <c r="BC220" i="113" a="1"/>
  <c r="BC220" i="113" s="1"/>
  <c r="BC39" i="113" a="1"/>
  <c r="BC39" i="113" s="1"/>
  <c r="BC52" i="113" a="1"/>
  <c r="BC52" i="113" s="1"/>
  <c r="BC186" i="113" a="1"/>
  <c r="BC186" i="113" s="1"/>
  <c r="BC153" i="113" a="1"/>
  <c r="BC153" i="113" s="1"/>
  <c r="BC168" i="113" a="1"/>
  <c r="BC168" i="113" s="1"/>
  <c r="BA29" i="113" a="1"/>
  <c r="BA29" i="113" s="1"/>
  <c r="BC239" i="113" a="1"/>
  <c r="BC239" i="113" s="1"/>
  <c r="BC172" i="113" a="1"/>
  <c r="BC172" i="113" s="1"/>
  <c r="BC109" i="113" a="1"/>
  <c r="BC109" i="113" s="1"/>
  <c r="BC150" i="113" a="1"/>
  <c r="BC150" i="113" s="1"/>
  <c r="BC216" i="113" a="1"/>
  <c r="BC216" i="113" s="1"/>
  <c r="BC89" i="113" a="1"/>
  <c r="BC89" i="113" s="1"/>
  <c r="BC68" i="113" a="1"/>
  <c r="BC68" i="113" s="1"/>
  <c r="BC11" i="113" a="1"/>
  <c r="BC11" i="113" s="1"/>
  <c r="BC69" i="113" a="1"/>
  <c r="BC69" i="113" s="1"/>
  <c r="BC233" i="113" a="1"/>
  <c r="BC233" i="113" s="1"/>
  <c r="BC209" i="113" a="1"/>
  <c r="BC209" i="113" s="1"/>
  <c r="BC82" i="113" a="1"/>
  <c r="BC82" i="113" s="1"/>
  <c r="BA209" i="113" a="1"/>
  <c r="BA209" i="113" s="1"/>
  <c r="BC73" i="113" a="1"/>
  <c r="BC73" i="113" s="1"/>
  <c r="BC29" i="113" a="1"/>
  <c r="BC29" i="113" s="1"/>
  <c r="BC146" i="113" a="1"/>
  <c r="BC146" i="113" s="1"/>
  <c r="BC19" i="113" a="1"/>
  <c r="BC19" i="113" s="1"/>
  <c r="BC228" i="113" a="1"/>
  <c r="BC228" i="113" s="1"/>
  <c r="BC214" i="113" a="1"/>
  <c r="BC214" i="113" s="1"/>
  <c r="BA146" i="113" a="1"/>
  <c r="BA146" i="113" s="1"/>
  <c r="BA229" i="113" a="1"/>
  <c r="BA229" i="113" s="1"/>
  <c r="BA134" i="113" a="1"/>
  <c r="BA134" i="113" s="1"/>
  <c r="BC188" i="113" a="1"/>
  <c r="BC188" i="113" s="1"/>
  <c r="BC187" i="113" a="1"/>
  <c r="BC187" i="113" s="1"/>
  <c r="BA152" i="113" a="1"/>
  <c r="BA152" i="113" s="1"/>
  <c r="BA49" i="113" a="1"/>
  <c r="BA49" i="113" s="1"/>
  <c r="BA155" i="113" a="1"/>
  <c r="BA155" i="113" s="1"/>
  <c r="BA194" i="113" a="1"/>
  <c r="BA194" i="113" s="1"/>
  <c r="AV143" i="113" a="1"/>
  <c r="AV143" i="113" s="1"/>
  <c r="AW143" i="113"/>
  <c r="BA48" i="113" a="1"/>
  <c r="BA48" i="113" s="1"/>
  <c r="BA46" i="113" a="1"/>
  <c r="BA46" i="113" s="1"/>
  <c r="BA169" i="113" a="1"/>
  <c r="BA169" i="113" s="1"/>
  <c r="BC46" i="113" a="1"/>
  <c r="BC46" i="113" s="1"/>
  <c r="BA27" i="113" a="1"/>
  <c r="BA27" i="113" s="1"/>
  <c r="BA219" i="113" a="1"/>
  <c r="BA219" i="113" s="1"/>
  <c r="BC99" i="113" a="1"/>
  <c r="BC99" i="113" s="1"/>
  <c r="BC159" i="113" a="1"/>
  <c r="BC159" i="113" s="1"/>
  <c r="BA19" i="113" a="1"/>
  <c r="BA19" i="113" s="1"/>
  <c r="BA147" i="113" a="1"/>
  <c r="BA147" i="113" s="1"/>
  <c r="BC134" i="113" a="1"/>
  <c r="BC134" i="113" s="1"/>
  <c r="BC191" i="113" a="1"/>
  <c r="BC191" i="113" s="1"/>
  <c r="BA191" i="113" a="1"/>
  <c r="BA191" i="113" s="1"/>
  <c r="BA111" i="113" a="1"/>
  <c r="BA111" i="113" s="1"/>
  <c r="BA71" i="113" a="1"/>
  <c r="BA71" i="113" s="1"/>
  <c r="BC71" i="113" a="1"/>
  <c r="BC71" i="113" s="1"/>
  <c r="BA124" i="113" a="1"/>
  <c r="BA124" i="113" s="1"/>
  <c r="BA90" i="113" a="1"/>
  <c r="BA90" i="113" s="1"/>
  <c r="BA91" i="113" a="1"/>
  <c r="BA91" i="113" s="1"/>
  <c r="BA143" i="113" a="1"/>
  <c r="BA143" i="113" s="1"/>
  <c r="BC125" i="113" a="1"/>
  <c r="BC125" i="113" s="1"/>
  <c r="BC27" i="113" a="1"/>
  <c r="BC27" i="113" s="1"/>
  <c r="BA202" i="113" a="1"/>
  <c r="BA202" i="113" s="1"/>
  <c r="BA92" i="113" a="1"/>
  <c r="BA92" i="113" s="1"/>
  <c r="BC215" i="113" a="1"/>
  <c r="BC215" i="113" s="1"/>
  <c r="BA215" i="113" a="1"/>
  <c r="BA215" i="113" s="1"/>
  <c r="BA173" i="113" a="1"/>
  <c r="BA173" i="113" s="1"/>
  <c r="BC91" i="113" a="1"/>
  <c r="BC91" i="113" s="1"/>
  <c r="BC190" i="113" a="1"/>
  <c r="BC190" i="113" s="1"/>
  <c r="AW230" i="113"/>
  <c r="BA192" i="113" a="1"/>
  <c r="BA192" i="113" s="1"/>
  <c r="BA188" i="113" a="1"/>
  <c r="BA188" i="113" s="1"/>
  <c r="BA119" i="113" a="1"/>
  <c r="BA119" i="113" s="1"/>
  <c r="BA28" i="113" a="1"/>
  <c r="BA28" i="113" s="1"/>
  <c r="BC28" i="113" a="1"/>
  <c r="BC28" i="113" s="1"/>
  <c r="BA107" i="113" a="1"/>
  <c r="BA107" i="113" s="1"/>
  <c r="BA14" i="113" a="1"/>
  <c r="BA14" i="113" s="1"/>
  <c r="BA47" i="113" a="1"/>
  <c r="BA47" i="113" s="1"/>
  <c r="BA82" i="113" a="1"/>
  <c r="BA82" i="113" s="1"/>
  <c r="BA68" i="113" a="1"/>
  <c r="BA68" i="113" s="1"/>
  <c r="BA131" i="113" a="1"/>
  <c r="BA131" i="113" s="1"/>
  <c r="BA142" i="113" a="1"/>
  <c r="BA142" i="113" s="1"/>
  <c r="BA185" i="113" a="1"/>
  <c r="BA185" i="113" s="1"/>
  <c r="BA74" i="113" a="1"/>
  <c r="BA74" i="113" s="1"/>
  <c r="BC142" i="113" a="1"/>
  <c r="BC142" i="113" s="1"/>
  <c r="BA190" i="113" a="1"/>
  <c r="BA190" i="113" s="1"/>
  <c r="BA79" i="113" a="1"/>
  <c r="BA79" i="113" s="1"/>
  <c r="BA211" i="113" a="1"/>
  <c r="BA211" i="113" s="1"/>
  <c r="BC124" i="113" a="1"/>
  <c r="BC124" i="113" s="1"/>
  <c r="BA59" i="113" a="1"/>
  <c r="BA59" i="113" s="1"/>
  <c r="BA45" i="113" a="1"/>
  <c r="BA45" i="113" s="1"/>
  <c r="BC203" i="113" a="1"/>
  <c r="BC203" i="113" s="1"/>
  <c r="BC112" i="113" a="1"/>
  <c r="BC112" i="113" s="1"/>
  <c r="BC205" i="113" a="1"/>
  <c r="BC205" i="113" s="1"/>
  <c r="BC141" i="113" a="1"/>
  <c r="BC141" i="113" s="1"/>
  <c r="BA199" i="113" a="1"/>
  <c r="BA199" i="113" s="1"/>
  <c r="BC45" i="113" a="1"/>
  <c r="BC45" i="113" s="1"/>
  <c r="BC14" i="113" a="1"/>
  <c r="BC14" i="113" s="1"/>
  <c r="BC20" i="113" a="1"/>
  <c r="BC20" i="113" s="1"/>
  <c r="BC147" i="113" a="1"/>
  <c r="BC147" i="113" s="1"/>
  <c r="BA182" i="113" a="1"/>
  <c r="BA182" i="113" s="1"/>
  <c r="BA180" i="113" a="1"/>
  <c r="BA180" i="113" s="1"/>
  <c r="BA225" i="113" a="1"/>
  <c r="BA225" i="113" s="1"/>
  <c r="BA201" i="113" a="1"/>
  <c r="BA201" i="113" s="1"/>
  <c r="BA104" i="113" a="1"/>
  <c r="BA104" i="113" s="1"/>
  <c r="BA153" i="113" a="1"/>
  <c r="BA153" i="113" s="1"/>
  <c r="BC108" i="113" a="1"/>
  <c r="BC108" i="113" s="1"/>
  <c r="BC182" i="113" a="1"/>
  <c r="BC182" i="113" s="1"/>
  <c r="BA150" i="113" a="1"/>
  <c r="BA150" i="113" s="1"/>
  <c r="BA8" i="113" a="1"/>
  <c r="BA8" i="113" s="1"/>
  <c r="BA172" i="113" a="1"/>
  <c r="BA172" i="113" s="1"/>
  <c r="BA33" i="113" a="1"/>
  <c r="BA33" i="113" s="1"/>
  <c r="BC48" i="113" a="1"/>
  <c r="BC48" i="113" s="1"/>
  <c r="BA70" i="113" a="1"/>
  <c r="BA70" i="113" s="1"/>
  <c r="BA120" i="113" a="1"/>
  <c r="BA120" i="113" s="1"/>
  <c r="BA121" i="113" a="1"/>
  <c r="BA121" i="113" s="1"/>
  <c r="BA129" i="113" a="1"/>
  <c r="BA129" i="113" s="1"/>
  <c r="BC170" i="113" a="1"/>
  <c r="BC170" i="113" s="1"/>
  <c r="BC131" i="113" a="1"/>
  <c r="BC131" i="113" s="1"/>
  <c r="BA40" i="113" a="1"/>
  <c r="BA40" i="113" s="1"/>
  <c r="BA144" i="113" a="1"/>
  <c r="BA144" i="113" s="1"/>
  <c r="BC79" i="113" a="1"/>
  <c r="BC79" i="113" s="1"/>
  <c r="BC210" i="113" a="1"/>
  <c r="BC210" i="113" s="1"/>
  <c r="BC40" i="113" a="1"/>
  <c r="BC40" i="113" s="1"/>
  <c r="BA171" i="113" a="1"/>
  <c r="BA171" i="113" s="1"/>
  <c r="BA149" i="113" a="1"/>
  <c r="BA149" i="113" s="1"/>
  <c r="BA26" i="113" a="1"/>
  <c r="BA26" i="113" s="1"/>
  <c r="BC171" i="113" a="1"/>
  <c r="BC171" i="113" s="1"/>
  <c r="BA126" i="113" a="1"/>
  <c r="BA126" i="113" s="1"/>
  <c r="BA189" i="113" a="1"/>
  <c r="BA189" i="113" s="1"/>
  <c r="BA62" i="113" a="1"/>
  <c r="BA62" i="113" s="1"/>
  <c r="BA133" i="113" a="1"/>
  <c r="BA133" i="113" s="1"/>
  <c r="BC74" i="113" a="1"/>
  <c r="BC74" i="113" s="1"/>
  <c r="BA11" i="113" a="1"/>
  <c r="BA11" i="113" s="1"/>
  <c r="BC8" i="113" a="1"/>
  <c r="BC8" i="113" s="1"/>
  <c r="BC199" i="113" a="1"/>
  <c r="BC199" i="113" s="1"/>
  <c r="BC208" i="113" a="1"/>
  <c r="BC208" i="113" s="1"/>
  <c r="BA93" i="113" a="1"/>
  <c r="BA93" i="113" s="1"/>
  <c r="BA214" i="113" a="1"/>
  <c r="BA214" i="113" s="1"/>
  <c r="BA148" i="113" a="1"/>
  <c r="BA148" i="113" s="1"/>
  <c r="BA231" i="113" a="1"/>
  <c r="BA231" i="113" s="1"/>
  <c r="BC231" i="113" a="1"/>
  <c r="BC231" i="113" s="1"/>
  <c r="BA73" i="113" a="1"/>
  <c r="BA73" i="113" s="1"/>
  <c r="BC179" i="113" a="1"/>
  <c r="BC179" i="113" s="1"/>
  <c r="BA239" i="113" a="1"/>
  <c r="BA239" i="113" s="1"/>
  <c r="BA32" i="113" a="1"/>
  <c r="BA32" i="113" s="1"/>
  <c r="BC132" i="113" a="1"/>
  <c r="BC132" i="113" s="1"/>
  <c r="BC102" i="113" a="1"/>
  <c r="BC102" i="113" s="1"/>
  <c r="BA159" i="113" a="1"/>
  <c r="BA159" i="113" s="1"/>
  <c r="BA216" i="113" a="1"/>
  <c r="BA216" i="113" s="1"/>
  <c r="BA102" i="113" a="1"/>
  <c r="BA102" i="113" s="1"/>
  <c r="BA99" i="113" a="1"/>
  <c r="BA99" i="113" s="1"/>
  <c r="BC224" i="113" a="1"/>
  <c r="BC224" i="113" s="1"/>
  <c r="BA139" i="113" a="1"/>
  <c r="BA139" i="113" s="1"/>
  <c r="BA179" i="113" a="1"/>
  <c r="BA179" i="113" s="1"/>
  <c r="BA94" i="113" a="1"/>
  <c r="BA94" i="113" s="1"/>
  <c r="BC123" i="113" a="1"/>
  <c r="BC123" i="113" s="1"/>
  <c r="BA86" i="113" a="1"/>
  <c r="BA86" i="113" s="1"/>
  <c r="BC88" i="113" a="1"/>
  <c r="BC88" i="113" s="1"/>
  <c r="BA88" i="113" a="1"/>
  <c r="BA88" i="113" s="1"/>
  <c r="BA222" i="113" a="1"/>
  <c r="BA222" i="113" s="1"/>
  <c r="BC169" i="113" a="1"/>
  <c r="BC169" i="113" s="1"/>
  <c r="BC194" i="113" a="1"/>
  <c r="BC194" i="113" s="1"/>
  <c r="BC139" i="113" a="1"/>
  <c r="BC139" i="113" s="1"/>
  <c r="BA39" i="113" a="1"/>
  <c r="BA39" i="113" s="1"/>
  <c r="BA31" i="113" a="1"/>
  <c r="BA31" i="113" s="1"/>
  <c r="BC31" i="113" a="1"/>
  <c r="BC31" i="113" s="1"/>
  <c r="BA87" i="113" a="1"/>
  <c r="BA87" i="113" s="1"/>
  <c r="BA151" i="113" a="1"/>
  <c r="BA151" i="113" s="1"/>
  <c r="BA51" i="113" a="1"/>
  <c r="BA51" i="113" s="1"/>
  <c r="BA112" i="113" a="1"/>
  <c r="BA112" i="113" s="1"/>
  <c r="BA181" i="113" a="1"/>
  <c r="BA181" i="113" s="1"/>
  <c r="BC148" i="113" a="1"/>
  <c r="BC148" i="113" s="1"/>
  <c r="BC185" i="113" a="1"/>
  <c r="BC185" i="113" s="1"/>
  <c r="BC32" i="113" a="1"/>
  <c r="BC32" i="113" s="1"/>
  <c r="BC140" i="113" a="1"/>
  <c r="BC140" i="113" s="1"/>
  <c r="BA207" i="113" a="1"/>
  <c r="BA207" i="113" s="1"/>
  <c r="BA240" i="113" a="1"/>
  <c r="BA240" i="113" s="1"/>
  <c r="BA66" i="113" a="1"/>
  <c r="BA66" i="113" s="1"/>
  <c r="BA160" i="113" a="1"/>
  <c r="BA160" i="113" s="1"/>
  <c r="BC160" i="113" a="1"/>
  <c r="BC160" i="113" s="1"/>
  <c r="BC103" i="113" a="1"/>
  <c r="BC103" i="113" s="1"/>
  <c r="BA103" i="113" a="1"/>
  <c r="BA103" i="113" s="1"/>
  <c r="BA80" i="113" a="1"/>
  <c r="BA80" i="113" s="1"/>
  <c r="BC80" i="113" a="1"/>
  <c r="BC80" i="113" s="1"/>
  <c r="BC152" i="113" a="1"/>
  <c r="BC152" i="113" s="1"/>
  <c r="BA206" i="113" a="1"/>
  <c r="BA206" i="113" s="1"/>
  <c r="BA184" i="113" a="1"/>
  <c r="BA184" i="113" s="1"/>
  <c r="BC180" i="113" a="1"/>
  <c r="BC180" i="113" s="1"/>
  <c r="BA183" i="113" a="1"/>
  <c r="BA183" i="113" s="1"/>
  <c r="BA52" i="113" a="1"/>
  <c r="BA52" i="113" s="1"/>
  <c r="BC90" i="113" a="1"/>
  <c r="BC90" i="113" s="1"/>
  <c r="BC93" i="113" a="1"/>
  <c r="BC93" i="113" s="1"/>
  <c r="BC66" i="113" a="1"/>
  <c r="BC66" i="113" s="1"/>
  <c r="BA24" i="113" a="1"/>
  <c r="BA24" i="113" s="1"/>
  <c r="BC24" i="113" a="1"/>
  <c r="BC24" i="113" s="1"/>
  <c r="BA210" i="113" a="1"/>
  <c r="BA210" i="113" s="1"/>
  <c r="BC64" i="113" a="1"/>
  <c r="BC64" i="113" s="1"/>
  <c r="BA64" i="113" a="1"/>
  <c r="BA64" i="113" s="1"/>
  <c r="BA67" i="113" a="1"/>
  <c r="BA67" i="113" s="1"/>
  <c r="BA127" i="113" a="1"/>
  <c r="BA127" i="113" s="1"/>
  <c r="BC127" i="113" a="1"/>
  <c r="BC127" i="113" s="1"/>
  <c r="BA226" i="113" a="1"/>
  <c r="BA226" i="113" s="1"/>
  <c r="BA30" i="113" a="1"/>
  <c r="BA30" i="113" s="1"/>
  <c r="BC67" i="113" a="1"/>
  <c r="BC67" i="113" s="1"/>
  <c r="BA43" i="113" a="1"/>
  <c r="BA43" i="113" s="1"/>
  <c r="BA213" i="113" a="1"/>
  <c r="BA213" i="113" s="1"/>
  <c r="BA163" i="113" a="1"/>
  <c r="BA163" i="113" s="1"/>
  <c r="BA130" i="113" a="1"/>
  <c r="BA130" i="113" s="1"/>
  <c r="BC213" i="113" a="1"/>
  <c r="BC213" i="113" s="1"/>
  <c r="BA166" i="113" a="1"/>
  <c r="BA166" i="113" s="1"/>
  <c r="BC166" i="113" a="1"/>
  <c r="BC166" i="113" s="1"/>
  <c r="BC207" i="113" a="1"/>
  <c r="BC207" i="113" s="1"/>
  <c r="BA220" i="113" a="1"/>
  <c r="BA220" i="113" s="1"/>
  <c r="BA100" i="113" a="1"/>
  <c r="BA100" i="113" s="1"/>
  <c r="BC23" i="113" a="1"/>
  <c r="BC23" i="113" s="1"/>
  <c r="BA23" i="113" a="1"/>
  <c r="BA23" i="113" s="1"/>
  <c r="BA232" i="113" a="1"/>
  <c r="BA232" i="113" s="1"/>
  <c r="BC86" i="113" a="1"/>
  <c r="BC86" i="113" s="1"/>
  <c r="BC226" i="113" a="1"/>
  <c r="BC226" i="113" s="1"/>
  <c r="BC104" i="113" a="1"/>
  <c r="BC104" i="113" s="1"/>
  <c r="BA230" i="113" a="1"/>
  <c r="BA230" i="113" s="1"/>
  <c r="BA167" i="113" a="1"/>
  <c r="BA167" i="113" s="1"/>
  <c r="AW110" i="113"/>
  <c r="BC30" i="113" a="1"/>
  <c r="BC30" i="113" s="1"/>
  <c r="BA20" i="113" a="1"/>
  <c r="BA20" i="113" s="1"/>
  <c r="BA13" i="113" a="1"/>
  <c r="BA13" i="113" s="1"/>
  <c r="AX110" i="113"/>
  <c r="AY110" i="113" s="1"/>
  <c r="AZ110" i="113" s="1" a="1"/>
  <c r="AZ110" i="113" s="1"/>
  <c r="BC130" i="113" a="1"/>
  <c r="BC130" i="113" s="1"/>
  <c r="BA204" i="113" a="1"/>
  <c r="BA204" i="113" s="1"/>
  <c r="BA132" i="113" a="1"/>
  <c r="BA132" i="113" s="1"/>
  <c r="BA193" i="113" a="1"/>
  <c r="BA193" i="113" s="1"/>
  <c r="BC87" i="113" a="1"/>
  <c r="BC87" i="113" s="1"/>
  <c r="BC60" i="113" a="1"/>
  <c r="BC60" i="113" s="1"/>
  <c r="BA60" i="113" a="1"/>
  <c r="BA60" i="113" s="1"/>
  <c r="BA203" i="113" a="1"/>
  <c r="BA203" i="113" s="1"/>
  <c r="BC72" i="113" a="1"/>
  <c r="BC72" i="113" s="1"/>
  <c r="BA72" i="113" a="1"/>
  <c r="BA72" i="113" s="1"/>
  <c r="BA44" i="113" a="1"/>
  <c r="BA44" i="113" s="1"/>
  <c r="BA186" i="113" a="1"/>
  <c r="BA186" i="113" s="1"/>
  <c r="BA113" i="113" a="1"/>
  <c r="BA113" i="113" s="1"/>
  <c r="BC113" i="113" a="1"/>
  <c r="BC113" i="113" s="1"/>
  <c r="BC193" i="113" a="1"/>
  <c r="BC193" i="113" s="1"/>
  <c r="BC143" i="113" a="1"/>
  <c r="BC143" i="113" s="1"/>
  <c r="BA110" i="113" a="1"/>
  <c r="BA110" i="113" s="1"/>
  <c r="BC110" i="113" a="1"/>
  <c r="BC110" i="113" s="1"/>
  <c r="BA200" i="113" a="1"/>
  <c r="BA200" i="113" s="1"/>
  <c r="BC63" i="113" a="1"/>
  <c r="BC63" i="113" s="1"/>
  <c r="BA63" i="113" a="1"/>
  <c r="BA63" i="113" s="1"/>
  <c r="BA224" i="113" a="1"/>
  <c r="BA224" i="113" s="1"/>
  <c r="BA227" i="113" a="1"/>
  <c r="BA227" i="113" s="1"/>
  <c r="BA10" i="113" a="1"/>
  <c r="BA10" i="113" s="1"/>
  <c r="BC10" i="113" a="1"/>
  <c r="BC10" i="113" s="1"/>
  <c r="BC227" i="113" a="1"/>
  <c r="BC227" i="113" s="1"/>
  <c r="BA50" i="113" a="1"/>
  <c r="BA50" i="113" s="1"/>
  <c r="BC240" i="113" a="1"/>
  <c r="BC240" i="113" s="1"/>
  <c r="BC163" i="113" a="1"/>
  <c r="BC163" i="113" s="1"/>
  <c r="BA223" i="113" a="1"/>
  <c r="BA223" i="113" s="1"/>
  <c r="BA164" i="113" a="1"/>
  <c r="BA164" i="113" s="1"/>
  <c r="BA170" i="113" a="1"/>
  <c r="BA170" i="113" s="1"/>
  <c r="BA106" i="113" a="1"/>
  <c r="BA106" i="113" s="1"/>
  <c r="BC106" i="113" a="1"/>
  <c r="BC106" i="113" s="1"/>
  <c r="BA53" i="113" a="1"/>
  <c r="BA53" i="113" s="1"/>
  <c r="BC223" i="113" a="1"/>
  <c r="BC223" i="113" s="1"/>
  <c r="BC133" i="113" a="1"/>
  <c r="BC133" i="113" s="1"/>
  <c r="BC164" i="113" a="1"/>
  <c r="BC164" i="113" s="1"/>
  <c r="BC50" i="113" a="1"/>
  <c r="BC50" i="113" s="1"/>
  <c r="BA123" i="113" a="1"/>
  <c r="BA123" i="113" s="1"/>
  <c r="BA187" i="113" a="1"/>
  <c r="BA187" i="113" s="1"/>
  <c r="BA12" i="113" a="1"/>
  <c r="BA12" i="113" s="1"/>
  <c r="AV230" i="113" a="1"/>
  <c r="AV230" i="113" s="1"/>
  <c r="BC120" i="113" a="1"/>
  <c r="BC120" i="113" s="1"/>
  <c r="AV125" i="113" a="1"/>
  <c r="AV125" i="113" s="1"/>
  <c r="AV239" i="113" a="1"/>
  <c r="AV239" i="113" s="1"/>
  <c r="AW239" i="113"/>
  <c r="AW137" i="113"/>
  <c r="AX137" i="113"/>
  <c r="AY137" i="113" s="1"/>
  <c r="AZ137" i="113" s="1" a="1"/>
  <c r="AZ137" i="113" s="1"/>
  <c r="AW126" i="113"/>
  <c r="AX197" i="113"/>
  <c r="AY197" i="113" s="1"/>
  <c r="AZ197" i="113" s="1" a="1"/>
  <c r="AZ197" i="113" s="1"/>
  <c r="AW197" i="113"/>
  <c r="AX175" i="113"/>
  <c r="AY175" i="113" s="1"/>
  <c r="AZ175" i="113" s="1" a="1"/>
  <c r="AZ175" i="113" s="1"/>
  <c r="AW175" i="113"/>
  <c r="AV139" i="113" a="1"/>
  <c r="AV139" i="113" s="1"/>
  <c r="AX136" i="113"/>
  <c r="AY136" i="113" s="1"/>
  <c r="AZ136" i="113" s="1" a="1"/>
  <c r="AZ136" i="113" s="1"/>
  <c r="AW136" i="113"/>
  <c r="AW127" i="27"/>
  <c r="AW107" i="113"/>
  <c r="AW210" i="27"/>
  <c r="AW27" i="113"/>
  <c r="AX81" i="113"/>
  <c r="AY81" i="113" s="1"/>
  <c r="AZ81" i="113" s="1" a="1"/>
  <c r="AZ81" i="113" s="1"/>
  <c r="AW140" i="113"/>
  <c r="AW100" i="113"/>
  <c r="AV186" i="113" a="1"/>
  <c r="AV186" i="113" s="1"/>
  <c r="AX187" i="27"/>
  <c r="AY187" i="27" s="1"/>
  <c r="AZ187" i="27" s="1" a="1"/>
  <c r="AZ187" i="27" s="1"/>
  <c r="AW81" i="113"/>
  <c r="AV107" i="113" a="1"/>
  <c r="AV107" i="113" s="1"/>
  <c r="AV140" i="113" a="1"/>
  <c r="AV140" i="113" s="1"/>
  <c r="AV100" i="113" a="1"/>
  <c r="AV100" i="113" s="1"/>
  <c r="AV210" i="27" a="1"/>
  <c r="AV210" i="27" s="1"/>
  <c r="AV27" i="113" a="1"/>
  <c r="AV27" i="113" s="1"/>
  <c r="AW187" i="27"/>
  <c r="AW186" i="113"/>
  <c r="AW97" i="27"/>
  <c r="AW101" i="113"/>
  <c r="AX139" i="113"/>
  <c r="AY139" i="113" s="1"/>
  <c r="AZ139" i="113" s="1" a="1"/>
  <c r="AZ139" i="113" s="1"/>
  <c r="AX97" i="27"/>
  <c r="AY97" i="27" s="1"/>
  <c r="AZ97" i="27" s="1" a="1"/>
  <c r="AZ97" i="27" s="1"/>
  <c r="AX127" i="27"/>
  <c r="AY127" i="27" s="1"/>
  <c r="AW16" i="113"/>
  <c r="AV74" i="113" a="1"/>
  <c r="AV74" i="113" s="1"/>
  <c r="AV167" i="113" a="1"/>
  <c r="AV167" i="113" s="1"/>
  <c r="AX167" i="113"/>
  <c r="AY167" i="113" s="1"/>
  <c r="AZ167" i="113" s="1" a="1"/>
  <c r="AZ167" i="113" s="1"/>
  <c r="AV101" i="113" a="1"/>
  <c r="AV101" i="113" s="1"/>
  <c r="AW133" i="113"/>
  <c r="AV130" i="113" a="1"/>
  <c r="AV130" i="113" s="1"/>
  <c r="AV133" i="113" a="1"/>
  <c r="AV133" i="113" s="1"/>
  <c r="AW208" i="113"/>
  <c r="AY107" i="113"/>
  <c r="AZ107" i="113" s="1" a="1"/>
  <c r="AZ107" i="113" s="1"/>
  <c r="AX208" i="113"/>
  <c r="AY208" i="113" s="1"/>
  <c r="AZ208" i="113" s="1" a="1"/>
  <c r="AZ208" i="113" s="1"/>
  <c r="AW235" i="113"/>
  <c r="AW138" i="113"/>
  <c r="AV138" i="113" a="1"/>
  <c r="AV138" i="113" s="1"/>
  <c r="AV144" i="113" a="1"/>
  <c r="AV144" i="113" s="1"/>
  <c r="AX16" i="113"/>
  <c r="AY16" i="113" s="1"/>
  <c r="AZ16" i="113" s="1" a="1"/>
  <c r="AZ16" i="113" s="1"/>
  <c r="AW144" i="113"/>
  <c r="AW130" i="113"/>
  <c r="AW93" i="113"/>
  <c r="AW171" i="113"/>
  <c r="AV229" i="113" a="1"/>
  <c r="AV229" i="113" s="1"/>
  <c r="AV93" i="113" a="1"/>
  <c r="AV93" i="113" s="1"/>
  <c r="AV171" i="113" a="1"/>
  <c r="AV171" i="113" s="1"/>
  <c r="AW229" i="113"/>
  <c r="AV126" i="113" a="1"/>
  <c r="AV126" i="113" s="1"/>
  <c r="AV235" i="113" a="1"/>
  <c r="AV235" i="113" s="1"/>
  <c r="AW183" i="113"/>
  <c r="AV121" i="113" a="1"/>
  <c r="AV121" i="113" s="1"/>
  <c r="AW121" i="113"/>
  <c r="AW181" i="113"/>
  <c r="AV183" i="113" a="1"/>
  <c r="AV183" i="113" s="1"/>
  <c r="AW211" i="113"/>
  <c r="AZ152" i="113" a="1"/>
  <c r="AZ152" i="113" s="1"/>
  <c r="AW85" i="113"/>
  <c r="AW30" i="113"/>
  <c r="AX85" i="113"/>
  <c r="AY85" i="113" s="1"/>
  <c r="AW116" i="113"/>
  <c r="AW141" i="113"/>
  <c r="AV116" i="113" a="1"/>
  <c r="AV116" i="113" s="1"/>
  <c r="AV141" i="113" a="1"/>
  <c r="AV141" i="113" s="1"/>
  <c r="AX180" i="113"/>
  <c r="AY180" i="113" s="1"/>
  <c r="AX73" i="113"/>
  <c r="AY73" i="113" s="1"/>
  <c r="AW177" i="113"/>
  <c r="AX56" i="113"/>
  <c r="AY56" i="113" s="1"/>
  <c r="AZ56" i="113" s="1" a="1"/>
  <c r="AZ56" i="113" s="1"/>
  <c r="AX163" i="113"/>
  <c r="AY163" i="113" s="1"/>
  <c r="AZ163" i="113" s="1" a="1"/>
  <c r="AZ163" i="113" s="1"/>
  <c r="AV56" i="113" a="1"/>
  <c r="AV56" i="113" s="1"/>
  <c r="AW163" i="113"/>
  <c r="AX68" i="113"/>
  <c r="AY68" i="113" s="1"/>
  <c r="AX174" i="113"/>
  <c r="AY174" i="113" s="1"/>
  <c r="AZ174" i="113" s="1" a="1"/>
  <c r="AZ174" i="113" s="1"/>
  <c r="AW180" i="113"/>
  <c r="AV30" i="113" a="1"/>
  <c r="AV30" i="113" s="1"/>
  <c r="AW226" i="113"/>
  <c r="AV39" i="113" a="1"/>
  <c r="AV39" i="113" s="1"/>
  <c r="AW58" i="113"/>
  <c r="AW39" i="113"/>
  <c r="AX58" i="113"/>
  <c r="AY58" i="113" s="1"/>
  <c r="AZ58" i="113" s="1" a="1"/>
  <c r="AZ58" i="113" s="1"/>
  <c r="AW228" i="113"/>
  <c r="AV18" i="113" a="1"/>
  <c r="AV18" i="113" s="1"/>
  <c r="AV228" i="113" a="1"/>
  <c r="AV228" i="113" s="1"/>
  <c r="AX104" i="113"/>
  <c r="AY104" i="113" s="1"/>
  <c r="AZ104" i="113" s="1" a="1"/>
  <c r="AZ104" i="113" s="1"/>
  <c r="AW104" i="113"/>
  <c r="AW227" i="113"/>
  <c r="AW205" i="113"/>
  <c r="AV234" i="113" a="1"/>
  <c r="AV234" i="113" s="1"/>
  <c r="AV227" i="113" a="1"/>
  <c r="AV227" i="113" s="1"/>
  <c r="AV205" i="113" a="1"/>
  <c r="AV205" i="113" s="1"/>
  <c r="AW234" i="113"/>
  <c r="AV226" i="113" a="1"/>
  <c r="AV226" i="113" s="1"/>
  <c r="AV174" i="113" a="1"/>
  <c r="AV174" i="113" s="1"/>
  <c r="AV67" i="113" a="1"/>
  <c r="AV67" i="113" s="1"/>
  <c r="AW73" i="113"/>
  <c r="AW74" i="113"/>
  <c r="AW29" i="113"/>
  <c r="AV34" i="113" a="1"/>
  <c r="AV34" i="113" s="1"/>
  <c r="AW68" i="113"/>
  <c r="AW232" i="113"/>
  <c r="AV156" i="113" a="1"/>
  <c r="AV156" i="113" s="1"/>
  <c r="AX34" i="113"/>
  <c r="AX196" i="113"/>
  <c r="AY196" i="113" s="1"/>
  <c r="AZ196" i="113" s="1" a="1"/>
  <c r="AZ196" i="113" s="1"/>
  <c r="AX156" i="113"/>
  <c r="AY156" i="113" s="1"/>
  <c r="AW196" i="113"/>
  <c r="AV49" i="113" a="1"/>
  <c r="AV49" i="113" s="1"/>
  <c r="AW18" i="113"/>
  <c r="AW37" i="113"/>
  <c r="AX29" i="113"/>
  <c r="AY29" i="113" s="1"/>
  <c r="AX49" i="113"/>
  <c r="AY49" i="113" s="1"/>
  <c r="AZ49" i="113" s="1" a="1"/>
  <c r="AZ49" i="113" s="1"/>
  <c r="AV37" i="113" a="1"/>
  <c r="AV37" i="113" s="1"/>
  <c r="AW125" i="113"/>
  <c r="AZ18" i="113" a="1"/>
  <c r="AZ18" i="113" s="1"/>
  <c r="AV211" i="113" a="1"/>
  <c r="AV211" i="113" s="1"/>
  <c r="AW220" i="113"/>
  <c r="AV220" i="113" a="1"/>
  <c r="AV220" i="113" s="1"/>
  <c r="AX220" i="113"/>
  <c r="AY220" i="113" s="1"/>
  <c r="AX102" i="113"/>
  <c r="AY102" i="113" s="1"/>
  <c r="AZ102" i="113" s="1" a="1"/>
  <c r="AZ102" i="113" s="1"/>
  <c r="AZ96" i="113" a="1"/>
  <c r="AZ96" i="113" s="1"/>
  <c r="AV98" i="113" a="1"/>
  <c r="AV98" i="113" s="1"/>
  <c r="AX67" i="113"/>
  <c r="AY67" i="113" s="1"/>
  <c r="AZ67" i="113" s="1" a="1"/>
  <c r="AZ67" i="113" s="1"/>
  <c r="AZ95" i="113" a="1"/>
  <c r="AZ95" i="113" s="1"/>
  <c r="AW98" i="113"/>
  <c r="AV8" i="113" a="1"/>
  <c r="AV8" i="113" s="1"/>
  <c r="AV122" i="113" a="1"/>
  <c r="AV122" i="113" s="1"/>
  <c r="AW122" i="113"/>
  <c r="AX181" i="113"/>
  <c r="AW8" i="113"/>
  <c r="AZ98" i="113" a="1"/>
  <c r="AZ98" i="113" s="1"/>
  <c r="AV102" i="113" a="1"/>
  <c r="AV102" i="113" s="1"/>
  <c r="AX195" i="113"/>
  <c r="AY195" i="113" s="1"/>
  <c r="AW195" i="113"/>
  <c r="AV195" i="113" a="1"/>
  <c r="AV195" i="113" s="1"/>
  <c r="AW238" i="113"/>
  <c r="AX135" i="113"/>
  <c r="AY135" i="113" s="1"/>
  <c r="AZ135" i="113" s="1" a="1"/>
  <c r="AZ135" i="113" s="1"/>
  <c r="AX238" i="113"/>
  <c r="AY238" i="113" s="1"/>
  <c r="AZ238" i="113" s="1" a="1"/>
  <c r="AZ238" i="113" s="1"/>
  <c r="AV135" i="113" a="1"/>
  <c r="AV135" i="113" s="1"/>
  <c r="AW120" i="113"/>
  <c r="AV120" i="113" a="1"/>
  <c r="AV120" i="113" s="1"/>
  <c r="AX120" i="113"/>
  <c r="AY120" i="113" s="1"/>
  <c r="AW51" i="113"/>
  <c r="AX51" i="113"/>
  <c r="AY51" i="113" s="1"/>
  <c r="AZ51" i="113" s="1" a="1"/>
  <c r="AZ51" i="113" s="1"/>
  <c r="AV51" i="113" a="1"/>
  <c r="AV51" i="113" s="1"/>
  <c r="AV177" i="113" a="1"/>
  <c r="AV177" i="113" s="1"/>
  <c r="AV48" i="113" a="1"/>
  <c r="AV48" i="113" s="1"/>
  <c r="AW48" i="113"/>
  <c r="AX48" i="113"/>
  <c r="AY48" i="113" s="1"/>
  <c r="AV232" i="113" a="1"/>
  <c r="AV232" i="113" s="1"/>
  <c r="AY57" i="113"/>
  <c r="AZ57" i="113" s="1" a="1"/>
  <c r="AZ57" i="113" s="1"/>
  <c r="AZ106" i="113" a="1"/>
  <c r="AZ106" i="113" s="1"/>
  <c r="AW114" i="113"/>
  <c r="AV114" i="113" a="1"/>
  <c r="AV114" i="113" s="1"/>
  <c r="AX114" i="113"/>
  <c r="AV206" i="113" a="1"/>
  <c r="AV206" i="113" s="1"/>
  <c r="AW206" i="113"/>
  <c r="AX206" i="113"/>
  <c r="AV50" i="113" a="1"/>
  <c r="AV50" i="113" s="1"/>
  <c r="AX50" i="113"/>
  <c r="AY50" i="113" s="1"/>
  <c r="AW50" i="113"/>
  <c r="AV161" i="113" a="1"/>
  <c r="AV161" i="113" s="1"/>
  <c r="AX161" i="113"/>
  <c r="AY161" i="113" s="1"/>
  <c r="AW161" i="113"/>
  <c r="AX90" i="113"/>
  <c r="AY90" i="113" s="1"/>
  <c r="AW90" i="113"/>
  <c r="AV90" i="113" a="1"/>
  <c r="AV90" i="113" s="1"/>
  <c r="AY121" i="113"/>
  <c r="AT1" i="113"/>
  <c r="AZ237" i="113" a="1"/>
  <c r="AZ237" i="113" s="1"/>
  <c r="AW203" i="113"/>
  <c r="AV203" i="113" a="1"/>
  <c r="AV203" i="113" s="1"/>
  <c r="AX203" i="113"/>
  <c r="AV148" i="113" a="1"/>
  <c r="AV148" i="113" s="1"/>
  <c r="AW148" i="113"/>
  <c r="AX148" i="113"/>
  <c r="AV221" i="113" a="1"/>
  <c r="AV221" i="113" s="1"/>
  <c r="AW221" i="113"/>
  <c r="AX221" i="113"/>
  <c r="AW117" i="113"/>
  <c r="AV117" i="113" a="1"/>
  <c r="AV117" i="113" s="1"/>
  <c r="AX117" i="113"/>
  <c r="AY23" i="113"/>
  <c r="AZ23" i="113" s="1" a="1"/>
  <c r="AZ23" i="113" s="1"/>
  <c r="AV9" i="113" a="1"/>
  <c r="AV9" i="113" s="1"/>
  <c r="AW9" i="113"/>
  <c r="AX9" i="113"/>
  <c r="AW150" i="113"/>
  <c r="AV150" i="113" a="1"/>
  <c r="AV150" i="113" s="1"/>
  <c r="AX150" i="113"/>
  <c r="AW192" i="113"/>
  <c r="AV192" i="113" a="1"/>
  <c r="AV192" i="113" s="1"/>
  <c r="AX192" i="113"/>
  <c r="AW219" i="113"/>
  <c r="AV219" i="113" a="1"/>
  <c r="AV219" i="113" s="1"/>
  <c r="AX219" i="113"/>
  <c r="AY140" i="113"/>
  <c r="AW26" i="113"/>
  <c r="AV26" i="113" a="1"/>
  <c r="AV26" i="113" s="1"/>
  <c r="AX26" i="113"/>
  <c r="AX22" i="113"/>
  <c r="AW22" i="113"/>
  <c r="AV22" i="113" a="1"/>
  <c r="AV22" i="113" s="1"/>
  <c r="AV210" i="113" a="1"/>
  <c r="AV210" i="113" s="1"/>
  <c r="AW210" i="113"/>
  <c r="AX210" i="113"/>
  <c r="AV131" i="113" a="1"/>
  <c r="AV131" i="113" s="1"/>
  <c r="AW131" i="113"/>
  <c r="AX131" i="113"/>
  <c r="AY187" i="113"/>
  <c r="AZ187" i="113" s="1" a="1"/>
  <c r="AZ187" i="113" s="1"/>
  <c r="AV176" i="113" a="1"/>
  <c r="AV176" i="113" s="1"/>
  <c r="AX176" i="113"/>
  <c r="AW176" i="113"/>
  <c r="AX202" i="113"/>
  <c r="AW202" i="113"/>
  <c r="AV202" i="113" a="1"/>
  <c r="AV202" i="113" s="1"/>
  <c r="AV38" i="113" a="1"/>
  <c r="AV38" i="113" s="1"/>
  <c r="AW38" i="113"/>
  <c r="AX38" i="113"/>
  <c r="AY122" i="113"/>
  <c r="AZ122" i="113" s="1" a="1"/>
  <c r="AZ122" i="113" s="1"/>
  <c r="AY160" i="113"/>
  <c r="AY186" i="113"/>
  <c r="AZ186" i="113" s="1" a="1"/>
  <c r="AZ186" i="113" s="1"/>
  <c r="AV216" i="113" a="1"/>
  <c r="AV216" i="113" s="1"/>
  <c r="AW216" i="113"/>
  <c r="AX216" i="113"/>
  <c r="AW200" i="113"/>
  <c r="AV200" i="113" a="1"/>
  <c r="AV200" i="113" s="1"/>
  <c r="AX200" i="113"/>
  <c r="AV91" i="113" a="1"/>
  <c r="AV91" i="113" s="1"/>
  <c r="AW91" i="113"/>
  <c r="AX91" i="113"/>
  <c r="AV142" i="113" a="1"/>
  <c r="AV142" i="113" s="1"/>
  <c r="AW142" i="113"/>
  <c r="AX142" i="113"/>
  <c r="AW45" i="113"/>
  <c r="AV45" i="113" a="1"/>
  <c r="AV45" i="113" s="1"/>
  <c r="AX45" i="113"/>
  <c r="AY113" i="113"/>
  <c r="AZ113" i="113" s="1" a="1"/>
  <c r="AZ113" i="113" s="1"/>
  <c r="AY205" i="113"/>
  <c r="AZ205" i="113" s="1" a="1"/>
  <c r="AZ205" i="113" s="1"/>
  <c r="AW178" i="113"/>
  <c r="AV178" i="113" a="1"/>
  <c r="AV178" i="113" s="1"/>
  <c r="AX178" i="113"/>
  <c r="AY133" i="113"/>
  <c r="AZ133" i="113" s="1" a="1"/>
  <c r="AZ133" i="113" s="1"/>
  <c r="AY158" i="113"/>
  <c r="AZ158" i="113" s="1" a="1"/>
  <c r="AZ158" i="113" s="1"/>
  <c r="AW105" i="113"/>
  <c r="AV105" i="113" a="1"/>
  <c r="AV105" i="113" s="1"/>
  <c r="AX105" i="113"/>
  <c r="AV188" i="113" a="1"/>
  <c r="AV188" i="113" s="1"/>
  <c r="AW188" i="113"/>
  <c r="AX188" i="113"/>
  <c r="AZ24" i="113" a="1"/>
  <c r="AZ24" i="113" s="1"/>
  <c r="AY141" i="113"/>
  <c r="AZ141" i="113" s="1" a="1"/>
  <c r="AZ141" i="113" s="1"/>
  <c r="AW41" i="113"/>
  <c r="AV41" i="113" a="1"/>
  <c r="AV41" i="113" s="1"/>
  <c r="AX41" i="113"/>
  <c r="AY82" i="113"/>
  <c r="AZ82" i="113" s="1" a="1"/>
  <c r="AZ82" i="113" s="1"/>
  <c r="AY77" i="113"/>
  <c r="AW128" i="113"/>
  <c r="AV128" i="113" a="1"/>
  <c r="AV128" i="113" s="1"/>
  <c r="AX128" i="113"/>
  <c r="AX194" i="113"/>
  <c r="AV194" i="113" a="1"/>
  <c r="AV194" i="113" s="1"/>
  <c r="AW194" i="113"/>
  <c r="AY37" i="113"/>
  <c r="AZ37" i="113" s="1" a="1"/>
  <c r="AZ37" i="113" s="1"/>
  <c r="AV66" i="113" a="1"/>
  <c r="AV66" i="113" s="1"/>
  <c r="AX66" i="113"/>
  <c r="AW66" i="113"/>
  <c r="AV222" i="113" a="1"/>
  <c r="AV222" i="113" s="1"/>
  <c r="AW222" i="113"/>
  <c r="AX222" i="113"/>
  <c r="AV47" i="113" a="1"/>
  <c r="AV47" i="113" s="1"/>
  <c r="AW47" i="113"/>
  <c r="AX47" i="113"/>
  <c r="AV21" i="113" a="1"/>
  <c r="AV21" i="113" s="1"/>
  <c r="AW21" i="113"/>
  <c r="AX21" i="113"/>
  <c r="AW218" i="113"/>
  <c r="AX218" i="113"/>
  <c r="AV218" i="113" a="1"/>
  <c r="AV218" i="113" s="1"/>
  <c r="AW132" i="113"/>
  <c r="AX132" i="113"/>
  <c r="AV132" i="113" a="1"/>
  <c r="AV132" i="113" s="1"/>
  <c r="AV25" i="113" a="1"/>
  <c r="AV25" i="113" s="1"/>
  <c r="AW25" i="113"/>
  <c r="AX25" i="113"/>
  <c r="AV145" i="113" a="1"/>
  <c r="AV145" i="113" s="1"/>
  <c r="AW145" i="113"/>
  <c r="AX145" i="113"/>
  <c r="AW169" i="113"/>
  <c r="AV169" i="113" a="1"/>
  <c r="AV169" i="113" s="1"/>
  <c r="AX169" i="113"/>
  <c r="AW12" i="113"/>
  <c r="AV12" i="113" a="1"/>
  <c r="AV12" i="113" s="1"/>
  <c r="AX12" i="113"/>
  <c r="AY5" i="113"/>
  <c r="AZ5" i="113" s="1" a="1"/>
  <c r="AZ5" i="113" s="1"/>
  <c r="AW168" i="113"/>
  <c r="AX168" i="113"/>
  <c r="AV168" i="113" a="1"/>
  <c r="AV168" i="113" s="1"/>
  <c r="AV151" i="113" a="1"/>
  <c r="AV151" i="113" s="1"/>
  <c r="AW151" i="113"/>
  <c r="AX151" i="113"/>
  <c r="AZ230" i="113" a="1"/>
  <c r="AZ230" i="113" s="1"/>
  <c r="AW40" i="113"/>
  <c r="AV40" i="113" a="1"/>
  <c r="AV40" i="113" s="1"/>
  <c r="AX40" i="113"/>
  <c r="AW65" i="113"/>
  <c r="AX65" i="113"/>
  <c r="AV65" i="113" a="1"/>
  <c r="AV65" i="113" s="1"/>
  <c r="AW89" i="113"/>
  <c r="AV89" i="113" a="1"/>
  <c r="AV89" i="113" s="1"/>
  <c r="AX89" i="113"/>
  <c r="AW108" i="113"/>
  <c r="AV108" i="113" a="1"/>
  <c r="AV108" i="113" s="1"/>
  <c r="AX108" i="113"/>
  <c r="AW118" i="113"/>
  <c r="AV118" i="113" a="1"/>
  <c r="AV118" i="113" s="1"/>
  <c r="AX118" i="113"/>
  <c r="AW185" i="113"/>
  <c r="AX185" i="113"/>
  <c r="AV185" i="113" a="1"/>
  <c r="AV185" i="113" s="1"/>
  <c r="AV79" i="113" a="1"/>
  <c r="AV79" i="113" s="1"/>
  <c r="AW79" i="113"/>
  <c r="AX79" i="113"/>
  <c r="AY189" i="113"/>
  <c r="AZ189" i="113" s="1" a="1"/>
  <c r="AZ189" i="113" s="1"/>
  <c r="AY100" i="113"/>
  <c r="AZ100" i="113" s="1" a="1"/>
  <c r="AZ100" i="113" s="1"/>
  <c r="AY13" i="113"/>
  <c r="AZ13" i="113" s="1" a="1"/>
  <c r="AZ13" i="113" s="1"/>
  <c r="AW129" i="113"/>
  <c r="AV129" i="113" a="1"/>
  <c r="AV129" i="113" s="1"/>
  <c r="AX129" i="113"/>
  <c r="AY103" i="113"/>
  <c r="AV46" i="113" a="1"/>
  <c r="AV46" i="113" s="1"/>
  <c r="AW46" i="113"/>
  <c r="AX46" i="113"/>
  <c r="AW15" i="113"/>
  <c r="AV15" i="113" a="1"/>
  <c r="AV15" i="113" s="1"/>
  <c r="AX15" i="113"/>
  <c r="AW124" i="113"/>
  <c r="AV124" i="113" a="1"/>
  <c r="AV124" i="113" s="1"/>
  <c r="AX124" i="113"/>
  <c r="AY199" i="113"/>
  <c r="AZ199" i="113" s="1" a="1"/>
  <c r="AZ199" i="113" s="1"/>
  <c r="AW36" i="113"/>
  <c r="AV36" i="113" a="1"/>
  <c r="AV36" i="113" s="1"/>
  <c r="AX36" i="113"/>
  <c r="AW112" i="113"/>
  <c r="AV112" i="113" a="1"/>
  <c r="AV112" i="113" s="1"/>
  <c r="AX112" i="113"/>
  <c r="AV147" i="113" a="1"/>
  <c r="AV147" i="113" s="1"/>
  <c r="AW147" i="113"/>
  <c r="AX147" i="113"/>
  <c r="AZ231" i="113" a="1"/>
  <c r="AZ231" i="113" s="1"/>
  <c r="AW212" i="113"/>
  <c r="AV212" i="113" a="1"/>
  <c r="AV212" i="113" s="1"/>
  <c r="AX212" i="113"/>
  <c r="AV14" i="113" a="1"/>
  <c r="AV14" i="113" s="1"/>
  <c r="AW14" i="113"/>
  <c r="AX14" i="113"/>
  <c r="AW190" i="113"/>
  <c r="AV190" i="113" a="1"/>
  <c r="AV190" i="113" s="1"/>
  <c r="AX190" i="113"/>
  <c r="AY28" i="113"/>
  <c r="AV19" i="113" a="1"/>
  <c r="AV19" i="113" s="1"/>
  <c r="AX19" i="113"/>
  <c r="AW19" i="113"/>
  <c r="AY166" i="113"/>
  <c r="AZ166" i="113" s="1" a="1"/>
  <c r="AZ166" i="113" s="1"/>
  <c r="AY191" i="113"/>
  <c r="AZ191" i="113" s="1" a="1"/>
  <c r="AZ191" i="113" s="1"/>
  <c r="AY116" i="113"/>
  <c r="AZ116" i="113" s="1" a="1"/>
  <c r="AZ116" i="113" s="1"/>
  <c r="AY228" i="113"/>
  <c r="AY215" i="113"/>
  <c r="AZ215" i="113" s="1" a="1"/>
  <c r="AZ215" i="113" s="1"/>
  <c r="AW86" i="113"/>
  <c r="AV86" i="113" a="1"/>
  <c r="AV86" i="113" s="1"/>
  <c r="AX86" i="113"/>
  <c r="AW240" i="113"/>
  <c r="AV240" i="113" a="1"/>
  <c r="AV240" i="113" s="1"/>
  <c r="AX240" i="113"/>
  <c r="AV223" i="113" a="1"/>
  <c r="AV223" i="113" s="1"/>
  <c r="AW223" i="113"/>
  <c r="AX223" i="113"/>
  <c r="AY146" i="113"/>
  <c r="AZ146" i="113" s="1" a="1"/>
  <c r="AZ146" i="113" s="1"/>
  <c r="AY211" i="113"/>
  <c r="AZ211" i="113" s="1" a="1"/>
  <c r="AZ211" i="113" s="1"/>
  <c r="AY157" i="113"/>
  <c r="AZ157" i="113" s="1" a="1"/>
  <c r="AZ157" i="113" s="1"/>
  <c r="AW201" i="113"/>
  <c r="AV201" i="113" a="1"/>
  <c r="AV201" i="113" s="1"/>
  <c r="AX201" i="113"/>
  <c r="AY62" i="113"/>
  <c r="AZ62" i="113" s="1" a="1"/>
  <c r="AZ62" i="113" s="1"/>
  <c r="AX32" i="113"/>
  <c r="AW32" i="113"/>
  <c r="AV32" i="113" a="1"/>
  <c r="AV32" i="113" s="1"/>
  <c r="AV59" i="113" a="1"/>
  <c r="AV59" i="113" s="1"/>
  <c r="AW59" i="113"/>
  <c r="AX59" i="113"/>
  <c r="AY88" i="113"/>
  <c r="AZ88" i="113" s="1" a="1"/>
  <c r="AZ88" i="113" s="1"/>
  <c r="AV224" i="113" a="1"/>
  <c r="AV224" i="113" s="1"/>
  <c r="AW224" i="113"/>
  <c r="AX224" i="113"/>
  <c r="AV153" i="113" a="1"/>
  <c r="AV153" i="113" s="1"/>
  <c r="AW153" i="113"/>
  <c r="AX153" i="113"/>
  <c r="AW159" i="113"/>
  <c r="AV159" i="113" a="1"/>
  <c r="AV159" i="113" s="1"/>
  <c r="AX159" i="113"/>
  <c r="AY143" i="113"/>
  <c r="AZ143" i="113" s="1" a="1"/>
  <c r="AZ143" i="113" s="1"/>
  <c r="AY225" i="113"/>
  <c r="AZ225" i="113" s="1" a="1"/>
  <c r="AZ225" i="113" s="1"/>
  <c r="AV99" i="113" a="1"/>
  <c r="AV99" i="113" s="1"/>
  <c r="AW99" i="113"/>
  <c r="AX99" i="113"/>
  <c r="AW35" i="113"/>
  <c r="AV35" i="113" a="1"/>
  <c r="AV35" i="113" s="1"/>
  <c r="AX35" i="113"/>
  <c r="AY239" i="113"/>
  <c r="AZ239" i="113" s="1" a="1"/>
  <c r="AZ239" i="113" s="1"/>
  <c r="AY177" i="113"/>
  <c r="AZ177" i="113" s="1" a="1"/>
  <c r="AZ177" i="113" s="1"/>
  <c r="AV179" i="113" a="1"/>
  <c r="AV179" i="113" s="1"/>
  <c r="AW179" i="113"/>
  <c r="AX179" i="113"/>
  <c r="AV92" i="113" a="1"/>
  <c r="AV92" i="113" s="1"/>
  <c r="AW92" i="113"/>
  <c r="AX92" i="113"/>
  <c r="AV154" i="113" a="1"/>
  <c r="AV154" i="113" s="1"/>
  <c r="AX154" i="113"/>
  <c r="AW154" i="113"/>
  <c r="AV207" i="113" a="1"/>
  <c r="AV207" i="113" s="1"/>
  <c r="AW207" i="113"/>
  <c r="AX207" i="113"/>
  <c r="AV155" i="113" a="1"/>
  <c r="AV155" i="113" s="1"/>
  <c r="AW155" i="113"/>
  <c r="AX155" i="113"/>
  <c r="AV43" i="113" a="1"/>
  <c r="AV43" i="113" s="1"/>
  <c r="AW43" i="113"/>
  <c r="AX43" i="113"/>
  <c r="AW173" i="113"/>
  <c r="AV173" i="113" a="1"/>
  <c r="AV173" i="113" s="1"/>
  <c r="AX173" i="113"/>
  <c r="AY6" i="113"/>
  <c r="AZ6" i="113" s="1" a="1"/>
  <c r="AZ6" i="113" s="1"/>
  <c r="AW198" i="113"/>
  <c r="AV198" i="113" a="1"/>
  <c r="AV198" i="113" s="1"/>
  <c r="AX198" i="113"/>
  <c r="AW70" i="113"/>
  <c r="AV70" i="113" a="1"/>
  <c r="AV70" i="113" s="1"/>
  <c r="AX70" i="113"/>
  <c r="AV217" i="113" a="1"/>
  <c r="AV217" i="113" s="1"/>
  <c r="AW217" i="113"/>
  <c r="AX217" i="113"/>
  <c r="AW20" i="113"/>
  <c r="AX20" i="113"/>
  <c r="AV20" i="113" a="1"/>
  <c r="AV20" i="113" s="1"/>
  <c r="AX213" i="113"/>
  <c r="AW213" i="113"/>
  <c r="AV213" i="113" a="1"/>
  <c r="AV213" i="113" s="1"/>
  <c r="AY8" i="113"/>
  <c r="AZ8" i="113" s="1" a="1"/>
  <c r="AZ8" i="113" s="1"/>
  <c r="AV10" i="113" a="1"/>
  <c r="AV10" i="113" s="1"/>
  <c r="AW10" i="113"/>
  <c r="AX10" i="113"/>
  <c r="AW119" i="113"/>
  <c r="AV119" i="113" a="1"/>
  <c r="AV119" i="113" s="1"/>
  <c r="AX119" i="113"/>
  <c r="AV52" i="113" a="1"/>
  <c r="AV52" i="113" s="1"/>
  <c r="AX52" i="113"/>
  <c r="AW52" i="113"/>
  <c r="AV44" i="113" a="1"/>
  <c r="AV44" i="113" s="1"/>
  <c r="AW44" i="113"/>
  <c r="AX44" i="113"/>
  <c r="AW172" i="113"/>
  <c r="AV172" i="113" a="1"/>
  <c r="AV172" i="113" s="1"/>
  <c r="AX172" i="113"/>
  <c r="AX7" i="113"/>
  <c r="AW7" i="113"/>
  <c r="AV7" i="113" a="1"/>
  <c r="AV7" i="113" s="1"/>
  <c r="AW97" i="113"/>
  <c r="AV97" i="113" a="1"/>
  <c r="AV97" i="113" s="1"/>
  <c r="AX97" i="113"/>
  <c r="AV69" i="113" a="1"/>
  <c r="AV69" i="113" s="1"/>
  <c r="AX69" i="113"/>
  <c r="AW69" i="113"/>
  <c r="AV61" i="113" a="1"/>
  <c r="AV61" i="113" s="1"/>
  <c r="AW61" i="113"/>
  <c r="AX61" i="113"/>
  <c r="AY209" i="113"/>
  <c r="AZ209" i="113" s="1" a="1"/>
  <c r="AZ209" i="113" s="1"/>
  <c r="AW184" i="113"/>
  <c r="AV184" i="113" a="1"/>
  <c r="AV184" i="113" s="1"/>
  <c r="AX184" i="113"/>
  <c r="AW42" i="113"/>
  <c r="AV42" i="113" a="1"/>
  <c r="AV42" i="113" s="1"/>
  <c r="AX42" i="113"/>
  <c r="AW94" i="113"/>
  <c r="AV94" i="113" a="1"/>
  <c r="AV94" i="113" s="1"/>
  <c r="AX94" i="113"/>
  <c r="AW87" i="113"/>
  <c r="AV87" i="113" a="1"/>
  <c r="AV87" i="113" s="1"/>
  <c r="AX87" i="113"/>
  <c r="AW170" i="113"/>
  <c r="AX170" i="113"/>
  <c r="AV170" i="113" a="1"/>
  <c r="AV170" i="113" s="1"/>
  <c r="AW204" i="113"/>
  <c r="AV204" i="113" a="1"/>
  <c r="AV204" i="113" s="1"/>
  <c r="AX204" i="113"/>
  <c r="AW162" i="113"/>
  <c r="AV162" i="113" a="1"/>
  <c r="AV162" i="113" s="1"/>
  <c r="AX162" i="113"/>
  <c r="AW84" i="113"/>
  <c r="AV84" i="113" a="1"/>
  <c r="AV84" i="113" s="1"/>
  <c r="AX84" i="113"/>
  <c r="AW164" i="113"/>
  <c r="AV164" i="113" a="1"/>
  <c r="AV164" i="113" s="1"/>
  <c r="AX164" i="113"/>
  <c r="AY193" i="113"/>
  <c r="AZ193" i="113" s="1" a="1"/>
  <c r="AZ193" i="113" s="1"/>
  <c r="AX123" i="113"/>
  <c r="AW123" i="113"/>
  <c r="AV123" i="113" a="1"/>
  <c r="AV123" i="113" s="1"/>
  <c r="AW17" i="113"/>
  <c r="AX17" i="113"/>
  <c r="AV17" i="113" a="1"/>
  <c r="AV17" i="113" s="1"/>
  <c r="AV11" i="113" a="1"/>
  <c r="AV11" i="113" s="1"/>
  <c r="AW11" i="113"/>
  <c r="AX11" i="113"/>
  <c r="AW149" i="113"/>
  <c r="AV149" i="113" a="1"/>
  <c r="AV149" i="113" s="1"/>
  <c r="AX149" i="113"/>
  <c r="AV111" i="113" a="1"/>
  <c r="AV111" i="113" s="1"/>
  <c r="AW111" i="113"/>
  <c r="AX111" i="113"/>
  <c r="AV147" i="27" a="1"/>
  <c r="AV147" i="27" s="1"/>
  <c r="AX147" i="27"/>
  <c r="AY147" i="27" s="1"/>
  <c r="AW27" i="27"/>
  <c r="AW56" i="27"/>
  <c r="AV27" i="27" a="1"/>
  <c r="AV27" i="27" s="1"/>
  <c r="AV219" i="27" a="1"/>
  <c r="AV219" i="27" s="1"/>
  <c r="AX56" i="27"/>
  <c r="AY56" i="27" s="1"/>
  <c r="AZ56" i="27" s="1" a="1"/>
  <c r="AZ56" i="27" s="1"/>
  <c r="AX50" i="27"/>
  <c r="AY50" i="27" s="1"/>
  <c r="AZ50" i="27" s="1" a="1"/>
  <c r="AZ50" i="27" s="1"/>
  <c r="AX17" i="27"/>
  <c r="AY17" i="27" s="1"/>
  <c r="AZ17" i="27" s="1" a="1"/>
  <c r="AZ17" i="27" s="1"/>
  <c r="AW219" i="27"/>
  <c r="AW233" i="27"/>
  <c r="AV230" i="27" a="1"/>
  <c r="AV230" i="27" s="1"/>
  <c r="AW230" i="27"/>
  <c r="AW17" i="27"/>
  <c r="AW50" i="27"/>
  <c r="AW221" i="27"/>
  <c r="AX221" i="27"/>
  <c r="AY221" i="27" s="1"/>
  <c r="AZ221" i="27" s="1" a="1"/>
  <c r="AZ221" i="27" s="1"/>
  <c r="AX110" i="27"/>
  <c r="AY110" i="27" s="1"/>
  <c r="AZ110" i="27" s="1" a="1"/>
  <c r="AZ110" i="27" s="1"/>
  <c r="AX223" i="27"/>
  <c r="AY223" i="27" s="1"/>
  <c r="AZ223" i="27" s="1" a="1"/>
  <c r="AZ223" i="27" s="1"/>
  <c r="AV80" i="27" a="1"/>
  <c r="AV80" i="27" s="1"/>
  <c r="AZ20" i="27" a="1"/>
  <c r="AZ20" i="27" s="1"/>
  <c r="AV110" i="27" a="1"/>
  <c r="AV110" i="27" s="1"/>
  <c r="AV227" i="27" a="1"/>
  <c r="AV227" i="27" s="1"/>
  <c r="AV117" i="27" a="1"/>
  <c r="AV117" i="27" s="1"/>
  <c r="AV216" i="27" a="1"/>
  <c r="AV216" i="27" s="1"/>
  <c r="AX233" i="27"/>
  <c r="AY233" i="27" s="1"/>
  <c r="AZ233" i="27" s="1" a="1"/>
  <c r="AZ233" i="27" s="1"/>
  <c r="AX117" i="27"/>
  <c r="AY117" i="27" s="1"/>
  <c r="AZ117" i="27" s="1" a="1"/>
  <c r="AZ117" i="27" s="1"/>
  <c r="AX84" i="27"/>
  <c r="AY84" i="27" s="1"/>
  <c r="AZ84" i="27" s="1" a="1"/>
  <c r="AZ84" i="27" s="1"/>
  <c r="AV84" i="27" a="1"/>
  <c r="AV84" i="27" s="1"/>
  <c r="AV67" i="27" a="1"/>
  <c r="AV67" i="27" s="1"/>
  <c r="AW124" i="27"/>
  <c r="AV184" i="27" a="1"/>
  <c r="AV184" i="27" s="1"/>
  <c r="AZ227" i="27" a="1"/>
  <c r="AZ227" i="27" s="1"/>
  <c r="AX124" i="27"/>
  <c r="AY124" i="27" s="1"/>
  <c r="AZ124" i="27" s="1" a="1"/>
  <c r="AZ124" i="27" s="1"/>
  <c r="AW227" i="27"/>
  <c r="AV90" i="27" a="1"/>
  <c r="AV90" i="27" s="1"/>
  <c r="AW67" i="27"/>
  <c r="AW184" i="27"/>
  <c r="AX180" i="27"/>
  <c r="AY180" i="27" s="1"/>
  <c r="AZ180" i="27" s="1" a="1"/>
  <c r="AZ180" i="27" s="1"/>
  <c r="AW172" i="27"/>
  <c r="AZ172" i="27" a="1"/>
  <c r="AZ172" i="27" s="1"/>
  <c r="AV180" i="27" a="1"/>
  <c r="AV180" i="27" s="1"/>
  <c r="AV172" i="27" a="1"/>
  <c r="AV172" i="27" s="1"/>
  <c r="AV132" i="27" a="1"/>
  <c r="AV132" i="27" s="1"/>
  <c r="AX170" i="27"/>
  <c r="AY170" i="27" s="1"/>
  <c r="AW237" i="27"/>
  <c r="AW20" i="27"/>
  <c r="AW136" i="27"/>
  <c r="AV136" i="27" a="1"/>
  <c r="AV136" i="27" s="1"/>
  <c r="AW103" i="27"/>
  <c r="AX231" i="27"/>
  <c r="AY231" i="27" s="1"/>
  <c r="AX204" i="27"/>
  <c r="AY204" i="27" s="1"/>
  <c r="AV103" i="27" a="1"/>
  <c r="AV103" i="27" s="1"/>
  <c r="AW231" i="27"/>
  <c r="AW32" i="27"/>
  <c r="AV20" i="27" a="1"/>
  <c r="AV20" i="27" s="1"/>
  <c r="AX32" i="27"/>
  <c r="AY32" i="27" s="1"/>
  <c r="AZ32" i="27" s="1" a="1"/>
  <c r="AZ32" i="27" s="1"/>
  <c r="AX152" i="27"/>
  <c r="AY152" i="27" s="1"/>
  <c r="AZ152" i="27" s="1" a="1"/>
  <c r="AZ152" i="27" s="1"/>
  <c r="AW152" i="27"/>
  <c r="AW204" i="27"/>
  <c r="AW216" i="27"/>
  <c r="AW90" i="27"/>
  <c r="AW131" i="27"/>
  <c r="AZ192" i="27" a="1"/>
  <c r="AZ192" i="27" s="1"/>
  <c r="AV25" i="27" a="1"/>
  <c r="AV25" i="27" s="1"/>
  <c r="AX25" i="27"/>
  <c r="AY25" i="27" s="1"/>
  <c r="AZ25" i="27" s="1" a="1"/>
  <c r="AZ25" i="27" s="1"/>
  <c r="AV223" i="27" a="1"/>
  <c r="AV223" i="27" s="1"/>
  <c r="AV116" i="27" a="1"/>
  <c r="AV116" i="27" s="1"/>
  <c r="AX79" i="27"/>
  <c r="AY79" i="27" s="1"/>
  <c r="AW116" i="27"/>
  <c r="AV169" i="27" a="1"/>
  <c r="AV169" i="27" s="1"/>
  <c r="AX169" i="27"/>
  <c r="AY169" i="27" s="1"/>
  <c r="AZ169" i="27" s="1" a="1"/>
  <c r="AZ169" i="27" s="1"/>
  <c r="AX237" i="27"/>
  <c r="AY237" i="27" s="1"/>
  <c r="AX213" i="27"/>
  <c r="AY213" i="27" s="1"/>
  <c r="AZ213" i="27" s="1" a="1"/>
  <c r="AZ213" i="27" s="1"/>
  <c r="AV213" i="27" a="1"/>
  <c r="AV213" i="27" s="1"/>
  <c r="AW170" i="27"/>
  <c r="AW59" i="27"/>
  <c r="AW79" i="27"/>
  <c r="AX80" i="27"/>
  <c r="AY80" i="27" s="1"/>
  <c r="AZ80" i="27" s="1" a="1"/>
  <c r="AZ80" i="27" s="1"/>
  <c r="AX59" i="27"/>
  <c r="AY59" i="27" s="1"/>
  <c r="AZ59" i="27" s="1" a="1"/>
  <c r="AZ59" i="27" s="1"/>
  <c r="AX132" i="27"/>
  <c r="AY132" i="27" s="1"/>
  <c r="AZ132" i="27" s="1" a="1"/>
  <c r="AZ132" i="27" s="1"/>
  <c r="AX220" i="27"/>
  <c r="AY220" i="27" s="1"/>
  <c r="AZ220" i="27" s="1" a="1"/>
  <c r="AZ220" i="27" s="1"/>
  <c r="AV203" i="27" a="1"/>
  <c r="AV203" i="27" s="1"/>
  <c r="AW220" i="27"/>
  <c r="AW207" i="27"/>
  <c r="AV207" i="27" a="1"/>
  <c r="AV207" i="27" s="1"/>
  <c r="AX207" i="27"/>
  <c r="AY207" i="27" s="1"/>
  <c r="AZ207" i="27" s="1" a="1"/>
  <c r="AZ207" i="27" s="1"/>
  <c r="AW157" i="27"/>
  <c r="AV157" i="27" a="1"/>
  <c r="AV157" i="27" s="1"/>
  <c r="AW10" i="27"/>
  <c r="AV10" i="27" a="1"/>
  <c r="AV10" i="27" s="1"/>
  <c r="AZ171" i="27" a="1"/>
  <c r="AZ171" i="27" s="1"/>
  <c r="AX200" i="27"/>
  <c r="AY200" i="27" s="1"/>
  <c r="AZ200" i="27" s="1" a="1"/>
  <c r="AZ200" i="27" s="1"/>
  <c r="AV200" i="27" a="1"/>
  <c r="AV200" i="27" s="1"/>
  <c r="AX203" i="27"/>
  <c r="AY203" i="27" s="1"/>
  <c r="AZ203" i="27" s="1" a="1"/>
  <c r="AZ203" i="27" s="1"/>
  <c r="AY72" i="27"/>
  <c r="AZ72" i="27" s="1" a="1"/>
  <c r="AZ72" i="27" s="1"/>
  <c r="AV192" i="27" a="1"/>
  <c r="AV192" i="27" s="1"/>
  <c r="AW91" i="27"/>
  <c r="AW164" i="27"/>
  <c r="AV164" i="27" a="1"/>
  <c r="AV164" i="27" s="1"/>
  <c r="AW192" i="27"/>
  <c r="AZ108" i="27" a="1"/>
  <c r="AZ108" i="27" s="1"/>
  <c r="AW47" i="27"/>
  <c r="AX47" i="27"/>
  <c r="AY47" i="27" s="1"/>
  <c r="AZ47" i="27" s="1" a="1"/>
  <c r="AZ47" i="27" s="1"/>
  <c r="AV47" i="27" a="1"/>
  <c r="AV47" i="27" s="1"/>
  <c r="AX176" i="27"/>
  <c r="AY176" i="27" s="1"/>
  <c r="AZ176" i="27" s="1" a="1"/>
  <c r="AZ176" i="27" s="1"/>
  <c r="AV176" i="27" a="1"/>
  <c r="AV176" i="27" s="1"/>
  <c r="AW176" i="27"/>
  <c r="AZ164" i="27" a="1"/>
  <c r="AZ164" i="27" s="1"/>
  <c r="AV70" i="27" a="1"/>
  <c r="AV70" i="27" s="1"/>
  <c r="AW70" i="27"/>
  <c r="AX70" i="27"/>
  <c r="AY70" i="27" s="1"/>
  <c r="AZ70" i="27" s="1" a="1"/>
  <c r="AZ70" i="27" s="1"/>
  <c r="AW144" i="27"/>
  <c r="AX144" i="27"/>
  <c r="AY144" i="27" s="1"/>
  <c r="AZ144" i="27" s="1" a="1"/>
  <c r="AZ144" i="27" s="1"/>
  <c r="AV144" i="27" a="1"/>
  <c r="AV144" i="27" s="1"/>
  <c r="AV76" i="27" a="1"/>
  <c r="AV76" i="27" s="1"/>
  <c r="AX76" i="27"/>
  <c r="AY76" i="27" s="1"/>
  <c r="AZ76" i="27" s="1" a="1"/>
  <c r="AZ76" i="27" s="1"/>
  <c r="AW76" i="27"/>
  <c r="AW236" i="27"/>
  <c r="AV236" i="27" a="1"/>
  <c r="AV236" i="27" s="1"/>
  <c r="AX236" i="27"/>
  <c r="AV91" i="27" a="1"/>
  <c r="AV91" i="27" s="1"/>
  <c r="AX99" i="27"/>
  <c r="AY99" i="27" s="1"/>
  <c r="AZ99" i="27" s="1" a="1"/>
  <c r="AZ99" i="27" s="1"/>
  <c r="AW99" i="27"/>
  <c r="AV99" i="27" a="1"/>
  <c r="AV99" i="27" s="1"/>
  <c r="AX239" i="27"/>
  <c r="AY239" i="27" s="1"/>
  <c r="AZ239" i="27" s="1" a="1"/>
  <c r="AZ239" i="27" s="1"/>
  <c r="AV239" i="27" a="1"/>
  <c r="AV239" i="27" s="1"/>
  <c r="AW57" i="27"/>
  <c r="AV57" i="27" a="1"/>
  <c r="AV57" i="27" s="1"/>
  <c r="AX57" i="27"/>
  <c r="AY57" i="27" s="1"/>
  <c r="AZ57" i="27" s="1" a="1"/>
  <c r="AZ57" i="27" s="1"/>
  <c r="AX159" i="27"/>
  <c r="AY159" i="27" s="1"/>
  <c r="AW159" i="27"/>
  <c r="AV159" i="27" a="1"/>
  <c r="AV159" i="27" s="1"/>
  <c r="AV131" i="27" a="1"/>
  <c r="AV131" i="27" s="1"/>
  <c r="AZ208" i="27" a="1"/>
  <c r="AZ208" i="27" s="1"/>
  <c r="AX197" i="27"/>
  <c r="AY197" i="27" s="1"/>
  <c r="AZ197" i="27" s="1" a="1"/>
  <c r="AZ197" i="27" s="1"/>
  <c r="AV197" i="27" a="1"/>
  <c r="AV197" i="27" s="1"/>
  <c r="AW197" i="27"/>
  <c r="AW37" i="27"/>
  <c r="AV37" i="27" a="1"/>
  <c r="AV37" i="27" s="1"/>
  <c r="AX37" i="27"/>
  <c r="AY37" i="27" s="1"/>
  <c r="AZ37" i="27" s="1" a="1"/>
  <c r="AZ37" i="27" s="1"/>
  <c r="AX151" i="27"/>
  <c r="AY151" i="27" s="1"/>
  <c r="AZ151" i="27" s="1" a="1"/>
  <c r="AZ151" i="27" s="1"/>
  <c r="AV151" i="27" a="1"/>
  <c r="AV151" i="27" s="1"/>
  <c r="AW151" i="27"/>
  <c r="AW183" i="27"/>
  <c r="AX183" i="27"/>
  <c r="AY183" i="27" s="1"/>
  <c r="AZ183" i="27" s="1" a="1"/>
  <c r="AZ183" i="27" s="1"/>
  <c r="AV183" i="27" a="1"/>
  <c r="AV183" i="27" s="1"/>
  <c r="AX112" i="27"/>
  <c r="AY112" i="27" s="1"/>
  <c r="AZ112" i="27" s="1" a="1"/>
  <c r="AZ112" i="27" s="1"/>
  <c r="AW112" i="27"/>
  <c r="AV112" i="27" a="1"/>
  <c r="AV112" i="27" s="1"/>
  <c r="AW179" i="27"/>
  <c r="AV179" i="27" a="1"/>
  <c r="AV179" i="27" s="1"/>
  <c r="AX179" i="27"/>
  <c r="AY179" i="27" s="1"/>
  <c r="AZ179" i="27" s="1" a="1"/>
  <c r="AZ179" i="27" s="1"/>
  <c r="AW163" i="27"/>
  <c r="AV163" i="27" a="1"/>
  <c r="AV163" i="27" s="1"/>
  <c r="AX163" i="27"/>
  <c r="AY163" i="27" s="1"/>
  <c r="AZ163" i="27" s="1" a="1"/>
  <c r="AZ163" i="27" s="1"/>
  <c r="AV43" i="27" a="1"/>
  <c r="AV43" i="27" s="1"/>
  <c r="AX43" i="27"/>
  <c r="AY43" i="27" s="1"/>
  <c r="AZ43" i="27" s="1" a="1"/>
  <c r="AZ43" i="27" s="1"/>
  <c r="AW43" i="27"/>
  <c r="AX129" i="27"/>
  <c r="AY129" i="27" s="1"/>
  <c r="AZ129" i="27" s="1" a="1"/>
  <c r="AZ129" i="27" s="1"/>
  <c r="AV129" i="27" a="1"/>
  <c r="AV129" i="27" s="1"/>
  <c r="AW129" i="27"/>
  <c r="AW83" i="27"/>
  <c r="AX83" i="27"/>
  <c r="AY83" i="27" s="1"/>
  <c r="AZ83" i="27" s="1" a="1"/>
  <c r="AZ83" i="27" s="1"/>
  <c r="AV83" i="27" a="1"/>
  <c r="AV83" i="27" s="1"/>
  <c r="AW123" i="27"/>
  <c r="AV123" i="27" a="1"/>
  <c r="AV123" i="27" s="1"/>
  <c r="AX123" i="27"/>
  <c r="AY123" i="27" s="1"/>
  <c r="AW39" i="27"/>
  <c r="AV39" i="27" a="1"/>
  <c r="AV39" i="27" s="1"/>
  <c r="AX39" i="27"/>
  <c r="AY39" i="27" s="1"/>
  <c r="AZ39" i="27" s="1" a="1"/>
  <c r="AZ39" i="27" s="1"/>
  <c r="AX149" i="27"/>
  <c r="AW149" i="27"/>
  <c r="AV149" i="27" a="1"/>
  <c r="AV149" i="27" s="1"/>
  <c r="AY229" i="27"/>
  <c r="AZ229" i="27" s="1" a="1"/>
  <c r="AZ229" i="27" s="1"/>
  <c r="AW85" i="27"/>
  <c r="AV85" i="27" a="1"/>
  <c r="AV85" i="27" s="1"/>
  <c r="AW156" i="27"/>
  <c r="AX156" i="27"/>
  <c r="AY156" i="27" s="1"/>
  <c r="AZ156" i="27" s="1" a="1"/>
  <c r="AZ156" i="27" s="1"/>
  <c r="AY68" i="27"/>
  <c r="AZ68" i="27" s="1" a="1"/>
  <c r="AZ68" i="27" s="1"/>
  <c r="AX165" i="27"/>
  <c r="AW165" i="27"/>
  <c r="AV165" i="27" a="1"/>
  <c r="AV165" i="27" s="1"/>
  <c r="AY36" i="27"/>
  <c r="AZ36" i="27" s="1" a="1"/>
  <c r="AZ36" i="27" s="1"/>
  <c r="AV24" i="27" a="1"/>
  <c r="AV24" i="27" s="1"/>
  <c r="AX24" i="27"/>
  <c r="AY24" i="27" s="1"/>
  <c r="AZ24" i="27" s="1" a="1"/>
  <c r="AZ24" i="27" s="1"/>
  <c r="AW24" i="27"/>
  <c r="AY85" i="27"/>
  <c r="AZ85" i="27" s="1" a="1"/>
  <c r="AZ85" i="27" s="1"/>
  <c r="AV215" i="27" a="1"/>
  <c r="AV215" i="27" s="1"/>
  <c r="AX215" i="27"/>
  <c r="AY215" i="27" s="1"/>
  <c r="AW215" i="27"/>
  <c r="AX69" i="27"/>
  <c r="AY69" i="27" s="1"/>
  <c r="AZ69" i="27" s="1" a="1"/>
  <c r="AZ69" i="27" s="1"/>
  <c r="AV69" i="27" a="1"/>
  <c r="AV69" i="27" s="1"/>
  <c r="AW69" i="27"/>
  <c r="AW16" i="27"/>
  <c r="AV16" i="27" a="1"/>
  <c r="AV16" i="27" s="1"/>
  <c r="AX16" i="27"/>
  <c r="AY16" i="27" s="1"/>
  <c r="AZ16" i="27" s="1" a="1"/>
  <c r="AZ16" i="27" s="1"/>
  <c r="AV63" i="27" a="1"/>
  <c r="AV63" i="27" s="1"/>
  <c r="AX63" i="27"/>
  <c r="AW63" i="27"/>
  <c r="AV33" i="27" a="1"/>
  <c r="AV33" i="27" s="1"/>
  <c r="AX33" i="27"/>
  <c r="AY33" i="27" s="1"/>
  <c r="AZ33" i="27" s="1" a="1"/>
  <c r="AZ33" i="27" s="1"/>
  <c r="AW33" i="27"/>
  <c r="AV104" i="27" a="1"/>
  <c r="AV104" i="27" s="1"/>
  <c r="AX104" i="27"/>
  <c r="AY104" i="27" s="1"/>
  <c r="AZ104" i="27" s="1" a="1"/>
  <c r="AZ104" i="27" s="1"/>
  <c r="AW104" i="27"/>
  <c r="AY91" i="27"/>
  <c r="AZ91" i="27" s="1" a="1"/>
  <c r="AZ91" i="27" s="1"/>
  <c r="AW44" i="27"/>
  <c r="AX44" i="27"/>
  <c r="AY44" i="27" s="1"/>
  <c r="AZ44" i="27" s="1" a="1"/>
  <c r="AZ44" i="27" s="1"/>
  <c r="AV44" i="27" a="1"/>
  <c r="AV44" i="27" s="1"/>
  <c r="AV75" i="27" a="1"/>
  <c r="AV75" i="27" s="1"/>
  <c r="AW75" i="27"/>
  <c r="AX75" i="27"/>
  <c r="AX175" i="27"/>
  <c r="AV175" i="27" a="1"/>
  <c r="AV175" i="27" s="1"/>
  <c r="AW175" i="27"/>
  <c r="AV155" i="27" a="1"/>
  <c r="AV155" i="27" s="1"/>
  <c r="AW155" i="27"/>
  <c r="AX155" i="27"/>
  <c r="AY155" i="27" s="1"/>
  <c r="AZ155" i="27" s="1" a="1"/>
  <c r="AZ155" i="27" s="1"/>
  <c r="AW64" i="27"/>
  <c r="AV64" i="27" a="1"/>
  <c r="AV64" i="27" s="1"/>
  <c r="AX64" i="27"/>
  <c r="AY64" i="27" s="1"/>
  <c r="AZ64" i="27" s="1" a="1"/>
  <c r="AZ64" i="27" s="1"/>
  <c r="AV115" i="27" a="1"/>
  <c r="AV115" i="27" s="1"/>
  <c r="AW115" i="27"/>
  <c r="AX115" i="27"/>
  <c r="AY115" i="27" s="1"/>
  <c r="AZ115" i="27" s="1" a="1"/>
  <c r="AZ115" i="27" s="1"/>
  <c r="AV122" i="27" a="1"/>
  <c r="AV122" i="27" s="1"/>
  <c r="AX122" i="27"/>
  <c r="AW122" i="27"/>
  <c r="AY49" i="27"/>
  <c r="AZ49" i="27" s="1" a="1"/>
  <c r="AZ49" i="27" s="1"/>
  <c r="AY28" i="27"/>
  <c r="AZ28" i="27" s="1" a="1"/>
  <c r="AZ28" i="27" s="1"/>
  <c r="AX133" i="27"/>
  <c r="AW133" i="27"/>
  <c r="AV133" i="27" a="1"/>
  <c r="AV133" i="27" s="1"/>
  <c r="AW15" i="27"/>
  <c r="AV15" i="27" a="1"/>
  <c r="AV15" i="27" s="1"/>
  <c r="AX15" i="27"/>
  <c r="AY15" i="27" s="1"/>
  <c r="AZ15" i="27" s="1" a="1"/>
  <c r="AZ15" i="27" s="1"/>
  <c r="AV205" i="27" a="1"/>
  <c r="AV205" i="27" s="1"/>
  <c r="AW205" i="27"/>
  <c r="AX205" i="27"/>
  <c r="AX55" i="27"/>
  <c r="AY55" i="27" s="1"/>
  <c r="AZ55" i="27" s="1" a="1"/>
  <c r="AZ55" i="27" s="1"/>
  <c r="AV55" i="27" a="1"/>
  <c r="AV55" i="27" s="1"/>
  <c r="AW55" i="27"/>
  <c r="AV77" i="27" a="1"/>
  <c r="AV77" i="27" s="1"/>
  <c r="AW77" i="27"/>
  <c r="AX77" i="27"/>
  <c r="AY77" i="27" s="1"/>
  <c r="AZ77" i="27" s="1" a="1"/>
  <c r="AZ77" i="27" s="1"/>
  <c r="AX73" i="27"/>
  <c r="AV73" i="27" a="1"/>
  <c r="AV73" i="27" s="1"/>
  <c r="AW73" i="27"/>
  <c r="AV52" i="27" a="1"/>
  <c r="AV52" i="27" s="1"/>
  <c r="AX52" i="27"/>
  <c r="AY52" i="27" s="1"/>
  <c r="AZ52" i="27" s="1" a="1"/>
  <c r="AZ52" i="27" s="1"/>
  <c r="AW52" i="27"/>
  <c r="AY139" i="27"/>
  <c r="AZ139" i="27" s="1" a="1"/>
  <c r="AZ139" i="27" s="1"/>
  <c r="AX224" i="27"/>
  <c r="AY224" i="27" s="1"/>
  <c r="AZ224" i="27" s="1" a="1"/>
  <c r="AZ224" i="27" s="1"/>
  <c r="AV224" i="27" a="1"/>
  <c r="AV224" i="27" s="1"/>
  <c r="AW224" i="27"/>
  <c r="AY109" i="27"/>
  <c r="AZ109" i="27" s="1" a="1"/>
  <c r="AZ109" i="27" s="1"/>
  <c r="AX89" i="27"/>
  <c r="AW89" i="27"/>
  <c r="AV89" i="27" a="1"/>
  <c r="AV89" i="27" s="1"/>
  <c r="AW145" i="27"/>
  <c r="AV145" i="27" a="1"/>
  <c r="AV145" i="27" s="1"/>
  <c r="AX145" i="27"/>
  <c r="AV35" i="27" a="1"/>
  <c r="AV35" i="27" s="1"/>
  <c r="AX35" i="27"/>
  <c r="AY35" i="27" s="1"/>
  <c r="AW35" i="27"/>
  <c r="AY29" i="27"/>
  <c r="AZ29" i="27" s="1" a="1"/>
  <c r="AZ29" i="27" s="1"/>
  <c r="AX125" i="27"/>
  <c r="AW125" i="27"/>
  <c r="AV125" i="27" a="1"/>
  <c r="AV125" i="27" s="1"/>
  <c r="AX53" i="27"/>
  <c r="AY53" i="27" s="1"/>
  <c r="AZ53" i="27" s="1" a="1"/>
  <c r="AZ53" i="27" s="1"/>
  <c r="AV53" i="27" a="1"/>
  <c r="AV53" i="27" s="1"/>
  <c r="AW53" i="27"/>
  <c r="AW135" i="27"/>
  <c r="AV135" i="27" a="1"/>
  <c r="AV135" i="27" s="1"/>
  <c r="AX135" i="27"/>
  <c r="AY135" i="27" s="1"/>
  <c r="AZ135" i="27" s="1" a="1"/>
  <c r="AZ135" i="27" s="1"/>
  <c r="AV11" i="27" a="1"/>
  <c r="AV11" i="27" s="1"/>
  <c r="AW11" i="27"/>
  <c r="AX11" i="27"/>
  <c r="AV100" i="27" a="1"/>
  <c r="AV100" i="27" s="1"/>
  <c r="AX100" i="27"/>
  <c r="AW100" i="27"/>
  <c r="AW222" i="27"/>
  <c r="AX222" i="27"/>
  <c r="AY222" i="27" s="1"/>
  <c r="AZ222" i="27" s="1" a="1"/>
  <c r="AZ222" i="27" s="1"/>
  <c r="AV222" i="27" a="1"/>
  <c r="AV222" i="27" s="1"/>
  <c r="AX71" i="27"/>
  <c r="AY71" i="27" s="1"/>
  <c r="AZ71" i="27" s="1" a="1"/>
  <c r="AZ71" i="27" s="1"/>
  <c r="AV71" i="27" a="1"/>
  <c r="AV71" i="27" s="1"/>
  <c r="AW71" i="27"/>
  <c r="AX60" i="27"/>
  <c r="AV60" i="27" a="1"/>
  <c r="AV60" i="27" s="1"/>
  <c r="AW60" i="27"/>
  <c r="AX161" i="27"/>
  <c r="AV161" i="27" a="1"/>
  <c r="AV161" i="27" s="1"/>
  <c r="AW161" i="27"/>
  <c r="AY199" i="27"/>
  <c r="AW181" i="27"/>
  <c r="AV181" i="27" a="1"/>
  <c r="AV181" i="27" s="1"/>
  <c r="AX181" i="27"/>
  <c r="AW101" i="27"/>
  <c r="AX101" i="27"/>
  <c r="AV101" i="27" a="1"/>
  <c r="AV101" i="27" s="1"/>
  <c r="AW31" i="27"/>
  <c r="AX31" i="27"/>
  <c r="AY31" i="27" s="1"/>
  <c r="AZ31" i="27" s="1" a="1"/>
  <c r="AZ31" i="27" s="1"/>
  <c r="AV31" i="27" a="1"/>
  <c r="AV31" i="27" s="1"/>
  <c r="AY198" i="27"/>
  <c r="AZ198" i="27" s="1" a="1"/>
  <c r="AZ198" i="27" s="1"/>
  <c r="AV61" i="27" a="1"/>
  <c r="AV61" i="27" s="1"/>
  <c r="AW61" i="27"/>
  <c r="AX61" i="27"/>
  <c r="AV140" i="27" a="1"/>
  <c r="AV140" i="27" s="1"/>
  <c r="AW140" i="27"/>
  <c r="AX140" i="27"/>
  <c r="AW42" i="27"/>
  <c r="AX42" i="27"/>
  <c r="AV42" i="27" a="1"/>
  <c r="AV42" i="27" s="1"/>
  <c r="AV120" i="27" a="1"/>
  <c r="AV120" i="27" s="1"/>
  <c r="AW120" i="27"/>
  <c r="AX120" i="27"/>
  <c r="AX51" i="27"/>
  <c r="AV51" i="27" a="1"/>
  <c r="AV51" i="27" s="1"/>
  <c r="AW51" i="27"/>
  <c r="AX191" i="27"/>
  <c r="AW191" i="27"/>
  <c r="AV191" i="27" a="1"/>
  <c r="AV191" i="27" s="1"/>
  <c r="AV62" i="27" a="1"/>
  <c r="AV62" i="27" s="1"/>
  <c r="AW62" i="27"/>
  <c r="AX62" i="27"/>
  <c r="AY82" i="27"/>
  <c r="AZ82" i="27" s="1" a="1"/>
  <c r="AZ82" i="27" s="1"/>
  <c r="AX22" i="27"/>
  <c r="AW22" i="27"/>
  <c r="AV22" i="27" a="1"/>
  <c r="AV22" i="27" s="1"/>
  <c r="AV211" i="27" a="1"/>
  <c r="AV211" i="27" s="1"/>
  <c r="AW211" i="27"/>
  <c r="AX211" i="27"/>
  <c r="AY211" i="27" s="1"/>
  <c r="AZ211" i="27" s="1" a="1"/>
  <c r="AZ211" i="27" s="1"/>
  <c r="AY219" i="27"/>
  <c r="AZ219" i="27" s="1" a="1"/>
  <c r="AZ219" i="27" s="1"/>
  <c r="AW21" i="27"/>
  <c r="AV21" i="27" a="1"/>
  <c r="AV21" i="27" s="1"/>
  <c r="AX21" i="27"/>
  <c r="AV121" i="27" a="1"/>
  <c r="AV121" i="27" s="1"/>
  <c r="AW121" i="27"/>
  <c r="AX121" i="27"/>
  <c r="AW41" i="27"/>
  <c r="AV41" i="27" a="1"/>
  <c r="AV41" i="27" s="1"/>
  <c r="AX41" i="27"/>
  <c r="AV201" i="27" a="1"/>
  <c r="AV201" i="27" s="1"/>
  <c r="AW201" i="27"/>
  <c r="AX201" i="27"/>
  <c r="AX40" i="27"/>
  <c r="AW40" i="27"/>
  <c r="AV40" i="27" a="1"/>
  <c r="AV40" i="27" s="1"/>
  <c r="AW81" i="27"/>
  <c r="AV81" i="27" a="1"/>
  <c r="AV81" i="27" s="1"/>
  <c r="AX81" i="27"/>
  <c r="AX102" i="27"/>
  <c r="AW102" i="27"/>
  <c r="AV102" i="27" a="1"/>
  <c r="AV102" i="27" s="1"/>
  <c r="AV141" i="27" a="1"/>
  <c r="AV141" i="27" s="1"/>
  <c r="AW141" i="27"/>
  <c r="AX141" i="27"/>
  <c r="AZ235" i="27" a="1"/>
  <c r="AZ235" i="27" s="1"/>
  <c r="AZ12" i="27" a="1"/>
  <c r="AZ12" i="27" s="1"/>
  <c r="AX86" i="27"/>
  <c r="AV86" i="27" a="1"/>
  <c r="AV86" i="27" s="1"/>
  <c r="AW86" i="27"/>
  <c r="AX106" i="27"/>
  <c r="AW106" i="27"/>
  <c r="AV106" i="27" a="1"/>
  <c r="AV106" i="27" s="1"/>
  <c r="AY136" i="27"/>
  <c r="AZ136" i="27" s="1" a="1"/>
  <c r="AZ136" i="27" s="1"/>
  <c r="AZ195" i="27" a="1"/>
  <c r="AZ195" i="27" s="1"/>
  <c r="AY119" i="27"/>
  <c r="AZ119" i="27" s="1" a="1"/>
  <c r="AZ119" i="27" s="1"/>
  <c r="AZ88" i="27" a="1"/>
  <c r="AZ88" i="27" s="1"/>
  <c r="AX118" i="27"/>
  <c r="AV118" i="27" a="1"/>
  <c r="AV118" i="27" s="1"/>
  <c r="AW118" i="27"/>
  <c r="AV8" i="27" a="1"/>
  <c r="AV8" i="27" s="1"/>
  <c r="AW8" i="27"/>
  <c r="AX8" i="27"/>
  <c r="AW126" i="27"/>
  <c r="AX126" i="27"/>
  <c r="AV126" i="27" a="1"/>
  <c r="AV126" i="27" s="1"/>
  <c r="AV78" i="27" a="1"/>
  <c r="AV78" i="27" s="1"/>
  <c r="AX78" i="27"/>
  <c r="AW78" i="27"/>
  <c r="AY173" i="27"/>
  <c r="AZ173" i="27" s="1" a="1"/>
  <c r="AZ173" i="27" s="1"/>
  <c r="AZ206" i="27" a="1"/>
  <c r="AZ206" i="27" s="1"/>
  <c r="AX178" i="27"/>
  <c r="AV178" i="27" a="1"/>
  <c r="AV178" i="27" s="1"/>
  <c r="AW178" i="27"/>
  <c r="AZ166" i="27" a="1"/>
  <c r="AZ166" i="27" s="1"/>
  <c r="AW38" i="27"/>
  <c r="AX38" i="27"/>
  <c r="AV38" i="27" a="1"/>
  <c r="AV38" i="27" s="1"/>
  <c r="AW18" i="27"/>
  <c r="AX18" i="27"/>
  <c r="AV18" i="27" a="1"/>
  <c r="AV18" i="27" s="1"/>
  <c r="AV46" i="27" a="1"/>
  <c r="AV46" i="27" s="1"/>
  <c r="AX46" i="27"/>
  <c r="AW46" i="27"/>
  <c r="AX66" i="27"/>
  <c r="AW66" i="27"/>
  <c r="AV66" i="27" a="1"/>
  <c r="AV66" i="27" s="1"/>
  <c r="AW146" i="27"/>
  <c r="AV146" i="27" a="1"/>
  <c r="AV146" i="27" s="1"/>
  <c r="AX146" i="27"/>
  <c r="AV26" i="27" a="1"/>
  <c r="AV26" i="27" s="1"/>
  <c r="AW26" i="27"/>
  <c r="AX26" i="27"/>
  <c r="AY218" i="27"/>
  <c r="AV226" i="27" a="1"/>
  <c r="AV226" i="27" s="1"/>
  <c r="AX226" i="27"/>
  <c r="AW226" i="27"/>
  <c r="AY13" i="27"/>
  <c r="AZ13" i="27" s="1" a="1"/>
  <c r="AZ13" i="27" s="1"/>
  <c r="AV48" i="27" a="1"/>
  <c r="AV48" i="27" s="1"/>
  <c r="AW48" i="27"/>
  <c r="AX48" i="27"/>
  <c r="AY19" i="27"/>
  <c r="AY234" i="27"/>
  <c r="AZ234" i="27" s="1" a="1"/>
  <c r="AZ234" i="27" s="1"/>
  <c r="AZ147" i="27" l="1" a="1"/>
  <c r="AZ147" i="27" s="1"/>
  <c r="AZ127" i="27" a="1"/>
  <c r="AZ127" i="27" s="1"/>
  <c r="AZ220" i="113" a="1"/>
  <c r="AZ220" i="113" s="1"/>
  <c r="AZ77" i="113" a="1"/>
  <c r="AZ77" i="113" s="1"/>
  <c r="AY34" i="113"/>
  <c r="AZ34" i="113" s="1" a="1"/>
  <c r="AZ34" i="113" s="1"/>
  <c r="AZ161" i="113" a="1"/>
  <c r="AZ161" i="113" s="1"/>
  <c r="AZ120" i="113" a="1"/>
  <c r="AZ120" i="113" s="1"/>
  <c r="AY181" i="113"/>
  <c r="AZ181" i="113" s="1" a="1"/>
  <c r="AZ181" i="113" s="1"/>
  <c r="AZ195" i="113" a="1"/>
  <c r="AZ195" i="113" s="1"/>
  <c r="AZ90" i="113" a="1"/>
  <c r="AZ90" i="113" s="1"/>
  <c r="AZ50" i="113" a="1"/>
  <c r="AZ50" i="113" s="1"/>
  <c r="AZ68" i="113" a="1"/>
  <c r="AZ68" i="113" s="1"/>
  <c r="AY206" i="113"/>
  <c r="AZ206" i="113" s="1" a="1"/>
  <c r="AZ206" i="113" s="1"/>
  <c r="AY114" i="113"/>
  <c r="AZ114" i="113" s="1" a="1"/>
  <c r="AZ114" i="113" s="1"/>
  <c r="AZ121" i="113" a="1"/>
  <c r="AZ121" i="113" s="1"/>
  <c r="AZ48" i="113" a="1"/>
  <c r="AZ48" i="113" s="1"/>
  <c r="AZ160" i="113" a="1"/>
  <c r="AZ160" i="113" s="1"/>
  <c r="AY42" i="113"/>
  <c r="AZ42" i="113" s="1" a="1"/>
  <c r="AZ42" i="113" s="1"/>
  <c r="AY15" i="113"/>
  <c r="AZ15" i="113" s="1" a="1"/>
  <c r="AZ15" i="113" s="1"/>
  <c r="AY210" i="113"/>
  <c r="AZ210" i="113" s="1" a="1"/>
  <c r="AZ210" i="113" s="1"/>
  <c r="AY7" i="113"/>
  <c r="AZ7" i="113" s="1" a="1"/>
  <c r="AZ7" i="113" s="1"/>
  <c r="AY213" i="113"/>
  <c r="AZ213" i="113" s="1" a="1"/>
  <c r="AZ213" i="113" s="1"/>
  <c r="AY41" i="113"/>
  <c r="AZ41" i="113" s="1" a="1"/>
  <c r="AZ41" i="113" s="1"/>
  <c r="AY91" i="113"/>
  <c r="AZ91" i="113" s="1" a="1"/>
  <c r="AZ91" i="113" s="1"/>
  <c r="AY147" i="113"/>
  <c r="AZ147" i="113" s="1" a="1"/>
  <c r="AZ147" i="113" s="1"/>
  <c r="AY40" i="113"/>
  <c r="AZ40" i="113" s="1" a="1"/>
  <c r="AZ40" i="113" s="1"/>
  <c r="AY20" i="113"/>
  <c r="AZ20" i="113" s="1" a="1"/>
  <c r="AZ20" i="113" s="1"/>
  <c r="AY219" i="113"/>
  <c r="AZ219" i="113" s="1" a="1"/>
  <c r="AZ219" i="113" s="1"/>
  <c r="AY172" i="113"/>
  <c r="AZ172" i="113" s="1" a="1"/>
  <c r="AZ172" i="113" s="1"/>
  <c r="AY9" i="113"/>
  <c r="AZ9" i="113" s="1" a="1"/>
  <c r="AZ9" i="113" s="1"/>
  <c r="AY154" i="113"/>
  <c r="AZ154" i="113" s="1" a="1"/>
  <c r="AZ154" i="113" s="1"/>
  <c r="AY21" i="113"/>
  <c r="AZ21" i="113" s="1" a="1"/>
  <c r="AZ21" i="113" s="1"/>
  <c r="AY176" i="113"/>
  <c r="AZ176" i="113" s="1" a="1"/>
  <c r="AZ176" i="113" s="1"/>
  <c r="AY184" i="113"/>
  <c r="AZ184" i="113" s="1" a="1"/>
  <c r="AZ184" i="113" s="1"/>
  <c r="AY159" i="113"/>
  <c r="AZ159" i="113" s="1" a="1"/>
  <c r="AZ159" i="113" s="1"/>
  <c r="AY79" i="113"/>
  <c r="AZ79" i="113" s="1" a="1"/>
  <c r="AZ79" i="113" s="1"/>
  <c r="AY216" i="113"/>
  <c r="AZ216" i="113" s="1" a="1"/>
  <c r="AZ216" i="113" s="1"/>
  <c r="AY22" i="113"/>
  <c r="AZ22" i="113" s="1" a="1"/>
  <c r="AZ22" i="113" s="1"/>
  <c r="AY240" i="113"/>
  <c r="AZ240" i="113" s="1" a="1"/>
  <c r="AZ240" i="113" s="1"/>
  <c r="AY26" i="113"/>
  <c r="AY117" i="113"/>
  <c r="AZ117" i="113" s="1" a="1"/>
  <c r="AZ117" i="113" s="1"/>
  <c r="AZ103" i="113" a="1"/>
  <c r="AZ103" i="113" s="1"/>
  <c r="AY169" i="113"/>
  <c r="AZ169" i="113" s="1" a="1"/>
  <c r="AZ169" i="113" s="1"/>
  <c r="AY119" i="113"/>
  <c r="AZ119" i="113" s="1" a="1"/>
  <c r="AZ119" i="113" s="1"/>
  <c r="AY224" i="113"/>
  <c r="AY36" i="113"/>
  <c r="AZ36" i="113" s="1" a="1"/>
  <c r="AZ36" i="113" s="1"/>
  <c r="AY170" i="113"/>
  <c r="AZ170" i="113" s="1" a="1"/>
  <c r="AZ170" i="113" s="1"/>
  <c r="AY129" i="113"/>
  <c r="AY118" i="113"/>
  <c r="AZ118" i="113" s="1" a="1"/>
  <c r="AZ118" i="113" s="1"/>
  <c r="AY151" i="113"/>
  <c r="AY145" i="113"/>
  <c r="AZ145" i="113" s="1" a="1"/>
  <c r="AZ145" i="113" s="1"/>
  <c r="AY142" i="113"/>
  <c r="AZ142" i="113" s="1" a="1"/>
  <c r="AZ142" i="113" s="1"/>
  <c r="AY89" i="113"/>
  <c r="AZ89" i="113" s="1" a="1"/>
  <c r="AZ89" i="113" s="1"/>
  <c r="AY132" i="113"/>
  <c r="AZ132" i="113" s="1" a="1"/>
  <c r="AZ132" i="113" s="1"/>
  <c r="AY150" i="113"/>
  <c r="AZ150" i="113" s="1" a="1"/>
  <c r="AZ150" i="113" s="1"/>
  <c r="AY149" i="113"/>
  <c r="AZ149" i="113" s="1" a="1"/>
  <c r="AZ149" i="113" s="1"/>
  <c r="AY218" i="113"/>
  <c r="AZ218" i="113" s="1" a="1"/>
  <c r="AZ218" i="113" s="1"/>
  <c r="AY200" i="113"/>
  <c r="AZ200" i="113" s="1" a="1"/>
  <c r="AZ200" i="113" s="1"/>
  <c r="AZ85" i="113" a="1"/>
  <c r="AZ85" i="113" s="1"/>
  <c r="AZ73" i="113" a="1"/>
  <c r="AZ73" i="113" s="1"/>
  <c r="AY32" i="113"/>
  <c r="AZ32" i="113" s="1" a="1"/>
  <c r="AZ32" i="113" s="1"/>
  <c r="AY179" i="113"/>
  <c r="AZ179" i="113" s="1" a="1"/>
  <c r="AZ179" i="113" s="1"/>
  <c r="AY17" i="113"/>
  <c r="AZ17" i="113" s="1" a="1"/>
  <c r="AZ17" i="113" s="1"/>
  <c r="AZ28" i="113" a="1"/>
  <c r="AZ28" i="113" s="1"/>
  <c r="AY105" i="113"/>
  <c r="AZ105" i="113" s="1" a="1"/>
  <c r="AZ105" i="113" s="1"/>
  <c r="AY123" i="113"/>
  <c r="AZ123" i="113" s="1" a="1"/>
  <c r="AZ123" i="113" s="1"/>
  <c r="AZ29" i="113" a="1"/>
  <c r="AZ29" i="113" s="1"/>
  <c r="AY222" i="113"/>
  <c r="AZ222" i="113" s="1" a="1"/>
  <c r="AZ222" i="113" s="1"/>
  <c r="AY148" i="113"/>
  <c r="AZ148" i="113" s="1" a="1"/>
  <c r="AZ148" i="113" s="1"/>
  <c r="AY65" i="113"/>
  <c r="AZ65" i="113" s="1" a="1"/>
  <c r="AZ65" i="113" s="1"/>
  <c r="AY202" i="113"/>
  <c r="AZ202" i="113" s="1" a="1"/>
  <c r="AZ202" i="113" s="1"/>
  <c r="AY223" i="113"/>
  <c r="AZ223" i="113" s="1" a="1"/>
  <c r="AZ223" i="113" s="1"/>
  <c r="AY46" i="113"/>
  <c r="AZ46" i="113" s="1" a="1"/>
  <c r="AZ46" i="113" s="1"/>
  <c r="AY204" i="113"/>
  <c r="AY43" i="113"/>
  <c r="AZ43" i="113" s="1" a="1"/>
  <c r="AZ43" i="113" s="1"/>
  <c r="AY201" i="113"/>
  <c r="AY19" i="113"/>
  <c r="AZ19" i="113" s="1" a="1"/>
  <c r="AZ19" i="113" s="1"/>
  <c r="AY47" i="113"/>
  <c r="AZ47" i="113" s="1" a="1"/>
  <c r="AZ47" i="113" s="1"/>
  <c r="AY188" i="113"/>
  <c r="AZ188" i="113" s="1" a="1"/>
  <c r="AZ188" i="113" s="1"/>
  <c r="AY45" i="113"/>
  <c r="AZ45" i="113" s="1" a="1"/>
  <c r="AZ45" i="113" s="1"/>
  <c r="AY52" i="113"/>
  <c r="AZ52" i="113" s="1" a="1"/>
  <c r="AZ52" i="113" s="1"/>
  <c r="AY86" i="113"/>
  <c r="AZ86" i="113" s="1" a="1"/>
  <c r="AZ86" i="113" s="1"/>
  <c r="AZ140" i="113" a="1"/>
  <c r="AZ140" i="113" s="1"/>
  <c r="AY61" i="113"/>
  <c r="AZ61" i="113" s="1" a="1"/>
  <c r="AZ61" i="113" s="1"/>
  <c r="AY217" i="113"/>
  <c r="AZ217" i="113" s="1" a="1"/>
  <c r="AZ217" i="113" s="1"/>
  <c r="AY190" i="113"/>
  <c r="AZ190" i="113" s="1" a="1"/>
  <c r="AZ190" i="113" s="1"/>
  <c r="AY87" i="113"/>
  <c r="AZ87" i="113" s="1" a="1"/>
  <c r="AZ87" i="113" s="1"/>
  <c r="AY69" i="113"/>
  <c r="AZ69" i="113" s="1" a="1"/>
  <c r="AZ69" i="113" s="1"/>
  <c r="AY10" i="113"/>
  <c r="AZ10" i="113" s="1" a="1"/>
  <c r="AZ10" i="113" s="1"/>
  <c r="AY155" i="113"/>
  <c r="AZ155" i="113" s="1" a="1"/>
  <c r="AZ155" i="113" s="1"/>
  <c r="AY14" i="113"/>
  <c r="AZ14" i="113" s="1" a="1"/>
  <c r="AZ14" i="113" s="1"/>
  <c r="AY131" i="113"/>
  <c r="AZ131" i="113" s="1" a="1"/>
  <c r="AZ131" i="113" s="1"/>
  <c r="AY70" i="113"/>
  <c r="AZ70" i="113" s="1" a="1"/>
  <c r="AZ70" i="113" s="1"/>
  <c r="AY35" i="113"/>
  <c r="AZ35" i="113" s="1" a="1"/>
  <c r="AZ35" i="113" s="1"/>
  <c r="AY108" i="113"/>
  <c r="AZ108" i="113" s="1" a="1"/>
  <c r="AZ108" i="113" s="1"/>
  <c r="AY25" i="113"/>
  <c r="AZ25" i="113" s="1" a="1"/>
  <c r="AZ25" i="113" s="1"/>
  <c r="AY192" i="113"/>
  <c r="AZ192" i="113" s="1" a="1"/>
  <c r="AZ192" i="113" s="1"/>
  <c r="AY99" i="113"/>
  <c r="AZ99" i="113" s="1" a="1"/>
  <c r="AZ99" i="113" s="1"/>
  <c r="AY84" i="113"/>
  <c r="AZ84" i="113" s="1" a="1"/>
  <c r="AZ84" i="113" s="1"/>
  <c r="AY59" i="113"/>
  <c r="AZ59" i="113" s="1" a="1"/>
  <c r="AZ59" i="113" s="1"/>
  <c r="AY162" i="113"/>
  <c r="AZ162" i="113" s="1" a="1"/>
  <c r="AZ162" i="113" s="1"/>
  <c r="AY173" i="113"/>
  <c r="AZ173" i="113" s="1" a="1"/>
  <c r="AZ173" i="113" s="1"/>
  <c r="AZ180" i="113" a="1"/>
  <c r="AZ180" i="113" s="1"/>
  <c r="AY12" i="113"/>
  <c r="AZ12" i="113" s="1" a="1"/>
  <c r="AZ12" i="113" s="1"/>
  <c r="AY194" i="113"/>
  <c r="AZ194" i="113" s="1" a="1"/>
  <c r="AZ194" i="113" s="1"/>
  <c r="AY185" i="113"/>
  <c r="AZ185" i="113" s="1" a="1"/>
  <c r="AZ185" i="113" s="1"/>
  <c r="AY221" i="113"/>
  <c r="AZ221" i="113" s="1" a="1"/>
  <c r="AZ221" i="113" s="1"/>
  <c r="AY164" i="113"/>
  <c r="AZ164" i="113" s="1" a="1"/>
  <c r="AZ164" i="113" s="1"/>
  <c r="AY168" i="113"/>
  <c r="AZ168" i="113" s="1" a="1"/>
  <c r="AZ168" i="113" s="1"/>
  <c r="AY38" i="113"/>
  <c r="AZ38" i="113" s="1" a="1"/>
  <c r="AZ38" i="113" s="1"/>
  <c r="AY203" i="113"/>
  <c r="AY198" i="113"/>
  <c r="AZ198" i="113" s="1" a="1"/>
  <c r="AZ198" i="113" s="1"/>
  <c r="AZ156" i="113" a="1"/>
  <c r="AZ156" i="113" s="1"/>
  <c r="AY11" i="113"/>
  <c r="AZ11" i="113" s="1" a="1"/>
  <c r="AZ11" i="113" s="1"/>
  <c r="AY44" i="113"/>
  <c r="AZ44" i="113" s="1" a="1"/>
  <c r="AZ44" i="113" s="1"/>
  <c r="AY92" i="113"/>
  <c r="AZ92" i="113" s="1" a="1"/>
  <c r="AZ92" i="113" s="1"/>
  <c r="AY153" i="113"/>
  <c r="AZ153" i="113" s="1" a="1"/>
  <c r="AZ153" i="113" s="1"/>
  <c r="AY112" i="113"/>
  <c r="AZ112" i="113" s="1" a="1"/>
  <c r="AZ112" i="113" s="1"/>
  <c r="AY128" i="113"/>
  <c r="AZ128" i="113" s="1" a="1"/>
  <c r="AZ128" i="113" s="1"/>
  <c r="AY97" i="113"/>
  <c r="AZ97" i="113" s="1" a="1"/>
  <c r="AZ97" i="113" s="1"/>
  <c r="AY111" i="113"/>
  <c r="AZ111" i="113" s="1" a="1"/>
  <c r="AZ111" i="113" s="1"/>
  <c r="AY94" i="113"/>
  <c r="AZ94" i="113" s="1" a="1"/>
  <c r="AZ94" i="113" s="1"/>
  <c r="AY207" i="113"/>
  <c r="AZ207" i="113" s="1" a="1"/>
  <c r="AZ207" i="113" s="1"/>
  <c r="AZ228" i="113" a="1"/>
  <c r="AZ228" i="113" s="1"/>
  <c r="AY212" i="113"/>
  <c r="AZ212" i="113" s="1" a="1"/>
  <c r="AZ212" i="113" s="1"/>
  <c r="AY124" i="113"/>
  <c r="AZ124" i="113" s="1" a="1"/>
  <c r="AZ124" i="113" s="1"/>
  <c r="AY66" i="113"/>
  <c r="AZ66" i="113" s="1" a="1"/>
  <c r="AZ66" i="113" s="1"/>
  <c r="AY178" i="113"/>
  <c r="AZ178" i="113" s="1" a="1"/>
  <c r="AZ178" i="113" s="1"/>
  <c r="AZ170" i="27" a="1"/>
  <c r="AZ170" i="27" s="1"/>
  <c r="AZ237" i="27" a="1"/>
  <c r="AZ237" i="27" s="1"/>
  <c r="AZ159" i="27" a="1"/>
  <c r="AZ159" i="27" s="1"/>
  <c r="AZ204" i="27" a="1"/>
  <c r="AZ204" i="27" s="1"/>
  <c r="AZ79" i="27" a="1"/>
  <c r="AZ79" i="27" s="1"/>
  <c r="AZ123" i="27" a="1"/>
  <c r="AZ123" i="27" s="1"/>
  <c r="AY236" i="27"/>
  <c r="AZ236" i="27" s="1" a="1"/>
  <c r="AZ236" i="27" s="1"/>
  <c r="AY149" i="27"/>
  <c r="AZ149" i="27" s="1" a="1"/>
  <c r="AZ149" i="27" s="1"/>
  <c r="AZ215" i="27" a="1"/>
  <c r="AZ215" i="27" s="1"/>
  <c r="AY73" i="27"/>
  <c r="AZ73" i="27" s="1" a="1"/>
  <c r="AZ73" i="27" s="1"/>
  <c r="AY122" i="27"/>
  <c r="AZ122" i="27" s="1" a="1"/>
  <c r="AZ122" i="27" s="1"/>
  <c r="AY145" i="27"/>
  <c r="AZ145" i="27" s="1" a="1"/>
  <c r="AZ145" i="27" s="1"/>
  <c r="AZ35" i="27" a="1"/>
  <c r="AZ35" i="27" s="1"/>
  <c r="AY89" i="27"/>
  <c r="AZ89" i="27" s="1" a="1"/>
  <c r="AZ89" i="27" s="1"/>
  <c r="AY205" i="27"/>
  <c r="AZ205" i="27" s="1" a="1"/>
  <c r="AZ205" i="27" s="1"/>
  <c r="AY63" i="27"/>
  <c r="AZ63" i="27" s="1" a="1"/>
  <c r="AZ63" i="27" s="1"/>
  <c r="AY175" i="27"/>
  <c r="AZ175" i="27" s="1" a="1"/>
  <c r="AZ175" i="27" s="1"/>
  <c r="AY165" i="27"/>
  <c r="AZ165" i="27" s="1" a="1"/>
  <c r="AZ165" i="27" s="1"/>
  <c r="AY133" i="27"/>
  <c r="AZ133" i="27" s="1" a="1"/>
  <c r="AZ133" i="27" s="1"/>
  <c r="AY75" i="27"/>
  <c r="AZ75" i="27" s="1" a="1"/>
  <c r="AZ75" i="27" s="1"/>
  <c r="AY125" i="27"/>
  <c r="AZ125" i="27" s="1" a="1"/>
  <c r="AZ125" i="27" s="1"/>
  <c r="AY60" i="27"/>
  <c r="AZ60" i="27" s="1" a="1"/>
  <c r="AZ60" i="27" s="1"/>
  <c r="AY121" i="27"/>
  <c r="AZ121" i="27" s="1" a="1"/>
  <c r="AZ121" i="27" s="1"/>
  <c r="AY62" i="27"/>
  <c r="AZ62" i="27" s="1" a="1"/>
  <c r="AZ62" i="27" s="1"/>
  <c r="AY101" i="27"/>
  <c r="AZ101" i="27" s="1" a="1"/>
  <c r="AZ101" i="27" s="1"/>
  <c r="AY21" i="27"/>
  <c r="AZ21" i="27" s="1" a="1"/>
  <c r="AZ21" i="27" s="1"/>
  <c r="AY181" i="27"/>
  <c r="AZ181" i="27" s="1" a="1"/>
  <c r="AZ181" i="27" s="1"/>
  <c r="AY100" i="27"/>
  <c r="AZ100" i="27" s="1" a="1"/>
  <c r="AZ100" i="27" s="1"/>
  <c r="AZ199" i="27" a="1"/>
  <c r="AZ199" i="27" s="1"/>
  <c r="AY11" i="27"/>
  <c r="AZ11" i="27" s="1" a="1"/>
  <c r="AZ11" i="27" s="1"/>
  <c r="AY42" i="27"/>
  <c r="AZ42" i="27" s="1" a="1"/>
  <c r="AZ42" i="27" s="1"/>
  <c r="AY40" i="27"/>
  <c r="AZ40" i="27" s="1" a="1"/>
  <c r="AZ40" i="27" s="1"/>
  <c r="AY141" i="27"/>
  <c r="AZ141" i="27" s="1" a="1"/>
  <c r="AZ141" i="27" s="1"/>
  <c r="AY201" i="27"/>
  <c r="AZ201" i="27" s="1" a="1"/>
  <c r="AZ201" i="27" s="1"/>
  <c r="AY191" i="27"/>
  <c r="AZ191" i="27" s="1" a="1"/>
  <c r="AZ191" i="27" s="1"/>
  <c r="AY61" i="27"/>
  <c r="AZ61" i="27" s="1" a="1"/>
  <c r="AZ61" i="27" s="1"/>
  <c r="AY140" i="27"/>
  <c r="AZ140" i="27" s="1" a="1"/>
  <c r="AZ140" i="27" s="1"/>
  <c r="AY51" i="27"/>
  <c r="AY81" i="27"/>
  <c r="AZ81" i="27" s="1" a="1"/>
  <c r="AZ81" i="27" s="1"/>
  <c r="AY102" i="27"/>
  <c r="AZ102" i="27" s="1" a="1"/>
  <c r="AZ102" i="27" s="1"/>
  <c r="AY22" i="27"/>
  <c r="AZ22" i="27" s="1" a="1"/>
  <c r="AZ22" i="27" s="1"/>
  <c r="AZ231" i="27" a="1"/>
  <c r="AZ231" i="27" s="1"/>
  <c r="AZ218" i="27" a="1"/>
  <c r="AZ218" i="27" s="1"/>
  <c r="AY161" i="27"/>
  <c r="AZ161" i="27" s="1" a="1"/>
  <c r="AZ161" i="27" s="1"/>
  <c r="AY120" i="27"/>
  <c r="AZ120" i="27" s="1" a="1"/>
  <c r="AZ120" i="27" s="1"/>
  <c r="AY41" i="27"/>
  <c r="AZ41" i="27" s="1" a="1"/>
  <c r="AZ41" i="27" s="1"/>
  <c r="AY26" i="27"/>
  <c r="AZ26" i="27" s="1" a="1"/>
  <c r="AZ26" i="27" s="1"/>
  <c r="AY38" i="27"/>
  <c r="AZ38" i="27" s="1" a="1"/>
  <c r="AZ38" i="27" s="1"/>
  <c r="AY126" i="27"/>
  <c r="AZ126" i="27" s="1" a="1"/>
  <c r="AZ126" i="27" s="1"/>
  <c r="AY106" i="27"/>
  <c r="AY146" i="27"/>
  <c r="AY8" i="27"/>
  <c r="AY86" i="27"/>
  <c r="AZ86" i="27" s="1" a="1"/>
  <c r="AZ86" i="27" s="1"/>
  <c r="AZ19" i="27" a="1"/>
  <c r="AZ19" i="27" s="1"/>
  <c r="AY178" i="27"/>
  <c r="AZ178" i="27" s="1" a="1"/>
  <c r="AZ178" i="27" s="1"/>
  <c r="AY48" i="27"/>
  <c r="AZ48" i="27" s="1" a="1"/>
  <c r="AZ48" i="27" s="1"/>
  <c r="AY46" i="27"/>
  <c r="AZ46" i="27" s="1" a="1"/>
  <c r="AZ46" i="27" s="1"/>
  <c r="AY118" i="27"/>
  <c r="AZ118" i="27" s="1" a="1"/>
  <c r="AZ118" i="27" s="1"/>
  <c r="AY66" i="27"/>
  <c r="AZ66" i="27" s="1" a="1"/>
  <c r="AZ66" i="27" s="1"/>
  <c r="AY78" i="27"/>
  <c r="AZ78" i="27" s="1" a="1"/>
  <c r="AZ78" i="27" s="1"/>
  <c r="AY226" i="27"/>
  <c r="AZ226" i="27" s="1" a="1"/>
  <c r="AZ226" i="27" s="1"/>
  <c r="AY18" i="27"/>
  <c r="AZ18" i="27" s="1" a="1"/>
  <c r="AZ18" i="27" s="1"/>
  <c r="AZ151" i="113" l="1" a="1"/>
  <c r="AZ151" i="113" s="1"/>
  <c r="AZ129" i="113" a="1"/>
  <c r="AZ129" i="113" s="1"/>
  <c r="AZ203" i="113" a="1"/>
  <c r="AZ203" i="113" s="1"/>
  <c r="AZ201" i="113" a="1"/>
  <c r="AZ201" i="113" s="1"/>
  <c r="AZ204" i="113" a="1"/>
  <c r="AZ204" i="113" s="1"/>
  <c r="AZ26" i="113" a="1"/>
  <c r="AZ26" i="113" s="1"/>
  <c r="AZ224" i="113" a="1"/>
  <c r="AZ224" i="113" s="1"/>
  <c r="AZ51" i="27" a="1"/>
  <c r="AZ51" i="27" s="1"/>
  <c r="AZ8" i="27" a="1"/>
  <c r="AZ8" i="27" s="1"/>
  <c r="AZ146" i="27" a="1"/>
  <c r="AZ146" i="27" s="1"/>
  <c r="AZ106" i="27" a="1"/>
  <c r="AZ106" i="27" s="1"/>
  <c r="AZ1" i="113" l="1"/>
  <c r="A4" i="94"/>
  <c r="A5" i="94"/>
  <c r="A6" i="94"/>
  <c r="AC69" i="93" l="1"/>
  <c r="AE15" i="93"/>
  <c r="AF60" i="93"/>
  <c r="AC9" i="93"/>
  <c r="AC70" i="93"/>
  <c r="AE18" i="93"/>
  <c r="AF62" i="93"/>
  <c r="AD62" i="93"/>
  <c r="AF30" i="93"/>
  <c r="AC74" i="93"/>
  <c r="AE23" i="93"/>
  <c r="AF70" i="93"/>
  <c r="AD20" i="93"/>
  <c r="AC22" i="93"/>
  <c r="AD82" i="93"/>
  <c r="AC82" i="93"/>
  <c r="AE30" i="93"/>
  <c r="AF79" i="93"/>
  <c r="AD59" i="93"/>
  <c r="AD61" i="93"/>
  <c r="AD10" i="93"/>
  <c r="AE39" i="93"/>
  <c r="AF82" i="93"/>
  <c r="AE42" i="93"/>
  <c r="AD58" i="93"/>
  <c r="AC39" i="93"/>
  <c r="AF42" i="93"/>
  <c r="AD22" i="93"/>
  <c r="AE50" i="93"/>
  <c r="AD50" i="93"/>
  <c r="AD60" i="93"/>
  <c r="AF22" i="93"/>
  <c r="AD70" i="93"/>
  <c r="AC42" i="93"/>
  <c r="AE9" i="93"/>
  <c r="AD30" i="93"/>
  <c r="AE62" i="93"/>
  <c r="AE65" i="93"/>
  <c r="AC10" i="93"/>
  <c r="AF20" i="93"/>
  <c r="AF41" i="93"/>
  <c r="AC49" i="93"/>
  <c r="AE10" i="93"/>
  <c r="AF45" i="93"/>
  <c r="AE69" i="93"/>
  <c r="AC43" i="93"/>
  <c r="AC50" i="93"/>
  <c r="AE11" i="93"/>
  <c r="AF49" i="93"/>
  <c r="AE70" i="93"/>
  <c r="AE82" i="93"/>
  <c r="AC29" i="93"/>
  <c r="AC55" i="93"/>
  <c r="AE12" i="93"/>
  <c r="AF50" i="93"/>
  <c r="AE48" i="93"/>
  <c r="AE60" i="93"/>
  <c r="AD24" i="93"/>
  <c r="AE45" i="93"/>
  <c r="AC48" i="93"/>
  <c r="AF8" i="93"/>
  <c r="AF26" i="93"/>
  <c r="AF35" i="93"/>
  <c r="AF21" i="93"/>
  <c r="AC31" i="93"/>
  <c r="AC24" i="93"/>
  <c r="AF27" i="93"/>
  <c r="AD46" i="93"/>
  <c r="AE26" i="93"/>
  <c r="AE37" i="93"/>
  <c r="AF17" i="93"/>
  <c r="AF67" i="93"/>
  <c r="AD56" i="93"/>
  <c r="AC62" i="93"/>
  <c r="AF40" i="93"/>
  <c r="AE29" i="93"/>
  <c r="AC58" i="93"/>
  <c r="AD57" i="93"/>
  <c r="AF77" i="93"/>
  <c r="AE28" i="93"/>
  <c r="AD47" i="93"/>
  <c r="AE74" i="93"/>
  <c r="AE41" i="93"/>
  <c r="AE80" i="93"/>
  <c r="AD31" i="93"/>
  <c r="AC72" i="93"/>
  <c r="AE78" i="93"/>
  <c r="AF36" i="93"/>
  <c r="AC40" i="93"/>
  <c r="AD63" i="93"/>
  <c r="AC26" i="93"/>
  <c r="AC57" i="93"/>
  <c r="AF64" i="93"/>
  <c r="AD42" i="93"/>
  <c r="AD9" i="93"/>
  <c r="AD77" i="93"/>
  <c r="AF18" i="93"/>
  <c r="AD13" i="93"/>
  <c r="AD67" i="93"/>
  <c r="AC46" i="93"/>
  <c r="AC77" i="93"/>
  <c r="AD71" i="93"/>
  <c r="AE24" i="93"/>
  <c r="AE21" i="93"/>
  <c r="AC33" i="93"/>
  <c r="AC59" i="93"/>
  <c r="AE8" i="93"/>
  <c r="AE55" i="93"/>
  <c r="AD43" i="93"/>
  <c r="AF25" i="93"/>
  <c r="AC41" i="93"/>
  <c r="AF29" i="93"/>
  <c r="AD38" i="93"/>
  <c r="AE33" i="93"/>
  <c r="AE22" i="93"/>
  <c r="AC18" i="93"/>
  <c r="AC15" i="93"/>
  <c r="AE36" i="93"/>
  <c r="AF65" i="93"/>
  <c r="AE38" i="93"/>
  <c r="AF32" i="93"/>
  <c r="AC67" i="93"/>
  <c r="AF55" i="93"/>
  <c r="AC17" i="93"/>
  <c r="AD49" i="93"/>
  <c r="AD35" i="93"/>
  <c r="AC20" i="93"/>
  <c r="AC63" i="93"/>
  <c r="AC68" i="93"/>
  <c r="AF57" i="93"/>
  <c r="AC19" i="93"/>
  <c r="AC37" i="93"/>
  <c r="AE57" i="93"/>
  <c r="AF34" i="93"/>
  <c r="AF75" i="93"/>
  <c r="AD45" i="93"/>
  <c r="AD75" i="93"/>
  <c r="AE53" i="93"/>
  <c r="AE66" i="93"/>
  <c r="AE56" i="93"/>
  <c r="AE81" i="93"/>
  <c r="AF73" i="93"/>
  <c r="AF71" i="93"/>
  <c r="AC14" i="93"/>
  <c r="AF24" i="93"/>
  <c r="AD55" i="93"/>
  <c r="AE67" i="93"/>
  <c r="AF74" i="93"/>
  <c r="AF13" i="93"/>
  <c r="AF58" i="93"/>
  <c r="AD36" i="93"/>
  <c r="AD26" i="93"/>
  <c r="AD40" i="93"/>
  <c r="AF37" i="93"/>
  <c r="AF51" i="93"/>
  <c r="AC34" i="93"/>
  <c r="AC23" i="93"/>
  <c r="AD29" i="93"/>
  <c r="AC11" i="93"/>
  <c r="AF48" i="93"/>
  <c r="AF10" i="93"/>
  <c r="AC66" i="93"/>
  <c r="AC79" i="93"/>
  <c r="AF43" i="93"/>
  <c r="AF15" i="93"/>
  <c r="AD34" i="93"/>
  <c r="AE77" i="93"/>
  <c r="AD73" i="93"/>
  <c r="AD32" i="93"/>
  <c r="AE47" i="93"/>
  <c r="AF14" i="93"/>
  <c r="AE25" i="93"/>
  <c r="AE32" i="93"/>
  <c r="AC28" i="93"/>
  <c r="AC54" i="93"/>
  <c r="AF33" i="93"/>
  <c r="AD11" i="93"/>
  <c r="AE49" i="93"/>
  <c r="AD19" i="93"/>
  <c r="AF52" i="93"/>
  <c r="AF9" i="93"/>
  <c r="AE40" i="93"/>
  <c r="AD66" i="93"/>
  <c r="AC76" i="93"/>
  <c r="AC78" i="93"/>
  <c r="AC32" i="93"/>
  <c r="AD79" i="93"/>
  <c r="AC27" i="93"/>
  <c r="AC25" i="93"/>
  <c r="AD81" i="93"/>
  <c r="AE71" i="93"/>
  <c r="AE27" i="93"/>
  <c r="AD25" i="93"/>
  <c r="AF68" i="93"/>
  <c r="AD65" i="93"/>
  <c r="AE35" i="93"/>
  <c r="AE19" i="93"/>
  <c r="AF61" i="93"/>
  <c r="AF31" i="93"/>
  <c r="AE63" i="93"/>
  <c r="AD74" i="93"/>
  <c r="AF44" i="93"/>
  <c r="AE73" i="93"/>
  <c r="AF56" i="93"/>
  <c r="AF76" i="93"/>
  <c r="AF54" i="93"/>
  <c r="AE76" i="93"/>
  <c r="AC64" i="93"/>
  <c r="AE72" i="93"/>
  <c r="AC61" i="93"/>
  <c r="AE51" i="93"/>
  <c r="AF39" i="93"/>
  <c r="AD72" i="93"/>
  <c r="AC16" i="93"/>
  <c r="AF16" i="93"/>
  <c r="AD16" i="93"/>
  <c r="AD8" i="93"/>
  <c r="AC75" i="93"/>
  <c r="AD69" i="93"/>
  <c r="AE17" i="93"/>
  <c r="AF81" i="93"/>
  <c r="AF19" i="93"/>
  <c r="AE64" i="93"/>
  <c r="AD54" i="93"/>
  <c r="AD51" i="93"/>
  <c r="AF23" i="93"/>
  <c r="AE52" i="93"/>
  <c r="AC73" i="93"/>
  <c r="AC36" i="93"/>
  <c r="AF66" i="93"/>
  <c r="AF47" i="93"/>
  <c r="AE31" i="93"/>
  <c r="AD52" i="93"/>
  <c r="AD12" i="93"/>
  <c r="AE43" i="93"/>
  <c r="AC53" i="93"/>
  <c r="AF53" i="93"/>
  <c r="AD76" i="93"/>
  <c r="AF12" i="93"/>
  <c r="AD15" i="93"/>
  <c r="AE44" i="93"/>
  <c r="AE79" i="93"/>
  <c r="AE46" i="93"/>
  <c r="AC13" i="93"/>
  <c r="AD17" i="93"/>
  <c r="AD78" i="93"/>
  <c r="AE13" i="93"/>
  <c r="AD68" i="93"/>
  <c r="AE68" i="93"/>
  <c r="AE20" i="93"/>
  <c r="AD37" i="93"/>
  <c r="AE61" i="93"/>
  <c r="AD14" i="93"/>
  <c r="AF38" i="93"/>
  <c r="AE58" i="93"/>
  <c r="AE59" i="93"/>
  <c r="AD33" i="93"/>
  <c r="AE16" i="93"/>
  <c r="AE75" i="93"/>
  <c r="AD23" i="93"/>
  <c r="AC65" i="93"/>
  <c r="AF72" i="93"/>
  <c r="AC35" i="93"/>
  <c r="AD64" i="93"/>
  <c r="AD18" i="93"/>
  <c r="AC8" i="93"/>
  <c r="AE54" i="93"/>
  <c r="AF59" i="93"/>
  <c r="AD39" i="93"/>
  <c r="AC51" i="93"/>
  <c r="AD21" i="93"/>
  <c r="AF11" i="93"/>
  <c r="AC44" i="93"/>
  <c r="AC71" i="93"/>
  <c r="AC52" i="93"/>
  <c r="AC56" i="93"/>
  <c r="AC45" i="93"/>
  <c r="AC80" i="93"/>
  <c r="AF69" i="93"/>
  <c r="AD44" i="93"/>
  <c r="AF78" i="93"/>
  <c r="AD28" i="93"/>
  <c r="AC38" i="93"/>
  <c r="AD48" i="93"/>
  <c r="AC47" i="93"/>
  <c r="AD41" i="93"/>
  <c r="AC21" i="93"/>
  <c r="AF80" i="93"/>
  <c r="AD80" i="93"/>
  <c r="AC12" i="93"/>
  <c r="AF63" i="93"/>
  <c r="AE34" i="93"/>
  <c r="AC81" i="93"/>
  <c r="AF28" i="93"/>
  <c r="AC60" i="93"/>
  <c r="AC30" i="93"/>
  <c r="AD27" i="93"/>
  <c r="AE14" i="93"/>
  <c r="AF46" i="93"/>
  <c r="AD53" i="93"/>
  <c r="BA21" i="27" a="1"/>
  <c r="BA21" i="27" s="1"/>
  <c r="BA41" i="27" a="1"/>
  <c r="BA41" i="27" s="1"/>
  <c r="BA61" i="27" a="1"/>
  <c r="BA61" i="27" s="1"/>
  <c r="BA81" i="27" a="1"/>
  <c r="BA81" i="27" s="1"/>
  <c r="BA101" i="27" a="1"/>
  <c r="BA101" i="27" s="1"/>
  <c r="BA121" i="27" a="1"/>
  <c r="BA121" i="27" s="1"/>
  <c r="BA141" i="27" a="1"/>
  <c r="BA141" i="27" s="1"/>
  <c r="BA22" i="27" a="1"/>
  <c r="BA22" i="27" s="1"/>
  <c r="BA42" i="27" a="1"/>
  <c r="BA42" i="27" s="1"/>
  <c r="BA62" i="27" a="1"/>
  <c r="BA62" i="27" s="1"/>
  <c r="BA82" i="27" a="1"/>
  <c r="BA82" i="27" s="1"/>
  <c r="BA102" i="27" a="1"/>
  <c r="BA102" i="27" s="1"/>
  <c r="BA122" i="27" a="1"/>
  <c r="BA122" i="27" s="1"/>
  <c r="BA142" i="27" a="1"/>
  <c r="BA142" i="27" s="1"/>
  <c r="BA182" i="27" a="1"/>
  <c r="BA182" i="27" s="1"/>
  <c r="BA202" i="27" a="1"/>
  <c r="BA202" i="27" s="1"/>
  <c r="BA222" i="27" a="1"/>
  <c r="BA222" i="27" s="1"/>
  <c r="BC9" i="27" a="1"/>
  <c r="BC9" i="27" s="1"/>
  <c r="BC31" i="27" a="1"/>
  <c r="BC31" i="27" s="1"/>
  <c r="BC54" i="27" a="1"/>
  <c r="BC54" i="27" s="1"/>
  <c r="BC75" i="27" a="1"/>
  <c r="BC75" i="27" s="1"/>
  <c r="BC97" i="27" a="1"/>
  <c r="BC97" i="27" s="1"/>
  <c r="BC119" i="27" a="1"/>
  <c r="BC119" i="27" s="1"/>
  <c r="BA23" i="27" a="1"/>
  <c r="BA23" i="27" s="1"/>
  <c r="BA43" i="27" a="1"/>
  <c r="BA43" i="27" s="1"/>
  <c r="BA63" i="27" a="1"/>
  <c r="BA63" i="27" s="1"/>
  <c r="BA103" i="27" a="1"/>
  <c r="BA103" i="27" s="1"/>
  <c r="BA123" i="27" a="1"/>
  <c r="BA123" i="27" s="1"/>
  <c r="BA143" i="27" a="1"/>
  <c r="BA143" i="27" s="1"/>
  <c r="BA163" i="27" a="1"/>
  <c r="BA163" i="27" s="1"/>
  <c r="BA183" i="27" a="1"/>
  <c r="BA183" i="27" s="1"/>
  <c r="BA203" i="27" a="1"/>
  <c r="BA203" i="27" s="1"/>
  <c r="BA223" i="27" a="1"/>
  <c r="BA223" i="27" s="1"/>
  <c r="BC10" i="27" a="1"/>
  <c r="BC10" i="27" s="1"/>
  <c r="BC32" i="27" a="1"/>
  <c r="BC32" i="27" s="1"/>
  <c r="BC55" i="27" a="1"/>
  <c r="BC55" i="27" s="1"/>
  <c r="BC76" i="27" a="1"/>
  <c r="BC76" i="27" s="1"/>
  <c r="BC98" i="27" a="1"/>
  <c r="BC98" i="27" s="1"/>
  <c r="BA24" i="27" a="1"/>
  <c r="BA24" i="27" s="1"/>
  <c r="BA44" i="27" a="1"/>
  <c r="BA44" i="27" s="1"/>
  <c r="BA64" i="27" a="1"/>
  <c r="BA64" i="27" s="1"/>
  <c r="BA84" i="27" a="1"/>
  <c r="BA84" i="27" s="1"/>
  <c r="BA104" i="27" a="1"/>
  <c r="BA104" i="27" s="1"/>
  <c r="BA124" i="27" a="1"/>
  <c r="BA124" i="27" s="1"/>
  <c r="BA144" i="27" a="1"/>
  <c r="BA144" i="27" s="1"/>
  <c r="BA164" i="27" a="1"/>
  <c r="BA164" i="27" s="1"/>
  <c r="BA184" i="27" a="1"/>
  <c r="BA184" i="27" s="1"/>
  <c r="BA204" i="27" a="1"/>
  <c r="BA204" i="27" s="1"/>
  <c r="BA224" i="27" a="1"/>
  <c r="BA224" i="27" s="1"/>
  <c r="BC11" i="27" a="1"/>
  <c r="BC11" i="27" s="1"/>
  <c r="BC33" i="27" a="1"/>
  <c r="BC33" i="27" s="1"/>
  <c r="BC56" i="27" a="1"/>
  <c r="BC56" i="27" s="1"/>
  <c r="BC77" i="27" a="1"/>
  <c r="BC77" i="27" s="1"/>
  <c r="BC99" i="27" a="1"/>
  <c r="BC99" i="27" s="1"/>
  <c r="BA25" i="27" a="1"/>
  <c r="BA25" i="27" s="1"/>
  <c r="BA45" i="27" a="1"/>
  <c r="BA45" i="27" s="1"/>
  <c r="BA65" i="27" a="1"/>
  <c r="BA65" i="27" s="1"/>
  <c r="BA85" i="27" a="1"/>
  <c r="BA85" i="27" s="1"/>
  <c r="BA105" i="27" a="1"/>
  <c r="BA105" i="27" s="1"/>
  <c r="BA125" i="27" a="1"/>
  <c r="BA125" i="27" s="1"/>
  <c r="BA145" i="27" a="1"/>
  <c r="BA145" i="27" s="1"/>
  <c r="BA165" i="27" a="1"/>
  <c r="BA165" i="27" s="1"/>
  <c r="BA185" i="27" a="1"/>
  <c r="BA185" i="27" s="1"/>
  <c r="BA205" i="27" a="1"/>
  <c r="BA205" i="27" s="1"/>
  <c r="BA225" i="27" a="1"/>
  <c r="BA225" i="27" s="1"/>
  <c r="BC12" i="27" a="1"/>
  <c r="BC12" i="27" s="1"/>
  <c r="BC34" i="27" a="1"/>
  <c r="BC34" i="27" s="1"/>
  <c r="BC57" i="27" a="1"/>
  <c r="BC57" i="27" s="1"/>
  <c r="BC79" i="27" a="1"/>
  <c r="BC79" i="27" s="1"/>
  <c r="BC100" i="27" a="1"/>
  <c r="BC100" i="27" s="1"/>
  <c r="BA26" i="27" a="1"/>
  <c r="BA26" i="27" s="1"/>
  <c r="BA46" i="27" a="1"/>
  <c r="BA46" i="27" s="1"/>
  <c r="BA66" i="27" a="1"/>
  <c r="BA66" i="27" s="1"/>
  <c r="BA86" i="27" a="1"/>
  <c r="BA86" i="27" s="1"/>
  <c r="BA106" i="27" a="1"/>
  <c r="BA106" i="27" s="1"/>
  <c r="BA126" i="27" a="1"/>
  <c r="BA126" i="27" s="1"/>
  <c r="BA146" i="27" a="1"/>
  <c r="BA146" i="27" s="1"/>
  <c r="BA166" i="27" a="1"/>
  <c r="BA166" i="27" s="1"/>
  <c r="BA186" i="27" a="1"/>
  <c r="BA186" i="27" s="1"/>
  <c r="BA206" i="27" a="1"/>
  <c r="BA206" i="27" s="1"/>
  <c r="BA226" i="27" a="1"/>
  <c r="BA226" i="27" s="1"/>
  <c r="BC13" i="27" a="1"/>
  <c r="BC13" i="27" s="1"/>
  <c r="BC35" i="27" a="1"/>
  <c r="BC35" i="27" s="1"/>
  <c r="BC58" i="27" a="1"/>
  <c r="BC58" i="27" s="1"/>
  <c r="BC80" i="27" a="1"/>
  <c r="BC80" i="27" s="1"/>
  <c r="BC101" i="27" a="1"/>
  <c r="BC101" i="27" s="1"/>
  <c r="BA27" i="27" a="1"/>
  <c r="BA27" i="27" s="1"/>
  <c r="BA47" i="27" a="1"/>
  <c r="BA47" i="27" s="1"/>
  <c r="BA67" i="27" a="1"/>
  <c r="BA67" i="27" s="1"/>
  <c r="BA87" i="27" a="1"/>
  <c r="BA87" i="27" s="1"/>
  <c r="BA107" i="27" a="1"/>
  <c r="BA107" i="27" s="1"/>
  <c r="BA127" i="27" a="1"/>
  <c r="BA127" i="27" s="1"/>
  <c r="BA147" i="27" a="1"/>
  <c r="BA147" i="27" s="1"/>
  <c r="BA167" i="27" a="1"/>
  <c r="BA167" i="27" s="1"/>
  <c r="BA187" i="27" a="1"/>
  <c r="BA187" i="27" s="1"/>
  <c r="BA207" i="27" a="1"/>
  <c r="BA207" i="27" s="1"/>
  <c r="BA227" i="27" a="1"/>
  <c r="BA227" i="27" s="1"/>
  <c r="BA8" i="27" a="1"/>
  <c r="BA8" i="27" s="1"/>
  <c r="BA28" i="27" a="1"/>
  <c r="BA28" i="27" s="1"/>
  <c r="BA48" i="27" a="1"/>
  <c r="BA48" i="27" s="1"/>
  <c r="BA68" i="27" a="1"/>
  <c r="BA68" i="27" s="1"/>
  <c r="BA88" i="27" a="1"/>
  <c r="BA88" i="27" s="1"/>
  <c r="BA108" i="27" a="1"/>
  <c r="BA108" i="27" s="1"/>
  <c r="BA128" i="27" a="1"/>
  <c r="BA128" i="27" s="1"/>
  <c r="BA148" i="27" a="1"/>
  <c r="BA148" i="27" s="1"/>
  <c r="BA168" i="27" a="1"/>
  <c r="BA168" i="27" s="1"/>
  <c r="BA188" i="27" a="1"/>
  <c r="BA188" i="27" s="1"/>
  <c r="BA208" i="27" a="1"/>
  <c r="BA208" i="27" s="1"/>
  <c r="BA228" i="27" a="1"/>
  <c r="BA228" i="27" s="1"/>
  <c r="BC15" i="27" a="1"/>
  <c r="BC15" i="27" s="1"/>
  <c r="BC37" i="27" a="1"/>
  <c r="BC37" i="27" s="1"/>
  <c r="BC60" i="27" a="1"/>
  <c r="BC60" i="27" s="1"/>
  <c r="BC82" i="27" a="1"/>
  <c r="BC82" i="27" s="1"/>
  <c r="BC103" i="27" a="1"/>
  <c r="BC103" i="27" s="1"/>
  <c r="BA9" i="27" a="1"/>
  <c r="BA9" i="27" s="1"/>
  <c r="BA29" i="27" a="1"/>
  <c r="BA29" i="27" s="1"/>
  <c r="BA49" i="27" a="1"/>
  <c r="BA49" i="27" s="1"/>
  <c r="BA69" i="27" a="1"/>
  <c r="BA69" i="27" s="1"/>
  <c r="BA89" i="27" a="1"/>
  <c r="BA89" i="27" s="1"/>
  <c r="BA109" i="27" a="1"/>
  <c r="BA109" i="27" s="1"/>
  <c r="BA129" i="27" a="1"/>
  <c r="BA129" i="27" s="1"/>
  <c r="BA149" i="27" a="1"/>
  <c r="BA149" i="27" s="1"/>
  <c r="BA169" i="27" a="1"/>
  <c r="BA169" i="27" s="1"/>
  <c r="BA189" i="27" a="1"/>
  <c r="BA189" i="27" s="1"/>
  <c r="BA209" i="27" a="1"/>
  <c r="BA209" i="27" s="1"/>
  <c r="BA229" i="27" a="1"/>
  <c r="BA229" i="27" s="1"/>
  <c r="BC16" i="27" a="1"/>
  <c r="BC16" i="27" s="1"/>
  <c r="BC39" i="27" a="1"/>
  <c r="BC39" i="27" s="1"/>
  <c r="BC61" i="27" a="1"/>
  <c r="BC61" i="27" s="1"/>
  <c r="BC104" i="27" a="1"/>
  <c r="BC104" i="27" s="1"/>
  <c r="BA10" i="27" a="1"/>
  <c r="BA10" i="27" s="1"/>
  <c r="BA30" i="27" a="1"/>
  <c r="BA30" i="27" s="1"/>
  <c r="BA50" i="27" a="1"/>
  <c r="BA50" i="27" s="1"/>
  <c r="BA70" i="27" a="1"/>
  <c r="BA70" i="27" s="1"/>
  <c r="BA90" i="27" a="1"/>
  <c r="BA90" i="27" s="1"/>
  <c r="BA110" i="27" a="1"/>
  <c r="BA110" i="27" s="1"/>
  <c r="BA130" i="27" a="1"/>
  <c r="BA130" i="27" s="1"/>
  <c r="BA150" i="27" a="1"/>
  <c r="BA150" i="27" s="1"/>
  <c r="BA170" i="27" a="1"/>
  <c r="BA170" i="27" s="1"/>
  <c r="BA190" i="27" a="1"/>
  <c r="BA190" i="27" s="1"/>
  <c r="BA210" i="27" a="1"/>
  <c r="BA210" i="27" s="1"/>
  <c r="BA230" i="27" a="1"/>
  <c r="BA230" i="27" s="1"/>
  <c r="BC17" i="27" a="1"/>
  <c r="BC17" i="27" s="1"/>
  <c r="BC40" i="27" a="1"/>
  <c r="BC62" i="27" a="1"/>
  <c r="BC62" i="27" s="1"/>
  <c r="BC84" i="27" a="1"/>
  <c r="BC84" i="27" s="1"/>
  <c r="BC105" i="27" a="1"/>
  <c r="BC105" i="27" s="1"/>
  <c r="BA11" i="27" a="1"/>
  <c r="BA11" i="27" s="1"/>
  <c r="BA31" i="27" a="1"/>
  <c r="BA31" i="27" s="1"/>
  <c r="BA51" i="27" a="1"/>
  <c r="BA51" i="27" s="1"/>
  <c r="BA71" i="27" a="1"/>
  <c r="BA71" i="27" s="1"/>
  <c r="BA91" i="27" a="1"/>
  <c r="BA91" i="27" s="1"/>
  <c r="BA111" i="27" a="1"/>
  <c r="BA111" i="27" s="1"/>
  <c r="BA131" i="27" a="1"/>
  <c r="BA131" i="27" s="1"/>
  <c r="BA151" i="27" a="1"/>
  <c r="BA151" i="27" s="1"/>
  <c r="BA171" i="27" a="1"/>
  <c r="BA171" i="27" s="1"/>
  <c r="BA191" i="27" a="1"/>
  <c r="BA191" i="27" s="1"/>
  <c r="BA13" i="27" a="1"/>
  <c r="BA13" i="27" s="1"/>
  <c r="BA33" i="27" a="1"/>
  <c r="BA33" i="27" s="1"/>
  <c r="BA53" i="27" a="1"/>
  <c r="BA53" i="27" s="1"/>
  <c r="BA73" i="27" a="1"/>
  <c r="BA73" i="27" s="1"/>
  <c r="BA93" i="27" a="1"/>
  <c r="BA93" i="27" s="1"/>
  <c r="BA113" i="27" a="1"/>
  <c r="BA113" i="27" s="1"/>
  <c r="BA133" i="27" a="1"/>
  <c r="BA133" i="27" s="1"/>
  <c r="BA153" i="27" a="1"/>
  <c r="BA153" i="27" s="1"/>
  <c r="BA173" i="27" a="1"/>
  <c r="BA173" i="27" s="1"/>
  <c r="BA193" i="27" a="1"/>
  <c r="BA193" i="27" s="1"/>
  <c r="BA213" i="27" a="1"/>
  <c r="BA213" i="27" s="1"/>
  <c r="BA233" i="27" a="1"/>
  <c r="BA233" i="27" s="1"/>
  <c r="BC21" i="27" a="1"/>
  <c r="BC21" i="27" s="1"/>
  <c r="BC43" i="27" a="1"/>
  <c r="BC43" i="27" s="1"/>
  <c r="BA14" i="27" a="1"/>
  <c r="BA14" i="27" s="1"/>
  <c r="BA34" i="27" a="1"/>
  <c r="BA34" i="27" s="1"/>
  <c r="BA54" i="27" a="1"/>
  <c r="BA54" i="27" s="1"/>
  <c r="BA74" i="27" a="1"/>
  <c r="BA74" i="27" s="1"/>
  <c r="BA94" i="27" a="1"/>
  <c r="BA94" i="27" s="1"/>
  <c r="BA114" i="27" a="1"/>
  <c r="BA114" i="27" s="1"/>
  <c r="BA134" i="27" a="1"/>
  <c r="BA134" i="27" s="1"/>
  <c r="BA154" i="27" a="1"/>
  <c r="BA154" i="27" s="1"/>
  <c r="BA174" i="27" a="1"/>
  <c r="BA174" i="27" s="1"/>
  <c r="BA194" i="27" a="1"/>
  <c r="BA194" i="27" s="1"/>
  <c r="BA214" i="27" a="1"/>
  <c r="BA214" i="27" s="1"/>
  <c r="BA234" i="27" a="1"/>
  <c r="BA234" i="27" s="1"/>
  <c r="BC22" i="27" a="1"/>
  <c r="BC22" i="27" s="1"/>
  <c r="BC44" i="27" a="1"/>
  <c r="BC44" i="27" s="1"/>
  <c r="BC67" i="27" a="1"/>
  <c r="BC67" i="27" s="1"/>
  <c r="BC89" i="27" a="1"/>
  <c r="BC89" i="27" s="1"/>
  <c r="BC110" i="27" a="1"/>
  <c r="BC110" i="27" s="1"/>
  <c r="BA17" i="27" a="1"/>
  <c r="BA17" i="27" s="1"/>
  <c r="BA37" i="27" a="1"/>
  <c r="BA37" i="27" s="1"/>
  <c r="BA57" i="27" a="1"/>
  <c r="BA57" i="27" s="1"/>
  <c r="BA77" i="27" a="1"/>
  <c r="BA77" i="27" s="1"/>
  <c r="BA97" i="27" a="1"/>
  <c r="BA97" i="27" s="1"/>
  <c r="BA117" i="27" a="1"/>
  <c r="BA117" i="27" s="1"/>
  <c r="BA137" i="27" a="1"/>
  <c r="BA137" i="27" s="1"/>
  <c r="BA157" i="27" a="1"/>
  <c r="BA157" i="27" s="1"/>
  <c r="BA177" i="27" a="1"/>
  <c r="BA177" i="27" s="1"/>
  <c r="BA197" i="27" a="1"/>
  <c r="BA197" i="27" s="1"/>
  <c r="BA217" i="27" a="1"/>
  <c r="BA217" i="27" s="1"/>
  <c r="BA237" i="27" a="1"/>
  <c r="BC25" i="27" a="1"/>
  <c r="BC25" i="27" s="1"/>
  <c r="BC49" i="27" a="1"/>
  <c r="BC49" i="27" s="1"/>
  <c r="BC70" i="27" a="1"/>
  <c r="BC70" i="27" s="1"/>
  <c r="BC92" i="27" a="1"/>
  <c r="BC92" i="27" s="1"/>
  <c r="BC113" i="27" a="1"/>
  <c r="BC113" i="27" s="1"/>
  <c r="BA18" i="27" a="1"/>
  <c r="BA18" i="27" s="1"/>
  <c r="BA38" i="27" a="1"/>
  <c r="BA38" i="27" s="1"/>
  <c r="BA58" i="27" a="1"/>
  <c r="BA58" i="27" s="1"/>
  <c r="BA78" i="27" a="1"/>
  <c r="BA98" i="27" a="1"/>
  <c r="BA98" i="27" s="1"/>
  <c r="BA118" i="27" a="1"/>
  <c r="BA118" i="27" s="1"/>
  <c r="BA138" i="27" a="1"/>
  <c r="BA138" i="27" s="1"/>
  <c r="BA158" i="27" a="1"/>
  <c r="BA158" i="27" s="1"/>
  <c r="BA178" i="27" a="1"/>
  <c r="BA178" i="27" s="1"/>
  <c r="BA198" i="27" a="1"/>
  <c r="BA198" i="27" s="1"/>
  <c r="BA218" i="27" a="1"/>
  <c r="BA218" i="27" s="1"/>
  <c r="BA238" i="27" a="1"/>
  <c r="BA238" i="27" s="1"/>
  <c r="BC27" i="27" a="1"/>
  <c r="BC27" i="27" s="1"/>
  <c r="BC50" i="27" a="1"/>
  <c r="BC50" i="27" s="1"/>
  <c r="BC71" i="27" a="1"/>
  <c r="BC71" i="27" s="1"/>
  <c r="BC93" i="27" a="1"/>
  <c r="BC93" i="27" s="1"/>
  <c r="BC114" i="27" a="1"/>
  <c r="BC114" i="27" s="1"/>
  <c r="BA19" i="27" a="1"/>
  <c r="BA19" i="27" s="1"/>
  <c r="BA39" i="27" a="1"/>
  <c r="BA39" i="27" s="1"/>
  <c r="BA59" i="27" a="1"/>
  <c r="BA59" i="27" s="1"/>
  <c r="BA79" i="27" a="1"/>
  <c r="BA79" i="27" s="1"/>
  <c r="BA99" i="27" a="1"/>
  <c r="BA99" i="27" s="1"/>
  <c r="BA119" i="27" a="1"/>
  <c r="BA119" i="27" s="1"/>
  <c r="BA139" i="27" a="1"/>
  <c r="BA139" i="27" s="1"/>
  <c r="BA159" i="27" a="1"/>
  <c r="BA159" i="27" s="1"/>
  <c r="BA179" i="27" a="1"/>
  <c r="BA179" i="27" s="1"/>
  <c r="BA199" i="27" a="1"/>
  <c r="BA199" i="27" s="1"/>
  <c r="BA219" i="27" a="1"/>
  <c r="BA219" i="27" s="1"/>
  <c r="BA239" i="27" a="1"/>
  <c r="BA239" i="27" s="1"/>
  <c r="BC28" i="27" a="1"/>
  <c r="BC28" i="27" s="1"/>
  <c r="BC51" i="27" a="1"/>
  <c r="BC51" i="27" s="1"/>
  <c r="BC72" i="27" a="1"/>
  <c r="BC72" i="27" s="1"/>
  <c r="BC94" i="27" a="1"/>
  <c r="BC94" i="27" s="1"/>
  <c r="BC115" i="27" a="1"/>
  <c r="BC115" i="27" s="1"/>
  <c r="BA72" i="27" a="1"/>
  <c r="BA72" i="27" s="1"/>
  <c r="BA161" i="27" a="1"/>
  <c r="BA161" i="27" s="1"/>
  <c r="BA236" i="27" a="1"/>
  <c r="BA236" i="27" s="1"/>
  <c r="BC45" i="27" a="1"/>
  <c r="BC45" i="27" s="1"/>
  <c r="BC102" i="27" a="1"/>
  <c r="BC102" i="27" s="1"/>
  <c r="BC133" i="27" a="1"/>
  <c r="BC133" i="27" s="1"/>
  <c r="BC154" i="27" a="1"/>
  <c r="BC154" i="27" s="1"/>
  <c r="BC174" i="27" a="1"/>
  <c r="BC174" i="27" s="1"/>
  <c r="BC195" i="27" a="1"/>
  <c r="BC195" i="27" s="1"/>
  <c r="BC215" i="27" a="1"/>
  <c r="BC215" i="27" s="1"/>
  <c r="BC236" i="27" a="1"/>
  <c r="BC236" i="27" s="1"/>
  <c r="BC29" i="27" a="1"/>
  <c r="BC29" i="27" s="1"/>
  <c r="BA75" i="27" a="1"/>
  <c r="BA75" i="27" s="1"/>
  <c r="BA172" i="27" a="1"/>
  <c r="BA172" i="27" s="1"/>
  <c r="BA240" i="27" a="1"/>
  <c r="BA240" i="27" s="1"/>
  <c r="BC47" i="27" a="1"/>
  <c r="BC47" i="27" s="1"/>
  <c r="BC107" i="27" a="1"/>
  <c r="BC107" i="27" s="1"/>
  <c r="BC134" i="27" a="1"/>
  <c r="BC134" i="27" s="1"/>
  <c r="BC155" i="27" a="1"/>
  <c r="BC155" i="27" s="1"/>
  <c r="BC175" i="27" a="1"/>
  <c r="BC175" i="27" s="1"/>
  <c r="BC196" i="27" a="1"/>
  <c r="BC196" i="27" s="1"/>
  <c r="BC216" i="27" a="1"/>
  <c r="BC216" i="27" s="1"/>
  <c r="BC237" i="27" a="1"/>
  <c r="BC190" i="27" a="1"/>
  <c r="BC190" i="27" s="1"/>
  <c r="BA152" i="27" a="1"/>
  <c r="BA152" i="27" s="1"/>
  <c r="BC150" i="27" a="1"/>
  <c r="BC150" i="27" s="1"/>
  <c r="BA76" i="27" a="1"/>
  <c r="BA76" i="27" s="1"/>
  <c r="BA175" i="27" a="1"/>
  <c r="BA175" i="27" s="1"/>
  <c r="BC52" i="27" a="1"/>
  <c r="BC52" i="27" s="1"/>
  <c r="BC108" i="27" a="1"/>
  <c r="BC108" i="27" s="1"/>
  <c r="BC135" i="27" a="1"/>
  <c r="BC135" i="27" s="1"/>
  <c r="BC156" i="27" a="1"/>
  <c r="BC156" i="27" s="1"/>
  <c r="BC176" i="27" a="1"/>
  <c r="BC176" i="27" s="1"/>
  <c r="BC197" i="27" a="1"/>
  <c r="BC197" i="27" s="1"/>
  <c r="BC217" i="27" a="1"/>
  <c r="BC217" i="27" s="1"/>
  <c r="BC238" i="27" a="1"/>
  <c r="BC238" i="27" s="1"/>
  <c r="BA212" i="27" a="1"/>
  <c r="BA212" i="27" s="1"/>
  <c r="BC228" i="27" a="1"/>
  <c r="BC228" i="27" s="1"/>
  <c r="BC231" i="27" a="1"/>
  <c r="BC231" i="27" s="1"/>
  <c r="BC129" i="27" a="1"/>
  <c r="BC129" i="27" s="1"/>
  <c r="BA80" i="27" a="1"/>
  <c r="BA80" i="27" s="1"/>
  <c r="BA176" i="27" a="1"/>
  <c r="BA176" i="27" s="1"/>
  <c r="BC53" i="27" a="1"/>
  <c r="BC53" i="27" s="1"/>
  <c r="BC109" i="27" a="1"/>
  <c r="BC109" i="27" s="1"/>
  <c r="BC136" i="27" a="1"/>
  <c r="BC136" i="27" s="1"/>
  <c r="BC157" i="27" a="1"/>
  <c r="BC157" i="27" s="1"/>
  <c r="BC177" i="27" a="1"/>
  <c r="BC177" i="27" s="1"/>
  <c r="BC198" i="27" a="1"/>
  <c r="BC198" i="27" s="1"/>
  <c r="BC218" i="27" a="1"/>
  <c r="BC218" i="27" s="1"/>
  <c r="BC239" i="27" a="1"/>
  <c r="BC239" i="27" s="1"/>
  <c r="BA132" i="27" a="1"/>
  <c r="BA132" i="27" s="1"/>
  <c r="BC187" i="27" a="1"/>
  <c r="BC187" i="27" s="1"/>
  <c r="BA140" i="27" a="1"/>
  <c r="BA140" i="27" s="1"/>
  <c r="BC169" i="27" a="1"/>
  <c r="BC169" i="27" s="1"/>
  <c r="BC232" i="27" a="1"/>
  <c r="BC232" i="27" s="1"/>
  <c r="BA92" i="27" a="1"/>
  <c r="BA92" i="27" s="1"/>
  <c r="BA180" i="27" a="1"/>
  <c r="BA180" i="27" s="1"/>
  <c r="BC59" i="27" a="1"/>
  <c r="BC59" i="27" s="1"/>
  <c r="BC111" i="27" a="1"/>
  <c r="BC111" i="27" s="1"/>
  <c r="BC137" i="27" a="1"/>
  <c r="BC137" i="27" s="1"/>
  <c r="BC158" i="27" a="1"/>
  <c r="BC158" i="27" s="1"/>
  <c r="BC179" i="27" a="1"/>
  <c r="BC179" i="27" s="1"/>
  <c r="BC199" i="27" a="1"/>
  <c r="BC199" i="27" s="1"/>
  <c r="BC219" i="27" a="1"/>
  <c r="BC219" i="27" s="1"/>
  <c r="BC240" i="27" a="1"/>
  <c r="BC240" i="27" s="1"/>
  <c r="BC20" i="27" a="1"/>
  <c r="BC20" i="27" s="1"/>
  <c r="BA221" i="27" a="1"/>
  <c r="BA221" i="27" s="1"/>
  <c r="BA95" i="27" a="1"/>
  <c r="BA95" i="27" s="1"/>
  <c r="BA181" i="27" a="1"/>
  <c r="BA181" i="27" s="1"/>
  <c r="BC63" i="27" a="1"/>
  <c r="BC63" i="27" s="1"/>
  <c r="BC112" i="27" a="1"/>
  <c r="BC112" i="27" s="1"/>
  <c r="BC138" i="27" a="1"/>
  <c r="BC138" i="27" s="1"/>
  <c r="BC159" i="27" a="1"/>
  <c r="BC159" i="27" s="1"/>
  <c r="BC180" i="27" a="1"/>
  <c r="BC180" i="27" s="1"/>
  <c r="BC200" i="27" a="1"/>
  <c r="BC200" i="27" s="1"/>
  <c r="BC220" i="27" a="1"/>
  <c r="BC220" i="27" s="1"/>
  <c r="BC166" i="27" a="1"/>
  <c r="BC166" i="27" s="1"/>
  <c r="BA96" i="27" a="1"/>
  <c r="BA96" i="27" s="1"/>
  <c r="BA192" i="27" a="1"/>
  <c r="BA192" i="27" s="1"/>
  <c r="BC64" i="27" a="1"/>
  <c r="BC64" i="27" s="1"/>
  <c r="BC116" i="27" a="1"/>
  <c r="BC116" i="27" s="1"/>
  <c r="BC139" i="27" a="1"/>
  <c r="BC139" i="27" s="1"/>
  <c r="BC160" i="27" a="1"/>
  <c r="BC160" i="27" s="1"/>
  <c r="BC181" i="27" a="1"/>
  <c r="BC181" i="27" s="1"/>
  <c r="BC201" i="27" a="1"/>
  <c r="BC201" i="27" s="1"/>
  <c r="BC221" i="27" a="1"/>
  <c r="BC221" i="27" s="1"/>
  <c r="BA100" i="27" a="1"/>
  <c r="BA100" i="27" s="1"/>
  <c r="BA195" i="27" a="1"/>
  <c r="BA195" i="27" s="1"/>
  <c r="BC65" i="27" a="1"/>
  <c r="BC65" i="27" s="1"/>
  <c r="BC117" i="27" a="1"/>
  <c r="BC117" i="27" s="1"/>
  <c r="BC140" i="27" a="1"/>
  <c r="BC140" i="27" s="1"/>
  <c r="BC161" i="27" a="1"/>
  <c r="BC161" i="27" s="1"/>
  <c r="BC182" i="27" a="1"/>
  <c r="BC182" i="27" s="1"/>
  <c r="BC202" i="27" a="1"/>
  <c r="BC202" i="27" s="1"/>
  <c r="BC222" i="27" a="1"/>
  <c r="BC222" i="27" s="1"/>
  <c r="BA12" i="27" a="1"/>
  <c r="BA12" i="27" s="1"/>
  <c r="BA112" i="27" a="1"/>
  <c r="BA112" i="27" s="1"/>
  <c r="BA196" i="27" a="1"/>
  <c r="BA196" i="27" s="1"/>
  <c r="BC68" i="27" a="1"/>
  <c r="BC68" i="27" s="1"/>
  <c r="BC120" i="27" a="1"/>
  <c r="BC120" i="27" s="1"/>
  <c r="BC141" i="27" a="1"/>
  <c r="BC141" i="27" s="1"/>
  <c r="BC183" i="27" a="1"/>
  <c r="BC183" i="27" s="1"/>
  <c r="BC203" i="27" a="1"/>
  <c r="BC203" i="27" s="1"/>
  <c r="BC223" i="27" a="1"/>
  <c r="BC223" i="27" s="1"/>
  <c r="BA40" i="27" a="1"/>
  <c r="BA15" i="27" a="1"/>
  <c r="BA15" i="27" s="1"/>
  <c r="BA115" i="27" a="1"/>
  <c r="BA115" i="27" s="1"/>
  <c r="BA200" i="27" a="1"/>
  <c r="BA200" i="27" s="1"/>
  <c r="BC69" i="27" a="1"/>
  <c r="BC69" i="27" s="1"/>
  <c r="BC121" i="27" a="1"/>
  <c r="BC121" i="27" s="1"/>
  <c r="BC142" i="27" a="1"/>
  <c r="BC142" i="27" s="1"/>
  <c r="BC163" i="27" a="1"/>
  <c r="BC163" i="27" s="1"/>
  <c r="BC184" i="27" a="1"/>
  <c r="BC184" i="27" s="1"/>
  <c r="BC204" i="27" a="1"/>
  <c r="BC204" i="27" s="1"/>
  <c r="BC224" i="27" a="1"/>
  <c r="BC224" i="27" s="1"/>
  <c r="BC124" i="27" a="1"/>
  <c r="BC124" i="27" s="1"/>
  <c r="BA220" i="27" a="1"/>
  <c r="BA220" i="27" s="1"/>
  <c r="BC149" i="27" a="1"/>
  <c r="BC149" i="27" s="1"/>
  <c r="BC211" i="27" a="1"/>
  <c r="BC211" i="27" s="1"/>
  <c r="BA16" i="27" a="1"/>
  <c r="BA16" i="27" s="1"/>
  <c r="BA116" i="27" a="1"/>
  <c r="BA116" i="27" s="1"/>
  <c r="BA201" i="27" a="1"/>
  <c r="BA201" i="27" s="1"/>
  <c r="BC14" i="27" a="1"/>
  <c r="BC14" i="27" s="1"/>
  <c r="BC73" i="27" a="1"/>
  <c r="BC73" i="27" s="1"/>
  <c r="BC122" i="27" a="1"/>
  <c r="BC122" i="27" s="1"/>
  <c r="BC143" i="27" a="1"/>
  <c r="BC143" i="27" s="1"/>
  <c r="BC164" i="27" a="1"/>
  <c r="BC164" i="27" s="1"/>
  <c r="BC185" i="27" a="1"/>
  <c r="BC185" i="27" s="1"/>
  <c r="BC205" i="27" a="1"/>
  <c r="BC205" i="27" s="1"/>
  <c r="BC225" i="27" a="1"/>
  <c r="BC225" i="27" s="1"/>
  <c r="BC81" i="27" a="1"/>
  <c r="BC81" i="27" s="1"/>
  <c r="BC210" i="27" a="1"/>
  <c r="BC210" i="27" s="1"/>
  <c r="BC30" i="27" a="1"/>
  <c r="BC30" i="27" s="1"/>
  <c r="BA20" i="27" a="1"/>
  <c r="BA20" i="27" s="1"/>
  <c r="BA120" i="27" a="1"/>
  <c r="BA120" i="27" s="1"/>
  <c r="BA211" i="27" a="1"/>
  <c r="BA211" i="27" s="1"/>
  <c r="BC19" i="27" a="1"/>
  <c r="BC19" i="27" s="1"/>
  <c r="BC74" i="27" a="1"/>
  <c r="BC74" i="27" s="1"/>
  <c r="BC123" i="27" a="1"/>
  <c r="BC123" i="27" s="1"/>
  <c r="BC144" i="27" a="1"/>
  <c r="BC144" i="27" s="1"/>
  <c r="BC165" i="27" a="1"/>
  <c r="BC165" i="27" s="1"/>
  <c r="BC186" i="27" a="1"/>
  <c r="BC186" i="27" s="1"/>
  <c r="BC206" i="27" a="1"/>
  <c r="BC206" i="27" s="1"/>
  <c r="BC227" i="27" a="1"/>
  <c r="BC227" i="27" s="1"/>
  <c r="BA32" i="27" a="1"/>
  <c r="BA32" i="27" s="1"/>
  <c r="BC191" i="27" a="1"/>
  <c r="BC191" i="27" s="1"/>
  <c r="BC207" i="27" a="1"/>
  <c r="BC207" i="27" s="1"/>
  <c r="BC88" i="27" a="1"/>
  <c r="BC88" i="27" s="1"/>
  <c r="BC170" i="27" a="1"/>
  <c r="BC170" i="27" s="1"/>
  <c r="BA35" i="27" a="1"/>
  <c r="BA35" i="27" s="1"/>
  <c r="BA135" i="27" a="1"/>
  <c r="BA135" i="27" s="1"/>
  <c r="BA215" i="27" a="1"/>
  <c r="BA215" i="27" s="1"/>
  <c r="BC23" i="27" a="1"/>
  <c r="BC23" i="27" s="1"/>
  <c r="BC85" i="27" a="1"/>
  <c r="BC85" i="27" s="1"/>
  <c r="BC125" i="27" a="1"/>
  <c r="BC125" i="27" s="1"/>
  <c r="BC147" i="27" a="1"/>
  <c r="BC147" i="27" s="1"/>
  <c r="BC167" i="27" a="1"/>
  <c r="BC167" i="27" s="1"/>
  <c r="BC188" i="27" a="1"/>
  <c r="BC188" i="27" s="1"/>
  <c r="BC208" i="27" a="1"/>
  <c r="BC208" i="27" s="1"/>
  <c r="BC229" i="27" a="1"/>
  <c r="BC229" i="27" s="1"/>
  <c r="BC90" i="27" a="1"/>
  <c r="BC90" i="27" s="1"/>
  <c r="BA36" i="27" a="1"/>
  <c r="BA36" i="27" s="1"/>
  <c r="BA136" i="27" a="1"/>
  <c r="BA136" i="27" s="1"/>
  <c r="BA216" i="27" a="1"/>
  <c r="BA216" i="27" s="1"/>
  <c r="BC24" i="27" a="1"/>
  <c r="BC24" i="27" s="1"/>
  <c r="BC87" i="27" a="1"/>
  <c r="BC87" i="27" s="1"/>
  <c r="BC127" i="27" a="1"/>
  <c r="BC127" i="27" s="1"/>
  <c r="BC148" i="27" a="1"/>
  <c r="BC148" i="27" s="1"/>
  <c r="BC168" i="27" a="1"/>
  <c r="BC168" i="27" s="1"/>
  <c r="BC189" i="27" a="1"/>
  <c r="BC189" i="27" s="1"/>
  <c r="BC209" i="27" a="1"/>
  <c r="BC209" i="27" s="1"/>
  <c r="BC230" i="27" a="1"/>
  <c r="BC230" i="27" s="1"/>
  <c r="BC128" i="27" a="1"/>
  <c r="BC128" i="27" s="1"/>
  <c r="BA55" i="27" a="1"/>
  <c r="BA55" i="27" s="1"/>
  <c r="BA155" i="27" a="1"/>
  <c r="BA155" i="27" s="1"/>
  <c r="BA231" i="27" a="1"/>
  <c r="BA231" i="27" s="1"/>
  <c r="BC36" i="27" a="1"/>
  <c r="BC36" i="27" s="1"/>
  <c r="BC91" i="27" a="1"/>
  <c r="BC91" i="27" s="1"/>
  <c r="BC130" i="27" a="1"/>
  <c r="BC130" i="27" s="1"/>
  <c r="BC151" i="27" a="1"/>
  <c r="BC151" i="27" s="1"/>
  <c r="BC171" i="27" a="1"/>
  <c r="BC171" i="27" s="1"/>
  <c r="BC192" i="27" a="1"/>
  <c r="BC192" i="27" s="1"/>
  <c r="BC212" i="27" a="1"/>
  <c r="BC212" i="27" s="1"/>
  <c r="BC233" i="27" a="1"/>
  <c r="BC233" i="27" s="1"/>
  <c r="BC145" i="27" a="1"/>
  <c r="BC145" i="27" s="1"/>
  <c r="BA56" i="27" a="1"/>
  <c r="BA56" i="27" s="1"/>
  <c r="BA156" i="27" a="1"/>
  <c r="BA156" i="27" s="1"/>
  <c r="BA232" i="27" a="1"/>
  <c r="BA232" i="27" s="1"/>
  <c r="BC41" i="27" a="1"/>
  <c r="BC41" i="27" s="1"/>
  <c r="BC95" i="27" a="1"/>
  <c r="BC95" i="27" s="1"/>
  <c r="BC131" i="27" a="1"/>
  <c r="BC131" i="27" s="1"/>
  <c r="BC152" i="27" a="1"/>
  <c r="BC152" i="27" s="1"/>
  <c r="BC172" i="27" a="1"/>
  <c r="BC172" i="27" s="1"/>
  <c r="BC193" i="27" a="1"/>
  <c r="BC193" i="27" s="1"/>
  <c r="BC213" i="27" a="1"/>
  <c r="BC213" i="27" s="1"/>
  <c r="BC234" i="27" a="1"/>
  <c r="BC234" i="27" s="1"/>
  <c r="BA52" i="27" a="1"/>
  <c r="BA52" i="27" s="1"/>
  <c r="BA60" i="27" a="1"/>
  <c r="BA60" i="27" s="1"/>
  <c r="BA160" i="27" a="1"/>
  <c r="BA160" i="27" s="1"/>
  <c r="BA235" i="27" a="1"/>
  <c r="BA235" i="27" s="1"/>
  <c r="BC42" i="27" a="1"/>
  <c r="BC42" i="27" s="1"/>
  <c r="BC96" i="27" a="1"/>
  <c r="BC96" i="27" s="1"/>
  <c r="BC132" i="27" a="1"/>
  <c r="BC132" i="27" s="1"/>
  <c r="BC153" i="27" a="1"/>
  <c r="BC153" i="27" s="1"/>
  <c r="BC173" i="27" a="1"/>
  <c r="BC173" i="27" s="1"/>
  <c r="BC194" i="27" a="1"/>
  <c r="BC194" i="27" s="1"/>
  <c r="BC214" i="27" a="1"/>
  <c r="BC214" i="27" s="1"/>
  <c r="BC235" i="27" a="1"/>
  <c r="BC235" i="27" s="1"/>
  <c r="BC178" i="27" a="1"/>
  <c r="BC178" i="27" s="1"/>
  <c r="BC146" i="27" a="1"/>
  <c r="BC146" i="27" s="1"/>
  <c r="BC66" i="27" a="1"/>
  <c r="BC66" i="27" s="1"/>
  <c r="BC8" i="27" a="1"/>
  <c r="BC8" i="27" s="1"/>
  <c r="BC86" i="27" a="1"/>
  <c r="BC86" i="27" s="1"/>
  <c r="BC106" i="27" a="1"/>
  <c r="BC106" i="27" s="1"/>
  <c r="BC226" i="27" a="1"/>
  <c r="BC226" i="27" s="1"/>
  <c r="BC126" i="27" a="1"/>
  <c r="BC126" i="27" s="1"/>
  <c r="BC26" i="27" a="1"/>
  <c r="BC26" i="27" s="1"/>
  <c r="BC48" i="27" a="1"/>
  <c r="BC48" i="27" s="1"/>
  <c r="BC78" i="27" a="1"/>
  <c r="BC46" i="27" a="1"/>
  <c r="BC46" i="27" s="1"/>
  <c r="BC18" i="27" a="1"/>
  <c r="BC18" i="27" s="1"/>
  <c r="BC38" i="27" a="1"/>
  <c r="BC38" i="27" s="1"/>
  <c r="BC118" i="27" a="1"/>
  <c r="BC118" i="27" s="1"/>
  <c r="AB4" i="93" a="1"/>
  <c r="AB4" i="93" s="1"/>
  <c r="AB5" i="93" a="1"/>
  <c r="AB5" i="93" s="1"/>
  <c r="AZ5" i="93" s="1"/>
  <c r="AB6" i="93" a="1"/>
  <c r="AB6" i="93" s="1"/>
  <c r="AZ6" i="93" s="1"/>
  <c r="AB7" i="93" a="1"/>
  <c r="AB7" i="93" s="1"/>
  <c r="BA237" i="27" l="1"/>
  <c r="BA78" i="27"/>
  <c r="BA40" i="27"/>
  <c r="BC40" i="27"/>
  <c r="BC237" i="27"/>
  <c r="BC78" i="27"/>
  <c r="AO39" i="93" a="1"/>
  <c r="AO39" i="93" s="1"/>
  <c r="AO48" i="93" a="1"/>
  <c r="AO48" i="93" s="1"/>
  <c r="AO26" i="93" a="1"/>
  <c r="AO26" i="93" s="1"/>
  <c r="AO43" i="93" a="1"/>
  <c r="AO43" i="93" s="1"/>
  <c r="AO75" i="93" a="1"/>
  <c r="AO75" i="93" s="1"/>
  <c r="AP75" i="93"/>
  <c r="AO38" i="93" a="1"/>
  <c r="AO38" i="93" s="1"/>
  <c r="AP38" i="93"/>
  <c r="AP32" i="93"/>
  <c r="AO32" i="93" a="1"/>
  <c r="AO32" i="93" s="1"/>
  <c r="AP74" i="93"/>
  <c r="AO74" i="93" a="1"/>
  <c r="AO74" i="93" s="1"/>
  <c r="AO20" i="93" a="1"/>
  <c r="AO20" i="93" s="1"/>
  <c r="AP20" i="93"/>
  <c r="AO41" i="93" a="1"/>
  <c r="AO41" i="93" s="1"/>
  <c r="AP41" i="93"/>
  <c r="AP26" i="93"/>
  <c r="AP21" i="93"/>
  <c r="AO21" i="93" a="1"/>
  <c r="AO21" i="93" s="1"/>
  <c r="AP54" i="93"/>
  <c r="AO54" i="93" a="1"/>
  <c r="AO54" i="93" s="1"/>
  <c r="AP23" i="93"/>
  <c r="AO23" i="93" a="1"/>
  <c r="AO23" i="93" s="1"/>
  <c r="AO58" i="93" a="1"/>
  <c r="AO58" i="93" s="1"/>
  <c r="AP58" i="93"/>
  <c r="AO50" i="93" a="1"/>
  <c r="AO50" i="93" s="1"/>
  <c r="AP50" i="93"/>
  <c r="AP51" i="93"/>
  <c r="AO51" i="93" a="1"/>
  <c r="AO51" i="93" s="1"/>
  <c r="AO69" i="93" a="1"/>
  <c r="AO69" i="93" s="1"/>
  <c r="AO28" i="93" a="1"/>
  <c r="AO28" i="93" s="1"/>
  <c r="AP28" i="93"/>
  <c r="AP34" i="93"/>
  <c r="AO34" i="93" a="1"/>
  <c r="AO34" i="93" s="1"/>
  <c r="AP43" i="93"/>
  <c r="AO82" i="93" a="1"/>
  <c r="AO82" i="93" s="1"/>
  <c r="AP82" i="93"/>
  <c r="AO8" i="93" a="1"/>
  <c r="AO8" i="93" s="1"/>
  <c r="AP8" i="93"/>
  <c r="AO55" i="93" a="1"/>
  <c r="AO55" i="93" s="1"/>
  <c r="AP33" i="93"/>
  <c r="AO33" i="93" a="1"/>
  <c r="AO33" i="93" s="1"/>
  <c r="AO59" i="93" a="1"/>
  <c r="AO59" i="93" s="1"/>
  <c r="AP59" i="93"/>
  <c r="AO76" i="93" a="1"/>
  <c r="AO76" i="93" s="1"/>
  <c r="AP76" i="93"/>
  <c r="AP36" i="93"/>
  <c r="AO36" i="93" a="1"/>
  <c r="AO36" i="93" s="1"/>
  <c r="AP72" i="93"/>
  <c r="AO72" i="93" a="1"/>
  <c r="AO72" i="93" s="1"/>
  <c r="AP57" i="93"/>
  <c r="AO57" i="93" a="1"/>
  <c r="AO57" i="93" s="1"/>
  <c r="AO17" i="93" a="1"/>
  <c r="AO17" i="93" s="1"/>
  <c r="AP17" i="93"/>
  <c r="AP27" i="93"/>
  <c r="AO27" i="93" a="1"/>
  <c r="AO27" i="93" s="1"/>
  <c r="AP30" i="93"/>
  <c r="AO30" i="93" a="1"/>
  <c r="AO30" i="93" s="1"/>
  <c r="AO73" i="93" a="1"/>
  <c r="AO73" i="93" s="1"/>
  <c r="AP73" i="93"/>
  <c r="AO46" i="93" a="1"/>
  <c r="AO46" i="93" s="1"/>
  <c r="AP46" i="93"/>
  <c r="AP55" i="93"/>
  <c r="AP10" i="93"/>
  <c r="AO10" i="93" a="1"/>
  <c r="AO10" i="93" s="1"/>
  <c r="AP35" i="93"/>
  <c r="AO35" i="93" a="1"/>
  <c r="AO35" i="93" s="1"/>
  <c r="AO77" i="93" a="1"/>
  <c r="AO77" i="93" s="1"/>
  <c r="AP77" i="93"/>
  <c r="AO60" i="93" a="1"/>
  <c r="AO60" i="93" s="1"/>
  <c r="AP60" i="93"/>
  <c r="AO80" i="93" a="1"/>
  <c r="AO80" i="93" s="1"/>
  <c r="AP80" i="93"/>
  <c r="AO13" i="93" a="1"/>
  <c r="AO13" i="93" s="1"/>
  <c r="AP13" i="93"/>
  <c r="AP61" i="93"/>
  <c r="AO61" i="93" a="1"/>
  <c r="AO61" i="93" s="1"/>
  <c r="AP29" i="93"/>
  <c r="AP67" i="93"/>
  <c r="AO67" i="93" a="1"/>
  <c r="AO67" i="93" s="1"/>
  <c r="AO16" i="93" a="1"/>
  <c r="AO16" i="93" s="1"/>
  <c r="AP16" i="93"/>
  <c r="AO45" i="93" a="1"/>
  <c r="AO45" i="93" s="1"/>
  <c r="AP45" i="93"/>
  <c r="AO65" i="93" a="1"/>
  <c r="AO65" i="93" s="1"/>
  <c r="AP65" i="93"/>
  <c r="AO37" i="93" a="1"/>
  <c r="AO37" i="93" s="1"/>
  <c r="AP37" i="93"/>
  <c r="AP15" i="93"/>
  <c r="AO15" i="93" a="1"/>
  <c r="AO15" i="93" s="1"/>
  <c r="AP70" i="93"/>
  <c r="AO70" i="93" a="1"/>
  <c r="AO70" i="93" s="1"/>
  <c r="AO81" i="93" a="1"/>
  <c r="AO81" i="93" s="1"/>
  <c r="AP81" i="93"/>
  <c r="AP56" i="93"/>
  <c r="AO56" i="93" a="1"/>
  <c r="AO56" i="93" s="1"/>
  <c r="AO64" i="93" a="1"/>
  <c r="AO64" i="93" s="1"/>
  <c r="AP64" i="93"/>
  <c r="AP79" i="93"/>
  <c r="AO79" i="93" a="1"/>
  <c r="AO79" i="93" s="1"/>
  <c r="AP19" i="93"/>
  <c r="AO19" i="93" a="1"/>
  <c r="AO19" i="93" s="1"/>
  <c r="AO18" i="93" a="1"/>
  <c r="AO18" i="93" s="1"/>
  <c r="AP18" i="93"/>
  <c r="AO9" i="93" a="1"/>
  <c r="AO9" i="93" s="1"/>
  <c r="AP9" i="93"/>
  <c r="AO49" i="93" a="1"/>
  <c r="AO49" i="93" s="1"/>
  <c r="AP49" i="93"/>
  <c r="AO78" i="93" a="1"/>
  <c r="AO78" i="93" s="1"/>
  <c r="AP78" i="93"/>
  <c r="AP52" i="93"/>
  <c r="AO52" i="93" a="1"/>
  <c r="AO52" i="93" s="1"/>
  <c r="AO66" i="93" a="1"/>
  <c r="AO66" i="93" s="1"/>
  <c r="AP66" i="93"/>
  <c r="AP53" i="93"/>
  <c r="AO53" i="93" a="1"/>
  <c r="AO53" i="93" s="1"/>
  <c r="AP39" i="93"/>
  <c r="AO71" i="93" a="1"/>
  <c r="AO71" i="93" s="1"/>
  <c r="AP71" i="93"/>
  <c r="AO24" i="93" a="1"/>
  <c r="AO24" i="93" s="1"/>
  <c r="AP24" i="93"/>
  <c r="AO25" i="93" a="1"/>
  <c r="AO25" i="93" s="1"/>
  <c r="AP25" i="93"/>
  <c r="AO22" i="93" a="1"/>
  <c r="AO22" i="93" s="1"/>
  <c r="AP22" i="93"/>
  <c r="AO12" i="93" a="1"/>
  <c r="AO12" i="93" s="1"/>
  <c r="AP12" i="93"/>
  <c r="AP48" i="93"/>
  <c r="AP14" i="93"/>
  <c r="AO14" i="93" a="1"/>
  <c r="AO14" i="93" s="1"/>
  <c r="AO68" i="93" a="1"/>
  <c r="AO68" i="93" s="1"/>
  <c r="AP68" i="93"/>
  <c r="AO31" i="93" a="1"/>
  <c r="AO31" i="93" s="1"/>
  <c r="AP31" i="93"/>
  <c r="AO42" i="93" a="1"/>
  <c r="AO42" i="93" s="1"/>
  <c r="AP42" i="93"/>
  <c r="AP47" i="93"/>
  <c r="AO47" i="93" a="1"/>
  <c r="AO47" i="93" s="1"/>
  <c r="AO62" i="93" a="1"/>
  <c r="AO62" i="93" s="1"/>
  <c r="AP62" i="93"/>
  <c r="AO40" i="93" a="1"/>
  <c r="AO40" i="93" s="1"/>
  <c r="AP40" i="93"/>
  <c r="AO44" i="93" a="1"/>
  <c r="AO44" i="93" s="1"/>
  <c r="AP44" i="93"/>
  <c r="AP11" i="93"/>
  <c r="AO11" i="93" a="1"/>
  <c r="AO11" i="93" s="1"/>
  <c r="AO63" i="93" a="1"/>
  <c r="AO63" i="93" s="1"/>
  <c r="AP63" i="93"/>
  <c r="AO29" i="93" a="1"/>
  <c r="AO29" i="93" s="1"/>
  <c r="AP69" i="93"/>
  <c r="AT14" i="93" l="1"/>
  <c r="AT15" i="93"/>
  <c r="AT48" i="93"/>
  <c r="AT72" i="93"/>
  <c r="AT33" i="93"/>
  <c r="AT39" i="93"/>
  <c r="AT43" i="93"/>
  <c r="AT26" i="93"/>
  <c r="AT54" i="93"/>
  <c r="AT47" i="93"/>
  <c r="AT30" i="93"/>
  <c r="AT23" i="93"/>
  <c r="AT21" i="93"/>
  <c r="AT61" i="93"/>
  <c r="AT76" i="93"/>
  <c r="AT59" i="93"/>
  <c r="AT52" i="93"/>
  <c r="AT70" i="93"/>
  <c r="AT74" i="93"/>
  <c r="AT50" i="93"/>
  <c r="AT58" i="93"/>
  <c r="AT34" i="93"/>
  <c r="AT60" i="93"/>
  <c r="AT12" i="93"/>
  <c r="AT10" i="93"/>
  <c r="AT40" i="93"/>
  <c r="AT25" i="93"/>
  <c r="AT19" i="93"/>
  <c r="AT29" i="93"/>
  <c r="AT24" i="93"/>
  <c r="AT27" i="93"/>
  <c r="AT62" i="93"/>
  <c r="AT71" i="93"/>
  <c r="AT46" i="93"/>
  <c r="AT81" i="93"/>
  <c r="AT80" i="93"/>
  <c r="AT82" i="93"/>
  <c r="AT66" i="93"/>
  <c r="AT17" i="93"/>
  <c r="AT77" i="93"/>
  <c r="AT32" i="93"/>
  <c r="AT42" i="93"/>
  <c r="AT31" i="93"/>
  <c r="AT63" i="93"/>
  <c r="AT49" i="93"/>
  <c r="AT37" i="93"/>
  <c r="AT11" i="93"/>
  <c r="AT73" i="93"/>
  <c r="AT8" i="93"/>
  <c r="AT22" i="93"/>
  <c r="AT18" i="93"/>
  <c r="AT16" i="93"/>
  <c r="AT55" i="93"/>
  <c r="AT79" i="93"/>
  <c r="AT67" i="93"/>
  <c r="AT64" i="93"/>
  <c r="AT53" i="93"/>
  <c r="AT56" i="93"/>
  <c r="AT13" i="93"/>
  <c r="AT41" i="93"/>
  <c r="AT68" i="93"/>
  <c r="AT57" i="93"/>
  <c r="AT20" i="93"/>
  <c r="AT78" i="93"/>
  <c r="AT28" i="93"/>
  <c r="AT69" i="93"/>
  <c r="AT35" i="93"/>
  <c r="AT36" i="93"/>
  <c r="AT51" i="93"/>
  <c r="AT9" i="93"/>
  <c r="AT65" i="93"/>
  <c r="AT38" i="93"/>
  <c r="AT44" i="93"/>
  <c r="AT45" i="93"/>
  <c r="AT75" i="93"/>
  <c r="AE4" i="93"/>
  <c r="N4" i="94" a="1"/>
  <c r="N4" i="94" s="1"/>
  <c r="AC4" i="93" s="1"/>
  <c r="N5" i="94" a="1"/>
  <c r="N5" i="94" s="1"/>
  <c r="N6" i="94" a="1"/>
  <c r="N6" i="94" s="1"/>
  <c r="W4" i="93"/>
  <c r="Q5" i="94" a="1"/>
  <c r="Q5" i="94" s="1"/>
  <c r="Q4" i="94" a="1"/>
  <c r="Q4" i="94" s="1"/>
  <c r="AD4" i="93" s="1"/>
  <c r="Q6" i="94" a="1"/>
  <c r="Q6" i="94" s="1"/>
  <c r="W6" i="93"/>
  <c r="W5" i="93"/>
  <c r="W7" i="93"/>
  <c r="X4" i="93"/>
  <c r="X6" i="93"/>
  <c r="X5" i="93"/>
  <c r="X7" i="93"/>
  <c r="Y4" i="93"/>
  <c r="Y6" i="93"/>
  <c r="Y5" i="93"/>
  <c r="Y7" i="93"/>
  <c r="Z4" i="93"/>
  <c r="Z6" i="93"/>
  <c r="Z5" i="93"/>
  <c r="Z7" i="93"/>
  <c r="AA4" i="93"/>
  <c r="AM4" i="93" s="1"/>
  <c r="AA6" i="93"/>
  <c r="AM6" i="93" s="1"/>
  <c r="AA5" i="93"/>
  <c r="AM5" i="93" s="1"/>
  <c r="AA7" i="93"/>
  <c r="AM7" i="93" s="1"/>
  <c r="AH5" i="93"/>
  <c r="AH7" i="93"/>
  <c r="AH4" i="93"/>
  <c r="AH6" i="93"/>
  <c r="AI5" i="93"/>
  <c r="AJ5" i="93" s="1" a="1"/>
  <c r="AJ5" i="93" s="1"/>
  <c r="AI7" i="93"/>
  <c r="AK7" i="93" s="1" a="1"/>
  <c r="AK7" i="93" s="1"/>
  <c r="AL7" i="93" s="1" a="1"/>
  <c r="AL7" i="93" s="1"/>
  <c r="AI4" i="93"/>
  <c r="AK4" i="93" s="1" a="1"/>
  <c r="AK4" i="93" s="1"/>
  <c r="AL4" i="93" s="1" a="1"/>
  <c r="AL4" i="93" s="1"/>
  <c r="AI6" i="93"/>
  <c r="AJ6" i="93" s="1" a="1"/>
  <c r="AJ6" i="93" s="1"/>
  <c r="Z5" i="27"/>
  <c r="Z7" i="27"/>
  <c r="Z4" i="27"/>
  <c r="Z6" i="27"/>
  <c r="AA5" i="27"/>
  <c r="AA7" i="27"/>
  <c r="AA4" i="27"/>
  <c r="AA6" i="27"/>
  <c r="W5" i="27"/>
  <c r="W7" i="27"/>
  <c r="W4" i="27"/>
  <c r="W6" i="27"/>
  <c r="X5" i="27"/>
  <c r="X7" i="27"/>
  <c r="X4" i="27"/>
  <c r="X6" i="27"/>
  <c r="Y5" i="27"/>
  <c r="Y7" i="27"/>
  <c r="Y4" i="27"/>
  <c r="Y6" i="27"/>
  <c r="AB5" i="27"/>
  <c r="AB7" i="27"/>
  <c r="AB4" i="27"/>
  <c r="AB6" i="27"/>
  <c r="AC5" i="27"/>
  <c r="AC7" i="27"/>
  <c r="AC4" i="27"/>
  <c r="AC6" i="27"/>
  <c r="AD5" i="27"/>
  <c r="AD7" i="27"/>
  <c r="AD4" i="27"/>
  <c r="AD6" i="27"/>
  <c r="AE5" i="27"/>
  <c r="AE7" i="27"/>
  <c r="AE4" i="27"/>
  <c r="AE6" i="27"/>
  <c r="AF5" i="27"/>
  <c r="AF7" i="27"/>
  <c r="AF4" i="27"/>
  <c r="AF6" i="27"/>
  <c r="AG5" i="27"/>
  <c r="AG7" i="27"/>
  <c r="AG4" i="27"/>
  <c r="AG6" i="27"/>
  <c r="AH5" i="27"/>
  <c r="AH7" i="27"/>
  <c r="AH4" i="27"/>
  <c r="AH6" i="27"/>
  <c r="AI5" i="27"/>
  <c r="AI7" i="27"/>
  <c r="AI4" i="27"/>
  <c r="AI6" i="27"/>
  <c r="AL5" i="27"/>
  <c r="AL7" i="27"/>
  <c r="AL4" i="27"/>
  <c r="AL6" i="27"/>
  <c r="Y13" i="112"/>
  <c r="Z13" i="112"/>
  <c r="AA13" i="112"/>
  <c r="Y14" i="112"/>
  <c r="Z14" i="112"/>
  <c r="AA14" i="112"/>
  <c r="Y15" i="112"/>
  <c r="Z15" i="112"/>
  <c r="AA15" i="112"/>
  <c r="K13" i="112"/>
  <c r="L13" i="112"/>
  <c r="M13" i="112"/>
  <c r="K14" i="112"/>
  <c r="L14" i="112"/>
  <c r="M14" i="112"/>
  <c r="K15" i="112"/>
  <c r="L15" i="112"/>
  <c r="M15" i="112"/>
  <c r="C4" i="112" a="1"/>
  <c r="C4" i="112" s="1"/>
  <c r="C14" i="112" s="1"/>
  <c r="P5" i="112" a="1"/>
  <c r="B5" i="112" a="1"/>
  <c r="K10" i="112" s="1"/>
  <c r="Q4" i="112" a="1"/>
  <c r="T13" i="112" s="1"/>
  <c r="J12" i="110" a="1"/>
  <c r="J12" i="110" s="1"/>
  <c r="J13" i="110" a="1"/>
  <c r="J13" i="110" s="1"/>
  <c r="K13" i="110" a="1"/>
  <c r="K13" i="110" s="1"/>
  <c r="J14" i="110" a="1"/>
  <c r="J14" i="110" s="1"/>
  <c r="K14" i="110" a="1"/>
  <c r="K14" i="110" s="1"/>
  <c r="L14" i="110" a="1"/>
  <c r="L14" i="110" s="1"/>
  <c r="A4" i="110" a="1"/>
  <c r="W12" i="110" a="1"/>
  <c r="W12" i="110" s="1"/>
  <c r="W13" i="110" a="1"/>
  <c r="W13" i="110" s="1"/>
  <c r="X13" i="110" a="1"/>
  <c r="X13" i="110" s="1"/>
  <c r="W14" i="110" a="1"/>
  <c r="W14" i="110" s="1"/>
  <c r="X14" i="110" a="1"/>
  <c r="X14" i="110" s="1"/>
  <c r="Y14" i="110" a="1"/>
  <c r="Y14" i="110" s="1"/>
  <c r="N4" i="110" a="1"/>
  <c r="O3" i="110" a="1"/>
  <c r="R12" i="110" s="1" a="1"/>
  <c r="R12" i="110" s="1"/>
  <c r="B3" i="110" a="1"/>
  <c r="C12" i="110" s="1" a="1"/>
  <c r="C12" i="110" s="1"/>
  <c r="N4" i="108" a="1"/>
  <c r="O3" i="108" a="1"/>
  <c r="T12" i="108" s="1"/>
  <c r="Y14" i="108"/>
  <c r="X14" i="108"/>
  <c r="W14" i="108"/>
  <c r="X13" i="108"/>
  <c r="W13" i="108"/>
  <c r="W12" i="108"/>
  <c r="AC27" i="105"/>
  <c r="L27" i="105"/>
  <c r="K27" i="105"/>
  <c r="U26" i="105" a="1"/>
  <c r="U26" i="105" s="1"/>
  <c r="C26" i="105" a="1"/>
  <c r="C26" i="105" s="1"/>
  <c r="A5" i="105"/>
  <c r="A7" i="105" s="1"/>
  <c r="W3" i="105" a="1"/>
  <c r="AC5" i="105" s="1" a="1"/>
  <c r="AC5" i="105" s="1"/>
  <c r="B2" i="105" a="1"/>
  <c r="D3" i="105" s="1"/>
  <c r="I77" i="100" a="1"/>
  <c r="I77" i="100" s="1"/>
  <c r="F77" i="100" a="1"/>
  <c r="F77" i="100" s="1"/>
  <c r="E77" i="100" a="1"/>
  <c r="E77" i="100" s="1"/>
  <c r="B77" i="100" a="1"/>
  <c r="B77" i="100" s="1"/>
  <c r="I76" i="100" a="1"/>
  <c r="I76" i="100" s="1"/>
  <c r="F76" i="100" a="1"/>
  <c r="F76" i="100" s="1"/>
  <c r="E76" i="100" a="1"/>
  <c r="E76" i="100" s="1"/>
  <c r="B76" i="100" a="1"/>
  <c r="B76" i="100" s="1"/>
  <c r="I75" i="100" a="1"/>
  <c r="I75" i="100" s="1"/>
  <c r="F75" i="100" a="1"/>
  <c r="F75" i="100" s="1"/>
  <c r="E75" i="100" a="1"/>
  <c r="E75" i="100" s="1"/>
  <c r="B75" i="100" a="1"/>
  <c r="B75" i="100" s="1"/>
  <c r="I74" i="100" a="1"/>
  <c r="I74" i="100" s="1"/>
  <c r="F74" i="100" a="1"/>
  <c r="F74" i="100" s="1"/>
  <c r="E74" i="100" a="1"/>
  <c r="E74" i="100" s="1"/>
  <c r="B74" i="100" a="1"/>
  <c r="B74" i="100" s="1"/>
  <c r="I73" i="100" a="1"/>
  <c r="I73" i="100" s="1"/>
  <c r="F73" i="100" a="1"/>
  <c r="F73" i="100" s="1"/>
  <c r="E73" i="100" a="1"/>
  <c r="E73" i="100" s="1"/>
  <c r="B73" i="100" a="1"/>
  <c r="B73" i="100" s="1"/>
  <c r="I72" i="100" a="1"/>
  <c r="I72" i="100" s="1"/>
  <c r="F72" i="100" a="1"/>
  <c r="F72" i="100" s="1"/>
  <c r="E72" i="100" a="1"/>
  <c r="E72" i="100" s="1"/>
  <c r="B72" i="100" a="1"/>
  <c r="B72" i="100" s="1"/>
  <c r="I71" i="100" a="1"/>
  <c r="I71" i="100" s="1"/>
  <c r="F71" i="100" a="1"/>
  <c r="F71" i="100" s="1"/>
  <c r="E71" i="100" a="1"/>
  <c r="E71" i="100" s="1"/>
  <c r="B71" i="100" a="1"/>
  <c r="B71" i="100" s="1"/>
  <c r="I70" i="100" a="1"/>
  <c r="I70" i="100" s="1"/>
  <c r="F70" i="100" a="1"/>
  <c r="F70" i="100" s="1"/>
  <c r="E70" i="100" a="1"/>
  <c r="E70" i="100" s="1"/>
  <c r="B70" i="100" a="1"/>
  <c r="B70" i="100" s="1"/>
  <c r="I69" i="100" a="1"/>
  <c r="I69" i="100" s="1"/>
  <c r="F69" i="100" a="1"/>
  <c r="F69" i="100" s="1"/>
  <c r="E69" i="100" a="1"/>
  <c r="E69" i="100" s="1"/>
  <c r="B69" i="100" a="1"/>
  <c r="B69" i="100" s="1"/>
  <c r="I68" i="100" a="1"/>
  <c r="I68" i="100" s="1"/>
  <c r="F68" i="100" a="1"/>
  <c r="F68" i="100" s="1"/>
  <c r="E68" i="100" a="1"/>
  <c r="E68" i="100" s="1"/>
  <c r="B68" i="100" a="1"/>
  <c r="B68" i="100" s="1"/>
  <c r="I67" i="100" a="1"/>
  <c r="I67" i="100" s="1"/>
  <c r="F67" i="100" a="1"/>
  <c r="F67" i="100" s="1"/>
  <c r="E67" i="100" a="1"/>
  <c r="E67" i="100" s="1"/>
  <c r="B67" i="100" a="1"/>
  <c r="B67" i="100" s="1"/>
  <c r="I66" i="100" a="1"/>
  <c r="I66" i="100" s="1"/>
  <c r="F66" i="100" a="1"/>
  <c r="F66" i="100" s="1"/>
  <c r="E66" i="100" a="1"/>
  <c r="E66" i="100" s="1"/>
  <c r="B66" i="100" a="1"/>
  <c r="B66" i="100" s="1"/>
  <c r="I65" i="100" a="1"/>
  <c r="I65" i="100" s="1"/>
  <c r="F65" i="100" a="1"/>
  <c r="F65" i="100" s="1"/>
  <c r="E65" i="100" a="1"/>
  <c r="E65" i="100" s="1"/>
  <c r="B65" i="100" a="1"/>
  <c r="B65" i="100" s="1"/>
  <c r="I64" i="100" a="1"/>
  <c r="I64" i="100" s="1"/>
  <c r="F64" i="100" a="1"/>
  <c r="F64" i="100" s="1"/>
  <c r="E64" i="100" a="1"/>
  <c r="E64" i="100" s="1"/>
  <c r="B64" i="100" a="1"/>
  <c r="B64" i="100" s="1"/>
  <c r="I63" i="100" a="1"/>
  <c r="I63" i="100" s="1"/>
  <c r="F63" i="100" a="1"/>
  <c r="F63" i="100" s="1"/>
  <c r="E63" i="100" a="1"/>
  <c r="E63" i="100" s="1"/>
  <c r="B63" i="100" a="1"/>
  <c r="B63" i="100" s="1"/>
  <c r="I62" i="100" a="1"/>
  <c r="I62" i="100" s="1"/>
  <c r="F62" i="100" a="1"/>
  <c r="F62" i="100" s="1"/>
  <c r="E62" i="100" a="1"/>
  <c r="E62" i="100" s="1"/>
  <c r="B62" i="100" a="1"/>
  <c r="B62" i="100" s="1"/>
  <c r="I61" i="100" a="1"/>
  <c r="I61" i="100" s="1"/>
  <c r="F61" i="100" a="1"/>
  <c r="F61" i="100" s="1"/>
  <c r="E61" i="100" a="1"/>
  <c r="E61" i="100" s="1"/>
  <c r="B61" i="100" a="1"/>
  <c r="B61" i="100" s="1"/>
  <c r="I60" i="100" a="1"/>
  <c r="I60" i="100" s="1"/>
  <c r="F60" i="100" a="1"/>
  <c r="F60" i="100" s="1"/>
  <c r="E60" i="100" a="1"/>
  <c r="E60" i="100" s="1"/>
  <c r="B60" i="100" a="1"/>
  <c r="B60" i="100" s="1"/>
  <c r="I59" i="100" a="1"/>
  <c r="I59" i="100" s="1"/>
  <c r="F59" i="100" a="1"/>
  <c r="F59" i="100" s="1"/>
  <c r="E59" i="100" a="1"/>
  <c r="E59" i="100" s="1"/>
  <c r="B59" i="100" a="1"/>
  <c r="B59" i="100" s="1"/>
  <c r="I58" i="100" a="1"/>
  <c r="I58" i="100" s="1"/>
  <c r="F58" i="100" a="1"/>
  <c r="F58" i="100" s="1"/>
  <c r="E58" i="100" a="1"/>
  <c r="E58" i="100" s="1"/>
  <c r="B58" i="100" a="1"/>
  <c r="B58" i="100" s="1"/>
  <c r="I57" i="100" a="1"/>
  <c r="I57" i="100" s="1"/>
  <c r="F57" i="100" a="1"/>
  <c r="F57" i="100" s="1"/>
  <c r="E57" i="100" a="1"/>
  <c r="E57" i="100" s="1"/>
  <c r="B57" i="100" a="1"/>
  <c r="B57" i="100" s="1"/>
  <c r="I56" i="100" a="1"/>
  <c r="I56" i="100" s="1"/>
  <c r="F56" i="100" a="1"/>
  <c r="F56" i="100" s="1"/>
  <c r="E56" i="100" a="1"/>
  <c r="E56" i="100" s="1"/>
  <c r="B56" i="100" a="1"/>
  <c r="B56" i="100" s="1"/>
  <c r="I55" i="100" a="1"/>
  <c r="I55" i="100" s="1"/>
  <c r="F55" i="100" a="1"/>
  <c r="F55" i="100" s="1"/>
  <c r="E55" i="100" a="1"/>
  <c r="E55" i="100" s="1"/>
  <c r="B55" i="100" a="1"/>
  <c r="B55" i="100" s="1"/>
  <c r="I54" i="100" a="1"/>
  <c r="I54" i="100" s="1"/>
  <c r="F54" i="100" a="1"/>
  <c r="F54" i="100" s="1"/>
  <c r="E54" i="100" a="1"/>
  <c r="E54" i="100" s="1"/>
  <c r="B54" i="100" a="1"/>
  <c r="B54" i="100" s="1"/>
  <c r="I53" i="100" a="1"/>
  <c r="I53" i="100" s="1"/>
  <c r="F53" i="100" a="1"/>
  <c r="F53" i="100" s="1"/>
  <c r="E53" i="100" a="1"/>
  <c r="E53" i="100" s="1"/>
  <c r="B53" i="100" a="1"/>
  <c r="B53" i="100" s="1"/>
  <c r="I52" i="100" a="1"/>
  <c r="I52" i="100" s="1"/>
  <c r="F52" i="100" a="1"/>
  <c r="F52" i="100" s="1"/>
  <c r="E52" i="100" a="1"/>
  <c r="E52" i="100" s="1"/>
  <c r="B52" i="100" a="1"/>
  <c r="B52" i="100" s="1"/>
  <c r="I51" i="100" a="1"/>
  <c r="I51" i="100" s="1"/>
  <c r="F51" i="100" a="1"/>
  <c r="F51" i="100" s="1"/>
  <c r="E51" i="100" a="1"/>
  <c r="E51" i="100" s="1"/>
  <c r="B51" i="100" a="1"/>
  <c r="B51" i="100" s="1"/>
  <c r="I50" i="100" a="1"/>
  <c r="I50" i="100" s="1"/>
  <c r="F50" i="100" a="1"/>
  <c r="F50" i="100" s="1"/>
  <c r="E50" i="100" a="1"/>
  <c r="E50" i="100" s="1"/>
  <c r="B50" i="100" a="1"/>
  <c r="B50" i="100" s="1"/>
  <c r="I49" i="100" a="1"/>
  <c r="I49" i="100" s="1"/>
  <c r="F49" i="100" a="1"/>
  <c r="F49" i="100" s="1"/>
  <c r="E49" i="100" a="1"/>
  <c r="E49" i="100" s="1"/>
  <c r="B49" i="100" a="1"/>
  <c r="B49" i="100" s="1"/>
  <c r="I48" i="100" a="1"/>
  <c r="I48" i="100" s="1"/>
  <c r="F48" i="100" a="1"/>
  <c r="F48" i="100" s="1"/>
  <c r="E48" i="100" a="1"/>
  <c r="E48" i="100" s="1"/>
  <c r="B48" i="100" a="1"/>
  <c r="B48" i="100" s="1"/>
  <c r="I47" i="100" a="1"/>
  <c r="I47" i="100" s="1"/>
  <c r="F47" i="100" a="1"/>
  <c r="F47" i="100" s="1"/>
  <c r="E47" i="100" a="1"/>
  <c r="E47" i="100" s="1"/>
  <c r="B47" i="100" a="1"/>
  <c r="B47" i="100" s="1"/>
  <c r="I46" i="100" a="1"/>
  <c r="I46" i="100" s="1"/>
  <c r="F46" i="100" a="1"/>
  <c r="F46" i="100" s="1"/>
  <c r="E46" i="100" a="1"/>
  <c r="E46" i="100" s="1"/>
  <c r="B46" i="100" a="1"/>
  <c r="B46" i="100" s="1"/>
  <c r="I45" i="100" a="1"/>
  <c r="I45" i="100" s="1"/>
  <c r="F45" i="100" a="1"/>
  <c r="F45" i="100" s="1"/>
  <c r="E45" i="100" a="1"/>
  <c r="E45" i="100" s="1"/>
  <c r="B45" i="100" a="1"/>
  <c r="B45" i="100" s="1"/>
  <c r="I44" i="100" a="1"/>
  <c r="I44" i="100" s="1"/>
  <c r="F44" i="100" a="1"/>
  <c r="F44" i="100" s="1"/>
  <c r="E44" i="100" a="1"/>
  <c r="E44" i="100" s="1"/>
  <c r="B44" i="100" a="1"/>
  <c r="B44" i="100" s="1"/>
  <c r="I43" i="100" a="1"/>
  <c r="I43" i="100" s="1"/>
  <c r="F43" i="100" a="1"/>
  <c r="F43" i="100" s="1"/>
  <c r="E43" i="100" a="1"/>
  <c r="E43" i="100" s="1"/>
  <c r="B43" i="100" a="1"/>
  <c r="B43" i="100" s="1"/>
  <c r="I42" i="100" a="1"/>
  <c r="I42" i="100" s="1"/>
  <c r="F42" i="100" a="1"/>
  <c r="F42" i="100" s="1"/>
  <c r="E42" i="100" a="1"/>
  <c r="E42" i="100" s="1"/>
  <c r="B42" i="100" a="1"/>
  <c r="B42" i="100" s="1"/>
  <c r="I41" i="100" a="1"/>
  <c r="I41" i="100" s="1"/>
  <c r="F41" i="100" a="1"/>
  <c r="F41" i="100" s="1"/>
  <c r="E41" i="100" a="1"/>
  <c r="E41" i="100" s="1"/>
  <c r="B41" i="100" a="1"/>
  <c r="B41" i="100" s="1"/>
  <c r="I40" i="100" a="1"/>
  <c r="I40" i="100" s="1"/>
  <c r="F40" i="100" a="1"/>
  <c r="F40" i="100" s="1"/>
  <c r="E40" i="100" a="1"/>
  <c r="E40" i="100" s="1"/>
  <c r="B40" i="100" a="1"/>
  <c r="B40" i="100" s="1"/>
  <c r="I39" i="100" a="1"/>
  <c r="I39" i="100" s="1"/>
  <c r="F39" i="100" a="1"/>
  <c r="F39" i="100" s="1"/>
  <c r="E39" i="100" a="1"/>
  <c r="E39" i="100" s="1"/>
  <c r="B39" i="100" a="1"/>
  <c r="B39" i="100" s="1"/>
  <c r="I38" i="100" a="1"/>
  <c r="I38" i="100" s="1"/>
  <c r="F38" i="100" a="1"/>
  <c r="F38" i="100" s="1"/>
  <c r="E38" i="100" a="1"/>
  <c r="E38" i="100" s="1"/>
  <c r="B38" i="100" a="1"/>
  <c r="B38" i="100" s="1"/>
  <c r="I37" i="100" a="1"/>
  <c r="I37" i="100" s="1"/>
  <c r="F37" i="100" a="1"/>
  <c r="F37" i="100" s="1"/>
  <c r="E37" i="100" a="1"/>
  <c r="E37" i="100" s="1"/>
  <c r="B37" i="100" a="1"/>
  <c r="B37" i="100" s="1"/>
  <c r="I36" i="100" a="1"/>
  <c r="I36" i="100" s="1"/>
  <c r="F36" i="100" a="1"/>
  <c r="F36" i="100" s="1"/>
  <c r="E36" i="100" a="1"/>
  <c r="E36" i="100" s="1"/>
  <c r="B36" i="100" a="1"/>
  <c r="B36" i="100" s="1"/>
  <c r="F35" i="100" a="1"/>
  <c r="F35" i="100" s="1"/>
  <c r="E35" i="100" a="1"/>
  <c r="E35" i="100" s="1"/>
  <c r="B35" i="100" a="1"/>
  <c r="B35" i="100" s="1"/>
  <c r="AB34" i="100" a="1"/>
  <c r="AB34" i="100" s="1"/>
  <c r="Q34" i="100"/>
  <c r="F34" i="100" a="1"/>
  <c r="F34" i="100" s="1"/>
  <c r="E34" i="100" a="1"/>
  <c r="E34" i="100" s="1"/>
  <c r="B34" i="100" a="1"/>
  <c r="B34" i="100" s="1"/>
  <c r="AB33" i="100" a="1"/>
  <c r="AB33" i="100" s="1"/>
  <c r="F33" i="100" a="1"/>
  <c r="F33" i="100" s="1"/>
  <c r="E33" i="100" a="1"/>
  <c r="E33" i="100" s="1"/>
  <c r="B33" i="100" a="1"/>
  <c r="B33" i="100" s="1"/>
  <c r="F32" i="100" a="1"/>
  <c r="F32" i="100" s="1"/>
  <c r="E32" i="100" a="1"/>
  <c r="E32" i="100" s="1"/>
  <c r="B32" i="100" a="1"/>
  <c r="B32" i="100" s="1"/>
  <c r="F31" i="100" a="1"/>
  <c r="F31" i="100" s="1"/>
  <c r="E31" i="100" a="1"/>
  <c r="E31" i="100" s="1"/>
  <c r="B31" i="100" a="1"/>
  <c r="B31" i="100" s="1"/>
  <c r="F30" i="100" a="1"/>
  <c r="F30" i="100" s="1"/>
  <c r="E30" i="100" a="1"/>
  <c r="E30" i="100" s="1"/>
  <c r="B30" i="100" a="1"/>
  <c r="B30" i="100" s="1"/>
  <c r="F29" i="100" a="1"/>
  <c r="F29" i="100" s="1"/>
  <c r="E29" i="100" a="1"/>
  <c r="E29" i="100" s="1"/>
  <c r="B29" i="100" a="1"/>
  <c r="B29" i="100" s="1"/>
  <c r="F28" i="100" a="1"/>
  <c r="F28" i="100" s="1"/>
  <c r="E28" i="100" a="1"/>
  <c r="E28" i="100" s="1"/>
  <c r="B28" i="100" a="1"/>
  <c r="B28" i="100" s="1"/>
  <c r="F27" i="100" a="1"/>
  <c r="F27" i="100" s="1"/>
  <c r="E27" i="100" a="1"/>
  <c r="E27" i="100" s="1"/>
  <c r="B27" i="100" a="1"/>
  <c r="B27" i="100" s="1"/>
  <c r="F26" i="100" a="1"/>
  <c r="F26" i="100" s="1"/>
  <c r="E26" i="100" a="1"/>
  <c r="E26" i="100" s="1"/>
  <c r="B26" i="100" a="1"/>
  <c r="B26" i="100" s="1"/>
  <c r="F25" i="100" a="1"/>
  <c r="F25" i="100" s="1"/>
  <c r="E25" i="100" a="1"/>
  <c r="E25" i="100" s="1"/>
  <c r="B25" i="100" a="1"/>
  <c r="B25" i="100" s="1"/>
  <c r="F24" i="100" a="1"/>
  <c r="F24" i="100" s="1"/>
  <c r="E24" i="100" a="1"/>
  <c r="E24" i="100" s="1"/>
  <c r="B24" i="100" a="1"/>
  <c r="B24" i="100" s="1"/>
  <c r="F23" i="100" a="1"/>
  <c r="F23" i="100" s="1"/>
  <c r="E23" i="100" a="1"/>
  <c r="E23" i="100" s="1"/>
  <c r="B23" i="100" a="1"/>
  <c r="B23" i="100" s="1"/>
  <c r="F22" i="100" a="1"/>
  <c r="F22" i="100" s="1"/>
  <c r="E22" i="100" a="1"/>
  <c r="E22" i="100" s="1"/>
  <c r="B22" i="100" a="1"/>
  <c r="B22" i="100" s="1"/>
  <c r="F21" i="100" a="1"/>
  <c r="F21" i="100" s="1"/>
  <c r="E21" i="100" a="1"/>
  <c r="E21" i="100" s="1"/>
  <c r="B21" i="100" a="1"/>
  <c r="B21" i="100" s="1"/>
  <c r="F20" i="100" a="1"/>
  <c r="F20" i="100" s="1"/>
  <c r="E20" i="100" a="1"/>
  <c r="E20" i="100" s="1"/>
  <c r="B20" i="100" a="1"/>
  <c r="B20" i="100" s="1"/>
  <c r="F19" i="100" a="1"/>
  <c r="F19" i="100" s="1"/>
  <c r="E19" i="100" a="1"/>
  <c r="E19" i="100" s="1"/>
  <c r="B19" i="100" a="1"/>
  <c r="B19" i="100" s="1"/>
  <c r="F18" i="100" a="1"/>
  <c r="F18" i="100" s="1"/>
  <c r="E18" i="100" a="1"/>
  <c r="E18" i="100" s="1"/>
  <c r="B18" i="100" a="1"/>
  <c r="B18" i="100" s="1"/>
  <c r="I5" i="100" a="1"/>
  <c r="I5" i="100" s="1"/>
  <c r="B5" i="100" a="1"/>
  <c r="B5" i="100" s="1"/>
  <c r="L14" i="108"/>
  <c r="K14" i="108"/>
  <c r="J14" i="108"/>
  <c r="K13" i="108"/>
  <c r="J13" i="108"/>
  <c r="J12" i="108"/>
  <c r="A4" i="108" a="1"/>
  <c r="B3" i="108" a="1"/>
  <c r="I12" i="108" s="1"/>
  <c r="BG1" i="27"/>
  <c r="AN4" i="93" l="1"/>
  <c r="AN7" i="93"/>
  <c r="AN5" i="93"/>
  <c r="AN6" i="93"/>
  <c r="AK4" i="27"/>
  <c r="AM4" i="27" s="1"/>
  <c r="AC7" i="92"/>
  <c r="AE6" i="92"/>
  <c r="AE5" i="92"/>
  <c r="AE7" i="93"/>
  <c r="AE6" i="93"/>
  <c r="AE5" i="93"/>
  <c r="AA5" i="94" a="1"/>
  <c r="AA5" i="94" s="1"/>
  <c r="AA4" i="94" a="1"/>
  <c r="AA4" i="94" s="1"/>
  <c r="AF4" i="93" s="1"/>
  <c r="AO4" i="93" s="1" a="1"/>
  <c r="AO4" i="93" s="1"/>
  <c r="AA6" i="94" a="1"/>
  <c r="AA6" i="94" s="1"/>
  <c r="AJ7" i="93" a="1"/>
  <c r="AJ7" i="93" s="1"/>
  <c r="AJ4" i="93" a="1"/>
  <c r="AJ4" i="93" s="1"/>
  <c r="AU7" i="93"/>
  <c r="AU4" i="93"/>
  <c r="AZ4" i="93" s="1"/>
  <c r="AK6" i="93" a="1"/>
  <c r="AK6" i="93" s="1"/>
  <c r="AL6" i="93" s="1" a="1"/>
  <c r="AL6" i="93" s="1"/>
  <c r="AK5" i="93" a="1"/>
  <c r="AK5" i="93" s="1"/>
  <c r="AL5" i="93" s="1" a="1"/>
  <c r="AL5" i="93" s="1"/>
  <c r="V11" i="108"/>
  <c r="X12" i="112"/>
  <c r="Q6" i="108"/>
  <c r="R7" i="110" a="1"/>
  <c r="R7" i="110" s="1"/>
  <c r="Z12" i="112"/>
  <c r="AE4" i="105" a="1"/>
  <c r="AE4" i="105" s="1"/>
  <c r="Y12" i="112"/>
  <c r="T12" i="110" a="1"/>
  <c r="T12" i="110" s="1"/>
  <c r="AB4" i="105" a="1"/>
  <c r="AB4" i="105" s="1"/>
  <c r="Y8" i="105" a="1"/>
  <c r="Y8" i="105" s="1"/>
  <c r="AG8" i="105" a="1"/>
  <c r="AG8" i="105" s="1"/>
  <c r="AH8" i="105" a="1"/>
  <c r="AH8" i="105" s="1"/>
  <c r="AE5" i="105" a="1"/>
  <c r="AE5" i="105" s="1"/>
  <c r="Q12" i="108"/>
  <c r="V14" i="110" a="1"/>
  <c r="V14" i="110" s="1"/>
  <c r="P7" i="110" a="1"/>
  <c r="P7" i="110" s="1"/>
  <c r="X13" i="112"/>
  <c r="AH5" i="105" a="1"/>
  <c r="AH5" i="105" s="1"/>
  <c r="P11" i="108"/>
  <c r="Q14" i="110" a="1"/>
  <c r="Q14" i="110" s="1"/>
  <c r="AA12" i="112"/>
  <c r="Y6" i="105" a="1"/>
  <c r="Y6" i="105" s="1"/>
  <c r="V12" i="108"/>
  <c r="U10" i="108"/>
  <c r="AG6" i="105" a="1"/>
  <c r="AG6" i="105" s="1"/>
  <c r="R10" i="108"/>
  <c r="AH6" i="105" a="1"/>
  <c r="AH6" i="105" s="1"/>
  <c r="V13" i="108"/>
  <c r="R8" i="108"/>
  <c r="V13" i="110" a="1"/>
  <c r="V13" i="110" s="1"/>
  <c r="Z7" i="105" a="1"/>
  <c r="Z7" i="105" s="1"/>
  <c r="P8" i="108"/>
  <c r="S13" i="110" a="1"/>
  <c r="S13" i="110" s="1"/>
  <c r="AC7" i="105" a="1"/>
  <c r="AC7" i="105" s="1"/>
  <c r="Q7" i="108"/>
  <c r="AH7" i="105" a="1"/>
  <c r="AH7" i="105" s="1"/>
  <c r="V14" i="108"/>
  <c r="V12" i="110" a="1"/>
  <c r="V12" i="110" s="1"/>
  <c r="R14" i="108"/>
  <c r="X15" i="112"/>
  <c r="AA8" i="105" a="1"/>
  <c r="AA8" i="105" s="1"/>
  <c r="P14" i="108"/>
  <c r="Z4" i="105" a="1"/>
  <c r="Z4" i="105" s="1"/>
  <c r="AD8" i="105" a="1"/>
  <c r="AD8" i="105" s="1"/>
  <c r="V11" i="110" a="1"/>
  <c r="V11" i="110" s="1"/>
  <c r="T11" i="110" a="1"/>
  <c r="T11" i="110" s="1"/>
  <c r="S10" i="110" a="1"/>
  <c r="S10" i="110" s="1"/>
  <c r="X14" i="112"/>
  <c r="AH4" i="105" a="1"/>
  <c r="AH4" i="105" s="1"/>
  <c r="R13" i="108"/>
  <c r="Q10" i="110" a="1"/>
  <c r="Q10" i="110" s="1"/>
  <c r="P13" i="108"/>
  <c r="Q9" i="110" a="1"/>
  <c r="Q9" i="110" s="1"/>
  <c r="AF8" i="105" a="1"/>
  <c r="AF8" i="105" s="1"/>
  <c r="AB7" i="105" a="1"/>
  <c r="AB7" i="105" s="1"/>
  <c r="X6" i="105" a="1"/>
  <c r="X6" i="105" s="1"/>
  <c r="AG4" i="105" a="1"/>
  <c r="AG4" i="105" s="1"/>
  <c r="AE8" i="105" a="1"/>
  <c r="AE8" i="105" s="1"/>
  <c r="AA7" i="105" a="1"/>
  <c r="AA7" i="105" s="1"/>
  <c r="AF4" i="105" a="1"/>
  <c r="AF4" i="105" s="1"/>
  <c r="AC8" i="105" a="1"/>
  <c r="AC8" i="105" s="1"/>
  <c r="Y7" i="105" a="1"/>
  <c r="Y7" i="105" s="1"/>
  <c r="AG5" i="105" a="1"/>
  <c r="AG5" i="105" s="1"/>
  <c r="AD4" i="105" a="1"/>
  <c r="AD4" i="105" s="1"/>
  <c r="AB8" i="105" a="1"/>
  <c r="AB8" i="105" s="1"/>
  <c r="X7" i="105" a="1"/>
  <c r="X7" i="105" s="1"/>
  <c r="AF5" i="105" a="1"/>
  <c r="AF5" i="105" s="1"/>
  <c r="AC4" i="105" a="1"/>
  <c r="AC4" i="105" s="1"/>
  <c r="Z8" i="105" a="1"/>
  <c r="Z8" i="105" s="1"/>
  <c r="AD5" i="105" a="1"/>
  <c r="AD5" i="105" s="1"/>
  <c r="AA4" i="105" a="1"/>
  <c r="AA4" i="105" s="1"/>
  <c r="X8" i="105" a="1"/>
  <c r="X8" i="105" s="1"/>
  <c r="AF6" i="105" a="1"/>
  <c r="AF6" i="105" s="1"/>
  <c r="AB5" i="105" a="1"/>
  <c r="AB5" i="105" s="1"/>
  <c r="Y4" i="105" a="1"/>
  <c r="Y4" i="105" s="1"/>
  <c r="AE6" i="105" a="1"/>
  <c r="AE6" i="105" s="1"/>
  <c r="AA5" i="105" a="1"/>
  <c r="AA5" i="105" s="1"/>
  <c r="X4" i="105" a="1"/>
  <c r="X4" i="105" s="1"/>
  <c r="AD6" i="105" a="1"/>
  <c r="AD6" i="105" s="1"/>
  <c r="Z5" i="105" a="1"/>
  <c r="Z5" i="105" s="1"/>
  <c r="AG7" i="105" a="1"/>
  <c r="AG7" i="105" s="1"/>
  <c r="AC6" i="105" a="1"/>
  <c r="AC6" i="105" s="1"/>
  <c r="Y5" i="105" a="1"/>
  <c r="Y5" i="105" s="1"/>
  <c r="W3" i="105"/>
  <c r="AF7" i="105" a="1"/>
  <c r="AF7" i="105" s="1"/>
  <c r="AB6" i="105" a="1"/>
  <c r="AB6" i="105" s="1"/>
  <c r="X5" i="105" a="1"/>
  <c r="X5" i="105" s="1"/>
  <c r="O3" i="108"/>
  <c r="O6" i="108" s="1"/>
  <c r="R12" i="108"/>
  <c r="S12" i="108"/>
  <c r="U12" i="108"/>
  <c r="Q14" i="108"/>
  <c r="Q13" i="108"/>
  <c r="S14" i="108"/>
  <c r="Q11" i="108"/>
  <c r="S13" i="108"/>
  <c r="T14" i="108"/>
  <c r="R11" i="108"/>
  <c r="T13" i="108"/>
  <c r="U14" i="108"/>
  <c r="S11" i="108"/>
  <c r="U13" i="108"/>
  <c r="T11" i="108"/>
  <c r="U11" i="108"/>
  <c r="U11" i="110" a="1"/>
  <c r="U11" i="110" s="1"/>
  <c r="T13" i="110" a="1"/>
  <c r="T13" i="110" s="1"/>
  <c r="U13" i="110" a="1"/>
  <c r="U13" i="110" s="1"/>
  <c r="P6" i="110" a="1"/>
  <c r="P6" i="110" s="1"/>
  <c r="T9" i="110" a="1"/>
  <c r="T9" i="110" s="1"/>
  <c r="N4" i="108"/>
  <c r="P10" i="108"/>
  <c r="P7" i="108"/>
  <c r="Q10" i="108"/>
  <c r="R7" i="108"/>
  <c r="S10" i="108"/>
  <c r="T10" i="108"/>
  <c r="Q8" i="108"/>
  <c r="S8" i="108"/>
  <c r="P9" i="108"/>
  <c r="Q9" i="108"/>
  <c r="P5" i="108"/>
  <c r="R9" i="108"/>
  <c r="P5" i="110" a="1"/>
  <c r="P5" i="110" s="1"/>
  <c r="R9" i="110" a="1"/>
  <c r="R9" i="110" s="1"/>
  <c r="S9" i="110" a="1"/>
  <c r="S9" i="110" s="1"/>
  <c r="Z6" i="105" a="1"/>
  <c r="Z6" i="105" s="1"/>
  <c r="AD7" i="105" a="1"/>
  <c r="AD7" i="105" s="1"/>
  <c r="P12" i="108"/>
  <c r="T9" i="108"/>
  <c r="P6" i="108"/>
  <c r="R13" i="110" a="1"/>
  <c r="R13" i="110" s="1"/>
  <c r="S11" i="110" a="1"/>
  <c r="S11" i="110" s="1"/>
  <c r="P9" i="110" a="1"/>
  <c r="P9" i="110" s="1"/>
  <c r="AA6" i="105" a="1"/>
  <c r="AA6" i="105" s="1"/>
  <c r="AE7" i="105" a="1"/>
  <c r="AE7" i="105" s="1"/>
  <c r="S9" i="108"/>
  <c r="Q13" i="110" a="1"/>
  <c r="Q13" i="110" s="1"/>
  <c r="R11" i="110" a="1"/>
  <c r="R11" i="110" s="1"/>
  <c r="P13" i="110" a="1"/>
  <c r="P13" i="110" s="1"/>
  <c r="Q11" i="110" a="1"/>
  <c r="Q11" i="110" s="1"/>
  <c r="S8" i="110" a="1"/>
  <c r="S8" i="110" s="1"/>
  <c r="U14" i="110" a="1"/>
  <c r="U14" i="110" s="1"/>
  <c r="P11" i="110" a="1"/>
  <c r="P11" i="110" s="1"/>
  <c r="R8" i="110" a="1"/>
  <c r="R8" i="110" s="1"/>
  <c r="T14" i="110" a="1"/>
  <c r="T14" i="110" s="1"/>
  <c r="Q8" i="110" a="1"/>
  <c r="Q8" i="110" s="1"/>
  <c r="S14" i="110" a="1"/>
  <c r="S14" i="110" s="1"/>
  <c r="U10" i="110" a="1"/>
  <c r="U10" i="110" s="1"/>
  <c r="P8" i="110" a="1"/>
  <c r="P8" i="110" s="1"/>
  <c r="R14" i="110" a="1"/>
  <c r="R14" i="110" s="1"/>
  <c r="U12" i="110" a="1"/>
  <c r="U12" i="110" s="1"/>
  <c r="T10" i="110" a="1"/>
  <c r="T10" i="110" s="1"/>
  <c r="P14" i="110" a="1"/>
  <c r="P14" i="110" s="1"/>
  <c r="S12" i="110" a="1"/>
  <c r="S12" i="110" s="1"/>
  <c r="R10" i="110" a="1"/>
  <c r="R10" i="110" s="1"/>
  <c r="Q7" i="110" a="1"/>
  <c r="Q7" i="110" s="1"/>
  <c r="Q12" i="110" a="1"/>
  <c r="Q12" i="110" s="1"/>
  <c r="P10" i="110" a="1"/>
  <c r="P10" i="110" s="1"/>
  <c r="P12" i="110" a="1"/>
  <c r="P12" i="110" s="1"/>
  <c r="Q6" i="110" a="1"/>
  <c r="Q6" i="110" s="1"/>
  <c r="AD5" i="93"/>
  <c r="AL6" i="92"/>
  <c r="U241" i="92"/>
  <c r="Y241" i="92"/>
  <c r="D20" i="100" a="1"/>
  <c r="D20" i="100" s="1"/>
  <c r="D75" i="100" a="1"/>
  <c r="D75" i="100" s="1"/>
  <c r="D40" i="100" a="1"/>
  <c r="D40" i="100" s="1"/>
  <c r="D64" i="100" a="1"/>
  <c r="D64" i="100" s="1"/>
  <c r="D28" i="100" a="1"/>
  <c r="D28" i="100" s="1"/>
  <c r="D72" i="100" a="1"/>
  <c r="D72" i="100" s="1"/>
  <c r="D25" i="100" a="1"/>
  <c r="D25" i="100" s="1"/>
  <c r="D35" i="100" a="1"/>
  <c r="D35" i="100" s="1"/>
  <c r="D43" i="100" a="1"/>
  <c r="D43" i="100" s="1"/>
  <c r="D33" i="100" a="1"/>
  <c r="D33" i="100" s="1"/>
  <c r="D51" i="100" a="1"/>
  <c r="D51" i="100" s="1"/>
  <c r="D59" i="100" a="1"/>
  <c r="D59" i="100" s="1"/>
  <c r="D48" i="100" a="1"/>
  <c r="D48" i="100" s="1"/>
  <c r="D67" i="100" a="1"/>
  <c r="D67" i="100" s="1"/>
  <c r="D56" i="100" a="1"/>
  <c r="D56" i="100" s="1"/>
  <c r="I13" i="108"/>
  <c r="I14" i="108"/>
  <c r="I11" i="110" a="1"/>
  <c r="I11" i="110" s="1"/>
  <c r="J14" i="112"/>
  <c r="J13" i="112"/>
  <c r="M3" i="105"/>
  <c r="J15" i="112"/>
  <c r="I14" i="110" a="1"/>
  <c r="I14" i="110" s="1"/>
  <c r="I11" i="108"/>
  <c r="I13" i="110" a="1"/>
  <c r="I13" i="110" s="1"/>
  <c r="I12" i="110" a="1"/>
  <c r="I12" i="110" s="1"/>
  <c r="M12" i="112"/>
  <c r="L12" i="112"/>
  <c r="K12" i="112"/>
  <c r="J12" i="112"/>
  <c r="G14" i="108"/>
  <c r="E12" i="108"/>
  <c r="D36" i="100" a="1"/>
  <c r="D36" i="100" s="1"/>
  <c r="D76" i="100" a="1"/>
  <c r="D76" i="100" s="1"/>
  <c r="C24" i="100" a="1"/>
  <c r="C24" i="100" s="1"/>
  <c r="C34" i="100" a="1"/>
  <c r="C34" i="100" s="1"/>
  <c r="C39" i="100" a="1"/>
  <c r="C39" i="100" s="1"/>
  <c r="C47" i="100" a="1"/>
  <c r="C47" i="100" s="1"/>
  <c r="C55" i="100" a="1"/>
  <c r="C55" i="100" s="1"/>
  <c r="C63" i="100" a="1"/>
  <c r="C63" i="100" s="1"/>
  <c r="C71" i="100" a="1"/>
  <c r="C71" i="100" s="1"/>
  <c r="D44" i="100" a="1"/>
  <c r="D44" i="100" s="1"/>
  <c r="C32" i="100" a="1"/>
  <c r="C32" i="100" s="1"/>
  <c r="D34" i="100" a="1"/>
  <c r="D34" i="100" s="1"/>
  <c r="D39" i="100" a="1"/>
  <c r="D39" i="100" s="1"/>
  <c r="D47" i="100" a="1"/>
  <c r="D47" i="100" s="1"/>
  <c r="D55" i="100" a="1"/>
  <c r="D55" i="100" s="1"/>
  <c r="D63" i="100" a="1"/>
  <c r="D63" i="100" s="1"/>
  <c r="D71" i="100" a="1"/>
  <c r="D71" i="100" s="1"/>
  <c r="C27" i="100" a="1"/>
  <c r="C27" i="100" s="1"/>
  <c r="D32" i="100" a="1"/>
  <c r="D32" i="100" s="1"/>
  <c r="C42" i="100" a="1"/>
  <c r="C42" i="100" s="1"/>
  <c r="C50" i="100" a="1"/>
  <c r="C50" i="100" s="1"/>
  <c r="C58" i="100" a="1"/>
  <c r="C58" i="100" s="1"/>
  <c r="C66" i="100" a="1"/>
  <c r="C66" i="100" s="1"/>
  <c r="C74" i="100" a="1"/>
  <c r="C74" i="100" s="1"/>
  <c r="D21" i="100" a="1"/>
  <c r="D21" i="100" s="1"/>
  <c r="D24" i="100" a="1"/>
  <c r="D24" i="100" s="1"/>
  <c r="C19" i="100" a="1"/>
  <c r="C19" i="100" s="1"/>
  <c r="D19" i="100" a="1"/>
  <c r="D19" i="100" s="1"/>
  <c r="D27" i="100" a="1"/>
  <c r="D27" i="100" s="1"/>
  <c r="D42" i="100" a="1"/>
  <c r="D42" i="100" s="1"/>
  <c r="D50" i="100" a="1"/>
  <c r="D50" i="100" s="1"/>
  <c r="D58" i="100" a="1"/>
  <c r="D58" i="100" s="1"/>
  <c r="D66" i="100" a="1"/>
  <c r="D66" i="100" s="1"/>
  <c r="D74" i="100" a="1"/>
  <c r="D74" i="100" s="1"/>
  <c r="D29" i="100" a="1"/>
  <c r="D29" i="100" s="1"/>
  <c r="D52" i="100" a="1"/>
  <c r="D52" i="100" s="1"/>
  <c r="D68" i="100" a="1"/>
  <c r="D68" i="100" s="1"/>
  <c r="C22" i="100" a="1"/>
  <c r="C22" i="100" s="1"/>
  <c r="C30" i="100" a="1"/>
  <c r="C30" i="100" s="1"/>
  <c r="C37" i="100" a="1"/>
  <c r="C37" i="100" s="1"/>
  <c r="C45" i="100" a="1"/>
  <c r="C45" i="100" s="1"/>
  <c r="C53" i="100" a="1"/>
  <c r="C53" i="100" s="1"/>
  <c r="C61" i="100" a="1"/>
  <c r="C61" i="100" s="1"/>
  <c r="C69" i="100" a="1"/>
  <c r="C69" i="100" s="1"/>
  <c r="C77" i="100" a="1"/>
  <c r="C77" i="100" s="1"/>
  <c r="D60" i="100" a="1"/>
  <c r="D60" i="100" s="1"/>
  <c r="D22" i="100" a="1"/>
  <c r="D22" i="100" s="1"/>
  <c r="D30" i="100" a="1"/>
  <c r="D30" i="100" s="1"/>
  <c r="D37" i="100" a="1"/>
  <c r="D37" i="100" s="1"/>
  <c r="D45" i="100" a="1"/>
  <c r="D45" i="100" s="1"/>
  <c r="D53" i="100" a="1"/>
  <c r="D53" i="100" s="1"/>
  <c r="D61" i="100" a="1"/>
  <c r="D61" i="100" s="1"/>
  <c r="D69" i="100" a="1"/>
  <c r="D69" i="100" s="1"/>
  <c r="D77" i="100" a="1"/>
  <c r="D77" i="100" s="1"/>
  <c r="C25" i="100" a="1"/>
  <c r="C25" i="100" s="1"/>
  <c r="C40" i="100" a="1"/>
  <c r="C40" i="100" s="1"/>
  <c r="C48" i="100" a="1"/>
  <c r="C48" i="100" s="1"/>
  <c r="C56" i="100" a="1"/>
  <c r="C56" i="100" s="1"/>
  <c r="C64" i="100" a="1"/>
  <c r="C64" i="100" s="1"/>
  <c r="C72" i="100" a="1"/>
  <c r="C72" i="100" s="1"/>
  <c r="C20" i="100" a="1"/>
  <c r="C20" i="100" s="1"/>
  <c r="C28" i="100" a="1"/>
  <c r="C28" i="100" s="1"/>
  <c r="C33" i="100" a="1"/>
  <c r="C33" i="100" s="1"/>
  <c r="C35" i="100" a="1"/>
  <c r="C35" i="100" s="1"/>
  <c r="C43" i="100" a="1"/>
  <c r="C43" i="100" s="1"/>
  <c r="C51" i="100" a="1"/>
  <c r="C51" i="100" s="1"/>
  <c r="C59" i="100" a="1"/>
  <c r="C59" i="100" s="1"/>
  <c r="C67" i="100" a="1"/>
  <c r="C67" i="100" s="1"/>
  <c r="C75" i="100" a="1"/>
  <c r="C75" i="100" s="1"/>
  <c r="C23" i="100" a="1"/>
  <c r="C23" i="100" s="1"/>
  <c r="C38" i="100" a="1"/>
  <c r="C38" i="100" s="1"/>
  <c r="C46" i="100" a="1"/>
  <c r="C46" i="100" s="1"/>
  <c r="C54" i="100" a="1"/>
  <c r="C54" i="100" s="1"/>
  <c r="C62" i="100" a="1"/>
  <c r="C62" i="100" s="1"/>
  <c r="C70" i="100" a="1"/>
  <c r="C70" i="100" s="1"/>
  <c r="C31" i="100" a="1"/>
  <c r="C31" i="100" s="1"/>
  <c r="D23" i="100" a="1"/>
  <c r="D23" i="100" s="1"/>
  <c r="D31" i="100" a="1"/>
  <c r="D31" i="100" s="1"/>
  <c r="D38" i="100" a="1"/>
  <c r="D38" i="100" s="1"/>
  <c r="D46" i="100" a="1"/>
  <c r="D46" i="100" s="1"/>
  <c r="D54" i="100" a="1"/>
  <c r="D54" i="100" s="1"/>
  <c r="D62" i="100" a="1"/>
  <c r="D62" i="100" s="1"/>
  <c r="D70" i="100" a="1"/>
  <c r="D70" i="100" s="1"/>
  <c r="C41" i="100" a="1"/>
  <c r="C41" i="100" s="1"/>
  <c r="C49" i="100" a="1"/>
  <c r="C49" i="100" s="1"/>
  <c r="C57" i="100" a="1"/>
  <c r="C57" i="100" s="1"/>
  <c r="C65" i="100" a="1"/>
  <c r="C65" i="100" s="1"/>
  <c r="C73" i="100" a="1"/>
  <c r="C73" i="100" s="1"/>
  <c r="C18" i="100" a="1"/>
  <c r="C18" i="100" s="1"/>
  <c r="C26" i="100" a="1"/>
  <c r="C26" i="100" s="1"/>
  <c r="D18" i="100" a="1"/>
  <c r="D18" i="100" s="1"/>
  <c r="D26" i="100" a="1"/>
  <c r="D26" i="100" s="1"/>
  <c r="D41" i="100" a="1"/>
  <c r="D41" i="100" s="1"/>
  <c r="D49" i="100" a="1"/>
  <c r="D49" i="100" s="1"/>
  <c r="D57" i="100" a="1"/>
  <c r="D57" i="100" s="1"/>
  <c r="D65" i="100" a="1"/>
  <c r="D65" i="100" s="1"/>
  <c r="D73" i="100" a="1"/>
  <c r="D73" i="100" s="1"/>
  <c r="C21" i="100" a="1"/>
  <c r="C21" i="100" s="1"/>
  <c r="C29" i="100" a="1"/>
  <c r="C29" i="100" s="1"/>
  <c r="C36" i="100" a="1"/>
  <c r="C36" i="100" s="1"/>
  <c r="C44" i="100" a="1"/>
  <c r="C44" i="100" s="1"/>
  <c r="C52" i="100" a="1"/>
  <c r="C52" i="100" s="1"/>
  <c r="C60" i="100" a="1"/>
  <c r="C60" i="100" s="1"/>
  <c r="C68" i="100" a="1"/>
  <c r="C68" i="100" s="1"/>
  <c r="C76" i="100" a="1"/>
  <c r="C76" i="100" s="1"/>
  <c r="B3" i="108"/>
  <c r="B14" i="108" s="1"/>
  <c r="G12" i="108"/>
  <c r="H12" i="108"/>
  <c r="C13" i="108"/>
  <c r="AO4" i="27" a="1"/>
  <c r="AO4" i="27" s="1"/>
  <c r="D14" i="108"/>
  <c r="E14" i="108"/>
  <c r="F14" i="108"/>
  <c r="C5" i="110" a="1"/>
  <c r="C5" i="110" s="1"/>
  <c r="F11" i="110" a="1"/>
  <c r="F11" i="110" s="1"/>
  <c r="E11" i="110" a="1"/>
  <c r="E11" i="110" s="1"/>
  <c r="AK7" i="27"/>
  <c r="AM7" i="27" s="1"/>
  <c r="AJ7" i="27" a="1"/>
  <c r="AJ7" i="27" s="1"/>
  <c r="AN7" i="27" s="1" a="1"/>
  <c r="AN7" i="27" s="1"/>
  <c r="AK5" i="27"/>
  <c r="AM5" i="27" s="1"/>
  <c r="AJ5" i="27" a="1"/>
  <c r="AJ5" i="27" s="1"/>
  <c r="AN5" i="27" s="1" a="1"/>
  <c r="AN5" i="27" s="1"/>
  <c r="AJ6" i="27" a="1"/>
  <c r="AJ6" i="27" s="1"/>
  <c r="AN6" i="27" s="1" a="1"/>
  <c r="AN6" i="27" s="1"/>
  <c r="AK6" i="27"/>
  <c r="AM6" i="27" s="1"/>
  <c r="AO7" i="27" a="1"/>
  <c r="AO7" i="27" s="1"/>
  <c r="AO6" i="27" a="1"/>
  <c r="AO6" i="27" s="1"/>
  <c r="AO5" i="27" a="1"/>
  <c r="AO5" i="27" s="1"/>
  <c r="AJ4" i="27" a="1"/>
  <c r="AJ4" i="27" s="1"/>
  <c r="AN4" i="27" s="1" a="1"/>
  <c r="AN4" i="27" s="1"/>
  <c r="C11" i="110" a="1"/>
  <c r="C11" i="110" s="1"/>
  <c r="H14" i="108"/>
  <c r="G9" i="110" a="1"/>
  <c r="G9" i="110" s="1"/>
  <c r="E9" i="110" a="1"/>
  <c r="E9" i="110" s="1"/>
  <c r="H14" i="110" a="1"/>
  <c r="H14" i="110" s="1"/>
  <c r="F8" i="110" a="1"/>
  <c r="F8" i="110" s="1"/>
  <c r="F14" i="110" a="1"/>
  <c r="F14" i="110" s="1"/>
  <c r="D7" i="110" a="1"/>
  <c r="D7" i="110" s="1"/>
  <c r="C11" i="108"/>
  <c r="D13" i="108"/>
  <c r="D14" i="110" a="1"/>
  <c r="D14" i="110" s="1"/>
  <c r="D11" i="108"/>
  <c r="E13" i="108"/>
  <c r="H13" i="110" a="1"/>
  <c r="H13" i="110" s="1"/>
  <c r="E10" i="110" a="1"/>
  <c r="E10" i="110" s="1"/>
  <c r="E11" i="108"/>
  <c r="F13" i="108"/>
  <c r="G13" i="110" a="1"/>
  <c r="G13" i="110" s="1"/>
  <c r="F11" i="108"/>
  <c r="G13" i="108"/>
  <c r="E13" i="110" a="1"/>
  <c r="E13" i="110" s="1"/>
  <c r="C6" i="110" a="1"/>
  <c r="C6" i="110" s="1"/>
  <c r="G11" i="108"/>
  <c r="H13" i="108"/>
  <c r="C13" i="110" a="1"/>
  <c r="C13" i="110" s="1"/>
  <c r="H11" i="108"/>
  <c r="H12" i="110" a="1"/>
  <c r="H12" i="110" s="1"/>
  <c r="G10" i="110" a="1"/>
  <c r="G10" i="110" s="1"/>
  <c r="F12" i="110" a="1"/>
  <c r="F12" i="110" s="1"/>
  <c r="C12" i="108"/>
  <c r="D12" i="110" a="1"/>
  <c r="D12" i="110" s="1"/>
  <c r="D12" i="108"/>
  <c r="G11" i="110" a="1"/>
  <c r="G11" i="110" s="1"/>
  <c r="C10" i="110" a="1"/>
  <c r="C10" i="110" s="1"/>
  <c r="A6" i="100" a="1"/>
  <c r="F8" i="108"/>
  <c r="G9" i="108"/>
  <c r="C6" i="108"/>
  <c r="D8" i="108"/>
  <c r="C9" i="110" a="1"/>
  <c r="C9" i="110" s="1"/>
  <c r="A4" i="108"/>
  <c r="D9" i="108"/>
  <c r="E9" i="108"/>
  <c r="F9" i="108"/>
  <c r="D8" i="110" a="1"/>
  <c r="D8" i="110" s="1"/>
  <c r="C5" i="108"/>
  <c r="C9" i="108"/>
  <c r="C7" i="108"/>
  <c r="F10" i="108"/>
  <c r="C10" i="108"/>
  <c r="D10" i="108"/>
  <c r="B2" i="105"/>
  <c r="B3" i="105" s="1"/>
  <c r="K3" i="105"/>
  <c r="I3" i="105"/>
  <c r="G3" i="105"/>
  <c r="E3" i="105"/>
  <c r="C3" i="105"/>
  <c r="D7" i="108"/>
  <c r="G10" i="108"/>
  <c r="F3" i="105"/>
  <c r="D6" i="108"/>
  <c r="E7" i="108"/>
  <c r="H10" i="108"/>
  <c r="H3" i="105"/>
  <c r="E10" i="108"/>
  <c r="J3" i="105"/>
  <c r="A4" i="110"/>
  <c r="H10" i="110" a="1"/>
  <c r="H10" i="110" s="1"/>
  <c r="F9" i="110" a="1"/>
  <c r="F9" i="110" s="1"/>
  <c r="D6" i="110" a="1"/>
  <c r="D6" i="110" s="1"/>
  <c r="C7" i="110" a="1"/>
  <c r="C7" i="110" s="1"/>
  <c r="D10" i="110" a="1"/>
  <c r="D10" i="110" s="1"/>
  <c r="E7" i="110" a="1"/>
  <c r="E7" i="110" s="1"/>
  <c r="F10" i="110" a="1"/>
  <c r="F10" i="110" s="1"/>
  <c r="C8" i="110" a="1"/>
  <c r="C8" i="110" s="1"/>
  <c r="E8" i="110" a="1"/>
  <c r="E8" i="110" s="1"/>
  <c r="D9" i="110" a="1"/>
  <c r="D9" i="110" s="1"/>
  <c r="C8" i="108"/>
  <c r="L3" i="105"/>
  <c r="E8" i="108"/>
  <c r="F12" i="108"/>
  <c r="C14" i="108"/>
  <c r="C14" i="110" a="1"/>
  <c r="C14" i="110" s="1"/>
  <c r="H11" i="110" a="1"/>
  <c r="H11" i="110" s="1"/>
  <c r="F13" i="110" a="1"/>
  <c r="F13" i="110" s="1"/>
  <c r="D11" i="110" a="1"/>
  <c r="D11" i="110" s="1"/>
  <c r="D13" i="110" a="1"/>
  <c r="D13" i="110" s="1"/>
  <c r="G12" i="110" a="1"/>
  <c r="G12" i="110" s="1"/>
  <c r="G14" i="110" a="1"/>
  <c r="G14" i="110" s="1"/>
  <c r="E12" i="110" a="1"/>
  <c r="E12" i="110" s="1"/>
  <c r="E14" i="110" a="1"/>
  <c r="E14" i="110" s="1"/>
  <c r="V14" i="112"/>
  <c r="U14" i="112"/>
  <c r="K11" i="112"/>
  <c r="W14" i="112"/>
  <c r="W11" i="112"/>
  <c r="H13" i="112"/>
  <c r="T14" i="112"/>
  <c r="G13" i="112"/>
  <c r="H10" i="112"/>
  <c r="F13" i="112"/>
  <c r="D6" i="112"/>
  <c r="E13" i="112"/>
  <c r="AA9" i="112"/>
  <c r="Z8" i="112"/>
  <c r="E15" i="112"/>
  <c r="S13" i="112"/>
  <c r="Y8" i="112"/>
  <c r="D15" i="112"/>
  <c r="R13" i="112"/>
  <c r="C15" i="112"/>
  <c r="M8" i="112"/>
  <c r="L8" i="112"/>
  <c r="L7" i="112"/>
  <c r="I13" i="112"/>
  <c r="M11" i="112"/>
  <c r="K7" i="112"/>
  <c r="Y11" i="112"/>
  <c r="S7" i="112"/>
  <c r="L11" i="112"/>
  <c r="S14" i="112"/>
  <c r="Z9" i="112"/>
  <c r="AA6" i="112"/>
  <c r="D13" i="112"/>
  <c r="K8" i="112"/>
  <c r="W15" i="112"/>
  <c r="R14" i="112"/>
  <c r="Y9" i="112"/>
  <c r="T8" i="112"/>
  <c r="Z6" i="112"/>
  <c r="I14" i="112"/>
  <c r="C13" i="112"/>
  <c r="I11" i="112"/>
  <c r="E7" i="112"/>
  <c r="V15" i="112"/>
  <c r="Y6" i="112"/>
  <c r="H14" i="112"/>
  <c r="U15" i="112"/>
  <c r="Q4" i="112"/>
  <c r="G14" i="112"/>
  <c r="M9" i="112"/>
  <c r="T15" i="112"/>
  <c r="AA10" i="112"/>
  <c r="F14" i="112"/>
  <c r="L9" i="112"/>
  <c r="M6" i="112"/>
  <c r="S15" i="112"/>
  <c r="Z10" i="112"/>
  <c r="U9" i="112"/>
  <c r="AA7" i="112"/>
  <c r="E14" i="112"/>
  <c r="K9" i="112"/>
  <c r="F8" i="112"/>
  <c r="L6" i="112"/>
  <c r="R15" i="112"/>
  <c r="Y10" i="112"/>
  <c r="Z7" i="112"/>
  <c r="I15" i="112"/>
  <c r="D14" i="112"/>
  <c r="K6" i="112"/>
  <c r="W13" i="112"/>
  <c r="Y7" i="112"/>
  <c r="H15" i="112"/>
  <c r="V13" i="112"/>
  <c r="G15" i="112"/>
  <c r="M10" i="112"/>
  <c r="U13" i="112"/>
  <c r="AA11" i="112"/>
  <c r="V10" i="112"/>
  <c r="R6" i="112"/>
  <c r="F15" i="112"/>
  <c r="L10" i="112"/>
  <c r="G9" i="112"/>
  <c r="M7" i="112"/>
  <c r="Z11" i="112"/>
  <c r="AA8" i="112"/>
  <c r="B5" i="112"/>
  <c r="P5" i="112"/>
  <c r="V6" i="105"/>
  <c r="V5" i="105"/>
  <c r="V8" i="105"/>
  <c r="V4" i="105"/>
  <c r="V7" i="105"/>
  <c r="AL1" i="27"/>
  <c r="B3" i="110"/>
  <c r="B5" i="110" s="1" a="1"/>
  <c r="B5" i="110" s="1"/>
  <c r="N4" i="110"/>
  <c r="O3" i="110"/>
  <c r="O8" i="110" s="1" a="1"/>
  <c r="O8" i="110" s="1"/>
  <c r="BE165" i="27" l="1"/>
  <c r="AZ7" i="93"/>
  <c r="BE83" i="124"/>
  <c r="BE31" i="124"/>
  <c r="BE159" i="124"/>
  <c r="BE89" i="124"/>
  <c r="BE221" i="124"/>
  <c r="BE57" i="124"/>
  <c r="BE42" i="124"/>
  <c r="BE173" i="124"/>
  <c r="BE174" i="124"/>
  <c r="BE86" i="124"/>
  <c r="BE191" i="124"/>
  <c r="BE24" i="124"/>
  <c r="BE199" i="124"/>
  <c r="BE150" i="124"/>
  <c r="BE197" i="124"/>
  <c r="BE214" i="124"/>
  <c r="BE30" i="124"/>
  <c r="BE146" i="124"/>
  <c r="BE103" i="124"/>
  <c r="BE158" i="124"/>
  <c r="BE232" i="124"/>
  <c r="BE230" i="124"/>
  <c r="BE96" i="124"/>
  <c r="BE93" i="124"/>
  <c r="BE55" i="124"/>
  <c r="BE87" i="124"/>
  <c r="BE145" i="124"/>
  <c r="BE85" i="124"/>
  <c r="BE132" i="124"/>
  <c r="BE32" i="124"/>
  <c r="BE172" i="124"/>
  <c r="BE121" i="124"/>
  <c r="BE101" i="124"/>
  <c r="BE11" i="124"/>
  <c r="BE136" i="124"/>
  <c r="BE151" i="124"/>
  <c r="BE114" i="124"/>
  <c r="BE46" i="124"/>
  <c r="BE212" i="124"/>
  <c r="BE21" i="124"/>
  <c r="BE224" i="124"/>
  <c r="BE238" i="124"/>
  <c r="BE53" i="124"/>
  <c r="BE149" i="124"/>
  <c r="BE100" i="124"/>
  <c r="BE222" i="124"/>
  <c r="BE239" i="124"/>
  <c r="BE129" i="124"/>
  <c r="BE36" i="124"/>
  <c r="BE28" i="124"/>
  <c r="BE20" i="124"/>
  <c r="BE65" i="124"/>
  <c r="BE66" i="124"/>
  <c r="BE187" i="124"/>
  <c r="BE204" i="124"/>
  <c r="BE236" i="124"/>
  <c r="BE70" i="124"/>
  <c r="BE9" i="124"/>
  <c r="BE91" i="124"/>
  <c r="BE38" i="124"/>
  <c r="BE71" i="124"/>
  <c r="BE131" i="124"/>
  <c r="BE228" i="124"/>
  <c r="BE160" i="124"/>
  <c r="BE64" i="124"/>
  <c r="BE48" i="124"/>
  <c r="BE168" i="124"/>
  <c r="BE34" i="124"/>
  <c r="BE113" i="124"/>
  <c r="BE47" i="124"/>
  <c r="BE134" i="124"/>
  <c r="BE179" i="124"/>
  <c r="BE127" i="124"/>
  <c r="BE13" i="124"/>
  <c r="BE10" i="124"/>
  <c r="BE128" i="124"/>
  <c r="BE45" i="124"/>
  <c r="BE206" i="124"/>
  <c r="BE107" i="124"/>
  <c r="BE69" i="124"/>
  <c r="BE205" i="124"/>
  <c r="BE123" i="124"/>
  <c r="BE59" i="124"/>
  <c r="BE234" i="124"/>
  <c r="BE162" i="124"/>
  <c r="BE124" i="124"/>
  <c r="BE111" i="124"/>
  <c r="BE135" i="124"/>
  <c r="BE67" i="124"/>
  <c r="BE233" i="124"/>
  <c r="BE153" i="124"/>
  <c r="BE29" i="124"/>
  <c r="BE139" i="124"/>
  <c r="BE164" i="124"/>
  <c r="BE84" i="124"/>
  <c r="BE226" i="124"/>
  <c r="BE43" i="124"/>
  <c r="BE181" i="124"/>
  <c r="BE140" i="124"/>
  <c r="BE37" i="124"/>
  <c r="BE75" i="124"/>
  <c r="BE220" i="124"/>
  <c r="BE225" i="124"/>
  <c r="BE18" i="124"/>
  <c r="BE177" i="124"/>
  <c r="BE229" i="124"/>
  <c r="BE161" i="124"/>
  <c r="BE200" i="124"/>
  <c r="BE166" i="124"/>
  <c r="BE209" i="124"/>
  <c r="BE202" i="124"/>
  <c r="BE5" i="124"/>
  <c r="BE157" i="124"/>
  <c r="BE237" i="124"/>
  <c r="BE94" i="124"/>
  <c r="BE119" i="124"/>
  <c r="BE184" i="124"/>
  <c r="BE97" i="124"/>
  <c r="BE176" i="124"/>
  <c r="BE186" i="124"/>
  <c r="BE116" i="124"/>
  <c r="BE203" i="124"/>
  <c r="BE120" i="124"/>
  <c r="BE98" i="124"/>
  <c r="BE56" i="124"/>
  <c r="BE235" i="124"/>
  <c r="BE25" i="124"/>
  <c r="BE102" i="124"/>
  <c r="BE27" i="124"/>
  <c r="BE210" i="124"/>
  <c r="BE218" i="124"/>
  <c r="BE99" i="124"/>
  <c r="BE188" i="124"/>
  <c r="BE198" i="124"/>
  <c r="BE68" i="124"/>
  <c r="BE78" i="124"/>
  <c r="BE227" i="124"/>
  <c r="BE240" i="124"/>
  <c r="BE147" i="124"/>
  <c r="BE118" i="124"/>
  <c r="BE14" i="124"/>
  <c r="BE223" i="124"/>
  <c r="BE169" i="124"/>
  <c r="BE17" i="124"/>
  <c r="BE180" i="124"/>
  <c r="BE22" i="124"/>
  <c r="BE7" i="124"/>
  <c r="BE215" i="124"/>
  <c r="BE167" i="124"/>
  <c r="BE196" i="124"/>
  <c r="BE33" i="124"/>
  <c r="BE141" i="124"/>
  <c r="BE170" i="124"/>
  <c r="BE213" i="124"/>
  <c r="BE19" i="124"/>
  <c r="BE201" i="124"/>
  <c r="BE106" i="124"/>
  <c r="BE6" i="124"/>
  <c r="BE152" i="124"/>
  <c r="BE143" i="124"/>
  <c r="BE88" i="124"/>
  <c r="BE190" i="124"/>
  <c r="BE92" i="124"/>
  <c r="BE195" i="124"/>
  <c r="BE117" i="124"/>
  <c r="BE8" i="124"/>
  <c r="BE163" i="124"/>
  <c r="BE178" i="124"/>
  <c r="BE77" i="124"/>
  <c r="BE208" i="124"/>
  <c r="BE156" i="124"/>
  <c r="BE185" i="124"/>
  <c r="BE58" i="124"/>
  <c r="BE144" i="124"/>
  <c r="BE41" i="124"/>
  <c r="BE183" i="124"/>
  <c r="BE39" i="124"/>
  <c r="BE61" i="124"/>
  <c r="BE142" i="124"/>
  <c r="BE62" i="124"/>
  <c r="BE126" i="124"/>
  <c r="BE165" i="124"/>
  <c r="BE112" i="124"/>
  <c r="BE90" i="124"/>
  <c r="BE16" i="124"/>
  <c r="BE23" i="124"/>
  <c r="BE26" i="124"/>
  <c r="BE12" i="124"/>
  <c r="BE74" i="124"/>
  <c r="BE211" i="124"/>
  <c r="BE95" i="124"/>
  <c r="BE105" i="124"/>
  <c r="BE133" i="124"/>
  <c r="BE109" i="124"/>
  <c r="BE49" i="124"/>
  <c r="BE110" i="124"/>
  <c r="BE217" i="124"/>
  <c r="BE175" i="124"/>
  <c r="BE122" i="124"/>
  <c r="BE231" i="124"/>
  <c r="BE193" i="124"/>
  <c r="BE80" i="124"/>
  <c r="BE44" i="124"/>
  <c r="BE63" i="124"/>
  <c r="BE130" i="124"/>
  <c r="BE192" i="124"/>
  <c r="BE137" i="124"/>
  <c r="BE194" i="124"/>
  <c r="BE51" i="124"/>
  <c r="BE79" i="124"/>
  <c r="BE35" i="124"/>
  <c r="BE60" i="124"/>
  <c r="BE15" i="124"/>
  <c r="BE104" i="124"/>
  <c r="BE216" i="124"/>
  <c r="BE82" i="124"/>
  <c r="BE54" i="124"/>
  <c r="BE189" i="124"/>
  <c r="BE125" i="124"/>
  <c r="BE154" i="124"/>
  <c r="BE148" i="124"/>
  <c r="BE72" i="124"/>
  <c r="BE155" i="124"/>
  <c r="BE40" i="124"/>
  <c r="BE50" i="124"/>
  <c r="BE52" i="124"/>
  <c r="BE207" i="124"/>
  <c r="BE76" i="124"/>
  <c r="BE171" i="124"/>
  <c r="BE81" i="124"/>
  <c r="BE219" i="124"/>
  <c r="BE115" i="124"/>
  <c r="BE182" i="124"/>
  <c r="BE108" i="124"/>
  <c r="BE138" i="124"/>
  <c r="BE4" i="124"/>
  <c r="BE73" i="124"/>
  <c r="T241" i="92"/>
  <c r="AA5" i="92"/>
  <c r="S241" i="92"/>
  <c r="V241" i="92"/>
  <c r="AF4" i="92"/>
  <c r="X241" i="92"/>
  <c r="AE4" i="92"/>
  <c r="W241" i="92"/>
  <c r="Z241" i="92"/>
  <c r="BE104" i="113"/>
  <c r="BF104" i="113" s="1"/>
  <c r="BK104" i="113" s="1"/>
  <c r="BE73" i="113"/>
  <c r="BF73" i="113" s="1"/>
  <c r="BK73" i="113" s="1"/>
  <c r="BE52" i="113"/>
  <c r="BF52" i="113" s="1"/>
  <c r="BK52" i="113" s="1"/>
  <c r="BE143" i="113"/>
  <c r="BF143" i="113" s="1"/>
  <c r="BK143" i="113" s="1"/>
  <c r="BE32" i="113"/>
  <c r="BF32" i="113" s="1"/>
  <c r="BK32" i="113" s="1"/>
  <c r="BE88" i="113"/>
  <c r="BF88" i="113" s="1"/>
  <c r="BK88" i="113" s="1"/>
  <c r="BE29" i="113"/>
  <c r="BF29" i="113" s="1"/>
  <c r="BK29" i="113" s="1"/>
  <c r="BE148" i="113"/>
  <c r="BF148" i="113" s="1"/>
  <c r="BK148" i="113" s="1"/>
  <c r="BE64" i="113"/>
  <c r="BF64" i="113" s="1"/>
  <c r="BK64" i="113" s="1"/>
  <c r="BE47" i="113"/>
  <c r="BF47" i="113" s="1"/>
  <c r="BK47" i="113" s="1"/>
  <c r="BE152" i="113"/>
  <c r="BF152" i="113" s="1"/>
  <c r="BK152" i="113" s="1"/>
  <c r="BE124" i="113"/>
  <c r="BF124" i="113" s="1"/>
  <c r="BK124" i="113" s="1"/>
  <c r="BE9" i="113"/>
  <c r="BF9" i="113" s="1"/>
  <c r="BK9" i="113" s="1"/>
  <c r="BE72" i="113"/>
  <c r="BF72" i="113" s="1"/>
  <c r="BK72" i="113" s="1"/>
  <c r="BE44" i="113"/>
  <c r="BF44" i="113" s="1"/>
  <c r="BK44" i="113" s="1"/>
  <c r="BE208" i="113"/>
  <c r="BF208" i="113" s="1"/>
  <c r="BK208" i="113" s="1"/>
  <c r="BE184" i="113"/>
  <c r="BF184" i="113" s="1"/>
  <c r="BK184" i="113" s="1"/>
  <c r="BE129" i="113"/>
  <c r="BF129" i="113" s="1"/>
  <c r="BK129" i="113" s="1"/>
  <c r="BE45" i="113"/>
  <c r="BF45" i="113" s="1"/>
  <c r="BK45" i="113" s="1"/>
  <c r="BE24" i="113"/>
  <c r="BF24" i="113" s="1"/>
  <c r="BK24" i="113" s="1"/>
  <c r="BE108" i="113"/>
  <c r="BF108" i="113" s="1"/>
  <c r="BK108" i="113" s="1"/>
  <c r="BE209" i="113"/>
  <c r="BF209" i="113" s="1"/>
  <c r="BK209" i="113" s="1"/>
  <c r="BE168" i="113"/>
  <c r="BF168" i="113" s="1"/>
  <c r="BK168" i="113" s="1"/>
  <c r="BE233" i="113"/>
  <c r="BF233" i="113" s="1"/>
  <c r="BK233" i="113" s="1"/>
  <c r="BE189" i="113"/>
  <c r="BF189" i="113" s="1"/>
  <c r="BK189" i="113" s="1"/>
  <c r="BE113" i="113"/>
  <c r="BF113" i="113" s="1"/>
  <c r="BK113" i="113" s="1"/>
  <c r="BE92" i="113"/>
  <c r="BF92" i="113" s="1"/>
  <c r="BK92" i="113" s="1"/>
  <c r="BE89" i="113"/>
  <c r="BF89" i="113" s="1"/>
  <c r="BK89" i="113" s="1"/>
  <c r="BE103" i="113"/>
  <c r="BF103" i="113" s="1"/>
  <c r="BK103" i="113" s="1"/>
  <c r="BE128" i="113"/>
  <c r="BF128" i="113" s="1"/>
  <c r="BK128" i="113" s="1"/>
  <c r="BE93" i="113"/>
  <c r="BF93" i="113" s="1"/>
  <c r="BK93" i="113" s="1"/>
  <c r="BE132" i="113"/>
  <c r="BF132" i="113" s="1"/>
  <c r="BK132" i="113" s="1"/>
  <c r="BE133" i="113"/>
  <c r="BF133" i="113" s="1"/>
  <c r="BK133" i="113" s="1"/>
  <c r="BE49" i="113"/>
  <c r="BF49" i="113" s="1"/>
  <c r="BK49" i="113" s="1"/>
  <c r="BE205" i="113"/>
  <c r="BF205" i="113" s="1"/>
  <c r="BK205" i="113" s="1"/>
  <c r="BE188" i="113"/>
  <c r="BF188" i="113" s="1"/>
  <c r="BK188" i="113" s="1"/>
  <c r="BE112" i="113"/>
  <c r="BF112" i="113" s="1"/>
  <c r="BK112" i="113" s="1"/>
  <c r="BE229" i="113"/>
  <c r="BF229" i="113" s="1"/>
  <c r="BK229" i="113" s="1"/>
  <c r="BE147" i="113"/>
  <c r="BF147" i="113" s="1"/>
  <c r="BK147" i="113" s="1"/>
  <c r="BE105" i="113"/>
  <c r="BF105" i="113" s="1"/>
  <c r="BK105" i="113" s="1"/>
  <c r="BE53" i="113"/>
  <c r="BF53" i="113" s="1"/>
  <c r="BK53" i="113" s="1"/>
  <c r="BE25" i="113"/>
  <c r="BF25" i="113" s="1"/>
  <c r="BK25" i="113" s="1"/>
  <c r="BE109" i="113"/>
  <c r="BF109" i="113" s="1"/>
  <c r="BK109" i="113" s="1"/>
  <c r="BE123" i="113"/>
  <c r="BF123" i="113" s="1"/>
  <c r="BK123" i="113" s="1"/>
  <c r="BE33" i="113"/>
  <c r="BF33" i="113" s="1"/>
  <c r="BK33" i="113" s="1"/>
  <c r="BE68" i="113"/>
  <c r="BF68" i="113" s="1"/>
  <c r="BK68" i="113" s="1"/>
  <c r="BE173" i="113"/>
  <c r="BF173" i="113" s="1"/>
  <c r="BK173" i="113" s="1"/>
  <c r="BE13" i="113"/>
  <c r="BF13" i="113" s="1"/>
  <c r="BK13" i="113" s="1"/>
  <c r="BE153" i="113"/>
  <c r="BF153" i="113" s="1"/>
  <c r="BK153" i="113" s="1"/>
  <c r="BE69" i="113"/>
  <c r="BF69" i="113" s="1"/>
  <c r="BK69" i="113" s="1"/>
  <c r="BE203" i="113"/>
  <c r="BF203" i="113" s="1"/>
  <c r="BK203" i="113" s="1"/>
  <c r="BE167" i="113"/>
  <c r="BF167" i="113" s="1"/>
  <c r="BK167" i="113" s="1"/>
  <c r="BE234" i="113"/>
  <c r="BF234" i="113" s="1"/>
  <c r="BK234" i="113" s="1"/>
  <c r="BE180" i="113"/>
  <c r="BF180" i="113" s="1"/>
  <c r="BK180" i="113" s="1"/>
  <c r="BE99" i="113"/>
  <c r="BF99" i="113" s="1"/>
  <c r="BK99" i="113" s="1"/>
  <c r="BE240" i="113"/>
  <c r="BF240" i="113" s="1"/>
  <c r="BK240" i="113" s="1"/>
  <c r="BE182" i="113"/>
  <c r="BF182" i="113" s="1"/>
  <c r="BK182" i="113" s="1"/>
  <c r="BE183" i="113"/>
  <c r="BF183" i="113" s="1"/>
  <c r="BK183" i="113" s="1"/>
  <c r="BE74" i="113"/>
  <c r="BF74" i="113" s="1"/>
  <c r="BK74" i="113" s="1"/>
  <c r="BE111" i="113"/>
  <c r="BF111" i="113" s="1"/>
  <c r="BK111" i="113" s="1"/>
  <c r="BE15" i="113"/>
  <c r="BF15" i="113" s="1"/>
  <c r="BK15" i="113" s="1"/>
  <c r="BE122" i="113"/>
  <c r="BF122" i="113" s="1"/>
  <c r="BK122" i="113" s="1"/>
  <c r="BE202" i="113"/>
  <c r="BF202" i="113" s="1"/>
  <c r="BK202" i="113" s="1"/>
  <c r="BE14" i="113"/>
  <c r="BF14" i="113" s="1"/>
  <c r="BK14" i="113" s="1"/>
  <c r="BE141" i="113"/>
  <c r="BF141" i="113" s="1"/>
  <c r="BK141" i="113" s="1"/>
  <c r="BE131" i="113"/>
  <c r="BF131" i="113" s="1"/>
  <c r="BK131" i="113" s="1"/>
  <c r="BE23" i="113"/>
  <c r="BF23" i="113" s="1"/>
  <c r="BK23" i="113" s="1"/>
  <c r="BE82" i="113"/>
  <c r="BF82" i="113" s="1"/>
  <c r="BK82" i="113" s="1"/>
  <c r="BE22" i="113"/>
  <c r="BF22" i="113" s="1"/>
  <c r="BK22" i="113" s="1"/>
  <c r="BE211" i="113"/>
  <c r="BF211" i="113" s="1"/>
  <c r="BK211" i="113" s="1"/>
  <c r="BE177" i="113"/>
  <c r="BF177" i="113" s="1"/>
  <c r="BK177" i="113" s="1"/>
  <c r="BE135" i="113"/>
  <c r="BF135" i="113" s="1"/>
  <c r="BK135" i="113" s="1"/>
  <c r="BE59" i="113"/>
  <c r="BF59" i="113" s="1"/>
  <c r="BK59" i="113" s="1"/>
  <c r="BE42" i="113"/>
  <c r="BF42" i="113" s="1"/>
  <c r="BK42" i="113" s="1"/>
  <c r="BE178" i="113"/>
  <c r="BF178" i="113" s="1"/>
  <c r="BK178" i="113" s="1"/>
  <c r="BE230" i="113"/>
  <c r="BF230" i="113" s="1"/>
  <c r="BK230" i="113" s="1"/>
  <c r="BE237" i="113"/>
  <c r="BF237" i="113" s="1"/>
  <c r="BK237" i="113" s="1"/>
  <c r="BE139" i="113"/>
  <c r="BF139" i="113" s="1"/>
  <c r="BK139" i="113" s="1"/>
  <c r="BE75" i="113"/>
  <c r="BF75" i="113" s="1"/>
  <c r="BK75" i="113" s="1"/>
  <c r="BE222" i="113"/>
  <c r="BF222" i="113" s="1"/>
  <c r="BK222" i="113" s="1"/>
  <c r="BE10" i="113"/>
  <c r="BF10" i="113" s="1"/>
  <c r="BK10" i="113" s="1"/>
  <c r="BE43" i="113"/>
  <c r="BF43" i="113" s="1"/>
  <c r="BK43" i="113" s="1"/>
  <c r="BE227" i="113"/>
  <c r="BF227" i="113" s="1"/>
  <c r="BK227" i="113" s="1"/>
  <c r="BE80" i="113"/>
  <c r="BF80" i="113" s="1"/>
  <c r="BK80" i="113" s="1"/>
  <c r="BE218" i="113"/>
  <c r="BF218" i="113" s="1"/>
  <c r="BK218" i="113" s="1"/>
  <c r="BE220" i="113"/>
  <c r="BF220" i="113" s="1"/>
  <c r="BK220" i="113" s="1"/>
  <c r="BE187" i="113"/>
  <c r="BF187" i="113" s="1"/>
  <c r="BK187" i="113" s="1"/>
  <c r="BE232" i="113"/>
  <c r="BF232" i="113" s="1"/>
  <c r="BK232" i="113" s="1"/>
  <c r="BE238" i="113"/>
  <c r="BF238" i="113" s="1"/>
  <c r="BK238" i="113" s="1"/>
  <c r="BE118" i="113"/>
  <c r="BF118" i="113" s="1"/>
  <c r="BK118" i="113" s="1"/>
  <c r="BE130" i="113"/>
  <c r="BF130" i="113" s="1"/>
  <c r="BK130" i="113" s="1"/>
  <c r="BE151" i="113"/>
  <c r="BF151" i="113" s="1"/>
  <c r="BK151" i="113" s="1"/>
  <c r="BE95" i="113"/>
  <c r="BF95" i="113" s="1"/>
  <c r="BK95" i="113" s="1"/>
  <c r="BE154" i="113"/>
  <c r="BF154" i="113" s="1"/>
  <c r="BK154" i="113" s="1"/>
  <c r="BE54" i="113"/>
  <c r="BF54" i="113" s="1"/>
  <c r="BK54" i="113" s="1"/>
  <c r="BE231" i="113"/>
  <c r="BF231" i="113" s="1"/>
  <c r="BK231" i="113" s="1"/>
  <c r="BE171" i="113"/>
  <c r="BF171" i="113" s="1"/>
  <c r="BK171" i="113" s="1"/>
  <c r="BE191" i="113"/>
  <c r="BF191" i="113" s="1"/>
  <c r="BK191" i="113" s="1"/>
  <c r="BE192" i="113"/>
  <c r="BF192" i="113" s="1"/>
  <c r="BK192" i="113" s="1"/>
  <c r="BE201" i="113"/>
  <c r="BF201" i="113" s="1"/>
  <c r="BK201" i="113" s="1"/>
  <c r="BE110" i="113"/>
  <c r="BF110" i="113" s="1"/>
  <c r="BK110" i="113" s="1"/>
  <c r="BE150" i="113"/>
  <c r="BF150" i="113" s="1"/>
  <c r="BK150" i="113" s="1"/>
  <c r="BE121" i="113"/>
  <c r="BF121" i="113" s="1"/>
  <c r="BK121" i="113" s="1"/>
  <c r="BE19" i="113"/>
  <c r="BF19" i="113" s="1"/>
  <c r="BK19" i="113" s="1"/>
  <c r="BE60" i="113"/>
  <c r="BF60" i="113" s="1"/>
  <c r="BK60" i="113" s="1"/>
  <c r="BE126" i="113"/>
  <c r="BF126" i="113" s="1"/>
  <c r="BK126" i="113" s="1"/>
  <c r="BE31" i="113"/>
  <c r="BF31" i="113" s="1"/>
  <c r="BK31" i="113" s="1"/>
  <c r="BE30" i="113"/>
  <c r="BF30" i="113" s="1"/>
  <c r="BK30" i="113" s="1"/>
  <c r="BE20" i="113"/>
  <c r="BF20" i="113" s="1"/>
  <c r="BK20" i="113" s="1"/>
  <c r="BE39" i="113"/>
  <c r="BF39" i="113" s="1"/>
  <c r="BK39" i="113" s="1"/>
  <c r="BE102" i="113"/>
  <c r="BF102" i="113" s="1"/>
  <c r="BK102" i="113" s="1"/>
  <c r="BE62" i="113"/>
  <c r="BF62" i="113" s="1"/>
  <c r="BK62" i="113" s="1"/>
  <c r="BE212" i="113"/>
  <c r="BF212" i="113" s="1"/>
  <c r="BK212" i="113" s="1"/>
  <c r="BE138" i="113"/>
  <c r="BF138" i="113" s="1"/>
  <c r="BK138" i="113" s="1"/>
  <c r="BE79" i="113"/>
  <c r="BF79" i="113" s="1"/>
  <c r="BK79" i="113" s="1"/>
  <c r="BE158" i="113"/>
  <c r="BF158" i="113" s="1"/>
  <c r="BK158" i="113" s="1"/>
  <c r="BE174" i="113"/>
  <c r="BF174" i="113" s="1"/>
  <c r="BK174" i="113" s="1"/>
  <c r="BE26" i="113"/>
  <c r="BF26" i="113" s="1"/>
  <c r="BK26" i="113" s="1"/>
  <c r="BE56" i="113"/>
  <c r="BF56" i="113" s="1"/>
  <c r="BK56" i="113" s="1"/>
  <c r="BE155" i="113"/>
  <c r="BF155" i="113" s="1"/>
  <c r="BK155" i="113" s="1"/>
  <c r="BE98" i="113"/>
  <c r="BF98" i="113" s="1"/>
  <c r="BK98" i="113" s="1"/>
  <c r="BE76" i="113"/>
  <c r="BF76" i="113" s="1"/>
  <c r="BK76" i="113" s="1"/>
  <c r="BE159" i="113"/>
  <c r="BF159" i="113" s="1"/>
  <c r="BK159" i="113" s="1"/>
  <c r="BE214" i="113"/>
  <c r="BF214" i="113" s="1"/>
  <c r="BK214" i="113" s="1"/>
  <c r="BE181" i="113"/>
  <c r="BF181" i="113" s="1"/>
  <c r="BK181" i="113" s="1"/>
  <c r="BE94" i="113"/>
  <c r="BF94" i="113" s="1"/>
  <c r="BK94" i="113" s="1"/>
  <c r="BE217" i="113"/>
  <c r="BF217" i="113" s="1"/>
  <c r="BK217" i="113" s="1"/>
  <c r="BE34" i="113"/>
  <c r="BF34" i="113" s="1"/>
  <c r="BK34" i="113" s="1"/>
  <c r="BE172" i="113"/>
  <c r="BF172" i="113" s="1"/>
  <c r="BK172" i="113" s="1"/>
  <c r="BE161" i="113"/>
  <c r="BF161" i="113" s="1"/>
  <c r="BK161" i="113" s="1"/>
  <c r="BE210" i="113"/>
  <c r="BF210" i="113" s="1"/>
  <c r="BK210" i="113" s="1"/>
  <c r="BE190" i="113"/>
  <c r="BF190" i="113" s="1"/>
  <c r="BK190" i="113" s="1"/>
  <c r="BE101" i="113"/>
  <c r="BF101" i="113" s="1"/>
  <c r="BK101" i="113" s="1"/>
  <c r="BE200" i="113"/>
  <c r="BF200" i="113" s="1"/>
  <c r="BK200" i="113" s="1"/>
  <c r="BE16" i="113"/>
  <c r="BF16" i="113" s="1"/>
  <c r="BK16" i="113" s="1"/>
  <c r="BE226" i="113"/>
  <c r="BF226" i="113" s="1"/>
  <c r="BK226" i="113" s="1"/>
  <c r="BE50" i="113"/>
  <c r="BF50" i="113" s="1"/>
  <c r="BK50" i="113" s="1"/>
  <c r="BE197" i="113"/>
  <c r="BF197" i="113" s="1"/>
  <c r="BK197" i="113" s="1"/>
  <c r="BE51" i="113"/>
  <c r="BF51" i="113" s="1"/>
  <c r="BK51" i="113" s="1"/>
  <c r="BE207" i="113"/>
  <c r="BF207" i="113" s="1"/>
  <c r="BK207" i="113" s="1"/>
  <c r="BE71" i="113"/>
  <c r="BF71" i="113" s="1"/>
  <c r="BK71" i="113" s="1"/>
  <c r="BE221" i="113"/>
  <c r="BF221" i="113" s="1"/>
  <c r="BK221" i="113" s="1"/>
  <c r="BE149" i="113"/>
  <c r="BF149" i="113" s="1"/>
  <c r="BK149" i="113" s="1"/>
  <c r="BE166" i="113"/>
  <c r="BF166" i="113" s="1"/>
  <c r="BK166" i="113" s="1"/>
  <c r="BE125" i="113"/>
  <c r="BF125" i="113" s="1"/>
  <c r="BK125" i="113" s="1"/>
  <c r="BE27" i="113"/>
  <c r="BF27" i="113" s="1"/>
  <c r="BK27" i="113" s="1"/>
  <c r="BE145" i="113"/>
  <c r="BF145" i="113" s="1"/>
  <c r="BK145" i="113" s="1"/>
  <c r="BE156" i="113"/>
  <c r="BF156" i="113" s="1"/>
  <c r="BK156" i="113" s="1"/>
  <c r="BE100" i="113"/>
  <c r="BF100" i="113" s="1"/>
  <c r="BK100" i="113" s="1"/>
  <c r="BE114" i="113"/>
  <c r="BF114" i="113" s="1"/>
  <c r="BK114" i="113" s="1"/>
  <c r="BE38" i="113"/>
  <c r="BF38" i="113" s="1"/>
  <c r="BK38" i="113" s="1"/>
  <c r="BE35" i="113"/>
  <c r="BF35" i="113" s="1"/>
  <c r="BK35" i="113" s="1"/>
  <c r="BE117" i="113"/>
  <c r="BF117" i="113" s="1"/>
  <c r="BK117" i="113" s="1"/>
  <c r="BE193" i="113"/>
  <c r="BF193" i="113" s="1"/>
  <c r="BK193" i="113" s="1"/>
  <c r="BE196" i="113"/>
  <c r="BF196" i="113" s="1"/>
  <c r="BK196" i="113" s="1"/>
  <c r="BE58" i="113"/>
  <c r="BF58" i="113" s="1"/>
  <c r="BK58" i="113" s="1"/>
  <c r="BE140" i="113"/>
  <c r="BF140" i="113" s="1"/>
  <c r="BK140" i="113" s="1"/>
  <c r="BE216" i="113"/>
  <c r="BF216" i="113" s="1"/>
  <c r="BK216" i="113" s="1"/>
  <c r="BE219" i="113"/>
  <c r="BF219" i="113" s="1"/>
  <c r="BK219" i="113" s="1"/>
  <c r="BE41" i="113"/>
  <c r="BF41" i="113" s="1"/>
  <c r="BK41" i="113" s="1"/>
  <c r="BE137" i="113"/>
  <c r="BF137" i="113" s="1"/>
  <c r="BK137" i="113" s="1"/>
  <c r="BE65" i="113"/>
  <c r="BF65" i="113" s="1"/>
  <c r="BK65" i="113" s="1"/>
  <c r="BE199" i="113"/>
  <c r="BF199" i="113" s="1"/>
  <c r="BK199" i="113" s="1"/>
  <c r="BE146" i="113"/>
  <c r="BF146" i="113" s="1"/>
  <c r="BK146" i="113" s="1"/>
  <c r="BE134" i="113"/>
  <c r="BF134" i="113" s="1"/>
  <c r="BK134" i="113" s="1"/>
  <c r="BE67" i="113"/>
  <c r="BF67" i="113" s="1"/>
  <c r="BK67" i="113" s="1"/>
  <c r="BE144" i="113"/>
  <c r="BF144" i="113" s="1"/>
  <c r="BK144" i="113" s="1"/>
  <c r="BE17" i="113"/>
  <c r="BF17" i="113" s="1"/>
  <c r="BK17" i="113" s="1"/>
  <c r="BE225" i="113"/>
  <c r="BF225" i="113" s="1"/>
  <c r="BK225" i="113" s="1"/>
  <c r="BE90" i="113"/>
  <c r="BF90" i="113" s="1"/>
  <c r="BK90" i="113" s="1"/>
  <c r="BE175" i="113"/>
  <c r="BF175" i="113" s="1"/>
  <c r="BK175" i="113" s="1"/>
  <c r="BE206" i="113"/>
  <c r="BF206" i="113" s="1"/>
  <c r="BK206" i="113" s="1"/>
  <c r="BE186" i="113"/>
  <c r="BF186" i="113" s="1"/>
  <c r="BK186" i="113" s="1"/>
  <c r="BE169" i="113"/>
  <c r="BF169" i="113" s="1"/>
  <c r="BK169" i="113" s="1"/>
  <c r="BE236" i="113"/>
  <c r="BF236" i="113" s="1"/>
  <c r="BK236" i="113" s="1"/>
  <c r="BE157" i="113"/>
  <c r="BF157" i="113" s="1"/>
  <c r="BK157" i="113" s="1"/>
  <c r="BE170" i="113"/>
  <c r="BF170" i="113" s="1"/>
  <c r="BK170" i="113" s="1"/>
  <c r="BE160" i="113"/>
  <c r="BF160" i="113" s="1"/>
  <c r="BK160" i="113" s="1"/>
  <c r="BE119" i="113"/>
  <c r="BF119" i="113" s="1"/>
  <c r="BK119" i="113" s="1"/>
  <c r="BE136" i="113"/>
  <c r="BF136" i="113" s="1"/>
  <c r="BK136" i="113" s="1"/>
  <c r="BE63" i="113"/>
  <c r="BF63" i="113" s="1"/>
  <c r="BK63" i="113" s="1"/>
  <c r="BE12" i="113"/>
  <c r="BF12" i="113" s="1"/>
  <c r="BK12" i="113" s="1"/>
  <c r="BE204" i="113"/>
  <c r="BF204" i="113" s="1"/>
  <c r="BK204" i="113" s="1"/>
  <c r="BE106" i="113"/>
  <c r="BF106" i="113" s="1"/>
  <c r="BK106" i="113" s="1"/>
  <c r="BE228" i="113"/>
  <c r="BF228" i="113" s="1"/>
  <c r="BK228" i="113" s="1"/>
  <c r="BE87" i="113"/>
  <c r="BF87" i="113" s="1"/>
  <c r="BK87" i="113" s="1"/>
  <c r="BE18" i="113"/>
  <c r="BF18" i="113" s="1"/>
  <c r="BK18" i="113" s="1"/>
  <c r="BE66" i="113"/>
  <c r="BF66" i="113" s="1"/>
  <c r="BK66" i="113" s="1"/>
  <c r="BE8" i="113"/>
  <c r="BF8" i="113" s="1"/>
  <c r="BK8" i="113" s="1"/>
  <c r="BE97" i="113"/>
  <c r="BF97" i="113" s="1"/>
  <c r="BK97" i="113" s="1"/>
  <c r="BE185" i="113"/>
  <c r="BF185" i="113" s="1"/>
  <c r="BK185" i="113" s="1"/>
  <c r="BE179" i="113"/>
  <c r="BF179" i="113" s="1"/>
  <c r="BK179" i="113" s="1"/>
  <c r="BE176" i="113"/>
  <c r="BF176" i="113" s="1"/>
  <c r="BK176" i="113" s="1"/>
  <c r="BE224" i="113"/>
  <c r="BF224" i="113" s="1"/>
  <c r="BK224" i="113" s="1"/>
  <c r="BE235" i="113"/>
  <c r="BF235" i="113" s="1"/>
  <c r="BK235" i="113" s="1"/>
  <c r="BE21" i="113"/>
  <c r="BF21" i="113" s="1"/>
  <c r="BK21" i="113" s="1"/>
  <c r="BE77" i="113"/>
  <c r="BF77" i="113" s="1"/>
  <c r="BK77" i="113" s="1"/>
  <c r="BE194" i="113"/>
  <c r="BF194" i="113" s="1"/>
  <c r="BK194" i="113" s="1"/>
  <c r="BE195" i="113"/>
  <c r="BF195" i="113" s="1"/>
  <c r="BK195" i="113" s="1"/>
  <c r="BE115" i="113"/>
  <c r="BF115" i="113" s="1"/>
  <c r="BK115" i="113" s="1"/>
  <c r="BE116" i="113"/>
  <c r="BF116" i="113" s="1"/>
  <c r="BK116" i="113" s="1"/>
  <c r="BE36" i="113"/>
  <c r="BF36" i="113" s="1"/>
  <c r="BK36" i="113" s="1"/>
  <c r="BE37" i="113"/>
  <c r="BF37" i="113" s="1"/>
  <c r="BK37" i="113" s="1"/>
  <c r="BE61" i="113"/>
  <c r="BF61" i="113" s="1"/>
  <c r="BK61" i="113" s="1"/>
  <c r="BE223" i="113"/>
  <c r="BF223" i="113" s="1"/>
  <c r="BK223" i="113" s="1"/>
  <c r="BE120" i="113"/>
  <c r="BF120" i="113" s="1"/>
  <c r="BK120" i="113" s="1"/>
  <c r="BE55" i="113"/>
  <c r="BF55" i="113" s="1"/>
  <c r="BK55" i="113" s="1"/>
  <c r="BE213" i="113"/>
  <c r="BF213" i="113" s="1"/>
  <c r="BK213" i="113" s="1"/>
  <c r="BE11" i="113"/>
  <c r="BF11" i="113" s="1"/>
  <c r="BK11" i="113" s="1"/>
  <c r="BE96" i="113"/>
  <c r="BF96" i="113" s="1"/>
  <c r="BK96" i="113" s="1"/>
  <c r="BE48" i="113"/>
  <c r="BF48" i="113" s="1"/>
  <c r="BK48" i="113" s="1"/>
  <c r="BE78" i="113"/>
  <c r="BF78" i="113" s="1"/>
  <c r="BK78" i="113" s="1"/>
  <c r="BE28" i="113"/>
  <c r="BF28" i="113" s="1"/>
  <c r="BK28" i="113" s="1"/>
  <c r="BE81" i="113"/>
  <c r="BF81" i="113" s="1"/>
  <c r="BK81" i="113" s="1"/>
  <c r="BE127" i="113"/>
  <c r="BF127" i="113" s="1"/>
  <c r="BK127" i="113" s="1"/>
  <c r="BE57" i="113"/>
  <c r="BF57" i="113" s="1"/>
  <c r="BK57" i="113" s="1"/>
  <c r="BE107" i="113"/>
  <c r="BF107" i="113" s="1"/>
  <c r="BK107" i="113" s="1"/>
  <c r="BE239" i="113"/>
  <c r="BF239" i="113" s="1"/>
  <c r="BK239" i="113" s="1"/>
  <c r="BE198" i="113"/>
  <c r="BF198" i="113" s="1"/>
  <c r="BK198" i="113" s="1"/>
  <c r="BE215" i="113"/>
  <c r="BF215" i="113" s="1"/>
  <c r="BK215" i="113" s="1"/>
  <c r="BE142" i="113"/>
  <c r="BF142" i="113" s="1"/>
  <c r="BK142" i="113" s="1"/>
  <c r="BE91" i="113"/>
  <c r="BF91" i="113" s="1"/>
  <c r="BK91" i="113" s="1"/>
  <c r="BE46" i="113"/>
  <c r="BF46" i="113" s="1"/>
  <c r="BK46" i="113" s="1"/>
  <c r="BE40" i="113"/>
  <c r="BF40" i="113" s="1"/>
  <c r="BK40" i="113" s="1"/>
  <c r="BE70" i="113"/>
  <c r="BF70" i="113" s="1"/>
  <c r="BK70" i="113" s="1"/>
  <c r="BE113" i="27"/>
  <c r="BF113" i="27" s="1"/>
  <c r="BK113" i="27" s="1"/>
  <c r="BE124" i="27"/>
  <c r="BF124" i="27" s="1"/>
  <c r="BK124" i="27" s="1"/>
  <c r="BE82" i="27"/>
  <c r="BF82" i="27" s="1"/>
  <c r="BK82" i="27" s="1"/>
  <c r="BE135" i="27"/>
  <c r="BF135" i="27" s="1"/>
  <c r="BK135" i="27" s="1"/>
  <c r="BE140" i="27"/>
  <c r="BF140" i="27" s="1"/>
  <c r="BK140" i="27" s="1"/>
  <c r="BE225" i="27"/>
  <c r="BF225" i="27" s="1"/>
  <c r="BK225" i="27" s="1"/>
  <c r="BE161" i="27"/>
  <c r="BF161" i="27" s="1"/>
  <c r="BK161" i="27" s="1"/>
  <c r="BE11" i="27"/>
  <c r="BF11" i="27" s="1"/>
  <c r="BK11" i="27" s="1"/>
  <c r="BE34" i="27"/>
  <c r="BF34" i="27" s="1"/>
  <c r="BK34" i="27" s="1"/>
  <c r="BE234" i="27"/>
  <c r="BF234" i="27" s="1"/>
  <c r="BK234" i="27" s="1"/>
  <c r="BE131" i="27"/>
  <c r="BF131" i="27" s="1"/>
  <c r="BK131" i="27" s="1"/>
  <c r="BE153" i="27"/>
  <c r="BF153" i="27" s="1"/>
  <c r="BK153" i="27" s="1"/>
  <c r="BE127" i="27"/>
  <c r="BF127" i="27" s="1"/>
  <c r="BK127" i="27" s="1"/>
  <c r="BE47" i="27"/>
  <c r="BF47" i="27" s="1"/>
  <c r="BK47" i="27" s="1"/>
  <c r="BE8" i="27"/>
  <c r="BF8" i="27" s="1"/>
  <c r="BK8" i="27" s="1"/>
  <c r="BE189" i="27"/>
  <c r="BF189" i="27" s="1"/>
  <c r="BK189" i="27" s="1"/>
  <c r="BE107" i="27"/>
  <c r="BF107" i="27" s="1"/>
  <c r="BK107" i="27" s="1"/>
  <c r="BE149" i="27"/>
  <c r="BF149" i="27" s="1"/>
  <c r="BK149" i="27" s="1"/>
  <c r="BE69" i="27"/>
  <c r="BF69" i="27" s="1"/>
  <c r="BK69" i="27" s="1"/>
  <c r="BE30" i="27"/>
  <c r="BF30" i="27" s="1"/>
  <c r="BK30" i="27" s="1"/>
  <c r="BE232" i="27"/>
  <c r="BF232" i="27" s="1"/>
  <c r="BK232" i="27" s="1"/>
  <c r="BE130" i="27"/>
  <c r="BF130" i="27" s="1"/>
  <c r="BK130" i="27" s="1"/>
  <c r="BE214" i="27"/>
  <c r="BF214" i="27" s="1"/>
  <c r="BK214" i="27" s="1"/>
  <c r="BE44" i="27"/>
  <c r="BF44" i="27" s="1"/>
  <c r="BK44" i="27" s="1"/>
  <c r="BE71" i="27"/>
  <c r="BF71" i="27" s="1"/>
  <c r="BK71" i="27" s="1"/>
  <c r="BE167" i="27"/>
  <c r="BF167" i="27" s="1"/>
  <c r="BK167" i="27" s="1"/>
  <c r="BE168" i="27"/>
  <c r="BF168" i="27" s="1"/>
  <c r="BK168" i="27" s="1"/>
  <c r="BE88" i="27"/>
  <c r="BF88" i="27" s="1"/>
  <c r="BK88" i="27" s="1"/>
  <c r="BE55" i="27"/>
  <c r="BF55" i="27" s="1"/>
  <c r="BK55" i="27" s="1"/>
  <c r="BE110" i="27"/>
  <c r="BF110" i="27" s="1"/>
  <c r="BK110" i="27" s="1"/>
  <c r="BE9" i="27"/>
  <c r="BF9" i="27" s="1"/>
  <c r="BK9" i="27" s="1"/>
  <c r="BE57" i="27"/>
  <c r="BF57" i="27" s="1"/>
  <c r="BK57" i="27" s="1"/>
  <c r="BE81" i="27"/>
  <c r="BF81" i="27" s="1"/>
  <c r="BK81" i="27" s="1"/>
  <c r="BE183" i="27"/>
  <c r="BF183" i="27" s="1"/>
  <c r="BK183" i="27" s="1"/>
  <c r="BE39" i="27"/>
  <c r="BF39" i="27" s="1"/>
  <c r="BK39" i="27" s="1"/>
  <c r="BE112" i="27"/>
  <c r="BF112" i="27" s="1"/>
  <c r="BK112" i="27" s="1"/>
  <c r="BE220" i="27"/>
  <c r="BF220" i="27" s="1"/>
  <c r="BK220" i="27" s="1"/>
  <c r="BE14" i="27"/>
  <c r="BF14" i="27" s="1"/>
  <c r="BK14" i="27" s="1"/>
  <c r="BE177" i="27"/>
  <c r="BF177" i="27" s="1"/>
  <c r="BK177" i="27" s="1"/>
  <c r="BE28" i="27"/>
  <c r="BF28" i="27" s="1"/>
  <c r="BK28" i="27" s="1"/>
  <c r="BE152" i="27"/>
  <c r="BF152" i="27" s="1"/>
  <c r="BK152" i="27" s="1"/>
  <c r="BE36" i="27"/>
  <c r="BF36" i="27" s="1"/>
  <c r="BK36" i="27" s="1"/>
  <c r="BE201" i="27"/>
  <c r="BF201" i="27" s="1"/>
  <c r="BK201" i="27" s="1"/>
  <c r="BE50" i="27"/>
  <c r="BF50" i="27" s="1"/>
  <c r="BK50" i="27" s="1"/>
  <c r="BE239" i="27"/>
  <c r="BF239" i="27" s="1"/>
  <c r="BK239" i="27" s="1"/>
  <c r="BE58" i="27"/>
  <c r="BF58" i="27" s="1"/>
  <c r="BK58" i="27" s="1"/>
  <c r="BE48" i="27"/>
  <c r="BF48" i="27" s="1"/>
  <c r="BK48" i="27" s="1"/>
  <c r="BE240" i="27"/>
  <c r="BF240" i="27" s="1"/>
  <c r="BK240" i="27" s="1"/>
  <c r="BE115" i="27"/>
  <c r="BF115" i="27" s="1"/>
  <c r="BK115" i="27" s="1"/>
  <c r="BE207" i="27"/>
  <c r="BF207" i="27" s="1"/>
  <c r="BK207" i="27" s="1"/>
  <c r="BE102" i="27"/>
  <c r="BF102" i="27" s="1"/>
  <c r="BK102" i="27" s="1"/>
  <c r="BE159" i="27"/>
  <c r="BF159" i="27" s="1"/>
  <c r="BK159" i="27" s="1"/>
  <c r="BE212" i="27"/>
  <c r="BF212" i="27" s="1"/>
  <c r="BK212" i="27" s="1"/>
  <c r="BE133" i="27"/>
  <c r="BF133" i="27" s="1"/>
  <c r="BK133" i="27" s="1"/>
  <c r="BE147" i="27"/>
  <c r="BF147" i="27" s="1"/>
  <c r="BK147" i="27" s="1"/>
  <c r="BE104" i="27"/>
  <c r="BF104" i="27" s="1"/>
  <c r="BK104" i="27" s="1"/>
  <c r="BE179" i="27"/>
  <c r="BF179" i="27" s="1"/>
  <c r="BK179" i="27" s="1"/>
  <c r="BE24" i="27"/>
  <c r="BF24" i="27" s="1"/>
  <c r="BK24" i="27" s="1"/>
  <c r="BE51" i="27"/>
  <c r="BF51" i="27" s="1"/>
  <c r="BK51" i="27" s="1"/>
  <c r="BE206" i="27"/>
  <c r="BF206" i="27" s="1"/>
  <c r="BK206" i="27" s="1"/>
  <c r="BE56" i="27"/>
  <c r="BF56" i="27" s="1"/>
  <c r="BK56" i="27" s="1"/>
  <c r="BE100" i="27"/>
  <c r="BF100" i="27" s="1"/>
  <c r="BK100" i="27" s="1"/>
  <c r="BE172" i="27"/>
  <c r="BF172" i="27" s="1"/>
  <c r="BK172" i="27" s="1"/>
  <c r="BE106" i="27"/>
  <c r="BF106" i="27" s="1"/>
  <c r="BK106" i="27" s="1"/>
  <c r="BE169" i="27"/>
  <c r="BF169" i="27" s="1"/>
  <c r="BK169" i="27" s="1"/>
  <c r="BE223" i="27"/>
  <c r="BF223" i="27" s="1"/>
  <c r="BK223" i="27" s="1"/>
  <c r="BE27" i="27"/>
  <c r="BF27" i="27" s="1"/>
  <c r="BK27" i="27" s="1"/>
  <c r="BE78" i="27"/>
  <c r="BF78" i="27" s="1"/>
  <c r="BK78" i="27" s="1"/>
  <c r="BE61" i="27"/>
  <c r="BF61" i="27" s="1"/>
  <c r="BK61" i="27" s="1"/>
  <c r="BE173" i="27"/>
  <c r="BF173" i="27" s="1"/>
  <c r="BK173" i="27" s="1"/>
  <c r="BE191" i="27"/>
  <c r="BF191" i="27" s="1"/>
  <c r="BK191" i="27" s="1"/>
  <c r="BE22" i="27"/>
  <c r="BF22" i="27" s="1"/>
  <c r="BK22" i="27" s="1"/>
  <c r="BE49" i="27"/>
  <c r="BF49" i="27" s="1"/>
  <c r="BK49" i="27" s="1"/>
  <c r="BE122" i="27"/>
  <c r="BF122" i="27" s="1"/>
  <c r="BK122" i="27" s="1"/>
  <c r="BE238" i="27"/>
  <c r="BF238" i="27" s="1"/>
  <c r="BK238" i="27" s="1"/>
  <c r="BE193" i="27"/>
  <c r="BF193" i="27" s="1"/>
  <c r="BK193" i="27" s="1"/>
  <c r="BE171" i="27"/>
  <c r="BF171" i="27" s="1"/>
  <c r="BK171" i="27" s="1"/>
  <c r="BE91" i="27"/>
  <c r="BF91" i="27" s="1"/>
  <c r="BK91" i="27" s="1"/>
  <c r="BE52" i="27"/>
  <c r="BF52" i="27" s="1"/>
  <c r="BK52" i="27" s="1"/>
  <c r="BE62" i="27"/>
  <c r="BF62" i="27" s="1"/>
  <c r="BK62" i="27" s="1"/>
  <c r="BE20" i="27"/>
  <c r="BF20" i="27" s="1"/>
  <c r="BK20" i="27" s="1"/>
  <c r="BE236" i="27"/>
  <c r="BF236" i="27" s="1"/>
  <c r="BK236" i="27" s="1"/>
  <c r="BE226" i="27"/>
  <c r="BF226" i="27" s="1"/>
  <c r="BK226" i="27" s="1"/>
  <c r="BE219" i="27"/>
  <c r="BF219" i="27" s="1"/>
  <c r="BK219" i="27" s="1"/>
  <c r="BE70" i="27"/>
  <c r="BF70" i="27" s="1"/>
  <c r="BK70" i="27" s="1"/>
  <c r="BE46" i="27"/>
  <c r="BF46" i="27" s="1"/>
  <c r="BK46" i="27" s="1"/>
  <c r="BE99" i="27"/>
  <c r="BF99" i="27" s="1"/>
  <c r="BK99" i="27" s="1"/>
  <c r="BE137" i="27"/>
  <c r="BF137" i="27" s="1"/>
  <c r="BK137" i="27" s="1"/>
  <c r="BE118" i="27"/>
  <c r="BF118" i="27" s="1"/>
  <c r="BK118" i="27" s="1"/>
  <c r="BE181" i="27"/>
  <c r="BF181" i="27" s="1"/>
  <c r="BK181" i="27" s="1"/>
  <c r="BE196" i="27"/>
  <c r="BF196" i="27" s="1"/>
  <c r="BK196" i="27" s="1"/>
  <c r="BE221" i="27"/>
  <c r="BF221" i="27" s="1"/>
  <c r="BK221" i="27" s="1"/>
  <c r="BE188" i="27"/>
  <c r="BF188" i="27" s="1"/>
  <c r="BK188" i="27" s="1"/>
  <c r="BE23" i="27"/>
  <c r="BF23" i="27" s="1"/>
  <c r="BK23" i="27" s="1"/>
  <c r="BE187" i="27"/>
  <c r="BF187" i="27" s="1"/>
  <c r="BK187" i="27" s="1"/>
  <c r="BE209" i="27"/>
  <c r="BF209" i="27" s="1"/>
  <c r="BK209" i="27" s="1"/>
  <c r="BE213" i="27"/>
  <c r="BF213" i="27" s="1"/>
  <c r="BK213" i="27" s="1"/>
  <c r="BE235" i="27"/>
  <c r="BF235" i="27" s="1"/>
  <c r="BK235" i="27" s="1"/>
  <c r="BE194" i="27"/>
  <c r="BF194" i="27" s="1"/>
  <c r="BK194" i="27" s="1"/>
  <c r="BE67" i="27"/>
  <c r="BF67" i="27" s="1"/>
  <c r="BK67" i="27" s="1"/>
  <c r="BE114" i="27"/>
  <c r="BF114" i="27" s="1"/>
  <c r="BK114" i="27" s="1"/>
  <c r="BE94" i="27"/>
  <c r="BF94" i="27" s="1"/>
  <c r="BK94" i="27" s="1"/>
  <c r="BE75" i="27"/>
  <c r="BF75" i="27" s="1"/>
  <c r="BK75" i="27" s="1"/>
  <c r="BE211" i="27"/>
  <c r="BF211" i="27" s="1"/>
  <c r="BK211" i="27" s="1"/>
  <c r="BE146" i="27"/>
  <c r="BF146" i="27" s="1"/>
  <c r="BK146" i="27" s="1"/>
  <c r="BE12" i="27"/>
  <c r="BF12" i="27" s="1"/>
  <c r="BK12" i="27" s="1"/>
  <c r="BE108" i="27"/>
  <c r="BF108" i="27" s="1"/>
  <c r="BK108" i="27" s="1"/>
  <c r="BE119" i="27"/>
  <c r="BF119" i="27" s="1"/>
  <c r="BK119" i="27" s="1"/>
  <c r="BE103" i="27"/>
  <c r="BF103" i="27" s="1"/>
  <c r="BK103" i="27" s="1"/>
  <c r="BE134" i="27"/>
  <c r="BF134" i="27" s="1"/>
  <c r="BK134" i="27" s="1"/>
  <c r="BE141" i="27"/>
  <c r="BF141" i="27" s="1"/>
  <c r="BK141" i="27" s="1"/>
  <c r="BE228" i="27"/>
  <c r="BF228" i="27" s="1"/>
  <c r="BK228" i="27" s="1"/>
  <c r="BE65" i="27"/>
  <c r="BF65" i="27" s="1"/>
  <c r="BK65" i="27" s="1"/>
  <c r="BE43" i="27"/>
  <c r="BF43" i="27" s="1"/>
  <c r="BK43" i="27" s="1"/>
  <c r="BE182" i="27"/>
  <c r="BF182" i="27" s="1"/>
  <c r="BK182" i="27" s="1"/>
  <c r="BE10" i="27"/>
  <c r="BF10" i="27" s="1"/>
  <c r="BK10" i="27" s="1"/>
  <c r="BE35" i="27"/>
  <c r="BF35" i="27" s="1"/>
  <c r="BK35" i="27" s="1"/>
  <c r="BE105" i="27"/>
  <c r="BF105" i="27" s="1"/>
  <c r="BK105" i="27" s="1"/>
  <c r="BE66" i="27"/>
  <c r="BF66" i="27" s="1"/>
  <c r="BK66" i="27" s="1"/>
  <c r="BE204" i="27"/>
  <c r="BF204" i="27" s="1"/>
  <c r="BK204" i="27" s="1"/>
  <c r="BE32" i="27"/>
  <c r="BF32" i="27" s="1"/>
  <c r="BK32" i="27" s="1"/>
  <c r="BE109" i="27"/>
  <c r="BF109" i="27" s="1"/>
  <c r="BK109" i="27" s="1"/>
  <c r="BE229" i="27"/>
  <c r="BF229" i="27" s="1"/>
  <c r="BK229" i="27" s="1"/>
  <c r="BE222" i="27"/>
  <c r="BF222" i="27" s="1"/>
  <c r="BK222" i="27" s="1"/>
  <c r="BE64" i="27"/>
  <c r="BF64" i="27" s="1"/>
  <c r="BK64" i="27" s="1"/>
  <c r="BE132" i="27"/>
  <c r="BF132" i="27" s="1"/>
  <c r="BK132" i="27" s="1"/>
  <c r="BE54" i="27"/>
  <c r="BF54" i="27" s="1"/>
  <c r="BK54" i="27" s="1"/>
  <c r="BE155" i="27"/>
  <c r="BF155" i="27" s="1"/>
  <c r="BK155" i="27" s="1"/>
  <c r="BE121" i="27"/>
  <c r="BF121" i="27" s="1"/>
  <c r="BK121" i="27" s="1"/>
  <c r="BE170" i="27"/>
  <c r="BF170" i="27" s="1"/>
  <c r="BK170" i="27" s="1"/>
  <c r="BE98" i="27"/>
  <c r="BF98" i="27" s="1"/>
  <c r="BK98" i="27" s="1"/>
  <c r="BE176" i="27"/>
  <c r="BF176" i="27" s="1"/>
  <c r="BK176" i="27" s="1"/>
  <c r="BE96" i="27"/>
  <c r="BF96" i="27" s="1"/>
  <c r="BK96" i="27" s="1"/>
  <c r="BE129" i="27"/>
  <c r="BF129" i="27" s="1"/>
  <c r="BK129" i="27" s="1"/>
  <c r="BE80" i="27"/>
  <c r="BF80" i="27" s="1"/>
  <c r="BK80" i="27" s="1"/>
  <c r="BE95" i="27"/>
  <c r="BF95" i="27" s="1"/>
  <c r="BK95" i="27" s="1"/>
  <c r="BE197" i="27"/>
  <c r="BF197" i="27" s="1"/>
  <c r="BK197" i="27" s="1"/>
  <c r="BE29" i="27"/>
  <c r="BF29" i="27" s="1"/>
  <c r="BK29" i="27" s="1"/>
  <c r="BE154" i="27"/>
  <c r="BF154" i="27" s="1"/>
  <c r="BK154" i="27" s="1"/>
  <c r="BE233" i="27"/>
  <c r="BF233" i="27" s="1"/>
  <c r="BK233" i="27" s="1"/>
  <c r="BE15" i="27"/>
  <c r="BF15" i="27" s="1"/>
  <c r="BK15" i="27" s="1"/>
  <c r="BE216" i="27"/>
  <c r="BF216" i="27" s="1"/>
  <c r="BK216" i="27" s="1"/>
  <c r="BE89" i="27"/>
  <c r="BF89" i="27" s="1"/>
  <c r="BK89" i="27" s="1"/>
  <c r="BE136" i="27"/>
  <c r="BF136" i="27" s="1"/>
  <c r="BK136" i="27" s="1"/>
  <c r="BE116" i="27"/>
  <c r="BF116" i="27" s="1"/>
  <c r="BK116" i="27" s="1"/>
  <c r="BE97" i="27"/>
  <c r="BF97" i="27" s="1"/>
  <c r="BK97" i="27" s="1"/>
  <c r="BE31" i="27"/>
  <c r="BF31" i="27" s="1"/>
  <c r="BK31" i="27" s="1"/>
  <c r="BE218" i="27"/>
  <c r="BF218" i="27" s="1"/>
  <c r="BK218" i="27" s="1"/>
  <c r="BE87" i="27"/>
  <c r="BF87" i="27" s="1"/>
  <c r="BK87" i="27" s="1"/>
  <c r="BE190" i="27"/>
  <c r="BF190" i="27" s="1"/>
  <c r="BK190" i="27" s="1"/>
  <c r="BE237" i="27"/>
  <c r="BF237" i="27" s="1"/>
  <c r="BK237" i="27" s="1"/>
  <c r="BE74" i="27"/>
  <c r="BF74" i="27" s="1"/>
  <c r="BK74" i="27" s="1"/>
  <c r="BE195" i="27"/>
  <c r="BF195" i="27" s="1"/>
  <c r="BK195" i="27" s="1"/>
  <c r="BE45" i="27"/>
  <c r="BF45" i="27" s="1"/>
  <c r="BK45" i="27" s="1"/>
  <c r="BE21" i="27"/>
  <c r="BF21" i="27" s="1"/>
  <c r="BK21" i="27" s="1"/>
  <c r="BE160" i="27"/>
  <c r="BF160" i="27" s="1"/>
  <c r="BK160" i="27" s="1"/>
  <c r="BE144" i="27"/>
  <c r="BF144" i="27" s="1"/>
  <c r="BK144" i="27" s="1"/>
  <c r="BE123" i="27"/>
  <c r="BF123" i="27" s="1"/>
  <c r="BK123" i="27" s="1"/>
  <c r="BE148" i="27"/>
  <c r="BF148" i="27" s="1"/>
  <c r="BK148" i="27" s="1"/>
  <c r="BE202" i="27"/>
  <c r="BF202" i="27" s="1"/>
  <c r="BK202" i="27" s="1"/>
  <c r="BE186" i="27"/>
  <c r="BF186" i="27" s="1"/>
  <c r="BK186" i="27" s="1"/>
  <c r="BE63" i="27"/>
  <c r="BF63" i="27" s="1"/>
  <c r="BK63" i="27" s="1"/>
  <c r="BE192" i="27"/>
  <c r="BF192" i="27" s="1"/>
  <c r="BK192" i="27" s="1"/>
  <c r="BE224" i="27"/>
  <c r="BF224" i="27" s="1"/>
  <c r="BK224" i="27" s="1"/>
  <c r="BE208" i="27"/>
  <c r="BF208" i="27" s="1"/>
  <c r="BK208" i="27" s="1"/>
  <c r="BE198" i="27"/>
  <c r="BF198" i="27" s="1"/>
  <c r="BK198" i="27" s="1"/>
  <c r="BE200" i="27"/>
  <c r="BF200" i="27" s="1"/>
  <c r="BK200" i="27" s="1"/>
  <c r="BE128" i="27"/>
  <c r="BF128" i="27" s="1"/>
  <c r="BK128" i="27" s="1"/>
  <c r="BE37" i="27"/>
  <c r="BF37" i="27" s="1"/>
  <c r="BK37" i="27" s="1"/>
  <c r="BE117" i="27"/>
  <c r="BF117" i="27" s="1"/>
  <c r="BK117" i="27" s="1"/>
  <c r="BE77" i="27"/>
  <c r="BF77" i="27" s="1"/>
  <c r="BK77" i="27" s="1"/>
  <c r="BE101" i="27"/>
  <c r="BF101" i="27" s="1"/>
  <c r="BK101" i="27" s="1"/>
  <c r="BE92" i="27"/>
  <c r="BF92" i="27" s="1"/>
  <c r="BK92" i="27" s="1"/>
  <c r="BE151" i="27"/>
  <c r="BF151" i="27" s="1"/>
  <c r="BK151" i="27" s="1"/>
  <c r="BE205" i="27"/>
  <c r="BF205" i="27" s="1"/>
  <c r="BK205" i="27" s="1"/>
  <c r="BE227" i="27"/>
  <c r="BF227" i="27" s="1"/>
  <c r="BK227" i="27" s="1"/>
  <c r="BE18" i="27"/>
  <c r="BF18" i="27" s="1"/>
  <c r="BK18" i="27" s="1"/>
  <c r="BE157" i="27"/>
  <c r="BF157" i="27" s="1"/>
  <c r="BK157" i="27" s="1"/>
  <c r="BE143" i="27"/>
  <c r="BF143" i="27" s="1"/>
  <c r="BK143" i="27" s="1"/>
  <c r="BE215" i="27"/>
  <c r="BF215" i="27" s="1"/>
  <c r="BK215" i="27" s="1"/>
  <c r="BE203" i="27"/>
  <c r="BF203" i="27" s="1"/>
  <c r="BK203" i="27" s="1"/>
  <c r="BE166" i="27"/>
  <c r="BF166" i="27" s="1"/>
  <c r="BK166" i="27" s="1"/>
  <c r="BE42" i="27"/>
  <c r="BF42" i="27" s="1"/>
  <c r="BK42" i="27" s="1"/>
  <c r="BE16" i="27"/>
  <c r="BF16" i="27" s="1"/>
  <c r="BK16" i="27" s="1"/>
  <c r="BE142" i="27"/>
  <c r="BF142" i="27" s="1"/>
  <c r="BK142" i="27" s="1"/>
  <c r="BE40" i="27"/>
  <c r="BF40" i="27" s="1"/>
  <c r="BK40" i="27" s="1"/>
  <c r="BE73" i="27"/>
  <c r="BF73" i="27" s="1"/>
  <c r="BK73" i="27" s="1"/>
  <c r="BE90" i="27"/>
  <c r="BF90" i="27" s="1"/>
  <c r="BK90" i="27" s="1"/>
  <c r="BE210" i="27"/>
  <c r="BF210" i="27" s="1"/>
  <c r="BK210" i="27" s="1"/>
  <c r="BE93" i="27"/>
  <c r="BF93" i="27" s="1"/>
  <c r="BK93" i="27" s="1"/>
  <c r="BE68" i="27"/>
  <c r="BF68" i="27" s="1"/>
  <c r="BK68" i="27" s="1"/>
  <c r="BE139" i="27"/>
  <c r="BF139" i="27" s="1"/>
  <c r="BK139" i="27" s="1"/>
  <c r="BE217" i="27"/>
  <c r="BF217" i="27" s="1"/>
  <c r="BK217" i="27" s="1"/>
  <c r="BE25" i="27"/>
  <c r="BF25" i="27" s="1"/>
  <c r="BK25" i="27" s="1"/>
  <c r="BE59" i="27"/>
  <c r="BF59" i="27" s="1"/>
  <c r="BK59" i="27" s="1"/>
  <c r="BE111" i="27"/>
  <c r="BF111" i="27" s="1"/>
  <c r="BK111" i="27" s="1"/>
  <c r="BE158" i="27"/>
  <c r="BF158" i="27" s="1"/>
  <c r="BK158" i="27" s="1"/>
  <c r="BE138" i="27"/>
  <c r="BF138" i="27" s="1"/>
  <c r="BK138" i="27" s="1"/>
  <c r="BE230" i="27"/>
  <c r="BF230" i="27" s="1"/>
  <c r="BK230" i="27" s="1"/>
  <c r="BE174" i="27"/>
  <c r="BF174" i="27" s="1"/>
  <c r="BK174" i="27" s="1"/>
  <c r="BE180" i="27"/>
  <c r="BF180" i="27" s="1"/>
  <c r="BK180" i="27" s="1"/>
  <c r="BE184" i="27"/>
  <c r="BF184" i="27" s="1"/>
  <c r="BK184" i="27" s="1"/>
  <c r="BE156" i="27"/>
  <c r="BF156" i="27" s="1"/>
  <c r="BK156" i="27" s="1"/>
  <c r="BE41" i="27"/>
  <c r="BF41" i="27" s="1"/>
  <c r="BK41" i="27" s="1"/>
  <c r="BE178" i="27"/>
  <c r="BF178" i="27" s="1"/>
  <c r="BK178" i="27" s="1"/>
  <c r="BE150" i="27"/>
  <c r="BF150" i="27" s="1"/>
  <c r="BK150" i="27" s="1"/>
  <c r="BE125" i="27"/>
  <c r="BF125" i="27" s="1"/>
  <c r="BK125" i="27" s="1"/>
  <c r="BE26" i="27"/>
  <c r="BF26" i="27" s="1"/>
  <c r="BK26" i="27" s="1"/>
  <c r="BE17" i="27"/>
  <c r="BF17" i="27" s="1"/>
  <c r="BK17" i="27" s="1"/>
  <c r="BE145" i="27"/>
  <c r="BF145" i="27" s="1"/>
  <c r="BK145" i="27" s="1"/>
  <c r="BE185" i="27"/>
  <c r="BF185" i="27" s="1"/>
  <c r="BK185" i="27" s="1"/>
  <c r="BE175" i="27"/>
  <c r="BF175" i="27" s="1"/>
  <c r="BK175" i="27" s="1"/>
  <c r="BE126" i="27"/>
  <c r="BF126" i="27" s="1"/>
  <c r="BK126" i="27" s="1"/>
  <c r="BE76" i="27"/>
  <c r="BF76" i="27" s="1"/>
  <c r="BK76" i="27" s="1"/>
  <c r="BE13" i="27"/>
  <c r="BF13" i="27" s="1"/>
  <c r="BK13" i="27" s="1"/>
  <c r="BE33" i="27"/>
  <c r="BF33" i="27" s="1"/>
  <c r="BK33" i="27" s="1"/>
  <c r="BE199" i="27"/>
  <c r="BF199" i="27" s="1"/>
  <c r="BK199" i="27" s="1"/>
  <c r="BE120" i="27"/>
  <c r="BF120" i="27" s="1"/>
  <c r="BK120" i="27" s="1"/>
  <c r="BE19" i="27"/>
  <c r="BF19" i="27" s="1"/>
  <c r="BK19" i="27" s="1"/>
  <c r="BE53" i="27"/>
  <c r="BF53" i="27" s="1"/>
  <c r="BK53" i="27" s="1"/>
  <c r="BE72" i="27"/>
  <c r="BF72" i="27" s="1"/>
  <c r="BK72" i="27" s="1"/>
  <c r="BE38" i="27"/>
  <c r="BF38" i="27" s="1"/>
  <c r="BK38" i="27" s="1"/>
  <c r="BE79" i="27"/>
  <c r="BF79" i="27" s="1"/>
  <c r="BK79" i="27" s="1"/>
  <c r="BE60" i="27"/>
  <c r="BF60" i="27" s="1"/>
  <c r="BK60" i="27" s="1"/>
  <c r="BE231" i="27"/>
  <c r="BF231" i="27" s="1"/>
  <c r="BK231" i="27" s="1"/>
  <c r="BE6" i="113"/>
  <c r="BF6" i="113" s="1"/>
  <c r="BK6" i="113" s="1"/>
  <c r="BE164" i="113"/>
  <c r="BE85" i="113"/>
  <c r="BE164" i="27"/>
  <c r="BE85" i="27"/>
  <c r="BE163" i="113"/>
  <c r="BE84" i="113"/>
  <c r="BE5" i="113"/>
  <c r="BF5" i="113" s="1"/>
  <c r="BK5" i="113" s="1"/>
  <c r="BE84" i="27"/>
  <c r="BE163" i="27"/>
  <c r="BE86" i="113"/>
  <c r="BE165" i="113"/>
  <c r="BE7" i="113"/>
  <c r="BF7" i="113" s="1"/>
  <c r="BK7" i="113" s="1"/>
  <c r="BE86" i="27"/>
  <c r="BE4" i="27"/>
  <c r="BE162" i="113"/>
  <c r="BE83" i="113"/>
  <c r="BE4" i="113"/>
  <c r="BF4" i="113" s="1"/>
  <c r="BK4" i="113" s="1"/>
  <c r="BE162" i="27"/>
  <c r="BE83" i="27"/>
  <c r="AS5" i="27"/>
  <c r="AT5" i="27" s="1" a="1"/>
  <c r="AT5" i="27" s="1"/>
  <c r="AS7" i="27"/>
  <c r="AT7" i="27" s="1" a="1"/>
  <c r="AT7" i="27" s="1"/>
  <c r="AP4" i="93"/>
  <c r="AF7" i="93"/>
  <c r="BE7" i="27"/>
  <c r="BF7" i="27" s="1"/>
  <c r="BK7" i="27" s="1"/>
  <c r="BE6" i="27"/>
  <c r="BF6" i="27" s="1"/>
  <c r="BK6" i="27" s="1"/>
  <c r="BE5" i="27"/>
  <c r="BF5" i="27" s="1"/>
  <c r="BK5" i="27" s="1"/>
  <c r="AF5" i="93"/>
  <c r="AF6" i="93"/>
  <c r="AQ4" i="27"/>
  <c r="AQ6" i="27"/>
  <c r="AS6" i="27"/>
  <c r="AT6" i="27" s="1" a="1"/>
  <c r="AT6" i="27" s="1"/>
  <c r="F17" i="100" a="1"/>
  <c r="F17" i="100" s="1"/>
  <c r="E17" i="100" a="1"/>
  <c r="E17" i="100" s="1"/>
  <c r="B17" i="100" a="1"/>
  <c r="B17" i="100" s="1"/>
  <c r="C17" i="100" a="1"/>
  <c r="C17" i="100" s="1"/>
  <c r="D17" i="100" a="1"/>
  <c r="D17" i="100" s="1"/>
  <c r="F16" i="100" a="1"/>
  <c r="F16" i="100" s="1"/>
  <c r="B16" i="100" a="1"/>
  <c r="B16" i="100" s="1"/>
  <c r="E16" i="100" a="1"/>
  <c r="E16" i="100" s="1"/>
  <c r="C16" i="100" a="1"/>
  <c r="C16" i="100" s="1"/>
  <c r="D16" i="100" a="1"/>
  <c r="D16" i="100" s="1"/>
  <c r="AK7" i="92"/>
  <c r="AD6" i="93"/>
  <c r="AC7" i="93"/>
  <c r="AC5" i="93"/>
  <c r="AC6" i="93"/>
  <c r="AD7" i="93"/>
  <c r="AM4" i="92"/>
  <c r="F15" i="100" a="1"/>
  <c r="F15" i="100" s="1"/>
  <c r="E15" i="100" a="1"/>
  <c r="E15" i="100" s="1"/>
  <c r="B15" i="100" a="1"/>
  <c r="B15" i="100" s="1"/>
  <c r="D15" i="100" a="1"/>
  <c r="D15" i="100" s="1"/>
  <c r="C15" i="100" a="1"/>
  <c r="C15" i="100" s="1"/>
  <c r="AM6" i="92"/>
  <c r="AM5" i="92"/>
  <c r="AE9" i="105"/>
  <c r="AB9" i="105"/>
  <c r="AH9" i="105"/>
  <c r="AG9" i="105"/>
  <c r="AD9" i="105"/>
  <c r="AA9" i="105"/>
  <c r="O9" i="108"/>
  <c r="O5" i="108"/>
  <c r="X11" i="112"/>
  <c r="O8" i="108"/>
  <c r="AC9" i="105"/>
  <c r="Y9" i="105"/>
  <c r="AF9" i="105"/>
  <c r="X9" i="105"/>
  <c r="Z9" i="105"/>
  <c r="U12" i="112"/>
  <c r="O7" i="108"/>
  <c r="O4" i="108"/>
  <c r="V12" i="112"/>
  <c r="X8" i="112"/>
  <c r="O6" i="110" a="1"/>
  <c r="O6" i="110" s="1"/>
  <c r="W6" i="105" a="1"/>
  <c r="W6" i="105" s="1"/>
  <c r="W7" i="105" a="1"/>
  <c r="W7" i="105" s="1"/>
  <c r="W8" i="105" a="1"/>
  <c r="W8" i="105" s="1"/>
  <c r="W4" i="105" a="1"/>
  <c r="W4" i="105" s="1"/>
  <c r="W5" i="105" a="1"/>
  <c r="W5" i="105" s="1"/>
  <c r="X10" i="112"/>
  <c r="T12" i="112"/>
  <c r="W12" i="112"/>
  <c r="X9" i="112"/>
  <c r="AB27" i="105"/>
  <c r="O12" i="110" a="1"/>
  <c r="O12" i="110" s="1"/>
  <c r="O10" i="110" a="1"/>
  <c r="O10" i="110" s="1"/>
  <c r="O7" i="110" a="1"/>
  <c r="O7" i="110" s="1"/>
  <c r="O14" i="110" a="1"/>
  <c r="O14" i="110" s="1"/>
  <c r="O11" i="110" a="1"/>
  <c r="O11" i="110" s="1"/>
  <c r="O13" i="110" a="1"/>
  <c r="O13" i="110" s="1"/>
  <c r="O9" i="110" a="1"/>
  <c r="O9" i="110" s="1"/>
  <c r="O5" i="110" a="1"/>
  <c r="O5" i="110" s="1"/>
  <c r="O4" i="110" a="1"/>
  <c r="O4" i="110" s="1"/>
  <c r="X7" i="112"/>
  <c r="R12" i="112"/>
  <c r="O14" i="108"/>
  <c r="O13" i="108"/>
  <c r="O11" i="108"/>
  <c r="O10" i="108"/>
  <c r="O12" i="108"/>
  <c r="X6" i="112"/>
  <c r="S12" i="112"/>
  <c r="AC5" i="92"/>
  <c r="AK5" i="92"/>
  <c r="AD5" i="92"/>
  <c r="AL5" i="92"/>
  <c r="AC6" i="92"/>
  <c r="AK6" i="92"/>
  <c r="AB6" i="92"/>
  <c r="AJ6" i="92"/>
  <c r="AB5" i="92"/>
  <c r="AJ5" i="92"/>
  <c r="AD4" i="92"/>
  <c r="AL4" i="92"/>
  <c r="AB7" i="92"/>
  <c r="AJ7" i="92"/>
  <c r="AE7" i="92"/>
  <c r="AM7" i="92"/>
  <c r="AB4" i="92"/>
  <c r="AJ4" i="92"/>
  <c r="AD7" i="92"/>
  <c r="AL7" i="92"/>
  <c r="AC4" i="92"/>
  <c r="AK4" i="92"/>
  <c r="AD6" i="92"/>
  <c r="AI5" i="92"/>
  <c r="AN7" i="92"/>
  <c r="AF7" i="92"/>
  <c r="AO7" i="92"/>
  <c r="AG7" i="92"/>
  <c r="AI7" i="92"/>
  <c r="AA7" i="92"/>
  <c r="AH7" i="92"/>
  <c r="AP7" i="92"/>
  <c r="AP4" i="92"/>
  <c r="AH4" i="92"/>
  <c r="AH5" i="92"/>
  <c r="AP5" i="92"/>
  <c r="AI6" i="92"/>
  <c r="AA6" i="92"/>
  <c r="AF5" i="92"/>
  <c r="AN5" i="92"/>
  <c r="AO6" i="92"/>
  <c r="AG6" i="92"/>
  <c r="AG5" i="92"/>
  <c r="AO5" i="92"/>
  <c r="AG4" i="92"/>
  <c r="AO4" i="92"/>
  <c r="AP6" i="92"/>
  <c r="AH6" i="92"/>
  <c r="AI4" i="92"/>
  <c r="AA4" i="92"/>
  <c r="AN6" i="92"/>
  <c r="AF6" i="92"/>
  <c r="AN4" i="92"/>
  <c r="AS4" i="27"/>
  <c r="AT4" i="27" s="1" a="1"/>
  <c r="AT4" i="27" s="1"/>
  <c r="B13" i="108"/>
  <c r="B8" i="108"/>
  <c r="B6" i="108"/>
  <c r="B4" i="108"/>
  <c r="B7" i="108"/>
  <c r="B5" i="108"/>
  <c r="B11" i="108"/>
  <c r="B12" i="108"/>
  <c r="B10" i="108"/>
  <c r="B9" i="108"/>
  <c r="AQ7" i="27"/>
  <c r="J27" i="105"/>
  <c r="AR4" i="27"/>
  <c r="AU4" i="27" a="1"/>
  <c r="AU4" i="27" s="1"/>
  <c r="AP4" i="27" a="1"/>
  <c r="AP4" i="27" s="1"/>
  <c r="C12" i="100" a="1"/>
  <c r="C12" i="100" s="1"/>
  <c r="B12" i="100" a="1"/>
  <c r="B12" i="100" s="1"/>
  <c r="D11" i="100" a="1"/>
  <c r="D11" i="100" s="1"/>
  <c r="F14" i="100" a="1"/>
  <c r="F14" i="100" s="1"/>
  <c r="E11" i="100" a="1"/>
  <c r="E11" i="100" s="1"/>
  <c r="E14" i="100" a="1"/>
  <c r="E14" i="100" s="1"/>
  <c r="D14" i="100" a="1"/>
  <c r="D14" i="100" s="1"/>
  <c r="C11" i="100" a="1"/>
  <c r="C11" i="100" s="1"/>
  <c r="C14" i="100" a="1"/>
  <c r="C14" i="100" s="1"/>
  <c r="B11" i="100" a="1"/>
  <c r="B11" i="100" s="1"/>
  <c r="B14" i="100" a="1"/>
  <c r="B14" i="100" s="1"/>
  <c r="F10" i="100" a="1"/>
  <c r="F10" i="100" s="1"/>
  <c r="F11" i="100" a="1"/>
  <c r="F11" i="100" s="1"/>
  <c r="F13" i="100" a="1"/>
  <c r="F13" i="100" s="1"/>
  <c r="E10" i="100" a="1"/>
  <c r="E10" i="100" s="1"/>
  <c r="D10" i="100" a="1"/>
  <c r="D10" i="100" s="1"/>
  <c r="B13" i="100" a="1"/>
  <c r="B13" i="100" s="1"/>
  <c r="E13" i="100" a="1"/>
  <c r="E13" i="100" s="1"/>
  <c r="C13" i="100" a="1"/>
  <c r="C13" i="100" s="1"/>
  <c r="D13" i="100" a="1"/>
  <c r="D13" i="100" s="1"/>
  <c r="C10" i="100" a="1"/>
  <c r="C10" i="100" s="1"/>
  <c r="B10" i="100" a="1"/>
  <c r="B10" i="100" s="1"/>
  <c r="F12" i="100" a="1"/>
  <c r="F12" i="100" s="1"/>
  <c r="D12" i="100" a="1"/>
  <c r="D12" i="100" s="1"/>
  <c r="E12" i="100" a="1"/>
  <c r="E12" i="100" s="1"/>
  <c r="F9" i="100" a="1"/>
  <c r="F9" i="100" s="1"/>
  <c r="E9" i="100" a="1"/>
  <c r="E9" i="100" s="1"/>
  <c r="D9" i="100" a="1"/>
  <c r="D9" i="100" s="1"/>
  <c r="C9" i="100" a="1"/>
  <c r="C9" i="100" s="1"/>
  <c r="B9" i="100" a="1"/>
  <c r="B9" i="100" s="1"/>
  <c r="AR5" i="27"/>
  <c r="AU5" i="27" a="1"/>
  <c r="AU5" i="27" s="1"/>
  <c r="AP5" i="27" a="1"/>
  <c r="AP5" i="27" s="1"/>
  <c r="AQ5" i="27"/>
  <c r="AR6" i="27"/>
  <c r="AP6" i="27" a="1"/>
  <c r="AP6" i="27" s="1"/>
  <c r="AU6" i="27" a="1"/>
  <c r="AU6" i="27" s="1"/>
  <c r="AU7" i="27" a="1"/>
  <c r="AU7" i="27" s="1"/>
  <c r="AP7" i="27" a="1"/>
  <c r="AP7" i="27" s="1"/>
  <c r="AR7" i="27"/>
  <c r="C4" i="105" a="1"/>
  <c r="C4" i="105" s="1"/>
  <c r="A6" i="100"/>
  <c r="E8" i="100" a="1"/>
  <c r="E8" i="100" s="1"/>
  <c r="C8" i="100" a="1"/>
  <c r="C8" i="100" s="1"/>
  <c r="F7" i="100" a="1"/>
  <c r="F7" i="100" s="1"/>
  <c r="B7" i="100" a="1"/>
  <c r="B7" i="100" s="1"/>
  <c r="C7" i="100" a="1"/>
  <c r="C7" i="100" s="1"/>
  <c r="B8" i="100" a="1"/>
  <c r="B8" i="100" s="1"/>
  <c r="F8" i="100" a="1"/>
  <c r="F8" i="100" s="1"/>
  <c r="D8" i="100" a="1"/>
  <c r="D8" i="100" s="1"/>
  <c r="E7" i="100" a="1"/>
  <c r="E7" i="100" s="1"/>
  <c r="D7" i="100" a="1"/>
  <c r="D7" i="100" s="1"/>
  <c r="B6" i="110" a="1"/>
  <c r="B6" i="110" s="1"/>
  <c r="B13" i="110" a="1"/>
  <c r="B13" i="110" s="1"/>
  <c r="B11" i="110" a="1"/>
  <c r="B11" i="110" s="1"/>
  <c r="B7" i="110" a="1"/>
  <c r="B7" i="110" s="1"/>
  <c r="B12" i="110" a="1"/>
  <c r="B12" i="110" s="1"/>
  <c r="B8" i="110" a="1"/>
  <c r="B8" i="110" s="1"/>
  <c r="B14" i="110" a="1"/>
  <c r="B14" i="110" s="1"/>
  <c r="B4" i="110" a="1"/>
  <c r="B4" i="110" s="1"/>
  <c r="B9" i="110" a="1"/>
  <c r="B9" i="110" s="1"/>
  <c r="B10" i="110" a="1"/>
  <c r="B10" i="110" s="1"/>
  <c r="W6" i="112"/>
  <c r="R10" i="112"/>
  <c r="T6" i="112"/>
  <c r="T10" i="112"/>
  <c r="U11" i="112"/>
  <c r="W10" i="112"/>
  <c r="U6" i="112"/>
  <c r="T9" i="112"/>
  <c r="S8" i="112"/>
  <c r="T7" i="112"/>
  <c r="R7" i="112"/>
  <c r="V9" i="112"/>
  <c r="R11" i="112"/>
  <c r="W7" i="112"/>
  <c r="U8" i="112"/>
  <c r="U7" i="112"/>
  <c r="S9" i="112"/>
  <c r="T11" i="112"/>
  <c r="V8" i="112"/>
  <c r="V6" i="112"/>
  <c r="Q9" i="112"/>
  <c r="S10" i="112"/>
  <c r="V7" i="112"/>
  <c r="R8" i="112"/>
  <c r="W8" i="112"/>
  <c r="V11" i="112"/>
  <c r="S6" i="112"/>
  <c r="W9" i="112"/>
  <c r="R5" i="112"/>
  <c r="U10" i="112"/>
  <c r="R9" i="112"/>
  <c r="S11" i="112"/>
  <c r="H27" i="105"/>
  <c r="Q11" i="112"/>
  <c r="Y5" i="112"/>
  <c r="X5" i="112"/>
  <c r="W5" i="112"/>
  <c r="AA5" i="112"/>
  <c r="U5" i="112"/>
  <c r="V5" i="112"/>
  <c r="T5" i="112"/>
  <c r="S5" i="112"/>
  <c r="Q5" i="112"/>
  <c r="Z5" i="112"/>
  <c r="Q12" i="112"/>
  <c r="Q15" i="112"/>
  <c r="Q10" i="112"/>
  <c r="Q14" i="112"/>
  <c r="Q13" i="112"/>
  <c r="Q7" i="112"/>
  <c r="M5" i="112"/>
  <c r="C5" i="112"/>
  <c r="L5" i="112"/>
  <c r="K5" i="112"/>
  <c r="Q8" i="112"/>
  <c r="Q6" i="112"/>
  <c r="G27" i="105"/>
  <c r="I27" i="105"/>
  <c r="AA27" i="105"/>
  <c r="Z27" i="105"/>
  <c r="Y27" i="105"/>
  <c r="X27" i="105"/>
  <c r="W27" i="105"/>
  <c r="V27" i="105"/>
  <c r="U27" i="105"/>
  <c r="C27" i="105"/>
  <c r="D27" i="105"/>
  <c r="E27" i="105"/>
  <c r="F27" i="105"/>
  <c r="V9" i="105"/>
  <c r="AM1" i="27"/>
  <c r="BB152" i="124" l="1" a="1"/>
  <c r="BB152" i="124" s="1"/>
  <c r="BD93" i="124" a="1"/>
  <c r="BD93" i="124" s="1"/>
  <c r="BB114" i="124" a="1"/>
  <c r="BB114" i="124" s="1"/>
  <c r="BB192" i="124" a="1"/>
  <c r="BB192" i="124" s="1"/>
  <c r="BB147" i="124" a="1"/>
  <c r="BB147" i="124" s="1"/>
  <c r="BB60" i="124" a="1"/>
  <c r="BB60" i="124" s="1"/>
  <c r="BB238" i="124" a="1"/>
  <c r="BB238" i="124" s="1"/>
  <c r="BD237" i="124" a="1"/>
  <c r="BD237" i="124" s="1"/>
  <c r="BB40" i="124" a="1"/>
  <c r="BB40" i="124" s="1"/>
  <c r="BB80" i="124" a="1"/>
  <c r="BB80" i="124" s="1"/>
  <c r="BD17" i="124" a="1"/>
  <c r="BD17" i="124" s="1"/>
  <c r="BB38" i="124" a="1"/>
  <c r="BB38" i="124" s="1"/>
  <c r="BB139" i="124" a="1"/>
  <c r="BB139" i="124" s="1"/>
  <c r="BB86" i="124" a="1"/>
  <c r="BB86" i="124" s="1"/>
  <c r="BB82" i="124" a="1"/>
  <c r="BB82" i="124" s="1"/>
  <c r="BB143" i="124" a="1"/>
  <c r="BB143" i="124" s="1"/>
  <c r="BD195" i="124" a="1"/>
  <c r="BD195" i="124" s="1"/>
  <c r="BB216" i="124" a="1"/>
  <c r="BB216" i="124" s="1"/>
  <c r="BD71" i="124" a="1"/>
  <c r="BD71" i="124" s="1"/>
  <c r="BD97" i="124" a="1"/>
  <c r="BD97" i="124" s="1"/>
  <c r="BD150" i="124" a="1"/>
  <c r="BD150" i="124" s="1"/>
  <c r="BD16" i="124" a="1"/>
  <c r="BD16" i="124" s="1"/>
  <c r="BD203" i="124" a="1"/>
  <c r="BD203" i="124" s="1"/>
  <c r="BB218" i="124" a="1"/>
  <c r="BB218" i="124" s="1"/>
  <c r="BD138" i="124" a="1"/>
  <c r="BD138" i="124" s="1"/>
  <c r="BD75" i="124" a="1"/>
  <c r="BD75" i="124" s="1"/>
  <c r="BD42" i="124" a="1"/>
  <c r="BD42" i="124" s="1"/>
  <c r="BD167" i="124" a="1"/>
  <c r="BD167" i="124" s="1"/>
  <c r="BD185" i="124" a="1"/>
  <c r="BD185" i="124" s="1"/>
  <c r="BB14" i="124" a="1"/>
  <c r="BB14" i="124" s="1"/>
  <c r="BB215" i="124" a="1"/>
  <c r="BB215" i="124" s="1"/>
  <c r="BB228" i="124" a="1"/>
  <c r="BB228" i="124" s="1"/>
  <c r="BB229" i="124" a="1"/>
  <c r="BB229" i="124" s="1"/>
  <c r="BB27" i="124" a="1"/>
  <c r="BB27" i="124" s="1"/>
  <c r="BB154" i="124" a="1"/>
  <c r="BB154" i="124" s="1"/>
  <c r="BB193" i="124" a="1"/>
  <c r="BB193" i="124" s="1"/>
  <c r="BB93" i="124" a="1"/>
  <c r="BB93" i="124" s="1"/>
  <c r="BB33" i="124" a="1"/>
  <c r="BB33" i="124" s="1"/>
  <c r="BD124" i="124" a="1"/>
  <c r="BD124" i="124" s="1"/>
  <c r="BB78" i="124" a="1"/>
  <c r="BB78" i="124" s="1"/>
  <c r="BD57" i="124" a="1"/>
  <c r="BD57" i="124" s="1"/>
  <c r="BB67" i="124" a="1"/>
  <c r="BB67" i="124" s="1"/>
  <c r="BB123" i="124" a="1"/>
  <c r="BB123" i="124" s="1"/>
  <c r="BD32" i="124" a="1"/>
  <c r="BD32" i="124" s="1"/>
  <c r="BD111" i="124" a="1"/>
  <c r="BD111" i="124" s="1"/>
  <c r="BD121" i="124" a="1"/>
  <c r="BD121" i="124" s="1"/>
  <c r="BD235" i="124" a="1"/>
  <c r="BD235" i="124" s="1"/>
  <c r="BD80" i="124" a="1"/>
  <c r="BD80" i="124" s="1"/>
  <c r="BD77" i="124" a="1"/>
  <c r="BD77" i="124" s="1"/>
  <c r="BD122" i="124" a="1"/>
  <c r="BD122" i="124" s="1"/>
  <c r="BD156" i="124" a="1"/>
  <c r="BD156" i="124" s="1"/>
  <c r="BB111" i="124" a="1"/>
  <c r="BB111" i="124" s="1"/>
  <c r="BD117" i="124" a="1"/>
  <c r="BD117" i="124" s="1"/>
  <c r="BD113" i="124" a="1"/>
  <c r="BD113" i="124" s="1"/>
  <c r="BD123" i="124" a="1"/>
  <c r="BD123" i="124" s="1"/>
  <c r="BB57" i="124" a="1"/>
  <c r="BB57" i="124" s="1"/>
  <c r="BB163" i="124" a="1"/>
  <c r="BB163" i="124" s="1"/>
  <c r="BD226" i="124" a="1"/>
  <c r="BD226" i="124" s="1"/>
  <c r="BB113" i="124" a="1"/>
  <c r="BB113" i="124" s="1"/>
  <c r="BB231" i="124" a="1"/>
  <c r="BB231" i="124" s="1"/>
  <c r="BD45" i="124" a="1"/>
  <c r="BD45" i="124" s="1"/>
  <c r="BD6" i="124" a="1"/>
  <c r="BD6" i="124" s="1"/>
  <c r="BB59" i="124" a="1"/>
  <c r="BB59" i="124" s="1"/>
  <c r="BB150" i="124" a="1"/>
  <c r="BB150" i="124" s="1"/>
  <c r="BB138" i="124" a="1"/>
  <c r="BB138" i="124" s="1"/>
  <c r="BB5" i="124" a="1"/>
  <c r="BB5" i="124" s="1"/>
  <c r="BB177" i="124" a="1"/>
  <c r="BB177" i="124" s="1"/>
  <c r="BB9" i="124" a="1"/>
  <c r="BB9" i="124" s="1"/>
  <c r="BD10" i="124" a="1"/>
  <c r="BD10" i="124" s="1"/>
  <c r="BD35" i="124" a="1"/>
  <c r="BD35" i="124" s="1"/>
  <c r="BB15" i="124" a="1"/>
  <c r="BB15" i="124" s="1"/>
  <c r="BB115" i="124" a="1"/>
  <c r="BB115" i="124" s="1"/>
  <c r="BB45" i="124" a="1"/>
  <c r="BB45" i="124" s="1"/>
  <c r="BB234" i="124" a="1"/>
  <c r="BB234" i="124" s="1"/>
  <c r="BB34" i="124" a="1"/>
  <c r="BB34" i="124" s="1"/>
  <c r="BB65" i="124" a="1"/>
  <c r="BB65" i="124" s="1"/>
  <c r="BB106" i="124" a="1"/>
  <c r="BB106" i="124" s="1"/>
  <c r="BB51" i="124" a="1"/>
  <c r="BB51" i="124" s="1"/>
  <c r="BD202" i="124" a="1"/>
  <c r="BD202" i="124" s="1"/>
  <c r="BB43" i="124" a="1"/>
  <c r="BB43" i="124" s="1"/>
  <c r="BB223" i="124" a="1"/>
  <c r="BB223" i="124" s="1"/>
  <c r="BD112" i="124" a="1"/>
  <c r="BD112" i="124" s="1"/>
  <c r="BD229" i="124" a="1"/>
  <c r="BD229" i="124" s="1"/>
  <c r="BD192" i="124" a="1"/>
  <c r="BD192" i="124" s="1"/>
  <c r="BD168" i="124" a="1"/>
  <c r="BD168" i="124" s="1"/>
  <c r="BD206" i="124" a="1"/>
  <c r="BD206" i="124" s="1"/>
  <c r="BD154" i="124" a="1"/>
  <c r="BD154" i="124" s="1"/>
  <c r="BD95" i="124" a="1"/>
  <c r="BD95" i="124" s="1"/>
  <c r="BD196" i="124" a="1"/>
  <c r="BD196" i="124" s="1"/>
  <c r="BB37" i="124" a="1"/>
  <c r="BB37" i="124" s="1"/>
  <c r="BB31" i="124" a="1"/>
  <c r="BB31" i="124" s="1"/>
  <c r="BB172" i="124" a="1"/>
  <c r="BB172" i="124" s="1"/>
  <c r="BD33" i="124" a="1"/>
  <c r="BD33" i="124" s="1"/>
  <c r="BD36" i="124" a="1"/>
  <c r="BD36" i="124" s="1"/>
  <c r="BD96" i="124" a="1"/>
  <c r="BD96" i="124" s="1"/>
  <c r="BB237" i="124" a="1"/>
  <c r="BB237" i="124" s="1"/>
  <c r="BB179" i="124" a="1"/>
  <c r="BB179" i="124" s="1"/>
  <c r="BD201" i="124" a="1"/>
  <c r="BD201" i="124" s="1"/>
  <c r="BB159" i="124" a="1"/>
  <c r="BB159" i="124" s="1"/>
  <c r="BD15" i="124" a="1"/>
  <c r="BD15" i="124" s="1"/>
  <c r="BD40" i="124" a="1"/>
  <c r="BD40" i="124" s="1"/>
  <c r="BB201" i="124" a="1"/>
  <c r="BB201" i="124" s="1"/>
  <c r="BD31" i="124" a="1"/>
  <c r="BD31" i="124" s="1"/>
  <c r="BB72" i="124" a="1"/>
  <c r="BB72" i="124" s="1"/>
  <c r="BB87" i="124" a="1"/>
  <c r="BB87" i="124" s="1"/>
  <c r="BB116" i="124" a="1"/>
  <c r="BB116" i="124" s="1"/>
  <c r="BD65" i="124" a="1"/>
  <c r="BD65" i="124" s="1"/>
  <c r="BB151" i="124" a="1"/>
  <c r="BB151" i="124" s="1"/>
  <c r="BB16" i="124" a="1"/>
  <c r="BB16" i="124" s="1"/>
  <c r="BB35" i="124" a="1"/>
  <c r="BB35" i="124" s="1"/>
  <c r="BB156" i="124" a="1"/>
  <c r="BB156" i="124" s="1"/>
  <c r="BB88" i="124" a="1"/>
  <c r="BB88" i="124" s="1"/>
  <c r="BB190" i="124" a="1"/>
  <c r="BB190" i="124" s="1"/>
  <c r="BD76" i="124" a="1"/>
  <c r="BD76" i="124" s="1"/>
  <c r="BD74" i="124" a="1"/>
  <c r="BD74" i="124" s="1"/>
  <c r="BD146" i="124" a="1"/>
  <c r="BD146" i="124" s="1"/>
  <c r="BD89" i="124" a="1"/>
  <c r="BD89" i="124" s="1"/>
  <c r="BB206" i="124" a="1"/>
  <c r="BB206" i="124" s="1"/>
  <c r="BD238" i="124" a="1"/>
  <c r="BD238" i="124" s="1"/>
  <c r="BD38" i="124" a="1"/>
  <c r="BD38" i="124" s="1"/>
  <c r="BB202" i="124" a="1"/>
  <c r="BB202" i="124" s="1"/>
  <c r="BD100" i="124" a="1"/>
  <c r="BD100" i="124" s="1"/>
  <c r="BD30" i="124" a="1"/>
  <c r="BD30" i="124" s="1"/>
  <c r="BD136" i="124" a="1"/>
  <c r="BD136" i="124" s="1"/>
  <c r="BB89" i="124" a="1"/>
  <c r="BB89" i="124" s="1"/>
  <c r="BD68" i="124" a="1"/>
  <c r="BD68" i="124" s="1"/>
  <c r="BB188" i="124" a="1"/>
  <c r="BB188" i="124" s="1"/>
  <c r="BD94" i="124" a="1"/>
  <c r="BD94" i="124" s="1"/>
  <c r="BB230" i="124" a="1"/>
  <c r="BB230" i="124" s="1"/>
  <c r="BB235" i="124" a="1"/>
  <c r="BB235" i="124" s="1"/>
  <c r="BB226" i="124" a="1"/>
  <c r="BB226" i="124" s="1"/>
  <c r="BB200" i="124" a="1"/>
  <c r="BB200" i="124" s="1"/>
  <c r="BB217" i="124" a="1"/>
  <c r="BB217" i="124" s="1"/>
  <c r="BD44" i="124" a="1"/>
  <c r="BD44" i="124" s="1"/>
  <c r="BB36" i="124" a="1"/>
  <c r="BB36" i="124" s="1"/>
  <c r="BB189" i="124" a="1"/>
  <c r="BB189" i="124" s="1"/>
  <c r="BB109" i="124" a="1"/>
  <c r="BB109" i="124" s="1"/>
  <c r="BB48" i="124" a="1"/>
  <c r="BB48" i="124" s="1"/>
  <c r="BB100" i="124" a="1"/>
  <c r="BB100" i="124" s="1"/>
  <c r="BB97" i="124" a="1"/>
  <c r="BB97" i="124" s="1"/>
  <c r="BB209" i="124" a="1"/>
  <c r="BB209" i="124" s="1"/>
  <c r="BB207" i="124" a="1"/>
  <c r="BB207" i="124" s="1"/>
  <c r="BD39" i="124" a="1"/>
  <c r="BD39" i="124" s="1"/>
  <c r="BD91" i="124" a="1"/>
  <c r="BD91" i="124" s="1"/>
  <c r="BD217" i="124" a="1"/>
  <c r="BD217" i="124" s="1"/>
  <c r="BD163" i="124" a="1"/>
  <c r="BD163" i="124" s="1"/>
  <c r="BD188" i="124" a="1"/>
  <c r="BD188" i="124" s="1"/>
  <c r="BD166" i="124" a="1"/>
  <c r="BD166" i="124" s="1"/>
  <c r="BD27" i="124" a="1"/>
  <c r="BD27" i="124" s="1"/>
  <c r="BB165" i="124" a="1"/>
  <c r="BB165" i="124" s="1"/>
  <c r="BB63" i="124" a="1"/>
  <c r="BB63" i="124" s="1"/>
  <c r="BD161" i="124" a="1"/>
  <c r="BD161" i="124" s="1"/>
  <c r="BD222" i="124" a="1"/>
  <c r="BD222" i="124" s="1"/>
  <c r="BB90" i="124" a="1"/>
  <c r="BB90" i="124" s="1"/>
  <c r="BB6" i="124" a="1"/>
  <c r="BB6" i="124" s="1"/>
  <c r="BD169" i="124" a="1"/>
  <c r="BD169" i="124" s="1"/>
  <c r="BB136" i="124" a="1"/>
  <c r="BB136" i="124" s="1"/>
  <c r="BB91" i="124" a="1"/>
  <c r="BB91" i="124" s="1"/>
  <c r="BB153" i="124" a="1"/>
  <c r="BB153" i="124" s="1"/>
  <c r="BB157" i="124" a="1"/>
  <c r="BB157" i="124" s="1"/>
  <c r="BD84" i="124" a="1"/>
  <c r="BD84" i="124" s="1"/>
  <c r="BD225" i="124" a="1"/>
  <c r="BD225" i="124" s="1"/>
  <c r="BB17" i="124" a="1"/>
  <c r="BB17" i="124" s="1"/>
  <c r="BD8" i="124" a="1"/>
  <c r="BD8" i="124" s="1"/>
  <c r="BD18" i="124" a="1"/>
  <c r="BD18" i="124" s="1"/>
  <c r="BD55" i="124" a="1"/>
  <c r="BD55" i="124" s="1"/>
  <c r="BB175" i="124" a="1"/>
  <c r="BB175" i="124" s="1"/>
  <c r="BB144" i="124" a="1"/>
  <c r="BB144" i="124" s="1"/>
  <c r="BD5" i="124" a="1"/>
  <c r="BD5" i="124" s="1"/>
  <c r="BB149" i="124" a="1"/>
  <c r="BB149" i="124" s="1"/>
  <c r="BB121" i="124" a="1"/>
  <c r="BB121" i="124" s="1"/>
  <c r="BB81" i="124" a="1"/>
  <c r="BB81" i="124" s="1"/>
  <c r="BB95" i="124" a="1"/>
  <c r="BB95" i="124" s="1"/>
  <c r="BB70" i="124" a="1"/>
  <c r="BB70" i="124" s="1"/>
  <c r="BB240" i="124" a="1"/>
  <c r="BB240" i="124" s="1"/>
  <c r="BB73" i="124" a="1"/>
  <c r="BB73" i="124" s="1"/>
  <c r="BD174" i="124" a="1"/>
  <c r="BD174" i="124" s="1"/>
  <c r="BB94" i="124" a="1"/>
  <c r="BB94" i="124" s="1"/>
  <c r="BD228" i="124" a="1"/>
  <c r="BD228" i="124" s="1"/>
  <c r="BD127" i="124" a="1"/>
  <c r="BD127" i="124" s="1"/>
  <c r="BD151" i="124" a="1"/>
  <c r="BD151" i="124" s="1"/>
  <c r="BB195" i="124" a="1"/>
  <c r="BB195" i="124" s="1"/>
  <c r="BD194" i="124" a="1"/>
  <c r="BD194" i="124" s="1"/>
  <c r="BD69" i="124" a="1"/>
  <c r="BD69" i="124" s="1"/>
  <c r="BD231" i="124" a="1"/>
  <c r="BD231" i="124" s="1"/>
  <c r="BD164" i="124" a="1"/>
  <c r="BD164" i="124" s="1"/>
  <c r="BD143" i="124" a="1"/>
  <c r="BD143" i="124" s="1"/>
  <c r="BB222" i="124" a="1"/>
  <c r="BB222" i="124" s="1"/>
  <c r="BD191" i="124" a="1"/>
  <c r="BD191" i="124" s="1"/>
  <c r="BD173" i="124" a="1"/>
  <c r="BD173" i="124" s="1"/>
  <c r="BD200" i="124" a="1"/>
  <c r="BD200" i="124" s="1"/>
  <c r="BD56" i="124" a="1"/>
  <c r="BD56" i="124" s="1"/>
  <c r="BD87" i="124" a="1"/>
  <c r="BD87" i="124" s="1"/>
  <c r="BD223" i="124" a="1"/>
  <c r="BD223" i="124" s="1"/>
  <c r="BD12" i="124" a="1"/>
  <c r="BD12" i="124" s="1"/>
  <c r="BB32" i="124" a="1"/>
  <c r="BB32" i="124" s="1"/>
  <c r="BD149" i="124" a="1"/>
  <c r="BD149" i="124" s="1"/>
  <c r="BD21" i="124" a="1"/>
  <c r="BD21" i="124" s="1"/>
  <c r="BD85" i="124" a="1"/>
  <c r="BD85" i="124" s="1"/>
  <c r="BB117" i="124" a="1"/>
  <c r="BB117" i="124" s="1"/>
  <c r="BB168" i="124" a="1"/>
  <c r="BB168" i="124" s="1"/>
  <c r="BB122" i="124" a="1"/>
  <c r="BB122" i="124" s="1"/>
  <c r="BD67" i="124" a="1"/>
  <c r="BD67" i="124" s="1"/>
  <c r="BB110" i="124" a="1"/>
  <c r="BB110" i="124" s="1"/>
  <c r="BD193" i="124" a="1"/>
  <c r="BD193" i="124" s="1"/>
  <c r="BD14" i="124" a="1"/>
  <c r="BD14" i="124" s="1"/>
  <c r="BD230" i="124" a="1"/>
  <c r="BD230" i="124" s="1"/>
  <c r="BB185" i="124" a="1"/>
  <c r="BB185" i="124" s="1"/>
  <c r="BB18" i="124" a="1"/>
  <c r="BB18" i="124" s="1"/>
  <c r="BD114" i="124" a="1"/>
  <c r="BD114" i="124" s="1"/>
  <c r="BB77" i="124" a="1"/>
  <c r="BB77" i="124" s="1"/>
  <c r="BD233" i="124" a="1"/>
  <c r="BD233" i="124" s="1"/>
  <c r="BB170" i="124" a="1"/>
  <c r="BB170" i="124" s="1"/>
  <c r="BB169" i="124" a="1"/>
  <c r="BB169" i="124" s="1"/>
  <c r="BB112" i="124" a="1"/>
  <c r="BB112" i="124" s="1"/>
  <c r="BB124" i="124" a="1"/>
  <c r="BB124" i="124" s="1"/>
  <c r="BB127" i="124" a="1"/>
  <c r="BB127" i="124" s="1"/>
  <c r="BB232" i="124" a="1"/>
  <c r="BB232" i="124" s="1"/>
  <c r="BD190" i="124" a="1"/>
  <c r="BD190" i="124" s="1"/>
  <c r="BD152" i="124" a="1"/>
  <c r="BD152" i="124" s="1"/>
  <c r="BD73" i="124" a="1"/>
  <c r="BD73" i="124" s="1"/>
  <c r="BD157" i="124" a="1"/>
  <c r="BD157" i="124" s="1"/>
  <c r="BB196" i="124" a="1"/>
  <c r="BB196" i="124" s="1"/>
  <c r="BD147" i="124" a="1"/>
  <c r="BD147" i="124" s="1"/>
  <c r="BD109" i="124" a="1"/>
  <c r="BD109" i="124" s="1"/>
  <c r="BD153" i="124" a="1"/>
  <c r="BD153" i="124" s="1"/>
  <c r="BB11" i="124" a="1"/>
  <c r="BB11" i="124" s="1"/>
  <c r="BD175" i="124" a="1"/>
  <c r="BD175" i="124" s="1"/>
  <c r="BB161" i="124" a="1"/>
  <c r="BB161" i="124" s="1"/>
  <c r="BD64" i="124" a="1"/>
  <c r="BD64" i="124" s="1"/>
  <c r="BD48" i="124" a="1"/>
  <c r="BD48" i="124" s="1"/>
  <c r="BB203" i="124" a="1"/>
  <c r="BB203" i="124" s="1"/>
  <c r="BD172" i="124" a="1"/>
  <c r="BD172" i="124" s="1"/>
  <c r="BB21" i="124" a="1"/>
  <c r="BB21" i="124" s="1"/>
  <c r="BD110" i="124" a="1"/>
  <c r="BD110" i="124" s="1"/>
  <c r="BD70" i="124" a="1"/>
  <c r="BD70" i="124" s="1"/>
  <c r="BD9" i="124" a="1"/>
  <c r="BD9" i="124" s="1"/>
  <c r="BB44" i="124" a="1"/>
  <c r="BB44" i="124" s="1"/>
  <c r="BD116" i="124" a="1"/>
  <c r="BD116" i="124" s="1"/>
  <c r="BB8" i="124" a="1"/>
  <c r="BB8" i="124" s="1"/>
  <c r="BD232" i="124" a="1"/>
  <c r="BD232" i="124" s="1"/>
  <c r="BD240" i="124" a="1"/>
  <c r="BD240" i="124" s="1"/>
  <c r="BB174" i="124" a="1"/>
  <c r="BB174" i="124" s="1"/>
  <c r="BB146" i="124" a="1"/>
  <c r="BB146" i="124" s="1"/>
  <c r="BB75" i="124" a="1"/>
  <c r="BB75" i="124" s="1"/>
  <c r="BB236" i="124" a="1"/>
  <c r="BB236" i="124" s="1"/>
  <c r="BD106" i="124" a="1"/>
  <c r="BD106" i="124" s="1"/>
  <c r="BB42" i="124" a="1"/>
  <c r="BB42" i="124" s="1"/>
  <c r="BD34" i="124" a="1"/>
  <c r="BD34" i="124" s="1"/>
  <c r="BD59" i="124" a="1"/>
  <c r="BD59" i="124" s="1"/>
  <c r="BD82" i="124" a="1"/>
  <c r="BD82" i="124" s="1"/>
  <c r="BD90" i="124" a="1"/>
  <c r="BD90" i="124" s="1"/>
  <c r="BB68" i="124" a="1"/>
  <c r="BB68" i="124" s="1"/>
  <c r="BD159" i="124" a="1"/>
  <c r="BD159" i="124" s="1"/>
  <c r="BD19" i="124" a="1"/>
  <c r="BD19" i="124" s="1"/>
  <c r="BB12" i="124" a="1"/>
  <c r="BB12" i="124" s="1"/>
  <c r="BB30" i="124" a="1"/>
  <c r="BB30" i="124" s="1"/>
  <c r="BB10" i="124" a="1"/>
  <c r="BB10" i="124" s="1"/>
  <c r="BD236" i="124" a="1"/>
  <c r="BD236" i="124" s="1"/>
  <c r="BB176" i="124" a="1"/>
  <c r="BB176" i="124" s="1"/>
  <c r="BB74" i="124" a="1"/>
  <c r="BB74" i="124" s="1"/>
  <c r="BB76" i="124" a="1"/>
  <c r="BB76" i="124" s="1"/>
  <c r="BD155" i="124" a="1"/>
  <c r="BD155" i="124" s="1"/>
  <c r="BB155" i="124" a="1"/>
  <c r="BB155" i="124" s="1"/>
  <c r="BB167" i="124" a="1"/>
  <c r="BB167" i="124" s="1"/>
  <c r="BB7" i="124" a="1"/>
  <c r="BB7" i="124" s="1"/>
  <c r="BD189" i="124" a="1"/>
  <c r="BD189" i="124" s="1"/>
  <c r="BD139" i="124" a="1"/>
  <c r="BD139" i="124" s="1"/>
  <c r="BB233" i="124" a="1"/>
  <c r="BB233" i="124" s="1"/>
  <c r="BB71" i="124" a="1"/>
  <c r="BB71" i="124" s="1"/>
  <c r="BB164" i="124" a="1"/>
  <c r="BB164" i="124" s="1"/>
  <c r="BB85" i="124" a="1"/>
  <c r="BB85" i="124" s="1"/>
  <c r="BB194" i="124" a="1"/>
  <c r="BB194" i="124" s="1"/>
  <c r="BB96" i="124" a="1"/>
  <c r="BB96" i="124" s="1"/>
  <c r="BB64" i="124" a="1"/>
  <c r="BB64" i="124" s="1"/>
  <c r="BD179" i="124" a="1"/>
  <c r="BD179" i="124" s="1"/>
  <c r="BB191" i="124" a="1"/>
  <c r="BB191" i="124" s="1"/>
  <c r="BD215" i="124" a="1"/>
  <c r="BD215" i="124" s="1"/>
  <c r="BD37" i="124" a="1"/>
  <c r="BD37" i="124" s="1"/>
  <c r="BD234" i="124" a="1"/>
  <c r="BD234" i="124" s="1"/>
  <c r="BD11" i="124" a="1"/>
  <c r="BD11" i="124" s="1"/>
  <c r="BB225" i="124" a="1"/>
  <c r="BB225" i="124" s="1"/>
  <c r="BD86" i="124" a="1"/>
  <c r="BD86" i="124" s="1"/>
  <c r="BD165" i="124" a="1"/>
  <c r="BD165" i="124" s="1"/>
  <c r="BD88" i="124" a="1"/>
  <c r="BD88" i="124" s="1"/>
  <c r="BD43" i="124" a="1"/>
  <c r="BD43" i="124" s="1"/>
  <c r="BB84" i="124" a="1"/>
  <c r="BB84" i="124" s="1"/>
  <c r="BD170" i="124" a="1"/>
  <c r="BD170" i="124" s="1"/>
  <c r="BD7" i="124" a="1"/>
  <c r="BD7" i="124" s="1"/>
  <c r="BB173" i="124" a="1"/>
  <c r="BB173" i="124" s="1"/>
  <c r="BD115" i="124" a="1"/>
  <c r="BD115" i="124" s="1"/>
  <c r="BD176" i="124" a="1"/>
  <c r="BD176" i="124" s="1"/>
  <c r="BD144" i="124" a="1"/>
  <c r="BD144" i="124" s="1"/>
  <c r="BB166" i="124" a="1"/>
  <c r="BB166" i="124" s="1"/>
  <c r="BD78" i="124" a="1"/>
  <c r="BD78" i="124" s="1"/>
  <c r="BD78" i="113" a="1"/>
  <c r="BD78" i="113" s="1"/>
  <c r="BD237" i="113" a="1"/>
  <c r="BD237" i="113" s="1"/>
  <c r="BD40" i="113" a="1"/>
  <c r="BD40" i="113" s="1"/>
  <c r="BB204" i="124" a="1"/>
  <c r="BB204" i="124" s="1"/>
  <c r="BB186" i="124" a="1"/>
  <c r="BB186" i="124" s="1"/>
  <c r="BD25" i="124" a="1"/>
  <c r="BD25" i="124" s="1"/>
  <c r="BD183" i="124" a="1"/>
  <c r="BD183" i="124" s="1"/>
  <c r="BB205" i="124" a="1"/>
  <c r="BB205" i="124" s="1"/>
  <c r="BB214" i="124" a="1"/>
  <c r="BB214" i="124" s="1"/>
  <c r="BB182" i="124" a="1"/>
  <c r="BB182" i="124" s="1"/>
  <c r="BD53" i="124" a="1"/>
  <c r="BD53" i="124" s="1"/>
  <c r="BD20" i="124" a="1"/>
  <c r="BD20" i="124" s="1"/>
  <c r="BD177" i="124" a="1"/>
  <c r="BD177" i="124" s="1"/>
  <c r="BB198" i="124" a="1"/>
  <c r="BB198" i="124" s="1"/>
  <c r="BB181" i="124" a="1"/>
  <c r="BB181" i="124" s="1"/>
  <c r="BB41" i="124" a="1"/>
  <c r="BB41" i="124" s="1"/>
  <c r="BD209" i="124" a="1"/>
  <c r="BD209" i="124" s="1"/>
  <c r="BD81" i="124" a="1"/>
  <c r="BD81" i="124" s="1"/>
  <c r="BB19" i="124" a="1"/>
  <c r="BB19" i="124" s="1"/>
  <c r="BB39" i="124" a="1"/>
  <c r="BB39" i="124" s="1"/>
  <c r="BB54" i="124" a="1"/>
  <c r="BB54" i="124" s="1"/>
  <c r="BD61" i="124" a="1"/>
  <c r="BD61" i="124" s="1"/>
  <c r="BB56" i="124" a="1"/>
  <c r="BB56" i="124" s="1"/>
  <c r="BB197" i="124" a="1"/>
  <c r="BB197" i="124" s="1"/>
  <c r="BB47" i="124" a="1"/>
  <c r="BB47" i="124" s="1"/>
  <c r="BB49" i="124" a="1"/>
  <c r="BB49" i="124" s="1"/>
  <c r="BD4" i="124" a="1"/>
  <c r="BD4" i="124" s="1"/>
  <c r="BD207" i="124" a="1"/>
  <c r="BD207" i="124" s="1"/>
  <c r="BD22" i="124" a="1"/>
  <c r="BD22" i="124" s="1"/>
  <c r="BD178" i="124" a="1"/>
  <c r="BD178" i="124" s="1"/>
  <c r="BB239" i="124" a="1"/>
  <c r="BB239" i="124" s="1"/>
  <c r="BB224" i="124" a="1"/>
  <c r="BB224" i="124" s="1"/>
  <c r="BB212" i="124" a="1"/>
  <c r="BB212" i="124" s="1"/>
  <c r="BB23" i="124" a="1"/>
  <c r="BB23" i="124" s="1"/>
  <c r="BB29" i="124" a="1"/>
  <c r="BB29" i="124" s="1"/>
  <c r="BB46" i="124" a="1"/>
  <c r="BB46" i="124" s="1"/>
  <c r="BD199" i="124" a="1"/>
  <c r="BD199" i="124" s="1"/>
  <c r="BB28" i="124" a="1"/>
  <c r="BB28" i="124" s="1"/>
  <c r="BB66" i="124" a="1"/>
  <c r="BB66" i="124" s="1"/>
  <c r="BD216" i="124" a="1"/>
  <c r="BD216" i="124" s="1"/>
  <c r="BD227" i="124" a="1"/>
  <c r="BD227" i="124" s="1"/>
  <c r="BD145" i="124" a="1"/>
  <c r="BD145" i="124" s="1"/>
  <c r="BD120" i="124" a="1"/>
  <c r="BD120" i="124" s="1"/>
  <c r="BB119" i="124" a="1"/>
  <c r="BB119" i="124" s="1"/>
  <c r="BD148" i="124" a="1"/>
  <c r="BD148" i="124" s="1"/>
  <c r="BD132" i="124" a="1"/>
  <c r="BD132" i="124" s="1"/>
  <c r="BD171" i="124" a="1"/>
  <c r="BD171" i="124" s="1"/>
  <c r="BB145" i="124" a="1"/>
  <c r="BB145" i="124" s="1"/>
  <c r="BD92" i="124" a="1"/>
  <c r="BD92" i="124" s="1"/>
  <c r="BD128" i="124" a="1"/>
  <c r="BD128" i="124" s="1"/>
  <c r="BD224" i="124" a="1"/>
  <c r="BD224" i="124" s="1"/>
  <c r="BD83" i="124" a="1"/>
  <c r="BD83" i="124" s="1"/>
  <c r="BB141" i="124" a="1"/>
  <c r="BB141" i="124" s="1"/>
  <c r="BD130" i="124" a="1"/>
  <c r="BD130" i="124" s="1"/>
  <c r="BD162" i="124" a="1"/>
  <c r="BD162" i="124" s="1"/>
  <c r="BB220" i="124" a="1"/>
  <c r="BB220" i="124" s="1"/>
  <c r="BB133" i="124" a="1"/>
  <c r="BB133" i="124" s="1"/>
  <c r="BB118" i="124" a="1"/>
  <c r="BB118" i="124" s="1"/>
  <c r="BD197" i="124" a="1"/>
  <c r="BD197" i="124" s="1"/>
  <c r="BD125" i="124" a="1"/>
  <c r="BD125" i="124" s="1"/>
  <c r="BD187" i="124" a="1"/>
  <c r="BD187" i="124" s="1"/>
  <c r="BD208" i="124" a="1"/>
  <c r="BD208" i="124" s="1"/>
  <c r="BD54" i="124" a="1"/>
  <c r="BD54" i="124" s="1"/>
  <c r="BD108" i="124" a="1"/>
  <c r="BD108" i="124" s="1"/>
  <c r="BD212" i="124" a="1"/>
  <c r="BD212" i="124" s="1"/>
  <c r="BB62" i="124" a="1"/>
  <c r="BB62" i="124" s="1"/>
  <c r="BD131" i="124" a="1"/>
  <c r="BD131" i="124" s="1"/>
  <c r="BD102" i="124" a="1"/>
  <c r="BD102" i="124" s="1"/>
  <c r="BB98" i="124" a="1"/>
  <c r="BB98" i="124" s="1"/>
  <c r="BD52" i="124" a="1"/>
  <c r="BD52" i="124" s="1"/>
  <c r="BD126" i="124" a="1"/>
  <c r="BD126" i="124" s="1"/>
  <c r="BD107" i="124" a="1"/>
  <c r="BD107" i="124" s="1"/>
  <c r="BB120" i="124" a="1"/>
  <c r="BB120" i="124" s="1"/>
  <c r="BD135" i="124" a="1"/>
  <c r="BD135" i="124" s="1"/>
  <c r="BD50" i="124" a="1"/>
  <c r="BD50" i="124" s="1"/>
  <c r="BD99" i="124" a="1"/>
  <c r="BD99" i="124" s="1"/>
  <c r="BD104" i="124" a="1"/>
  <c r="BD104" i="124" s="1"/>
  <c r="BD210" i="124" a="1"/>
  <c r="BD210" i="124" s="1"/>
  <c r="BD158" i="124" a="1"/>
  <c r="BD158" i="124" s="1"/>
  <c r="BD129" i="124" a="1"/>
  <c r="BD129" i="124" s="1"/>
  <c r="BB184" i="124" a="1"/>
  <c r="BB184" i="124" s="1"/>
  <c r="BB211" i="124" a="1"/>
  <c r="BB211" i="124" s="1"/>
  <c r="BB132" i="124" a="1"/>
  <c r="BB132" i="124" s="1"/>
  <c r="BB26" i="124" a="1"/>
  <c r="BB26" i="124" s="1"/>
  <c r="BB137" i="124" a="1"/>
  <c r="BB137" i="124" s="1"/>
  <c r="BB213" i="124" a="1"/>
  <c r="BB213" i="124" s="1"/>
  <c r="BB99" i="124" a="1"/>
  <c r="BB99" i="124" s="1"/>
  <c r="BD63" i="124" a="1"/>
  <c r="BD63" i="124" s="1"/>
  <c r="BB178" i="124" a="1"/>
  <c r="BB178" i="124" s="1"/>
  <c r="BB58" i="124" a="1"/>
  <c r="BB58" i="124" s="1"/>
  <c r="BB210" i="124" a="1"/>
  <c r="BB210" i="124" s="1"/>
  <c r="BB160" i="124" a="1"/>
  <c r="BB160" i="124" s="1"/>
  <c r="BB171" i="124" a="1"/>
  <c r="BB171" i="124" s="1"/>
  <c r="BB187" i="124" a="1"/>
  <c r="BB187" i="124" s="1"/>
  <c r="BD29" i="124" a="1"/>
  <c r="BD29" i="124" s="1"/>
  <c r="BB140" i="124" a="1"/>
  <c r="BB140" i="124" s="1"/>
  <c r="BB53" i="124" a="1"/>
  <c r="BB53" i="124" s="1"/>
  <c r="BB101" i="124" a="1"/>
  <c r="BB101" i="124" s="1"/>
  <c r="BB221" i="124" a="1"/>
  <c r="BB221" i="124" s="1"/>
  <c r="BD103" i="124" a="1"/>
  <c r="BD103" i="124" s="1"/>
  <c r="BB20" i="124" a="1"/>
  <c r="BB20" i="124" s="1"/>
  <c r="BB13" i="124" a="1"/>
  <c r="BB13" i="124" s="1"/>
  <c r="BB131" i="124" a="1"/>
  <c r="BB131" i="124" s="1"/>
  <c r="BB134" i="124" a="1"/>
  <c r="BB134" i="124" s="1"/>
  <c r="BD24" i="124" a="1"/>
  <c r="BD24" i="124" s="1"/>
  <c r="BB142" i="124" a="1"/>
  <c r="BB142" i="124" s="1"/>
  <c r="BB180" i="124" a="1"/>
  <c r="BB180" i="124" s="1"/>
  <c r="BB92" i="124" a="1"/>
  <c r="BB92" i="124" s="1"/>
  <c r="BB61" i="124" a="1"/>
  <c r="BB61" i="124" s="1"/>
  <c r="BB219" i="124" a="1"/>
  <c r="BB219" i="124" s="1"/>
  <c r="BB105" i="124" a="1"/>
  <c r="BB105" i="124" s="1"/>
  <c r="BB22" i="124" a="1"/>
  <c r="BB22" i="124" s="1"/>
  <c r="BB55" i="124" a="1"/>
  <c r="BB55" i="124" s="1"/>
  <c r="BB52" i="124" a="1"/>
  <c r="BB52" i="124" s="1"/>
  <c r="BD239" i="124" a="1"/>
  <c r="BD239" i="124" s="1"/>
  <c r="BB108" i="124" a="1"/>
  <c r="BB108" i="124" s="1"/>
  <c r="BD198" i="124" a="1"/>
  <c r="BD198" i="124" s="1"/>
  <c r="BD41" i="124" a="1"/>
  <c r="BD41" i="124" s="1"/>
  <c r="BD66" i="124" a="1"/>
  <c r="BD66" i="124" s="1"/>
  <c r="BD28" i="124" a="1"/>
  <c r="BD28" i="124" s="1"/>
  <c r="BB199" i="124" a="1"/>
  <c r="BB199" i="124" s="1"/>
  <c r="BD214" i="124" a="1"/>
  <c r="BD214" i="124" s="1"/>
  <c r="BD79" i="124" a="1"/>
  <c r="BD79" i="124" s="1"/>
  <c r="BD13" i="124" a="1"/>
  <c r="BD13" i="124" s="1"/>
  <c r="BD186" i="124" a="1"/>
  <c r="BD186" i="124" s="1"/>
  <c r="BD211" i="124" a="1"/>
  <c r="BD211" i="124" s="1"/>
  <c r="BB50" i="124" a="1"/>
  <c r="BB50" i="124" s="1"/>
  <c r="BD204" i="124" a="1"/>
  <c r="BD204" i="124" s="1"/>
  <c r="BB130" i="124" a="1"/>
  <c r="BB130" i="124" s="1"/>
  <c r="BD184" i="124" a="1"/>
  <c r="BD184" i="124" s="1"/>
  <c r="BD220" i="124" a="1"/>
  <c r="BD220" i="124" s="1"/>
  <c r="BB107" i="124" a="1"/>
  <c r="BB107" i="124" s="1"/>
  <c r="BB148" i="124" a="1"/>
  <c r="BB148" i="124" s="1"/>
  <c r="BD221" i="124" a="1"/>
  <c r="BD221" i="124" s="1"/>
  <c r="BD49" i="124" a="1"/>
  <c r="BD49" i="124" s="1"/>
  <c r="BD219" i="124" a="1"/>
  <c r="BD219" i="124" s="1"/>
  <c r="BB128" i="124" a="1"/>
  <c r="BB128" i="124" s="1"/>
  <c r="BD46" i="124" a="1"/>
  <c r="BD46" i="124" s="1"/>
  <c r="BD47" i="124" a="1"/>
  <c r="BD47" i="124" s="1"/>
  <c r="BB162" i="124" a="1"/>
  <c r="BB162" i="124" s="1"/>
  <c r="BD98" i="124" a="1"/>
  <c r="BD98" i="124" s="1"/>
  <c r="BD137" i="124" a="1"/>
  <c r="BD137" i="124" s="1"/>
  <c r="BD119" i="124" a="1"/>
  <c r="BD119" i="124" s="1"/>
  <c r="BD58" i="124" a="1"/>
  <c r="BD58" i="124" s="1"/>
  <c r="BD62" i="124" a="1"/>
  <c r="BD62" i="124" s="1"/>
  <c r="BB103" i="124" a="1"/>
  <c r="BB103" i="124" s="1"/>
  <c r="BB69" i="124" a="1"/>
  <c r="BB69" i="124" s="1"/>
  <c r="BB104" i="124" a="1"/>
  <c r="BB104" i="124" s="1"/>
  <c r="BD26" i="124" a="1"/>
  <c r="BD26" i="124" s="1"/>
  <c r="BD134" i="124" a="1"/>
  <c r="BD134" i="124" s="1"/>
  <c r="BD23" i="124" a="1"/>
  <c r="BD23" i="124" s="1"/>
  <c r="BD181" i="124" a="1"/>
  <c r="BD181" i="124" s="1"/>
  <c r="BB135" i="124" a="1"/>
  <c r="BB135" i="124" s="1"/>
  <c r="BB25" i="124" a="1"/>
  <c r="BB25" i="124" s="1"/>
  <c r="BB126" i="124" a="1"/>
  <c r="BB126" i="124" s="1"/>
  <c r="BB79" i="124" a="1"/>
  <c r="BB79" i="124" s="1"/>
  <c r="BD160" i="124" a="1"/>
  <c r="BD160" i="124" s="1"/>
  <c r="BD140" i="124" a="1"/>
  <c r="BD140" i="124" s="1"/>
  <c r="BD105" i="124" a="1"/>
  <c r="BD105" i="124" s="1"/>
  <c r="BD205" i="124" a="1"/>
  <c r="BD205" i="124" s="1"/>
  <c r="BB208" i="124" a="1"/>
  <c r="BB208" i="124" s="1"/>
  <c r="BB158" i="124" a="1"/>
  <c r="BB158" i="124" s="1"/>
  <c r="BD118" i="124" a="1"/>
  <c r="BD118" i="124" s="1"/>
  <c r="BB125" i="124" a="1"/>
  <c r="BB125" i="124" s="1"/>
  <c r="BB102" i="124" a="1"/>
  <c r="BB102" i="124" s="1"/>
  <c r="BB183" i="124" a="1"/>
  <c r="BB183" i="124" s="1"/>
  <c r="BD133" i="124" a="1"/>
  <c r="BD133" i="124" s="1"/>
  <c r="BD182" i="124" a="1"/>
  <c r="BD182" i="124" s="1"/>
  <c r="BD101" i="124" a="1"/>
  <c r="BD101" i="124" s="1"/>
  <c r="BB227" i="124" a="1"/>
  <c r="BB227" i="124" s="1"/>
  <c r="BB83" i="124" a="1"/>
  <c r="BB83" i="124" s="1"/>
  <c r="BB24" i="124" a="1"/>
  <c r="BB24" i="124" s="1"/>
  <c r="BB4" i="124" a="1"/>
  <c r="BB4" i="124" s="1"/>
  <c r="BD51" i="124" a="1"/>
  <c r="BD51" i="124" s="1"/>
  <c r="BD141" i="124" a="1"/>
  <c r="BD141" i="124" s="1"/>
  <c r="BD213" i="124" a="1"/>
  <c r="BD213" i="124" s="1"/>
  <c r="BD180" i="124" a="1"/>
  <c r="BD180" i="124" s="1"/>
  <c r="BB129" i="124" a="1"/>
  <c r="BB129" i="124" s="1"/>
  <c r="BD142" i="124" a="1"/>
  <c r="BD142" i="124" s="1"/>
  <c r="BF154" i="124"/>
  <c r="BK154" i="124" s="1"/>
  <c r="BF231" i="124"/>
  <c r="BK231" i="124" s="1"/>
  <c r="BF62" i="124"/>
  <c r="BK62" i="124" s="1"/>
  <c r="BF143" i="124"/>
  <c r="BK143" i="124" s="1"/>
  <c r="BF118" i="124"/>
  <c r="BK118" i="124" s="1"/>
  <c r="BF186" i="124"/>
  <c r="BK186" i="124" s="1"/>
  <c r="BF37" i="124"/>
  <c r="BK37" i="124" s="1"/>
  <c r="BF69" i="124"/>
  <c r="BK69" i="124" s="1"/>
  <c r="BF38" i="124"/>
  <c r="BK38" i="124" s="1"/>
  <c r="BF21" i="124"/>
  <c r="BK21" i="124" s="1"/>
  <c r="BF158" i="124"/>
  <c r="BK158" i="124" s="1"/>
  <c r="BF125" i="124"/>
  <c r="BK125" i="124" s="1"/>
  <c r="BF122" i="124"/>
  <c r="BK122" i="124" s="1"/>
  <c r="BF142" i="124"/>
  <c r="BK142" i="124" s="1"/>
  <c r="BF152" i="124"/>
  <c r="BK152" i="124" s="1"/>
  <c r="BF147" i="124"/>
  <c r="BK147" i="124" s="1"/>
  <c r="BF176" i="124"/>
  <c r="BK176" i="124" s="1"/>
  <c r="BF140" i="124"/>
  <c r="BK140" i="124" s="1"/>
  <c r="BF107" i="124"/>
  <c r="BK107" i="124" s="1"/>
  <c r="BF91" i="124"/>
  <c r="BK91" i="124" s="1"/>
  <c r="BF212" i="124"/>
  <c r="BK212" i="124" s="1"/>
  <c r="BF103" i="124"/>
  <c r="BK103" i="124" s="1"/>
  <c r="BF189" i="124"/>
  <c r="BK189" i="124" s="1"/>
  <c r="BF175" i="124"/>
  <c r="BK175" i="124" s="1"/>
  <c r="BF61" i="124"/>
  <c r="BK61" i="124" s="1"/>
  <c r="BF6" i="124"/>
  <c r="BK6" i="124" s="1"/>
  <c r="BF240" i="124"/>
  <c r="BK240" i="124" s="1"/>
  <c r="BF97" i="124"/>
  <c r="BK97" i="124" s="1"/>
  <c r="BF181" i="124"/>
  <c r="BK181" i="124" s="1"/>
  <c r="BF206" i="124"/>
  <c r="BK206" i="124" s="1"/>
  <c r="BF9" i="124"/>
  <c r="BK9" i="124" s="1"/>
  <c r="BF46" i="124"/>
  <c r="BK46" i="124" s="1"/>
  <c r="BF146" i="124"/>
  <c r="BK146" i="124" s="1"/>
  <c r="BF73" i="124"/>
  <c r="BK73" i="124" s="1"/>
  <c r="BF54" i="124"/>
  <c r="BK54" i="124" s="1"/>
  <c r="BF217" i="124"/>
  <c r="BK217" i="124" s="1"/>
  <c r="BF39" i="124"/>
  <c r="BK39" i="124" s="1"/>
  <c r="BF106" i="124"/>
  <c r="BK106" i="124" s="1"/>
  <c r="BF227" i="124"/>
  <c r="BK227" i="124" s="1"/>
  <c r="BF184" i="124"/>
  <c r="BK184" i="124" s="1"/>
  <c r="BF43" i="124"/>
  <c r="BK43" i="124" s="1"/>
  <c r="BF45" i="124"/>
  <c r="BK45" i="124" s="1"/>
  <c r="BF70" i="124"/>
  <c r="BK70" i="124" s="1"/>
  <c r="BF114" i="124"/>
  <c r="BK114" i="124" s="1"/>
  <c r="BF30" i="124"/>
  <c r="BK30" i="124" s="1"/>
  <c r="BF4" i="124"/>
  <c r="BK4" i="124" s="1"/>
  <c r="BF82" i="124"/>
  <c r="BK82" i="124" s="1"/>
  <c r="BF110" i="124"/>
  <c r="BK110" i="124" s="1"/>
  <c r="BF183" i="124"/>
  <c r="BK183" i="124" s="1"/>
  <c r="BF201" i="124"/>
  <c r="BK201" i="124" s="1"/>
  <c r="BF78" i="124"/>
  <c r="BK78" i="124" s="1"/>
  <c r="BF119" i="124"/>
  <c r="BK119" i="124" s="1"/>
  <c r="BF226" i="124"/>
  <c r="BK226" i="124" s="1"/>
  <c r="BF128" i="124"/>
  <c r="BK128" i="124" s="1"/>
  <c r="BF236" i="124"/>
  <c r="BK236" i="124" s="1"/>
  <c r="BF151" i="124"/>
  <c r="BK151" i="124" s="1"/>
  <c r="BF214" i="124"/>
  <c r="BK214" i="124" s="1"/>
  <c r="BF138" i="124"/>
  <c r="BK138" i="124" s="1"/>
  <c r="BF216" i="124"/>
  <c r="BK216" i="124" s="1"/>
  <c r="BF49" i="124"/>
  <c r="BK49" i="124" s="1"/>
  <c r="BF41" i="124"/>
  <c r="BK41" i="124" s="1"/>
  <c r="BF19" i="124"/>
  <c r="BK19" i="124" s="1"/>
  <c r="BF68" i="124"/>
  <c r="BK68" i="124" s="1"/>
  <c r="BF94" i="124"/>
  <c r="BK94" i="124" s="1"/>
  <c r="BF84" i="124"/>
  <c r="BK84" i="124" s="1"/>
  <c r="BF10" i="124"/>
  <c r="BK10" i="124" s="1"/>
  <c r="BF204" i="124"/>
  <c r="BK204" i="124" s="1"/>
  <c r="BF136" i="124"/>
  <c r="BK136" i="124" s="1"/>
  <c r="BF197" i="124"/>
  <c r="BK197" i="124" s="1"/>
  <c r="BF108" i="124"/>
  <c r="BK108" i="124" s="1"/>
  <c r="BF104" i="124"/>
  <c r="BK104" i="124" s="1"/>
  <c r="BF109" i="124"/>
  <c r="BK109" i="124" s="1"/>
  <c r="BF144" i="124"/>
  <c r="BK144" i="124" s="1"/>
  <c r="BF213" i="124"/>
  <c r="BK213" i="124" s="1"/>
  <c r="BF198" i="124"/>
  <c r="BK198" i="124" s="1"/>
  <c r="BF237" i="124"/>
  <c r="BK237" i="124" s="1"/>
  <c r="BF164" i="124"/>
  <c r="BK164" i="124" s="1"/>
  <c r="BF13" i="124"/>
  <c r="BK13" i="124" s="1"/>
  <c r="BF187" i="124"/>
  <c r="BK187" i="124" s="1"/>
  <c r="BF11" i="124"/>
  <c r="BK11" i="124" s="1"/>
  <c r="BF150" i="124"/>
  <c r="BK150" i="124" s="1"/>
  <c r="BF182" i="124"/>
  <c r="BK182" i="124" s="1"/>
  <c r="BF15" i="124"/>
  <c r="BK15" i="124" s="1"/>
  <c r="BF133" i="124"/>
  <c r="BK133" i="124" s="1"/>
  <c r="BF58" i="124"/>
  <c r="BK58" i="124" s="1"/>
  <c r="BF170" i="124"/>
  <c r="BK170" i="124" s="1"/>
  <c r="BF188" i="124"/>
  <c r="BK188" i="124" s="1"/>
  <c r="BF157" i="124"/>
  <c r="BK157" i="124" s="1"/>
  <c r="BF139" i="124"/>
  <c r="BK139" i="124" s="1"/>
  <c r="BF127" i="124"/>
  <c r="BK127" i="124" s="1"/>
  <c r="BF66" i="124"/>
  <c r="BK66" i="124" s="1"/>
  <c r="BF101" i="124"/>
  <c r="BK101" i="124" s="1"/>
  <c r="BF199" i="124"/>
  <c r="BK199" i="124" s="1"/>
  <c r="BF115" i="124"/>
  <c r="BK115" i="124" s="1"/>
  <c r="BF60" i="124"/>
  <c r="BK60" i="124" s="1"/>
  <c r="BF105" i="124"/>
  <c r="BK105" i="124" s="1"/>
  <c r="BF185" i="124"/>
  <c r="BK185" i="124" s="1"/>
  <c r="BF141" i="124"/>
  <c r="BK141" i="124" s="1"/>
  <c r="BF99" i="124"/>
  <c r="BK99" i="124" s="1"/>
  <c r="BF5" i="124"/>
  <c r="BK5" i="124" s="1"/>
  <c r="BF29" i="124"/>
  <c r="BK29" i="124" s="1"/>
  <c r="BF179" i="124"/>
  <c r="BK179" i="124" s="1"/>
  <c r="BF65" i="124"/>
  <c r="BK65" i="124" s="1"/>
  <c r="BF121" i="124"/>
  <c r="BK121" i="124" s="1"/>
  <c r="BF24" i="124"/>
  <c r="BK24" i="124" s="1"/>
  <c r="BF219" i="124"/>
  <c r="BK219" i="124" s="1"/>
  <c r="BF35" i="124"/>
  <c r="BK35" i="124" s="1"/>
  <c r="BF95" i="124"/>
  <c r="BK95" i="124" s="1"/>
  <c r="BF156" i="124"/>
  <c r="BK156" i="124" s="1"/>
  <c r="BF33" i="124"/>
  <c r="BK33" i="124" s="1"/>
  <c r="BF218" i="124"/>
  <c r="BK218" i="124" s="1"/>
  <c r="BF202" i="124"/>
  <c r="BK202" i="124" s="1"/>
  <c r="BF153" i="124"/>
  <c r="BK153" i="124" s="1"/>
  <c r="BF134" i="124"/>
  <c r="BK134" i="124" s="1"/>
  <c r="BF20" i="124"/>
  <c r="BK20" i="124" s="1"/>
  <c r="BF172" i="124"/>
  <c r="BK172" i="124" s="1"/>
  <c r="BF191" i="124"/>
  <c r="BK191" i="124" s="1"/>
  <c r="BF81" i="124"/>
  <c r="BK81" i="124" s="1"/>
  <c r="BF79" i="124"/>
  <c r="BK79" i="124" s="1"/>
  <c r="BF211" i="124"/>
  <c r="BK211" i="124" s="1"/>
  <c r="BF208" i="124"/>
  <c r="BK208" i="124" s="1"/>
  <c r="BF196" i="124"/>
  <c r="BK196" i="124" s="1"/>
  <c r="BF210" i="124"/>
  <c r="BK210" i="124" s="1"/>
  <c r="BF209" i="124"/>
  <c r="BK209" i="124" s="1"/>
  <c r="BF233" i="124"/>
  <c r="BK233" i="124" s="1"/>
  <c r="BF47" i="124"/>
  <c r="BK47" i="124" s="1"/>
  <c r="BF28" i="124"/>
  <c r="BK28" i="124" s="1"/>
  <c r="BF32" i="124"/>
  <c r="BK32" i="124" s="1"/>
  <c r="BF86" i="124"/>
  <c r="BK86" i="124" s="1"/>
  <c r="BF171" i="124"/>
  <c r="BK171" i="124" s="1"/>
  <c r="BF51" i="124"/>
  <c r="BK51" i="124" s="1"/>
  <c r="BF74" i="124"/>
  <c r="BK74" i="124" s="1"/>
  <c r="BF77" i="124"/>
  <c r="BK77" i="124" s="1"/>
  <c r="BF167" i="124"/>
  <c r="BK167" i="124" s="1"/>
  <c r="BF27" i="124"/>
  <c r="BK27" i="124" s="1"/>
  <c r="BF166" i="124"/>
  <c r="BK166" i="124" s="1"/>
  <c r="BF67" i="124"/>
  <c r="BK67" i="124" s="1"/>
  <c r="BF113" i="124"/>
  <c r="BK113" i="124" s="1"/>
  <c r="BF36" i="124"/>
  <c r="BK36" i="124" s="1"/>
  <c r="BF132" i="124"/>
  <c r="BK132" i="124" s="1"/>
  <c r="BF174" i="124"/>
  <c r="BK174" i="124" s="1"/>
  <c r="BF76" i="124"/>
  <c r="BK76" i="124" s="1"/>
  <c r="BF194" i="124"/>
  <c r="BK194" i="124" s="1"/>
  <c r="BF12" i="124"/>
  <c r="BK12" i="124" s="1"/>
  <c r="BF178" i="124"/>
  <c r="BK178" i="124" s="1"/>
  <c r="BF215" i="124"/>
  <c r="BK215" i="124" s="1"/>
  <c r="BF102" i="124"/>
  <c r="BK102" i="124" s="1"/>
  <c r="BF200" i="124"/>
  <c r="BK200" i="124" s="1"/>
  <c r="BF135" i="124"/>
  <c r="BK135" i="124" s="1"/>
  <c r="BF34" i="124"/>
  <c r="BK34" i="124" s="1"/>
  <c r="BF129" i="124"/>
  <c r="BK129" i="124" s="1"/>
  <c r="BF85" i="124"/>
  <c r="BK85" i="124" s="1"/>
  <c r="BF173" i="124"/>
  <c r="BK173" i="124" s="1"/>
  <c r="BF207" i="124"/>
  <c r="BK207" i="124" s="1"/>
  <c r="BF137" i="124"/>
  <c r="BK137" i="124" s="1"/>
  <c r="BF26" i="124"/>
  <c r="BK26" i="124" s="1"/>
  <c r="BF163" i="124"/>
  <c r="BK163" i="124" s="1"/>
  <c r="BF7" i="124"/>
  <c r="BK7" i="124" s="1"/>
  <c r="BF25" i="124"/>
  <c r="BK25" i="124" s="1"/>
  <c r="BF161" i="124"/>
  <c r="BK161" i="124" s="1"/>
  <c r="BF111" i="124"/>
  <c r="BK111" i="124" s="1"/>
  <c r="BF239" i="124"/>
  <c r="BK239" i="124" s="1"/>
  <c r="BF145" i="124"/>
  <c r="BK145" i="124" s="1"/>
  <c r="BF42" i="124"/>
  <c r="BK42" i="124" s="1"/>
  <c r="BF168" i="124"/>
  <c r="BK168" i="124" s="1"/>
  <c r="BF52" i="124"/>
  <c r="BK52" i="124" s="1"/>
  <c r="BF192" i="124"/>
  <c r="BK192" i="124" s="1"/>
  <c r="BF23" i="124"/>
  <c r="BK23" i="124" s="1"/>
  <c r="BF8" i="124"/>
  <c r="BK8" i="124" s="1"/>
  <c r="BF22" i="124"/>
  <c r="BK22" i="124" s="1"/>
  <c r="BF235" i="124"/>
  <c r="BK235" i="124" s="1"/>
  <c r="BF229" i="124"/>
  <c r="BK229" i="124" s="1"/>
  <c r="BF124" i="124"/>
  <c r="BK124" i="124" s="1"/>
  <c r="BF48" i="124"/>
  <c r="BK48" i="124" s="1"/>
  <c r="BF222" i="124"/>
  <c r="BK222" i="124" s="1"/>
  <c r="BF87" i="124"/>
  <c r="BK87" i="124" s="1"/>
  <c r="BF57" i="124"/>
  <c r="BK57" i="124" s="1"/>
  <c r="BF50" i="124"/>
  <c r="BK50" i="124" s="1"/>
  <c r="BF130" i="124"/>
  <c r="BK130" i="124" s="1"/>
  <c r="BF16" i="124"/>
  <c r="BK16" i="124" s="1"/>
  <c r="BF117" i="124"/>
  <c r="BK117" i="124" s="1"/>
  <c r="BF180" i="124"/>
  <c r="BK180" i="124" s="1"/>
  <c r="BF56" i="124"/>
  <c r="BK56" i="124" s="1"/>
  <c r="BF177" i="124"/>
  <c r="BK177" i="124" s="1"/>
  <c r="BF162" i="124"/>
  <c r="BK162" i="124" s="1"/>
  <c r="BF64" i="124"/>
  <c r="BK64" i="124" s="1"/>
  <c r="BF100" i="124"/>
  <c r="BK100" i="124" s="1"/>
  <c r="BF55" i="124"/>
  <c r="BK55" i="124" s="1"/>
  <c r="BF221" i="124"/>
  <c r="BK221" i="124" s="1"/>
  <c r="BF40" i="124"/>
  <c r="BK40" i="124" s="1"/>
  <c r="BF63" i="124"/>
  <c r="BK63" i="124" s="1"/>
  <c r="BF90" i="124"/>
  <c r="BK90" i="124" s="1"/>
  <c r="BF195" i="124"/>
  <c r="BK195" i="124" s="1"/>
  <c r="BF17" i="124"/>
  <c r="BK17" i="124" s="1"/>
  <c r="BF98" i="124"/>
  <c r="BK98" i="124" s="1"/>
  <c r="BF18" i="124"/>
  <c r="BK18" i="124" s="1"/>
  <c r="BF234" i="124"/>
  <c r="BK234" i="124" s="1"/>
  <c r="BF160" i="124"/>
  <c r="BK160" i="124" s="1"/>
  <c r="BF149" i="124"/>
  <c r="BK149" i="124" s="1"/>
  <c r="BF93" i="124"/>
  <c r="BK93" i="124" s="1"/>
  <c r="BF89" i="124"/>
  <c r="BK89" i="124" s="1"/>
  <c r="BF155" i="124"/>
  <c r="BK155" i="124" s="1"/>
  <c r="BF44" i="124"/>
  <c r="BK44" i="124" s="1"/>
  <c r="BF112" i="124"/>
  <c r="BK112" i="124" s="1"/>
  <c r="BF92" i="124"/>
  <c r="BK92" i="124" s="1"/>
  <c r="BF169" i="124"/>
  <c r="BK169" i="124" s="1"/>
  <c r="BF120" i="124"/>
  <c r="BK120" i="124" s="1"/>
  <c r="BF225" i="124"/>
  <c r="BK225" i="124" s="1"/>
  <c r="BF59" i="124"/>
  <c r="BK59" i="124" s="1"/>
  <c r="BF228" i="124"/>
  <c r="BK228" i="124" s="1"/>
  <c r="BF53" i="124"/>
  <c r="BK53" i="124" s="1"/>
  <c r="BF96" i="124"/>
  <c r="BK96" i="124" s="1"/>
  <c r="BF159" i="124"/>
  <c r="BK159" i="124" s="1"/>
  <c r="BF72" i="124"/>
  <c r="BK72" i="124" s="1"/>
  <c r="BF80" i="124"/>
  <c r="BK80" i="124" s="1"/>
  <c r="BF165" i="124"/>
  <c r="BK165" i="124" s="1"/>
  <c r="BF190" i="124"/>
  <c r="BK190" i="124" s="1"/>
  <c r="BF223" i="124"/>
  <c r="BK223" i="124" s="1"/>
  <c r="BF203" i="124"/>
  <c r="BK203" i="124" s="1"/>
  <c r="BF220" i="124"/>
  <c r="BK220" i="124" s="1"/>
  <c r="BF123" i="124"/>
  <c r="BK123" i="124" s="1"/>
  <c r="BF131" i="124"/>
  <c r="BK131" i="124" s="1"/>
  <c r="BF238" i="124"/>
  <c r="BK238" i="124" s="1"/>
  <c r="BF230" i="124"/>
  <c r="BK230" i="124" s="1"/>
  <c r="BF31" i="124"/>
  <c r="BK31" i="124" s="1"/>
  <c r="BF148" i="124"/>
  <c r="BK148" i="124" s="1"/>
  <c r="BF193" i="124"/>
  <c r="BK193" i="124" s="1"/>
  <c r="BF126" i="124"/>
  <c r="BK126" i="124" s="1"/>
  <c r="BF88" i="124"/>
  <c r="BK88" i="124" s="1"/>
  <c r="BF14" i="124"/>
  <c r="BK14" i="124" s="1"/>
  <c r="BF116" i="124"/>
  <c r="BK116" i="124" s="1"/>
  <c r="BF75" i="124"/>
  <c r="BK75" i="124" s="1"/>
  <c r="BF205" i="124"/>
  <c r="BK205" i="124" s="1"/>
  <c r="BF71" i="124"/>
  <c r="BK71" i="124" s="1"/>
  <c r="BF224" i="124"/>
  <c r="BK224" i="124" s="1"/>
  <c r="BF232" i="124"/>
  <c r="BK232" i="124" s="1"/>
  <c r="BF83" i="124"/>
  <c r="BK83" i="124" s="1"/>
  <c r="BD237" i="27" a="1"/>
  <c r="BD237" i="27" s="1"/>
  <c r="BD40" i="27" a="1"/>
  <c r="BD40" i="27" s="1"/>
  <c r="BD78" i="27" a="1"/>
  <c r="BD78" i="27" s="1"/>
  <c r="BB157" i="113" a="1"/>
  <c r="BB157" i="113" s="1"/>
  <c r="BB89" i="113" a="1"/>
  <c r="BB89" i="113" s="1"/>
  <c r="BB145" i="113" a="1"/>
  <c r="BB145" i="113" s="1"/>
  <c r="BB114" i="113" a="1"/>
  <c r="BB114" i="113" s="1"/>
  <c r="BB117" i="113" a="1"/>
  <c r="BB117" i="113" s="1"/>
  <c r="BB96" i="113" a="1"/>
  <c r="BB96" i="113" s="1"/>
  <c r="BB158" i="113" a="1"/>
  <c r="BB158" i="113" s="1"/>
  <c r="BB161" i="113" a="1"/>
  <c r="BB161" i="113" s="1"/>
  <c r="BB105" i="113" a="1"/>
  <c r="BB105" i="113" s="1"/>
  <c r="BB98" i="113" a="1"/>
  <c r="BB98" i="113" s="1"/>
  <c r="BD174" i="113" a="1"/>
  <c r="BD174" i="113" s="1"/>
  <c r="BD156" i="113" a="1"/>
  <c r="BD156" i="113" s="1"/>
  <c r="BD196" i="113" a="1"/>
  <c r="BD196" i="113" s="1"/>
  <c r="BB85" i="113" a="1"/>
  <c r="BB85" i="113" s="1"/>
  <c r="BD76" i="113" a="1"/>
  <c r="BD76" i="113" s="1"/>
  <c r="BD38" i="113" a="1"/>
  <c r="BD38" i="113" s="1"/>
  <c r="BD198" i="113" a="1"/>
  <c r="BD198" i="113" s="1"/>
  <c r="BB129" i="113" a="1"/>
  <c r="BB129" i="113" s="1"/>
  <c r="BB58" i="113" a="1"/>
  <c r="BB58" i="113" s="1"/>
  <c r="BD234" i="113" a="1"/>
  <c r="BD234" i="113" s="1"/>
  <c r="BD18" i="113" a="1"/>
  <c r="BD18" i="113" s="1"/>
  <c r="BB115" i="113" a="1"/>
  <c r="BB115" i="113" s="1"/>
  <c r="BD235" i="113" a="1"/>
  <c r="BD235" i="113" s="1"/>
  <c r="BB141" i="113" a="1"/>
  <c r="BB141" i="113" s="1"/>
  <c r="BB238" i="113" a="1"/>
  <c r="BB238" i="113" s="1"/>
  <c r="BD41" i="113" a="1"/>
  <c r="BD41" i="113" s="1"/>
  <c r="BD118" i="113" a="1"/>
  <c r="BD118" i="113" s="1"/>
  <c r="BB61" i="113" a="1"/>
  <c r="BB61" i="113" s="1"/>
  <c r="BB57" i="113" a="1"/>
  <c r="BB57" i="113" s="1"/>
  <c r="BD218" i="113" a="1"/>
  <c r="BD218" i="113" s="1"/>
  <c r="BB54" i="113" a="1"/>
  <c r="BB54" i="113" s="1"/>
  <c r="BD95" i="113" a="1"/>
  <c r="BD95" i="113" s="1"/>
  <c r="BB138" i="113" a="1"/>
  <c r="BB138" i="113" s="1"/>
  <c r="BB42" i="113" a="1"/>
  <c r="BB42" i="113" s="1"/>
  <c r="BD37" i="113" a="1"/>
  <c r="BD37" i="113" s="1"/>
  <c r="BB25" i="113" a="1"/>
  <c r="BB25" i="113" s="1"/>
  <c r="BD17" i="113" a="1"/>
  <c r="BD17" i="113" s="1"/>
  <c r="BD34" i="113" a="1"/>
  <c r="BD34" i="113" s="1"/>
  <c r="BD65" i="113" a="1"/>
  <c r="BD65" i="113" s="1"/>
  <c r="BD176" i="113" a="1"/>
  <c r="BD176" i="113" s="1"/>
  <c r="BB75" i="113" a="1"/>
  <c r="BB75" i="113" s="1"/>
  <c r="BB217" i="113" a="1"/>
  <c r="BB217" i="113" s="1"/>
  <c r="BD81" i="113" a="1"/>
  <c r="BD81" i="113" s="1"/>
  <c r="BD35" i="113" a="1"/>
  <c r="BD35" i="113" s="1"/>
  <c r="BD197" i="113" a="1"/>
  <c r="BD197" i="113" s="1"/>
  <c r="BB55" i="113" a="1"/>
  <c r="BB55" i="113" s="1"/>
  <c r="BB101" i="113" a="1"/>
  <c r="BB101" i="113" s="1"/>
  <c r="BB137" i="113" a="1"/>
  <c r="BB137" i="113" s="1"/>
  <c r="BD121" i="113" a="1"/>
  <c r="BD121" i="113" s="1"/>
  <c r="BB128" i="113" a="1"/>
  <c r="BB128" i="113" s="1"/>
  <c r="BD195" i="113" a="1"/>
  <c r="BD195" i="113" s="1"/>
  <c r="BD36" i="113" a="1"/>
  <c r="BD36" i="113" s="1"/>
  <c r="BB178" i="113" a="1"/>
  <c r="BB178" i="113" s="1"/>
  <c r="BD122" i="113" a="1"/>
  <c r="BD122" i="113" s="1"/>
  <c r="BB116" i="113" a="1"/>
  <c r="BB116" i="113" s="1"/>
  <c r="BB22" i="113" a="1"/>
  <c r="BB22" i="113" s="1"/>
  <c r="BB136" i="113" a="1"/>
  <c r="BB136" i="113" s="1"/>
  <c r="BD165" i="113" a="1"/>
  <c r="BD165" i="113" s="1"/>
  <c r="BD125" i="113" a="1"/>
  <c r="BD125" i="113" s="1"/>
  <c r="BB236" i="113" a="1"/>
  <c r="BB236" i="113" s="1"/>
  <c r="BB154" i="113" a="1"/>
  <c r="BB154" i="113" s="1"/>
  <c r="BB15" i="113" a="1"/>
  <c r="BB15" i="113" s="1"/>
  <c r="BB97" i="113" a="1"/>
  <c r="BB97" i="113" s="1"/>
  <c r="BD189" i="113" a="1"/>
  <c r="BD189" i="113" s="1"/>
  <c r="BD77" i="113" a="1"/>
  <c r="BD77" i="113" s="1"/>
  <c r="BD175" i="113" a="1"/>
  <c r="BD175" i="113" s="1"/>
  <c r="BB109" i="113" a="1"/>
  <c r="BB109" i="113" s="1"/>
  <c r="BB135" i="113" a="1"/>
  <c r="BB135" i="113" s="1"/>
  <c r="BD133" i="113" a="1"/>
  <c r="BD133" i="113" s="1"/>
  <c r="BB107" i="113" a="1"/>
  <c r="BB107" i="113" s="1"/>
  <c r="BB155" i="113" a="1"/>
  <c r="BB155" i="113" s="1"/>
  <c r="BD19" i="113" a="1"/>
  <c r="BD19" i="113" s="1"/>
  <c r="BD68" i="113" a="1"/>
  <c r="BD68" i="113" s="1"/>
  <c r="BD12" i="113" a="1"/>
  <c r="BD12" i="113" s="1"/>
  <c r="BB142" i="113" a="1"/>
  <c r="BB142" i="113" s="1"/>
  <c r="BD220" i="113" a="1"/>
  <c r="BD220" i="113" s="1"/>
  <c r="BB221" i="113" a="1"/>
  <c r="BB221" i="113" s="1"/>
  <c r="BD208" i="113" a="1"/>
  <c r="BD208" i="113" s="1"/>
  <c r="BB184" i="113" a="1"/>
  <c r="BB184" i="113" s="1"/>
  <c r="BD230" i="113" a="1"/>
  <c r="BD230" i="113" s="1"/>
  <c r="BB120" i="113" a="1"/>
  <c r="BB120" i="113" s="1"/>
  <c r="BB84" i="113" a="1"/>
  <c r="BB84" i="113" s="1"/>
  <c r="BD193" i="113" a="1"/>
  <c r="BD193" i="113" s="1"/>
  <c r="BD29" i="113" a="1"/>
  <c r="BD29" i="113" s="1"/>
  <c r="BB172" i="113" a="1"/>
  <c r="BB172" i="113" s="1"/>
  <c r="BB123" i="113" a="1"/>
  <c r="BB123" i="113" s="1"/>
  <c r="BB148" i="113" a="1"/>
  <c r="BB148" i="113" s="1"/>
  <c r="BB86" i="113" a="1"/>
  <c r="BB86" i="113" s="1"/>
  <c r="BB144" i="113" a="1"/>
  <c r="BB144" i="113" s="1"/>
  <c r="BB180" i="113" a="1"/>
  <c r="BB180" i="113" s="1"/>
  <c r="BB59" i="113" a="1"/>
  <c r="BB59" i="113" s="1"/>
  <c r="BB94" i="113" a="1"/>
  <c r="BB94" i="113" s="1"/>
  <c r="BD166" i="113" a="1"/>
  <c r="BD166" i="113" s="1"/>
  <c r="BB124" i="113" a="1"/>
  <c r="BB124" i="113" s="1"/>
  <c r="BD228" i="113" a="1"/>
  <c r="BD228" i="113" s="1"/>
  <c r="BD181" i="113" a="1"/>
  <c r="BD181" i="113" s="1"/>
  <c r="BB92" i="113" a="1"/>
  <c r="BB92" i="113" s="1"/>
  <c r="BD28" i="113" a="1"/>
  <c r="BD28" i="113" s="1"/>
  <c r="BB171" i="113" a="1"/>
  <c r="BB171" i="113" s="1"/>
  <c r="BB11" i="113" a="1"/>
  <c r="BB11" i="113" s="1"/>
  <c r="BD106" i="113" a="1"/>
  <c r="BD106" i="113" s="1"/>
  <c r="BB87" i="113" a="1"/>
  <c r="BB87" i="113" s="1"/>
  <c r="BD139" i="113" a="1"/>
  <c r="BD139" i="113" s="1"/>
  <c r="BB110" i="113" a="1"/>
  <c r="BB110" i="113" s="1"/>
  <c r="BD191" i="113" a="1"/>
  <c r="BD191" i="113" s="1"/>
  <c r="BB127" i="113" a="1"/>
  <c r="BB127" i="113" s="1"/>
  <c r="BD31" i="113" a="1"/>
  <c r="BD31" i="113" s="1"/>
  <c r="BB183" i="113" a="1"/>
  <c r="BB183" i="113" s="1"/>
  <c r="BD224" i="113" a="1"/>
  <c r="BD224" i="113" s="1"/>
  <c r="BB164" i="113" a="1"/>
  <c r="BB164" i="113" s="1"/>
  <c r="BB112" i="113" a="1"/>
  <c r="BB112" i="113" s="1"/>
  <c r="BB146" i="113" a="1"/>
  <c r="BB146" i="113" s="1"/>
  <c r="BB14" i="113" a="1"/>
  <c r="BB14" i="113" s="1"/>
  <c r="BB240" i="113" a="1"/>
  <c r="BB240" i="113" s="1"/>
  <c r="BD226" i="113" a="1"/>
  <c r="BD226" i="113" s="1"/>
  <c r="BB203" i="113" a="1"/>
  <c r="BB203" i="113" s="1"/>
  <c r="BB93" i="113" a="1"/>
  <c r="BB93" i="113" s="1"/>
  <c r="BD9" i="113" a="1"/>
  <c r="BD9" i="113" s="1"/>
  <c r="BD26" i="113" a="1"/>
  <c r="BD26" i="113" s="1"/>
  <c r="BB188" i="113" a="1"/>
  <c r="BB188" i="113" s="1"/>
  <c r="BB111" i="113" a="1"/>
  <c r="BB111" i="113" s="1"/>
  <c r="BD215" i="113" a="1"/>
  <c r="BD215" i="113" s="1"/>
  <c r="BB74" i="113" a="1"/>
  <c r="BB74" i="113" s="1"/>
  <c r="BD63" i="113" a="1"/>
  <c r="BD63" i="113" s="1"/>
  <c r="BD119" i="113" a="1"/>
  <c r="BD119" i="113" s="1"/>
  <c r="BB159" i="113" a="1"/>
  <c r="BB159" i="113" s="1"/>
  <c r="BB52" i="113" a="1"/>
  <c r="BB52" i="113" s="1"/>
  <c r="BB170" i="113" a="1"/>
  <c r="BB170" i="113" s="1"/>
  <c r="BB152" i="113" a="1"/>
  <c r="BB152" i="113" s="1"/>
  <c r="BD45" i="113" a="1"/>
  <c r="BD45" i="113" s="1"/>
  <c r="BD186" i="113" a="1"/>
  <c r="BD186" i="113" s="1"/>
  <c r="BD73" i="113" a="1"/>
  <c r="BD73" i="113" s="1"/>
  <c r="BB160" i="113" a="1"/>
  <c r="BB160" i="113" s="1"/>
  <c r="BB151" i="113" a="1"/>
  <c r="BB151" i="113" s="1"/>
  <c r="BD66" i="113" a="1"/>
  <c r="BD66" i="113" s="1"/>
  <c r="BD43" i="113" a="1"/>
  <c r="BD43" i="113" s="1"/>
  <c r="BD62" i="113" a="1"/>
  <c r="BD62" i="113" s="1"/>
  <c r="BD143" i="113" a="1"/>
  <c r="BD143" i="113" s="1"/>
  <c r="BB20" i="113" a="1"/>
  <c r="BB20" i="113" s="1"/>
  <c r="BD223" i="113" a="1"/>
  <c r="BD223" i="113" s="1"/>
  <c r="BB147" i="113" a="1"/>
  <c r="BB147" i="113" s="1"/>
  <c r="BB231" i="113" a="1"/>
  <c r="BB231" i="113" s="1"/>
  <c r="BD102" i="113" a="1"/>
  <c r="BD102" i="113" s="1"/>
  <c r="BD30" i="113" a="1"/>
  <c r="BD30" i="113" s="1"/>
  <c r="BB100" i="113" a="1"/>
  <c r="BB100" i="113" s="1"/>
  <c r="BB13" i="113" a="1"/>
  <c r="BB13" i="113" s="1"/>
  <c r="BB140" i="113" a="1"/>
  <c r="BB140" i="113" s="1"/>
  <c r="BD192" i="113" a="1"/>
  <c r="BD192" i="113" s="1"/>
  <c r="BB131" i="113" a="1"/>
  <c r="BB131" i="113" s="1"/>
  <c r="BD206" i="113" a="1"/>
  <c r="BD206" i="113" s="1"/>
  <c r="BD201" i="113" a="1"/>
  <c r="BD201" i="113" s="1"/>
  <c r="BD194" i="113" a="1"/>
  <c r="BD194" i="113" s="1"/>
  <c r="BD24" i="113" a="1"/>
  <c r="BD24" i="113" s="1"/>
  <c r="BD49" i="113" a="1"/>
  <c r="BD49" i="113" s="1"/>
  <c r="BD27" i="113" a="1"/>
  <c r="BD27" i="113" s="1"/>
  <c r="BD213" i="113" a="1"/>
  <c r="BD213" i="113" s="1"/>
  <c r="BB10" i="113" a="1"/>
  <c r="BB10" i="113" s="1"/>
  <c r="BD222" i="113" a="1"/>
  <c r="BD222" i="113" s="1"/>
  <c r="BD214" i="113" a="1"/>
  <c r="BD214" i="113" s="1"/>
  <c r="BD179" i="113" a="1"/>
  <c r="BD179" i="113" s="1"/>
  <c r="BB168" i="113" a="1"/>
  <c r="BB168" i="113" s="1"/>
  <c r="BB79" i="113" a="1"/>
  <c r="BB79" i="113" s="1"/>
  <c r="BB80" i="113" a="1"/>
  <c r="BB80" i="113" s="1"/>
  <c r="BB90" i="113" a="1"/>
  <c r="BB90" i="113" s="1"/>
  <c r="BD182" i="113" a="1"/>
  <c r="BD182" i="113" s="1"/>
  <c r="BD225" i="113" a="1"/>
  <c r="BD225" i="113" s="1"/>
  <c r="BD23" i="113" a="1"/>
  <c r="BD23" i="113" s="1"/>
  <c r="BD216" i="113" a="1"/>
  <c r="BD216" i="113" s="1"/>
  <c r="BB53" i="113" a="1"/>
  <c r="BB53" i="113" s="1"/>
  <c r="BB130" i="113" a="1"/>
  <c r="BB130" i="113" s="1"/>
  <c r="BD200" i="113" a="1"/>
  <c r="BD200" i="113" s="1"/>
  <c r="BD227" i="113" a="1"/>
  <c r="BD227" i="113" s="1"/>
  <c r="BD167" i="113" a="1"/>
  <c r="BD167" i="113" s="1"/>
  <c r="BD150" i="113" a="1"/>
  <c r="BD150" i="113" s="1"/>
  <c r="BB169" i="113" a="1"/>
  <c r="BB169" i="113" s="1"/>
  <c r="BB91" i="113" a="1"/>
  <c r="BB91" i="113" s="1"/>
  <c r="BB103" i="113" a="1"/>
  <c r="BB103" i="113" s="1"/>
  <c r="BB210" i="113" a="1"/>
  <c r="BB210" i="113" s="1"/>
  <c r="BB108" i="113" a="1"/>
  <c r="BB108" i="113" s="1"/>
  <c r="BB149" i="113" a="1"/>
  <c r="BB149" i="113" s="1"/>
  <c r="BD50" i="113" a="1"/>
  <c r="BD50" i="113" s="1"/>
  <c r="BB153" i="113" a="1"/>
  <c r="BB153" i="113" s="1"/>
  <c r="BD33" i="113" a="1"/>
  <c r="BD33" i="113" s="1"/>
  <c r="BD64" i="113" a="1"/>
  <c r="BD64" i="113" s="1"/>
  <c r="BB233" i="113" a="1"/>
  <c r="BB233" i="113" s="1"/>
  <c r="BD212" i="113" a="1"/>
  <c r="BD212" i="113" s="1"/>
  <c r="BD126" i="113" a="1"/>
  <c r="BD126" i="113" s="1"/>
  <c r="BB219" i="113" a="1"/>
  <c r="BB219" i="113" s="1"/>
  <c r="BD185" i="113" a="1"/>
  <c r="BD185" i="113" s="1"/>
  <c r="BD67" i="113" a="1"/>
  <c r="BD67" i="113" s="1"/>
  <c r="BD204" i="113" a="1"/>
  <c r="BD204" i="113" s="1"/>
  <c r="BB239" i="113" a="1"/>
  <c r="BB239" i="113" s="1"/>
  <c r="BB211" i="113" a="1"/>
  <c r="BB211" i="113" s="1"/>
  <c r="BB88" i="113" a="1"/>
  <c r="BB88" i="113" s="1"/>
  <c r="BB132" i="113" a="1"/>
  <c r="BB132" i="113" s="1"/>
  <c r="BD199" i="113" a="1"/>
  <c r="BD199" i="113" s="1"/>
  <c r="BD113" i="113" a="1"/>
  <c r="BD113" i="113" s="1"/>
  <c r="BD48" i="113" a="1"/>
  <c r="BD48" i="113" s="1"/>
  <c r="BB134" i="113" a="1"/>
  <c r="BB134" i="113" s="1"/>
  <c r="BB82" i="113" a="1"/>
  <c r="BB82" i="113" s="1"/>
  <c r="BD32" i="113" a="1"/>
  <c r="BD32" i="113" s="1"/>
  <c r="BD190" i="113" a="1"/>
  <c r="BD190" i="113" s="1"/>
  <c r="BB232" i="113" a="1"/>
  <c r="BB232" i="113" s="1"/>
  <c r="BB104" i="113" a="1"/>
  <c r="BB104" i="113" s="1"/>
  <c r="BD187" i="113" a="1"/>
  <c r="BD187" i="113" s="1"/>
  <c r="BB173" i="113" a="1"/>
  <c r="BB173" i="113" s="1"/>
  <c r="BB99" i="113" a="1"/>
  <c r="BB99" i="113" s="1"/>
  <c r="BD207" i="113" a="1"/>
  <c r="BD207" i="113" s="1"/>
  <c r="BB149" i="27" a="1"/>
  <c r="BB149" i="27" s="1"/>
  <c r="BB11" i="27" a="1"/>
  <c r="BB11" i="27" s="1"/>
  <c r="BB211" i="27" a="1"/>
  <c r="BB211" i="27" s="1"/>
  <c r="BB73" i="27" a="1"/>
  <c r="BB73" i="27" s="1"/>
  <c r="BB132" i="27" a="1"/>
  <c r="BB132" i="27" s="1"/>
  <c r="BD111" i="27" a="1"/>
  <c r="BD111" i="27" s="1"/>
  <c r="BB154" i="27" a="1"/>
  <c r="BB154" i="27" s="1"/>
  <c r="BD170" i="27" a="1"/>
  <c r="BD170" i="27" s="1"/>
  <c r="BD157" i="27" a="1"/>
  <c r="BD157" i="27" s="1"/>
  <c r="BD58" i="27" a="1"/>
  <c r="BD58" i="27" s="1"/>
  <c r="BD38" i="27" a="1"/>
  <c r="BD38" i="27" s="1"/>
  <c r="BB164" i="27" a="1"/>
  <c r="BB164" i="27" s="1"/>
  <c r="BB138" i="27" a="1"/>
  <c r="BB138" i="27" s="1"/>
  <c r="BB234" i="27" a="1"/>
  <c r="BB234" i="27" s="1"/>
  <c r="BD129" i="27" a="1"/>
  <c r="BD129" i="27" s="1"/>
  <c r="BD142" i="27" a="1"/>
  <c r="BD142" i="27" s="1"/>
  <c r="BD33" i="27" a="1"/>
  <c r="BD33" i="27" s="1"/>
  <c r="BB152" i="27" a="1"/>
  <c r="BB152" i="27" s="1"/>
  <c r="BB232" i="27" a="1"/>
  <c r="BB232" i="27" s="1"/>
  <c r="BD216" i="27" a="1"/>
  <c r="BD216" i="27" s="1"/>
  <c r="BB74" i="27" a="1"/>
  <c r="BB74" i="27" s="1"/>
  <c r="BB188" i="27" a="1"/>
  <c r="BB188" i="27" s="1"/>
  <c r="BB100" i="27" a="1"/>
  <c r="BB100" i="27" s="1"/>
  <c r="BD135" i="27" a="1"/>
  <c r="BD135" i="27" s="1"/>
  <c r="BD128" i="27" a="1"/>
  <c r="BD128" i="27" s="1"/>
  <c r="BB171" i="27" a="1"/>
  <c r="BB171" i="27" s="1"/>
  <c r="BB20" i="27" a="1"/>
  <c r="BB20" i="27" s="1"/>
  <c r="BB31" i="27" a="1"/>
  <c r="BB31" i="27" s="1"/>
  <c r="BD144" i="27" a="1"/>
  <c r="BD144" i="27" s="1"/>
  <c r="BD86" i="27" a="1"/>
  <c r="BD86" i="27" s="1"/>
  <c r="BD104" i="27" a="1"/>
  <c r="BD104" i="27" s="1"/>
  <c r="BD179" i="27" a="1"/>
  <c r="BD179" i="27" s="1"/>
  <c r="BB80" i="27" a="1"/>
  <c r="BB80" i="27" s="1"/>
  <c r="BB131" i="27" a="1"/>
  <c r="BB131" i="27" s="1"/>
  <c r="BD221" i="27" a="1"/>
  <c r="BD221" i="27" s="1"/>
  <c r="BB219" i="27" a="1"/>
  <c r="BB219" i="27" s="1"/>
  <c r="BB57" i="27" a="1"/>
  <c r="BB57" i="27" s="1"/>
  <c r="BB159" i="27" a="1"/>
  <c r="BB159" i="27" s="1"/>
  <c r="BB160" i="27" a="1"/>
  <c r="BB160" i="27" s="1"/>
  <c r="BD148" i="27" a="1"/>
  <c r="BD148" i="27" s="1"/>
  <c r="BB52" i="27" a="1"/>
  <c r="BB52" i="27" s="1"/>
  <c r="BB13" i="27" a="1"/>
  <c r="BB13" i="27" s="1"/>
  <c r="BB70" i="27" a="1"/>
  <c r="BB70" i="27" s="1"/>
  <c r="BD12" i="27" a="1"/>
  <c r="BD12" i="27" s="1"/>
  <c r="BB176" i="27" a="1"/>
  <c r="BB176" i="27" s="1"/>
  <c r="BB101" i="27" a="1"/>
  <c r="BB101" i="27" s="1"/>
  <c r="BB228" i="27" a="1"/>
  <c r="BB228" i="27" s="1"/>
  <c r="BB238" i="27" a="1"/>
  <c r="BB238" i="27" s="1"/>
  <c r="BB116" i="27" a="1"/>
  <c r="BB116" i="27" s="1"/>
  <c r="BB109" i="27" a="1"/>
  <c r="BB109" i="27" s="1"/>
  <c r="BB195" i="27" a="1"/>
  <c r="BB195" i="27" s="1"/>
  <c r="BB215" i="27" a="1"/>
  <c r="BB215" i="27" s="1"/>
  <c r="BB189" i="27" a="1"/>
  <c r="BB189" i="27" s="1"/>
  <c r="BD196" i="27" a="1"/>
  <c r="BD196" i="27" s="1"/>
  <c r="BD93" i="27" a="1"/>
  <c r="BD93" i="27" s="1"/>
  <c r="BB233" i="27" a="1"/>
  <c r="BB233" i="27" s="1"/>
  <c r="BB85" i="27" a="1"/>
  <c r="BB85" i="27" s="1"/>
  <c r="BB226" i="27" a="1"/>
  <c r="BB226" i="27" s="1"/>
  <c r="BB147" i="27" a="1"/>
  <c r="BB147" i="27" s="1"/>
  <c r="BD82" i="27" a="1"/>
  <c r="BD82" i="27" s="1"/>
  <c r="BB136" i="27" a="1"/>
  <c r="BB136" i="27" s="1"/>
  <c r="BB180" i="27" a="1"/>
  <c r="BB180" i="27" s="1"/>
  <c r="BD79" i="27" a="1"/>
  <c r="BD79" i="27" s="1"/>
  <c r="BD17" i="27" a="1"/>
  <c r="BD17" i="27" s="1"/>
  <c r="BD107" i="27" a="1"/>
  <c r="BD107" i="27" s="1"/>
  <c r="BB92" i="27" a="1"/>
  <c r="BB92" i="27" s="1"/>
  <c r="BD227" i="27" a="1"/>
  <c r="BD227" i="27" s="1"/>
  <c r="BD145" i="27" a="1"/>
  <c r="BD145" i="27" s="1"/>
  <c r="BB75" i="27" a="1"/>
  <c r="BB75" i="27" s="1"/>
  <c r="BD76" i="27" a="1"/>
  <c r="BD76" i="27" s="1"/>
  <c r="BB114" i="27" a="1"/>
  <c r="BB114" i="27" s="1"/>
  <c r="BD124" i="27" a="1"/>
  <c r="BD124" i="27" s="1"/>
  <c r="BB140" i="27" a="1"/>
  <c r="BB140" i="27" s="1"/>
  <c r="BB91" i="27" a="1"/>
  <c r="BB91" i="27" s="1"/>
  <c r="BD112" i="27" a="1"/>
  <c r="BD112" i="27" s="1"/>
  <c r="BB158" i="27" a="1"/>
  <c r="BB158" i="27" s="1"/>
  <c r="BB217" i="27" a="1"/>
  <c r="BB217" i="27" s="1"/>
  <c r="BB193" i="27" a="1"/>
  <c r="BB193" i="27" s="1"/>
  <c r="BD130" i="27" a="1"/>
  <c r="BD130" i="27" s="1"/>
  <c r="BD120" i="27" a="1"/>
  <c r="BD120" i="27" s="1"/>
  <c r="BB178" i="27" a="1"/>
  <c r="BB178" i="27" s="1"/>
  <c r="BB10" i="27" a="1"/>
  <c r="BB10" i="27" s="1"/>
  <c r="BB231" i="27" a="1"/>
  <c r="BB231" i="27" s="1"/>
  <c r="BB173" i="27" a="1"/>
  <c r="BB173" i="27" s="1"/>
  <c r="BD208" i="27" a="1"/>
  <c r="BD208" i="27" s="1"/>
  <c r="BB99" i="27" a="1"/>
  <c r="BB99" i="27" s="1"/>
  <c r="BB29" i="27" a="1"/>
  <c r="BB29" i="27" s="1"/>
  <c r="BD18" i="27" a="1"/>
  <c r="BD18" i="27" s="1"/>
  <c r="BB37" i="27" a="1"/>
  <c r="BB37" i="27" s="1"/>
  <c r="BB96" i="27" a="1"/>
  <c r="BB96" i="27" s="1"/>
  <c r="BB239" i="27" a="1"/>
  <c r="BB239" i="27" s="1"/>
  <c r="BD137" i="27" a="1"/>
  <c r="BD137" i="27" s="1"/>
  <c r="BB161" i="27" a="1"/>
  <c r="BB161" i="27" s="1"/>
  <c r="BD87" i="27" a="1"/>
  <c r="BD87" i="27" s="1"/>
  <c r="BD98" i="27" a="1"/>
  <c r="BD98" i="27" s="1"/>
  <c r="BD103" i="27" a="1"/>
  <c r="BD103" i="27" s="1"/>
  <c r="BB187" i="27" a="1"/>
  <c r="BB187" i="27" s="1"/>
  <c r="BD115" i="27" a="1"/>
  <c r="BD115" i="27" s="1"/>
  <c r="BD121" i="27" a="1"/>
  <c r="BD121" i="27" s="1"/>
  <c r="BD134" i="27" a="1"/>
  <c r="BD134" i="27" s="1"/>
  <c r="BB89" i="27" a="1"/>
  <c r="BB89" i="27" s="1"/>
  <c r="BB97" i="27" a="1"/>
  <c r="BB97" i="27" s="1"/>
  <c r="BB210" i="27" a="1"/>
  <c r="BB210" i="27" s="1"/>
  <c r="BB110" i="27" a="1"/>
  <c r="BB110" i="27" s="1"/>
  <c r="BD183" i="27" a="1"/>
  <c r="BD183" i="27" s="1"/>
  <c r="BB117" i="27" a="1"/>
  <c r="BB117" i="27" s="1"/>
  <c r="BB94" i="27" a="1"/>
  <c r="BB94" i="27" s="1"/>
  <c r="BB108" i="27" a="1"/>
  <c r="BB108" i="27" s="1"/>
  <c r="BB90" i="27" a="1"/>
  <c r="BB90" i="27" s="1"/>
  <c r="BD127" i="27" a="1"/>
  <c r="BD127" i="27" s="1"/>
  <c r="BD84" i="27" a="1"/>
  <c r="BD84" i="27" s="1"/>
  <c r="BD14" i="27" a="1"/>
  <c r="BD14" i="27" s="1"/>
  <c r="BD143" i="27" a="1"/>
  <c r="BD143" i="27" s="1"/>
  <c r="BB105" i="27" a="1"/>
  <c r="BB105" i="27" s="1"/>
  <c r="BD151" i="27" a="1"/>
  <c r="BD151" i="27" s="1"/>
  <c r="BB53" i="27" a="1"/>
  <c r="BB53" i="27" s="1"/>
  <c r="BB153" i="27" a="1"/>
  <c r="BB153" i="27" s="1"/>
  <c r="BB68" i="27" a="1"/>
  <c r="BB68" i="27" s="1"/>
  <c r="BB168" i="27" a="1"/>
  <c r="BB168" i="27" s="1"/>
  <c r="BD123" i="27" a="1"/>
  <c r="BD123" i="27" s="1"/>
  <c r="BB184" i="27" a="1"/>
  <c r="BB184" i="27" s="1"/>
  <c r="BD240" i="27" a="1"/>
  <c r="BD240" i="27" s="1"/>
  <c r="BB26" i="27" a="1"/>
  <c r="BB26" i="27" s="1"/>
  <c r="BB169" i="27" a="1"/>
  <c r="BB169" i="27" s="1"/>
  <c r="BD190" i="27" a="1"/>
  <c r="BD190" i="27" s="1"/>
  <c r="BD88" i="27" a="1"/>
  <c r="BD88" i="27" s="1"/>
  <c r="BB61" i="27" a="1"/>
  <c r="BB61" i="27" s="1"/>
  <c r="BD175" i="27" a="1"/>
  <c r="BD175" i="27" s="1"/>
  <c r="BD50" i="27" a="1"/>
  <c r="BD50" i="27" s="1"/>
  <c r="BD146" i="27" a="1"/>
  <c r="BD146" i="27" s="1"/>
  <c r="BB30" i="27" a="1"/>
  <c r="BB30" i="27" s="1"/>
  <c r="BB15" i="27" a="1"/>
  <c r="BB15" i="27" s="1"/>
  <c r="BB22" i="27" a="1"/>
  <c r="BB22" i="27" s="1"/>
  <c r="BB155" i="27" a="1"/>
  <c r="BB155" i="27" s="1"/>
  <c r="BB59" i="27" a="1"/>
  <c r="BB59" i="27" s="1"/>
  <c r="BB125" i="27" a="1"/>
  <c r="BB125" i="27" s="1"/>
  <c r="BB204" i="27" a="1"/>
  <c r="BB204" i="27" s="1"/>
  <c r="BB88" i="27" a="1"/>
  <c r="BB88" i="27" s="1"/>
  <c r="BB144" i="27" a="1"/>
  <c r="BB144" i="27" s="1"/>
  <c r="BB198" i="27" a="1"/>
  <c r="BB198" i="27" s="1"/>
  <c r="BD188" i="27" a="1"/>
  <c r="BD188" i="27" s="1"/>
  <c r="BD222" i="27" a="1"/>
  <c r="BD222" i="27" s="1"/>
  <c r="BD178" i="27" a="1"/>
  <c r="BD178" i="27" s="1"/>
  <c r="BB93" i="27" a="1"/>
  <c r="BB93" i="27" s="1"/>
  <c r="BB192" i="27" a="1"/>
  <c r="BB192" i="27" s="1"/>
  <c r="BB129" i="27" a="1"/>
  <c r="BB129" i="27" s="1"/>
  <c r="BD147" i="27" a="1"/>
  <c r="BD147" i="27" s="1"/>
  <c r="BD131" i="27" a="1"/>
  <c r="BD131" i="27" s="1"/>
  <c r="BB157" i="27" a="1"/>
  <c r="BB157" i="27" s="1"/>
  <c r="BD116" i="27" a="1"/>
  <c r="BD116" i="27" s="1"/>
  <c r="BD189" i="27" a="1"/>
  <c r="BD189" i="27" s="1"/>
  <c r="BD92" i="27" a="1"/>
  <c r="BD92" i="27" s="1"/>
  <c r="BB107" i="27" a="1"/>
  <c r="BB107" i="27" s="1"/>
  <c r="BD165" i="27" a="1"/>
  <c r="BD165" i="27" s="1"/>
  <c r="BB119" i="27" a="1"/>
  <c r="BB119" i="27" s="1"/>
  <c r="BD219" i="27" a="1"/>
  <c r="BD219" i="27" s="1"/>
  <c r="BD206" i="27" a="1"/>
  <c r="BD206" i="27" s="1"/>
  <c r="BB86" i="27" a="1"/>
  <c r="BB86" i="27" s="1"/>
  <c r="BD108" i="27" a="1"/>
  <c r="BD108" i="27" s="1"/>
  <c r="BD35" i="27" a="1"/>
  <c r="BD35" i="27" s="1"/>
  <c r="BB121" i="27" a="1"/>
  <c r="BB121" i="27" s="1"/>
  <c r="BB95" i="27" a="1"/>
  <c r="BB95" i="27" s="1"/>
  <c r="BB54" i="27" a="1"/>
  <c r="BB54" i="27" s="1"/>
  <c r="BB202" i="27" a="1"/>
  <c r="BB202" i="27" s="1"/>
  <c r="BB143" i="27" a="1"/>
  <c r="BB143" i="27" s="1"/>
  <c r="BD180" i="27" a="1"/>
  <c r="BD180" i="27" s="1"/>
  <c r="BD182" i="27" a="1"/>
  <c r="BD182" i="27" s="1"/>
  <c r="BD69" i="27" a="1"/>
  <c r="BD69" i="27" s="1"/>
  <c r="BD10" i="27" a="1"/>
  <c r="BD10" i="27" s="1"/>
  <c r="BB208" i="27" a="1"/>
  <c r="BB208" i="27" s="1"/>
  <c r="BD29" i="27" a="1"/>
  <c r="BD29" i="27" s="1"/>
  <c r="BD140" i="27" a="1"/>
  <c r="BD140" i="27" s="1"/>
  <c r="BD37" i="27" a="1"/>
  <c r="BD37" i="27" s="1"/>
  <c r="BB25" i="27" a="1"/>
  <c r="BB25" i="27" s="1"/>
  <c r="BB145" i="27" a="1"/>
  <c r="BB145" i="27" s="1"/>
  <c r="BB201" i="27" a="1"/>
  <c r="BB201" i="27" s="1"/>
  <c r="BD159" i="27" a="1"/>
  <c r="BD159" i="27" s="1"/>
  <c r="BD195" i="27" a="1"/>
  <c r="BD195" i="27" s="1"/>
  <c r="BB135" i="27" a="1"/>
  <c r="BB135" i="27" s="1"/>
  <c r="BB209" i="27" a="1"/>
  <c r="BB209" i="27" s="1"/>
  <c r="BD191" i="27" a="1"/>
  <c r="BD191" i="27" s="1"/>
  <c r="BB19" i="27" a="1"/>
  <c r="BB19" i="27" s="1"/>
  <c r="BD61" i="27" a="1"/>
  <c r="BD61" i="27" s="1"/>
  <c r="BD184" i="27" a="1"/>
  <c r="BD184" i="27" s="1"/>
  <c r="BD91" i="27" a="1"/>
  <c r="BD91" i="27" s="1"/>
  <c r="BB33" i="27" a="1"/>
  <c r="BB33" i="27" s="1"/>
  <c r="BD63" i="27" a="1"/>
  <c r="BD63" i="27" s="1"/>
  <c r="BD218" i="27" a="1"/>
  <c r="BD218" i="27" s="1"/>
  <c r="BD156" i="27" a="1"/>
  <c r="BD156" i="27" s="1"/>
  <c r="BB216" i="27" a="1"/>
  <c r="BB216" i="27" s="1"/>
  <c r="BD223" i="27" a="1"/>
  <c r="BD223" i="27" s="1"/>
  <c r="BB128" i="27" a="1"/>
  <c r="BB128" i="27" s="1"/>
  <c r="BB39" i="27" a="1"/>
  <c r="BB39" i="27" s="1"/>
  <c r="BB115" i="27" a="1"/>
  <c r="BB115" i="27" s="1"/>
  <c r="BD213" i="27" a="1"/>
  <c r="BD213" i="27" s="1"/>
  <c r="BB148" i="27" a="1"/>
  <c r="BB148" i="27" s="1"/>
  <c r="BB200" i="27" a="1"/>
  <c r="BB200" i="27" s="1"/>
  <c r="BB34" i="27" a="1"/>
  <c r="BB34" i="27" s="1"/>
  <c r="BD44" i="27" a="1"/>
  <c r="BD44" i="27" s="1"/>
  <c r="BD186" i="27" a="1"/>
  <c r="BD186" i="27" s="1"/>
  <c r="BD13" i="27" a="1"/>
  <c r="BD13" i="27" s="1"/>
  <c r="BB163" i="27" a="1"/>
  <c r="BB163" i="27" s="1"/>
  <c r="BB123" i="27" a="1"/>
  <c r="BB123" i="27" s="1"/>
  <c r="BB45" i="27" a="1"/>
  <c r="BB45" i="27" s="1"/>
  <c r="BB227" i="27" a="1"/>
  <c r="BB227" i="27" s="1"/>
  <c r="BB47" i="27" a="1"/>
  <c r="BB47" i="27" s="1"/>
  <c r="BD212" i="27" a="1"/>
  <c r="BD212" i="27" s="1"/>
  <c r="BD89" i="27" a="1"/>
  <c r="BD89" i="27" s="1"/>
  <c r="BD210" i="27" a="1"/>
  <c r="BD210" i="27" s="1"/>
  <c r="BD110" i="27" a="1"/>
  <c r="BD110" i="27" s="1"/>
  <c r="BB177" i="27" a="1"/>
  <c r="BB177" i="27" s="1"/>
  <c r="BB112" i="27" a="1"/>
  <c r="BB112" i="27" s="1"/>
  <c r="BB194" i="27" a="1"/>
  <c r="BB194" i="27" s="1"/>
  <c r="BD230" i="27" a="1"/>
  <c r="BD230" i="27" s="1"/>
  <c r="BD217" i="27" a="1"/>
  <c r="BD217" i="27" s="1"/>
  <c r="BD99" i="27" a="1"/>
  <c r="BD99" i="27" s="1"/>
  <c r="BD51" i="27" a="1"/>
  <c r="BD51" i="27" s="1"/>
  <c r="BB190" i="27" a="1"/>
  <c r="BB190" i="27" s="1"/>
  <c r="BB126" i="27" a="1"/>
  <c r="BB126" i="27" s="1"/>
  <c r="BB236" i="27" a="1"/>
  <c r="BB236" i="27" s="1"/>
  <c r="BB172" i="27" a="1"/>
  <c r="BB172" i="27" s="1"/>
  <c r="BD97" i="27" a="1"/>
  <c r="BD97" i="27" s="1"/>
  <c r="BD117" i="27" a="1"/>
  <c r="BD117" i="27" s="1"/>
  <c r="BD224" i="27" a="1"/>
  <c r="BD224" i="27" s="1"/>
  <c r="BB220" i="27" a="1"/>
  <c r="BB220" i="27" s="1"/>
  <c r="BD26" i="27" a="1"/>
  <c r="BD26" i="27" s="1"/>
  <c r="BB205" i="27" a="1"/>
  <c r="BB205" i="27" s="1"/>
  <c r="BB14" i="27" a="1"/>
  <c r="BB14" i="27" s="1"/>
  <c r="BB16" i="27" a="1"/>
  <c r="BB16" i="27" s="1"/>
  <c r="BB103" i="27" a="1"/>
  <c r="BB103" i="27" s="1"/>
  <c r="BD158" i="27" a="1"/>
  <c r="BD158" i="27" s="1"/>
  <c r="BD136" i="27" a="1"/>
  <c r="BD136" i="27" s="1"/>
  <c r="BD85" i="27" a="1"/>
  <c r="BD85" i="27" s="1"/>
  <c r="BB42" i="27" a="1"/>
  <c r="BB42" i="27" s="1"/>
  <c r="BB134" i="27" a="1"/>
  <c r="BB134" i="27" s="1"/>
  <c r="BD153" i="27" a="1"/>
  <c r="BD153" i="27" s="1"/>
  <c r="BD102" i="27" a="1"/>
  <c r="BD102" i="27" s="1"/>
  <c r="BB87" i="27" a="1"/>
  <c r="BB87" i="27" s="1"/>
  <c r="BD43" i="27" a="1"/>
  <c r="BD43" i="27" s="1"/>
  <c r="BD167" i="27" a="1"/>
  <c r="BD167" i="27" s="1"/>
  <c r="BD9" i="27" a="1"/>
  <c r="BD9" i="27" s="1"/>
  <c r="BB130" i="27" a="1"/>
  <c r="BB130" i="27" s="1"/>
  <c r="BD211" i="27" a="1"/>
  <c r="BD211" i="27" s="1"/>
  <c r="BB221" i="27" a="1"/>
  <c r="BB221" i="27" s="1"/>
  <c r="BB203" i="27" a="1"/>
  <c r="BB203" i="27" s="1"/>
  <c r="BD27" i="27" a="1"/>
  <c r="BD27" i="27" s="1"/>
  <c r="BB41" i="27" a="1"/>
  <c r="BB41" i="27" s="1"/>
  <c r="BB24" i="27" a="1"/>
  <c r="BB24" i="27" s="1"/>
  <c r="BD109" i="27" a="1"/>
  <c r="BD109" i="27" s="1"/>
  <c r="BB113" i="27" a="1"/>
  <c r="BB113" i="27" s="1"/>
  <c r="BB46" i="27" a="1"/>
  <c r="BB46" i="27" s="1"/>
  <c r="BD160" i="27" a="1"/>
  <c r="BD160" i="27" s="1"/>
  <c r="BB106" i="27" a="1"/>
  <c r="BB106" i="27" s="1"/>
  <c r="BD171" i="27" a="1"/>
  <c r="BD171" i="27" s="1"/>
  <c r="BD52" i="27" a="1"/>
  <c r="BD52" i="27" s="1"/>
  <c r="BB199" i="27" a="1"/>
  <c r="BB199" i="27" s="1"/>
  <c r="BB55" i="27" a="1"/>
  <c r="BB55" i="27" s="1"/>
  <c r="BD155" i="27" a="1"/>
  <c r="BD155" i="27" s="1"/>
  <c r="BD225" i="27" a="1"/>
  <c r="BD225" i="27" s="1"/>
  <c r="BB142" i="27" a="1"/>
  <c r="BB142" i="27" s="1"/>
  <c r="BD187" i="27" a="1"/>
  <c r="BD187" i="27" s="1"/>
  <c r="BB32" i="27" a="1"/>
  <c r="BB32" i="27" s="1"/>
  <c r="BB146" i="27" a="1"/>
  <c r="BB146" i="27" s="1"/>
  <c r="BD174" i="27" a="1"/>
  <c r="BD174" i="27" s="1"/>
  <c r="BB124" i="27" a="1"/>
  <c r="BB124" i="27" s="1"/>
  <c r="BD60" i="27" a="1"/>
  <c r="BD60" i="27" s="1"/>
  <c r="BB183" i="27" a="1"/>
  <c r="BB183" i="27" s="1"/>
  <c r="BD166" i="27" a="1"/>
  <c r="BD166" i="27" s="1"/>
  <c r="BD22" i="27" a="1"/>
  <c r="BD22" i="27" s="1"/>
  <c r="BD90" i="27" a="1"/>
  <c r="BD90" i="27" s="1"/>
  <c r="BB50" i="27" a="1"/>
  <c r="BB50" i="27" s="1"/>
  <c r="BB151" i="27" a="1"/>
  <c r="BB151" i="27" s="1"/>
  <c r="BD59" i="27" a="1"/>
  <c r="BD59" i="27" s="1"/>
  <c r="BD94" i="27" a="1"/>
  <c r="BD94" i="27" s="1"/>
  <c r="BB141" i="27" a="1"/>
  <c r="BB141" i="27" s="1"/>
  <c r="BB104" i="27" a="1"/>
  <c r="BB104" i="27" s="1"/>
  <c r="BD28" i="27" a="1"/>
  <c r="BD28" i="27" s="1"/>
  <c r="BB118" i="27" a="1"/>
  <c r="BB118" i="27" s="1"/>
  <c r="BB49" i="27" a="1"/>
  <c r="BB49" i="27" s="1"/>
  <c r="BB58" i="27" a="1"/>
  <c r="BB58" i="27" s="1"/>
  <c r="BB127" i="27" a="1"/>
  <c r="BB127" i="27" s="1"/>
  <c r="BD48" i="27" a="1"/>
  <c r="BD48" i="27" s="1"/>
  <c r="BB139" i="27" a="1"/>
  <c r="BB139" i="27" s="1"/>
  <c r="BD168" i="27" a="1"/>
  <c r="BD168" i="27" s="1"/>
  <c r="BD105" i="27" a="1"/>
  <c r="BD105" i="27" s="1"/>
  <c r="BD36" i="27" a="1"/>
  <c r="BD36" i="27" s="1"/>
  <c r="BB84" i="27" a="1"/>
  <c r="BB84" i="27" s="1"/>
  <c r="BB197" i="27" a="1"/>
  <c r="BB197" i="27" s="1"/>
  <c r="BD132" i="27" a="1"/>
  <c r="BD132" i="27" s="1"/>
  <c r="BB120" i="27" a="1"/>
  <c r="BB120" i="27" s="1"/>
  <c r="BB98" i="27" a="1"/>
  <c r="BB98" i="27" s="1"/>
  <c r="BB137" i="27" a="1"/>
  <c r="BB137" i="27" s="1"/>
  <c r="BB111" i="27" a="1"/>
  <c r="BB111" i="27" s="1"/>
  <c r="BB150" i="27" a="1"/>
  <c r="BB150" i="27" s="1"/>
  <c r="BB133" i="27" a="1"/>
  <c r="BB133" i="27" s="1"/>
  <c r="BB207" i="27" a="1"/>
  <c r="BB207" i="27" s="1"/>
  <c r="BB122" i="27" a="1"/>
  <c r="BB122" i="27" s="1"/>
  <c r="BD67" i="27" a="1"/>
  <c r="BD67" i="27" s="1"/>
  <c r="BD101" i="27" a="1"/>
  <c r="BD101" i="27" s="1"/>
  <c r="BB237" i="113" a="1"/>
  <c r="BB237" i="113" s="1"/>
  <c r="BB78" i="113" a="1"/>
  <c r="BB78" i="113" s="1"/>
  <c r="BB177" i="113" a="1"/>
  <c r="BB177" i="113" s="1"/>
  <c r="BD42" i="113" a="1"/>
  <c r="BD42" i="113" s="1"/>
  <c r="BD54" i="113" a="1"/>
  <c r="BD54" i="113" s="1"/>
  <c r="BB56" i="113" a="1"/>
  <c r="BB56" i="113" s="1"/>
  <c r="BD58" i="113" a="1"/>
  <c r="BD58" i="113" s="1"/>
  <c r="BB16" i="113" a="1"/>
  <c r="BB16" i="113" s="1"/>
  <c r="BB81" i="113" a="1"/>
  <c r="BB81" i="113" s="1"/>
  <c r="BD55" i="113" a="1"/>
  <c r="BD55" i="113" s="1"/>
  <c r="BD21" i="113" a="1"/>
  <c r="BD21" i="113" s="1"/>
  <c r="BB60" i="113" a="1"/>
  <c r="BB60" i="113" s="1"/>
  <c r="BD229" i="113" a="1"/>
  <c r="BD229" i="113" s="1"/>
  <c r="BB202" i="113" a="1"/>
  <c r="BB202" i="113" s="1"/>
  <c r="BD211" i="113" a="1"/>
  <c r="BD211" i="113" s="1"/>
  <c r="BB207" i="113" a="1"/>
  <c r="BB207" i="113" s="1"/>
  <c r="BB63" i="113" a="1"/>
  <c r="BB63" i="113" s="1"/>
  <c r="BI63" i="113" s="1"/>
  <c r="BJ63" i="113" s="1"/>
  <c r="BD39" i="113" a="1"/>
  <c r="BD39" i="113" s="1"/>
  <c r="BB49" i="113" a="1"/>
  <c r="BB49" i="113" s="1"/>
  <c r="BB73" i="113" a="1"/>
  <c r="BB73" i="113" s="1"/>
  <c r="BB46" i="113" a="1"/>
  <c r="BB46" i="113" s="1"/>
  <c r="BB71" i="113" a="1"/>
  <c r="BB71" i="113" s="1"/>
  <c r="BB40" i="113" a="1"/>
  <c r="BB40" i="113" s="1"/>
  <c r="BB209" i="113" a="1"/>
  <c r="BB209" i="113" s="1"/>
  <c r="BB216" i="113" a="1"/>
  <c r="BB216" i="113" s="1"/>
  <c r="BB51" i="113" a="1"/>
  <c r="BB51" i="113" s="1"/>
  <c r="BB70" i="113" a="1"/>
  <c r="BB70" i="113" s="1"/>
  <c r="BB72" i="113" a="1"/>
  <c r="BB72" i="113" s="1"/>
  <c r="BB44" i="113" a="1"/>
  <c r="BB44" i="113" s="1"/>
  <c r="BD172" i="113" a="1"/>
  <c r="BD172" i="113" s="1"/>
  <c r="BB33" i="113" a="1"/>
  <c r="BB33" i="113" s="1"/>
  <c r="BD169" i="113" a="1"/>
  <c r="BD169" i="113" s="1"/>
  <c r="BB69" i="113" a="1"/>
  <c r="BB69" i="113" s="1"/>
  <c r="BB8" i="113" a="1"/>
  <c r="BB8" i="113" s="1"/>
  <c r="BD53" i="113" a="1"/>
  <c r="BD53" i="113" s="1"/>
  <c r="BD180" i="113" a="1"/>
  <c r="BD180" i="113" s="1"/>
  <c r="BD47" i="113" a="1"/>
  <c r="BD47" i="113" s="1"/>
  <c r="BD163" i="113" a="1"/>
  <c r="BD163" i="113" s="1"/>
  <c r="BB19" i="113" a="1"/>
  <c r="BB19" i="113" s="1"/>
  <c r="BD205" i="113" a="1"/>
  <c r="BD205" i="113" s="1"/>
  <c r="BB51" i="27" a="1"/>
  <c r="BB51" i="27" s="1"/>
  <c r="BB63" i="27" a="1"/>
  <c r="BB63" i="27" s="1"/>
  <c r="BD16" i="27" a="1"/>
  <c r="BD16" i="27" s="1"/>
  <c r="BB8" i="27" a="1"/>
  <c r="BB8" i="27" s="1"/>
  <c r="BD55" i="27" a="1"/>
  <c r="BD55" i="27" s="1"/>
  <c r="BD21" i="27" a="1"/>
  <c r="BD21" i="27" s="1"/>
  <c r="BD56" i="27" a="1"/>
  <c r="BD56" i="27" s="1"/>
  <c r="BD73" i="27" a="1"/>
  <c r="BD73" i="27" s="1"/>
  <c r="BB78" i="27" a="1"/>
  <c r="BB78" i="27" s="1"/>
  <c r="BB44" i="27" a="1"/>
  <c r="BB44" i="27" s="1"/>
  <c r="BB60" i="27" a="1"/>
  <c r="BB60" i="27" s="1"/>
  <c r="BB40" i="27" a="1"/>
  <c r="BB40" i="27" s="1"/>
  <c r="BB72" i="27" a="1"/>
  <c r="BB72" i="27" s="1"/>
  <c r="BB71" i="27" a="1"/>
  <c r="BB71" i="27" s="1"/>
  <c r="BB237" i="27" a="1"/>
  <c r="BB237" i="27" s="1"/>
  <c r="BB81" i="27" a="1"/>
  <c r="BB81" i="27" s="1"/>
  <c r="BB125" i="113" a="1"/>
  <c r="BB125" i="113" s="1"/>
  <c r="BD158" i="113" a="1"/>
  <c r="BD158" i="113" s="1"/>
  <c r="BB95" i="113" a="1"/>
  <c r="BB95" i="113" s="1"/>
  <c r="BB38" i="113" a="1"/>
  <c r="BB38" i="113" s="1"/>
  <c r="BD137" i="113" a="1"/>
  <c r="BD137" i="113" s="1"/>
  <c r="BD56" i="113" a="1"/>
  <c r="BD56" i="113" s="1"/>
  <c r="BD105" i="113" a="1"/>
  <c r="BD105" i="113" s="1"/>
  <c r="BD97" i="113" a="1"/>
  <c r="BD97" i="113" s="1"/>
  <c r="BB189" i="113" a="1"/>
  <c r="BB189" i="113" s="1"/>
  <c r="BD157" i="113" a="1"/>
  <c r="BD157" i="113" s="1"/>
  <c r="BD152" i="113" a="1"/>
  <c r="BD152" i="113" s="1"/>
  <c r="BD101" i="113" a="1"/>
  <c r="BD101" i="113" s="1"/>
  <c r="BD129" i="113" a="1"/>
  <c r="BD129" i="113" s="1"/>
  <c r="BB122" i="113" a="1"/>
  <c r="BB122" i="113" s="1"/>
  <c r="BB197" i="113" a="1"/>
  <c r="BB197" i="113" s="1"/>
  <c r="BB118" i="113" a="1"/>
  <c r="BB118" i="113" s="1"/>
  <c r="BD98" i="113" a="1"/>
  <c r="BD98" i="113" s="1"/>
  <c r="BD238" i="113" a="1"/>
  <c r="BD238" i="113" s="1"/>
  <c r="BB234" i="113" a="1"/>
  <c r="BB234" i="113" s="1"/>
  <c r="BD115" i="113" a="1"/>
  <c r="BD115" i="113" s="1"/>
  <c r="BB76" i="113" a="1"/>
  <c r="BB76" i="113" s="1"/>
  <c r="BD61" i="113" a="1"/>
  <c r="BD61" i="113" s="1"/>
  <c r="BD117" i="113" a="1"/>
  <c r="BD117" i="113" s="1"/>
  <c r="BD177" i="113" a="1"/>
  <c r="BD177" i="113" s="1"/>
  <c r="BB18" i="113" a="1"/>
  <c r="BB18" i="113" s="1"/>
  <c r="BB77" i="113" a="1"/>
  <c r="BB77" i="113" s="1"/>
  <c r="BD141" i="113" a="1"/>
  <c r="BD141" i="113" s="1"/>
  <c r="BB195" i="113" a="1"/>
  <c r="BB195" i="113" s="1"/>
  <c r="BI195" i="113" s="1"/>
  <c r="BJ195" i="113" s="1"/>
  <c r="BD136" i="113" a="1"/>
  <c r="BD136" i="113" s="1"/>
  <c r="BD154" i="113" a="1"/>
  <c r="BD154" i="113" s="1"/>
  <c r="BD236" i="113" a="1"/>
  <c r="BD236" i="113" s="1"/>
  <c r="BD15" i="113" a="1"/>
  <c r="BD15" i="113" s="1"/>
  <c r="BD138" i="113" a="1"/>
  <c r="BD138" i="113" s="1"/>
  <c r="BB34" i="113" a="1"/>
  <c r="BB34" i="113" s="1"/>
  <c r="BB37" i="113" a="1"/>
  <c r="BB37" i="113" s="1"/>
  <c r="BB156" i="113" a="1"/>
  <c r="BB156" i="113" s="1"/>
  <c r="BD114" i="113" a="1"/>
  <c r="BD114" i="113" s="1"/>
  <c r="BB235" i="113" a="1"/>
  <c r="BB235" i="113" s="1"/>
  <c r="BD85" i="113" a="1"/>
  <c r="BD85" i="113" s="1"/>
  <c r="BD128" i="113" a="1"/>
  <c r="BD128" i="113" s="1"/>
  <c r="BB218" i="113" a="1"/>
  <c r="BB218" i="113" s="1"/>
  <c r="BD145" i="113" a="1"/>
  <c r="BD145" i="113" s="1"/>
  <c r="BB165" i="113" a="1"/>
  <c r="BB165" i="113" s="1"/>
  <c r="BB36" i="113" a="1"/>
  <c r="BB36" i="113" s="1"/>
  <c r="BB175" i="113" a="1"/>
  <c r="BB175" i="113" s="1"/>
  <c r="BB176" i="113" a="1"/>
  <c r="BB176" i="113" s="1"/>
  <c r="BD93" i="113" a="1"/>
  <c r="BD93" i="113" s="1"/>
  <c r="BD96" i="113" a="1"/>
  <c r="BD96" i="113" s="1"/>
  <c r="BB41" i="113" a="1"/>
  <c r="BB41" i="113" s="1"/>
  <c r="BB21" i="113" a="1"/>
  <c r="BB21" i="113" s="1"/>
  <c r="BB17" i="113" a="1"/>
  <c r="BB17" i="113" s="1"/>
  <c r="BD161" i="113" a="1"/>
  <c r="BD161" i="113" s="1"/>
  <c r="BD89" i="113" a="1"/>
  <c r="BD89" i="113" s="1"/>
  <c r="BD22" i="113" a="1"/>
  <c r="BD22" i="113" s="1"/>
  <c r="BD217" i="113" a="1"/>
  <c r="BD217" i="113" s="1"/>
  <c r="BB35" i="113" a="1"/>
  <c r="BB35" i="113" s="1"/>
  <c r="BD25" i="113" a="1"/>
  <c r="BD25" i="113" s="1"/>
  <c r="BB65" i="113" a="1"/>
  <c r="BB65" i="113" s="1"/>
  <c r="BB174" i="113" a="1"/>
  <c r="BB174" i="113" s="1"/>
  <c r="BB198" i="113" a="1"/>
  <c r="BB198" i="113" s="1"/>
  <c r="BB196" i="113" a="1"/>
  <c r="BB196" i="113" s="1"/>
  <c r="BD16" i="113" a="1"/>
  <c r="BD16" i="113" s="1"/>
  <c r="BD75" i="113" a="1"/>
  <c r="BD75" i="113" s="1"/>
  <c r="BD109" i="113" a="1"/>
  <c r="BD109" i="113" s="1"/>
  <c r="BB121" i="113" a="1"/>
  <c r="BB121" i="113" s="1"/>
  <c r="BD135" i="113" a="1"/>
  <c r="BD135" i="113" s="1"/>
  <c r="BD57" i="113" a="1"/>
  <c r="BD57" i="113" s="1"/>
  <c r="BD116" i="113" a="1"/>
  <c r="BD116" i="113" s="1"/>
  <c r="BD178" i="113" a="1"/>
  <c r="BD178" i="113" s="1"/>
  <c r="BD146" i="113" a="1"/>
  <c r="BD146" i="113" s="1"/>
  <c r="BD107" i="113" a="1"/>
  <c r="BD107" i="113" s="1"/>
  <c r="BB192" i="113" a="1"/>
  <c r="BB192" i="113" s="1"/>
  <c r="BD104" i="113" a="1"/>
  <c r="BD104" i="113" s="1"/>
  <c r="BB230" i="113" a="1"/>
  <c r="BB230" i="113" s="1"/>
  <c r="BB190" i="113" a="1"/>
  <c r="BB190" i="113" s="1"/>
  <c r="BB28" i="113" a="1"/>
  <c r="BB28" i="113" s="1"/>
  <c r="BB185" i="113" a="1"/>
  <c r="BB185" i="113" s="1"/>
  <c r="BD239" i="113" a="1"/>
  <c r="BD239" i="113" s="1"/>
  <c r="BB31" i="113" a="1"/>
  <c r="BB31" i="113" s="1"/>
  <c r="BB67" i="113" a="1"/>
  <c r="BB67" i="113" s="1"/>
  <c r="BB166" i="113" a="1"/>
  <c r="BB166" i="113" s="1"/>
  <c r="BD183" i="113" a="1"/>
  <c r="BD183" i="113" s="1"/>
  <c r="BD219" i="113" a="1"/>
  <c r="BD219" i="113" s="1"/>
  <c r="BD120" i="113" a="1"/>
  <c r="BD120" i="113" s="1"/>
  <c r="BB191" i="113" a="1"/>
  <c r="BB191" i="113" s="1"/>
  <c r="BB126" i="113" a="1"/>
  <c r="BB126" i="113" s="1"/>
  <c r="BD142" i="113" a="1"/>
  <c r="BD142" i="113" s="1"/>
  <c r="BD90" i="113" a="1"/>
  <c r="BD90" i="113" s="1"/>
  <c r="BB208" i="113" a="1"/>
  <c r="BB208" i="113" s="1"/>
  <c r="BB167" i="113" a="1"/>
  <c r="BB167" i="113" s="1"/>
  <c r="BI167" i="113" s="1"/>
  <c r="BJ167" i="113" s="1"/>
  <c r="BB223" i="113" a="1"/>
  <c r="BB223" i="113" s="1"/>
  <c r="BD82" i="113" a="1"/>
  <c r="BD82" i="113" s="1"/>
  <c r="BD99" i="113" a="1"/>
  <c r="BD99" i="113" s="1"/>
  <c r="BD221" i="113" a="1"/>
  <c r="BD221" i="113" s="1"/>
  <c r="BD140" i="113" a="1"/>
  <c r="BD140" i="113" s="1"/>
  <c r="BD127" i="113" a="1"/>
  <c r="BD127" i="113" s="1"/>
  <c r="BB45" i="113" a="1"/>
  <c r="BB45" i="113" s="1"/>
  <c r="BD110" i="113" a="1"/>
  <c r="BD110" i="113" s="1"/>
  <c r="BD51" i="113" a="1"/>
  <c r="BD51" i="113" s="1"/>
  <c r="BB32" i="113" a="1"/>
  <c r="BB32" i="113" s="1"/>
  <c r="BD60" i="113" a="1"/>
  <c r="BD60" i="113" s="1"/>
  <c r="BB187" i="113" a="1"/>
  <c r="BB187" i="113" s="1"/>
  <c r="BD164" i="113" a="1"/>
  <c r="BD164" i="113" s="1"/>
  <c r="BB179" i="113" a="1"/>
  <c r="BB179" i="113" s="1"/>
  <c r="BD70" i="113" a="1"/>
  <c r="BD70" i="113" s="1"/>
  <c r="BD209" i="113" a="1"/>
  <c r="BD209" i="113" s="1"/>
  <c r="BB106" i="113" a="1"/>
  <c r="BB106" i="113" s="1"/>
  <c r="BD92" i="113" a="1"/>
  <c r="BD92" i="113" s="1"/>
  <c r="BD20" i="113" a="1"/>
  <c r="BD20" i="113" s="1"/>
  <c r="BB225" i="113" a="1"/>
  <c r="BB225" i="113" s="1"/>
  <c r="BD10" i="113" a="1"/>
  <c r="BD10" i="113" s="1"/>
  <c r="BD69" i="113" a="1"/>
  <c r="BD69" i="113" s="1"/>
  <c r="BD144" i="113" a="1"/>
  <c r="BD144" i="113" s="1"/>
  <c r="BD210" i="113" a="1"/>
  <c r="BD210" i="113" s="1"/>
  <c r="BB9" i="113" a="1"/>
  <c r="BB9" i="113" s="1"/>
  <c r="BD123" i="113" a="1"/>
  <c r="BD123" i="113" s="1"/>
  <c r="BD170" i="113" a="1"/>
  <c r="BD170" i="113" s="1"/>
  <c r="BB48" i="113" a="1"/>
  <c r="BB48" i="113" s="1"/>
  <c r="BD124" i="113" a="1"/>
  <c r="BD124" i="113" s="1"/>
  <c r="BB226" i="113" a="1"/>
  <c r="BB226" i="113" s="1"/>
  <c r="BB220" i="113" a="1"/>
  <c r="BB220" i="113" s="1"/>
  <c r="BB200" i="113" a="1"/>
  <c r="BB200" i="113" s="1"/>
  <c r="BB12" i="113" a="1"/>
  <c r="BB12" i="113" s="1"/>
  <c r="BD233" i="113" a="1"/>
  <c r="BD233" i="113" s="1"/>
  <c r="BB47" i="113" a="1"/>
  <c r="BB47" i="113" s="1"/>
  <c r="BD188" i="113" a="1"/>
  <c r="BD188" i="113" s="1"/>
  <c r="BD59" i="113" a="1"/>
  <c r="BD59" i="113" s="1"/>
  <c r="BB66" i="113" a="1"/>
  <c r="BB66" i="113" s="1"/>
  <c r="BB215" i="113" a="1"/>
  <c r="BB215" i="113" s="1"/>
  <c r="BB201" i="113" a="1"/>
  <c r="BB201" i="113" s="1"/>
  <c r="BD160" i="113" a="1"/>
  <c r="BD160" i="113" s="1"/>
  <c r="BB30" i="113" a="1"/>
  <c r="BB30" i="113" s="1"/>
  <c r="BD72" i="113" a="1"/>
  <c r="BD72" i="113" s="1"/>
  <c r="BB102" i="113" a="1"/>
  <c r="BB102" i="113" s="1"/>
  <c r="BD202" i="113" a="1"/>
  <c r="BD202" i="113" s="1"/>
  <c r="BD94" i="113" a="1"/>
  <c r="BD94" i="113" s="1"/>
  <c r="BD87" i="113" a="1"/>
  <c r="BD87" i="113" s="1"/>
  <c r="BD52" i="113" a="1"/>
  <c r="BD52" i="113" s="1"/>
  <c r="BB68" i="113" a="1"/>
  <c r="BB68" i="113" s="1"/>
  <c r="BD84" i="113" a="1"/>
  <c r="BD84" i="113" s="1"/>
  <c r="BD147" i="113" a="1"/>
  <c r="BD147" i="113" s="1"/>
  <c r="BD184" i="113" a="1"/>
  <c r="BD184" i="113" s="1"/>
  <c r="BB227" i="113" a="1"/>
  <c r="BB227" i="113" s="1"/>
  <c r="BB150" i="113" a="1"/>
  <c r="BB150" i="113" s="1"/>
  <c r="BB39" i="113" a="1"/>
  <c r="BB39" i="113" s="1"/>
  <c r="BB213" i="113" a="1"/>
  <c r="BB213" i="113" s="1"/>
  <c r="BD240" i="113" a="1"/>
  <c r="BD240" i="113" s="1"/>
  <c r="BD155" i="113" a="1"/>
  <c r="BD155" i="113" s="1"/>
  <c r="BD71" i="113" a="1"/>
  <c r="BD71" i="113" s="1"/>
  <c r="BD173" i="113" a="1"/>
  <c r="BD173" i="113" s="1"/>
  <c r="BD134" i="113" a="1"/>
  <c r="BD134" i="113" s="1"/>
  <c r="BB24" i="113" a="1"/>
  <c r="BB24" i="113" s="1"/>
  <c r="BB163" i="113" a="1"/>
  <c r="BB163" i="113" s="1"/>
  <c r="BB143" i="113" a="1"/>
  <c r="BB143" i="113" s="1"/>
  <c r="BD111" i="113" a="1"/>
  <c r="BD111" i="113" s="1"/>
  <c r="BB199" i="113" a="1"/>
  <c r="BB199" i="113" s="1"/>
  <c r="BB139" i="113" a="1"/>
  <c r="BB139" i="113" s="1"/>
  <c r="BD130" i="113" a="1"/>
  <c r="BD130" i="113" s="1"/>
  <c r="BD231" i="113" a="1"/>
  <c r="BD231" i="113" s="1"/>
  <c r="BD80" i="113" a="1"/>
  <c r="BD80" i="113" s="1"/>
  <c r="BD153" i="113" a="1"/>
  <c r="BD153" i="113" s="1"/>
  <c r="BB228" i="113" a="1"/>
  <c r="BB228" i="113" s="1"/>
  <c r="BD46" i="113" a="1"/>
  <c r="BD46" i="113" s="1"/>
  <c r="BD132" i="113" a="1"/>
  <c r="BD132" i="113" s="1"/>
  <c r="BD79" i="113" a="1"/>
  <c r="BD79" i="113" s="1"/>
  <c r="BD168" i="113" a="1"/>
  <c r="BD168" i="113" s="1"/>
  <c r="BB204" i="113" a="1"/>
  <c r="BB204" i="113" s="1"/>
  <c r="BD149" i="113" a="1"/>
  <c r="BD149" i="113" s="1"/>
  <c r="BD148" i="113" a="1"/>
  <c r="BD148" i="113" s="1"/>
  <c r="BD86" i="113" a="1"/>
  <c r="BD86" i="113" s="1"/>
  <c r="BB113" i="113" a="1"/>
  <c r="BB113" i="113" s="1"/>
  <c r="BD88" i="113" a="1"/>
  <c r="BD88" i="113" s="1"/>
  <c r="BB222" i="113" a="1"/>
  <c r="BB222" i="113" s="1"/>
  <c r="BB29" i="113" a="1"/>
  <c r="BB29" i="113" s="1"/>
  <c r="BB205" i="113" a="1"/>
  <c r="BB205" i="113" s="1"/>
  <c r="BB194" i="113" a="1"/>
  <c r="BB194" i="113" s="1"/>
  <c r="BD203" i="113" a="1"/>
  <c r="BD203" i="113" s="1"/>
  <c r="BD103" i="113" a="1"/>
  <c r="BD103" i="113" s="1"/>
  <c r="BB186" i="113" a="1"/>
  <c r="BB186" i="113" s="1"/>
  <c r="BD171" i="113" a="1"/>
  <c r="BD171" i="113" s="1"/>
  <c r="BD14" i="113" a="1"/>
  <c r="BD14" i="113" s="1"/>
  <c r="BB119" i="113" a="1"/>
  <c r="BB119" i="113" s="1"/>
  <c r="BB64" i="113" a="1"/>
  <c r="BB64" i="113" s="1"/>
  <c r="BD112" i="113" a="1"/>
  <c r="BD112" i="113" s="1"/>
  <c r="BB26" i="113" a="1"/>
  <c r="BB26" i="113" s="1"/>
  <c r="BB212" i="113" a="1"/>
  <c r="BB212" i="113" s="1"/>
  <c r="BB50" i="113" a="1"/>
  <c r="BB50" i="113" s="1"/>
  <c r="BB182" i="113" a="1"/>
  <c r="BB182" i="113" s="1"/>
  <c r="BD11" i="113" a="1"/>
  <c r="BD11" i="113" s="1"/>
  <c r="BD232" i="113" a="1"/>
  <c r="BD232" i="113" s="1"/>
  <c r="BD131" i="113" a="1"/>
  <c r="BD131" i="113" s="1"/>
  <c r="BB181" i="113" a="1"/>
  <c r="BB181" i="113" s="1"/>
  <c r="BD44" i="113" a="1"/>
  <c r="BD44" i="113" s="1"/>
  <c r="BD74" i="113" a="1"/>
  <c r="BD74" i="113" s="1"/>
  <c r="BB229" i="113" a="1"/>
  <c r="BB229" i="113" s="1"/>
  <c r="BB206" i="113" a="1"/>
  <c r="BB206" i="113" s="1"/>
  <c r="BB133" i="113" a="1"/>
  <c r="BB133" i="113" s="1"/>
  <c r="BD13" i="113" a="1"/>
  <c r="BD13" i="113" s="1"/>
  <c r="BD159" i="113" a="1"/>
  <c r="BD159" i="113" s="1"/>
  <c r="BB214" i="113" a="1"/>
  <c r="BB214" i="113" s="1"/>
  <c r="BD91" i="113" a="1"/>
  <c r="BD91" i="113" s="1"/>
  <c r="BD151" i="113" a="1"/>
  <c r="BD151" i="113" s="1"/>
  <c r="BB193" i="113" a="1"/>
  <c r="BB193" i="113" s="1"/>
  <c r="BB62" i="113" a="1"/>
  <c r="BB62" i="113" s="1"/>
  <c r="BB23" i="113" a="1"/>
  <c r="BB23" i="113" s="1"/>
  <c r="BB27" i="113" a="1"/>
  <c r="BB27" i="113" s="1"/>
  <c r="BD108" i="113" a="1"/>
  <c r="BD108" i="113" s="1"/>
  <c r="BD8" i="113" a="1"/>
  <c r="BD8" i="113" s="1"/>
  <c r="BB43" i="113" a="1"/>
  <c r="BB43" i="113" s="1"/>
  <c r="BB224" i="113" a="1"/>
  <c r="BB224" i="113" s="1"/>
  <c r="BD100" i="113" a="1"/>
  <c r="BD100" i="113" s="1"/>
  <c r="BB64" i="27" a="1"/>
  <c r="BB64" i="27" s="1"/>
  <c r="BD95" i="27" a="1"/>
  <c r="BD95" i="27" s="1"/>
  <c r="BD113" i="27" a="1"/>
  <c r="BD113" i="27" s="1"/>
  <c r="BD118" i="27" a="1"/>
  <c r="BD118" i="27" s="1"/>
  <c r="BB66" i="27" a="1"/>
  <c r="BB66" i="27" s="1"/>
  <c r="BB213" i="27" a="1"/>
  <c r="BB213" i="27" s="1"/>
  <c r="BB156" i="27" a="1"/>
  <c r="BB156" i="27" s="1"/>
  <c r="BB181" i="27" a="1"/>
  <c r="BB181" i="27" s="1"/>
  <c r="BD152" i="27" a="1"/>
  <c r="BD152" i="27" s="1"/>
  <c r="BD150" i="27" a="1"/>
  <c r="BD150" i="27" s="1"/>
  <c r="BD65" i="27" a="1"/>
  <c r="BD65" i="27" s="1"/>
  <c r="BD138" i="27" a="1"/>
  <c r="BD138" i="27" s="1"/>
  <c r="BB191" i="27" a="1"/>
  <c r="BB191" i="27" s="1"/>
  <c r="BD77" i="27" a="1"/>
  <c r="BD77" i="27" s="1"/>
  <c r="BD30" i="27" a="1"/>
  <c r="BD30" i="27" s="1"/>
  <c r="BD139" i="27" a="1"/>
  <c r="BD139" i="27" s="1"/>
  <c r="BD125" i="27" a="1"/>
  <c r="BD125" i="27" s="1"/>
  <c r="BB212" i="27" a="1"/>
  <c r="BB212" i="27" s="1"/>
  <c r="BD201" i="27" a="1"/>
  <c r="BD201" i="27" s="1"/>
  <c r="BD31" i="27" a="1"/>
  <c r="BD31" i="27" s="1"/>
  <c r="BD126" i="27" a="1"/>
  <c r="BD126" i="27" s="1"/>
  <c r="BB23" i="27" a="1"/>
  <c r="BB23" i="27" s="1"/>
  <c r="BB62" i="27" a="1"/>
  <c r="BB62" i="27" s="1"/>
  <c r="BD229" i="27" a="1"/>
  <c r="BD229" i="27" s="1"/>
  <c r="BB18" i="27" a="1"/>
  <c r="BB18" i="27" s="1"/>
  <c r="BD192" i="27" a="1"/>
  <c r="BD192" i="27" s="1"/>
  <c r="BB36" i="27" a="1"/>
  <c r="BB36" i="27" s="1"/>
  <c r="BB182" i="27" a="1"/>
  <c r="BB182" i="27" s="1"/>
  <c r="BD133" i="27" a="1"/>
  <c r="BD133" i="27" s="1"/>
  <c r="BB35" i="27" a="1"/>
  <c r="BB35" i="27" s="1"/>
  <c r="BB186" i="27" a="1"/>
  <c r="BB186" i="27" s="1"/>
  <c r="BD193" i="27" a="1"/>
  <c r="BD193" i="27" s="1"/>
  <c r="BD100" i="27" a="1"/>
  <c r="BD100" i="27" s="1"/>
  <c r="BB214" i="27" a="1"/>
  <c r="BB214" i="27" s="1"/>
  <c r="BD119" i="27" a="1"/>
  <c r="BD119" i="27" s="1"/>
  <c r="BD235" i="27" a="1"/>
  <c r="BD235" i="27" s="1"/>
  <c r="BB185" i="27" a="1"/>
  <c r="BB185" i="27" s="1"/>
  <c r="BB102" i="27" a="1"/>
  <c r="BB102" i="27" s="1"/>
  <c r="BD122" i="27" a="1"/>
  <c r="BD122" i="27" s="1"/>
  <c r="BD141" i="27" a="1"/>
  <c r="BD141" i="27" s="1"/>
  <c r="BD176" i="27" a="1"/>
  <c r="BD176" i="27" s="1"/>
  <c r="BD106" i="27" a="1"/>
  <c r="BD106" i="27" s="1"/>
  <c r="BB9" i="27" a="1"/>
  <c r="BB9" i="27" s="1"/>
  <c r="BB43" i="27" a="1"/>
  <c r="BB43" i="27" s="1"/>
  <c r="BD32" i="27" a="1"/>
  <c r="BD32" i="27" s="1"/>
  <c r="BD34" i="27" a="1"/>
  <c r="BD34" i="27" s="1"/>
  <c r="BD114" i="27" a="1"/>
  <c r="BD114" i="27" s="1"/>
  <c r="BD149" i="27" a="1"/>
  <c r="BD149" i="27" s="1"/>
  <c r="BB222" i="27" a="1"/>
  <c r="BB222" i="27" s="1"/>
  <c r="BD231" i="27" a="1"/>
  <c r="BD231" i="27" s="1"/>
  <c r="BD185" i="27" a="1"/>
  <c r="BD185" i="27" s="1"/>
  <c r="BD64" i="27" a="1"/>
  <c r="BD64" i="27" s="1"/>
  <c r="BD207" i="27" a="1"/>
  <c r="BD207" i="27" s="1"/>
  <c r="BB223" i="27" a="1"/>
  <c r="BB223" i="27" s="1"/>
  <c r="BD66" i="27" a="1"/>
  <c r="BD66" i="27" s="1"/>
  <c r="BB79" i="27" a="1"/>
  <c r="BB79" i="27" s="1"/>
  <c r="BB224" i="27" a="1"/>
  <c r="BB224" i="27" s="1"/>
  <c r="BD200" i="27" a="1"/>
  <c r="BD200" i="27" s="1"/>
  <c r="BD81" i="27" a="1"/>
  <c r="BD81" i="27" s="1"/>
  <c r="BB240" i="27" a="1"/>
  <c r="BB240" i="27" s="1"/>
  <c r="BD172" i="27" a="1"/>
  <c r="BD172" i="27" s="1"/>
  <c r="BD74" i="27" a="1"/>
  <c r="BD74" i="27" s="1"/>
  <c r="BB174" i="27" a="1"/>
  <c r="BB174" i="27" s="1"/>
  <c r="BD204" i="27" a="1"/>
  <c r="BD204" i="27" s="1"/>
  <c r="BD239" i="27" a="1"/>
  <c r="BD239" i="27" s="1"/>
  <c r="BD173" i="27" a="1"/>
  <c r="BD173" i="27" s="1"/>
  <c r="BB206" i="27" a="1"/>
  <c r="BB206" i="27" s="1"/>
  <c r="BB82" i="27" a="1"/>
  <c r="BB82" i="27" s="1"/>
  <c r="BB167" i="27" a="1"/>
  <c r="BB167" i="27" s="1"/>
  <c r="BD164" i="27" a="1"/>
  <c r="BD164" i="27" s="1"/>
  <c r="BB235" i="27" a="1"/>
  <c r="BB235" i="27" s="1"/>
  <c r="BD233" i="27" a="1"/>
  <c r="BD233" i="27" s="1"/>
  <c r="BD25" i="27" a="1"/>
  <c r="BD25" i="27" s="1"/>
  <c r="BD220" i="27" a="1"/>
  <c r="BD220" i="27" s="1"/>
  <c r="BB175" i="27" a="1"/>
  <c r="BB175" i="27" s="1"/>
  <c r="BB196" i="27" a="1"/>
  <c r="BB196" i="27" s="1"/>
  <c r="BD49" i="27" a="1"/>
  <c r="BD49" i="27" s="1"/>
  <c r="BD209" i="27" a="1"/>
  <c r="BD209" i="27" s="1"/>
  <c r="BD181" i="27" a="1"/>
  <c r="BD181" i="27" s="1"/>
  <c r="BD202" i="27" a="1"/>
  <c r="BD202" i="27" s="1"/>
  <c r="BD228" i="27" a="1"/>
  <c r="BD228" i="27" s="1"/>
  <c r="BB67" i="27" a="1"/>
  <c r="BB67" i="27" s="1"/>
  <c r="BD197" i="27" a="1"/>
  <c r="BD197" i="27" s="1"/>
  <c r="BB218" i="27" a="1"/>
  <c r="BB218" i="27" s="1"/>
  <c r="BD96" i="27" a="1"/>
  <c r="BD96" i="27" s="1"/>
  <c r="BD80" i="27" a="1"/>
  <c r="BD80" i="27" s="1"/>
  <c r="BB69" i="27" a="1"/>
  <c r="BB69" i="27" s="1"/>
  <c r="BB56" i="27" a="1"/>
  <c r="BB56" i="27" s="1"/>
  <c r="BD198" i="27" a="1"/>
  <c r="BD198" i="27" s="1"/>
  <c r="BD47" i="27" a="1"/>
  <c r="BD47" i="27" s="1"/>
  <c r="BD238" i="27" a="1"/>
  <c r="BD238" i="27" s="1"/>
  <c r="BD70" i="27" a="1"/>
  <c r="BD70" i="27" s="1"/>
  <c r="BD177" i="27" a="1"/>
  <c r="BD177" i="27" s="1"/>
  <c r="BD8" i="27" a="1"/>
  <c r="BD8" i="27" s="1"/>
  <c r="BD23" i="27" a="1"/>
  <c r="BD23" i="27" s="1"/>
  <c r="BD214" i="27" a="1"/>
  <c r="BD214" i="27" s="1"/>
  <c r="BD62" i="27" a="1"/>
  <c r="BD62" i="27" s="1"/>
  <c r="BB225" i="27" a="1"/>
  <c r="BB225" i="27" s="1"/>
  <c r="BD41" i="27" a="1"/>
  <c r="BD41" i="27" s="1"/>
  <c r="BB165" i="27" a="1"/>
  <c r="BB165" i="27" s="1"/>
  <c r="BB77" i="27" a="1"/>
  <c r="BB77" i="27" s="1"/>
  <c r="BB229" i="27" a="1"/>
  <c r="BB229" i="27" s="1"/>
  <c r="BD234" i="27" a="1"/>
  <c r="BD234" i="27" s="1"/>
  <c r="BD11" i="27" a="1"/>
  <c r="BD11" i="27" s="1"/>
  <c r="BD68" i="27" a="1"/>
  <c r="BD68" i="27" s="1"/>
  <c r="BD53" i="27" a="1"/>
  <c r="BD53" i="27" s="1"/>
  <c r="BD163" i="27" a="1"/>
  <c r="BD163" i="27" s="1"/>
  <c r="BB65" i="27" a="1"/>
  <c r="BB65" i="27" s="1"/>
  <c r="BB179" i="27" a="1"/>
  <c r="BB179" i="27" s="1"/>
  <c r="BB12" i="27" a="1"/>
  <c r="BB12" i="27" s="1"/>
  <c r="BB28" i="27" a="1"/>
  <c r="BB28" i="27" s="1"/>
  <c r="BD57" i="27" a="1"/>
  <c r="BD57" i="27" s="1"/>
  <c r="BB38" i="27" a="1"/>
  <c r="BB38" i="27" s="1"/>
  <c r="BD72" i="27" a="1"/>
  <c r="BD72" i="27" s="1"/>
  <c r="BD169" i="27" a="1"/>
  <c r="BD169" i="27" s="1"/>
  <c r="BB21" i="27" a="1"/>
  <c r="BB21" i="27" s="1"/>
  <c r="BD226" i="27" a="1"/>
  <c r="BD226" i="27" s="1"/>
  <c r="BB27" i="27" a="1"/>
  <c r="BB27" i="27" s="1"/>
  <c r="BD19" i="27" a="1"/>
  <c r="BD19" i="27" s="1"/>
  <c r="BD199" i="27" a="1"/>
  <c r="BD199" i="27" s="1"/>
  <c r="BD15" i="27" a="1"/>
  <c r="BD15" i="27" s="1"/>
  <c r="BB48" i="27" a="1"/>
  <c r="BB48" i="27" s="1"/>
  <c r="BD215" i="27" a="1"/>
  <c r="BD215" i="27" s="1"/>
  <c r="BD194" i="27" a="1"/>
  <c r="BD194" i="27" s="1"/>
  <c r="BD154" i="27" a="1"/>
  <c r="BD154" i="27" s="1"/>
  <c r="BD205" i="27" a="1"/>
  <c r="BD205" i="27" s="1"/>
  <c r="BD203" i="27" a="1"/>
  <c r="BD203" i="27" s="1"/>
  <c r="BD236" i="27" a="1"/>
  <c r="BD236" i="27" s="1"/>
  <c r="BB166" i="27" a="1"/>
  <c r="BB166" i="27" s="1"/>
  <c r="BB76" i="27" a="1"/>
  <c r="BB76" i="27" s="1"/>
  <c r="BD20" i="27" a="1"/>
  <c r="BD20" i="27" s="1"/>
  <c r="BD39" i="27" a="1"/>
  <c r="BD39" i="27" s="1"/>
  <c r="BD45" i="27" a="1"/>
  <c r="BD45" i="27" s="1"/>
  <c r="BD54" i="27" a="1"/>
  <c r="BD54" i="27" s="1"/>
  <c r="BD24" i="27" a="1"/>
  <c r="BD24" i="27" s="1"/>
  <c r="BD46" i="27" a="1"/>
  <c r="BD46" i="27" s="1"/>
  <c r="BD42" i="27" a="1"/>
  <c r="BD42" i="27" s="1"/>
  <c r="BD232" i="27" a="1"/>
  <c r="BD232" i="27" s="1"/>
  <c r="BD71" i="27" a="1"/>
  <c r="BD71" i="27" s="1"/>
  <c r="BD75" i="27" a="1"/>
  <c r="BD75" i="27" s="1"/>
  <c r="BB230" i="27" a="1"/>
  <c r="BB230" i="27" s="1"/>
  <c r="BB17" i="27" a="1"/>
  <c r="BB17" i="27" s="1"/>
  <c r="BB170" i="27" a="1"/>
  <c r="BB170" i="27" s="1"/>
  <c r="BD161" i="27" a="1"/>
  <c r="BD161" i="27" s="1"/>
  <c r="BB162" i="27" a="1"/>
  <c r="BB162" i="27" s="1"/>
  <c r="BA162" i="27" a="1"/>
  <c r="BA162" i="27" s="1"/>
  <c r="BC162" i="113" a="1"/>
  <c r="BC162" i="113" s="1"/>
  <c r="BD162" i="113" a="1"/>
  <c r="BD162" i="113" s="1"/>
  <c r="BB83" i="27" a="1"/>
  <c r="BB83" i="27" s="1"/>
  <c r="BA83" i="27" a="1"/>
  <c r="BA83" i="27" s="1"/>
  <c r="BD162" i="27" a="1"/>
  <c r="BD162" i="27" s="1"/>
  <c r="BC162" i="27" a="1"/>
  <c r="BC162" i="27" s="1"/>
  <c r="BB162" i="113" a="1"/>
  <c r="BB162" i="113" s="1"/>
  <c r="BA162" i="113" a="1"/>
  <c r="BA162" i="113" s="1"/>
  <c r="BC83" i="113" a="1"/>
  <c r="BC83" i="113" s="1"/>
  <c r="BD83" i="113" a="1"/>
  <c r="BD83" i="113" s="1"/>
  <c r="BC83" i="27" a="1"/>
  <c r="BC83" i="27" s="1"/>
  <c r="BD83" i="27" a="1"/>
  <c r="BD83" i="27" s="1"/>
  <c r="BB83" i="113" a="1"/>
  <c r="BB83" i="113" s="1"/>
  <c r="BA83" i="113" a="1"/>
  <c r="BA83" i="113" s="1"/>
  <c r="BF84" i="113"/>
  <c r="BK84" i="113" s="1"/>
  <c r="BF163" i="113"/>
  <c r="BK163" i="113" s="1"/>
  <c r="BF86" i="113"/>
  <c r="BK86" i="113" s="1"/>
  <c r="BF163" i="27"/>
  <c r="BK163" i="27" s="1"/>
  <c r="BF85" i="27"/>
  <c r="BK85" i="27" s="1"/>
  <c r="BF164" i="27"/>
  <c r="BK164" i="27" s="1"/>
  <c r="BF162" i="27"/>
  <c r="BK162" i="27" s="1"/>
  <c r="BF83" i="113"/>
  <c r="BK83" i="113" s="1"/>
  <c r="BF162" i="113"/>
  <c r="BK162" i="113" s="1"/>
  <c r="BF165" i="113"/>
  <c r="BK165" i="113" s="1"/>
  <c r="BF164" i="113"/>
  <c r="BK164" i="113" s="1"/>
  <c r="BF165" i="27"/>
  <c r="BK165" i="27" s="1"/>
  <c r="BF86" i="27"/>
  <c r="BK86" i="27" s="1"/>
  <c r="BF84" i="27"/>
  <c r="BK84" i="27" s="1"/>
  <c r="BF85" i="113"/>
  <c r="BK85" i="113" s="1"/>
  <c r="BF83" i="27"/>
  <c r="BK83" i="27" s="1"/>
  <c r="BA6" i="113" a="1"/>
  <c r="BA6" i="113" s="1"/>
  <c r="BD6" i="113" a="1"/>
  <c r="BD6" i="113" s="1"/>
  <c r="BC6" i="113" a="1"/>
  <c r="BC6" i="113" s="1"/>
  <c r="BB6" i="113" a="1"/>
  <c r="BB6" i="113" s="1"/>
  <c r="BA7" i="113" a="1"/>
  <c r="BA7" i="113" s="1"/>
  <c r="BB7" i="113" a="1"/>
  <c r="BB7" i="113" s="1"/>
  <c r="BC7" i="113" a="1"/>
  <c r="BC7" i="113" s="1"/>
  <c r="BD7" i="113" a="1"/>
  <c r="BD7" i="113" s="1"/>
  <c r="BA4" i="113" a="1"/>
  <c r="BA4" i="113" s="1"/>
  <c r="BB4" i="113" a="1"/>
  <c r="BB4" i="113" s="1"/>
  <c r="BC4" i="113" a="1"/>
  <c r="BC4" i="113" s="1"/>
  <c r="BD4" i="113" a="1"/>
  <c r="BD4" i="113" s="1"/>
  <c r="BA5" i="113" a="1"/>
  <c r="BA5" i="113" s="1"/>
  <c r="BC5" i="113" a="1"/>
  <c r="BC5" i="113" s="1"/>
  <c r="BD5" i="113" a="1"/>
  <c r="BD5" i="113" s="1"/>
  <c r="BB5" i="113" a="1"/>
  <c r="BB5" i="113" s="1"/>
  <c r="BA4" i="27" a="1"/>
  <c r="BA4" i="27" s="1"/>
  <c r="BA7" i="27" a="1"/>
  <c r="BA7" i="27" s="1"/>
  <c r="BA5" i="27" a="1"/>
  <c r="BA5" i="27" s="1"/>
  <c r="BA6" i="27" a="1"/>
  <c r="BA6" i="27" s="1"/>
  <c r="BC7" i="27" a="1"/>
  <c r="BC7" i="27" s="1"/>
  <c r="BC5" i="27" a="1"/>
  <c r="BC5" i="27" s="1"/>
  <c r="BC6" i="27" a="1"/>
  <c r="BC6" i="27" s="1"/>
  <c r="BC4" i="27" a="1"/>
  <c r="BC4" i="27" s="1"/>
  <c r="BF4" i="27"/>
  <c r="BK4" i="27" s="1"/>
  <c r="BB4" i="27" a="1"/>
  <c r="BB4" i="27" s="1"/>
  <c r="BB6" i="27" a="1"/>
  <c r="BB6" i="27" s="1"/>
  <c r="BB7" i="27" a="1"/>
  <c r="BB7" i="27" s="1"/>
  <c r="BB5" i="27" a="1"/>
  <c r="BB5" i="27" s="1"/>
  <c r="BD4" i="27" a="1"/>
  <c r="BD4" i="27" s="1"/>
  <c r="AO6" i="93" a="1"/>
  <c r="AO6" i="93" s="1"/>
  <c r="AP6" i="93"/>
  <c r="AP5" i="93"/>
  <c r="AO5" i="93" a="1"/>
  <c r="AO5" i="93" s="1"/>
  <c r="AO7" i="93" a="1"/>
  <c r="AO7" i="93" s="1"/>
  <c r="AP7" i="93"/>
  <c r="BD7" i="27" a="1"/>
  <c r="BD7" i="27" s="1"/>
  <c r="BD5" i="27" a="1"/>
  <c r="BD5" i="27" s="1"/>
  <c r="AT1" i="27"/>
  <c r="D10" i="112"/>
  <c r="BD6" i="27" a="1"/>
  <c r="BD6" i="27" s="1"/>
  <c r="W9" i="105"/>
  <c r="V10" i="105" s="1" a="1"/>
  <c r="V10" i="105" s="1"/>
  <c r="J5" i="112"/>
  <c r="F12" i="112"/>
  <c r="D9" i="112"/>
  <c r="E12" i="112"/>
  <c r="H12" i="112"/>
  <c r="G12" i="112"/>
  <c r="J7" i="112"/>
  <c r="J8" i="112"/>
  <c r="J9" i="112"/>
  <c r="I12" i="112"/>
  <c r="J11" i="112"/>
  <c r="J10" i="112"/>
  <c r="C12" i="112"/>
  <c r="J6" i="112"/>
  <c r="D12" i="112"/>
  <c r="G5" i="112"/>
  <c r="AW4" i="27"/>
  <c r="AV4" i="27" a="1"/>
  <c r="AV4" i="27" s="1"/>
  <c r="AX4" i="27"/>
  <c r="F6" i="112"/>
  <c r="D8" i="112"/>
  <c r="D11" i="112"/>
  <c r="G7" i="112"/>
  <c r="D5" i="112"/>
  <c r="D7" i="112"/>
  <c r="F9" i="112"/>
  <c r="AW7" i="27"/>
  <c r="AV7" i="27" a="1"/>
  <c r="AV7" i="27" s="1"/>
  <c r="AX7" i="27"/>
  <c r="F11" i="112"/>
  <c r="G6" i="112"/>
  <c r="AX6" i="27"/>
  <c r="AV6" i="27" a="1"/>
  <c r="AV6" i="27" s="1"/>
  <c r="AW6" i="27"/>
  <c r="F5" i="112"/>
  <c r="H9" i="112"/>
  <c r="C9" i="112"/>
  <c r="C8" i="112"/>
  <c r="C7" i="112"/>
  <c r="G8" i="112"/>
  <c r="C11" i="112"/>
  <c r="F10" i="112"/>
  <c r="F7" i="112"/>
  <c r="C6" i="112"/>
  <c r="G10" i="112"/>
  <c r="C10" i="112"/>
  <c r="G11" i="112"/>
  <c r="AW5" i="27"/>
  <c r="AV5" i="27" a="1"/>
  <c r="AV5" i="27" s="1"/>
  <c r="AX5" i="27"/>
  <c r="I7" i="112"/>
  <c r="H8" i="112"/>
  <c r="H6" i="100" a="1"/>
  <c r="F6" i="100" a="1"/>
  <c r="F6" i="100" s="1"/>
  <c r="E6" i="100" a="1"/>
  <c r="E6" i="100" s="1"/>
  <c r="Q33" i="100" s="1"/>
  <c r="D6" i="100" a="1"/>
  <c r="D6" i="100" s="1"/>
  <c r="Q32" i="100" s="1"/>
  <c r="C6" i="100" a="1"/>
  <c r="C6" i="100" s="1"/>
  <c r="Q31" i="100" s="1"/>
  <c r="B6" i="100" a="1"/>
  <c r="B6" i="100" s="1"/>
  <c r="Q30" i="100" s="1"/>
  <c r="H7" i="112"/>
  <c r="H11" i="112"/>
  <c r="E8" i="112"/>
  <c r="E11" i="112"/>
  <c r="E9" i="112"/>
  <c r="E6" i="112"/>
  <c r="E10" i="112"/>
  <c r="I6" i="112"/>
  <c r="H5" i="112"/>
  <c r="AN1" i="27"/>
  <c r="I5" i="112"/>
  <c r="E5" i="112"/>
  <c r="I10" i="112"/>
  <c r="I9" i="112"/>
  <c r="H6" i="112"/>
  <c r="I8" i="112"/>
  <c r="BI237" i="113" l="1"/>
  <c r="BJ237" i="113" s="1"/>
  <c r="BI78" i="113"/>
  <c r="BJ78" i="113" s="1"/>
  <c r="BI40" i="113"/>
  <c r="BJ40" i="113" s="1"/>
  <c r="BB1" i="124"/>
  <c r="BI119" i="113"/>
  <c r="BJ119" i="113" s="1"/>
  <c r="BD1" i="124"/>
  <c r="BI28" i="27"/>
  <c r="BJ28" i="27" s="1"/>
  <c r="BI137" i="27"/>
  <c r="BJ137" i="27" s="1"/>
  <c r="BI170" i="27"/>
  <c r="BJ170" i="27" s="1"/>
  <c r="BI187" i="113"/>
  <c r="BJ187" i="113" s="1"/>
  <c r="BI69" i="124"/>
  <c r="BJ69" i="124" s="1"/>
  <c r="BI40" i="27"/>
  <c r="BJ40" i="27" s="1"/>
  <c r="BI225" i="113"/>
  <c r="BJ225" i="113" s="1"/>
  <c r="BI41" i="113"/>
  <c r="BJ41" i="113" s="1"/>
  <c r="BI208" i="124"/>
  <c r="BJ208" i="124" s="1"/>
  <c r="BI118" i="124"/>
  <c r="BJ118" i="124" s="1"/>
  <c r="BI139" i="124"/>
  <c r="BJ139" i="124" s="1"/>
  <c r="BI108" i="124"/>
  <c r="BJ108" i="124" s="1"/>
  <c r="BI17" i="124"/>
  <c r="BJ17" i="124" s="1"/>
  <c r="BI209" i="124"/>
  <c r="BJ209" i="124" s="1"/>
  <c r="BI175" i="124"/>
  <c r="BJ175" i="124" s="1"/>
  <c r="BI124" i="124"/>
  <c r="BJ124" i="124" s="1"/>
  <c r="BI147" i="124"/>
  <c r="BJ147" i="124" s="1"/>
  <c r="BI228" i="124"/>
  <c r="BJ228" i="124" s="1"/>
  <c r="BI174" i="124"/>
  <c r="BJ174" i="124" s="1"/>
  <c r="BI115" i="124"/>
  <c r="BJ115" i="124" s="1"/>
  <c r="BI222" i="124"/>
  <c r="BJ222" i="124" s="1"/>
  <c r="BI173" i="124"/>
  <c r="BJ173" i="124" s="1"/>
  <c r="BI106" i="124"/>
  <c r="BJ106" i="124" s="1"/>
  <c r="BI205" i="124"/>
  <c r="BJ205" i="124" s="1"/>
  <c r="BI207" i="124"/>
  <c r="BJ207" i="124" s="1"/>
  <c r="BI75" i="124"/>
  <c r="BJ75" i="124" s="1"/>
  <c r="BI6" i="124"/>
  <c r="BJ6" i="124" s="1"/>
  <c r="BI31" i="124"/>
  <c r="BJ31" i="124" s="1"/>
  <c r="BI104" i="124"/>
  <c r="BJ104" i="124" s="1"/>
  <c r="BI211" i="124"/>
  <c r="BJ211" i="124" s="1"/>
  <c r="BI156" i="124"/>
  <c r="BJ156" i="124" s="1"/>
  <c r="BI176" i="124"/>
  <c r="BJ176" i="124" s="1"/>
  <c r="BI172" i="124"/>
  <c r="BJ172" i="124" s="1"/>
  <c r="BI112" i="124"/>
  <c r="BJ112" i="124" s="1"/>
  <c r="BI134" i="124"/>
  <c r="BJ134" i="124" s="1"/>
  <c r="BI61" i="124"/>
  <c r="BJ61" i="124" s="1"/>
  <c r="BI199" i="124"/>
  <c r="BJ199" i="124" s="1"/>
  <c r="BI237" i="124"/>
  <c r="BJ237" i="124" s="1"/>
  <c r="BI101" i="124"/>
  <c r="BJ101" i="124" s="1"/>
  <c r="BI143" i="124"/>
  <c r="BJ143" i="124" s="1"/>
  <c r="BI92" i="124"/>
  <c r="BJ92" i="124" s="1"/>
  <c r="BI203" i="124"/>
  <c r="BJ203" i="124" s="1"/>
  <c r="BI171" i="124"/>
  <c r="BJ171" i="124" s="1"/>
  <c r="BI94" i="124"/>
  <c r="BJ94" i="124" s="1"/>
  <c r="BI53" i="124"/>
  <c r="BJ53" i="124" s="1"/>
  <c r="BI39" i="124"/>
  <c r="BJ39" i="124" s="1"/>
  <c r="BI232" i="124"/>
  <c r="BJ232" i="124" s="1"/>
  <c r="BI59" i="124"/>
  <c r="BJ59" i="124" s="1"/>
  <c r="BI90" i="124"/>
  <c r="BJ90" i="124" s="1"/>
  <c r="BI98" i="124"/>
  <c r="BJ98" i="124" s="1"/>
  <c r="BI130" i="124"/>
  <c r="BJ130" i="124" s="1"/>
  <c r="BI68" i="124"/>
  <c r="BJ68" i="124" s="1"/>
  <c r="BI195" i="124"/>
  <c r="BJ195" i="124" s="1"/>
  <c r="BI47" i="124"/>
  <c r="BJ47" i="124" s="1"/>
  <c r="BI19" i="124"/>
  <c r="BJ19" i="124" s="1"/>
  <c r="BI26" i="124"/>
  <c r="BJ26" i="124" s="1"/>
  <c r="BI224" i="124"/>
  <c r="BJ224" i="124" s="1"/>
  <c r="BI144" i="124"/>
  <c r="BJ144" i="124" s="1"/>
  <c r="BI34" i="124"/>
  <c r="BJ34" i="124" s="1"/>
  <c r="BI74" i="124"/>
  <c r="BJ74" i="124" s="1"/>
  <c r="BI14" i="124"/>
  <c r="BJ14" i="124" s="1"/>
  <c r="BI51" i="124"/>
  <c r="BJ51" i="124" s="1"/>
  <c r="BI239" i="124"/>
  <c r="BJ239" i="124" s="1"/>
  <c r="BI135" i="124"/>
  <c r="BJ135" i="124" s="1"/>
  <c r="BI77" i="124"/>
  <c r="BJ77" i="124" s="1"/>
  <c r="BI95" i="124"/>
  <c r="BJ95" i="124" s="1"/>
  <c r="BI48" i="124"/>
  <c r="BJ48" i="124" s="1"/>
  <c r="BI109" i="124"/>
  <c r="BJ109" i="124" s="1"/>
  <c r="BI116" i="124"/>
  <c r="BJ116" i="124" s="1"/>
  <c r="BI165" i="124"/>
  <c r="BJ165" i="124" s="1"/>
  <c r="BI55" i="124"/>
  <c r="BJ55" i="124" s="1"/>
  <c r="BI76" i="124"/>
  <c r="BJ76" i="124" s="1"/>
  <c r="BI86" i="124"/>
  <c r="BJ86" i="124" s="1"/>
  <c r="BI20" i="124"/>
  <c r="BJ20" i="124" s="1"/>
  <c r="BI103" i="124"/>
  <c r="BJ103" i="124" s="1"/>
  <c r="BI217" i="124"/>
  <c r="BJ217" i="124" s="1"/>
  <c r="BI126" i="124"/>
  <c r="BJ126" i="124" s="1"/>
  <c r="BI96" i="124"/>
  <c r="BJ96" i="124" s="1"/>
  <c r="BI160" i="124"/>
  <c r="BJ160" i="124" s="1"/>
  <c r="BI23" i="124"/>
  <c r="BJ23" i="124" s="1"/>
  <c r="BI85" i="124"/>
  <c r="BJ85" i="124" s="1"/>
  <c r="BI218" i="124"/>
  <c r="BJ218" i="124" s="1"/>
  <c r="BI187" i="124"/>
  <c r="BJ187" i="124" s="1"/>
  <c r="BI10" i="124"/>
  <c r="BJ10" i="124" s="1"/>
  <c r="BI129" i="124"/>
  <c r="BJ129" i="124" s="1"/>
  <c r="BI166" i="124"/>
  <c r="BJ166" i="124" s="1"/>
  <c r="BI33" i="124"/>
  <c r="BJ33" i="124" s="1"/>
  <c r="BI13" i="124"/>
  <c r="BJ13" i="124" s="1"/>
  <c r="BI110" i="124"/>
  <c r="BJ110" i="124" s="1"/>
  <c r="BI27" i="124"/>
  <c r="BJ27" i="124" s="1"/>
  <c r="BI141" i="124"/>
  <c r="BJ141" i="124" s="1"/>
  <c r="BI133" i="124"/>
  <c r="BJ133" i="124" s="1"/>
  <c r="BI229" i="124"/>
  <c r="BJ229" i="124" s="1"/>
  <c r="BI200" i="124"/>
  <c r="BJ200" i="124" s="1"/>
  <c r="BI15" i="124"/>
  <c r="BJ15" i="124" s="1"/>
  <c r="BI216" i="124"/>
  <c r="BJ216" i="124" s="1"/>
  <c r="BI71" i="124"/>
  <c r="BJ71" i="124" s="1"/>
  <c r="BI18" i="124"/>
  <c r="BJ18" i="124" s="1"/>
  <c r="BI123" i="124"/>
  <c r="BJ123" i="124" s="1"/>
  <c r="BI177" i="124"/>
  <c r="BJ177" i="124" s="1"/>
  <c r="BI235" i="124"/>
  <c r="BJ235" i="124" s="1"/>
  <c r="BI7" i="124"/>
  <c r="BJ7" i="124" s="1"/>
  <c r="BI182" i="124"/>
  <c r="BJ182" i="124" s="1"/>
  <c r="BI138" i="124"/>
  <c r="BJ138" i="124" s="1"/>
  <c r="BI56" i="124"/>
  <c r="BJ56" i="124" s="1"/>
  <c r="BI22" i="124"/>
  <c r="BJ22" i="124" s="1"/>
  <c r="BI178" i="124"/>
  <c r="BJ178" i="124" s="1"/>
  <c r="BI150" i="124"/>
  <c r="BJ150" i="124" s="1"/>
  <c r="BI8" i="124"/>
  <c r="BJ8" i="124" s="1"/>
  <c r="BI136" i="124"/>
  <c r="BJ136" i="124" s="1"/>
  <c r="BI121" i="124"/>
  <c r="BJ121" i="124" s="1"/>
  <c r="BI65" i="124"/>
  <c r="BJ65" i="124" s="1"/>
  <c r="BI127" i="124"/>
  <c r="BJ127" i="124" s="1"/>
  <c r="BI80" i="124"/>
  <c r="BJ80" i="124" s="1"/>
  <c r="BI63" i="124"/>
  <c r="BJ63" i="124" s="1"/>
  <c r="BI52" i="124"/>
  <c r="BJ52" i="124" s="1"/>
  <c r="BI32" i="124"/>
  <c r="BJ32" i="124" s="1"/>
  <c r="BI183" i="124"/>
  <c r="BJ183" i="124" s="1"/>
  <c r="BI72" i="124"/>
  <c r="BJ72" i="124" s="1"/>
  <c r="BI40" i="124"/>
  <c r="BJ40" i="124" s="1"/>
  <c r="BI29" i="124"/>
  <c r="BJ29" i="124" s="1"/>
  <c r="BI146" i="124"/>
  <c r="BJ146" i="124" s="1"/>
  <c r="BI148" i="124"/>
  <c r="BJ148" i="124" s="1"/>
  <c r="BI159" i="124"/>
  <c r="BJ159" i="124" s="1"/>
  <c r="BI93" i="124"/>
  <c r="BJ93" i="124" s="1"/>
  <c r="BI221" i="124"/>
  <c r="BJ221" i="124" s="1"/>
  <c r="BI145" i="124"/>
  <c r="BJ145" i="124" s="1"/>
  <c r="BI202" i="124"/>
  <c r="BJ202" i="124" s="1"/>
  <c r="BI5" i="124"/>
  <c r="BJ5" i="124" s="1"/>
  <c r="BI213" i="124"/>
  <c r="BJ213" i="124" s="1"/>
  <c r="BI82" i="124"/>
  <c r="BJ82" i="124" s="1"/>
  <c r="BI54" i="124"/>
  <c r="BJ54" i="124" s="1"/>
  <c r="BI220" i="124"/>
  <c r="BJ220" i="124" s="1"/>
  <c r="BI149" i="124"/>
  <c r="BJ149" i="124" s="1"/>
  <c r="BI50" i="124"/>
  <c r="BJ50" i="124" s="1"/>
  <c r="BI215" i="124"/>
  <c r="BJ215" i="124" s="1"/>
  <c r="BI233" i="124"/>
  <c r="BJ233" i="124" s="1"/>
  <c r="BI4" i="124"/>
  <c r="BJ4" i="124" s="1"/>
  <c r="BI88" i="124"/>
  <c r="BJ88" i="124" s="1"/>
  <c r="BI225" i="124"/>
  <c r="BJ225" i="124" s="1"/>
  <c r="BI87" i="124"/>
  <c r="BJ87" i="124" s="1"/>
  <c r="BI137" i="124"/>
  <c r="BJ137" i="124" s="1"/>
  <c r="BI167" i="124"/>
  <c r="BJ167" i="124" s="1"/>
  <c r="BI153" i="124"/>
  <c r="BJ153" i="124" s="1"/>
  <c r="BI179" i="124"/>
  <c r="BJ179" i="124" s="1"/>
  <c r="BI66" i="124"/>
  <c r="BJ66" i="124" s="1"/>
  <c r="BI11" i="124"/>
  <c r="BJ11" i="124" s="1"/>
  <c r="BI197" i="124"/>
  <c r="BJ197" i="124" s="1"/>
  <c r="BI214" i="124"/>
  <c r="BJ214" i="124" s="1"/>
  <c r="BI223" i="124"/>
  <c r="BJ223" i="124" s="1"/>
  <c r="BI64" i="124"/>
  <c r="BJ64" i="124" s="1"/>
  <c r="BI168" i="124"/>
  <c r="BJ168" i="124" s="1"/>
  <c r="BI12" i="124"/>
  <c r="BJ12" i="124" s="1"/>
  <c r="BI210" i="124"/>
  <c r="BJ210" i="124" s="1"/>
  <c r="BI114" i="124"/>
  <c r="BJ114" i="124" s="1"/>
  <c r="BI107" i="124"/>
  <c r="BJ107" i="124" s="1"/>
  <c r="BI37" i="124"/>
  <c r="BJ37" i="124" s="1"/>
  <c r="BI169" i="124"/>
  <c r="BJ169" i="124" s="1"/>
  <c r="BI162" i="124"/>
  <c r="BJ162" i="124" s="1"/>
  <c r="BI42" i="124"/>
  <c r="BJ42" i="124" s="1"/>
  <c r="BI194" i="124"/>
  <c r="BJ194" i="124" s="1"/>
  <c r="BI196" i="124"/>
  <c r="BJ196" i="124" s="1"/>
  <c r="BI236" i="124"/>
  <c r="BJ236" i="124" s="1"/>
  <c r="BI140" i="124"/>
  <c r="BJ140" i="124" s="1"/>
  <c r="BI186" i="124"/>
  <c r="BJ186" i="124" s="1"/>
  <c r="BI45" i="124"/>
  <c r="BJ45" i="124" s="1"/>
  <c r="BI181" i="124"/>
  <c r="BJ181" i="124" s="1"/>
  <c r="BI99" i="124"/>
  <c r="BJ99" i="124" s="1"/>
  <c r="BI157" i="124"/>
  <c r="BJ157" i="124" s="1"/>
  <c r="BI226" i="124"/>
  <c r="BJ226" i="124" s="1"/>
  <c r="BI97" i="124"/>
  <c r="BJ97" i="124" s="1"/>
  <c r="BI119" i="124"/>
  <c r="BJ119" i="124" s="1"/>
  <c r="BI227" i="124"/>
  <c r="BJ227" i="124" s="1"/>
  <c r="BI240" i="124"/>
  <c r="BJ240" i="124" s="1"/>
  <c r="BI230" i="124"/>
  <c r="BJ230" i="124" s="1"/>
  <c r="BI44" i="124"/>
  <c r="BJ44" i="124" s="1"/>
  <c r="BI180" i="124"/>
  <c r="BJ180" i="124" s="1"/>
  <c r="BI111" i="124"/>
  <c r="BJ111" i="124" s="1"/>
  <c r="BI132" i="124"/>
  <c r="BJ132" i="124" s="1"/>
  <c r="BI79" i="124"/>
  <c r="BJ79" i="124" s="1"/>
  <c r="BI170" i="124"/>
  <c r="BJ170" i="124" s="1"/>
  <c r="BI152" i="124"/>
  <c r="BJ152" i="124" s="1"/>
  <c r="BI62" i="124"/>
  <c r="BJ62" i="124" s="1"/>
  <c r="BI238" i="124"/>
  <c r="BJ238" i="124" s="1"/>
  <c r="BI155" i="124"/>
  <c r="BJ155" i="124" s="1"/>
  <c r="BI117" i="124"/>
  <c r="BJ117" i="124" s="1"/>
  <c r="BI161" i="124"/>
  <c r="BJ161" i="124" s="1"/>
  <c r="BI36" i="124"/>
  <c r="BJ36" i="124" s="1"/>
  <c r="BI81" i="124"/>
  <c r="BJ81" i="124" s="1"/>
  <c r="BI105" i="124"/>
  <c r="BJ105" i="124" s="1"/>
  <c r="BI142" i="124"/>
  <c r="BJ142" i="124" s="1"/>
  <c r="BI231" i="124"/>
  <c r="BJ231" i="124" s="1"/>
  <c r="BI131" i="124"/>
  <c r="BJ131" i="124" s="1"/>
  <c r="BI89" i="124"/>
  <c r="BJ89" i="124" s="1"/>
  <c r="BI16" i="124"/>
  <c r="BJ16" i="124" s="1"/>
  <c r="BI25" i="124"/>
  <c r="BJ25" i="124" s="1"/>
  <c r="BI113" i="124"/>
  <c r="BJ113" i="124" s="1"/>
  <c r="BI219" i="124"/>
  <c r="BJ219" i="124" s="1"/>
  <c r="BI122" i="124"/>
  <c r="BJ122" i="124" s="1"/>
  <c r="BI24" i="124"/>
  <c r="BJ24" i="124" s="1"/>
  <c r="BI60" i="124"/>
  <c r="BJ60" i="124" s="1"/>
  <c r="BI58" i="124"/>
  <c r="BJ58" i="124" s="1"/>
  <c r="BI198" i="124"/>
  <c r="BJ198" i="124" s="1"/>
  <c r="BI84" i="124"/>
  <c r="BJ84" i="124" s="1"/>
  <c r="BI128" i="124"/>
  <c r="BJ128" i="124" s="1"/>
  <c r="BI70" i="124"/>
  <c r="BJ70" i="124" s="1"/>
  <c r="BI46" i="124"/>
  <c r="BJ46" i="124" s="1"/>
  <c r="BI38" i="124"/>
  <c r="BJ38" i="124" s="1"/>
  <c r="BI83" i="124"/>
  <c r="BJ83" i="124" s="1"/>
  <c r="BI193" i="124"/>
  <c r="BJ193" i="124" s="1"/>
  <c r="BI190" i="124"/>
  <c r="BJ190" i="124" s="1"/>
  <c r="BI120" i="124"/>
  <c r="BJ120" i="124" s="1"/>
  <c r="BI234" i="124"/>
  <c r="BJ234" i="124" s="1"/>
  <c r="BI100" i="124"/>
  <c r="BJ100" i="124" s="1"/>
  <c r="BI57" i="124"/>
  <c r="BJ57" i="124" s="1"/>
  <c r="BI192" i="124"/>
  <c r="BJ192" i="124" s="1"/>
  <c r="BI163" i="124"/>
  <c r="BJ163" i="124" s="1"/>
  <c r="BI102" i="124"/>
  <c r="BJ102" i="124" s="1"/>
  <c r="BI67" i="124"/>
  <c r="BJ67" i="124" s="1"/>
  <c r="BI28" i="124"/>
  <c r="BJ28" i="124" s="1"/>
  <c r="BI191" i="124"/>
  <c r="BJ191" i="124" s="1"/>
  <c r="BI35" i="124"/>
  <c r="BJ35" i="124" s="1"/>
  <c r="BI185" i="124"/>
  <c r="BJ185" i="124" s="1"/>
  <c r="BI188" i="124"/>
  <c r="BJ188" i="124" s="1"/>
  <c r="BI164" i="124"/>
  <c r="BJ164" i="124" s="1"/>
  <c r="BI204" i="124"/>
  <c r="BJ204" i="124" s="1"/>
  <c r="BI151" i="124"/>
  <c r="BJ151" i="124" s="1"/>
  <c r="BI30" i="124"/>
  <c r="BJ30" i="124" s="1"/>
  <c r="BI73" i="124"/>
  <c r="BJ73" i="124" s="1"/>
  <c r="BI189" i="124"/>
  <c r="BJ189" i="124" s="1"/>
  <c r="BI125" i="124"/>
  <c r="BJ125" i="124" s="1"/>
  <c r="BI49" i="124"/>
  <c r="BJ49" i="124" s="1"/>
  <c r="BI201" i="124"/>
  <c r="BJ201" i="124" s="1"/>
  <c r="BI184" i="124"/>
  <c r="BJ184" i="124" s="1"/>
  <c r="BI206" i="124"/>
  <c r="BJ206" i="124" s="1"/>
  <c r="BI91" i="124"/>
  <c r="BJ91" i="124" s="1"/>
  <c r="BI21" i="124"/>
  <c r="BJ21" i="124" s="1"/>
  <c r="BK1" i="124"/>
  <c r="BI41" i="124"/>
  <c r="BJ41" i="124" s="1"/>
  <c r="BI78" i="124"/>
  <c r="BJ78" i="124" s="1"/>
  <c r="BI43" i="124"/>
  <c r="BJ43" i="124" s="1"/>
  <c r="BI9" i="124"/>
  <c r="BJ9" i="124" s="1"/>
  <c r="BI212" i="124"/>
  <c r="BJ212" i="124" s="1"/>
  <c r="BI158" i="124"/>
  <c r="BJ158" i="124" s="1"/>
  <c r="BI154" i="124"/>
  <c r="BJ154" i="124" s="1"/>
  <c r="BI9" i="113"/>
  <c r="BJ9" i="113" s="1"/>
  <c r="BI224" i="113"/>
  <c r="BJ224" i="113" s="1"/>
  <c r="BI182" i="113"/>
  <c r="BJ182" i="113" s="1"/>
  <c r="BI197" i="113"/>
  <c r="BJ197" i="113" s="1"/>
  <c r="BI201" i="113"/>
  <c r="BJ201" i="113" s="1"/>
  <c r="BI215" i="113"/>
  <c r="BJ215" i="113" s="1"/>
  <c r="BI196" i="27"/>
  <c r="BJ196" i="27" s="1"/>
  <c r="BI102" i="113"/>
  <c r="BJ102" i="113" s="1"/>
  <c r="BI78" i="27"/>
  <c r="BJ78" i="27" s="1"/>
  <c r="BI81" i="113"/>
  <c r="BJ81" i="113" s="1"/>
  <c r="BI240" i="27"/>
  <c r="BJ240" i="27" s="1"/>
  <c r="BI122" i="113"/>
  <c r="BJ122" i="113" s="1"/>
  <c r="BI230" i="27"/>
  <c r="BJ230" i="27" s="1"/>
  <c r="BI237" i="27"/>
  <c r="BJ237" i="27" s="1"/>
  <c r="BI28" i="113"/>
  <c r="BJ28" i="113" s="1"/>
  <c r="BI133" i="113"/>
  <c r="BJ133" i="113" s="1"/>
  <c r="BI139" i="113"/>
  <c r="BJ139" i="113" s="1"/>
  <c r="BI45" i="113"/>
  <c r="BJ45" i="113" s="1"/>
  <c r="BI185" i="113"/>
  <c r="BJ185" i="113" s="1"/>
  <c r="BI206" i="113"/>
  <c r="BJ206" i="113" s="1"/>
  <c r="BI190" i="113"/>
  <c r="BJ190" i="113" s="1"/>
  <c r="BI33" i="113"/>
  <c r="BJ33" i="113" s="1"/>
  <c r="BI157" i="27"/>
  <c r="BJ157" i="27" s="1"/>
  <c r="BI23" i="113"/>
  <c r="BJ23" i="113" s="1"/>
  <c r="BI24" i="113"/>
  <c r="BJ24" i="113" s="1"/>
  <c r="I32" i="100" a="1"/>
  <c r="I32" i="100" s="1"/>
  <c r="I31" i="100" a="1"/>
  <c r="I31" i="100" s="1"/>
  <c r="I35" i="100" a="1"/>
  <c r="I35" i="100" s="1"/>
  <c r="I30" i="100" a="1"/>
  <c r="I30" i="100" s="1"/>
  <c r="I34" i="100" a="1"/>
  <c r="I34" i="100" s="1"/>
  <c r="I33" i="100" a="1"/>
  <c r="I33" i="100" s="1"/>
  <c r="BI17" i="27"/>
  <c r="BJ17" i="27" s="1"/>
  <c r="BI194" i="113"/>
  <c r="BJ194" i="113" s="1"/>
  <c r="BI156" i="113"/>
  <c r="BJ156" i="113" s="1"/>
  <c r="BI9" i="27"/>
  <c r="BJ9" i="27" s="1"/>
  <c r="BI192" i="113"/>
  <c r="BJ192" i="113" s="1"/>
  <c r="BI216" i="113"/>
  <c r="BJ216" i="113" s="1"/>
  <c r="BI29" i="113"/>
  <c r="BJ29" i="113" s="1"/>
  <c r="BI30" i="113"/>
  <c r="BJ30" i="113" s="1"/>
  <c r="BI225" i="27"/>
  <c r="BJ225" i="27" s="1"/>
  <c r="BI189" i="113"/>
  <c r="BJ189" i="113" s="1"/>
  <c r="I27" i="100" a="1"/>
  <c r="I27" i="100" s="1"/>
  <c r="I28" i="100" a="1"/>
  <c r="I28" i="100" s="1"/>
  <c r="I29" i="100" a="1"/>
  <c r="I29" i="100" s="1"/>
  <c r="BI35" i="113"/>
  <c r="BJ35" i="113" s="1"/>
  <c r="BI118" i="113"/>
  <c r="BJ118" i="113" s="1"/>
  <c r="BI43" i="27"/>
  <c r="BJ43" i="27" s="1"/>
  <c r="BI183" i="27"/>
  <c r="BJ183" i="27" s="1"/>
  <c r="BI128" i="27"/>
  <c r="BJ128" i="27" s="1"/>
  <c r="BI18" i="27"/>
  <c r="BJ18" i="27" s="1"/>
  <c r="BI199" i="113"/>
  <c r="BJ199" i="113" s="1"/>
  <c r="BI218" i="27"/>
  <c r="BJ218" i="27" s="1"/>
  <c r="BI208" i="27"/>
  <c r="BJ208" i="27" s="1"/>
  <c r="BI130" i="27"/>
  <c r="BJ130" i="27" s="1"/>
  <c r="BI37" i="113"/>
  <c r="BJ37" i="113" s="1"/>
  <c r="BI121" i="27"/>
  <c r="BJ121" i="27" s="1"/>
  <c r="BI35" i="27"/>
  <c r="BJ35" i="27" s="1"/>
  <c r="BI148" i="27"/>
  <c r="BJ148" i="27" s="1"/>
  <c r="BI186" i="27"/>
  <c r="BJ186" i="27" s="1"/>
  <c r="BI175" i="113"/>
  <c r="BJ175" i="113" s="1"/>
  <c r="BI221" i="27"/>
  <c r="BJ221" i="27" s="1"/>
  <c r="BI212" i="113"/>
  <c r="BJ212" i="113" s="1"/>
  <c r="BI126" i="113"/>
  <c r="BJ126" i="113" s="1"/>
  <c r="BI31" i="113"/>
  <c r="BJ31" i="113" s="1"/>
  <c r="BI213" i="27"/>
  <c r="BJ213" i="27" s="1"/>
  <c r="BI151" i="27"/>
  <c r="BJ151" i="27" s="1"/>
  <c r="BI112" i="27"/>
  <c r="BJ112" i="27" s="1"/>
  <c r="BI98" i="27"/>
  <c r="BJ98" i="27" s="1"/>
  <c r="BI205" i="113"/>
  <c r="BJ205" i="113" s="1"/>
  <c r="BI174" i="27"/>
  <c r="BJ174" i="27" s="1"/>
  <c r="BI129" i="27"/>
  <c r="BJ129" i="27" s="1"/>
  <c r="BI93" i="27"/>
  <c r="BJ93" i="27" s="1"/>
  <c r="BI52" i="27"/>
  <c r="BJ52" i="27" s="1"/>
  <c r="BI217" i="27"/>
  <c r="BJ217" i="27" s="1"/>
  <c r="BI120" i="27"/>
  <c r="BJ120" i="27" s="1"/>
  <c r="BI216" i="27"/>
  <c r="BJ216" i="27" s="1"/>
  <c r="BI66" i="27"/>
  <c r="BJ66" i="27" s="1"/>
  <c r="BI163" i="113"/>
  <c r="BJ163" i="113" s="1"/>
  <c r="BI44" i="27"/>
  <c r="BJ44" i="27" s="1"/>
  <c r="BI177" i="113"/>
  <c r="BJ177" i="113" s="1"/>
  <c r="BI67" i="27"/>
  <c r="BJ67" i="27" s="1"/>
  <c r="BI77" i="27"/>
  <c r="BJ77" i="27" s="1"/>
  <c r="BI33" i="27"/>
  <c r="BJ33" i="27" s="1"/>
  <c r="BI102" i="27"/>
  <c r="BJ102" i="27" s="1"/>
  <c r="BI185" i="27"/>
  <c r="BJ185" i="27" s="1"/>
  <c r="BI8" i="27"/>
  <c r="BJ8" i="27" s="1"/>
  <c r="BI123" i="27"/>
  <c r="BJ123" i="27" s="1"/>
  <c r="BI72" i="27"/>
  <c r="BJ72" i="27" s="1"/>
  <c r="BI69" i="113"/>
  <c r="BJ69" i="113" s="1"/>
  <c r="BI15" i="27"/>
  <c r="BJ15" i="27" s="1"/>
  <c r="BI215" i="27"/>
  <c r="BJ215" i="27" s="1"/>
  <c r="BI82" i="113"/>
  <c r="BJ82" i="113" s="1"/>
  <c r="BI149" i="113"/>
  <c r="BJ149" i="113" s="1"/>
  <c r="BI188" i="113"/>
  <c r="BJ188" i="113" s="1"/>
  <c r="BI11" i="113"/>
  <c r="BJ11" i="113" s="1"/>
  <c r="BI236" i="113"/>
  <c r="BJ236" i="113" s="1"/>
  <c r="BI60" i="113"/>
  <c r="BJ60" i="113" s="1"/>
  <c r="BI50" i="27"/>
  <c r="BJ50" i="27" s="1"/>
  <c r="BI46" i="27"/>
  <c r="BJ46" i="27" s="1"/>
  <c r="BI177" i="27"/>
  <c r="BJ177" i="27" s="1"/>
  <c r="BI30" i="27"/>
  <c r="BJ30" i="27" s="1"/>
  <c r="BI195" i="27"/>
  <c r="BJ195" i="27" s="1"/>
  <c r="BI134" i="113"/>
  <c r="BJ134" i="113" s="1"/>
  <c r="BI108" i="113"/>
  <c r="BJ108" i="113" s="1"/>
  <c r="BI20" i="113"/>
  <c r="BJ20" i="113" s="1"/>
  <c r="BI171" i="113"/>
  <c r="BJ171" i="113" s="1"/>
  <c r="BI184" i="113"/>
  <c r="BJ184" i="113" s="1"/>
  <c r="BI58" i="113"/>
  <c r="BJ58" i="113" s="1"/>
  <c r="BI60" i="27"/>
  <c r="BJ60" i="27" s="1"/>
  <c r="BI113" i="27"/>
  <c r="BJ113" i="27" s="1"/>
  <c r="BI103" i="27"/>
  <c r="BJ103" i="27" s="1"/>
  <c r="BI109" i="27"/>
  <c r="BJ109" i="27" s="1"/>
  <c r="BI210" i="113"/>
  <c r="BJ210" i="113" s="1"/>
  <c r="BI129" i="113"/>
  <c r="BJ129" i="113" s="1"/>
  <c r="BI62" i="27"/>
  <c r="BJ62" i="27" s="1"/>
  <c r="BI16" i="27"/>
  <c r="BJ16" i="27" s="1"/>
  <c r="BI75" i="27"/>
  <c r="BJ75" i="27" s="1"/>
  <c r="BI10" i="113"/>
  <c r="BJ10" i="113" s="1"/>
  <c r="BI93" i="113"/>
  <c r="BJ93" i="113" s="1"/>
  <c r="BI92" i="113"/>
  <c r="BJ92" i="113" s="1"/>
  <c r="BI136" i="113"/>
  <c r="BJ136" i="113" s="1"/>
  <c r="BI48" i="27"/>
  <c r="BJ48" i="27" s="1"/>
  <c r="BI23" i="27"/>
  <c r="BJ23" i="27" s="1"/>
  <c r="BI24" i="27"/>
  <c r="BJ24" i="27" s="1"/>
  <c r="BI108" i="27"/>
  <c r="BJ108" i="27" s="1"/>
  <c r="BI238" i="27"/>
  <c r="BJ238" i="27" s="1"/>
  <c r="BI31" i="27"/>
  <c r="BJ31" i="27" s="1"/>
  <c r="BI91" i="113"/>
  <c r="BJ91" i="113" s="1"/>
  <c r="BI64" i="27"/>
  <c r="BJ64" i="27" s="1"/>
  <c r="BI16" i="113"/>
  <c r="BJ16" i="113" s="1"/>
  <c r="BI41" i="27"/>
  <c r="BJ41" i="27" s="1"/>
  <c r="BI61" i="27"/>
  <c r="BJ61" i="27" s="1"/>
  <c r="BI94" i="27"/>
  <c r="BJ94" i="27" s="1"/>
  <c r="BI20" i="27"/>
  <c r="BJ20" i="27" s="1"/>
  <c r="BI132" i="113"/>
  <c r="BJ132" i="113" s="1"/>
  <c r="BI142" i="113"/>
  <c r="BJ142" i="113" s="1"/>
  <c r="BI116" i="113"/>
  <c r="BJ116" i="113" s="1"/>
  <c r="BI70" i="113"/>
  <c r="BJ70" i="113" s="1"/>
  <c r="BI47" i="27"/>
  <c r="BJ47" i="27" s="1"/>
  <c r="BI117" i="27"/>
  <c r="BJ117" i="27" s="1"/>
  <c r="BI99" i="27"/>
  <c r="BJ99" i="27" s="1"/>
  <c r="BI101" i="27"/>
  <c r="BJ101" i="27" s="1"/>
  <c r="BI171" i="27"/>
  <c r="BJ171" i="27" s="1"/>
  <c r="BI151" i="113"/>
  <c r="BJ151" i="113" s="1"/>
  <c r="BI240" i="113"/>
  <c r="BJ240" i="113" s="1"/>
  <c r="BI124" i="113"/>
  <c r="BJ124" i="113" s="1"/>
  <c r="BI42" i="113"/>
  <c r="BJ42" i="113" s="1"/>
  <c r="BI51" i="113"/>
  <c r="BJ51" i="113" s="1"/>
  <c r="BI56" i="113"/>
  <c r="BJ56" i="113" s="1"/>
  <c r="BI220" i="27"/>
  <c r="BJ220" i="27" s="1"/>
  <c r="BI211" i="113"/>
  <c r="BJ211" i="113" s="1"/>
  <c r="BI14" i="113"/>
  <c r="BJ14" i="113" s="1"/>
  <c r="BI178" i="113"/>
  <c r="BJ178" i="113" s="1"/>
  <c r="BI45" i="27"/>
  <c r="BJ45" i="27" s="1"/>
  <c r="BI169" i="27"/>
  <c r="BJ169" i="27" s="1"/>
  <c r="BI209" i="113"/>
  <c r="BJ209" i="113" s="1"/>
  <c r="BI139" i="27"/>
  <c r="BJ139" i="27" s="1"/>
  <c r="BI54" i="27"/>
  <c r="BJ54" i="27" s="1"/>
  <c r="BI231" i="27"/>
  <c r="BJ231" i="27" s="1"/>
  <c r="BI70" i="27"/>
  <c r="BJ70" i="27" s="1"/>
  <c r="BI100" i="27"/>
  <c r="BJ100" i="27" s="1"/>
  <c r="BI112" i="113"/>
  <c r="BJ112" i="113" s="1"/>
  <c r="BI59" i="113"/>
  <c r="BJ59" i="113" s="1"/>
  <c r="BI13" i="27"/>
  <c r="BJ13" i="27" s="1"/>
  <c r="BI188" i="27"/>
  <c r="BJ188" i="27" s="1"/>
  <c r="BI180" i="113"/>
  <c r="BJ180" i="113" s="1"/>
  <c r="BI128" i="113"/>
  <c r="BJ128" i="113" s="1"/>
  <c r="BI149" i="27"/>
  <c r="BJ149" i="27" s="1"/>
  <c r="BI53" i="113"/>
  <c r="BJ53" i="113" s="1"/>
  <c r="BI46" i="113"/>
  <c r="BJ46" i="113" s="1"/>
  <c r="BI236" i="27"/>
  <c r="BJ236" i="27" s="1"/>
  <c r="BI219" i="113"/>
  <c r="BJ219" i="113" s="1"/>
  <c r="BI153" i="27"/>
  <c r="BJ153" i="27" s="1"/>
  <c r="BI187" i="27"/>
  <c r="BJ187" i="27" s="1"/>
  <c r="BI57" i="27"/>
  <c r="BJ57" i="27" s="1"/>
  <c r="BI233" i="113"/>
  <c r="BJ233" i="113" s="1"/>
  <c r="BI117" i="113"/>
  <c r="BJ117" i="113" s="1"/>
  <c r="BI207" i="27"/>
  <c r="BJ207" i="27" s="1"/>
  <c r="BI233" i="27"/>
  <c r="BJ233" i="27" s="1"/>
  <c r="BI115" i="27"/>
  <c r="BJ115" i="27" s="1"/>
  <c r="BI114" i="27"/>
  <c r="BJ114" i="27" s="1"/>
  <c r="BI37" i="27"/>
  <c r="BJ37" i="27" s="1"/>
  <c r="BI239" i="113"/>
  <c r="BJ239" i="113" s="1"/>
  <c r="BI106" i="113"/>
  <c r="BJ106" i="113" s="1"/>
  <c r="BI130" i="113"/>
  <c r="BJ130" i="113" s="1"/>
  <c r="BI18" i="113"/>
  <c r="BJ18" i="113" s="1"/>
  <c r="BI143" i="27"/>
  <c r="BJ143" i="27" s="1"/>
  <c r="BI50" i="113"/>
  <c r="BJ50" i="113" s="1"/>
  <c r="BI167" i="27"/>
  <c r="BJ167" i="27" s="1"/>
  <c r="BI32" i="113"/>
  <c r="BJ32" i="113" s="1"/>
  <c r="BI59" i="27"/>
  <c r="BJ59" i="27" s="1"/>
  <c r="BI103" i="113"/>
  <c r="BJ103" i="113" s="1"/>
  <c r="BI203" i="27"/>
  <c r="BJ203" i="27" s="1"/>
  <c r="BI238" i="113"/>
  <c r="BJ238" i="113" s="1"/>
  <c r="BI110" i="113"/>
  <c r="BJ110" i="113" s="1"/>
  <c r="BI84" i="27"/>
  <c r="BJ84" i="27" s="1"/>
  <c r="BI52" i="113"/>
  <c r="BJ52" i="113" s="1"/>
  <c r="BI155" i="27"/>
  <c r="BJ155" i="27" s="1"/>
  <c r="BI207" i="113"/>
  <c r="BJ207" i="113" s="1"/>
  <c r="BI239" i="27"/>
  <c r="BJ239" i="27" s="1"/>
  <c r="BI229" i="113"/>
  <c r="BJ229" i="113" s="1"/>
  <c r="BI96" i="27"/>
  <c r="BJ96" i="27" s="1"/>
  <c r="BI143" i="113"/>
  <c r="BJ143" i="113" s="1"/>
  <c r="BI230" i="113"/>
  <c r="BJ230" i="113" s="1"/>
  <c r="BI34" i="113"/>
  <c r="BJ34" i="113" s="1"/>
  <c r="BI116" i="27"/>
  <c r="BJ116" i="27" s="1"/>
  <c r="BI229" i="27"/>
  <c r="BJ229" i="27" s="1"/>
  <c r="BI222" i="113"/>
  <c r="BJ222" i="113" s="1"/>
  <c r="BI44" i="113"/>
  <c r="BJ44" i="113" s="1"/>
  <c r="BI197" i="27"/>
  <c r="BJ197" i="27" s="1"/>
  <c r="BI203" i="113"/>
  <c r="BJ203" i="113" s="1"/>
  <c r="BI25" i="113"/>
  <c r="BJ25" i="113" s="1"/>
  <c r="BI205" i="27"/>
  <c r="BJ205" i="27" s="1"/>
  <c r="BI113" i="113"/>
  <c r="BJ113" i="113" s="1"/>
  <c r="BI17" i="113"/>
  <c r="BJ17" i="113" s="1"/>
  <c r="BI124" i="27"/>
  <c r="BJ124" i="27" s="1"/>
  <c r="BI176" i="27"/>
  <c r="BJ176" i="27" s="1"/>
  <c r="BI132" i="27"/>
  <c r="BJ132" i="27" s="1"/>
  <c r="BI160" i="113"/>
  <c r="BJ160" i="113" s="1"/>
  <c r="BI43" i="113"/>
  <c r="BJ43" i="113" s="1"/>
  <c r="BI208" i="113"/>
  <c r="BJ208" i="113" s="1"/>
  <c r="BI110" i="27"/>
  <c r="BJ110" i="27" s="1"/>
  <c r="BI146" i="113"/>
  <c r="BJ146" i="113" s="1"/>
  <c r="BI66" i="113"/>
  <c r="BJ66" i="113" s="1"/>
  <c r="BI210" i="27"/>
  <c r="BJ210" i="27" s="1"/>
  <c r="BI155" i="113"/>
  <c r="BJ155" i="113" s="1"/>
  <c r="BI54" i="113"/>
  <c r="BJ54" i="113" s="1"/>
  <c r="BI21" i="27"/>
  <c r="BJ21" i="27" s="1"/>
  <c r="BI79" i="27"/>
  <c r="BJ79" i="27" s="1"/>
  <c r="BI204" i="113"/>
  <c r="BJ204" i="113" s="1"/>
  <c r="BI32" i="27"/>
  <c r="BJ32" i="27" s="1"/>
  <c r="BI19" i="27"/>
  <c r="BJ19" i="27" s="1"/>
  <c r="BI95" i="27"/>
  <c r="BJ95" i="27" s="1"/>
  <c r="BI97" i="27"/>
  <c r="BJ97" i="27" s="1"/>
  <c r="BI10" i="27"/>
  <c r="BJ10" i="27" s="1"/>
  <c r="BI180" i="27"/>
  <c r="BJ180" i="27" s="1"/>
  <c r="BI11" i="27"/>
  <c r="BJ11" i="27" s="1"/>
  <c r="BI107" i="113"/>
  <c r="BJ107" i="113" s="1"/>
  <c r="BI98" i="113"/>
  <c r="BJ98" i="113" s="1"/>
  <c r="BI175" i="27"/>
  <c r="BJ175" i="27" s="1"/>
  <c r="BI27" i="113"/>
  <c r="BJ27" i="113" s="1"/>
  <c r="BI213" i="113"/>
  <c r="BJ213" i="113" s="1"/>
  <c r="BI176" i="113"/>
  <c r="BJ176" i="113" s="1"/>
  <c r="BI77" i="113"/>
  <c r="BJ77" i="113" s="1"/>
  <c r="BI63" i="27"/>
  <c r="BJ63" i="27" s="1"/>
  <c r="BI71" i="113"/>
  <c r="BJ71" i="113" s="1"/>
  <c r="BI127" i="27"/>
  <c r="BJ127" i="27" s="1"/>
  <c r="BI172" i="27"/>
  <c r="BJ172" i="27" s="1"/>
  <c r="BI184" i="27"/>
  <c r="BJ184" i="27" s="1"/>
  <c r="BI89" i="27"/>
  <c r="BJ89" i="27" s="1"/>
  <c r="BI178" i="27"/>
  <c r="BJ178" i="27" s="1"/>
  <c r="BI136" i="27"/>
  <c r="BJ136" i="27" s="1"/>
  <c r="BI74" i="27"/>
  <c r="BJ74" i="27" s="1"/>
  <c r="BI131" i="113"/>
  <c r="BJ131" i="113" s="1"/>
  <c r="BI152" i="113"/>
  <c r="BJ152" i="113" s="1"/>
  <c r="BI144" i="113"/>
  <c r="BJ144" i="113" s="1"/>
  <c r="BI57" i="113"/>
  <c r="BJ57" i="113" s="1"/>
  <c r="BI105" i="113"/>
  <c r="BJ105" i="113" s="1"/>
  <c r="BI223" i="27"/>
  <c r="BJ223" i="27" s="1"/>
  <c r="BI214" i="27"/>
  <c r="BJ214" i="27" s="1"/>
  <c r="BI26" i="113"/>
  <c r="BJ26" i="113" s="1"/>
  <c r="BI39" i="113"/>
  <c r="BJ39" i="113" s="1"/>
  <c r="BI47" i="113"/>
  <c r="BJ47" i="113" s="1"/>
  <c r="BI191" i="113"/>
  <c r="BJ191" i="113" s="1"/>
  <c r="BI121" i="113"/>
  <c r="BJ121" i="113" s="1"/>
  <c r="BI51" i="27"/>
  <c r="BJ51" i="27" s="1"/>
  <c r="BI58" i="27"/>
  <c r="BJ58" i="27" s="1"/>
  <c r="BI142" i="27"/>
  <c r="BJ142" i="27" s="1"/>
  <c r="BI209" i="27"/>
  <c r="BJ209" i="27" s="1"/>
  <c r="BI198" i="27"/>
  <c r="BJ198" i="27" s="1"/>
  <c r="BI170" i="113"/>
  <c r="BJ170" i="113" s="1"/>
  <c r="BI183" i="113"/>
  <c r="BJ183" i="113" s="1"/>
  <c r="BI135" i="113"/>
  <c r="BJ135" i="113" s="1"/>
  <c r="BI137" i="113"/>
  <c r="BJ137" i="113" s="1"/>
  <c r="BI61" i="113"/>
  <c r="BJ61" i="113" s="1"/>
  <c r="BI161" i="113"/>
  <c r="BJ161" i="113" s="1"/>
  <c r="BI38" i="27"/>
  <c r="BJ38" i="27" s="1"/>
  <c r="BI191" i="27"/>
  <c r="BJ191" i="27" s="1"/>
  <c r="BI62" i="113"/>
  <c r="BJ62" i="113" s="1"/>
  <c r="BI150" i="113"/>
  <c r="BJ150" i="113" s="1"/>
  <c r="BI179" i="113"/>
  <c r="BJ179" i="113" s="1"/>
  <c r="BI36" i="113"/>
  <c r="BJ36" i="113" s="1"/>
  <c r="BI38" i="113"/>
  <c r="BJ38" i="113" s="1"/>
  <c r="BI73" i="113"/>
  <c r="BJ73" i="113" s="1"/>
  <c r="BI49" i="27"/>
  <c r="BJ49" i="27" s="1"/>
  <c r="BI126" i="27"/>
  <c r="BJ126" i="27" s="1"/>
  <c r="BI135" i="27"/>
  <c r="BJ135" i="27" s="1"/>
  <c r="BI144" i="27"/>
  <c r="BJ144" i="27" s="1"/>
  <c r="BI168" i="27"/>
  <c r="BJ168" i="27" s="1"/>
  <c r="BI147" i="27"/>
  <c r="BJ147" i="27" s="1"/>
  <c r="BI160" i="27"/>
  <c r="BJ160" i="27" s="1"/>
  <c r="BI232" i="27"/>
  <c r="BJ232" i="27" s="1"/>
  <c r="BI99" i="113"/>
  <c r="BJ99" i="113" s="1"/>
  <c r="BI140" i="113"/>
  <c r="BJ140" i="113" s="1"/>
  <c r="BI148" i="113"/>
  <c r="BJ148" i="113" s="1"/>
  <c r="BI109" i="113"/>
  <c r="BJ109" i="113" s="1"/>
  <c r="BI101" i="113"/>
  <c r="BJ101" i="113" s="1"/>
  <c r="BI158" i="113"/>
  <c r="BJ158" i="113" s="1"/>
  <c r="BI193" i="113"/>
  <c r="BJ193" i="113" s="1"/>
  <c r="BI64" i="113"/>
  <c r="BJ64" i="113" s="1"/>
  <c r="BI227" i="113"/>
  <c r="BJ227" i="113" s="1"/>
  <c r="BI12" i="113"/>
  <c r="BJ12" i="113" s="1"/>
  <c r="BI95" i="113"/>
  <c r="BJ95" i="113" s="1"/>
  <c r="BI19" i="113"/>
  <c r="BJ19" i="113" s="1"/>
  <c r="BI49" i="113"/>
  <c r="BJ49" i="113" s="1"/>
  <c r="BI118" i="27"/>
  <c r="BJ118" i="27" s="1"/>
  <c r="BI87" i="27"/>
  <c r="BJ87" i="27" s="1"/>
  <c r="BI190" i="27"/>
  <c r="BJ190" i="27" s="1"/>
  <c r="BI34" i="27"/>
  <c r="BJ34" i="27" s="1"/>
  <c r="BI88" i="27"/>
  <c r="BJ88" i="27" s="1"/>
  <c r="BI68" i="27"/>
  <c r="BJ68" i="27" s="1"/>
  <c r="BI193" i="27"/>
  <c r="BJ193" i="27" s="1"/>
  <c r="BI226" i="27"/>
  <c r="BJ226" i="27" s="1"/>
  <c r="BI159" i="27"/>
  <c r="BJ159" i="27" s="1"/>
  <c r="BI152" i="27"/>
  <c r="BJ152" i="27" s="1"/>
  <c r="BI173" i="113"/>
  <c r="BJ173" i="113" s="1"/>
  <c r="BI13" i="113"/>
  <c r="BJ13" i="113" s="1"/>
  <c r="BI159" i="113"/>
  <c r="BJ159" i="113" s="1"/>
  <c r="BI127" i="113"/>
  <c r="BJ127" i="113" s="1"/>
  <c r="BI123" i="113"/>
  <c r="BJ123" i="113" s="1"/>
  <c r="BI55" i="113"/>
  <c r="BJ55" i="113" s="1"/>
  <c r="BI96" i="113"/>
  <c r="BJ96" i="113" s="1"/>
  <c r="BI90" i="27"/>
  <c r="BJ90" i="27" s="1"/>
  <c r="BI221" i="113"/>
  <c r="BJ221" i="113" s="1"/>
  <c r="BI14" i="27"/>
  <c r="BJ14" i="27" s="1"/>
  <c r="BI22" i="113"/>
  <c r="BJ22" i="113" s="1"/>
  <c r="BI181" i="113"/>
  <c r="BJ181" i="113" s="1"/>
  <c r="BI72" i="113"/>
  <c r="BJ72" i="113" s="1"/>
  <c r="BI29" i="27"/>
  <c r="BJ29" i="27" s="1"/>
  <c r="BI228" i="27"/>
  <c r="BJ228" i="27" s="1"/>
  <c r="BI154" i="27"/>
  <c r="BJ154" i="27" s="1"/>
  <c r="BI169" i="113"/>
  <c r="BJ169" i="113" s="1"/>
  <c r="BI223" i="113"/>
  <c r="BJ223" i="113" s="1"/>
  <c r="BI92" i="27"/>
  <c r="BJ92" i="27" s="1"/>
  <c r="BI88" i="113"/>
  <c r="BJ88" i="113" s="1"/>
  <c r="BI21" i="113"/>
  <c r="BJ21" i="113" s="1"/>
  <c r="BI227" i="27"/>
  <c r="BJ227" i="27" s="1"/>
  <c r="BI192" i="27"/>
  <c r="BJ192" i="27" s="1"/>
  <c r="BI138" i="113"/>
  <c r="BJ138" i="113" s="1"/>
  <c r="BI27" i="27"/>
  <c r="BJ27" i="27" s="1"/>
  <c r="BI212" i="27"/>
  <c r="BJ212" i="27" s="1"/>
  <c r="BI202" i="27"/>
  <c r="BJ202" i="27" s="1"/>
  <c r="BI173" i="27"/>
  <c r="BJ173" i="27" s="1"/>
  <c r="BI73" i="27"/>
  <c r="BJ73" i="27" s="1"/>
  <c r="BI94" i="113"/>
  <c r="BJ94" i="113" s="1"/>
  <c r="BI224" i="27"/>
  <c r="BJ224" i="27" s="1"/>
  <c r="BI146" i="27"/>
  <c r="BJ146" i="27" s="1"/>
  <c r="BI26" i="27"/>
  <c r="BJ26" i="27" s="1"/>
  <c r="BI211" i="27"/>
  <c r="BJ211" i="27" s="1"/>
  <c r="BI235" i="27"/>
  <c r="BJ235" i="27" s="1"/>
  <c r="BI228" i="113"/>
  <c r="BJ228" i="113" s="1"/>
  <c r="BI200" i="113"/>
  <c r="BJ200" i="113" s="1"/>
  <c r="BI122" i="27"/>
  <c r="BJ122" i="27" s="1"/>
  <c r="BI55" i="27"/>
  <c r="BJ55" i="27" s="1"/>
  <c r="BI200" i="27"/>
  <c r="BJ200" i="27" s="1"/>
  <c r="BI204" i="27"/>
  <c r="BJ204" i="27" s="1"/>
  <c r="BI100" i="113"/>
  <c r="BJ100" i="113" s="1"/>
  <c r="BI172" i="113"/>
  <c r="BJ172" i="113" s="1"/>
  <c r="BI76" i="27"/>
  <c r="BJ76" i="27" s="1"/>
  <c r="BI12" i="27"/>
  <c r="BJ12" i="27" s="1"/>
  <c r="BI220" i="113"/>
  <c r="BJ220" i="113" s="1"/>
  <c r="BI166" i="113"/>
  <c r="BJ166" i="113" s="1"/>
  <c r="BI196" i="113"/>
  <c r="BJ196" i="113" s="1"/>
  <c r="BI218" i="113"/>
  <c r="BJ218" i="113" s="1"/>
  <c r="BI76" i="113"/>
  <c r="BJ76" i="113" s="1"/>
  <c r="BI125" i="113"/>
  <c r="BJ125" i="113" s="1"/>
  <c r="BI104" i="27"/>
  <c r="BJ104" i="27" s="1"/>
  <c r="BI199" i="27"/>
  <c r="BJ199" i="27" s="1"/>
  <c r="BI201" i="27"/>
  <c r="BJ201" i="27" s="1"/>
  <c r="BI125" i="27"/>
  <c r="BJ125" i="27" s="1"/>
  <c r="BI53" i="27"/>
  <c r="BJ53" i="27" s="1"/>
  <c r="BI158" i="27"/>
  <c r="BJ158" i="27" s="1"/>
  <c r="BI219" i="27"/>
  <c r="BJ219" i="27" s="1"/>
  <c r="BI104" i="113"/>
  <c r="BJ104" i="113" s="1"/>
  <c r="BI90" i="113"/>
  <c r="BJ90" i="113" s="1"/>
  <c r="BI141" i="113"/>
  <c r="BJ141" i="113" s="1"/>
  <c r="BI114" i="113"/>
  <c r="BJ114" i="113" s="1"/>
  <c r="BI166" i="27"/>
  <c r="BJ166" i="27" s="1"/>
  <c r="BI179" i="27"/>
  <c r="BJ179" i="27" s="1"/>
  <c r="BI222" i="27"/>
  <c r="BJ222" i="27" s="1"/>
  <c r="BI214" i="113"/>
  <c r="BJ214" i="113" s="1"/>
  <c r="BI226" i="113"/>
  <c r="BJ226" i="113" s="1"/>
  <c r="BI67" i="113"/>
  <c r="BJ67" i="113" s="1"/>
  <c r="BI198" i="113"/>
  <c r="BJ198" i="113" s="1"/>
  <c r="BI81" i="27"/>
  <c r="BJ81" i="27" s="1"/>
  <c r="BI133" i="27"/>
  <c r="BJ133" i="27" s="1"/>
  <c r="BI141" i="27"/>
  <c r="BJ141" i="27" s="1"/>
  <c r="BI134" i="27"/>
  <c r="BJ134" i="27" s="1"/>
  <c r="BI145" i="27"/>
  <c r="BJ145" i="27" s="1"/>
  <c r="BI119" i="27"/>
  <c r="BJ119" i="27" s="1"/>
  <c r="BI232" i="113"/>
  <c r="BJ232" i="113" s="1"/>
  <c r="BI80" i="113"/>
  <c r="BJ80" i="113" s="1"/>
  <c r="BI74" i="113"/>
  <c r="BJ74" i="113" s="1"/>
  <c r="BI97" i="113"/>
  <c r="BJ97" i="113" s="1"/>
  <c r="BI145" i="113"/>
  <c r="BJ145" i="113" s="1"/>
  <c r="BI65" i="27"/>
  <c r="BJ65" i="27" s="1"/>
  <c r="BI56" i="27"/>
  <c r="BJ56" i="27" s="1"/>
  <c r="BI82" i="27"/>
  <c r="BJ82" i="27" s="1"/>
  <c r="BI182" i="27"/>
  <c r="BJ182" i="27" s="1"/>
  <c r="BI181" i="27"/>
  <c r="BJ181" i="27" s="1"/>
  <c r="BI186" i="113"/>
  <c r="BJ186" i="113" s="1"/>
  <c r="BI68" i="113"/>
  <c r="BJ68" i="113" s="1"/>
  <c r="BI174" i="113"/>
  <c r="BJ174" i="113" s="1"/>
  <c r="BI234" i="113"/>
  <c r="BJ234" i="113" s="1"/>
  <c r="BI150" i="27"/>
  <c r="BJ150" i="27" s="1"/>
  <c r="BI42" i="27"/>
  <c r="BJ42" i="27" s="1"/>
  <c r="BI25" i="27"/>
  <c r="BJ25" i="27" s="1"/>
  <c r="BI105" i="27"/>
  <c r="BJ105" i="27" s="1"/>
  <c r="BI91" i="27"/>
  <c r="BJ91" i="27" s="1"/>
  <c r="BI131" i="27"/>
  <c r="BJ131" i="27" s="1"/>
  <c r="BI234" i="27"/>
  <c r="BJ234" i="27" s="1"/>
  <c r="BI153" i="113"/>
  <c r="BJ153" i="113" s="1"/>
  <c r="BI79" i="113"/>
  <c r="BJ79" i="113" s="1"/>
  <c r="BI231" i="113"/>
  <c r="BJ231" i="113" s="1"/>
  <c r="BI87" i="113"/>
  <c r="BJ87" i="113" s="1"/>
  <c r="BI15" i="113"/>
  <c r="BJ15" i="113" s="1"/>
  <c r="BI217" i="113"/>
  <c r="BJ217" i="113" s="1"/>
  <c r="BI115" i="113"/>
  <c r="BJ115" i="113" s="1"/>
  <c r="BI89" i="113"/>
  <c r="BJ89" i="113" s="1"/>
  <c r="BI69" i="27"/>
  <c r="BJ69" i="27" s="1"/>
  <c r="BI206" i="27"/>
  <c r="BJ206" i="27" s="1"/>
  <c r="BI36" i="27"/>
  <c r="BJ36" i="27" s="1"/>
  <c r="BI156" i="27"/>
  <c r="BJ156" i="27" s="1"/>
  <c r="BI48" i="113"/>
  <c r="BJ48" i="113" s="1"/>
  <c r="BI65" i="113"/>
  <c r="BJ65" i="113" s="1"/>
  <c r="BI235" i="113"/>
  <c r="BJ235" i="113" s="1"/>
  <c r="BI71" i="27"/>
  <c r="BJ71" i="27" s="1"/>
  <c r="BI8" i="113"/>
  <c r="BJ8" i="113" s="1"/>
  <c r="BI202" i="113"/>
  <c r="BJ202" i="113" s="1"/>
  <c r="BI111" i="27"/>
  <c r="BJ111" i="27" s="1"/>
  <c r="BI106" i="27"/>
  <c r="BJ106" i="27" s="1"/>
  <c r="BI194" i="27"/>
  <c r="BJ194" i="27" s="1"/>
  <c r="BI39" i="27"/>
  <c r="BJ39" i="27" s="1"/>
  <c r="BI107" i="27"/>
  <c r="BJ107" i="27" s="1"/>
  <c r="BI22" i="27"/>
  <c r="BJ22" i="27" s="1"/>
  <c r="BI161" i="27"/>
  <c r="BJ161" i="27" s="1"/>
  <c r="BI140" i="27"/>
  <c r="BJ140" i="27" s="1"/>
  <c r="BI189" i="27"/>
  <c r="BJ189" i="27" s="1"/>
  <c r="BI80" i="27"/>
  <c r="BJ80" i="27" s="1"/>
  <c r="BI138" i="27"/>
  <c r="BJ138" i="27" s="1"/>
  <c r="BI168" i="113"/>
  <c r="BJ168" i="113" s="1"/>
  <c r="BI147" i="113"/>
  <c r="BJ147" i="113" s="1"/>
  <c r="BI111" i="113"/>
  <c r="BJ111" i="113" s="1"/>
  <c r="BI120" i="113"/>
  <c r="BJ120" i="113" s="1"/>
  <c r="BI154" i="113"/>
  <c r="BJ154" i="113" s="1"/>
  <c r="BI75" i="113"/>
  <c r="BJ75" i="113" s="1"/>
  <c r="BI157" i="113"/>
  <c r="BJ157" i="113" s="1"/>
  <c r="BI83" i="27"/>
  <c r="BJ83" i="27" s="1"/>
  <c r="BI85" i="27"/>
  <c r="BJ85" i="27" s="1"/>
  <c r="BI162" i="27"/>
  <c r="BJ162" i="27" s="1"/>
  <c r="BI162" i="113"/>
  <c r="BJ162" i="113" s="1"/>
  <c r="BI163" i="27"/>
  <c r="BJ163" i="27" s="1"/>
  <c r="BI164" i="27"/>
  <c r="BJ164" i="27" s="1"/>
  <c r="BI85" i="113"/>
  <c r="BJ85" i="113" s="1"/>
  <c r="BI83" i="113"/>
  <c r="BJ83" i="113" s="1"/>
  <c r="BI86" i="27"/>
  <c r="BJ86" i="27" s="1"/>
  <c r="BI86" i="113"/>
  <c r="BJ86" i="113" s="1"/>
  <c r="BK1" i="113"/>
  <c r="BI165" i="27"/>
  <c r="BJ165" i="27" s="1"/>
  <c r="BI84" i="113"/>
  <c r="BJ84" i="113" s="1"/>
  <c r="BI164" i="113"/>
  <c r="BJ164" i="113" s="1"/>
  <c r="BI165" i="113"/>
  <c r="BJ165" i="113" s="1"/>
  <c r="BI7" i="113"/>
  <c r="BJ7" i="113" s="1"/>
  <c r="BI4" i="113"/>
  <c r="BJ4" i="113" s="1"/>
  <c r="BI5" i="113"/>
  <c r="BJ5" i="113" s="1"/>
  <c r="BI6" i="113"/>
  <c r="BJ6" i="113" s="1"/>
  <c r="BD1" i="113"/>
  <c r="BB1" i="113"/>
  <c r="AT5" i="93"/>
  <c r="BK1" i="27"/>
  <c r="B5" i="105"/>
  <c r="AT6" i="93"/>
  <c r="AT7" i="93"/>
  <c r="AT4" i="93"/>
  <c r="I25" i="100" a="1"/>
  <c r="I25" i="100" s="1"/>
  <c r="I26" i="100" a="1"/>
  <c r="I26" i="100" s="1"/>
  <c r="AY4" i="27"/>
  <c r="AZ4" i="27" s="1" a="1"/>
  <c r="AZ4" i="27" s="1"/>
  <c r="AY5" i="27"/>
  <c r="AZ5" i="27" s="1" a="1"/>
  <c r="AZ5" i="27" s="1"/>
  <c r="AY6" i="27"/>
  <c r="AZ6" i="27" s="1" a="1"/>
  <c r="AZ6" i="27" s="1"/>
  <c r="AY7" i="27"/>
  <c r="AZ7" i="27" s="1" a="1"/>
  <c r="AZ7" i="27" s="1"/>
  <c r="I24" i="100" a="1"/>
  <c r="I24" i="100" s="1"/>
  <c r="I23" i="100" a="1"/>
  <c r="I23" i="100" s="1"/>
  <c r="I22" i="100" a="1"/>
  <c r="I22" i="100" s="1"/>
  <c r="BD1" i="27"/>
  <c r="BB1" i="27"/>
  <c r="I21" i="100" a="1"/>
  <c r="I21" i="100" s="1"/>
  <c r="I17" i="100" a="1"/>
  <c r="I17" i="100" s="1"/>
  <c r="I20" i="100" a="1"/>
  <c r="I20" i="100" s="1"/>
  <c r="I16" i="100" a="1"/>
  <c r="I16" i="100" s="1"/>
  <c r="I15" i="100" a="1"/>
  <c r="I15" i="100" s="1"/>
  <c r="I19" i="100" a="1"/>
  <c r="I19" i="100" s="1"/>
  <c r="I18" i="100" a="1"/>
  <c r="I18" i="100" s="1"/>
  <c r="I13" i="100" a="1"/>
  <c r="I13" i="100" s="1"/>
  <c r="I14" i="100" a="1"/>
  <c r="I14" i="100" s="1"/>
  <c r="H6" i="100"/>
  <c r="I12" i="100" a="1"/>
  <c r="I12" i="100" s="1"/>
  <c r="I11" i="100" a="1"/>
  <c r="I11" i="100" s="1"/>
  <c r="I10" i="100" a="1"/>
  <c r="I10" i="100" s="1"/>
  <c r="I9" i="100" a="1"/>
  <c r="I9" i="100" s="1"/>
  <c r="I8" i="100" a="1"/>
  <c r="I8" i="100" s="1"/>
  <c r="I7" i="100" a="1"/>
  <c r="I7" i="100" s="1"/>
  <c r="BI1" i="124" l="1"/>
  <c r="BI1" i="113"/>
  <c r="AT2" i="93"/>
  <c r="AZ1" i="27"/>
  <c r="BI7" i="27"/>
  <c r="BJ7" i="27" s="1"/>
  <c r="BI5" i="27"/>
  <c r="BJ5" i="27" s="1"/>
  <c r="BI4" i="27"/>
  <c r="BJ4" i="27" s="1"/>
  <c r="BI6" i="27"/>
  <c r="BJ6" i="27" s="1"/>
  <c r="J6" i="100" a="1"/>
  <c r="J6" i="100" s="1"/>
  <c r="J7" i="100" s="1" a="1"/>
  <c r="J7" i="100" s="1"/>
  <c r="J8" i="100" s="1" a="1"/>
  <c r="J8" i="100" s="1"/>
  <c r="J9" i="100" s="1" a="1"/>
  <c r="J9" i="100" s="1"/>
  <c r="J10" i="100" s="1" a="1"/>
  <c r="J10" i="100" s="1"/>
  <c r="J11" i="100" s="1" a="1"/>
  <c r="J11" i="100" s="1"/>
  <c r="J12" i="100" s="1" a="1"/>
  <c r="J12" i="100" s="1"/>
  <c r="J13" i="100" s="1" a="1"/>
  <c r="J13" i="100" s="1"/>
  <c r="J14" i="100" s="1" a="1"/>
  <c r="J14" i="100" s="1"/>
  <c r="J15" i="100" s="1" a="1"/>
  <c r="J15" i="100" s="1"/>
  <c r="J16" i="100" s="1" a="1"/>
  <c r="J16" i="100" s="1"/>
  <c r="J17" i="100" s="1" a="1"/>
  <c r="J17" i="100" s="1"/>
  <c r="J18" i="100" s="1" a="1"/>
  <c r="J18" i="100" s="1"/>
  <c r="J19" i="100" s="1" a="1"/>
  <c r="J19" i="100" s="1"/>
  <c r="J20" i="100" s="1" a="1"/>
  <c r="J20" i="100" s="1"/>
  <c r="J21" i="100" s="1" a="1"/>
  <c r="J21" i="100" s="1"/>
  <c r="J22" i="100" s="1" a="1"/>
  <c r="J22" i="100" s="1"/>
  <c r="J23" i="100" s="1" a="1"/>
  <c r="J23" i="100" s="1"/>
  <c r="J24" i="100" s="1" a="1"/>
  <c r="J24" i="100" s="1"/>
  <c r="J25" i="100" s="1" a="1"/>
  <c r="J25" i="100" s="1"/>
  <c r="J26" i="100" s="1" a="1"/>
  <c r="J26" i="100" s="1"/>
  <c r="J27" i="100" s="1" a="1"/>
  <c r="J27" i="100" s="1"/>
  <c r="J28" i="100" s="1" a="1"/>
  <c r="J28" i="100" s="1"/>
  <c r="J29" i="100" s="1" a="1"/>
  <c r="J29" i="100" s="1"/>
  <c r="J30" i="100" s="1" a="1"/>
  <c r="J30" i="100" s="1"/>
  <c r="J31" i="100" s="1" a="1"/>
  <c r="J31" i="100" s="1"/>
  <c r="J32" i="100" s="1" a="1"/>
  <c r="J32" i="100" s="1"/>
  <c r="J33" i="100" s="1" a="1"/>
  <c r="J33" i="100" s="1"/>
  <c r="J34" i="100" s="1" a="1"/>
  <c r="J34" i="100" s="1"/>
  <c r="J35" i="100" s="1" a="1"/>
  <c r="J35" i="100" s="1"/>
  <c r="J36" i="100" s="1" a="1"/>
  <c r="J36" i="100" s="1"/>
  <c r="J37" i="100" s="1" a="1"/>
  <c r="J37" i="100" s="1"/>
  <c r="J38" i="100" s="1" a="1"/>
  <c r="J38" i="100" s="1"/>
  <c r="J39" i="100" s="1" a="1"/>
  <c r="J39" i="100" s="1"/>
  <c r="J40" i="100" s="1" a="1"/>
  <c r="J40" i="100" s="1"/>
  <c r="J41" i="100" s="1" a="1"/>
  <c r="J41" i="100" s="1"/>
  <c r="J42" i="100" s="1" a="1"/>
  <c r="J42" i="100" s="1"/>
  <c r="J43" i="100" s="1" a="1"/>
  <c r="J43" i="100" s="1"/>
  <c r="J44" i="100" s="1" a="1"/>
  <c r="J44" i="100" s="1"/>
  <c r="J45" i="100" s="1" a="1"/>
  <c r="J45" i="100" s="1"/>
  <c r="J46" i="100" s="1" a="1"/>
  <c r="J46" i="100" s="1"/>
  <c r="J47" i="100" s="1" a="1"/>
  <c r="J47" i="100" s="1"/>
  <c r="J48" i="100" s="1" a="1"/>
  <c r="J48" i="100" s="1"/>
  <c r="J49" i="100" s="1" a="1"/>
  <c r="J49" i="100" s="1"/>
  <c r="J50" i="100" s="1" a="1"/>
  <c r="J50" i="100" s="1"/>
  <c r="J51" i="100" s="1" a="1"/>
  <c r="J51" i="100" s="1"/>
  <c r="J52" i="100" s="1" a="1"/>
  <c r="J52" i="100" s="1"/>
  <c r="J53" i="100" s="1" a="1"/>
  <c r="J53" i="100" s="1"/>
  <c r="J54" i="100" s="1" a="1"/>
  <c r="J54" i="100" s="1"/>
  <c r="J55" i="100" s="1" a="1"/>
  <c r="J55" i="100" s="1"/>
  <c r="J56" i="100" s="1" a="1"/>
  <c r="J56" i="100" s="1"/>
  <c r="J57" i="100" s="1" a="1"/>
  <c r="J57" i="100" s="1"/>
  <c r="J58" i="100" s="1" a="1"/>
  <c r="J58" i="100" s="1"/>
  <c r="J59" i="100" s="1" a="1"/>
  <c r="J59" i="100" s="1"/>
  <c r="J60" i="100" s="1" a="1"/>
  <c r="J60" i="100" s="1"/>
  <c r="J61" i="100" s="1" a="1"/>
  <c r="J61" i="100" s="1"/>
  <c r="J62" i="100" s="1" a="1"/>
  <c r="J62" i="100" s="1"/>
  <c r="J63" i="100" s="1" a="1"/>
  <c r="J63" i="100" s="1"/>
  <c r="J64" i="100" s="1" a="1"/>
  <c r="J64" i="100" s="1"/>
  <c r="J65" i="100" s="1" a="1"/>
  <c r="J65" i="100" s="1"/>
  <c r="J66" i="100" s="1" a="1"/>
  <c r="J66" i="100" s="1"/>
  <c r="J67" i="100" s="1" a="1"/>
  <c r="J67" i="100" s="1"/>
  <c r="J68" i="100" s="1" a="1"/>
  <c r="J68" i="100" s="1"/>
  <c r="J69" i="100" s="1" a="1"/>
  <c r="J69" i="100" s="1"/>
  <c r="J70" i="100" s="1" a="1"/>
  <c r="J70" i="100" s="1"/>
  <c r="J71" i="100" s="1" a="1"/>
  <c r="J71" i="100" s="1"/>
  <c r="J72" i="100" s="1" a="1"/>
  <c r="J72" i="100" s="1"/>
  <c r="J73" i="100" s="1" a="1"/>
  <c r="J73" i="100" s="1"/>
  <c r="J74" i="100" s="1" a="1"/>
  <c r="J74" i="100" s="1"/>
  <c r="J75" i="100" s="1" a="1"/>
  <c r="J75" i="100" s="1"/>
  <c r="J76" i="100" s="1" a="1"/>
  <c r="J76" i="100" s="1"/>
  <c r="J77" i="100" s="1" a="1"/>
  <c r="J77" i="100" s="1"/>
  <c r="I6" i="100" a="1"/>
  <c r="I6" i="100" s="1"/>
  <c r="AB30" i="100" s="1" a="1"/>
  <c r="AB30" i="100" s="1"/>
  <c r="M6" i="100" a="1"/>
  <c r="M6" i="100" s="1"/>
  <c r="M7" i="100" s="1" a="1"/>
  <c r="M7" i="100" s="1"/>
  <c r="M8" i="100" s="1" a="1"/>
  <c r="M8" i="100" s="1"/>
  <c r="M9" i="100" s="1" a="1"/>
  <c r="M9" i="100" s="1"/>
  <c r="M10" i="100" s="1" a="1"/>
  <c r="M10" i="100" s="1"/>
  <c r="M11" i="100" s="1" a="1"/>
  <c r="M11" i="100" s="1"/>
  <c r="M12" i="100" s="1" a="1"/>
  <c r="M12" i="100" s="1"/>
  <c r="M13" i="100" s="1" a="1"/>
  <c r="M13" i="100" s="1"/>
  <c r="M14" i="100" s="1" a="1"/>
  <c r="M14" i="100" s="1"/>
  <c r="M15" i="100" s="1" a="1"/>
  <c r="M15" i="100" s="1"/>
  <c r="M16" i="100" s="1" a="1"/>
  <c r="M16" i="100" s="1"/>
  <c r="M17" i="100" s="1" a="1"/>
  <c r="M17" i="100" s="1"/>
  <c r="M18" i="100" s="1" a="1"/>
  <c r="M18" i="100" s="1"/>
  <c r="M19" i="100" s="1" a="1"/>
  <c r="M19" i="100" s="1"/>
  <c r="M20" i="100" s="1" a="1"/>
  <c r="M20" i="100" s="1"/>
  <c r="M21" i="100" s="1" a="1"/>
  <c r="M21" i="100" s="1"/>
  <c r="M22" i="100" s="1" a="1"/>
  <c r="M22" i="100" s="1"/>
  <c r="M23" i="100" s="1" a="1"/>
  <c r="M23" i="100" s="1"/>
  <c r="M24" i="100" s="1" a="1"/>
  <c r="M24" i="100" s="1"/>
  <c r="M25" i="100" s="1" a="1"/>
  <c r="M25" i="100" s="1"/>
  <c r="M26" i="100" s="1" a="1"/>
  <c r="M26" i="100" s="1"/>
  <c r="M27" i="100" s="1" a="1"/>
  <c r="M27" i="100" s="1"/>
  <c r="M28" i="100" s="1" a="1"/>
  <c r="M28" i="100" s="1"/>
  <c r="M29" i="100" s="1" a="1"/>
  <c r="M29" i="100" s="1"/>
  <c r="M30" i="100" s="1" a="1"/>
  <c r="M30" i="100" s="1"/>
  <c r="M31" i="100" s="1" a="1"/>
  <c r="M31" i="100" s="1"/>
  <c r="M32" i="100" s="1" a="1"/>
  <c r="M32" i="100" s="1"/>
  <c r="M33" i="100" s="1" a="1"/>
  <c r="M33" i="100" s="1"/>
  <c r="M34" i="100" s="1" a="1"/>
  <c r="M34" i="100" s="1"/>
  <c r="M35" i="100" s="1" a="1"/>
  <c r="M35" i="100" s="1"/>
  <c r="M36" i="100" s="1" a="1"/>
  <c r="M36" i="100" s="1"/>
  <c r="M37" i="100" s="1" a="1"/>
  <c r="M37" i="100" s="1"/>
  <c r="M38" i="100" s="1" a="1"/>
  <c r="M38" i="100" s="1"/>
  <c r="M39" i="100" s="1" a="1"/>
  <c r="M39" i="100" s="1"/>
  <c r="M40" i="100" s="1" a="1"/>
  <c r="M40" i="100" s="1"/>
  <c r="M41" i="100" s="1" a="1"/>
  <c r="M41" i="100" s="1"/>
  <c r="M42" i="100" s="1" a="1"/>
  <c r="M42" i="100" s="1"/>
  <c r="M43" i="100" s="1" a="1"/>
  <c r="M43" i="100" s="1"/>
  <c r="M44" i="100" s="1" a="1"/>
  <c r="M44" i="100" s="1"/>
  <c r="M45" i="100" s="1" a="1"/>
  <c r="M45" i="100" s="1"/>
  <c r="M46" i="100" s="1" a="1"/>
  <c r="M46" i="100" s="1"/>
  <c r="M47" i="100" s="1" a="1"/>
  <c r="M47" i="100" s="1"/>
  <c r="M48" i="100" s="1" a="1"/>
  <c r="M48" i="100" s="1"/>
  <c r="M49" i="100" s="1" a="1"/>
  <c r="M49" i="100" s="1"/>
  <c r="M50" i="100" s="1" a="1"/>
  <c r="M50" i="100" s="1"/>
  <c r="M51" i="100" s="1" a="1"/>
  <c r="M51" i="100" s="1"/>
  <c r="M52" i="100" s="1" a="1"/>
  <c r="M52" i="100" s="1"/>
  <c r="M53" i="100" s="1" a="1"/>
  <c r="M53" i="100" s="1"/>
  <c r="M54" i="100" s="1" a="1"/>
  <c r="M54" i="100" s="1"/>
  <c r="M55" i="100" s="1" a="1"/>
  <c r="M55" i="100" s="1"/>
  <c r="M56" i="100" s="1" a="1"/>
  <c r="M56" i="100" s="1"/>
  <c r="M57" i="100" s="1" a="1"/>
  <c r="M57" i="100" s="1"/>
  <c r="M58" i="100" s="1" a="1"/>
  <c r="M58" i="100" s="1"/>
  <c r="M59" i="100" s="1" a="1"/>
  <c r="M59" i="100" s="1"/>
  <c r="M60" i="100" s="1" a="1"/>
  <c r="M60" i="100" s="1"/>
  <c r="M61" i="100" s="1" a="1"/>
  <c r="M61" i="100" s="1"/>
  <c r="M62" i="100" s="1" a="1"/>
  <c r="M62" i="100" s="1"/>
  <c r="M63" i="100" s="1" a="1"/>
  <c r="M63" i="100" s="1"/>
  <c r="M64" i="100" s="1" a="1"/>
  <c r="M64" i="100" s="1"/>
  <c r="M65" i="100" s="1" a="1"/>
  <c r="M65" i="100" s="1"/>
  <c r="M66" i="100" s="1" a="1"/>
  <c r="M66" i="100" s="1"/>
  <c r="M67" i="100" s="1" a="1"/>
  <c r="M67" i="100" s="1"/>
  <c r="M68" i="100" s="1" a="1"/>
  <c r="M68" i="100" s="1"/>
  <c r="M69" i="100" s="1" a="1"/>
  <c r="M69" i="100" s="1"/>
  <c r="M70" i="100" s="1" a="1"/>
  <c r="M70" i="100" s="1"/>
  <c r="M71" i="100" s="1" a="1"/>
  <c r="M71" i="100" s="1"/>
  <c r="M72" i="100" s="1" a="1"/>
  <c r="M72" i="100" s="1"/>
  <c r="M73" i="100" s="1" a="1"/>
  <c r="M73" i="100" s="1"/>
  <c r="M74" i="100" s="1" a="1"/>
  <c r="M74" i="100" s="1"/>
  <c r="M75" i="100" s="1" a="1"/>
  <c r="M75" i="100" s="1"/>
  <c r="M76" i="100" s="1" a="1"/>
  <c r="M76" i="100" s="1"/>
  <c r="M77" i="100" s="1" a="1"/>
  <c r="M77" i="100" s="1"/>
  <c r="L6" i="100" a="1"/>
  <c r="L6" i="100" s="1"/>
  <c r="L7" i="100" s="1" a="1"/>
  <c r="L7" i="100" s="1"/>
  <c r="L8" i="100" s="1" a="1"/>
  <c r="L8" i="100" s="1"/>
  <c r="L9" i="100" s="1" a="1"/>
  <c r="L9" i="100" s="1"/>
  <c r="L10" i="100" s="1" a="1"/>
  <c r="L10" i="100" s="1"/>
  <c r="L11" i="100" s="1" a="1"/>
  <c r="L11" i="100" s="1"/>
  <c r="L12" i="100" s="1" a="1"/>
  <c r="L12" i="100" s="1"/>
  <c r="L13" i="100" s="1" a="1"/>
  <c r="L13" i="100" s="1"/>
  <c r="L14" i="100" s="1" a="1"/>
  <c r="L14" i="100" s="1"/>
  <c r="L15" i="100" s="1" a="1"/>
  <c r="L15" i="100" s="1"/>
  <c r="L16" i="100" s="1" a="1"/>
  <c r="L16" i="100" s="1"/>
  <c r="L17" i="100" s="1" a="1"/>
  <c r="L17" i="100" s="1"/>
  <c r="L18" i="100" s="1" a="1"/>
  <c r="L18" i="100" s="1"/>
  <c r="L19" i="100" s="1" a="1"/>
  <c r="L19" i="100" s="1"/>
  <c r="L20" i="100" s="1" a="1"/>
  <c r="L20" i="100" s="1"/>
  <c r="L21" i="100" s="1" a="1"/>
  <c r="L21" i="100" s="1"/>
  <c r="L22" i="100" s="1" a="1"/>
  <c r="L22" i="100" s="1"/>
  <c r="L23" i="100" s="1" a="1"/>
  <c r="L23" i="100" s="1"/>
  <c r="L24" i="100" s="1" a="1"/>
  <c r="L24" i="100" s="1"/>
  <c r="L25" i="100" s="1" a="1"/>
  <c r="L25" i="100" s="1"/>
  <c r="L26" i="100" s="1" a="1"/>
  <c r="L26" i="100" s="1"/>
  <c r="L27" i="100" s="1" a="1"/>
  <c r="L27" i="100" s="1"/>
  <c r="L28" i="100" s="1" a="1"/>
  <c r="L28" i="100" s="1"/>
  <c r="L29" i="100" s="1" a="1"/>
  <c r="L29" i="100" s="1"/>
  <c r="L30" i="100" s="1" a="1"/>
  <c r="L30" i="100" s="1"/>
  <c r="L31" i="100" s="1" a="1"/>
  <c r="L31" i="100" s="1"/>
  <c r="L32" i="100" s="1" a="1"/>
  <c r="L32" i="100" s="1"/>
  <c r="L33" i="100" s="1" a="1"/>
  <c r="L33" i="100" s="1"/>
  <c r="L34" i="100" s="1" a="1"/>
  <c r="L34" i="100" s="1"/>
  <c r="L35" i="100" s="1" a="1"/>
  <c r="L35" i="100" s="1"/>
  <c r="L36" i="100" s="1" a="1"/>
  <c r="L36" i="100" s="1"/>
  <c r="L37" i="100" s="1" a="1"/>
  <c r="L37" i="100" s="1"/>
  <c r="L38" i="100" s="1" a="1"/>
  <c r="L38" i="100" s="1"/>
  <c r="L39" i="100" s="1" a="1"/>
  <c r="L39" i="100" s="1"/>
  <c r="L40" i="100" s="1" a="1"/>
  <c r="L40" i="100" s="1"/>
  <c r="L41" i="100" s="1" a="1"/>
  <c r="L41" i="100" s="1"/>
  <c r="L42" i="100" s="1" a="1"/>
  <c r="L42" i="100" s="1"/>
  <c r="L43" i="100" s="1" a="1"/>
  <c r="L43" i="100" s="1"/>
  <c r="L44" i="100" s="1" a="1"/>
  <c r="L44" i="100" s="1"/>
  <c r="L45" i="100" s="1" a="1"/>
  <c r="L45" i="100" s="1"/>
  <c r="L46" i="100" s="1" a="1"/>
  <c r="L46" i="100" s="1"/>
  <c r="L47" i="100" s="1" a="1"/>
  <c r="L47" i="100" s="1"/>
  <c r="L48" i="100" s="1" a="1"/>
  <c r="L48" i="100" s="1"/>
  <c r="L49" i="100" s="1" a="1"/>
  <c r="L49" i="100" s="1"/>
  <c r="L50" i="100" s="1" a="1"/>
  <c r="L50" i="100" s="1"/>
  <c r="L51" i="100" s="1" a="1"/>
  <c r="L51" i="100" s="1"/>
  <c r="L52" i="100" s="1" a="1"/>
  <c r="L52" i="100" s="1"/>
  <c r="L53" i="100" s="1" a="1"/>
  <c r="L53" i="100" s="1"/>
  <c r="L54" i="100" s="1" a="1"/>
  <c r="L54" i="100" s="1"/>
  <c r="L55" i="100" s="1" a="1"/>
  <c r="L55" i="100" s="1"/>
  <c r="L56" i="100" s="1" a="1"/>
  <c r="L56" i="100" s="1"/>
  <c r="L57" i="100" s="1" a="1"/>
  <c r="L57" i="100" s="1"/>
  <c r="L58" i="100" s="1" a="1"/>
  <c r="L58" i="100" s="1"/>
  <c r="L59" i="100" s="1" a="1"/>
  <c r="L59" i="100" s="1"/>
  <c r="L60" i="100" s="1" a="1"/>
  <c r="L60" i="100" s="1"/>
  <c r="L61" i="100" s="1" a="1"/>
  <c r="L61" i="100" s="1"/>
  <c r="L62" i="100" s="1" a="1"/>
  <c r="L62" i="100" s="1"/>
  <c r="L63" i="100" s="1" a="1"/>
  <c r="L63" i="100" s="1"/>
  <c r="L64" i="100" s="1" a="1"/>
  <c r="L64" i="100" s="1"/>
  <c r="L65" i="100" s="1" a="1"/>
  <c r="L65" i="100" s="1"/>
  <c r="L66" i="100" s="1" a="1"/>
  <c r="L66" i="100" s="1"/>
  <c r="L67" i="100" s="1" a="1"/>
  <c r="L67" i="100" s="1"/>
  <c r="L68" i="100" s="1" a="1"/>
  <c r="L68" i="100" s="1"/>
  <c r="L69" i="100" s="1" a="1"/>
  <c r="L69" i="100" s="1"/>
  <c r="L70" i="100" s="1" a="1"/>
  <c r="L70" i="100" s="1"/>
  <c r="L71" i="100" s="1" a="1"/>
  <c r="L71" i="100" s="1"/>
  <c r="L72" i="100" s="1" a="1"/>
  <c r="L72" i="100" s="1"/>
  <c r="L73" i="100" s="1" a="1"/>
  <c r="L73" i="100" s="1"/>
  <c r="L74" i="100" s="1" a="1"/>
  <c r="L74" i="100" s="1"/>
  <c r="L75" i="100" s="1" a="1"/>
  <c r="L75" i="100" s="1"/>
  <c r="L76" i="100" s="1" a="1"/>
  <c r="L76" i="100" s="1"/>
  <c r="L77" i="100" s="1" a="1"/>
  <c r="L77" i="100" s="1"/>
  <c r="K6" i="100" a="1"/>
  <c r="K6" i="100" s="1"/>
  <c r="K7" i="100" s="1" a="1"/>
  <c r="K7" i="100" s="1"/>
  <c r="K8" i="100" s="1" a="1"/>
  <c r="K8" i="100" s="1"/>
  <c r="K9" i="100" s="1" a="1"/>
  <c r="K9" i="100" s="1"/>
  <c r="K10" i="100" s="1" a="1"/>
  <c r="K10" i="100" s="1"/>
  <c r="K11" i="100" s="1" a="1"/>
  <c r="K11" i="100" s="1"/>
  <c r="K12" i="100" s="1" a="1"/>
  <c r="K12" i="100" s="1"/>
  <c r="K13" i="100" s="1" a="1"/>
  <c r="K13" i="100" s="1"/>
  <c r="K14" i="100" s="1" a="1"/>
  <c r="K14" i="100" s="1"/>
  <c r="K15" i="100" s="1" a="1"/>
  <c r="K15" i="100" s="1"/>
  <c r="K16" i="100" s="1" a="1"/>
  <c r="K16" i="100" s="1"/>
  <c r="K17" i="100" s="1" a="1"/>
  <c r="K17" i="100" s="1"/>
  <c r="K18" i="100" s="1" a="1"/>
  <c r="K18" i="100" s="1"/>
  <c r="K19" i="100" s="1" a="1"/>
  <c r="K19" i="100" s="1"/>
  <c r="K20" i="100" s="1" a="1"/>
  <c r="K20" i="100" s="1"/>
  <c r="K21" i="100" s="1" a="1"/>
  <c r="K21" i="100" s="1"/>
  <c r="K22" i="100" s="1" a="1"/>
  <c r="K22" i="100" s="1"/>
  <c r="K23" i="100" s="1" a="1"/>
  <c r="K23" i="100" s="1"/>
  <c r="K24" i="100" s="1" a="1"/>
  <c r="K24" i="100" s="1"/>
  <c r="K25" i="100" s="1" a="1"/>
  <c r="K25" i="100" s="1"/>
  <c r="K26" i="100" s="1" a="1"/>
  <c r="K26" i="100" s="1"/>
  <c r="K27" i="100" s="1" a="1"/>
  <c r="K27" i="100" s="1"/>
  <c r="K28" i="100" s="1" a="1"/>
  <c r="K28" i="100" s="1"/>
  <c r="K29" i="100" s="1" a="1"/>
  <c r="K29" i="100" s="1"/>
  <c r="K30" i="100" s="1" a="1"/>
  <c r="K30" i="100" s="1"/>
  <c r="K31" i="100" s="1" a="1"/>
  <c r="K31" i="100" s="1"/>
  <c r="K32" i="100" s="1" a="1"/>
  <c r="K32" i="100" s="1"/>
  <c r="K33" i="100" s="1" a="1"/>
  <c r="K33" i="100" s="1"/>
  <c r="K34" i="100" s="1" a="1"/>
  <c r="K34" i="100" s="1"/>
  <c r="K35" i="100" s="1" a="1"/>
  <c r="K35" i="100" s="1"/>
  <c r="K36" i="100" s="1" a="1"/>
  <c r="K36" i="100" s="1"/>
  <c r="K37" i="100" s="1" a="1"/>
  <c r="K37" i="100" s="1"/>
  <c r="K38" i="100" s="1" a="1"/>
  <c r="K38" i="100" s="1"/>
  <c r="K39" i="100" s="1" a="1"/>
  <c r="K39" i="100" s="1"/>
  <c r="K40" i="100" s="1" a="1"/>
  <c r="K40" i="100" s="1"/>
  <c r="K41" i="100" s="1" a="1"/>
  <c r="K41" i="100" s="1"/>
  <c r="K42" i="100" s="1" a="1"/>
  <c r="K42" i="100" s="1"/>
  <c r="K43" i="100" s="1" a="1"/>
  <c r="K43" i="100" s="1"/>
  <c r="K44" i="100" s="1" a="1"/>
  <c r="K44" i="100" s="1"/>
  <c r="K45" i="100" s="1" a="1"/>
  <c r="K45" i="100" s="1"/>
  <c r="K46" i="100" s="1" a="1"/>
  <c r="K46" i="100" s="1"/>
  <c r="K47" i="100" s="1" a="1"/>
  <c r="K47" i="100" s="1"/>
  <c r="K48" i="100" s="1" a="1"/>
  <c r="K48" i="100" s="1"/>
  <c r="K49" i="100" s="1" a="1"/>
  <c r="K49" i="100" s="1"/>
  <c r="K50" i="100" s="1" a="1"/>
  <c r="K50" i="100" s="1"/>
  <c r="K51" i="100" s="1" a="1"/>
  <c r="K51" i="100" s="1"/>
  <c r="K52" i="100" s="1" a="1"/>
  <c r="K52" i="100" s="1"/>
  <c r="K53" i="100" s="1" a="1"/>
  <c r="K53" i="100" s="1"/>
  <c r="K54" i="100" s="1" a="1"/>
  <c r="K54" i="100" s="1"/>
  <c r="K55" i="100" s="1" a="1"/>
  <c r="K55" i="100" s="1"/>
  <c r="K56" i="100" s="1" a="1"/>
  <c r="K56" i="100" s="1"/>
  <c r="K57" i="100" s="1" a="1"/>
  <c r="K57" i="100" s="1"/>
  <c r="K58" i="100" s="1" a="1"/>
  <c r="K58" i="100" s="1"/>
  <c r="K59" i="100" s="1" a="1"/>
  <c r="K59" i="100" s="1"/>
  <c r="K60" i="100" s="1" a="1"/>
  <c r="K60" i="100" s="1"/>
  <c r="K61" i="100" s="1" a="1"/>
  <c r="K61" i="100" s="1"/>
  <c r="K62" i="100" s="1" a="1"/>
  <c r="K62" i="100" s="1"/>
  <c r="K63" i="100" s="1" a="1"/>
  <c r="K63" i="100" s="1"/>
  <c r="K64" i="100" s="1" a="1"/>
  <c r="K64" i="100" s="1"/>
  <c r="K65" i="100" s="1" a="1"/>
  <c r="K65" i="100" s="1"/>
  <c r="K66" i="100" s="1" a="1"/>
  <c r="K66" i="100" s="1"/>
  <c r="K67" i="100" s="1" a="1"/>
  <c r="K67" i="100" s="1"/>
  <c r="K68" i="100" s="1" a="1"/>
  <c r="K68" i="100" s="1"/>
  <c r="K69" i="100" s="1" a="1"/>
  <c r="K69" i="100" s="1"/>
  <c r="K70" i="100" s="1" a="1"/>
  <c r="K70" i="100" s="1"/>
  <c r="K71" i="100" s="1" a="1"/>
  <c r="K71" i="100" s="1"/>
  <c r="K72" i="100" s="1" a="1"/>
  <c r="K72" i="100" s="1"/>
  <c r="K73" i="100" s="1" a="1"/>
  <c r="K73" i="100" s="1"/>
  <c r="K74" i="100" s="1" a="1"/>
  <c r="K74" i="100" s="1"/>
  <c r="K75" i="100" s="1" a="1"/>
  <c r="K75" i="100" s="1"/>
  <c r="K76" i="100" s="1" a="1"/>
  <c r="K76" i="100" s="1"/>
  <c r="K77" i="100" s="1" a="1"/>
  <c r="K77" i="100" s="1"/>
  <c r="BI1" i="27" l="1"/>
  <c r="AB31" i="100" a="1"/>
  <c r="AB31" i="100" s="1"/>
  <c r="AB32" i="100" a="1"/>
  <c r="AB32" i="100" s="1"/>
  <c r="Q1" i="115" l="1"/>
  <c r="L14" i="1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W2" authorId="0" shapeId="0" xr:uid="{09265785-C7EA-46BF-AB28-3BBEE8009B08}">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W2" authorId="0" shapeId="0" xr:uid="{69F84E04-2530-42DF-9AD0-CB671EF57703}">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W2" authorId="0" shapeId="0" xr:uid="{4FBCB0E3-144E-4BB8-9627-4384D716A007}">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<sst xmlns="http://schemas.openxmlformats.org/spreadsheetml/2006/main" count="13289" uniqueCount="540">
  <si>
    <t>JIAF 2 Tool 3: PiN &amp; Severity estimation template</t>
  </si>
  <si>
    <t>Warnings for all sheets!</t>
  </si>
  <si>
    <r>
      <t xml:space="preserve">Pre-set data checks have been coded into the template and they will be implemented as soon as sector data is inserted into the template. OCHA analysis teams are free to modify the template, including additional checks or removing any checks that are deemed not useful by the analysis team. 
At a minimum, the following columns will need to be updated by the teams:
</t>
    </r>
    <r>
      <rPr>
        <b/>
        <sz val="11"/>
        <color theme="1"/>
        <rFont val="Calibri"/>
        <family val="2"/>
        <scheme val="minor"/>
      </rPr>
      <t>ID</t>
    </r>
    <r>
      <rPr>
        <sz val="11"/>
        <color theme="1"/>
        <rFont val="Calibri"/>
        <family val="2"/>
        <scheme val="minor"/>
      </rPr>
      <t xml:space="preserve">: A unique identifier, automatically generated and required to link certain formulas. </t>
    </r>
    <r>
      <rPr>
        <sz val="11"/>
        <color rgb="FFFF0000"/>
        <rFont val="Calibri"/>
        <family val="2"/>
        <scheme val="minor"/>
      </rPr>
      <t>Do not change or delete.</t>
    </r>
    <r>
      <rPr>
        <sz val="11"/>
        <color theme="1"/>
        <rFont val="Calibri"/>
        <family val="2"/>
        <scheme val="minor"/>
      </rPr>
      <t xml:space="preserve">
</t>
    </r>
    <r>
      <rPr>
        <b/>
        <sz val="11"/>
        <color theme="1"/>
        <rFont val="Calibri"/>
        <family val="2"/>
        <scheme val="minor"/>
      </rPr>
      <t>Geographic and Population related columns</t>
    </r>
    <r>
      <rPr>
        <sz val="11"/>
        <color theme="1"/>
        <rFont val="Calibri"/>
        <family val="2"/>
        <scheme val="minor"/>
      </rPr>
      <t xml:space="preserve">: Do not delete columns for admin units and population group; please just hide any column if not needed.
</t>
    </r>
    <r>
      <rPr>
        <b/>
        <sz val="11"/>
        <color theme="1"/>
        <rFont val="Calibri"/>
        <family val="2"/>
        <scheme val="minor"/>
      </rPr>
      <t>Sectoral Data</t>
    </r>
    <r>
      <rPr>
        <sz val="11"/>
        <color theme="1"/>
        <rFont val="Calibri"/>
        <family val="2"/>
        <scheme val="minor"/>
      </rPr>
      <t xml:space="preserve">: sectoral header names can be changed; sector columns can be removed or added in between the first and last collumn (but do not remove the first and the last sector columns); make sure the order of the sector names match the order of their percentage column and if new sector columns are added make sure to write the formula for the percentage calculation. More importantly, </t>
    </r>
    <r>
      <rPr>
        <b/>
        <sz val="11"/>
        <color theme="1"/>
        <rFont val="Calibri"/>
        <family val="2"/>
        <scheme val="minor"/>
      </rPr>
      <t>Do not delete the first and last column of the sectoral data sectio</t>
    </r>
    <r>
      <rPr>
        <sz val="11"/>
        <color theme="1"/>
        <rFont val="Calibri"/>
        <family val="2"/>
        <scheme val="minor"/>
      </rPr>
      <t>n.</t>
    </r>
  </si>
  <si>
    <t>Sheet</t>
  </si>
  <si>
    <t>Description</t>
  </si>
  <si>
    <t>Thresholds</t>
  </si>
  <si>
    <t>Thresholds
- Flagging criteria &amp; thresholds: OCHA analysis team to adjust if necessary the thresholds for pre-set data checks as per agreements with partners.
- Sub-population group sectors: OCHA analysis team to list all sectors targeting sub-population groups (e.g. kids, women, IDPs) in their context.</t>
  </si>
  <si>
    <t>Overall PiN</t>
  </si>
  <si>
    <t>Preliminary PiN: Highest PiN among the Sector PINs is automatically taken as the preliminary PiN.</t>
  </si>
  <si>
    <r>
      <rPr>
        <b/>
        <sz val="11"/>
        <color rgb="FF000000"/>
        <rFont val="Arial"/>
        <family val="2"/>
      </rPr>
      <t>Flags and Outlier Checks:</t>
    </r>
    <r>
      <rPr>
        <sz val="10"/>
        <color rgb="FF000000"/>
        <rFont val="Arial"/>
        <family val="2"/>
      </rPr>
      <t xml:space="preserve">
Please note that the analysis team could decide to adjust the thresholds of these indicators, in the Threshold spreadshee or eliminate  flags that they consider not relevant to their contexts</t>
    </r>
  </si>
  <si>
    <r>
      <rPr>
        <b/>
        <u/>
        <sz val="11"/>
        <color theme="10"/>
        <rFont val="Calibri"/>
        <family val="2"/>
        <scheme val="minor"/>
      </rPr>
      <t xml:space="preserve">Number of missing or zero PiN: </t>
    </r>
    <r>
      <rPr>
        <u/>
        <sz val="11"/>
        <color theme="10"/>
        <rFont val="Calibri"/>
        <family val="2"/>
        <scheme val="minor"/>
      </rPr>
      <t>OCHA analysis team to decide the threshold for accepted number of sectors at unit level not to provide a PiN value or have zero PiN.</t>
    </r>
  </si>
  <si>
    <r>
      <rPr>
        <b/>
        <u/>
        <sz val="11"/>
        <color theme="10"/>
        <rFont val="Calibri"/>
        <family val="2"/>
        <scheme val="minor"/>
      </rPr>
      <t xml:space="preserve">Highest PiN close to the total affected population: </t>
    </r>
    <r>
      <rPr>
        <u/>
        <sz val="11"/>
        <color theme="10"/>
        <rFont val="Calibri"/>
        <family val="2"/>
        <scheme val="minor"/>
      </rPr>
      <t>OCHA analysis team to decide the threshold of acceptable proportion of people in need to the affected population at unit level.</t>
    </r>
  </si>
  <si>
    <r>
      <rPr>
        <b/>
        <u/>
        <sz val="11"/>
        <color theme="10"/>
        <rFont val="Calibri"/>
        <family val="2"/>
        <scheme val="minor"/>
      </rPr>
      <t xml:space="preserve">Highest Sector targets only a subset of the affected population: </t>
    </r>
    <r>
      <rPr>
        <u/>
        <sz val="11"/>
        <color theme="10"/>
        <rFont val="Calibri"/>
        <family val="2"/>
        <scheme val="minor"/>
      </rPr>
      <t>OCHA analysis team to decide the sectors that target only a subset of the affected population.</t>
    </r>
  </si>
  <si>
    <r>
      <rPr>
        <b/>
        <u/>
        <sz val="11"/>
        <color theme="10"/>
        <rFont val="Calibri"/>
        <family val="2"/>
        <scheme val="minor"/>
      </rPr>
      <t xml:space="preserve">Difference b/w highest and 2nd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</si>
  <si>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xml:space="preserve">Difference b/w highest and 3rd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</si>
  <si>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Difference between this HNO's highest or 2nd highest sector PiN to same sector in the last HNO:</t>
    </r>
    <r>
      <rPr>
        <u/>
        <sz val="11"/>
        <color theme="10"/>
        <rFont val="Calibri"/>
        <family val="2"/>
        <scheme val="minor"/>
      </rPr>
      <t xml:space="preserve"> OCHA analysis team to decide the threshold of change for this HNO's highest or 2nd higehst sector PiN and last HNO's PiN for the same sector.</t>
    </r>
  </si>
  <si>
    <t>PiN Historical Trend</t>
  </si>
  <si>
    <t xml:space="preserve">This table can be used to compare current sector PiNs to the previous year's PiNs to identify increases or decreases. 
The current PIN will be automatically loaded from the Overal PIN spreadsheet, provided that the unique ID of the rows match. 
The Previous year's HNO data needs to be loaded in the Historical Trend spreadsheet.
Formulas will automatically calculate the %change from previous to current year and highlights area where PiN is 50% higher or lower than the last HNO's PiN for further investigation. Countries can decide to change this 50% threshold according to their context. </t>
  </si>
  <si>
    <t>PiN Visulas</t>
  </si>
  <si>
    <t>Two visuals that can help better understand sectoral PiN affecting percentage of affected population and the percentage of change from one HNO to the last distribution.</t>
  </si>
  <si>
    <t>Intersectoral Severity</t>
  </si>
  <si>
    <r>
      <rPr>
        <b/>
        <sz val="10"/>
        <color rgb="FF000000"/>
        <rFont val="Arial"/>
        <family val="2"/>
      </rPr>
      <t xml:space="preserve"># of sectors falling under severity phases: </t>
    </r>
    <r>
      <rPr>
        <sz val="10"/>
        <color rgb="FF000000"/>
        <rFont val="Arial"/>
        <family val="2"/>
      </rPr>
      <t>The number of sectors fallen under each severity phase can help better understand and see the relationship of the sectoral severities to the preliminary intersectoral severity.</t>
    </r>
    <r>
      <rPr>
        <b/>
        <sz val="10"/>
        <color rgb="FF000000"/>
        <rFont val="Arial"/>
        <family val="2"/>
      </rPr>
      <t xml:space="preserve">
Preliminary Intersectoral Severity</t>
    </r>
    <r>
      <rPr>
        <sz val="10"/>
        <color rgb="FF000000"/>
        <rFont val="Arial"/>
        <family val="2"/>
      </rPr>
      <t xml:space="preserve">: preliminary intersectoral severity is automatically calculated according to the logical formula.
</t>
    </r>
    <r>
      <rPr>
        <b/>
        <sz val="11"/>
        <color rgb="FF000000"/>
        <rFont val="Arial"/>
        <family val="2"/>
      </rPr>
      <t xml:space="preserve">
Flags and Outlier Checks:
</t>
    </r>
    <r>
      <rPr>
        <b/>
        <sz val="10"/>
        <color rgb="FF000000"/>
        <rFont val="Arial"/>
        <family val="2"/>
      </rPr>
      <t xml:space="preserve">Some sectors having severity phase 5 or 4: </t>
    </r>
    <r>
      <rPr>
        <sz val="10"/>
        <color rgb="FF000000"/>
        <rFont val="Arial"/>
        <family val="2"/>
      </rPr>
      <t xml:space="preserve">OCHA analysis team to decide number of sectors in phase 5 or 4 to be flagged and reviewed to confirm the concentration of high sectoral severities .
</t>
    </r>
    <r>
      <rPr>
        <b/>
        <sz val="10"/>
        <color rgb="FF000000"/>
        <rFont val="Arial"/>
        <family val="2"/>
      </rPr>
      <t>Variation between preliminary severity and outcome indicators:</t>
    </r>
    <r>
      <rPr>
        <sz val="10"/>
        <color rgb="FF000000"/>
        <rFont val="Arial"/>
        <family val="2"/>
      </rPr>
      <t xml:space="preserve"> preliminary intersectoral severity is higher or lower then outcome indicators (by 1 or more).</t>
    </r>
  </si>
  <si>
    <t>Reference Table indicators</t>
  </si>
  <si>
    <t>Fill in reference table indicators data at unit level to automatically calculate the severity of the indicator which will be used to compare the intersectoral severity results with.
If any indicators are added, removed or modified, please make sure that the formulas correctly reflect these changes.</t>
  </si>
  <si>
    <t>Please do not delete this sheet or tables in this sheet!</t>
  </si>
  <si>
    <t>Tables in this sheet are being used in formulas in other sheets!</t>
  </si>
  <si>
    <t>PiN Flagging criteria &amp; thresholds</t>
  </si>
  <si>
    <t>Please assign the thresholds relevant for your country</t>
  </si>
  <si>
    <t>Flag Name</t>
  </si>
  <si>
    <t xml:space="preserve">Flag Description </t>
  </si>
  <si>
    <t>Recommended Threshold</t>
  </si>
  <si>
    <t>Country Threshold</t>
  </si>
  <si>
    <t xml:space="preserve">Explanation for proposing another threshold </t>
  </si>
  <si>
    <t>Purpose</t>
  </si>
  <si>
    <t># Sectors with 0 PiN</t>
  </si>
  <si>
    <t>To flag potential data quality issue</t>
  </si>
  <si>
    <t>% Difference between 1st and 2nd highest PIN</t>
  </si>
  <si>
    <t>% difference threshold between 1st and 2nd highest PiN greater than 30%</t>
  </si>
  <si>
    <t>To identify areas to manual review</t>
  </si>
  <si>
    <t>% Difference between 1st and 3rd highest PIN</t>
  </si>
  <si>
    <t>% difference threshold between 1st and 3rd highest PiN greater than 50%</t>
  </si>
  <si>
    <t>Highest sector PIN targets sub-population group(s)</t>
  </si>
  <si>
    <t>Whenever a sector dealing with a sub-population group is higher than any other sector - e.g., Education and Nutrition</t>
  </si>
  <si>
    <t>PiN greater than 90% of total affected population</t>
  </si>
  <si>
    <t>Flag where the 1st or the 2nd highest PiN is 90% of the affected population</t>
  </si>
  <si>
    <t>Change from last year</t>
  </si>
  <si>
    <t>Flag where the change from last year of the 1st or 2nd highest PiN is significantly higher than the the average change from last year of all sectors</t>
  </si>
  <si>
    <t>Manual Flag</t>
  </si>
  <si>
    <t>Any area can be flagged manually whenever there is a concern by any JIAF analysts about the PIN</t>
  </si>
  <si>
    <t>Outliers from the porpotion of highest PiN in the population nationwide</t>
  </si>
  <si>
    <t>% difference threshold between sectoral PiN change between this year and last year</t>
  </si>
  <si>
    <t>2std</t>
  </si>
  <si>
    <t>PiN - Sub-population group sectors</t>
  </si>
  <si>
    <t>Sector</t>
  </si>
  <si>
    <t>Proportion of sector target population in overall population</t>
  </si>
  <si>
    <t>Decision Rule for determining PIN</t>
  </si>
  <si>
    <t>Education</t>
  </si>
  <si>
    <t>1. accept highest PIN with no flags.  2. Accept highest PiN after reconciling any flags.  3. If no concensus on highest PIN, use 2nd highest PIN.  4. If no consensus on 2nd highest PIN elevate decision to HC level</t>
  </si>
  <si>
    <t>Severity Flagging criteria &amp; thresholds</t>
  </si>
  <si>
    <t xml:space="preserve">Flagging criterion for PIN </t>
  </si>
  <si>
    <t># of sectors in phase 5</t>
  </si>
  <si>
    <t>Location</t>
  </si>
  <si>
    <t>Populaton</t>
  </si>
  <si>
    <t>Sectoral PiN (Number)</t>
  </si>
  <si>
    <t>Protection AoRs</t>
  </si>
  <si>
    <t xml:space="preserve">Sectoral % PiN (over total population) </t>
  </si>
  <si>
    <t>Protection AoRs %</t>
  </si>
  <si>
    <t>Highest Sector(s)</t>
  </si>
  <si>
    <t>2nd Highest Sector(s)</t>
  </si>
  <si>
    <t>Difference between Highest and 2nd Highest PiN</t>
  </si>
  <si>
    <t>3rd Highest Sector(s)</t>
  </si>
  <si>
    <t>Difference between Highest and 3rd Highest PiN</t>
  </si>
  <si>
    <t>Historical PiN</t>
  </si>
  <si>
    <t>All Flags</t>
  </si>
  <si>
    <t>ID</t>
  </si>
  <si>
    <t>Admin 1</t>
  </si>
  <si>
    <t>Admin 1 P-Code</t>
  </si>
  <si>
    <t>Admin 2</t>
  </si>
  <si>
    <t>Admin 2 P-Code</t>
  </si>
  <si>
    <t>Admin 3</t>
  </si>
  <si>
    <t>Admin 3 P-Code</t>
  </si>
  <si>
    <t>Population</t>
  </si>
  <si>
    <t>Population Group</t>
  </si>
  <si>
    <t>CCCM</t>
  </si>
  <si>
    <t>Nutrition</t>
  </si>
  <si>
    <t>Food Security</t>
  </si>
  <si>
    <t>Health</t>
  </si>
  <si>
    <t>Overarching Protection</t>
  </si>
  <si>
    <t>Shelter</t>
  </si>
  <si>
    <t>WASH</t>
  </si>
  <si>
    <t>CP</t>
  </si>
  <si>
    <t>GBV</t>
  </si>
  <si>
    <t>Mine Action</t>
  </si>
  <si>
    <t>HLP</t>
  </si>
  <si>
    <t>CCCM%</t>
  </si>
  <si>
    <t>Education%</t>
  </si>
  <si>
    <t>Nutrition%</t>
  </si>
  <si>
    <t>Food Security%</t>
  </si>
  <si>
    <t>Health%</t>
  </si>
  <si>
    <t>Overarching Protection%</t>
  </si>
  <si>
    <t>Shelter%</t>
  </si>
  <si>
    <t>WASH%</t>
  </si>
  <si>
    <t>Child Protection (CP)%</t>
  </si>
  <si>
    <t>Gender-based Violence (GBV)%</t>
  </si>
  <si>
    <t>Mine Action%</t>
  </si>
  <si>
    <t>HLP%</t>
  </si>
  <si>
    <t>Highest PiN</t>
  </si>
  <si>
    <t>Highest sector(s)</t>
  </si>
  <si>
    <t>Highest sector(s') PiN %</t>
  </si>
  <si>
    <t>Number of missing / zero PiNs greater than threshold - Data quality</t>
  </si>
  <si>
    <t>Highest PiN greater than 90% of total affected population</t>
  </si>
  <si>
    <t>Highest sector targets sub-population group(s)</t>
  </si>
  <si>
    <t>2nd Highest PiN</t>
  </si>
  <si>
    <t>2nd Highest sector(s)</t>
  </si>
  <si>
    <t>2nd Highest sector PiN %</t>
  </si>
  <si>
    <t>Difference of PiN between Highest and 2nd Highest</t>
  </si>
  <si>
    <t>% Difference between Highest and 2nd Highest</t>
  </si>
  <si>
    <t>% difference is over a specified threshold between Highest and 2nd Highest</t>
  </si>
  <si>
    <t>3rd Highest PiN</t>
  </si>
  <si>
    <t>3rd Highest sector(s)</t>
  </si>
  <si>
    <t>3rd Highest sector PiN %</t>
  </si>
  <si>
    <t>Difference of PiN between Highest and 3rd Highest</t>
  </si>
  <si>
    <t>% Difference between Highest and 3rd Highest</t>
  </si>
  <si>
    <t>% difference is over a specified threshold between Highest and 3rd Highest</t>
  </si>
  <si>
    <t>Change from last year for the highest sector(s)</t>
  </si>
  <si>
    <t>Change from last year for the highest sector(s) has significantly increased or decreased</t>
  </si>
  <si>
    <t>Change from last year for the 2nd highest sector(s)</t>
  </si>
  <si>
    <t>Change from last year for the 2nd highest sector(s) has significantly increased or decreased</t>
  </si>
  <si>
    <t>Preliminary PiN</t>
  </si>
  <si>
    <t>Explanation for Manual Flag</t>
  </si>
  <si>
    <t># Flags</t>
  </si>
  <si>
    <t>Flagged</t>
  </si>
  <si>
    <t>Final PiN</t>
  </si>
  <si>
    <t>Evidence &amp; Comments</t>
  </si>
  <si>
    <t>Previous Year's Clusters' PiN</t>
  </si>
  <si>
    <t>Current Sectoral PiN</t>
  </si>
  <si>
    <t>Absolute PiN Differences</t>
  </si>
  <si>
    <t>% PiN Differences</t>
  </si>
  <si>
    <t>CCCM - old</t>
  </si>
  <si>
    <t>Education - old</t>
  </si>
  <si>
    <t>Nutrition - old</t>
  </si>
  <si>
    <t>Food Security - old</t>
  </si>
  <si>
    <t>Health - old</t>
  </si>
  <si>
    <t>Overarching Protection - old</t>
  </si>
  <si>
    <t>Shelter - old</t>
  </si>
  <si>
    <t>WASH - old</t>
  </si>
  <si>
    <t>CCCM - new</t>
  </si>
  <si>
    <t>Education - new</t>
  </si>
  <si>
    <t>Nutrition - new</t>
  </si>
  <si>
    <t>Food Security - new</t>
  </si>
  <si>
    <t>Health - new</t>
  </si>
  <si>
    <t>Overarching Protection - new</t>
  </si>
  <si>
    <t>Shelter - new</t>
  </si>
  <si>
    <t>WASH - new</t>
  </si>
  <si>
    <t>PiN Difference for CCCM</t>
  </si>
  <si>
    <t>PiN Difference for Education</t>
  </si>
  <si>
    <t>PiN Difference for Nutrition</t>
  </si>
  <si>
    <t>PiN Difference for Food Security</t>
  </si>
  <si>
    <t>PiN Difference for Health</t>
  </si>
  <si>
    <t>PiN Difference for Overarching Protection</t>
  </si>
  <si>
    <t>PiN Difference for Shelter</t>
  </si>
  <si>
    <t>PiN Difference for WASH</t>
  </si>
  <si>
    <t>Select a sector:</t>
  </si>
  <si>
    <t>Graph Bins</t>
  </si>
  <si>
    <t>Notes:</t>
  </si>
  <si>
    <t>percentages are rounded to the nearest 5 multiples, i.e. 0, 5, 10, 15, …</t>
  </si>
  <si>
    <t>Sectoral Severity</t>
  </si>
  <si>
    <t>Humanitarian Conditions/Outcomes</t>
  </si>
  <si>
    <t>Number of sectors per severity phase</t>
  </si>
  <si>
    <t>Life Threatening</t>
  </si>
  <si>
    <t>Irreversible Harm</t>
  </si>
  <si>
    <t>Basic Analysis</t>
  </si>
  <si>
    <t>Sectoral Severity Flags</t>
  </si>
  <si>
    <t>Reference Indicator Flags</t>
  </si>
  <si>
    <t xml:space="preserve">Final Results
</t>
  </si>
  <si>
    <t>Child Protection (CP)</t>
  </si>
  <si>
    <t>Gender-based Violence (GBV)</t>
  </si>
  <si>
    <t xml:space="preserve"> 1 </t>
  </si>
  <si>
    <t xml:space="preserve"> 2 </t>
  </si>
  <si>
    <t xml:space="preserve"> 3 </t>
  </si>
  <si>
    <t xml:space="preserve"> 4 </t>
  </si>
  <si>
    <t>5</t>
  </si>
  <si>
    <t>Preliminary Intersectoral Severity based on overlap of sectoral deprivations</t>
  </si>
  <si>
    <t>Mortality</t>
  </si>
  <si>
    <t>Malnutrition</t>
  </si>
  <si>
    <t>Epidemics</t>
  </si>
  <si>
    <t>Livelihood Coping</t>
  </si>
  <si>
    <t>HR/IHL Violation</t>
  </si>
  <si>
    <t>Average severity</t>
  </si>
  <si>
    <t>Highest Severity</t>
  </si>
  <si>
    <t>Sectors with Highest Severity</t>
  </si>
  <si>
    <t>2nd Highest Severity</t>
  </si>
  <si>
    <t>Sectors with 2nd Highest Severity</t>
  </si>
  <si>
    <t>2+ phase variation between preliminary severity and severity of any of the outcome indicators</t>
  </si>
  <si>
    <t>1+ phase variation between preliminary severity and severity of at least two of the outcome indicators - in the same direction</t>
  </si>
  <si>
    <t>Severity indicated by sub-national level</t>
  </si>
  <si>
    <t>Final Severity</t>
  </si>
  <si>
    <t>Humanitarian Conditions</t>
  </si>
  <si>
    <t>Life Threatining Conditions</t>
  </si>
  <si>
    <t>CDR x/10,000/day</t>
  </si>
  <si>
    <t>Under 5 Death Rate</t>
  </si>
  <si>
    <t>Civilian Casualty</t>
  </si>
  <si>
    <t>Death or Iminanet Risk of Death Severity</t>
  </si>
  <si>
    <t>WHZ</t>
  </si>
  <si>
    <t>MUAC</t>
  </si>
  <si>
    <t>Malnutrition Severity</t>
  </si>
  <si>
    <t>Epidemic 1</t>
  </si>
  <si>
    <t>Epidemic 2</t>
  </si>
  <si>
    <t>Epidemic Severity</t>
  </si>
  <si>
    <t>Coping Strategy (Minimal)</t>
  </si>
  <si>
    <t>Coping Strategy (Stress)</t>
  </si>
  <si>
    <t>Coping Strategy (Severe)</t>
  </si>
  <si>
    <t>Coping Strategy (Extreme)</t>
  </si>
  <si>
    <t>Coping Strategy (Catastrophic)</t>
  </si>
  <si>
    <t>Coping Strategy Severity</t>
  </si>
  <si>
    <t>PiN Correlation Coefficient</t>
  </si>
  <si>
    <t>Severity Correlation Coefficient</t>
  </si>
  <si>
    <t>Sectoral PiN values overlapping at unit level 
(they have a value in the same rounded percentage range)</t>
  </si>
  <si>
    <t>Sectoral severity values overlapping at unit level 
(they have the same severity phase)</t>
  </si>
  <si>
    <t>Sectoral PiN values coming up as highest and second highest at unit level 
(# of units sector A is highest and sector B is second highest)</t>
  </si>
  <si>
    <t>Sectoral Severity phases coming up as highest and second highest at unit level 
(# of units sector A is highest and sector B is second highest)</t>
  </si>
  <si>
    <t>Highest Sectors</t>
  </si>
  <si>
    <t>Second Highest Sectors</t>
  </si>
  <si>
    <t>Severity</t>
  </si>
  <si>
    <t>Targeting thresholds</t>
  </si>
  <si>
    <t>Targeting criteria</t>
  </si>
  <si>
    <t>Areas in severity 3</t>
  </si>
  <si>
    <t>Areas in severity 4 &amp; 5</t>
  </si>
  <si>
    <t>Pocket of need</t>
  </si>
  <si>
    <t>50% is the maximun threshold for Severity 3</t>
  </si>
  <si>
    <t># of sectors in phase 4 with preliminary in phase 4</t>
  </si>
  <si>
    <t xml:space="preserve">More than 4 Sectors in 4 or worse while Preliminary is 4 </t>
  </si>
  <si>
    <t>1 sector in severity phase 5 [modify the threshold]</t>
  </si>
  <si>
    <t>Abyei Administrative Area</t>
  </si>
  <si>
    <t>SS00</t>
  </si>
  <si>
    <t>SS0001</t>
  </si>
  <si>
    <t>Central Equatoria</t>
  </si>
  <si>
    <t>SS01</t>
  </si>
  <si>
    <t>Juba</t>
  </si>
  <si>
    <t>SS0101</t>
  </si>
  <si>
    <t>Kajo-Keji</t>
  </si>
  <si>
    <t>SS0102</t>
  </si>
  <si>
    <t>Lainya</t>
  </si>
  <si>
    <t>SS0103</t>
  </si>
  <si>
    <t>Morobo</t>
  </si>
  <si>
    <t>SS0104</t>
  </si>
  <si>
    <t>Terekeka</t>
  </si>
  <si>
    <t>SS0105</t>
  </si>
  <si>
    <t>Yei</t>
  </si>
  <si>
    <t>SS0106</t>
  </si>
  <si>
    <t>Eastern Equatoria</t>
  </si>
  <si>
    <t>SS02</t>
  </si>
  <si>
    <t>Budi</t>
  </si>
  <si>
    <t>SS0201</t>
  </si>
  <si>
    <t>Ikotos</t>
  </si>
  <si>
    <t>SS0202</t>
  </si>
  <si>
    <t>Kapoeta East</t>
  </si>
  <si>
    <t>SS0203</t>
  </si>
  <si>
    <t>Kapoeta North</t>
  </si>
  <si>
    <t>SS0204</t>
  </si>
  <si>
    <t>Kapoeta South</t>
  </si>
  <si>
    <t>SS0205</t>
  </si>
  <si>
    <t>Lafon</t>
  </si>
  <si>
    <t>SS0206</t>
  </si>
  <si>
    <t>Magwi</t>
  </si>
  <si>
    <t>SS0207</t>
  </si>
  <si>
    <t>Torit</t>
  </si>
  <si>
    <t>SS0208</t>
  </si>
  <si>
    <t>Jonglei</t>
  </si>
  <si>
    <t>SS03</t>
  </si>
  <si>
    <t>Akobo</t>
  </si>
  <si>
    <t>SS0301</t>
  </si>
  <si>
    <t>Ayod</t>
  </si>
  <si>
    <t>SS0302</t>
  </si>
  <si>
    <t>Bor South</t>
  </si>
  <si>
    <t>SS0303</t>
  </si>
  <si>
    <t>Canal/Pigi</t>
  </si>
  <si>
    <t>SS0304</t>
  </si>
  <si>
    <t>Duk</t>
  </si>
  <si>
    <t>SS0305</t>
  </si>
  <si>
    <t>Fangak</t>
  </si>
  <si>
    <t>SS0306</t>
  </si>
  <si>
    <t>Nyirol</t>
  </si>
  <si>
    <t>SS0307</t>
  </si>
  <si>
    <t>Pibor</t>
  </si>
  <si>
    <t>SS0308</t>
  </si>
  <si>
    <t>Pochalla</t>
  </si>
  <si>
    <t>SS0309</t>
  </si>
  <si>
    <t>Twic East</t>
  </si>
  <si>
    <t>SS0310</t>
  </si>
  <si>
    <t>Uror</t>
  </si>
  <si>
    <t>SS0311</t>
  </si>
  <si>
    <t>Lakes</t>
  </si>
  <si>
    <t>SS04</t>
  </si>
  <si>
    <t>Awerial</t>
  </si>
  <si>
    <t>SS0401</t>
  </si>
  <si>
    <t>Cueibet</t>
  </si>
  <si>
    <t>SS0402</t>
  </si>
  <si>
    <t>Rumbek Centre</t>
  </si>
  <si>
    <t>SS0403</t>
  </si>
  <si>
    <t>Rumbek East</t>
  </si>
  <si>
    <t>SS0404</t>
  </si>
  <si>
    <t>Rumbek North</t>
  </si>
  <si>
    <t>SS0405</t>
  </si>
  <si>
    <t>Wulu</t>
  </si>
  <si>
    <t>SS0406</t>
  </si>
  <si>
    <t>Yirol East</t>
  </si>
  <si>
    <t>SS0407</t>
  </si>
  <si>
    <t>Yirol West</t>
  </si>
  <si>
    <t>SS0408</t>
  </si>
  <si>
    <t>Northern Bahr el Ghazal</t>
  </si>
  <si>
    <t>SS05</t>
  </si>
  <si>
    <t>Aweil Centre</t>
  </si>
  <si>
    <t>SS0501</t>
  </si>
  <si>
    <t>Aweil East</t>
  </si>
  <si>
    <t>SS0502</t>
  </si>
  <si>
    <t>Aweil North</t>
  </si>
  <si>
    <t>SS0503</t>
  </si>
  <si>
    <t>Aweil South</t>
  </si>
  <si>
    <t>SS0504</t>
  </si>
  <si>
    <t>Aweil West</t>
  </si>
  <si>
    <t>SS0505</t>
  </si>
  <si>
    <t>Unity</t>
  </si>
  <si>
    <t>SS06</t>
  </si>
  <si>
    <t>Abiemnhom</t>
  </si>
  <si>
    <t>SS0601</t>
  </si>
  <si>
    <t>Guit</t>
  </si>
  <si>
    <t>SS0602</t>
  </si>
  <si>
    <t>Koch</t>
  </si>
  <si>
    <t>SS0603</t>
  </si>
  <si>
    <t>Leer</t>
  </si>
  <si>
    <t>SS0604</t>
  </si>
  <si>
    <t>Mayendit</t>
  </si>
  <si>
    <t>SS0605</t>
  </si>
  <si>
    <t>Mayom</t>
  </si>
  <si>
    <t>SS0606</t>
  </si>
  <si>
    <t>Panyijiar</t>
  </si>
  <si>
    <t>SS0607</t>
  </si>
  <si>
    <t>Pariang</t>
  </si>
  <si>
    <t>SS0608</t>
  </si>
  <si>
    <t>Rubkona</t>
  </si>
  <si>
    <t>SS0609</t>
  </si>
  <si>
    <t>Upper Nile</t>
  </si>
  <si>
    <t>SS07</t>
  </si>
  <si>
    <t>Baliet</t>
  </si>
  <si>
    <t>SS0701</t>
  </si>
  <si>
    <t>Fashoda</t>
  </si>
  <si>
    <t>SS0702</t>
  </si>
  <si>
    <t>Longochuk</t>
  </si>
  <si>
    <t>SS0703</t>
  </si>
  <si>
    <t>Luakpiny/Nasir</t>
  </si>
  <si>
    <t>SS0704</t>
  </si>
  <si>
    <t>Maban</t>
  </si>
  <si>
    <t>SS0705</t>
  </si>
  <si>
    <t>Maiwut</t>
  </si>
  <si>
    <t>SS0706</t>
  </si>
  <si>
    <t>Malakal</t>
  </si>
  <si>
    <t>SS0707</t>
  </si>
  <si>
    <t>Manyo</t>
  </si>
  <si>
    <t>SS0708</t>
  </si>
  <si>
    <t>Melut</t>
  </si>
  <si>
    <t>SS0709</t>
  </si>
  <si>
    <t>Panyikang</t>
  </si>
  <si>
    <t>SS0710</t>
  </si>
  <si>
    <t>Renk</t>
  </si>
  <si>
    <t>SS0711</t>
  </si>
  <si>
    <t>Ulang</t>
  </si>
  <si>
    <t>SS0712</t>
  </si>
  <si>
    <t>Warrap</t>
  </si>
  <si>
    <t>SS08</t>
  </si>
  <si>
    <t>Gogrial East</t>
  </si>
  <si>
    <t>SS0801</t>
  </si>
  <si>
    <t>Gogrial West</t>
  </si>
  <si>
    <t>SS0802</t>
  </si>
  <si>
    <t>Tonj East</t>
  </si>
  <si>
    <t>SS0803</t>
  </si>
  <si>
    <t>Tonj North</t>
  </si>
  <si>
    <t>SS0804</t>
  </si>
  <si>
    <t>Tonj South</t>
  </si>
  <si>
    <t>SS0805</t>
  </si>
  <si>
    <t>Twic</t>
  </si>
  <si>
    <t>SS0806</t>
  </si>
  <si>
    <t>Western Bahr el Ghazal</t>
  </si>
  <si>
    <t>SS09</t>
  </si>
  <si>
    <t>Jur River</t>
  </si>
  <si>
    <t>SS0901</t>
  </si>
  <si>
    <t>Raja</t>
  </si>
  <si>
    <t>SS0902</t>
  </si>
  <si>
    <t>Wau</t>
  </si>
  <si>
    <t>SS0903</t>
  </si>
  <si>
    <t>Western Equatoria</t>
  </si>
  <si>
    <t>SS10</t>
  </si>
  <si>
    <t>Ezo</t>
  </si>
  <si>
    <t>SS1001</t>
  </si>
  <si>
    <t>Ibba</t>
  </si>
  <si>
    <t>SS1002</t>
  </si>
  <si>
    <t>Maridi</t>
  </si>
  <si>
    <t>SS1003</t>
  </si>
  <si>
    <t>Mundri East</t>
  </si>
  <si>
    <t>SS1004</t>
  </si>
  <si>
    <t>Mundri West</t>
  </si>
  <si>
    <t>SS1005</t>
  </si>
  <si>
    <t>Mvolo</t>
  </si>
  <si>
    <t>SS1006</t>
  </si>
  <si>
    <t>Nagero</t>
  </si>
  <si>
    <t>SS1007</t>
  </si>
  <si>
    <t>Nzara</t>
  </si>
  <si>
    <t>SS1008</t>
  </si>
  <si>
    <t>Tambura</t>
  </si>
  <si>
    <t>SS1009</t>
  </si>
  <si>
    <t>Yambio</t>
  </si>
  <si>
    <t>SS1010</t>
  </si>
  <si>
    <t>IDPs</t>
  </si>
  <si>
    <t>Residents</t>
  </si>
  <si>
    <t>Returnees</t>
  </si>
  <si>
    <t>Sectoral Target (Number)</t>
  </si>
  <si>
    <t xml:space="preserve">Sectoral % Target (over total population) </t>
  </si>
  <si>
    <t>Highest Target</t>
  </si>
  <si>
    <t>Highest sector(s') Target %</t>
  </si>
  <si>
    <t>2nd Highest Target</t>
  </si>
  <si>
    <t>2nd Highest sector Target %</t>
  </si>
  <si>
    <t>Difference of Target between Highest and 2nd Highest</t>
  </si>
  <si>
    <t>Difference between Highest and 2nd Highest Target</t>
  </si>
  <si>
    <t>3rd Highest Target</t>
  </si>
  <si>
    <t>3rd Highest sector Target %</t>
  </si>
  <si>
    <t>Difference between Highest and 3rd Highest Target</t>
  </si>
  <si>
    <t>Preliminary Target</t>
  </si>
  <si>
    <t>Historical Target</t>
  </si>
  <si>
    <t>Final Target</t>
  </si>
  <si>
    <t>Difference of Target between Highest and 3rd Highest</t>
  </si>
  <si>
    <t>Highest Target greater than 90% of total affected population</t>
  </si>
  <si>
    <t>Affected population projection 2026</t>
  </si>
  <si>
    <t>Requirements</t>
  </si>
  <si>
    <t>Total requirements</t>
  </si>
  <si>
    <t>Overall PIN Old</t>
  </si>
  <si>
    <t>Overall PIN New</t>
  </si>
  <si>
    <t>Grand Total</t>
  </si>
  <si>
    <t>Sum of Final PiN</t>
  </si>
  <si>
    <t>Values</t>
  </si>
  <si>
    <t>Sum of CCCM</t>
  </si>
  <si>
    <t>Sum of Education</t>
  </si>
  <si>
    <t>Sum of Nutrition</t>
  </si>
  <si>
    <t>Sum of Food Security</t>
  </si>
  <si>
    <t>Sum of Health</t>
  </si>
  <si>
    <t>Sum of Overarching Protection</t>
  </si>
  <si>
    <t>Sum of Shelter</t>
  </si>
  <si>
    <t>Sum of WASH</t>
  </si>
  <si>
    <t>IDP</t>
  </si>
  <si>
    <t>State</t>
  </si>
  <si>
    <t>admin1Pcod</t>
  </si>
  <si>
    <t>County</t>
  </si>
  <si>
    <t>admin2Pcod</t>
  </si>
  <si>
    <t>Total 2026 COD pop estimate (without refugees)</t>
  </si>
  <si>
    <t>Affected population without refugees</t>
  </si>
  <si>
    <t>% Male children under 5</t>
  </si>
  <si>
    <t>No. of Male children under 5</t>
  </si>
  <si>
    <t>% Female children under 5</t>
  </si>
  <si>
    <t>No. of Female children under 5</t>
  </si>
  <si>
    <t>% Male children aged 5 - 17 years</t>
  </si>
  <si>
    <t>No. of Male children aged 5 - 17 years</t>
  </si>
  <si>
    <t>% Female children aged 5 - 17 years</t>
  </si>
  <si>
    <t>No. of Female children aged 5 - 17 years</t>
  </si>
  <si>
    <t>% Male adults aged 18 - 60</t>
  </si>
  <si>
    <t>No. of  Male adults aged 18 - 60</t>
  </si>
  <si>
    <t>% Female adults aged 18 - 60</t>
  </si>
  <si>
    <t>No. of Female adults aged 18 - 60</t>
  </si>
  <si>
    <t>% Male adults aged over 60</t>
  </si>
  <si>
    <t>No. of Male adults aged over 60</t>
  </si>
  <si>
    <t>% Female adults aged over 60</t>
  </si>
  <si>
    <t>No. Female adults aged over 60</t>
  </si>
  <si>
    <t>Persons with disability</t>
  </si>
  <si>
    <t>Kajo-keji</t>
  </si>
  <si>
    <t xml:space="preserve">Refugees </t>
  </si>
  <si>
    <t>Vulnerable Resident</t>
  </si>
  <si>
    <t>Total</t>
  </si>
  <si>
    <t>Final Intersectoral  Priority ranking</t>
  </si>
  <si>
    <t>Target</t>
  </si>
  <si>
    <t>Target (severity 4-5 ranking) 100%</t>
  </si>
  <si>
    <t>Target (severity 3 ranking) 50%</t>
  </si>
  <si>
    <t>Target (priotitised 1-2 ranking) 100%</t>
  </si>
  <si>
    <t>Target (priotitised 3 ranking) 50%</t>
  </si>
  <si>
    <t>Total target (out of severity ranking)</t>
  </si>
  <si>
    <t>Total target (out of prioritization ranking)</t>
  </si>
  <si>
    <t>Severity 4-5 (100%)</t>
  </si>
  <si>
    <t>Severity 3 (50%)</t>
  </si>
  <si>
    <t>Prioritization 1-2 (100%)</t>
  </si>
  <si>
    <t>Prioritization 3 (50%)</t>
  </si>
  <si>
    <t>Cluster</t>
  </si>
  <si>
    <t>RequirementS 2026</t>
  </si>
  <si>
    <t>Cluster/Sector</t>
  </si>
  <si>
    <t>SNFI</t>
  </si>
  <si>
    <t>FSL</t>
  </si>
  <si>
    <t>Protection</t>
  </si>
  <si>
    <t>Logistics</t>
  </si>
  <si>
    <t>CCS (with OTA)</t>
  </si>
  <si>
    <t xml:space="preserve">Refugee </t>
  </si>
  <si>
    <t>PiN 2026</t>
  </si>
  <si>
    <t>PiN 2025</t>
  </si>
  <si>
    <t>Target 2025</t>
  </si>
  <si>
    <t>CCS</t>
  </si>
  <si>
    <t>MPC</t>
  </si>
  <si>
    <t>Refugees</t>
  </si>
  <si>
    <t>Requirement 2025</t>
  </si>
  <si>
    <t>Total with refugees</t>
  </si>
  <si>
    <t>Total without refugees</t>
  </si>
  <si>
    <t>PiN change</t>
  </si>
  <si>
    <t>Target change</t>
  </si>
  <si>
    <t>Requirements change</t>
  </si>
  <si>
    <t>MPCA</t>
  </si>
  <si>
    <t>Target 2026 (1&amp;2) (3)50%</t>
  </si>
  <si>
    <t>Target 2026 (1&amp;2)</t>
  </si>
  <si>
    <t>Requirement 2026 (1&amp;2) (3)50%</t>
  </si>
  <si>
    <t>Requirement 2026 (1&amp;2)</t>
  </si>
  <si>
    <t>Row Labels</t>
  </si>
  <si>
    <t>Sum of Final Target</t>
  </si>
  <si>
    <t>New Requirement 2026 (Priority 1,2 and 50% of 3)</t>
  </si>
  <si>
    <t>Reduction USD million</t>
  </si>
  <si>
    <t>Testing</t>
  </si>
  <si>
    <t>Overall PiN with REFUGEES</t>
  </si>
  <si>
    <t>Male</t>
  </si>
  <si>
    <t>Female</t>
  </si>
  <si>
    <t>Children</t>
  </si>
  <si>
    <t>Women</t>
  </si>
  <si>
    <t>Men</t>
  </si>
  <si>
    <t>Adult</t>
  </si>
  <si>
    <t>Elderly People</t>
  </si>
  <si>
    <t>Children male</t>
  </si>
  <si>
    <t>Children female</t>
  </si>
  <si>
    <t>Adult male</t>
  </si>
  <si>
    <t>Adult female</t>
  </si>
  <si>
    <t>Elderly male</t>
  </si>
  <si>
    <t>Elderly female</t>
  </si>
  <si>
    <t>Abyei Region</t>
  </si>
  <si>
    <t>Target(1-3)priority with REFUGEES</t>
  </si>
  <si>
    <t>Older people</t>
  </si>
  <si>
    <t>Target(1&amp;2)50% (3)priority</t>
  </si>
  <si>
    <t>Prioritized counties 2026</t>
  </si>
  <si>
    <t>Final Severity 2026</t>
  </si>
  <si>
    <t>Sev4 downgraded to Sev3</t>
  </si>
  <si>
    <t>Sev5 downgraded to Sev4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</si>
</sst>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_);_(* \(#,##0\);_(* &quot;-&quot;_);_(@_)"/>
    <numFmt numFmtId="165" formatCode="_(* #,##0.00_);_(* \(#,##0.00\);_(* &quot;-&quot;??_);_(@_)"/>
    <numFmt numFmtId="166" formatCode="_ * #,##0.00_ ;_ * \-#,##0.00_ ;_ * &quot;-&quot;??_ ;_ @_ "/>
    <numFmt numFmtId="167" formatCode="_-* #,##0_-;\-* #,##0_-;_-* &quot;-&quot;??_-;_-@_-"/>
    <numFmt numFmtId="168" formatCode="_ * #,##0_ ;_ * \-#,##0_ ;_ * &quot;-&quot;??_ ;_ @_ "/>
    <numFmt numFmtId="169" formatCode="_ * #,##0.0_ ;_ * \-#,##0.0_ ;_ * &quot;-&quot;??_ ;_ @_ "/>
    <numFmt numFmtId="170" formatCode="_(* #,##0_);_(* \(#,##0\);_(* &quot;-&quot;??_);_(@_)"/>
    <numFmt numFmtId="171" formatCode="0.0%"/>
    <numFmt numFmtId="172" formatCode="_-* #,##0.0_-;\-* #,##0.0_-;_-* &quot;-&quot;??_-;_-@_-"/>
    <numFmt numFmtId="173" formatCode="0.000%"/>
  </numFmts>
  <fonts count="87" x14ac:knownFonts="1">
    <font>
      <sz val="11"/>
      <color theme="1"/>
      <name val="Calibri"/>
      <family val="2"/>
      <scheme val="minor"/>
    </font>
    <font>
      <sz val="11"/>
      <color theme="1"/>
      <name val="Arial"/>
      <family val="2"/>
    </font>
    <font>
      <sz val="11"/>
      <color theme="1"/>
      <name val="Calibri"/>
      <family val="2"/>
      <scheme val="minor"/>
    </font>
    <font>
      <sz val="10"/>
      <color theme="1"/>
      <name val="Arial Narrow"/>
      <family val="2"/>
    </font>
    <font>
      <sz val="11"/>
      <color theme="1"/>
      <name val="Arial"/>
      <family val="2"/>
    </font>
    <font>
      <b/>
      <sz val="10"/>
      <color theme="0"/>
      <name val="Arial"/>
      <family val="2"/>
    </font>
    <font>
      <sz val="10"/>
      <color theme="1"/>
      <name val="Arial"/>
      <family val="2"/>
    </font>
    <font>
      <b/>
      <sz val="12"/>
      <color theme="0"/>
      <name val="Arial"/>
      <family val="2"/>
    </font>
    <font>
      <sz val="10"/>
      <color rgb="FF000000"/>
      <name val="Arial"/>
      <family val="2"/>
    </font>
    <font>
      <sz val="8"/>
      <name val="Calibri"/>
      <family val="2"/>
      <scheme val="minor"/>
    </font>
    <font>
      <sz val="10"/>
      <name val="Arial"/>
      <family val="2"/>
    </font>
    <font>
      <b/>
      <sz val="10"/>
      <color rgb="FFFFC000"/>
      <name val="Arial"/>
      <family val="2"/>
    </font>
    <font>
      <b/>
      <sz val="18"/>
      <color theme="1"/>
      <name val="Arial"/>
      <family val="2"/>
    </font>
    <font>
      <sz val="8"/>
      <color theme="1"/>
      <name val="Arial"/>
      <family val="2"/>
    </font>
    <font>
      <sz val="8"/>
      <name val="Arial"/>
      <family val="2"/>
    </font>
    <font>
      <b/>
      <sz val="8"/>
      <color theme="1"/>
      <name val="Arial"/>
      <family val="2"/>
    </font>
    <font>
      <sz val="8"/>
      <color rgb="FFFF0000"/>
      <name val="Arial"/>
      <family val="2"/>
    </font>
    <font>
      <b/>
      <sz val="9"/>
      <color theme="0"/>
      <name val="Arial"/>
      <family val="2"/>
    </font>
    <font>
      <b/>
      <sz val="12"/>
      <color theme="1"/>
      <name val="Arial"/>
      <family val="2"/>
    </font>
    <font>
      <b/>
      <sz val="10"/>
      <name val="Arial"/>
      <family val="2"/>
    </font>
    <font>
      <sz val="9"/>
      <color rgb="FFFFC000"/>
      <name val="Arial"/>
      <family val="2"/>
    </font>
    <font>
      <b/>
      <sz val="9"/>
      <color rgb="FFFFC000"/>
      <name val="Arial"/>
      <family val="2"/>
    </font>
    <font>
      <b/>
      <sz val="9"/>
      <name val="Arial"/>
      <family val="2"/>
    </font>
    <font>
      <b/>
      <sz val="14"/>
      <color theme="0"/>
      <name val="Arial"/>
      <family val="2"/>
    </font>
    <font>
      <b/>
      <sz val="11"/>
      <color theme="0"/>
      <name val="Arial"/>
      <family val="2"/>
    </font>
    <font>
      <sz val="10"/>
      <color theme="1"/>
      <name val="Calibri"/>
      <family val="2"/>
      <scheme val="minor"/>
    </font>
    <font>
      <b/>
      <sz val="9"/>
      <color rgb="FF000000"/>
      <name val="Tahoma"/>
      <family val="2"/>
    </font>
    <font>
      <sz val="9"/>
      <color rgb="FF000000"/>
      <name val="Tahoma"/>
      <family val="2"/>
    </font>
    <font>
      <b/>
      <sz val="9"/>
      <color theme="3"/>
      <name val="Arial"/>
      <family val="2"/>
    </font>
    <font>
      <b/>
      <sz val="11"/>
      <name val="Arial"/>
      <family val="2"/>
    </font>
    <font>
      <b/>
      <sz val="10"/>
      <color rgb="FF000000"/>
      <name val="Arial"/>
      <family val="2"/>
    </font>
    <font>
      <b/>
      <sz val="11"/>
      <color theme="1"/>
      <name val="Arial"/>
      <family val="2"/>
    </font>
    <font>
      <b/>
      <sz val="8"/>
      <name val="Arial"/>
      <family val="2"/>
    </font>
    <font>
      <sz val="10"/>
      <color rgb="FFFF0000"/>
      <name val="Arial"/>
      <family val="2"/>
    </font>
    <font>
      <sz val="8"/>
      <color theme="0"/>
      <name val="Arial"/>
      <family val="2"/>
    </font>
    <font>
      <sz val="8"/>
      <color theme="0" tint="-4.9989318521683403E-2"/>
      <name val="Arial"/>
      <family val="2"/>
    </font>
    <font>
      <b/>
      <sz val="14"/>
      <color theme="1"/>
      <name val="Calibri"/>
      <family val="2"/>
      <scheme val="minor"/>
    </font>
    <font>
      <sz val="11"/>
      <name val="Arial"/>
      <family val="2"/>
    </font>
    <font>
      <sz val="10"/>
      <color rgb="FFFFC000"/>
      <name val="Arial"/>
      <family val="2"/>
    </font>
    <font>
      <b/>
      <i/>
      <sz val="10"/>
      <color theme="1"/>
      <name val="Arial"/>
      <family val="2"/>
    </font>
    <font>
      <b/>
      <sz val="11"/>
      <color rgb="FF000000"/>
      <name val="Arial"/>
      <family val="2"/>
    </font>
    <font>
      <b/>
      <sz val="11"/>
      <color theme="1"/>
      <name val="Calibri"/>
      <family val="2"/>
      <scheme val="minor"/>
    </font>
    <font>
      <sz val="11"/>
      <color rgb="FFFF0000"/>
      <name val="Calibri"/>
      <family val="2"/>
      <scheme val="minor"/>
    </font>
    <font>
      <u/>
      <sz val="11"/>
      <color theme="10"/>
      <name val="Calibri"/>
      <family val="2"/>
      <scheme val="minor"/>
    </font>
    <font>
      <b/>
      <u/>
      <sz val="11"/>
      <color theme="10"/>
      <name val="Calibri"/>
      <family val="2"/>
      <scheme val="minor"/>
    </font>
    <font>
      <b/>
      <sz val="11"/>
      <color theme="0"/>
      <name val="Arial"/>
      <family val="2"/>
    </font>
    <font>
      <b/>
      <sz val="11"/>
      <name val="Arial"/>
      <family val="2"/>
    </font>
    <font>
      <b/>
      <sz val="11"/>
      <color rgb="FFFF0000"/>
      <name val="Arial"/>
      <family val="2"/>
    </font>
    <font>
      <b/>
      <sz val="9"/>
      <color rgb="FFFF0000"/>
      <name val="Arial"/>
      <family val="2"/>
    </font>
    <font>
      <b/>
      <sz val="16"/>
      <color theme="1"/>
      <name val="Calibri"/>
      <family val="2"/>
      <scheme val="minor"/>
    </font>
    <font>
      <b/>
      <sz val="14"/>
      <color theme="0"/>
      <name val="Calibri"/>
      <family val="2"/>
      <scheme val="minor"/>
    </font>
    <font>
      <b/>
      <sz val="16"/>
      <name val="Calibri"/>
      <family val="2"/>
      <scheme val="minor"/>
    </font>
    <font>
      <b/>
      <sz val="18"/>
      <color theme="1"/>
      <name val="Calibri"/>
      <family val="2"/>
      <scheme val="minor"/>
    </font>
    <font>
      <sz val="16"/>
      <color theme="1"/>
      <name val="Calibri"/>
      <family val="2"/>
      <scheme val="minor"/>
    </font>
    <font>
      <sz val="12"/>
      <color theme="1"/>
      <name val="Calibri"/>
      <family val="2"/>
      <scheme val="minor"/>
    </font>
    <font>
      <b/>
      <sz val="14"/>
      <color rgb="FFC00000"/>
      <name val="Calibri"/>
      <family val="2"/>
      <scheme val="minor"/>
    </font>
    <font>
      <b/>
      <sz val="9"/>
      <color rgb="FFC00000"/>
      <name val="Arial"/>
      <family val="2"/>
    </font>
    <font>
      <b/>
      <sz val="11"/>
      <color rgb="FFC00000"/>
      <name val="Calibri"/>
      <family val="2"/>
      <scheme val="minor"/>
    </font>
    <font>
      <b/>
      <sz val="10"/>
      <color rgb="FFC00000"/>
      <name val="Arial"/>
      <family val="2"/>
    </font>
    <font>
      <b/>
      <sz val="10"/>
      <color theme="1"/>
      <name val="Arial"/>
      <family val="2"/>
    </font>
    <font>
      <sz val="12"/>
      <color theme="1"/>
      <name val="Arial"/>
      <family val="2"/>
    </font>
    <font>
      <b/>
      <sz val="14"/>
      <color theme="1"/>
      <name val="Arial"/>
      <family val="2"/>
    </font>
    <font>
      <b/>
      <sz val="14"/>
      <color rgb="FFC00000"/>
      <name val="Arial"/>
      <family val="2"/>
    </font>
    <font>
      <b/>
      <sz val="11"/>
      <color rgb="FFC00000"/>
      <name val="Arial"/>
      <family val="2"/>
    </font>
    <font>
      <b/>
      <sz val="12"/>
      <color rgb="FFC00000"/>
      <name val="Arial"/>
      <family val="2"/>
    </font>
    <font>
      <b/>
      <sz val="16"/>
      <color theme="0"/>
      <name val="Arial"/>
      <family val="2"/>
    </font>
    <font>
      <b/>
      <sz val="16"/>
      <color rgb="FFC00000"/>
      <name val="Arial"/>
      <family val="2"/>
    </font>
    <font>
      <b/>
      <sz val="16"/>
      <color theme="1"/>
      <name val="Arial"/>
      <family val="2"/>
    </font>
    <font>
      <sz val="16"/>
      <color theme="1"/>
      <name val="Arial"/>
      <family val="2"/>
    </font>
    <font>
      <sz val="16"/>
      <color rgb="FF000000"/>
      <name val="Arial"/>
      <family val="2"/>
    </font>
    <font>
      <b/>
      <sz val="18"/>
      <color rgb="FF00B050"/>
      <name val="Arial"/>
      <family val="2"/>
    </font>
    <font>
      <b/>
      <sz val="18"/>
      <color rgb="FFC00000"/>
      <name val="Arial"/>
      <family val="2"/>
    </font>
    <font>
      <sz val="16"/>
      <name val="Arial"/>
      <family val="2"/>
    </font>
    <font>
      <sz val="20"/>
      <color theme="1"/>
      <name val="Arial"/>
      <family val="2"/>
    </font>
    <font>
      <b/>
      <sz val="16"/>
      <color theme="2" tint="-0.499984740745262"/>
      <name val="Arial"/>
      <family val="2"/>
    </font>
    <font>
      <b/>
      <sz val="16"/>
      <color rgb="FF000000"/>
      <name val="Arial"/>
      <family val="2"/>
    </font>
    <font>
      <b/>
      <sz val="16"/>
      <name val="Arial"/>
      <family val="2"/>
    </font>
    <font>
      <b/>
      <sz val="16"/>
      <color rgb="FF00B050"/>
      <name val="Arial"/>
      <family val="2"/>
    </font>
    <font>
      <sz val="14"/>
      <name val="Arial"/>
      <family val="2"/>
    </font>
    <font>
      <sz val="16"/>
      <color theme="2" tint="-0.499984740745262"/>
      <name val="Arial"/>
      <family val="2"/>
    </font>
    <font>
      <b/>
      <sz val="14"/>
      <color rgb="FF00B050"/>
      <name val="Arial"/>
      <family val="2"/>
    </font>
    <font>
      <b/>
      <sz val="14"/>
      <color rgb="FFFF0000"/>
      <name val="Arial"/>
      <family val="2"/>
    </font>
    <font>
      <b/>
      <sz val="12"/>
      <color theme="3"/>
      <name val="Arial"/>
      <family val="2"/>
    </font>
    <font>
      <b/>
      <sz val="12"/>
      <color rgb="FFFF0000"/>
      <name val="Arial"/>
      <family val="2"/>
    </font>
    <font>
      <b/>
      <sz val="16"/>
      <color rgb="FFC00000"/>
      <name val="Calibri"/>
      <family val="2"/>
      <scheme val="minor"/>
    </font>
    <font>
      <b/>
      <sz val="11"/>
      <name val="Calibri"/>
      <family val="2"/>
      <scheme val="minor"/>
    </font>
    <font>
      <sz val="11"/>
      <name val="Calibri"/>
      <family val="2"/>
      <scheme val="minor"/>
    </font>
  </fonts>
  <fills count="46">
    <fill>
      <patternFill patternType="none"/>
    </fill>
    <fill>
      <patternFill patternType="gray125"/>
    </fill>
    <fill>
      <patternFill patternType="solid">
        <fgColor rgb="FF335E8D"/>
        <bgColor theme="4"/>
      </patternFill>
    </fill>
    <fill>
      <patternFill patternType="solid">
        <fgColor rgb="FFFFFF00"/>
        <bgColor indexed="64"/>
      </patternFill>
    </fill>
    <fill>
      <patternFill patternType="solid">
        <fgColor rgb="FF8FB6C9"/>
        <bgColor indexed="64"/>
      </patternFill>
    </fill>
    <fill>
      <patternFill patternType="solid">
        <fgColor rgb="FF744368"/>
        <bgColor indexed="64"/>
      </patternFill>
    </fill>
    <fill>
      <patternFill patternType="solid">
        <fgColor rgb="FF628FA5"/>
        <bgColor indexed="64"/>
      </patternFill>
    </fill>
    <fill>
      <patternFill patternType="solid">
        <fgColor rgb="FF5C3553"/>
        <bgColor indexed="64"/>
      </patternFill>
    </fill>
    <fill>
      <patternFill patternType="solid">
        <fgColor rgb="FF45283E"/>
        <bgColor indexed="64"/>
      </patternFill>
    </fill>
    <fill>
      <patternFill patternType="solid">
        <fgColor rgb="FF142538"/>
        <bgColor theme="4"/>
      </patternFill>
    </fill>
    <fill>
      <patternFill patternType="solid">
        <fgColor rgb="FF1E3854"/>
        <bgColor theme="4"/>
      </patternFill>
    </fill>
    <fill>
      <patternFill patternType="solid">
        <fgColor rgb="FF284B70"/>
        <bgColor theme="4"/>
      </patternFill>
    </fill>
    <fill>
      <patternFill patternType="solid">
        <fgColor rgb="FF5B7EA3"/>
        <bgColor indexed="64"/>
      </patternFill>
    </fill>
    <fill>
      <patternFill patternType="solid">
        <fgColor rgb="FF44748C"/>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5F9822"/>
        <bgColor indexed="64"/>
      </patternFill>
    </fill>
    <fill>
      <patternFill patternType="solid">
        <fgColor rgb="FFFFC000"/>
        <bgColor indexed="64"/>
      </patternFill>
    </fill>
    <fill>
      <patternFill patternType="solid">
        <fgColor rgb="FF4A7082"/>
        <bgColor indexed="64"/>
      </patternFill>
    </fill>
    <fill>
      <patternFill patternType="solid">
        <fgColor rgb="FFDDEBF7"/>
        <bgColor indexed="64"/>
      </patternFill>
    </fill>
    <fill>
      <patternFill patternType="solid">
        <fgColor theme="2" tint="-9.9978637043366805E-2"/>
        <bgColor indexed="64"/>
      </patternFill>
    </fill>
    <fill>
      <patternFill patternType="solid">
        <fgColor rgb="FF284B70"/>
        <bgColor indexed="64"/>
      </patternFill>
    </fill>
    <fill>
      <patternFill patternType="solid">
        <fgColor rgb="FFAC38DE"/>
        <bgColor indexed="64"/>
      </patternFill>
    </fill>
    <fill>
      <patternFill patternType="solid">
        <fgColor rgb="FFBB0F46"/>
        <bgColor indexed="64"/>
      </patternFill>
    </fill>
    <fill>
      <patternFill patternType="solid">
        <fgColor rgb="FFDF1154"/>
        <bgColor theme="4"/>
      </patternFill>
    </fill>
    <fill>
      <patternFill patternType="solid">
        <fgColor rgb="FFDF1154"/>
        <bgColor indexed="64"/>
      </patternFill>
    </fill>
    <fill>
      <patternFill patternType="solid">
        <fgColor rgb="FFDC9100"/>
        <bgColor indexed="64"/>
      </patternFill>
    </fill>
    <fill>
      <patternFill patternType="solid">
        <fgColor rgb="FF5D903B"/>
        <bgColor indexed="64"/>
      </patternFill>
    </fill>
    <fill>
      <patternFill patternType="solid">
        <fgColor rgb="FF0D39C8"/>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C00000"/>
        <bgColor indexed="64"/>
      </patternFill>
    </fill>
    <fill>
      <patternFill patternType="solid">
        <fgColor theme="0"/>
        <bgColor indexed="64"/>
      </patternFill>
    </fill>
    <fill>
      <patternFill patternType="solid">
        <fgColor theme="7" tint="0.59999389629810485"/>
        <bgColor indexed="64"/>
      </patternFill>
    </fill>
    <fill>
      <patternFill patternType="solid">
        <fgColor rgb="FFBDD7EE"/>
        <bgColor indexed="64"/>
      </patternFill>
    </fill>
    <fill>
      <patternFill patternType="solid">
        <fgColor theme="7"/>
        <bgColor indexed="64"/>
      </patternFill>
    </fill>
    <fill>
      <patternFill patternType="solid">
        <fgColor theme="5"/>
        <bgColor indexed="64"/>
      </patternFill>
    </fill>
    <fill>
      <patternFill patternType="solid">
        <fgColor theme="9" tint="0.79998168889431442"/>
        <bgColor indexed="64"/>
      </patternFill>
    </fill>
    <fill>
      <patternFill patternType="solid">
        <fgColor theme="9"/>
        <bgColor theme="9"/>
      </patternFill>
    </fill>
    <fill>
      <patternFill patternType="solid">
        <fgColor theme="8"/>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4"/>
        <bgColor theme="4"/>
      </patternFill>
    </fill>
    <fill>
      <patternFill patternType="solid">
        <fgColor theme="0" tint="-4.9989318521683403E-2"/>
        <bgColor indexed="64"/>
      </patternFill>
    </fill>
    <fill>
      <patternFill patternType="solid">
        <fgColor theme="0" tint="-0.249977111117893"/>
        <bgColor indexed="64"/>
      </patternFill>
    </fill>
  </fills>
  <borders count="10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style="thick">
        <color indexed="64"/>
      </bottom>
      <diagonal/>
    </border>
    <border>
      <left style="thick">
        <color indexed="64"/>
      </left>
      <right/>
      <top style="thin">
        <color indexed="64"/>
      </top>
      <bottom style="thin">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right style="thick">
        <color auto="1"/>
      </right>
      <top/>
      <bottom/>
      <diagonal/>
    </border>
    <border>
      <left/>
      <right style="thin">
        <color indexed="64"/>
      </right>
      <top style="thick">
        <color indexed="64"/>
      </top>
      <bottom style="thick">
        <color indexed="64"/>
      </bottom>
      <diagonal/>
    </border>
    <border>
      <left/>
      <right style="thick">
        <color indexed="64"/>
      </right>
      <top style="thin">
        <color indexed="64"/>
      </top>
      <bottom style="thin">
        <color indexed="64"/>
      </bottom>
      <diagonal/>
    </border>
    <border>
      <left style="thick">
        <color indexed="64"/>
      </left>
      <right/>
      <top/>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thin">
        <color rgb="FF000000"/>
      </top>
      <bottom style="thin">
        <color rgb="FF000000"/>
      </bottom>
      <diagonal/>
    </border>
    <border>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style="thick">
        <color indexed="64"/>
      </right>
      <top style="thick">
        <color indexed="64"/>
      </top>
      <bottom/>
      <diagonal/>
    </border>
    <border>
      <left/>
      <right style="thick">
        <color indexed="64"/>
      </right>
      <top style="thin">
        <color indexed="64"/>
      </top>
      <bottom style="thick">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rgb="FF000000"/>
      </left>
      <right style="medium">
        <color rgb="FF000000"/>
      </right>
      <top style="thin">
        <color rgb="FF000000"/>
      </top>
      <bottom/>
      <diagonal/>
    </border>
    <border>
      <left style="thick">
        <color indexed="64"/>
      </left>
      <right style="thin">
        <color indexed="64"/>
      </right>
      <top style="thin">
        <color indexed="64"/>
      </top>
      <bottom/>
      <diagonal/>
    </border>
    <border>
      <left style="thick">
        <color indexed="64"/>
      </left>
      <right/>
      <top style="thin">
        <color indexed="64"/>
      </top>
      <bottom/>
      <diagonal/>
    </border>
    <border>
      <left style="thin">
        <color indexed="64"/>
      </left>
      <right style="thick">
        <color indexed="64"/>
      </right>
      <top/>
      <bottom/>
      <diagonal/>
    </border>
    <border>
      <left style="thin">
        <color indexed="64"/>
      </left>
      <right style="thick">
        <color indexed="64"/>
      </right>
      <top style="thin">
        <color indexed="64"/>
      </top>
      <bottom/>
      <diagonal/>
    </border>
    <border>
      <left/>
      <right style="thick">
        <color indexed="64"/>
      </right>
      <top style="thin">
        <color indexed="64"/>
      </top>
      <bottom/>
      <diagonal/>
    </border>
    <border>
      <left style="thick">
        <color indexed="64"/>
      </left>
      <right style="thick">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rgb="FF000000"/>
      </bottom>
      <diagonal/>
    </border>
    <border>
      <left style="thin">
        <color indexed="64"/>
      </left>
      <right/>
      <top style="thin">
        <color rgb="FF000000"/>
      </top>
      <bottom/>
      <diagonal/>
    </border>
    <border>
      <left style="thick">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thick">
        <color indexed="64"/>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ck">
        <color indexed="64"/>
      </left>
      <right style="thin">
        <color indexed="64"/>
      </right>
      <top/>
      <bottom style="thin">
        <color indexed="64"/>
      </bottom>
      <diagonal/>
    </border>
    <border>
      <left style="medium">
        <color indexed="64"/>
      </left>
      <right style="thin">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bottom style="thin">
        <color theme="4" tint="0.39997558519241921"/>
      </bottom>
      <diagonal/>
    </border>
    <border>
      <left/>
      <right/>
      <top style="thin">
        <color theme="4" tint="0.39997558519241921"/>
      </top>
      <bottom/>
      <diagonal/>
    </border>
    <border>
      <left style="thick">
        <color rgb="FFFF0000"/>
      </left>
      <right style="thick">
        <color rgb="FFFF0000"/>
      </right>
      <top style="thick">
        <color rgb="FFFF0000"/>
      </top>
      <bottom style="thick">
        <color rgb="FFFF0000"/>
      </bottom>
      <diagonal/>
    </border>
  </borders>
  <cellStyleXfs count="9">
    <xf numFmtId="0" fontId="0" fillId="0" borderId="0"/>
    <xf numFmtId="0" fontId="3" fillId="0" borderId="0"/>
    <xf numFmtId="43"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43" fillId="0" borderId="0" applyNumberFormat="0" applyFill="0" applyBorder="0" applyAlignment="0" applyProtection="0"/>
    <xf numFmtId="43" fontId="2" fillId="0" borderId="0" applyFont="0" applyFill="0" applyBorder="0" applyAlignment="0" applyProtection="0"/>
  </cellStyleXfs>
  <cellXfs count="840">
    <xf numFmtId="0" fontId="0" fillId="0" borderId="0" xfId="0"/>
    <xf numFmtId="0" fontId="1" fillId="0" borderId="0" xfId="0" applyFont="1"/>
    <xf numFmtId="0" fontId="0" fillId="0" borderId="0" xfId="0" applyAlignment="1">
      <alignment wrapText="1"/>
    </xf>
    <xf numFmtId="0" fontId="11" fillId="14" borderId="9" xfId="0" applyFont="1" applyFill="1" applyBorder="1" applyAlignment="1">
      <alignment horizontal="center" vertical="center"/>
    </xf>
    <xf numFmtId="0" fontId="12" fillId="0" borderId="0" xfId="0" applyFont="1"/>
    <xf numFmtId="0" fontId="0" fillId="15" borderId="0" xfId="0" applyFill="1"/>
    <xf numFmtId="0" fontId="12" fillId="15" borderId="0" xfId="0" applyFont="1" applyFill="1"/>
    <xf numFmtId="0" fontId="13" fillId="0" borderId="0" xfId="0" applyFont="1"/>
    <xf numFmtId="0" fontId="13" fillId="0" borderId="1" xfId="0" applyFont="1" applyBorder="1"/>
    <xf numFmtId="9" fontId="13" fillId="0" borderId="1" xfId="0" applyNumberFormat="1" applyFont="1" applyBorder="1"/>
    <xf numFmtId="0" fontId="14" fillId="16" borderId="1" xfId="0" applyFont="1" applyFill="1" applyBorder="1" applyAlignment="1">
      <alignment wrapText="1"/>
    </xf>
    <xf numFmtId="0" fontId="14" fillId="16" borderId="1" xfId="0" applyFont="1" applyFill="1" applyBorder="1"/>
    <xf numFmtId="0" fontId="13"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168" fontId="4" fillId="0" borderId="0" xfId="4" applyNumberFormat="1" applyFont="1" applyAlignment="1">
      <alignment wrapText="1"/>
    </xf>
    <xf numFmtId="166" fontId="4" fillId="0" borderId="0" xfId="4" applyFont="1" applyAlignment="1">
      <alignment wrapText="1"/>
    </xf>
    <xf numFmtId="0" fontId="1" fillId="0" borderId="0" xfId="0" applyFont="1" applyAlignment="1">
      <alignment wrapText="1"/>
    </xf>
    <xf numFmtId="168" fontId="1" fillId="0" borderId="0" xfId="4" applyNumberFormat="1" applyFont="1"/>
    <xf numFmtId="9" fontId="0" fillId="0" borderId="0" xfId="3" applyFont="1"/>
    <xf numFmtId="0" fontId="1" fillId="0" borderId="0" xfId="0" applyFont="1" applyAlignment="1">
      <alignment horizontal="left" wrapText="1"/>
    </xf>
    <xf numFmtId="168" fontId="1" fillId="0" borderId="0" xfId="4" applyNumberFormat="1" applyFont="1" applyAlignment="1">
      <alignment wrapText="1"/>
    </xf>
    <xf numFmtId="168" fontId="0" fillId="0" borderId="0" xfId="4" applyNumberFormat="1" applyFont="1"/>
    <xf numFmtId="168" fontId="0" fillId="0" borderId="0" xfId="4" applyNumberFormat="1" applyFont="1" applyAlignment="1">
      <alignment wrapText="1"/>
    </xf>
    <xf numFmtId="166" fontId="1" fillId="0" borderId="0" xfId="4" applyFont="1" applyAlignment="1">
      <alignment wrapText="1"/>
    </xf>
    <xf numFmtId="168" fontId="8" fillId="0" borderId="1" xfId="4" applyNumberFormat="1" applyFont="1" applyBorder="1"/>
    <xf numFmtId="167" fontId="8" fillId="0" borderId="1" xfId="0" applyNumberFormat="1" applyFont="1" applyBorder="1"/>
    <xf numFmtId="168" fontId="8" fillId="0" borderId="1" xfId="4" applyNumberFormat="1" applyFont="1" applyFill="1" applyBorder="1" applyAlignment="1">
      <alignment vertical="center" wrapText="1"/>
    </xf>
    <xf numFmtId="9" fontId="8" fillId="0" borderId="1" xfId="3" applyFont="1" applyBorder="1"/>
    <xf numFmtId="167" fontId="8" fillId="0" borderId="2" xfId="0" applyNumberFormat="1" applyFont="1" applyBorder="1"/>
    <xf numFmtId="0" fontId="13" fillId="0" borderId="7" xfId="0" applyFont="1" applyBorder="1"/>
    <xf numFmtId="168" fontId="6" fillId="0" borderId="1" xfId="4" applyNumberFormat="1" applyFont="1" applyFill="1" applyBorder="1" applyAlignment="1">
      <alignment horizontal="center" vertical="center" wrapText="1"/>
    </xf>
    <xf numFmtId="168" fontId="4" fillId="0" borderId="0" xfId="4" applyNumberFormat="1" applyFont="1" applyAlignment="1">
      <alignment horizontal="center" vertical="center" wrapText="1"/>
    </xf>
    <xf numFmtId="168" fontId="6" fillId="0" borderId="1" xfId="4" applyNumberFormat="1" applyFont="1" applyFill="1" applyBorder="1" applyAlignment="1">
      <alignment vertical="center" wrapText="1"/>
    </xf>
    <xf numFmtId="0" fontId="6" fillId="0" borderId="1" xfId="0" applyFont="1" applyBorder="1" applyAlignment="1">
      <alignment horizontal="left" vertical="center" wrapText="1"/>
    </xf>
    <xf numFmtId="168" fontId="10" fillId="0" borderId="1" xfId="4" applyNumberFormat="1" applyFont="1" applyFill="1" applyBorder="1" applyAlignment="1">
      <alignment vertical="center" wrapText="1"/>
    </xf>
    <xf numFmtId="9" fontId="8" fillId="0" borderId="1" xfId="3" applyFont="1" applyFill="1" applyBorder="1" applyAlignment="1">
      <alignment vertical="center" wrapText="1"/>
    </xf>
    <xf numFmtId="0" fontId="0" fillId="0" borderId="1" xfId="0" applyBorder="1" applyAlignment="1">
      <alignment horizontal="left" vertical="center" wrapText="1"/>
    </xf>
    <xf numFmtId="9" fontId="8" fillId="0" borderId="1" xfId="3" applyFont="1" applyBorder="1" applyAlignment="1">
      <alignment vertical="center" wrapText="1"/>
    </xf>
    <xf numFmtId="9" fontId="8" fillId="0" borderId="1" xfId="0" applyNumberFormat="1" applyFont="1" applyBorder="1" applyAlignment="1">
      <alignment vertical="center" wrapText="1"/>
    </xf>
    <xf numFmtId="0" fontId="6" fillId="0" borderId="13" xfId="0" applyFont="1" applyBorder="1" applyAlignment="1">
      <alignment horizontal="left" vertical="center" wrapText="1"/>
    </xf>
    <xf numFmtId="168" fontId="6" fillId="0" borderId="14" xfId="4" applyNumberFormat="1" applyFont="1" applyFill="1" applyBorder="1" applyAlignment="1">
      <alignment horizontal="left" vertical="center" wrapText="1"/>
    </xf>
    <xf numFmtId="168" fontId="6" fillId="0" borderId="14" xfId="4" applyNumberFormat="1" applyFont="1" applyFill="1" applyBorder="1" applyAlignment="1">
      <alignment vertical="center" wrapText="1"/>
    </xf>
    <xf numFmtId="168" fontId="6" fillId="0" borderId="13" xfId="4" applyNumberFormat="1" applyFont="1" applyFill="1" applyBorder="1" applyAlignment="1">
      <alignment horizontal="center" vertical="center" wrapText="1"/>
    </xf>
    <xf numFmtId="167" fontId="8" fillId="0" borderId="13" xfId="0" applyNumberFormat="1" applyFont="1" applyBorder="1" applyAlignment="1">
      <alignment vertical="center" wrapText="1"/>
    </xf>
    <xf numFmtId="168" fontId="8" fillId="0" borderId="13" xfId="4" applyNumberFormat="1" applyFont="1" applyFill="1" applyBorder="1" applyAlignment="1">
      <alignment vertical="center" wrapText="1"/>
    </xf>
    <xf numFmtId="168" fontId="8" fillId="0" borderId="13" xfId="4" applyNumberFormat="1" applyFont="1" applyBorder="1" applyAlignment="1">
      <alignment vertical="center" wrapText="1"/>
    </xf>
    <xf numFmtId="167" fontId="5" fillId="19" borderId="15" xfId="2" applyNumberFormat="1" applyFont="1" applyFill="1" applyBorder="1" applyAlignment="1">
      <alignment horizontal="left" vertical="center" wrapText="1"/>
    </xf>
    <xf numFmtId="167" fontId="5" fillId="19" borderId="16" xfId="2" applyNumberFormat="1" applyFont="1" applyFill="1" applyBorder="1" applyAlignment="1">
      <alignment horizontal="left" vertical="center" wrapText="1"/>
    </xf>
    <xf numFmtId="167" fontId="5" fillId="19" borderId="17" xfId="2" applyNumberFormat="1" applyFont="1" applyFill="1" applyBorder="1" applyAlignment="1">
      <alignment horizontal="left" vertical="center" wrapText="1"/>
    </xf>
    <xf numFmtId="167" fontId="17" fillId="6" borderId="16" xfId="2" applyNumberFormat="1" applyFont="1" applyFill="1" applyBorder="1" applyAlignment="1">
      <alignment horizontal="center" vertical="center" wrapText="1"/>
    </xf>
    <xf numFmtId="167" fontId="17" fillId="6" borderId="17" xfId="2" applyNumberFormat="1" applyFont="1" applyFill="1" applyBorder="1" applyAlignment="1">
      <alignment horizontal="center" vertical="center" wrapText="1"/>
    </xf>
    <xf numFmtId="167" fontId="17" fillId="8" borderId="15" xfId="2" applyNumberFormat="1" applyFont="1" applyFill="1" applyBorder="1" applyAlignment="1">
      <alignment horizontal="center" vertical="center" wrapText="1"/>
    </xf>
    <xf numFmtId="167" fontId="17" fillId="8" borderId="16" xfId="2" applyNumberFormat="1" applyFont="1" applyFill="1" applyBorder="1" applyAlignment="1">
      <alignment horizontal="center" vertical="center" wrapText="1"/>
    </xf>
    <xf numFmtId="167" fontId="20" fillId="8" borderId="16" xfId="2" applyNumberFormat="1" applyFont="1" applyFill="1" applyBorder="1" applyAlignment="1">
      <alignment horizontal="center" vertical="center" wrapText="1"/>
    </xf>
    <xf numFmtId="167" fontId="17" fillId="8" borderId="17" xfId="2" applyNumberFormat="1" applyFont="1" applyFill="1" applyBorder="1" applyAlignment="1">
      <alignment horizontal="center" vertical="center" wrapText="1"/>
    </xf>
    <xf numFmtId="167" fontId="17" fillId="7" borderId="16" xfId="2" applyNumberFormat="1" applyFont="1" applyFill="1" applyBorder="1" applyAlignment="1">
      <alignment horizontal="center" vertical="center" wrapText="1"/>
    </xf>
    <xf numFmtId="168" fontId="17" fillId="5" borderId="15" xfId="4" applyNumberFormat="1" applyFont="1" applyFill="1" applyBorder="1" applyAlignment="1">
      <alignment horizontal="center" vertical="center" wrapText="1"/>
    </xf>
    <xf numFmtId="167" fontId="17" fillId="5" borderId="16" xfId="2" applyNumberFormat="1" applyFont="1" applyFill="1" applyBorder="1" applyAlignment="1">
      <alignment horizontal="center" vertical="center" wrapText="1"/>
    </xf>
    <xf numFmtId="167" fontId="21" fillId="5" borderId="17" xfId="2" applyNumberFormat="1" applyFont="1" applyFill="1" applyBorder="1" applyAlignment="1">
      <alignment horizontal="center" vertical="center" wrapText="1"/>
    </xf>
    <xf numFmtId="0" fontId="17" fillId="10" borderId="11" xfId="1" applyFont="1" applyFill="1" applyBorder="1" applyAlignment="1">
      <alignment horizontal="center" vertical="center" wrapText="1"/>
    </xf>
    <xf numFmtId="168" fontId="8" fillId="0" borderId="20" xfId="4" applyNumberFormat="1" applyFont="1" applyFill="1" applyBorder="1" applyAlignment="1">
      <alignment vertical="center" wrapText="1"/>
    </xf>
    <xf numFmtId="167" fontId="21" fillId="8" borderId="15" xfId="2" applyNumberFormat="1" applyFont="1" applyFill="1" applyBorder="1" applyAlignment="1">
      <alignment horizontal="center" vertical="center" wrapText="1"/>
    </xf>
    <xf numFmtId="167" fontId="8" fillId="0" borderId="14" xfId="0" applyNumberFormat="1" applyFont="1" applyBorder="1" applyAlignment="1">
      <alignment vertical="center" wrapText="1"/>
    </xf>
    <xf numFmtId="167" fontId="5" fillId="4" borderId="16" xfId="2" applyNumberFormat="1" applyFont="1" applyFill="1" applyBorder="1" applyAlignment="1">
      <alignment horizontal="center" vertical="center" wrapText="1"/>
    </xf>
    <xf numFmtId="167" fontId="5" fillId="4" borderId="17" xfId="2" applyNumberFormat="1" applyFont="1" applyFill="1" applyBorder="1" applyAlignment="1">
      <alignment horizontal="center" vertical="center" wrapText="1"/>
    </xf>
    <xf numFmtId="168" fontId="1" fillId="0" borderId="0" xfId="4" applyNumberFormat="1" applyFont="1" applyAlignment="1">
      <alignment horizontal="center" wrapText="1"/>
    </xf>
    <xf numFmtId="168" fontId="6" fillId="0" borderId="8" xfId="4" applyNumberFormat="1" applyFont="1" applyFill="1" applyBorder="1" applyAlignment="1">
      <alignment horizontal="center" vertical="center" wrapText="1"/>
    </xf>
    <xf numFmtId="168" fontId="4" fillId="0" borderId="0" xfId="4" applyNumberFormat="1" applyFont="1" applyAlignment="1">
      <alignment horizontal="center" wrapText="1"/>
    </xf>
    <xf numFmtId="0" fontId="17" fillId="9" borderId="11" xfId="1" applyFont="1" applyFill="1" applyBorder="1" applyAlignment="1">
      <alignment vertical="center" wrapText="1"/>
    </xf>
    <xf numFmtId="168" fontId="5" fillId="4" borderId="15" xfId="4" applyNumberFormat="1" applyFont="1" applyFill="1" applyBorder="1" applyAlignment="1">
      <alignment horizontal="center" vertical="center" wrapText="1"/>
    </xf>
    <xf numFmtId="168" fontId="5" fillId="4" borderId="16" xfId="4" applyNumberFormat="1" applyFont="1" applyFill="1" applyBorder="1" applyAlignment="1">
      <alignment horizontal="center" vertical="center" wrapText="1"/>
    </xf>
    <xf numFmtId="168" fontId="5" fillId="4" borderId="17" xfId="4" applyNumberFormat="1" applyFont="1" applyFill="1" applyBorder="1" applyAlignment="1">
      <alignment horizontal="center" vertical="center" wrapText="1"/>
    </xf>
    <xf numFmtId="168" fontId="17" fillId="6" borderId="15" xfId="4" applyNumberFormat="1" applyFont="1" applyFill="1" applyBorder="1" applyAlignment="1">
      <alignment horizontal="center" vertical="center" wrapText="1"/>
    </xf>
    <xf numFmtId="9" fontId="1" fillId="0" borderId="0" xfId="3" applyFont="1" applyAlignment="1">
      <alignment wrapText="1"/>
    </xf>
    <xf numFmtId="9" fontId="4" fillId="0" borderId="0" xfId="3" applyFont="1" applyAlignment="1">
      <alignment wrapText="1"/>
    </xf>
    <xf numFmtId="9" fontId="13" fillId="0" borderId="0" xfId="3" applyFont="1" applyBorder="1"/>
    <xf numFmtId="168" fontId="8" fillId="5" borderId="15" xfId="4" applyNumberFormat="1" applyFont="1" applyFill="1" applyBorder="1" applyAlignment="1">
      <alignment horizontal="center" vertical="center" wrapText="1"/>
    </xf>
    <xf numFmtId="9" fontId="8" fillId="5" borderId="16" xfId="3" applyFont="1" applyFill="1" applyBorder="1" applyAlignment="1">
      <alignment horizontal="center" vertical="center" wrapText="1"/>
    </xf>
    <xf numFmtId="168" fontId="8" fillId="5" borderId="16" xfId="4" applyNumberFormat="1" applyFont="1" applyFill="1" applyBorder="1" applyAlignment="1">
      <alignment horizontal="center" vertical="center" wrapText="1"/>
    </xf>
    <xf numFmtId="9" fontId="8" fillId="5" borderId="17" xfId="3" applyFont="1" applyFill="1" applyBorder="1" applyAlignment="1">
      <alignment horizontal="center" vertical="center" wrapText="1"/>
    </xf>
    <xf numFmtId="168" fontId="17" fillId="6" borderId="16" xfId="4" applyNumberFormat="1" applyFont="1" applyFill="1" applyBorder="1" applyAlignment="1">
      <alignment horizontal="center" vertical="center" wrapText="1"/>
    </xf>
    <xf numFmtId="168" fontId="6" fillId="0" borderId="13" xfId="4" applyNumberFormat="1" applyFont="1" applyFill="1" applyBorder="1" applyAlignment="1">
      <alignment vertical="center" wrapText="1"/>
    </xf>
    <xf numFmtId="166" fontId="8" fillId="0" borderId="13" xfId="4" applyFont="1" applyBorder="1" applyAlignment="1">
      <alignment vertical="center" wrapText="1"/>
    </xf>
    <xf numFmtId="167" fontId="22" fillId="18" borderId="31" xfId="2" applyNumberFormat="1" applyFont="1" applyFill="1" applyBorder="1" applyAlignment="1">
      <alignment horizontal="center" vertical="center" wrapText="1"/>
    </xf>
    <xf numFmtId="168" fontId="6" fillId="0" borderId="4" xfId="4" applyNumberFormat="1" applyFont="1" applyFill="1" applyBorder="1" applyAlignment="1">
      <alignment vertical="center" wrapText="1"/>
    </xf>
    <xf numFmtId="0" fontId="4" fillId="0" borderId="0" xfId="0" applyFont="1" applyAlignment="1">
      <alignment horizontal="right" wrapText="1"/>
    </xf>
    <xf numFmtId="9" fontId="0" fillId="0" borderId="0" xfId="3" applyFont="1" applyAlignment="1">
      <alignment horizontal="center"/>
    </xf>
    <xf numFmtId="0" fontId="0" fillId="0" borderId="0" xfId="0" applyAlignment="1">
      <alignment horizontal="center"/>
    </xf>
    <xf numFmtId="0" fontId="0" fillId="0" borderId="0" xfId="0" applyAlignment="1">
      <alignment horizontal="center" vertical="center"/>
    </xf>
    <xf numFmtId="9" fontId="0" fillId="0" borderId="0" xfId="3" applyFont="1" applyAlignment="1">
      <alignment horizontal="center" vertical="center"/>
    </xf>
    <xf numFmtId="0" fontId="0" fillId="0" borderId="0" xfId="0" applyAlignment="1">
      <alignment vertical="center"/>
    </xf>
    <xf numFmtId="0" fontId="0" fillId="16" borderId="1" xfId="0" applyFill="1" applyBorder="1" applyAlignment="1">
      <alignment horizontal="center" vertical="center"/>
    </xf>
    <xf numFmtId="0" fontId="0" fillId="0" borderId="1" xfId="0" applyBorder="1" applyAlignment="1">
      <alignment horizontal="center" vertical="center"/>
    </xf>
    <xf numFmtId="9" fontId="0" fillId="0" borderId="1" xfId="3" applyFont="1" applyBorder="1" applyAlignment="1">
      <alignment horizontal="center" vertical="center"/>
    </xf>
    <xf numFmtId="9" fontId="0" fillId="0" borderId="1" xfId="3" applyFont="1" applyBorder="1" applyAlignment="1">
      <alignment horizontal="center"/>
    </xf>
    <xf numFmtId="167" fontId="8" fillId="0" borderId="1" xfId="0" applyNumberFormat="1" applyFont="1" applyBorder="1" applyAlignment="1">
      <alignment horizontal="left" vertical="center" wrapText="1"/>
    </xf>
    <xf numFmtId="168" fontId="6" fillId="0" borderId="1" xfId="4" applyNumberFormat="1" applyFont="1" applyBorder="1" applyAlignment="1">
      <alignment horizontal="left" vertical="center" wrapText="1"/>
    </xf>
    <xf numFmtId="167" fontId="5" fillId="19" borderId="22" xfId="2" applyNumberFormat="1" applyFont="1" applyFill="1" applyBorder="1" applyAlignment="1">
      <alignment horizontal="left" vertical="center" wrapText="1"/>
    </xf>
    <xf numFmtId="0" fontId="25" fillId="0" borderId="0" xfId="0" applyFont="1"/>
    <xf numFmtId="0" fontId="6" fillId="0" borderId="1" xfId="0" applyFont="1" applyBorder="1" applyAlignment="1">
      <alignment horizontal="left" wrapText="1"/>
    </xf>
    <xf numFmtId="168" fontId="5" fillId="19" borderId="16" xfId="4" applyNumberFormat="1" applyFont="1" applyFill="1" applyBorder="1" applyAlignment="1">
      <alignment horizontal="left" vertical="center" wrapText="1"/>
    </xf>
    <xf numFmtId="168" fontId="0" fillId="0" borderId="1" xfId="4" applyNumberFormat="1" applyFont="1" applyBorder="1" applyAlignment="1">
      <alignment horizontal="left" vertical="center" wrapText="1"/>
    </xf>
    <xf numFmtId="0" fontId="1" fillId="0" borderId="0" xfId="0" applyFont="1" applyAlignment="1">
      <alignment horizontal="center" wrapText="1"/>
    </xf>
    <xf numFmtId="167" fontId="5" fillId="19" borderId="16" xfId="2"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horizontal="center" wrapText="1"/>
    </xf>
    <xf numFmtId="167" fontId="17" fillId="7" borderId="34" xfId="2" applyNumberFormat="1" applyFont="1" applyFill="1" applyBorder="1" applyAlignment="1">
      <alignment horizontal="center" vertical="center" wrapText="1"/>
    </xf>
    <xf numFmtId="168" fontId="17" fillId="7" borderId="34" xfId="4" applyNumberFormat="1" applyFont="1" applyFill="1" applyBorder="1" applyAlignment="1">
      <alignment horizontal="center" vertical="center" wrapText="1"/>
    </xf>
    <xf numFmtId="168" fontId="0" fillId="0" borderId="0" xfId="0" applyNumberFormat="1"/>
    <xf numFmtId="0" fontId="6" fillId="0" borderId="14" xfId="6" applyNumberFormat="1" applyFont="1" applyFill="1" applyBorder="1" applyAlignment="1">
      <alignment horizontal="left" vertical="center" wrapText="1"/>
    </xf>
    <xf numFmtId="9" fontId="1" fillId="0" borderId="0" xfId="3" applyFont="1"/>
    <xf numFmtId="167" fontId="5" fillId="4" borderId="6" xfId="2" applyNumberFormat="1" applyFont="1" applyFill="1" applyBorder="1" applyAlignment="1">
      <alignment horizontal="center" vertical="center" wrapText="1"/>
    </xf>
    <xf numFmtId="9" fontId="5" fillId="19" borderId="6" xfId="3" applyFont="1" applyFill="1" applyBorder="1" applyAlignment="1">
      <alignment horizontal="center" vertical="center" wrapText="1"/>
    </xf>
    <xf numFmtId="9" fontId="10" fillId="0" borderId="1" xfId="3" applyFont="1" applyBorder="1"/>
    <xf numFmtId="168" fontId="17" fillId="6" borderId="26" xfId="4" applyNumberFormat="1" applyFont="1" applyFill="1" applyBorder="1" applyAlignment="1">
      <alignment horizontal="center" vertical="center" wrapText="1"/>
    </xf>
    <xf numFmtId="168" fontId="17" fillId="8" borderId="15" xfId="4" applyNumberFormat="1" applyFont="1" applyFill="1" applyBorder="1" applyAlignment="1">
      <alignment horizontal="center" vertical="center" wrapText="1"/>
    </xf>
    <xf numFmtId="0" fontId="24" fillId="10" borderId="11" xfId="1" applyFont="1" applyFill="1" applyBorder="1" applyAlignment="1">
      <alignment horizontal="center" vertical="center" wrapText="1"/>
    </xf>
    <xf numFmtId="168" fontId="5" fillId="6" borderId="15" xfId="4" applyNumberFormat="1" applyFont="1" applyFill="1" applyBorder="1" applyAlignment="1">
      <alignment horizontal="center" vertical="center" wrapText="1"/>
    </xf>
    <xf numFmtId="168" fontId="5" fillId="6" borderId="16" xfId="4" applyNumberFormat="1" applyFont="1" applyFill="1" applyBorder="1" applyAlignment="1">
      <alignment horizontal="center" vertical="center" wrapText="1"/>
    </xf>
    <xf numFmtId="168" fontId="5" fillId="6" borderId="17" xfId="4" applyNumberFormat="1" applyFont="1" applyFill="1" applyBorder="1" applyAlignment="1">
      <alignment horizontal="center" vertical="center" wrapText="1"/>
    </xf>
    <xf numFmtId="1" fontId="0" fillId="0" borderId="0" xfId="0" applyNumberFormat="1"/>
    <xf numFmtId="0" fontId="24" fillId="22" borderId="24" xfId="1" applyFont="1" applyFill="1" applyBorder="1" applyAlignment="1">
      <alignment horizontal="center" vertical="center"/>
    </xf>
    <xf numFmtId="1" fontId="24" fillId="22" borderId="24" xfId="1" applyNumberFormat="1" applyFont="1" applyFill="1" applyBorder="1" applyAlignment="1">
      <alignment horizontal="center" vertical="center"/>
    </xf>
    <xf numFmtId="168" fontId="19" fillId="26" borderId="5" xfId="4" applyNumberFormat="1" applyFont="1" applyFill="1" applyBorder="1" applyAlignment="1">
      <alignment horizontal="center" vertical="center" wrapText="1"/>
    </xf>
    <xf numFmtId="167" fontId="29" fillId="29" borderId="30" xfId="2" applyNumberFormat="1" applyFont="1" applyFill="1" applyBorder="1" applyAlignment="1">
      <alignment horizontal="center" vertical="center" wrapText="1"/>
    </xf>
    <xf numFmtId="167" fontId="24" fillId="29" borderId="31" xfId="2" applyNumberFormat="1" applyFont="1" applyFill="1" applyBorder="1" applyAlignment="1">
      <alignment horizontal="center" vertical="center" wrapText="1"/>
    </xf>
    <xf numFmtId="167" fontId="5" fillId="19" borderId="34" xfId="2" applyNumberFormat="1" applyFont="1" applyFill="1" applyBorder="1" applyAlignment="1">
      <alignment horizontal="center" vertical="center" wrapText="1"/>
    </xf>
    <xf numFmtId="0" fontId="0" fillId="0" borderId="4" xfId="0" applyBorder="1" applyAlignment="1">
      <alignment horizontal="center" vertical="center" wrapText="1"/>
    </xf>
    <xf numFmtId="0" fontId="17" fillId="10" borderId="30" xfId="1" applyFont="1" applyFill="1" applyBorder="1" applyAlignment="1">
      <alignment horizontal="center" vertical="center" wrapText="1"/>
    </xf>
    <xf numFmtId="0" fontId="13" fillId="30" borderId="1" xfId="0" applyFont="1" applyFill="1" applyBorder="1" applyAlignment="1">
      <alignment wrapText="1"/>
    </xf>
    <xf numFmtId="0" fontId="13" fillId="30" borderId="2" xfId="0" applyFont="1" applyFill="1" applyBorder="1"/>
    <xf numFmtId="168" fontId="33" fillId="0" borderId="21" xfId="4" applyNumberFormat="1" applyFont="1" applyBorder="1" applyAlignment="1"/>
    <xf numFmtId="0" fontId="13" fillId="30" borderId="1" xfId="0" applyFont="1" applyFill="1" applyBorder="1"/>
    <xf numFmtId="1" fontId="30" fillId="0" borderId="13" xfId="3" applyNumberFormat="1" applyFont="1" applyFill="1" applyBorder="1" applyAlignment="1">
      <alignment horizontal="center" vertical="center" wrapText="1"/>
    </xf>
    <xf numFmtId="9" fontId="30" fillId="0" borderId="1" xfId="3"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 fontId="31" fillId="0" borderId="21" xfId="4" applyNumberFormat="1" applyFont="1" applyFill="1" applyBorder="1" applyAlignment="1">
      <alignment vertical="center" wrapText="1"/>
    </xf>
    <xf numFmtId="168" fontId="1" fillId="0" borderId="0" xfId="4" applyNumberFormat="1" applyFont="1" applyFill="1" applyAlignment="1">
      <alignment horizontal="center" wrapText="1"/>
    </xf>
    <xf numFmtId="9" fontId="5" fillId="19" borderId="22" xfId="3" applyFont="1" applyFill="1" applyBorder="1" applyAlignment="1">
      <alignment horizontal="left" vertical="center" wrapText="1"/>
    </xf>
    <xf numFmtId="168" fontId="33" fillId="0" borderId="21" xfId="4" applyNumberFormat="1" applyFont="1" applyBorder="1" applyAlignment="1">
      <alignment wrapText="1"/>
    </xf>
    <xf numFmtId="9" fontId="13" fillId="0" borderId="1" xfId="3" applyFont="1" applyBorder="1"/>
    <xf numFmtId="0" fontId="32" fillId="16" borderId="1" xfId="0" applyFont="1" applyFill="1" applyBorder="1" applyAlignment="1">
      <alignment horizontal="center" vertical="center" wrapText="1"/>
    </xf>
    <xf numFmtId="0" fontId="32" fillId="31" borderId="1" xfId="0" applyFont="1" applyFill="1" applyBorder="1" applyAlignment="1">
      <alignment horizontal="center" vertical="center" wrapText="1"/>
    </xf>
    <xf numFmtId="167" fontId="29" fillId="32" borderId="39" xfId="2" applyNumberFormat="1" applyFont="1" applyFill="1" applyBorder="1" applyAlignment="1">
      <alignment horizontal="center" vertical="center" wrapText="1"/>
    </xf>
    <xf numFmtId="167" fontId="29" fillId="32" borderId="24" xfId="2" applyNumberFormat="1" applyFont="1" applyFill="1" applyBorder="1" applyAlignment="1">
      <alignment horizontal="center" vertical="center" wrapText="1"/>
    </xf>
    <xf numFmtId="168" fontId="28" fillId="21" borderId="22" xfId="4" applyNumberFormat="1" applyFont="1" applyFill="1" applyBorder="1" applyAlignment="1">
      <alignment horizontal="center" vertical="center" wrapText="1"/>
    </xf>
    <xf numFmtId="168" fontId="28" fillId="21" borderId="23" xfId="4" applyNumberFormat="1" applyFont="1" applyFill="1" applyBorder="1" applyAlignment="1">
      <alignment horizontal="center" vertical="center" wrapText="1"/>
    </xf>
    <xf numFmtId="0" fontId="13" fillId="0" borderId="1" xfId="0" applyFont="1" applyBorder="1" applyAlignment="1">
      <alignment wrapText="1"/>
    </xf>
    <xf numFmtId="0" fontId="35" fillId="0" borderId="0" xfId="0" applyFont="1"/>
    <xf numFmtId="0" fontId="35" fillId="0" borderId="6" xfId="0" applyFont="1" applyBorder="1"/>
    <xf numFmtId="0" fontId="14" fillId="0" borderId="0" xfId="0" applyFont="1"/>
    <xf numFmtId="0" fontId="14" fillId="0" borderId="0" xfId="0" applyFont="1" applyAlignment="1">
      <alignment wrapText="1"/>
    </xf>
    <xf numFmtId="9" fontId="14" fillId="0" borderId="0" xfId="3" applyFont="1" applyBorder="1"/>
    <xf numFmtId="0" fontId="34" fillId="0" borderId="4" xfId="0" applyFont="1" applyBorder="1" applyAlignment="1">
      <alignment wrapText="1"/>
    </xf>
    <xf numFmtId="9" fontId="34" fillId="0" borderId="1" xfId="3" applyFont="1" applyBorder="1"/>
    <xf numFmtId="0" fontId="34" fillId="0" borderId="1" xfId="0" applyFont="1" applyBorder="1"/>
    <xf numFmtId="0" fontId="34" fillId="0" borderId="0" xfId="0" applyFont="1"/>
    <xf numFmtId="0" fontId="35" fillId="0" borderId="5" xfId="0" applyFont="1" applyBorder="1" applyAlignment="1">
      <alignment wrapText="1"/>
    </xf>
    <xf numFmtId="9" fontId="35" fillId="0" borderId="6" xfId="3" applyFont="1" applyBorder="1"/>
    <xf numFmtId="0" fontId="14" fillId="16" borderId="1" xfId="0" applyFont="1" applyFill="1" applyBorder="1" applyAlignment="1">
      <alignment horizontal="center" vertical="center" wrapText="1"/>
    </xf>
    <xf numFmtId="0" fontId="14" fillId="31"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wrapText="1"/>
    </xf>
    <xf numFmtId="167" fontId="21" fillId="5" borderId="32" xfId="2" applyNumberFormat="1" applyFont="1" applyFill="1" applyBorder="1" applyAlignment="1">
      <alignment horizontal="center" vertical="center" wrapText="1"/>
    </xf>
    <xf numFmtId="168" fontId="21" fillId="5" borderId="32" xfId="4" applyNumberFormat="1" applyFont="1" applyFill="1" applyBorder="1" applyAlignment="1">
      <alignment horizontal="center" vertical="center" wrapText="1"/>
    </xf>
    <xf numFmtId="9" fontId="8" fillId="5" borderId="34" xfId="3" applyFont="1" applyFill="1" applyBorder="1" applyAlignment="1">
      <alignment horizontal="center" vertical="center" wrapText="1"/>
    </xf>
    <xf numFmtId="168" fontId="8" fillId="5" borderId="17" xfId="4" applyNumberFormat="1" applyFont="1" applyFill="1" applyBorder="1" applyAlignment="1">
      <alignment horizontal="center" vertical="center" wrapText="1"/>
    </xf>
    <xf numFmtId="167" fontId="5" fillId="19" borderId="34" xfId="2" applyNumberFormat="1" applyFont="1" applyFill="1" applyBorder="1" applyAlignment="1">
      <alignment horizontal="left" vertical="center" wrapText="1"/>
    </xf>
    <xf numFmtId="167" fontId="5" fillId="19" borderId="19" xfId="2" applyNumberFormat="1" applyFont="1" applyFill="1" applyBorder="1" applyAlignment="1">
      <alignment horizontal="center" vertical="center" wrapText="1"/>
    </xf>
    <xf numFmtId="168" fontId="6" fillId="0" borderId="41" xfId="4" applyNumberFormat="1" applyFont="1" applyFill="1" applyBorder="1" applyAlignment="1">
      <alignment horizontal="center" vertical="center" wrapText="1"/>
    </xf>
    <xf numFmtId="4" fontId="0" fillId="0" borderId="33" xfId="0" applyNumberFormat="1" applyBorder="1"/>
    <xf numFmtId="168" fontId="28" fillId="21" borderId="44" xfId="4" applyNumberFormat="1" applyFont="1" applyFill="1" applyBorder="1" applyAlignment="1">
      <alignment horizontal="center" vertical="center" wrapText="1"/>
    </xf>
    <xf numFmtId="167" fontId="5" fillId="4" borderId="15" xfId="2" applyNumberFormat="1" applyFont="1" applyFill="1" applyBorder="1" applyAlignment="1">
      <alignment horizontal="center" vertical="center" wrapText="1"/>
    </xf>
    <xf numFmtId="167" fontId="17" fillId="4" borderId="16" xfId="2" applyNumberFormat="1" applyFont="1" applyFill="1" applyBorder="1" applyAlignment="1">
      <alignment horizontal="center" vertical="center" wrapText="1"/>
    </xf>
    <xf numFmtId="168" fontId="17" fillId="7" borderId="15" xfId="4" applyNumberFormat="1" applyFont="1" applyFill="1" applyBorder="1" applyAlignment="1">
      <alignment horizontal="center" vertical="center" wrapText="1"/>
    </xf>
    <xf numFmtId="0" fontId="6" fillId="0" borderId="0" xfId="0" applyFont="1" applyAlignment="1">
      <alignment wrapText="1"/>
    </xf>
    <xf numFmtId="0" fontId="33" fillId="0" borderId="21" xfId="0" applyFont="1" applyBorder="1" applyAlignment="1">
      <alignment wrapText="1"/>
    </xf>
    <xf numFmtId="0" fontId="30" fillId="0" borderId="0" xfId="0" applyFont="1"/>
    <xf numFmtId="168" fontId="6" fillId="0" borderId="12" xfId="4" applyNumberFormat="1" applyFont="1" applyBorder="1" applyAlignment="1">
      <alignment horizontal="left" vertical="center" wrapText="1"/>
    </xf>
    <xf numFmtId="166" fontId="0" fillId="0" borderId="0" xfId="4" applyFont="1" applyAlignment="1">
      <alignment horizontal="center" vertical="center"/>
    </xf>
    <xf numFmtId="0" fontId="0" fillId="0" borderId="0" xfId="0" applyAlignment="1">
      <alignment horizontal="right" vertical="center"/>
    </xf>
    <xf numFmtId="166" fontId="0" fillId="0" borderId="0" xfId="4" applyFont="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right"/>
    </xf>
    <xf numFmtId="0" fontId="0" fillId="0" borderId="0" xfId="0" applyAlignment="1">
      <alignment horizontal="center" vertical="center" wrapText="1"/>
    </xf>
    <xf numFmtId="0" fontId="0" fillId="0" borderId="36" xfId="0" applyBorder="1"/>
    <xf numFmtId="168" fontId="36" fillId="0" borderId="0" xfId="4" applyNumberFormat="1" applyFont="1" applyAlignment="1">
      <alignment horizontal="center" vertical="center" wrapText="1"/>
    </xf>
    <xf numFmtId="168" fontId="0" fillId="0" borderId="0" xfId="4" applyNumberFormat="1" applyFont="1" applyAlignment="1">
      <alignment horizontal="center" vertical="center" wrapText="1"/>
    </xf>
    <xf numFmtId="9" fontId="8" fillId="0" borderId="4" xfId="0" applyNumberFormat="1" applyFont="1" applyBorder="1" applyAlignment="1">
      <alignment vertical="center" wrapText="1"/>
    </xf>
    <xf numFmtId="9" fontId="8" fillId="0" borderId="13" xfId="0" applyNumberFormat="1" applyFont="1" applyBorder="1" applyAlignment="1">
      <alignment vertical="center" wrapText="1"/>
    </xf>
    <xf numFmtId="9" fontId="8" fillId="0" borderId="1" xfId="0" applyNumberFormat="1" applyFont="1" applyBorder="1" applyAlignment="1">
      <alignment horizontal="left" vertical="center" wrapText="1"/>
    </xf>
    <xf numFmtId="168" fontId="8" fillId="0" borderId="13" xfId="4" applyNumberFormat="1" applyFont="1" applyBorder="1" applyAlignment="1">
      <alignment horizontal="right" vertical="center" wrapText="1"/>
    </xf>
    <xf numFmtId="168" fontId="17" fillId="6" borderId="34" xfId="4" applyNumberFormat="1" applyFont="1" applyFill="1" applyBorder="1" applyAlignment="1">
      <alignment horizontal="center" vertical="center" wrapText="1"/>
    </xf>
    <xf numFmtId="168" fontId="5" fillId="4" borderId="34" xfId="4" applyNumberFormat="1" applyFont="1" applyFill="1" applyBorder="1" applyAlignment="1">
      <alignment horizontal="center" vertical="center" wrapText="1"/>
    </xf>
    <xf numFmtId="169" fontId="8" fillId="0" borderId="1" xfId="4" applyNumberFormat="1" applyFont="1" applyBorder="1"/>
    <xf numFmtId="169" fontId="1" fillId="0" borderId="0" xfId="4" applyNumberFormat="1" applyFont="1" applyAlignment="1">
      <alignment horizontal="left"/>
    </xf>
    <xf numFmtId="167" fontId="5" fillId="19" borderId="26" xfId="2" applyNumberFormat="1" applyFont="1" applyFill="1" applyBorder="1" applyAlignment="1">
      <alignment horizontal="left" vertical="center" wrapText="1"/>
    </xf>
    <xf numFmtId="168" fontId="5" fillId="19" borderId="15" xfId="4" applyNumberFormat="1" applyFont="1" applyFill="1" applyBorder="1" applyAlignment="1">
      <alignment horizontal="left" vertical="center" wrapText="1"/>
    </xf>
    <xf numFmtId="166" fontId="5" fillId="8" borderId="45" xfId="4" applyFont="1" applyFill="1" applyBorder="1" applyAlignment="1">
      <alignment horizontal="center" vertical="center" wrapText="1"/>
    </xf>
    <xf numFmtId="168" fontId="5" fillId="8" borderId="22" xfId="4" applyNumberFormat="1" applyFont="1" applyFill="1" applyBorder="1" applyAlignment="1">
      <alignment horizontal="center" vertical="center" wrapText="1"/>
    </xf>
    <xf numFmtId="167" fontId="5" fillId="8" borderId="22" xfId="2" applyNumberFormat="1" applyFont="1" applyFill="1" applyBorder="1" applyAlignment="1">
      <alignment horizontal="center" vertical="center" wrapText="1"/>
    </xf>
    <xf numFmtId="168" fontId="5" fillId="8" borderId="23" xfId="4" applyNumberFormat="1" applyFont="1" applyFill="1" applyBorder="1" applyAlignment="1">
      <alignment horizontal="center" vertical="center" wrapText="1"/>
    </xf>
    <xf numFmtId="1" fontId="38" fillId="8" borderId="45" xfId="2" applyNumberFormat="1" applyFont="1" applyFill="1" applyBorder="1" applyAlignment="1">
      <alignment horizontal="center" vertical="center" wrapText="1"/>
    </xf>
    <xf numFmtId="1" fontId="38" fillId="8" borderId="23" xfId="2" applyNumberFormat="1" applyFont="1" applyFill="1" applyBorder="1" applyAlignment="1">
      <alignment horizontal="center" vertical="center" wrapText="1"/>
    </xf>
    <xf numFmtId="167" fontId="11" fillId="8" borderId="4" xfId="2" applyNumberFormat="1" applyFont="1" applyFill="1" applyBorder="1" applyAlignment="1">
      <alignment horizontal="center" vertical="center" wrapText="1"/>
    </xf>
    <xf numFmtId="1" fontId="11" fillId="8" borderId="45" xfId="2" applyNumberFormat="1" applyFont="1" applyFill="1" applyBorder="1" applyAlignment="1">
      <alignment horizontal="center" vertical="center" wrapText="1"/>
    </xf>
    <xf numFmtId="1" fontId="11" fillId="8" borderId="23" xfId="2" applyNumberFormat="1" applyFont="1" applyFill="1" applyBorder="1" applyAlignment="1">
      <alignment horizontal="center" vertical="center" wrapText="1"/>
    </xf>
    <xf numFmtId="167" fontId="5" fillId="28" borderId="45" xfId="2" applyNumberFormat="1" applyFont="1" applyFill="1" applyBorder="1" applyAlignment="1">
      <alignment horizontal="center" vertical="center" wrapText="1"/>
    </xf>
    <xf numFmtId="167" fontId="5" fillId="28" borderId="23" xfId="2" applyNumberFormat="1" applyFont="1" applyFill="1" applyBorder="1" applyAlignment="1">
      <alignment horizontal="center" vertical="center" wrapText="1"/>
    </xf>
    <xf numFmtId="168" fontId="19" fillId="26" borderId="13" xfId="4" applyNumberFormat="1" applyFont="1" applyFill="1" applyBorder="1" applyAlignment="1">
      <alignment horizontal="center" vertical="center" wrapText="1"/>
    </xf>
    <xf numFmtId="168" fontId="19" fillId="26" borderId="1" xfId="4" applyNumberFormat="1" applyFont="1" applyFill="1" applyBorder="1" applyAlignment="1">
      <alignment horizontal="center" vertical="center" wrapText="1"/>
    </xf>
    <xf numFmtId="168" fontId="19" fillId="26" borderId="14" xfId="4" applyNumberFormat="1" applyFont="1" applyFill="1" applyBorder="1" applyAlignment="1">
      <alignment horizontal="center" vertical="center" wrapText="1"/>
    </xf>
    <xf numFmtId="167" fontId="5" fillId="4" borderId="5" xfId="2" applyNumberFormat="1" applyFont="1" applyFill="1" applyBorder="1" applyAlignment="1">
      <alignment horizontal="center" vertical="center" wrapText="1"/>
    </xf>
    <xf numFmtId="169" fontId="5" fillId="4" borderId="15" xfId="4" applyNumberFormat="1" applyFont="1" applyFill="1" applyBorder="1" applyAlignment="1">
      <alignment horizontal="center" vertical="center" wrapText="1"/>
    </xf>
    <xf numFmtId="169" fontId="5" fillId="4" borderId="16" xfId="4" applyNumberFormat="1" applyFont="1" applyFill="1" applyBorder="1" applyAlignment="1">
      <alignment horizontal="center" vertical="center" wrapText="1"/>
    </xf>
    <xf numFmtId="9" fontId="5" fillId="4" borderId="16" xfId="3" applyFont="1" applyFill="1" applyBorder="1" applyAlignment="1">
      <alignment horizontal="center" vertical="center" wrapText="1"/>
    </xf>
    <xf numFmtId="0" fontId="1" fillId="0" borderId="1" xfId="0" applyFont="1" applyBorder="1" applyAlignment="1">
      <alignment horizontal="center" vertical="center" wrapText="1"/>
    </xf>
    <xf numFmtId="168" fontId="6" fillId="33" borderId="1" xfId="4" applyNumberFormat="1" applyFont="1" applyFill="1" applyBorder="1" applyAlignment="1">
      <alignment vertical="center" wrapText="1"/>
    </xf>
    <xf numFmtId="168" fontId="8" fillId="0" borderId="20" xfId="4" applyNumberFormat="1" applyFont="1" applyBorder="1" applyAlignment="1">
      <alignment vertical="center" wrapText="1"/>
    </xf>
    <xf numFmtId="9" fontId="17" fillId="7" borderId="16" xfId="3" applyFont="1" applyFill="1" applyBorder="1" applyAlignment="1">
      <alignment horizontal="center" vertical="center" wrapText="1"/>
    </xf>
    <xf numFmtId="9" fontId="30" fillId="0" borderId="1" xfId="3" applyFont="1" applyBorder="1" applyAlignment="1">
      <alignment horizontal="center" vertical="center" wrapText="1"/>
    </xf>
    <xf numFmtId="168" fontId="6" fillId="33" borderId="8" xfId="4" applyNumberFormat="1" applyFont="1" applyFill="1" applyBorder="1" applyAlignment="1">
      <alignment horizontal="center" vertical="center" wrapText="1"/>
    </xf>
    <xf numFmtId="0" fontId="6" fillId="33" borderId="13" xfId="0" applyFont="1" applyFill="1" applyBorder="1" applyAlignment="1">
      <alignment horizontal="left" vertical="center" wrapText="1"/>
    </xf>
    <xf numFmtId="0" fontId="6" fillId="33" borderId="1" xfId="0" applyFont="1" applyFill="1" applyBorder="1" applyAlignment="1">
      <alignment horizontal="left" vertical="center" wrapText="1"/>
    </xf>
    <xf numFmtId="168" fontId="6" fillId="33" borderId="1" xfId="4" applyNumberFormat="1" applyFont="1" applyFill="1" applyBorder="1" applyAlignment="1">
      <alignment horizontal="left" vertical="center" wrapText="1"/>
    </xf>
    <xf numFmtId="168" fontId="6" fillId="33" borderId="14" xfId="4" applyNumberFormat="1" applyFont="1" applyFill="1" applyBorder="1" applyAlignment="1">
      <alignment horizontal="left" vertical="center" wrapText="1"/>
    </xf>
    <xf numFmtId="168" fontId="6" fillId="33" borderId="13" xfId="4" applyNumberFormat="1" applyFont="1" applyFill="1" applyBorder="1" applyAlignment="1">
      <alignment horizontal="right" vertical="center" wrapText="1"/>
    </xf>
    <xf numFmtId="168" fontId="10" fillId="33" borderId="1" xfId="4" applyNumberFormat="1" applyFont="1" applyFill="1" applyBorder="1" applyAlignment="1">
      <alignment vertical="center" wrapText="1"/>
    </xf>
    <xf numFmtId="168" fontId="6" fillId="33" borderId="14" xfId="4" applyNumberFormat="1" applyFont="1" applyFill="1" applyBorder="1" applyAlignment="1">
      <alignment vertical="center" wrapText="1"/>
    </xf>
    <xf numFmtId="168" fontId="6" fillId="33" borderId="13" xfId="4" applyNumberFormat="1" applyFont="1" applyFill="1" applyBorder="1" applyAlignment="1">
      <alignment horizontal="center" vertical="center" wrapText="1"/>
    </xf>
    <xf numFmtId="168" fontId="6" fillId="33" borderId="1" xfId="4" applyNumberFormat="1" applyFont="1" applyFill="1" applyBorder="1" applyAlignment="1">
      <alignment horizontal="center" vertical="center" wrapText="1"/>
    </xf>
    <xf numFmtId="0" fontId="6" fillId="33" borderId="14" xfId="6" applyNumberFormat="1" applyFont="1" applyFill="1" applyBorder="1" applyAlignment="1">
      <alignment horizontal="left" vertical="center" wrapText="1"/>
    </xf>
    <xf numFmtId="168" fontId="8" fillId="33" borderId="20" xfId="4" applyNumberFormat="1" applyFont="1" applyFill="1" applyBorder="1" applyAlignment="1">
      <alignment vertical="center" wrapText="1"/>
    </xf>
    <xf numFmtId="168" fontId="6" fillId="33" borderId="13" xfId="4" applyNumberFormat="1" applyFont="1" applyFill="1" applyBorder="1" applyAlignment="1">
      <alignment vertical="center" wrapText="1"/>
    </xf>
    <xf numFmtId="168" fontId="6" fillId="33" borderId="4" xfId="4" applyNumberFormat="1" applyFont="1" applyFill="1" applyBorder="1" applyAlignment="1">
      <alignment vertical="center" wrapText="1"/>
    </xf>
    <xf numFmtId="166" fontId="8" fillId="33" borderId="13" xfId="4" applyFont="1" applyFill="1" applyBorder="1" applyAlignment="1">
      <alignment vertical="center" wrapText="1"/>
    </xf>
    <xf numFmtId="168" fontId="8" fillId="33" borderId="1" xfId="4" applyNumberFormat="1" applyFont="1" applyFill="1" applyBorder="1" applyAlignment="1">
      <alignment vertical="center" wrapText="1"/>
    </xf>
    <xf numFmtId="167" fontId="8" fillId="33" borderId="1" xfId="0" applyNumberFormat="1" applyFont="1" applyFill="1" applyBorder="1" applyAlignment="1">
      <alignment horizontal="left" vertical="center" wrapText="1"/>
    </xf>
    <xf numFmtId="9" fontId="8" fillId="33" borderId="1" xfId="3" applyFont="1" applyFill="1" applyBorder="1" applyAlignment="1">
      <alignment vertical="center" wrapText="1"/>
    </xf>
    <xf numFmtId="1" fontId="30" fillId="33" borderId="13" xfId="3" applyNumberFormat="1" applyFont="1" applyFill="1" applyBorder="1" applyAlignment="1">
      <alignment horizontal="center" vertical="center" wrapText="1"/>
    </xf>
    <xf numFmtId="9" fontId="30" fillId="33" borderId="1" xfId="3" applyFont="1" applyFill="1" applyBorder="1" applyAlignment="1">
      <alignment horizontal="center" vertical="center" wrapText="1"/>
    </xf>
    <xf numFmtId="167" fontId="8" fillId="33" borderId="13" xfId="0" applyNumberFormat="1" applyFont="1" applyFill="1" applyBorder="1" applyAlignment="1">
      <alignment vertical="center" wrapText="1"/>
    </xf>
    <xf numFmtId="0" fontId="0" fillId="33" borderId="0" xfId="0" applyFill="1"/>
    <xf numFmtId="168" fontId="6" fillId="33" borderId="12" xfId="4" applyNumberFormat="1" applyFont="1" applyFill="1" applyBorder="1" applyAlignment="1">
      <alignment horizontal="left" vertical="center" wrapText="1"/>
    </xf>
    <xf numFmtId="168" fontId="6" fillId="33" borderId="6" xfId="4" applyNumberFormat="1" applyFont="1" applyFill="1" applyBorder="1" applyAlignment="1">
      <alignment vertical="center" wrapText="1"/>
    </xf>
    <xf numFmtId="168" fontId="10" fillId="33" borderId="6" xfId="4" applyNumberFormat="1" applyFont="1" applyFill="1" applyBorder="1" applyAlignment="1">
      <alignment vertical="center" wrapText="1"/>
    </xf>
    <xf numFmtId="167" fontId="8" fillId="33" borderId="40" xfId="0" applyNumberFormat="1" applyFont="1" applyFill="1" applyBorder="1" applyAlignment="1">
      <alignment vertical="center" wrapText="1"/>
    </xf>
    <xf numFmtId="0" fontId="0" fillId="33" borderId="4" xfId="0" applyFill="1" applyBorder="1" applyAlignment="1">
      <alignment horizontal="center" vertical="center" wrapText="1"/>
    </xf>
    <xf numFmtId="0" fontId="0" fillId="33" borderId="1" xfId="0" applyFill="1" applyBorder="1" applyAlignment="1">
      <alignment horizontal="center" vertical="center" wrapText="1"/>
    </xf>
    <xf numFmtId="168" fontId="0" fillId="33" borderId="1" xfId="4" applyNumberFormat="1" applyFont="1" applyFill="1" applyBorder="1" applyAlignment="1">
      <alignment horizontal="left" vertical="center" wrapText="1"/>
    </xf>
    <xf numFmtId="168" fontId="6" fillId="33" borderId="5" xfId="4" applyNumberFormat="1" applyFont="1" applyFill="1" applyBorder="1" applyAlignment="1">
      <alignment horizontal="right" vertical="center" wrapText="1"/>
    </xf>
    <xf numFmtId="168" fontId="6" fillId="33" borderId="25" xfId="4" applyNumberFormat="1" applyFont="1" applyFill="1" applyBorder="1" applyAlignment="1">
      <alignment vertical="center" wrapText="1"/>
    </xf>
    <xf numFmtId="168" fontId="6" fillId="33" borderId="2" xfId="4" applyNumberFormat="1" applyFont="1" applyFill="1" applyBorder="1" applyAlignment="1">
      <alignment vertical="center" wrapText="1"/>
    </xf>
    <xf numFmtId="168" fontId="8" fillId="33" borderId="14" xfId="4" applyNumberFormat="1" applyFont="1" applyFill="1" applyBorder="1" applyAlignment="1">
      <alignment vertical="center" wrapText="1"/>
    </xf>
    <xf numFmtId="9" fontId="6" fillId="33" borderId="3" xfId="3" applyFont="1" applyFill="1" applyBorder="1" applyAlignment="1">
      <alignment vertical="center" wrapText="1"/>
    </xf>
    <xf numFmtId="9" fontId="6" fillId="33" borderId="2" xfId="3" applyFont="1" applyFill="1" applyBorder="1" applyAlignment="1">
      <alignment vertical="center" wrapText="1"/>
    </xf>
    <xf numFmtId="9" fontId="8" fillId="33" borderId="14" xfId="3" applyFont="1" applyFill="1" applyBorder="1" applyAlignment="1">
      <alignment vertical="center" wrapText="1"/>
    </xf>
    <xf numFmtId="0" fontId="6" fillId="33" borderId="13" xfId="0" applyFont="1" applyFill="1" applyBorder="1" applyAlignment="1">
      <alignment horizontal="center" vertical="center" wrapText="1"/>
    </xf>
    <xf numFmtId="0" fontId="1" fillId="33" borderId="1" xfId="0" applyFont="1" applyFill="1" applyBorder="1" applyAlignment="1">
      <alignment horizontal="center" vertical="center" wrapText="1"/>
    </xf>
    <xf numFmtId="168" fontId="6" fillId="33" borderId="13" xfId="6" applyNumberFormat="1" applyFont="1" applyFill="1" applyBorder="1" applyAlignment="1">
      <alignment horizontal="center" vertical="center" wrapText="1"/>
    </xf>
    <xf numFmtId="9" fontId="6" fillId="33" borderId="13" xfId="4" applyNumberFormat="1" applyFont="1" applyFill="1" applyBorder="1" applyAlignment="1">
      <alignment vertical="center" wrapText="1"/>
    </xf>
    <xf numFmtId="9" fontId="6" fillId="33" borderId="1" xfId="4" applyNumberFormat="1" applyFont="1" applyFill="1" applyBorder="1" applyAlignment="1">
      <alignment vertical="center" wrapText="1"/>
    </xf>
    <xf numFmtId="9" fontId="6" fillId="33" borderId="1" xfId="0" applyNumberFormat="1" applyFont="1" applyFill="1" applyBorder="1" applyAlignment="1">
      <alignment vertical="center" wrapText="1"/>
    </xf>
    <xf numFmtId="9" fontId="6" fillId="33" borderId="14" xfId="0" applyNumberFormat="1" applyFont="1" applyFill="1" applyBorder="1" applyAlignment="1">
      <alignment vertical="center" wrapText="1"/>
    </xf>
    <xf numFmtId="167" fontId="8" fillId="33" borderId="13" xfId="4" applyNumberFormat="1" applyFont="1" applyFill="1" applyBorder="1" applyAlignment="1">
      <alignment vertical="center" wrapText="1"/>
    </xf>
    <xf numFmtId="167" fontId="8" fillId="33" borderId="1" xfId="4" applyNumberFormat="1" applyFont="1" applyFill="1" applyBorder="1" applyAlignment="1">
      <alignment vertical="center" wrapText="1"/>
    </xf>
    <xf numFmtId="9" fontId="8" fillId="33" borderId="1" xfId="4" applyNumberFormat="1" applyFont="1" applyFill="1" applyBorder="1" applyAlignment="1">
      <alignment vertical="center" wrapText="1"/>
    </xf>
    <xf numFmtId="10" fontId="8" fillId="33" borderId="1" xfId="4" applyNumberFormat="1" applyFont="1" applyFill="1" applyBorder="1" applyAlignment="1">
      <alignment horizontal="left" vertical="center" wrapText="1"/>
    </xf>
    <xf numFmtId="9" fontId="8" fillId="33" borderId="14" xfId="0" applyNumberFormat="1" applyFont="1" applyFill="1" applyBorder="1" applyAlignment="1">
      <alignment vertical="center" wrapText="1"/>
    </xf>
    <xf numFmtId="168" fontId="8" fillId="33" borderId="13" xfId="4" applyNumberFormat="1" applyFont="1" applyFill="1" applyBorder="1" applyAlignment="1">
      <alignment vertical="center" wrapText="1"/>
    </xf>
    <xf numFmtId="167" fontId="8" fillId="33" borderId="1" xfId="0" applyNumberFormat="1" applyFont="1" applyFill="1" applyBorder="1" applyAlignment="1">
      <alignment vertical="center" wrapText="1"/>
    </xf>
    <xf numFmtId="9" fontId="8" fillId="33" borderId="1" xfId="0" applyNumberFormat="1" applyFont="1" applyFill="1" applyBorder="1" applyAlignment="1">
      <alignment vertical="center" wrapText="1"/>
    </xf>
    <xf numFmtId="168" fontId="8" fillId="33" borderId="4" xfId="4" applyNumberFormat="1" applyFont="1" applyFill="1" applyBorder="1" applyAlignment="1">
      <alignment vertical="center" wrapText="1"/>
    </xf>
    <xf numFmtId="9" fontId="8" fillId="33" borderId="4" xfId="0" applyNumberFormat="1" applyFont="1" applyFill="1" applyBorder="1" applyAlignment="1">
      <alignment vertical="center" wrapText="1"/>
    </xf>
    <xf numFmtId="168" fontId="8" fillId="33" borderId="35" xfId="4" applyNumberFormat="1" applyFont="1" applyFill="1" applyBorder="1" applyAlignment="1">
      <alignment vertical="center" wrapText="1"/>
    </xf>
    <xf numFmtId="9" fontId="8" fillId="33" borderId="35" xfId="4" applyNumberFormat="1" applyFont="1" applyFill="1" applyBorder="1" applyAlignment="1">
      <alignment vertical="center" wrapText="1"/>
    </xf>
    <xf numFmtId="168" fontId="0" fillId="33" borderId="0" xfId="4" applyNumberFormat="1" applyFont="1" applyFill="1"/>
    <xf numFmtId="0" fontId="1" fillId="33" borderId="0" xfId="0" applyFont="1" applyFill="1" applyAlignment="1">
      <alignment wrapText="1"/>
    </xf>
    <xf numFmtId="0" fontId="1" fillId="33" borderId="0" xfId="0" applyFont="1" applyFill="1" applyAlignment="1">
      <alignment horizontal="right" wrapText="1"/>
    </xf>
    <xf numFmtId="166" fontId="1" fillId="33" borderId="0" xfId="4" applyFont="1" applyFill="1" applyAlignment="1">
      <alignment wrapText="1"/>
    </xf>
    <xf numFmtId="168" fontId="1" fillId="33" borderId="0" xfId="4" applyNumberFormat="1" applyFont="1" applyFill="1" applyAlignment="1">
      <alignment wrapText="1"/>
    </xf>
    <xf numFmtId="167" fontId="17" fillId="8" borderId="26" xfId="2" applyNumberFormat="1" applyFont="1" applyFill="1" applyBorder="1" applyAlignment="1">
      <alignment horizontal="center" vertical="center" wrapText="1"/>
    </xf>
    <xf numFmtId="167" fontId="8" fillId="33" borderId="2" xfId="0" applyNumberFormat="1" applyFont="1" applyFill="1" applyBorder="1" applyAlignment="1">
      <alignment horizontal="left" vertical="center" wrapText="1"/>
    </xf>
    <xf numFmtId="168" fontId="18" fillId="18" borderId="1" xfId="4" applyNumberFormat="1" applyFont="1" applyFill="1" applyBorder="1" applyAlignment="1">
      <alignment horizontal="center"/>
    </xf>
    <xf numFmtId="167" fontId="23" fillId="17" borderId="1" xfId="2" applyNumberFormat="1" applyFont="1" applyFill="1" applyBorder="1" applyAlignment="1">
      <alignment horizontal="center" vertical="center" wrapText="1"/>
    </xf>
    <xf numFmtId="167" fontId="24" fillId="17" borderId="1" xfId="2" applyNumberFormat="1" applyFont="1" applyFill="1" applyBorder="1" applyAlignment="1">
      <alignment horizontal="center" vertical="center" wrapText="1"/>
    </xf>
    <xf numFmtId="0" fontId="39" fillId="18" borderId="1" xfId="0" applyFont="1" applyFill="1" applyBorder="1" applyAlignment="1">
      <alignment vertical="center"/>
    </xf>
    <xf numFmtId="0" fontId="5" fillId="13" borderId="10" xfId="0" applyFont="1" applyFill="1" applyBorder="1" applyAlignment="1">
      <alignment horizontal="center" vertical="center"/>
    </xf>
    <xf numFmtId="0" fontId="19" fillId="34" borderId="10" xfId="0" applyFont="1" applyFill="1" applyBorder="1" applyAlignment="1">
      <alignment horizontal="center" vertical="center"/>
    </xf>
    <xf numFmtId="0" fontId="8" fillId="0" borderId="10" xfId="0" applyFont="1" applyBorder="1" applyAlignment="1">
      <alignment vertical="center" wrapText="1"/>
    </xf>
    <xf numFmtId="0" fontId="6" fillId="0" borderId="10" xfId="0" applyFont="1" applyBorder="1" applyAlignment="1">
      <alignment vertical="top" wrapText="1"/>
    </xf>
    <xf numFmtId="0" fontId="19" fillId="35" borderId="10" xfId="0" applyFont="1" applyFill="1" applyBorder="1" applyAlignment="1">
      <alignment horizontal="center" vertical="center"/>
    </xf>
    <xf numFmtId="0" fontId="0" fillId="0" borderId="10" xfId="0" applyBorder="1" applyAlignment="1">
      <alignment horizontal="left" vertical="top" wrapText="1"/>
    </xf>
    <xf numFmtId="0" fontId="43" fillId="0" borderId="10" xfId="7" applyBorder="1" applyAlignment="1">
      <alignment vertical="center" wrapText="1"/>
    </xf>
    <xf numFmtId="0" fontId="43" fillId="0" borderId="10" xfId="7" applyBorder="1" applyAlignment="1">
      <alignment horizontal="left" vertical="center" wrapText="1" indent="1"/>
    </xf>
    <xf numFmtId="0" fontId="0" fillId="0" borderId="0" xfId="0" applyAlignment="1">
      <alignment horizontal="left" indent="1"/>
    </xf>
    <xf numFmtId="167" fontId="8" fillId="0" borderId="2" xfId="0" applyNumberFormat="1" applyFont="1" applyBorder="1" applyAlignment="1">
      <alignment horizontal="left" vertical="center" wrapText="1"/>
    </xf>
    <xf numFmtId="167" fontId="5" fillId="8" borderId="50" xfId="2" applyNumberFormat="1" applyFont="1" applyFill="1" applyBorder="1" applyAlignment="1">
      <alignment horizontal="center" vertical="center" wrapText="1"/>
    </xf>
    <xf numFmtId="9" fontId="8" fillId="33" borderId="35" xfId="0" applyNumberFormat="1" applyFont="1" applyFill="1" applyBorder="1" applyAlignment="1">
      <alignment vertical="center" wrapText="1"/>
    </xf>
    <xf numFmtId="168" fontId="24" fillId="24" borderId="0" xfId="4" applyNumberFormat="1" applyFont="1" applyFill="1" applyBorder="1" applyAlignment="1">
      <alignment horizontal="center" vertical="center" wrapText="1"/>
    </xf>
    <xf numFmtId="168" fontId="19" fillId="26" borderId="51" xfId="4" applyNumberFormat="1" applyFont="1" applyFill="1" applyBorder="1" applyAlignment="1">
      <alignment horizontal="center" vertical="center" wrapText="1"/>
    </xf>
    <xf numFmtId="167" fontId="5" fillId="19" borderId="0" xfId="2" applyNumberFormat="1" applyFont="1" applyFill="1" applyBorder="1" applyAlignment="1">
      <alignment horizontal="left" vertical="center" wrapText="1"/>
    </xf>
    <xf numFmtId="167" fontId="46" fillId="27" borderId="49" xfId="2" applyNumberFormat="1" applyFont="1" applyFill="1" applyBorder="1" applyAlignment="1">
      <alignment horizontal="center" vertical="center" wrapText="1"/>
    </xf>
    <xf numFmtId="1" fontId="47" fillId="0" borderId="0" xfId="4" applyNumberFormat="1" applyFont="1" applyFill="1" applyBorder="1" applyAlignment="1">
      <alignment vertical="center" wrapText="1"/>
    </xf>
    <xf numFmtId="9" fontId="30" fillId="0" borderId="2" xfId="3" applyFont="1" applyFill="1" applyBorder="1" applyAlignment="1">
      <alignment horizontal="center" vertical="center" wrapText="1"/>
    </xf>
    <xf numFmtId="9" fontId="30" fillId="33" borderId="2" xfId="3" applyFont="1" applyFill="1" applyBorder="1" applyAlignment="1">
      <alignment horizontal="center" vertical="center" wrapText="1"/>
    </xf>
    <xf numFmtId="168" fontId="33" fillId="0" borderId="0" xfId="4" applyNumberFormat="1" applyFont="1" applyBorder="1" applyAlignment="1"/>
    <xf numFmtId="167" fontId="22" fillId="36" borderId="32" xfId="2" applyNumberFormat="1" applyFont="1" applyFill="1" applyBorder="1" applyAlignment="1">
      <alignment horizontal="center" vertical="center" wrapText="1"/>
    </xf>
    <xf numFmtId="0" fontId="17" fillId="9" borderId="11" xfId="1" applyFont="1" applyFill="1" applyBorder="1" applyAlignment="1">
      <alignment horizontal="center" vertical="center" wrapText="1"/>
    </xf>
    <xf numFmtId="0" fontId="17" fillId="9" borderId="19" xfId="1" applyFont="1" applyFill="1" applyBorder="1" applyAlignment="1">
      <alignment horizontal="center" vertical="center" wrapText="1"/>
    </xf>
    <xf numFmtId="0" fontId="24" fillId="9" borderId="24" xfId="1" applyFont="1" applyFill="1" applyBorder="1" applyAlignment="1">
      <alignment horizontal="center" vertical="center" wrapText="1"/>
    </xf>
    <xf numFmtId="0" fontId="13" fillId="37" borderId="0" xfId="0" applyFont="1" applyFill="1"/>
    <xf numFmtId="9" fontId="13" fillId="30" borderId="2" xfId="3" applyFont="1" applyFill="1" applyBorder="1"/>
    <xf numFmtId="9" fontId="13" fillId="30" borderId="1" xfId="3" applyFont="1" applyFill="1" applyBorder="1"/>
    <xf numFmtId="0" fontId="6" fillId="0" borderId="13" xfId="0" applyFont="1" applyBorder="1" applyAlignment="1">
      <alignment horizontal="center" vertical="center" wrapText="1"/>
    </xf>
    <xf numFmtId="0" fontId="4" fillId="0" borderId="1" xfId="0" applyFont="1" applyBorder="1" applyAlignment="1">
      <alignment horizontal="center" vertical="center" wrapText="1"/>
    </xf>
    <xf numFmtId="168" fontId="6" fillId="0" borderId="13" xfId="6" applyNumberFormat="1" applyFont="1" applyBorder="1" applyAlignment="1">
      <alignment horizontal="center" vertical="center" wrapText="1"/>
    </xf>
    <xf numFmtId="168" fontId="6" fillId="0" borderId="1" xfId="4" applyNumberFormat="1" applyFont="1" applyBorder="1" applyAlignment="1">
      <alignment vertical="center" wrapText="1"/>
    </xf>
    <xf numFmtId="168" fontId="10" fillId="0" borderId="1" xfId="4" applyNumberFormat="1" applyFont="1" applyBorder="1" applyAlignment="1">
      <alignment vertical="center" wrapText="1"/>
    </xf>
    <xf numFmtId="9" fontId="6" fillId="0" borderId="13" xfId="4" applyNumberFormat="1" applyFont="1" applyBorder="1" applyAlignment="1">
      <alignment vertical="center" wrapText="1"/>
    </xf>
    <xf numFmtId="9" fontId="6" fillId="0" borderId="1" xfId="4" applyNumberFormat="1" applyFont="1" applyBorder="1" applyAlignment="1">
      <alignment vertical="center" wrapText="1"/>
    </xf>
    <xf numFmtId="9" fontId="6" fillId="0" borderId="1" xfId="0" applyNumberFormat="1" applyFont="1" applyBorder="1" applyAlignment="1">
      <alignment vertical="center" wrapText="1"/>
    </xf>
    <xf numFmtId="9" fontId="6" fillId="0" borderId="14" xfId="0" applyNumberFormat="1" applyFont="1" applyBorder="1" applyAlignment="1">
      <alignment vertical="center" wrapText="1"/>
    </xf>
    <xf numFmtId="167" fontId="8" fillId="0" borderId="13" xfId="4" applyNumberFormat="1" applyFont="1" applyBorder="1" applyAlignment="1">
      <alignment vertical="center" wrapText="1"/>
    </xf>
    <xf numFmtId="167" fontId="8" fillId="0" borderId="1" xfId="4" applyNumberFormat="1" applyFont="1" applyBorder="1" applyAlignment="1">
      <alignment vertical="center" wrapText="1"/>
    </xf>
    <xf numFmtId="9" fontId="8" fillId="0" borderId="1" xfId="4" applyNumberFormat="1" applyFont="1" applyFill="1" applyBorder="1" applyAlignment="1">
      <alignment vertical="center" wrapText="1"/>
    </xf>
    <xf numFmtId="10" fontId="8" fillId="0" borderId="1" xfId="4" applyNumberFormat="1" applyFont="1" applyBorder="1" applyAlignment="1">
      <alignment horizontal="left" vertical="center" wrapText="1"/>
    </xf>
    <xf numFmtId="9" fontId="8" fillId="0" borderId="1" xfId="4" applyNumberFormat="1" applyFont="1" applyBorder="1" applyAlignment="1">
      <alignment vertical="center" wrapText="1"/>
    </xf>
    <xf numFmtId="9" fontId="8" fillId="0" borderId="14" xfId="0" applyNumberFormat="1" applyFont="1" applyBorder="1" applyAlignment="1">
      <alignment vertical="center" wrapText="1"/>
    </xf>
    <xf numFmtId="167" fontId="8" fillId="0" borderId="1" xfId="0" applyNumberFormat="1" applyFont="1" applyBorder="1" applyAlignment="1">
      <alignment vertical="center" wrapText="1"/>
    </xf>
    <xf numFmtId="168" fontId="8" fillId="0" borderId="4" xfId="4" applyNumberFormat="1" applyFont="1" applyFill="1" applyBorder="1" applyAlignment="1">
      <alignment vertical="center" wrapText="1"/>
    </xf>
    <xf numFmtId="168" fontId="8" fillId="0" borderId="35" xfId="4" applyNumberFormat="1" applyFont="1" applyFill="1" applyBorder="1" applyAlignment="1">
      <alignment vertical="center" wrapText="1"/>
    </xf>
    <xf numFmtId="9" fontId="8" fillId="0" borderId="35" xfId="4" applyNumberFormat="1" applyFont="1" applyFill="1" applyBorder="1" applyAlignment="1">
      <alignment vertical="center" wrapText="1"/>
    </xf>
    <xf numFmtId="0" fontId="4" fillId="0" borderId="1" xfId="0" applyFont="1" applyBorder="1" applyAlignment="1">
      <alignment horizontal="left" vertical="center" wrapText="1"/>
    </xf>
    <xf numFmtId="168" fontId="6" fillId="0" borderId="13" xfId="4" applyNumberFormat="1" applyFont="1" applyBorder="1" applyAlignment="1">
      <alignment vertical="center" wrapText="1"/>
    </xf>
    <xf numFmtId="168" fontId="6" fillId="0" borderId="51" xfId="4" applyNumberFormat="1" applyFont="1" applyBorder="1" applyAlignment="1">
      <alignment horizontal="right" vertical="center" wrapText="1"/>
    </xf>
    <xf numFmtId="168" fontId="6" fillId="0" borderId="5" xfId="4" applyNumberFormat="1" applyFont="1" applyBorder="1" applyAlignment="1">
      <alignment horizontal="right" vertical="center" wrapText="1"/>
    </xf>
    <xf numFmtId="168" fontId="6" fillId="0" borderId="25" xfId="4" applyNumberFormat="1" applyFont="1" applyBorder="1" applyAlignment="1">
      <alignment vertical="center" wrapText="1"/>
    </xf>
    <xf numFmtId="168" fontId="6" fillId="0" borderId="2" xfId="4" applyNumberFormat="1" applyFont="1" applyBorder="1" applyAlignment="1">
      <alignment vertical="center" wrapText="1"/>
    </xf>
    <xf numFmtId="168" fontId="8" fillId="0" borderId="1" xfId="4" applyNumberFormat="1" applyFont="1" applyBorder="1" applyAlignment="1">
      <alignment vertical="center" wrapText="1"/>
    </xf>
    <xf numFmtId="9" fontId="8" fillId="0" borderId="2" xfId="3" applyFont="1" applyBorder="1" applyAlignment="1">
      <alignment vertical="center" wrapText="1"/>
    </xf>
    <xf numFmtId="9" fontId="6" fillId="0" borderId="2" xfId="3" applyFont="1" applyBorder="1" applyAlignment="1">
      <alignment vertical="center" wrapText="1"/>
    </xf>
    <xf numFmtId="168" fontId="6" fillId="0" borderId="3" xfId="4" applyNumberFormat="1" applyFont="1" applyBorder="1" applyAlignment="1">
      <alignment horizontal="center" vertical="center" wrapText="1"/>
    </xf>
    <xf numFmtId="0" fontId="1" fillId="0" borderId="1" xfId="0" applyFont="1" applyBorder="1" applyAlignment="1">
      <alignment horizontal="left" vertical="center" wrapText="1"/>
    </xf>
    <xf numFmtId="168" fontId="6" fillId="0" borderId="13" xfId="4" applyNumberFormat="1" applyFont="1" applyBorder="1" applyAlignment="1">
      <alignment horizontal="center" vertical="center" wrapText="1"/>
    </xf>
    <xf numFmtId="168" fontId="6" fillId="0" borderId="1" xfId="4" applyNumberFormat="1" applyFont="1" applyBorder="1" applyAlignment="1">
      <alignment horizontal="center" vertical="center" wrapText="1"/>
    </xf>
    <xf numFmtId="0" fontId="6" fillId="0" borderId="14" xfId="6" applyNumberFormat="1" applyFont="1" applyBorder="1" applyAlignment="1">
      <alignment horizontal="left" vertical="center" wrapText="1"/>
    </xf>
    <xf numFmtId="167" fontId="8" fillId="0" borderId="1" xfId="4" applyNumberFormat="1" applyFont="1" applyBorder="1" applyAlignment="1">
      <alignment horizontal="left" vertical="center" wrapText="1"/>
    </xf>
    <xf numFmtId="9" fontId="30" fillId="0" borderId="14" xfId="3" applyFont="1" applyFill="1" applyBorder="1" applyAlignment="1">
      <alignment horizontal="center" vertical="center" wrapText="1"/>
    </xf>
    <xf numFmtId="167" fontId="30" fillId="0" borderId="1" xfId="3" applyNumberFormat="1" applyFont="1" applyFill="1" applyBorder="1" applyAlignment="1">
      <alignment horizontal="left" vertical="center" wrapText="1"/>
    </xf>
    <xf numFmtId="168" fontId="0" fillId="0" borderId="1" xfId="4" applyNumberFormat="1" applyFont="1" applyBorder="1"/>
    <xf numFmtId="167" fontId="30" fillId="0" borderId="4" xfId="3" applyNumberFormat="1" applyFont="1" applyFill="1" applyBorder="1" applyAlignment="1">
      <alignment horizontal="left" vertical="center" wrapText="1"/>
    </xf>
    <xf numFmtId="167" fontId="8" fillId="0" borderId="4" xfId="4" applyNumberFormat="1" applyFont="1" applyBorder="1" applyAlignment="1">
      <alignment vertical="center" wrapText="1"/>
    </xf>
    <xf numFmtId="167" fontId="8" fillId="0" borderId="54" xfId="0" applyNumberFormat="1" applyFont="1" applyBorder="1" applyAlignment="1">
      <alignment vertical="center" wrapText="1"/>
    </xf>
    <xf numFmtId="0" fontId="6" fillId="0" borderId="55" xfId="0" applyFont="1" applyBorder="1" applyAlignment="1">
      <alignment horizontal="center" vertical="center" wrapText="1"/>
    </xf>
    <xf numFmtId="0" fontId="1"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left" wrapText="1"/>
    </xf>
    <xf numFmtId="0" fontId="6" fillId="0" borderId="7" xfId="0" applyFont="1" applyBorder="1" applyAlignment="1">
      <alignment horizontal="left" vertical="center" wrapText="1"/>
    </xf>
    <xf numFmtId="0" fontId="1" fillId="0" borderId="7" xfId="0" applyFont="1" applyBorder="1" applyAlignment="1">
      <alignment horizontal="left" vertical="center" wrapText="1"/>
    </xf>
    <xf numFmtId="168" fontId="6" fillId="0" borderId="7" xfId="0" applyNumberFormat="1" applyFont="1" applyBorder="1" applyAlignment="1">
      <alignment horizontal="left" vertical="center" wrapText="1"/>
    </xf>
    <xf numFmtId="168" fontId="6" fillId="0" borderId="7" xfId="0" applyNumberFormat="1" applyFont="1" applyBorder="1" applyAlignment="1">
      <alignment vertical="center" wrapText="1"/>
    </xf>
    <xf numFmtId="168" fontId="6" fillId="0" borderId="56" xfId="0" applyNumberFormat="1" applyFont="1" applyBorder="1" applyAlignment="1">
      <alignment vertical="center" wrapText="1"/>
    </xf>
    <xf numFmtId="168" fontId="6" fillId="0" borderId="52" xfId="0" applyNumberFormat="1" applyFont="1" applyBorder="1" applyAlignment="1">
      <alignment vertical="center" wrapText="1"/>
    </xf>
    <xf numFmtId="168" fontId="8" fillId="0" borderId="7" xfId="0" applyNumberFormat="1" applyFont="1" applyBorder="1" applyAlignment="1">
      <alignment vertical="center" wrapText="1"/>
    </xf>
    <xf numFmtId="9" fontId="8" fillId="0" borderId="52" xfId="0" applyNumberFormat="1" applyFont="1" applyBorder="1" applyAlignment="1">
      <alignment vertical="center" wrapText="1"/>
    </xf>
    <xf numFmtId="9" fontId="6" fillId="0" borderId="52" xfId="0" applyNumberFormat="1" applyFont="1" applyBorder="1" applyAlignment="1">
      <alignment vertical="center" wrapText="1"/>
    </xf>
    <xf numFmtId="9" fontId="8" fillId="0" borderId="7" xfId="0" applyNumberFormat="1" applyFont="1" applyBorder="1" applyAlignment="1">
      <alignment vertical="center" wrapText="1"/>
    </xf>
    <xf numFmtId="168" fontId="6" fillId="21" borderId="55" xfId="0" applyNumberFormat="1" applyFont="1" applyFill="1" applyBorder="1" applyAlignment="1">
      <alignment vertical="center" wrapText="1"/>
    </xf>
    <xf numFmtId="168" fontId="6" fillId="0" borderId="35" xfId="4" applyNumberFormat="1" applyFont="1" applyBorder="1" applyAlignment="1">
      <alignment horizontal="center" vertical="center" wrapText="1"/>
    </xf>
    <xf numFmtId="0" fontId="6" fillId="0" borderId="4" xfId="0" applyFont="1" applyBorder="1" applyAlignment="1">
      <alignment horizontal="center" vertical="center" wrapText="1"/>
    </xf>
    <xf numFmtId="168" fontId="6" fillId="0" borderId="57" xfId="4" applyNumberFormat="1" applyFont="1" applyFill="1" applyBorder="1" applyAlignment="1">
      <alignment horizontal="left" vertical="center" wrapText="1"/>
    </xf>
    <xf numFmtId="168" fontId="6" fillId="0" borderId="12" xfId="4" applyNumberFormat="1" applyFont="1" applyFill="1" applyBorder="1" applyAlignment="1">
      <alignment horizontal="left" vertical="center" wrapText="1"/>
    </xf>
    <xf numFmtId="169" fontId="8" fillId="0" borderId="1" xfId="4" applyNumberFormat="1" applyFont="1" applyBorder="1" applyAlignment="1">
      <alignment horizontal="left"/>
    </xf>
    <xf numFmtId="9" fontId="8" fillId="0" borderId="1" xfId="3" applyFont="1" applyBorder="1" applyAlignment="1">
      <alignment horizontal="right" vertical="center" wrapText="1"/>
    </xf>
    <xf numFmtId="167" fontId="8" fillId="0" borderId="1" xfId="4" applyNumberFormat="1" applyFont="1" applyBorder="1"/>
    <xf numFmtId="167" fontId="8" fillId="0" borderId="2" xfId="4" applyNumberFormat="1" applyFont="1" applyBorder="1" applyAlignment="1">
      <alignment vertical="center" wrapText="1"/>
    </xf>
    <xf numFmtId="9" fontId="6" fillId="0" borderId="7" xfId="0" applyNumberFormat="1" applyFont="1" applyBorder="1" applyAlignment="1">
      <alignment vertical="center" wrapText="1"/>
    </xf>
    <xf numFmtId="9" fontId="6" fillId="0" borderId="58" xfId="0" applyNumberFormat="1" applyFont="1" applyBorder="1" applyAlignment="1">
      <alignment vertical="center" wrapText="1"/>
    </xf>
    <xf numFmtId="9" fontId="8" fillId="0" borderId="58" xfId="0" applyNumberFormat="1" applyFont="1" applyBorder="1" applyAlignment="1">
      <alignment vertical="center" wrapText="1"/>
    </xf>
    <xf numFmtId="167" fontId="8" fillId="0" borderId="7" xfId="0" applyNumberFormat="1" applyFont="1" applyBorder="1" applyAlignment="1">
      <alignment vertical="center" wrapText="1"/>
    </xf>
    <xf numFmtId="9" fontId="8" fillId="0" borderId="53" xfId="0" applyNumberFormat="1" applyFont="1" applyBorder="1" applyAlignment="1">
      <alignment vertical="center" wrapText="1"/>
    </xf>
    <xf numFmtId="9" fontId="8" fillId="33" borderId="59" xfId="0" applyNumberFormat="1" applyFont="1" applyFill="1" applyBorder="1" applyAlignment="1">
      <alignment vertical="center" wrapText="1"/>
    </xf>
    <xf numFmtId="9" fontId="8" fillId="0" borderId="55" xfId="0" applyNumberFormat="1" applyFont="1" applyBorder="1" applyAlignment="1">
      <alignment vertical="center" wrapText="1"/>
    </xf>
    <xf numFmtId="9" fontId="8" fillId="0" borderId="7" xfId="0" applyNumberFormat="1" applyFont="1" applyBorder="1" applyAlignment="1">
      <alignment horizontal="left" vertical="center" wrapText="1"/>
    </xf>
    <xf numFmtId="167" fontId="8" fillId="0" borderId="7" xfId="0" applyNumberFormat="1" applyFont="1" applyBorder="1" applyAlignment="1">
      <alignment horizontal="left" vertical="center" wrapText="1"/>
    </xf>
    <xf numFmtId="168" fontId="6" fillId="0" borderId="7" xfId="0" applyNumberFormat="1" applyFont="1" applyBorder="1" applyAlignment="1">
      <alignment horizontal="center" vertical="center" wrapText="1"/>
    </xf>
    <xf numFmtId="168" fontId="6" fillId="3" borderId="7" xfId="0" applyNumberFormat="1" applyFont="1" applyFill="1" applyBorder="1" applyAlignment="1">
      <alignment vertical="center" wrapText="1"/>
    </xf>
    <xf numFmtId="9" fontId="6" fillId="0" borderId="55" xfId="0" applyNumberFormat="1" applyFont="1" applyBorder="1" applyAlignment="1">
      <alignment vertical="center" wrapText="1"/>
    </xf>
    <xf numFmtId="167" fontId="8" fillId="0" borderId="55" xfId="0" applyNumberFormat="1" applyFont="1" applyBorder="1" applyAlignment="1">
      <alignment vertical="center" wrapText="1"/>
    </xf>
    <xf numFmtId="10" fontId="8" fillId="0" borderId="7" xfId="0" applyNumberFormat="1" applyFont="1" applyBorder="1" applyAlignment="1">
      <alignment horizontal="left" vertical="center" wrapText="1"/>
    </xf>
    <xf numFmtId="168" fontId="8" fillId="0" borderId="55" xfId="0" applyNumberFormat="1" applyFont="1" applyBorder="1" applyAlignment="1">
      <alignment vertical="center" wrapText="1"/>
    </xf>
    <xf numFmtId="168" fontId="8" fillId="0" borderId="53" xfId="0" applyNumberFormat="1" applyFont="1" applyBorder="1" applyAlignment="1">
      <alignment vertical="center" wrapText="1"/>
    </xf>
    <xf numFmtId="168" fontId="8" fillId="0" borderId="59" xfId="0" applyNumberFormat="1" applyFont="1" applyBorder="1" applyAlignment="1">
      <alignment vertical="center" wrapText="1"/>
    </xf>
    <xf numFmtId="168" fontId="8" fillId="33" borderId="59" xfId="0" applyNumberFormat="1" applyFont="1" applyFill="1" applyBorder="1" applyAlignment="1">
      <alignment vertical="center" wrapText="1"/>
    </xf>
    <xf numFmtId="9" fontId="8" fillId="0" borderId="59" xfId="0" applyNumberFormat="1" applyFont="1" applyBorder="1" applyAlignment="1">
      <alignment vertical="center" wrapText="1"/>
    </xf>
    <xf numFmtId="168" fontId="8" fillId="0" borderId="60" xfId="0" applyNumberFormat="1" applyFont="1" applyBorder="1" applyAlignment="1">
      <alignment vertical="center" wrapText="1"/>
    </xf>
    <xf numFmtId="168" fontId="8" fillId="0" borderId="55" xfId="0" applyNumberFormat="1" applyFont="1" applyBorder="1" applyAlignment="1">
      <alignment horizontal="right" vertical="center" wrapText="1"/>
    </xf>
    <xf numFmtId="1" fontId="6" fillId="0" borderId="13" xfId="4" applyNumberFormat="1" applyFont="1" applyFill="1" applyBorder="1" applyAlignment="1">
      <alignment horizontal="right" vertical="center" wrapText="1"/>
    </xf>
    <xf numFmtId="168" fontId="6" fillId="38" borderId="55" xfId="0" applyNumberFormat="1" applyFont="1" applyFill="1" applyBorder="1" applyAlignment="1">
      <alignment horizontal="center" vertical="center" wrapText="1"/>
    </xf>
    <xf numFmtId="167" fontId="8" fillId="33" borderId="6" xfId="4" applyNumberFormat="1" applyFont="1" applyFill="1" applyBorder="1" applyAlignment="1">
      <alignment vertical="center" wrapText="1"/>
    </xf>
    <xf numFmtId="167" fontId="8" fillId="0" borderId="7" xfId="4" applyNumberFormat="1" applyFont="1" applyBorder="1" applyAlignment="1">
      <alignment vertical="center" wrapText="1"/>
    </xf>
    <xf numFmtId="167" fontId="48" fillId="4" borderId="6" xfId="2" applyNumberFormat="1" applyFont="1" applyFill="1" applyBorder="1" applyAlignment="1">
      <alignment horizontal="center" vertical="center" wrapText="1"/>
    </xf>
    <xf numFmtId="167" fontId="8" fillId="33" borderId="2" xfId="3" applyNumberFormat="1" applyFont="1" applyFill="1" applyBorder="1" applyAlignment="1">
      <alignment vertical="center" wrapText="1"/>
    </xf>
    <xf numFmtId="167" fontId="8" fillId="0" borderId="2" xfId="3" applyNumberFormat="1" applyFont="1" applyBorder="1" applyAlignment="1">
      <alignment vertical="center" wrapText="1"/>
    </xf>
    <xf numFmtId="167" fontId="8" fillId="33" borderId="61" xfId="3" applyNumberFormat="1" applyFont="1" applyFill="1" applyBorder="1" applyAlignment="1">
      <alignment vertical="center" wrapText="1"/>
    </xf>
    <xf numFmtId="167" fontId="8" fillId="0" borderId="52" xfId="3" applyNumberFormat="1" applyFont="1" applyBorder="1" applyAlignment="1">
      <alignment vertical="center" wrapText="1"/>
    </xf>
    <xf numFmtId="167" fontId="17" fillId="4" borderId="62" xfId="2" applyNumberFormat="1" applyFont="1" applyFill="1" applyBorder="1" applyAlignment="1">
      <alignment horizontal="center" vertical="center" wrapText="1"/>
    </xf>
    <xf numFmtId="0" fontId="6" fillId="0" borderId="63" xfId="0" applyFont="1" applyBorder="1" applyAlignment="1">
      <alignment vertical="center" wrapText="1"/>
    </xf>
    <xf numFmtId="0" fontId="0" fillId="0" borderId="0" xfId="0" pivotButton="1"/>
    <xf numFmtId="167" fontId="0" fillId="0" borderId="0" xfId="0" applyNumberFormat="1"/>
    <xf numFmtId="0" fontId="0" fillId="0" borderId="0" xfId="0" pivotButton="1" applyAlignment="1">
      <alignment wrapText="1"/>
    </xf>
    <xf numFmtId="170" fontId="36" fillId="0" borderId="0" xfId="4" applyNumberFormat="1" applyFont="1" applyFill="1" applyBorder="1" applyAlignment="1">
      <alignment horizontal="left" vertical="top" wrapText="1"/>
    </xf>
    <xf numFmtId="170" fontId="0" fillId="0" borderId="0" xfId="4" applyNumberFormat="1" applyFont="1" applyFill="1" applyBorder="1"/>
    <xf numFmtId="170" fontId="2" fillId="0" borderId="0" xfId="4" applyNumberFormat="1" applyFont="1" applyFill="1" applyBorder="1"/>
    <xf numFmtId="170" fontId="54" fillId="0" borderId="0" xfId="4" applyNumberFormat="1" applyFont="1" applyFill="1" applyBorder="1"/>
    <xf numFmtId="170" fontId="51" fillId="3" borderId="0" xfId="4" applyNumberFormat="1" applyFont="1" applyFill="1" applyBorder="1" applyAlignment="1">
      <alignment vertical="center"/>
    </xf>
    <xf numFmtId="170" fontId="52" fillId="3" borderId="0" xfId="4" applyNumberFormat="1" applyFont="1" applyFill="1" applyBorder="1" applyAlignment="1">
      <alignment vertical="center"/>
    </xf>
    <xf numFmtId="170" fontId="49" fillId="0" borderId="0" xfId="4" applyNumberFormat="1" applyFont="1" applyFill="1" applyBorder="1" applyAlignment="1">
      <alignment vertical="center"/>
    </xf>
    <xf numFmtId="0" fontId="53" fillId="0" borderId="0" xfId="0" applyFont="1" applyAlignment="1">
      <alignment vertical="center"/>
    </xf>
    <xf numFmtId="0" fontId="36" fillId="0" borderId="0" xfId="0" applyFont="1" applyAlignment="1">
      <alignment horizontal="left" vertical="top" wrapText="1"/>
    </xf>
    <xf numFmtId="170" fontId="41" fillId="0" borderId="0" xfId="4" applyNumberFormat="1" applyFont="1" applyFill="1" applyBorder="1"/>
    <xf numFmtId="171" fontId="2" fillId="0" borderId="0" xfId="3" applyNumberFormat="1" applyFont="1" applyFill="1" applyBorder="1"/>
    <xf numFmtId="9" fontId="2" fillId="0" borderId="0" xfId="3" applyFont="1" applyFill="1" applyBorder="1"/>
    <xf numFmtId="170" fontId="2" fillId="0" borderId="0" xfId="0" applyNumberFormat="1" applyFont="1"/>
    <xf numFmtId="167" fontId="2" fillId="0" borderId="0" xfId="0" applyNumberFormat="1" applyFont="1"/>
    <xf numFmtId="170" fontId="49" fillId="3" borderId="0" xfId="4" applyNumberFormat="1" applyFont="1" applyFill="1" applyBorder="1" applyAlignment="1">
      <alignment vertical="center"/>
    </xf>
    <xf numFmtId="167" fontId="55" fillId="0" borderId="0" xfId="0" applyNumberFormat="1" applyFont="1"/>
    <xf numFmtId="167" fontId="56" fillId="4" borderId="62" xfId="2" applyNumberFormat="1" applyFont="1" applyFill="1" applyBorder="1" applyAlignment="1">
      <alignment horizontal="center" vertical="center" wrapText="1"/>
    </xf>
    <xf numFmtId="0" fontId="57" fillId="0" borderId="0" xfId="0" applyFont="1"/>
    <xf numFmtId="167" fontId="58" fillId="0" borderId="0" xfId="0" applyNumberFormat="1" applyFont="1" applyAlignment="1">
      <alignment vertical="center" wrapText="1"/>
    </xf>
    <xf numFmtId="168" fontId="57" fillId="0" borderId="0" xfId="4" applyNumberFormat="1" applyFont="1"/>
    <xf numFmtId="168" fontId="18" fillId="0" borderId="1" xfId="4" applyNumberFormat="1" applyFont="1" applyFill="1" applyBorder="1" applyAlignment="1">
      <alignment horizontal="center"/>
    </xf>
    <xf numFmtId="167" fontId="8" fillId="33" borderId="4" xfId="4" applyNumberFormat="1" applyFont="1" applyFill="1" applyBorder="1" applyAlignment="1">
      <alignment vertical="center" wrapText="1"/>
    </xf>
    <xf numFmtId="168" fontId="18" fillId="0" borderId="7" xfId="4" applyNumberFormat="1" applyFont="1" applyFill="1" applyBorder="1" applyAlignment="1">
      <alignment horizontal="center"/>
    </xf>
    <xf numFmtId="167" fontId="8" fillId="33" borderId="70" xfId="4" applyNumberFormat="1" applyFont="1" applyFill="1" applyBorder="1" applyAlignment="1">
      <alignment vertical="center" wrapText="1"/>
    </xf>
    <xf numFmtId="167" fontId="8" fillId="33" borderId="71" xfId="4" applyNumberFormat="1" applyFont="1" applyFill="1" applyBorder="1" applyAlignment="1">
      <alignment vertical="center" wrapText="1"/>
    </xf>
    <xf numFmtId="167" fontId="8" fillId="0" borderId="70" xfId="4" applyNumberFormat="1" applyFont="1" applyBorder="1" applyAlignment="1">
      <alignment vertical="center" wrapText="1"/>
    </xf>
    <xf numFmtId="167" fontId="8" fillId="0" borderId="71" xfId="4" applyNumberFormat="1" applyFont="1" applyBorder="1" applyAlignment="1">
      <alignment vertical="center" wrapText="1"/>
    </xf>
    <xf numFmtId="167" fontId="8" fillId="0" borderId="72" xfId="4" applyNumberFormat="1" applyFont="1" applyBorder="1" applyAlignment="1">
      <alignment vertical="center" wrapText="1"/>
    </xf>
    <xf numFmtId="167" fontId="8" fillId="0" borderId="73" xfId="4" applyNumberFormat="1" applyFont="1" applyBorder="1" applyAlignment="1">
      <alignment vertical="center" wrapText="1"/>
    </xf>
    <xf numFmtId="167" fontId="8" fillId="33" borderId="2" xfId="4" applyNumberFormat="1" applyFont="1" applyFill="1" applyBorder="1" applyAlignment="1">
      <alignment vertical="center" wrapText="1"/>
    </xf>
    <xf numFmtId="167" fontId="8" fillId="0" borderId="76" xfId="4" applyNumberFormat="1" applyFont="1" applyBorder="1" applyAlignment="1">
      <alignment vertical="center" wrapText="1"/>
    </xf>
    <xf numFmtId="168" fontId="60" fillId="0" borderId="1" xfId="4" applyNumberFormat="1" applyFont="1" applyFill="1" applyBorder="1" applyAlignment="1">
      <alignment horizontal="center" wrapText="1"/>
    </xf>
    <xf numFmtId="0" fontId="60" fillId="0" borderId="1" xfId="0" applyFont="1" applyBorder="1" applyAlignment="1">
      <alignment horizontal="center" wrapText="1"/>
    </xf>
    <xf numFmtId="0" fontId="60" fillId="0" borderId="1" xfId="0" applyFont="1" applyBorder="1" applyAlignment="1">
      <alignment horizontal="left" wrapText="1"/>
    </xf>
    <xf numFmtId="168" fontId="60" fillId="0" borderId="1" xfId="4" applyNumberFormat="1" applyFont="1" applyFill="1" applyBorder="1" applyAlignment="1">
      <alignment wrapText="1"/>
    </xf>
    <xf numFmtId="0" fontId="54" fillId="0" borderId="1" xfId="0" applyFont="1" applyBorder="1"/>
    <xf numFmtId="168" fontId="61" fillId="40" borderId="1" xfId="4" applyNumberFormat="1" applyFont="1" applyFill="1" applyBorder="1" applyAlignment="1">
      <alignment wrapText="1"/>
    </xf>
    <xf numFmtId="167" fontId="7" fillId="19" borderId="17" xfId="2" applyNumberFormat="1" applyFont="1" applyFill="1" applyBorder="1" applyAlignment="1">
      <alignment horizontal="left" vertical="top" wrapText="1"/>
    </xf>
    <xf numFmtId="167" fontId="7" fillId="19" borderId="16" xfId="2" applyNumberFormat="1" applyFont="1" applyFill="1" applyBorder="1" applyAlignment="1">
      <alignment horizontal="left" vertical="top" wrapText="1"/>
    </xf>
    <xf numFmtId="168" fontId="7" fillId="19" borderId="16" xfId="4" applyNumberFormat="1" applyFont="1" applyFill="1" applyBorder="1" applyAlignment="1">
      <alignment horizontal="left" vertical="top" wrapText="1"/>
    </xf>
    <xf numFmtId="167" fontId="7" fillId="19" borderId="34" xfId="2" applyNumberFormat="1" applyFont="1" applyFill="1" applyBorder="1" applyAlignment="1">
      <alignment horizontal="left" vertical="top" wrapText="1"/>
    </xf>
    <xf numFmtId="168" fontId="7" fillId="6" borderId="15" xfId="4" applyNumberFormat="1" applyFont="1" applyFill="1" applyBorder="1" applyAlignment="1">
      <alignment horizontal="left" vertical="top" wrapText="1"/>
    </xf>
    <xf numFmtId="168" fontId="7" fillId="6" borderId="16" xfId="4" applyNumberFormat="1" applyFont="1" applyFill="1" applyBorder="1" applyAlignment="1">
      <alignment horizontal="left" vertical="top" wrapText="1"/>
    </xf>
    <xf numFmtId="168" fontId="7" fillId="6" borderId="26" xfId="4" applyNumberFormat="1" applyFont="1" applyFill="1" applyBorder="1" applyAlignment="1">
      <alignment horizontal="left" vertical="top" wrapText="1"/>
    </xf>
    <xf numFmtId="167" fontId="64" fillId="17" borderId="70" xfId="2" applyNumberFormat="1" applyFont="1" applyFill="1" applyBorder="1" applyAlignment="1">
      <alignment horizontal="left" vertical="top" wrapText="1"/>
    </xf>
    <xf numFmtId="167" fontId="7" fillId="17" borderId="1" xfId="2" applyNumberFormat="1" applyFont="1" applyFill="1" applyBorder="1" applyAlignment="1">
      <alignment horizontal="left" vertical="top" wrapText="1"/>
    </xf>
    <xf numFmtId="167" fontId="7" fillId="17" borderId="2" xfId="2" applyNumberFormat="1" applyFont="1" applyFill="1" applyBorder="1" applyAlignment="1">
      <alignment horizontal="left" vertical="top" wrapText="1"/>
    </xf>
    <xf numFmtId="167" fontId="7" fillId="41" borderId="70" xfId="2" applyNumberFormat="1" applyFont="1" applyFill="1" applyBorder="1" applyAlignment="1">
      <alignment horizontal="left" vertical="top" wrapText="1"/>
    </xf>
    <xf numFmtId="167" fontId="7" fillId="41" borderId="1" xfId="2" applyNumberFormat="1" applyFont="1" applyFill="1" applyBorder="1" applyAlignment="1">
      <alignment horizontal="left" vertical="top" wrapText="1"/>
    </xf>
    <xf numFmtId="167" fontId="64" fillId="41" borderId="71" xfId="2" applyNumberFormat="1" applyFont="1" applyFill="1" applyBorder="1" applyAlignment="1">
      <alignment horizontal="left" vertical="top" wrapText="1"/>
    </xf>
    <xf numFmtId="167" fontId="7" fillId="42" borderId="70" xfId="2" applyNumberFormat="1" applyFont="1" applyFill="1" applyBorder="1" applyAlignment="1">
      <alignment horizontal="left" vertical="top" wrapText="1"/>
    </xf>
    <xf numFmtId="167" fontId="64" fillId="42" borderId="71" xfId="2" applyNumberFormat="1" applyFont="1" applyFill="1" applyBorder="1" applyAlignment="1">
      <alignment horizontal="left" vertical="top" wrapText="1"/>
    </xf>
    <xf numFmtId="0" fontId="54" fillId="0" borderId="0" xfId="0" applyFont="1" applyAlignment="1">
      <alignment horizontal="left" vertical="top"/>
    </xf>
    <xf numFmtId="0" fontId="65" fillId="10" borderId="64" xfId="1" applyFont="1" applyFill="1" applyBorder="1" applyAlignment="1">
      <alignment horizontal="center" vertical="center" wrapText="1"/>
    </xf>
    <xf numFmtId="0" fontId="65" fillId="9" borderId="31" xfId="1" applyFont="1" applyFill="1" applyBorder="1" applyAlignment="1">
      <alignment horizontal="center" vertical="center" wrapText="1"/>
    </xf>
    <xf numFmtId="168" fontId="66" fillId="18" borderId="67" xfId="4" applyNumberFormat="1" applyFont="1" applyFill="1" applyBorder="1" applyAlignment="1">
      <alignment horizontal="center"/>
    </xf>
    <xf numFmtId="168" fontId="67" fillId="18" borderId="68" xfId="4" applyNumberFormat="1" applyFont="1" applyFill="1" applyBorder="1" applyAlignment="1">
      <alignment horizontal="center"/>
    </xf>
    <xf numFmtId="168" fontId="67" fillId="18" borderId="75" xfId="4" applyNumberFormat="1" applyFont="1" applyFill="1" applyBorder="1" applyAlignment="1">
      <alignment horizontal="center"/>
    </xf>
    <xf numFmtId="168" fontId="67" fillId="18" borderId="67" xfId="4" applyNumberFormat="1" applyFont="1" applyFill="1" applyBorder="1" applyAlignment="1">
      <alignment horizontal="center"/>
    </xf>
    <xf numFmtId="168" fontId="66" fillId="18" borderId="69" xfId="4" applyNumberFormat="1" applyFont="1" applyFill="1" applyBorder="1" applyAlignment="1">
      <alignment horizontal="center"/>
    </xf>
    <xf numFmtId="168" fontId="67" fillId="18" borderId="69" xfId="4" applyNumberFormat="1" applyFont="1" applyFill="1" applyBorder="1" applyAlignment="1">
      <alignment horizontal="center"/>
    </xf>
    <xf numFmtId="0" fontId="53" fillId="0" borderId="0" xfId="0" applyFont="1"/>
    <xf numFmtId="168" fontId="61" fillId="40" borderId="1" xfId="2" applyNumberFormat="1" applyFont="1" applyFill="1" applyBorder="1" applyAlignment="1">
      <alignment wrapText="1"/>
    </xf>
    <xf numFmtId="168" fontId="7" fillId="19" borderId="16" xfId="2" applyNumberFormat="1" applyFont="1" applyFill="1" applyBorder="1" applyAlignment="1">
      <alignment horizontal="left" vertical="top" wrapText="1"/>
    </xf>
    <xf numFmtId="168" fontId="7" fillId="6" borderId="34" xfId="2" applyNumberFormat="1" applyFont="1" applyFill="1" applyBorder="1" applyAlignment="1">
      <alignment horizontal="left" vertical="top" wrapText="1"/>
    </xf>
    <xf numFmtId="168" fontId="7" fillId="6" borderId="26" xfId="2" applyNumberFormat="1" applyFont="1" applyFill="1" applyBorder="1" applyAlignment="1">
      <alignment horizontal="left" vertical="top" wrapText="1"/>
    </xf>
    <xf numFmtId="168" fontId="6" fillId="0" borderId="1" xfId="2" applyNumberFormat="1" applyFont="1" applyBorder="1" applyAlignment="1">
      <alignment horizontal="left" vertical="center" wrapText="1"/>
    </xf>
    <xf numFmtId="168" fontId="6" fillId="33" borderId="1" xfId="2" applyNumberFormat="1" applyFont="1" applyFill="1" applyBorder="1" applyAlignment="1">
      <alignment horizontal="left" vertical="center" wrapText="1"/>
    </xf>
    <xf numFmtId="168" fontId="6" fillId="33" borderId="4" xfId="6" applyNumberFormat="1" applyFont="1" applyFill="1" applyBorder="1" applyAlignment="1">
      <alignment horizontal="center" vertical="center" wrapText="1"/>
    </xf>
    <xf numFmtId="168" fontId="6" fillId="33" borderId="1" xfId="2" applyNumberFormat="1" applyFont="1" applyFill="1" applyBorder="1" applyAlignment="1">
      <alignment vertical="center" wrapText="1"/>
    </xf>
    <xf numFmtId="168" fontId="10" fillId="33" borderId="2" xfId="2" applyNumberFormat="1" applyFont="1" applyFill="1" applyBorder="1" applyAlignment="1">
      <alignment vertical="center" wrapText="1"/>
    </xf>
    <xf numFmtId="168" fontId="6" fillId="33" borderId="2" xfId="2" applyNumberFormat="1" applyFont="1" applyFill="1" applyBorder="1" applyAlignment="1">
      <alignment vertical="center" wrapText="1"/>
    </xf>
    <xf numFmtId="167" fontId="8" fillId="0" borderId="1" xfId="2" applyNumberFormat="1" applyFont="1" applyBorder="1" applyAlignment="1">
      <alignment vertical="center" wrapText="1"/>
    </xf>
    <xf numFmtId="168" fontId="1" fillId="0" borderId="0" xfId="2" applyNumberFormat="1" applyFont="1" applyAlignment="1">
      <alignment wrapText="1"/>
    </xf>
    <xf numFmtId="168" fontId="0" fillId="0" borderId="0" xfId="2" applyNumberFormat="1" applyFont="1"/>
    <xf numFmtId="167" fontId="8" fillId="33" borderId="2" xfId="2" applyNumberFormat="1" applyFont="1" applyFill="1" applyBorder="1" applyAlignment="1">
      <alignment vertical="center" wrapText="1"/>
    </xf>
    <xf numFmtId="167" fontId="8" fillId="0" borderId="2" xfId="2" applyNumberFormat="1" applyFont="1" applyBorder="1" applyAlignment="1">
      <alignment vertical="center" wrapText="1"/>
    </xf>
    <xf numFmtId="168" fontId="57" fillId="0" borderId="0" xfId="2" applyNumberFormat="1" applyFont="1"/>
    <xf numFmtId="168" fontId="63" fillId="0" borderId="0" xfId="2" applyNumberFormat="1" applyFont="1" applyAlignment="1">
      <alignment wrapText="1"/>
    </xf>
    <xf numFmtId="0" fontId="65" fillId="10" borderId="66" xfId="1" applyFont="1" applyFill="1" applyBorder="1" applyAlignment="1">
      <alignment horizontal="center" vertical="center" wrapText="1"/>
    </xf>
    <xf numFmtId="168" fontId="61" fillId="40" borderId="4" xfId="2" applyNumberFormat="1" applyFont="1" applyFill="1" applyBorder="1" applyAlignment="1">
      <alignment wrapText="1"/>
    </xf>
    <xf numFmtId="168" fontId="6" fillId="33" borderId="4" xfId="2" applyNumberFormat="1" applyFont="1" applyFill="1" applyBorder="1" applyAlignment="1">
      <alignment vertical="center" wrapText="1"/>
    </xf>
    <xf numFmtId="168" fontId="6" fillId="0" borderId="4" xfId="2" applyNumberFormat="1" applyFont="1" applyBorder="1" applyAlignment="1">
      <alignment vertical="center" wrapText="1"/>
    </xf>
    <xf numFmtId="168" fontId="6" fillId="0" borderId="77" xfId="6" applyNumberFormat="1" applyFont="1" applyBorder="1" applyAlignment="1">
      <alignment horizontal="center" vertical="center" wrapText="1"/>
    </xf>
    <xf numFmtId="168" fontId="6" fillId="33" borderId="5" xfId="6" applyNumberFormat="1" applyFont="1" applyFill="1" applyBorder="1" applyAlignment="1">
      <alignment horizontal="center" vertical="center" wrapText="1"/>
    </xf>
    <xf numFmtId="168" fontId="61" fillId="40" borderId="67" xfId="2" applyNumberFormat="1" applyFont="1" applyFill="1" applyBorder="1" applyAlignment="1">
      <alignment wrapText="1"/>
    </xf>
    <xf numFmtId="168" fontId="61" fillId="40" borderId="68" xfId="2" applyNumberFormat="1" applyFont="1" applyFill="1" applyBorder="1" applyAlignment="1">
      <alignment wrapText="1"/>
    </xf>
    <xf numFmtId="168" fontId="62" fillId="42" borderId="69" xfId="2" applyNumberFormat="1" applyFont="1" applyFill="1" applyBorder="1" applyAlignment="1">
      <alignment wrapText="1"/>
    </xf>
    <xf numFmtId="168" fontId="7" fillId="6" borderId="78" xfId="2" applyNumberFormat="1" applyFont="1" applyFill="1" applyBorder="1" applyAlignment="1">
      <alignment horizontal="left" vertical="top" wrapText="1"/>
    </xf>
    <xf numFmtId="168" fontId="6" fillId="33" borderId="70" xfId="6" applyNumberFormat="1" applyFont="1" applyFill="1" applyBorder="1" applyAlignment="1">
      <alignment horizontal="center" vertical="center" wrapText="1"/>
    </xf>
    <xf numFmtId="168" fontId="6" fillId="0" borderId="70" xfId="6" applyNumberFormat="1" applyFont="1" applyBorder="1" applyAlignment="1">
      <alignment horizontal="center" vertical="center" wrapText="1"/>
    </xf>
    <xf numFmtId="168" fontId="6" fillId="0" borderId="72" xfId="6" applyNumberFormat="1" applyFont="1" applyBorder="1" applyAlignment="1">
      <alignment horizontal="center" vertical="center" wrapText="1"/>
    </xf>
    <xf numFmtId="168" fontId="6" fillId="33" borderId="81" xfId="6" applyNumberFormat="1" applyFont="1" applyFill="1" applyBorder="1" applyAlignment="1">
      <alignment horizontal="center" vertical="center" wrapText="1"/>
    </xf>
    <xf numFmtId="168" fontId="62" fillId="42" borderId="75" xfId="2" applyNumberFormat="1" applyFont="1" applyFill="1" applyBorder="1" applyAlignment="1">
      <alignment wrapText="1"/>
    </xf>
    <xf numFmtId="168" fontId="64" fillId="6" borderId="24" xfId="2" applyNumberFormat="1" applyFont="1" applyFill="1" applyBorder="1" applyAlignment="1">
      <alignment horizontal="left" vertical="top" wrapText="1"/>
    </xf>
    <xf numFmtId="168" fontId="58" fillId="33" borderId="3" xfId="6" applyNumberFormat="1" applyFont="1" applyFill="1" applyBorder="1" applyAlignment="1">
      <alignment horizontal="center" vertical="center" wrapText="1"/>
    </xf>
    <xf numFmtId="168" fontId="58" fillId="33" borderId="83" xfId="6" applyNumberFormat="1" applyFont="1" applyFill="1" applyBorder="1" applyAlignment="1">
      <alignment horizontal="center" vertical="center" wrapText="1"/>
    </xf>
    <xf numFmtId="168" fontId="58" fillId="33" borderId="8" xfId="6" applyNumberFormat="1" applyFont="1" applyFill="1" applyBorder="1" applyAlignment="1">
      <alignment horizontal="center" vertical="center" wrapText="1"/>
    </xf>
    <xf numFmtId="168" fontId="64" fillId="6" borderId="84" xfId="2" applyNumberFormat="1" applyFont="1" applyFill="1" applyBorder="1" applyAlignment="1">
      <alignment horizontal="left" vertical="top" wrapText="1"/>
    </xf>
    <xf numFmtId="168" fontId="6" fillId="33" borderId="70" xfId="2" applyNumberFormat="1" applyFont="1" applyFill="1" applyBorder="1" applyAlignment="1">
      <alignment vertical="center" wrapText="1"/>
    </xf>
    <xf numFmtId="168" fontId="58" fillId="33" borderId="71" xfId="2" applyNumberFormat="1" applyFont="1" applyFill="1" applyBorder="1" applyAlignment="1">
      <alignment vertical="center" wrapText="1"/>
    </xf>
    <xf numFmtId="168" fontId="6" fillId="0" borderId="70" xfId="2" applyNumberFormat="1" applyFont="1" applyBorder="1" applyAlignment="1">
      <alignment vertical="center" wrapText="1"/>
    </xf>
    <xf numFmtId="168" fontId="6" fillId="0" borderId="72" xfId="2" applyNumberFormat="1" applyFont="1" applyBorder="1" applyAlignment="1">
      <alignment vertical="center" wrapText="1"/>
    </xf>
    <xf numFmtId="168" fontId="6" fillId="33" borderId="73" xfId="2" applyNumberFormat="1" applyFont="1" applyFill="1" applyBorder="1" applyAlignment="1">
      <alignment vertical="center" wrapText="1"/>
    </xf>
    <xf numFmtId="168" fontId="58" fillId="33" borderId="74" xfId="2" applyNumberFormat="1" applyFont="1" applyFill="1" applyBorder="1" applyAlignment="1">
      <alignment vertical="center" wrapText="1"/>
    </xf>
    <xf numFmtId="168" fontId="10" fillId="33" borderId="70" xfId="2" applyNumberFormat="1" applyFont="1" applyFill="1" applyBorder="1" applyAlignment="1">
      <alignment vertical="center" wrapText="1"/>
    </xf>
    <xf numFmtId="168" fontId="10" fillId="0" borderId="70" xfId="2" applyNumberFormat="1" applyFont="1" applyBorder="1" applyAlignment="1">
      <alignment vertical="center" wrapText="1"/>
    </xf>
    <xf numFmtId="168" fontId="10" fillId="0" borderId="72" xfId="2" applyNumberFormat="1" applyFont="1" applyBorder="1" applyAlignment="1">
      <alignment vertical="center" wrapText="1"/>
    </xf>
    <xf numFmtId="168" fontId="10" fillId="33" borderId="76" xfId="2" applyNumberFormat="1" applyFont="1" applyFill="1" applyBorder="1" applyAlignment="1">
      <alignment vertical="center" wrapText="1"/>
    </xf>
    <xf numFmtId="168" fontId="7" fillId="6" borderId="85" xfId="2" applyNumberFormat="1" applyFont="1" applyFill="1" applyBorder="1" applyAlignment="1">
      <alignment horizontal="left" vertical="top" wrapText="1"/>
    </xf>
    <xf numFmtId="168" fontId="64" fillId="6" borderId="86" xfId="2" applyNumberFormat="1" applyFont="1" applyFill="1" applyBorder="1" applyAlignment="1">
      <alignment horizontal="left" vertical="top" wrapText="1"/>
    </xf>
    <xf numFmtId="168" fontId="6" fillId="33" borderId="87" xfId="2" applyNumberFormat="1" applyFont="1" applyFill="1" applyBorder="1" applyAlignment="1">
      <alignment vertical="center" wrapText="1"/>
    </xf>
    <xf numFmtId="168" fontId="6" fillId="0" borderId="87" xfId="2" applyNumberFormat="1" applyFont="1" applyBorder="1" applyAlignment="1">
      <alignment vertical="center" wrapText="1"/>
    </xf>
    <xf numFmtId="168" fontId="6" fillId="0" borderId="88" xfId="2" applyNumberFormat="1" applyFont="1" applyBorder="1" applyAlignment="1">
      <alignment vertical="center" wrapText="1"/>
    </xf>
    <xf numFmtId="168" fontId="6" fillId="33" borderId="76" xfId="2" applyNumberFormat="1" applyFont="1" applyFill="1" applyBorder="1" applyAlignment="1">
      <alignment vertical="center" wrapText="1"/>
    </xf>
    <xf numFmtId="167" fontId="64" fillId="17" borderId="90" xfId="2" applyNumberFormat="1" applyFont="1" applyFill="1" applyBorder="1" applyAlignment="1">
      <alignment horizontal="left" vertical="top" wrapText="1"/>
    </xf>
    <xf numFmtId="167" fontId="58" fillId="33" borderId="90" xfId="2" applyNumberFormat="1" applyFont="1" applyFill="1" applyBorder="1" applyAlignment="1">
      <alignment vertical="center" wrapText="1"/>
    </xf>
    <xf numFmtId="167" fontId="58" fillId="33" borderId="91" xfId="2" applyNumberFormat="1" applyFont="1" applyFill="1" applyBorder="1" applyAlignment="1">
      <alignment vertical="center" wrapText="1"/>
    </xf>
    <xf numFmtId="167" fontId="8" fillId="3" borderId="13" xfId="0" applyNumberFormat="1" applyFont="1" applyFill="1" applyBorder="1" applyAlignment="1">
      <alignment vertical="center" wrapText="1"/>
    </xf>
    <xf numFmtId="167" fontId="8" fillId="3" borderId="4" xfId="4" applyNumberFormat="1" applyFont="1" applyFill="1" applyBorder="1" applyAlignment="1">
      <alignment vertical="center" wrapText="1"/>
    </xf>
    <xf numFmtId="168" fontId="62" fillId="41" borderId="69" xfId="2" applyNumberFormat="1" applyFont="1" applyFill="1" applyBorder="1" applyAlignment="1">
      <alignment wrapText="1"/>
    </xf>
    <xf numFmtId="168" fontId="7" fillId="6" borderId="79" xfId="2" applyNumberFormat="1" applyFont="1" applyFill="1" applyBorder="1" applyAlignment="1">
      <alignment horizontal="left" vertical="top" wrapText="1"/>
    </xf>
    <xf numFmtId="168" fontId="59" fillId="33" borderId="80" xfId="6" applyNumberFormat="1" applyFont="1" applyFill="1" applyBorder="1" applyAlignment="1">
      <alignment horizontal="center" vertical="center" wrapText="1"/>
    </xf>
    <xf numFmtId="168" fontId="59" fillId="33" borderId="82" xfId="6" applyNumberFormat="1" applyFont="1" applyFill="1" applyBorder="1" applyAlignment="1">
      <alignment horizontal="center" vertical="center" wrapText="1"/>
    </xf>
    <xf numFmtId="168" fontId="41" fillId="0" borderId="0" xfId="2" applyNumberFormat="1" applyFont="1"/>
    <xf numFmtId="168" fontId="31" fillId="0" borderId="0" xfId="2" applyNumberFormat="1" applyFont="1" applyAlignment="1">
      <alignment wrapText="1"/>
    </xf>
    <xf numFmtId="168" fontId="62" fillId="41" borderId="2" xfId="2" applyNumberFormat="1" applyFont="1" applyFill="1" applyBorder="1" applyAlignment="1">
      <alignment wrapText="1"/>
    </xf>
    <xf numFmtId="168" fontId="59" fillId="33" borderId="2" xfId="2" applyNumberFormat="1" applyFont="1" applyFill="1" applyBorder="1" applyAlignment="1">
      <alignment vertical="center" wrapText="1"/>
    </xf>
    <xf numFmtId="168" fontId="7" fillId="6" borderId="84" xfId="2" applyNumberFormat="1" applyFont="1" applyFill="1" applyBorder="1" applyAlignment="1">
      <alignment horizontal="left" vertical="top" wrapText="1"/>
    </xf>
    <xf numFmtId="168" fontId="59" fillId="33" borderId="71" xfId="2" applyNumberFormat="1" applyFont="1" applyFill="1" applyBorder="1" applyAlignment="1">
      <alignment vertical="center" wrapText="1"/>
    </xf>
    <xf numFmtId="168" fontId="59" fillId="33" borderId="74" xfId="2" applyNumberFormat="1" applyFont="1" applyFill="1" applyBorder="1" applyAlignment="1">
      <alignment vertical="center" wrapText="1"/>
    </xf>
    <xf numFmtId="168" fontId="19" fillId="33" borderId="71" xfId="2" applyNumberFormat="1" applyFont="1" applyFill="1" applyBorder="1" applyAlignment="1">
      <alignment vertical="center" wrapText="1"/>
    </xf>
    <xf numFmtId="168" fontId="19" fillId="33" borderId="74" xfId="2" applyNumberFormat="1" applyFont="1" applyFill="1" applyBorder="1" applyAlignment="1">
      <alignment vertical="center" wrapText="1"/>
    </xf>
    <xf numFmtId="168" fontId="7" fillId="6" borderId="86" xfId="2" applyNumberFormat="1" applyFont="1" applyFill="1" applyBorder="1" applyAlignment="1">
      <alignment horizontal="left" vertical="top" wrapText="1"/>
    </xf>
    <xf numFmtId="168" fontId="61" fillId="40" borderId="89" xfId="2" applyNumberFormat="1" applyFont="1" applyFill="1" applyBorder="1" applyAlignment="1">
      <alignment wrapText="1"/>
    </xf>
    <xf numFmtId="168" fontId="61" fillId="40" borderId="75" xfId="2" applyNumberFormat="1" applyFont="1" applyFill="1" applyBorder="1" applyAlignment="1">
      <alignment wrapText="1"/>
    </xf>
    <xf numFmtId="167" fontId="64" fillId="17" borderId="92" xfId="2" applyNumberFormat="1" applyFont="1" applyFill="1" applyBorder="1" applyAlignment="1">
      <alignment horizontal="left" vertical="top" wrapText="1"/>
    </xf>
    <xf numFmtId="168" fontId="62" fillId="42" borderId="65" xfId="2" applyNumberFormat="1" applyFont="1" applyFill="1" applyBorder="1" applyAlignment="1">
      <alignment wrapText="1"/>
    </xf>
    <xf numFmtId="168" fontId="4" fillId="0" borderId="0" xfId="0" applyNumberFormat="1" applyFont="1" applyAlignment="1">
      <alignment wrapText="1"/>
    </xf>
    <xf numFmtId="168" fontId="17" fillId="6" borderId="1" xfId="4" applyNumberFormat="1" applyFont="1" applyFill="1" applyBorder="1" applyAlignment="1">
      <alignment horizontal="center" vertical="center" wrapText="1"/>
    </xf>
    <xf numFmtId="0" fontId="0" fillId="0" borderId="1" xfId="0" applyBorder="1"/>
    <xf numFmtId="168" fontId="1" fillId="0" borderId="1" xfId="4" applyNumberFormat="1" applyFont="1" applyBorder="1" applyAlignment="1">
      <alignment wrapText="1"/>
    </xf>
    <xf numFmtId="3" fontId="0" fillId="0" borderId="1" xfId="0" applyNumberFormat="1" applyBorder="1"/>
    <xf numFmtId="168" fontId="17" fillId="6" borderId="39" xfId="4" applyNumberFormat="1" applyFont="1" applyFill="1" applyBorder="1" applyAlignment="1">
      <alignment horizontal="center" vertical="center" wrapText="1"/>
    </xf>
    <xf numFmtId="168" fontId="41" fillId="0" borderId="0" xfId="0" applyNumberFormat="1" applyFont="1"/>
    <xf numFmtId="167" fontId="17" fillId="4" borderId="6" xfId="2" applyNumberFormat="1" applyFont="1" applyFill="1" applyBorder="1" applyAlignment="1">
      <alignment horizontal="center" vertical="center" wrapText="1"/>
    </xf>
    <xf numFmtId="0" fontId="0" fillId="0" borderId="0" xfId="0" applyAlignment="1">
      <alignment horizontal="left"/>
    </xf>
    <xf numFmtId="0" fontId="41" fillId="30" borderId="107" xfId="0" applyFont="1" applyFill="1" applyBorder="1"/>
    <xf numFmtId="0" fontId="41" fillId="30" borderId="106" xfId="0" applyFont="1" applyFill="1" applyBorder="1" applyAlignment="1">
      <alignment wrapText="1"/>
    </xf>
    <xf numFmtId="167" fontId="0" fillId="0" borderId="0" xfId="2" applyNumberFormat="1" applyFont="1"/>
    <xf numFmtId="167" fontId="41" fillId="30" borderId="107" xfId="0" applyNumberFormat="1" applyFont="1" applyFill="1" applyBorder="1"/>
    <xf numFmtId="0" fontId="23" fillId="43" borderId="93" xfId="0" applyFont="1" applyFill="1" applyBorder="1" applyAlignment="1">
      <alignment vertical="top" wrapText="1"/>
    </xf>
    <xf numFmtId="0" fontId="23" fillId="43" borderId="94" xfId="0" applyFont="1" applyFill="1" applyBorder="1" applyAlignment="1">
      <alignment vertical="top" wrapText="1"/>
    </xf>
    <xf numFmtId="168" fontId="68" fillId="0" borderId="102" xfId="4" applyNumberFormat="1" applyFont="1" applyBorder="1"/>
    <xf numFmtId="165" fontId="1" fillId="0" borderId="0" xfId="0" applyNumberFormat="1" applyFont="1"/>
    <xf numFmtId="167" fontId="1" fillId="0" borderId="0" xfId="0" applyNumberFormat="1" applyFont="1"/>
    <xf numFmtId="168" fontId="69" fillId="0" borderId="102" xfId="4" applyNumberFormat="1" applyFont="1" applyBorder="1"/>
    <xf numFmtId="0" fontId="67" fillId="0" borderId="0" xfId="0" applyFont="1"/>
    <xf numFmtId="172" fontId="72" fillId="0" borderId="95" xfId="2" applyNumberFormat="1" applyFont="1" applyBorder="1" applyAlignment="1">
      <alignment horizontal="right"/>
    </xf>
    <xf numFmtId="172" fontId="72" fillId="0" borderId="96" xfId="2" applyNumberFormat="1" applyFont="1" applyBorder="1" applyAlignment="1">
      <alignment horizontal="right"/>
    </xf>
    <xf numFmtId="172" fontId="70" fillId="0" borderId="95" xfId="2" applyNumberFormat="1" applyFont="1" applyBorder="1" applyAlignment="1">
      <alignment horizontal="right"/>
    </xf>
    <xf numFmtId="172" fontId="72" fillId="0" borderId="0" xfId="2" applyNumberFormat="1" applyFont="1" applyBorder="1" applyAlignment="1">
      <alignment horizontal="right"/>
    </xf>
    <xf numFmtId="172" fontId="70" fillId="0" borderId="96" xfId="2" applyNumberFormat="1" applyFont="1" applyBorder="1" applyAlignment="1">
      <alignment horizontal="right"/>
    </xf>
    <xf numFmtId="9" fontId="72" fillId="0" borderId="95" xfId="3" applyFont="1" applyBorder="1"/>
    <xf numFmtId="9" fontId="72" fillId="0" borderId="0" xfId="3" applyFont="1" applyBorder="1"/>
    <xf numFmtId="9" fontId="72" fillId="0" borderId="96" xfId="3" applyFont="1" applyBorder="1"/>
    <xf numFmtId="0" fontId="71" fillId="0" borderId="102" xfId="0" applyFont="1" applyBorder="1"/>
    <xf numFmtId="172" fontId="72" fillId="0" borderId="102" xfId="0" applyNumberFormat="1" applyFont="1" applyBorder="1"/>
    <xf numFmtId="0" fontId="73" fillId="0" borderId="0" xfId="0" applyFont="1"/>
    <xf numFmtId="167" fontId="73" fillId="0" borderId="0" xfId="0" applyNumberFormat="1" applyFont="1"/>
    <xf numFmtId="43" fontId="70" fillId="0" borderId="95" xfId="2" applyFont="1" applyBorder="1" applyAlignment="1">
      <alignment horizontal="right"/>
    </xf>
    <xf numFmtId="43" fontId="73" fillId="0" borderId="0" xfId="0" applyNumberFormat="1" applyFont="1"/>
    <xf numFmtId="168" fontId="67" fillId="0" borderId="101" xfId="4" applyNumberFormat="1" applyFont="1" applyBorder="1"/>
    <xf numFmtId="167" fontId="74" fillId="0" borderId="99" xfId="4" applyNumberFormat="1" applyFont="1" applyBorder="1" applyAlignment="1">
      <alignment horizontal="right"/>
    </xf>
    <xf numFmtId="167" fontId="74" fillId="0" borderId="100" xfId="2" applyNumberFormat="1" applyFont="1" applyBorder="1" applyAlignment="1">
      <alignment horizontal="right"/>
    </xf>
    <xf numFmtId="168" fontId="67" fillId="0" borderId="99" xfId="4" applyNumberFormat="1" applyFont="1" applyBorder="1"/>
    <xf numFmtId="167" fontId="75" fillId="0" borderId="104" xfId="4" applyNumberFormat="1" applyFont="1" applyBorder="1" applyAlignment="1">
      <alignment horizontal="right"/>
    </xf>
    <xf numFmtId="167" fontId="75" fillId="0" borderId="100" xfId="4" applyNumberFormat="1" applyFont="1" applyBorder="1" applyAlignment="1">
      <alignment horizontal="right"/>
    </xf>
    <xf numFmtId="167" fontId="74" fillId="0" borderId="99" xfId="2" applyNumberFormat="1" applyFont="1" applyBorder="1"/>
    <xf numFmtId="167" fontId="67" fillId="0" borderId="104" xfId="2" applyNumberFormat="1" applyFont="1" applyBorder="1"/>
    <xf numFmtId="167" fontId="75" fillId="0" borderId="100" xfId="2" applyNumberFormat="1" applyFont="1" applyBorder="1"/>
    <xf numFmtId="9" fontId="68" fillId="0" borderId="99" xfId="3" applyFont="1" applyBorder="1"/>
    <xf numFmtId="9" fontId="68" fillId="0" borderId="104" xfId="3" applyFont="1" applyBorder="1"/>
    <xf numFmtId="9" fontId="68" fillId="0" borderId="100" xfId="3" applyFont="1" applyBorder="1"/>
    <xf numFmtId="0" fontId="68" fillId="0" borderId="0" xfId="0" applyFont="1"/>
    <xf numFmtId="167" fontId="68" fillId="0" borderId="0" xfId="0" applyNumberFormat="1" applyFont="1"/>
    <xf numFmtId="168" fontId="67" fillId="0" borderId="103" xfId="4" applyNumberFormat="1" applyFont="1" applyBorder="1"/>
    <xf numFmtId="167" fontId="74" fillId="0" borderId="97" xfId="4" applyNumberFormat="1" applyFont="1" applyBorder="1" applyAlignment="1">
      <alignment horizontal="right"/>
    </xf>
    <xf numFmtId="167" fontId="74" fillId="0" borderId="98" xfId="2" applyNumberFormat="1" applyFont="1" applyBorder="1" applyAlignment="1">
      <alignment horizontal="right"/>
    </xf>
    <xf numFmtId="168" fontId="67" fillId="0" borderId="97" xfId="4" applyNumberFormat="1" applyFont="1" applyBorder="1"/>
    <xf numFmtId="167" fontId="75" fillId="0" borderId="105" xfId="4" applyNumberFormat="1" applyFont="1" applyBorder="1" applyAlignment="1">
      <alignment horizontal="right"/>
    </xf>
    <xf numFmtId="167" fontId="75" fillId="0" borderId="98" xfId="4" applyNumberFormat="1" applyFont="1" applyBorder="1" applyAlignment="1">
      <alignment horizontal="right"/>
    </xf>
    <xf numFmtId="167" fontId="74" fillId="0" borderId="105" xfId="4" applyNumberFormat="1" applyFont="1" applyBorder="1" applyAlignment="1">
      <alignment horizontal="right"/>
    </xf>
    <xf numFmtId="9" fontId="68" fillId="0" borderId="97" xfId="3" applyFont="1" applyBorder="1"/>
    <xf numFmtId="9" fontId="68" fillId="0" borderId="105" xfId="3" applyFont="1" applyBorder="1"/>
    <xf numFmtId="9" fontId="68" fillId="0" borderId="98" xfId="3" applyFont="1" applyBorder="1"/>
    <xf numFmtId="43" fontId="68" fillId="0" borderId="0" xfId="0" applyNumberFormat="1" applyFont="1"/>
    <xf numFmtId="168" fontId="76" fillId="0" borderId="101" xfId="4" applyNumberFormat="1" applyFont="1" applyBorder="1"/>
    <xf numFmtId="172" fontId="76" fillId="0" borderId="99" xfId="2" applyNumberFormat="1" applyFont="1" applyBorder="1" applyAlignment="1">
      <alignment horizontal="right"/>
    </xf>
    <xf numFmtId="172" fontId="76" fillId="0" borderId="100" xfId="2" applyNumberFormat="1" applyFont="1" applyBorder="1" applyAlignment="1">
      <alignment horizontal="right"/>
    </xf>
    <xf numFmtId="172" fontId="77" fillId="0" borderId="99" xfId="2" applyNumberFormat="1" applyFont="1" applyBorder="1" applyAlignment="1">
      <alignment horizontal="right"/>
    </xf>
    <xf numFmtId="172" fontId="76" fillId="0" borderId="104" xfId="2" applyNumberFormat="1" applyFont="1" applyBorder="1" applyAlignment="1">
      <alignment horizontal="right"/>
    </xf>
    <xf numFmtId="172" fontId="77" fillId="0" borderId="100" xfId="2" applyNumberFormat="1" applyFont="1" applyBorder="1" applyAlignment="1">
      <alignment horizontal="right"/>
    </xf>
    <xf numFmtId="9" fontId="76" fillId="0" borderId="99" xfId="3" applyFont="1" applyBorder="1"/>
    <xf numFmtId="9" fontId="76" fillId="0" borderId="104" xfId="3" applyFont="1" applyBorder="1"/>
    <xf numFmtId="9" fontId="76" fillId="0" borderId="100" xfId="3" applyFont="1" applyBorder="1"/>
    <xf numFmtId="0" fontId="66" fillId="0" borderId="99" xfId="0" applyFont="1" applyBorder="1"/>
    <xf numFmtId="172" fontId="76" fillId="0" borderId="101" xfId="0" applyNumberFormat="1" applyFont="1" applyBorder="1"/>
    <xf numFmtId="168" fontId="76" fillId="0" borderId="103" xfId="4" applyNumberFormat="1" applyFont="1" applyBorder="1"/>
    <xf numFmtId="172" fontId="76" fillId="0" borderId="97" xfId="2" applyNumberFormat="1" applyFont="1" applyBorder="1" applyAlignment="1">
      <alignment horizontal="right"/>
    </xf>
    <xf numFmtId="172" fontId="76" fillId="0" borderId="98" xfId="2" applyNumberFormat="1" applyFont="1" applyBorder="1" applyAlignment="1">
      <alignment horizontal="right"/>
    </xf>
    <xf numFmtId="172" fontId="77" fillId="0" borderId="97" xfId="2" applyNumberFormat="1" applyFont="1" applyBorder="1" applyAlignment="1">
      <alignment horizontal="right"/>
    </xf>
    <xf numFmtId="172" fontId="76" fillId="0" borderId="105" xfId="2" applyNumberFormat="1" applyFont="1" applyBorder="1" applyAlignment="1">
      <alignment horizontal="right"/>
    </xf>
    <xf numFmtId="172" fontId="77" fillId="0" borderId="98" xfId="2" applyNumberFormat="1" applyFont="1" applyBorder="1" applyAlignment="1">
      <alignment horizontal="right"/>
    </xf>
    <xf numFmtId="9" fontId="76" fillId="0" borderId="97" xfId="3" applyFont="1" applyBorder="1"/>
    <xf numFmtId="9" fontId="76" fillId="0" borderId="105" xfId="3" applyFont="1" applyBorder="1"/>
    <xf numFmtId="9" fontId="76" fillId="0" borderId="98" xfId="3" applyFont="1" applyBorder="1"/>
    <xf numFmtId="0" fontId="66" fillId="0" borderId="97" xfId="0" applyFont="1" applyBorder="1"/>
    <xf numFmtId="172" fontId="76" fillId="0" borderId="103" xfId="0" applyNumberFormat="1" applyFont="1" applyBorder="1"/>
    <xf numFmtId="168" fontId="78" fillId="0" borderId="102" xfId="4" applyNumberFormat="1" applyFont="1" applyBorder="1"/>
    <xf numFmtId="167" fontId="79" fillId="0" borderId="95" xfId="2" applyNumberFormat="1" applyFont="1" applyBorder="1" applyAlignment="1">
      <alignment horizontal="right"/>
    </xf>
    <xf numFmtId="167" fontId="79" fillId="0" borderId="96" xfId="2" applyNumberFormat="1" applyFont="1" applyBorder="1" applyAlignment="1">
      <alignment horizontal="right"/>
    </xf>
    <xf numFmtId="167" fontId="69" fillId="0" borderId="99" xfId="2" applyNumberFormat="1" applyFont="1" applyBorder="1" applyAlignment="1">
      <alignment horizontal="right"/>
    </xf>
    <xf numFmtId="167" fontId="69" fillId="0" borderId="0" xfId="2" applyNumberFormat="1" applyFont="1" applyBorder="1" applyAlignment="1">
      <alignment horizontal="right"/>
    </xf>
    <xf numFmtId="167" fontId="69" fillId="0" borderId="96" xfId="2" applyNumberFormat="1" applyFont="1" applyBorder="1" applyAlignment="1">
      <alignment horizontal="right"/>
    </xf>
    <xf numFmtId="167" fontId="79" fillId="0" borderId="95" xfId="2" applyNumberFormat="1" applyFont="1" applyBorder="1"/>
    <xf numFmtId="167" fontId="68" fillId="0" borderId="0" xfId="2" applyNumberFormat="1" applyFont="1" applyBorder="1"/>
    <xf numFmtId="167" fontId="69" fillId="0" borderId="96" xfId="2" applyNumberFormat="1" applyFont="1" applyBorder="1"/>
    <xf numFmtId="9" fontId="68" fillId="0" borderId="95" xfId="3" applyFont="1" applyBorder="1"/>
    <xf numFmtId="9" fontId="68" fillId="0" borderId="0" xfId="3" applyFont="1" applyBorder="1"/>
    <xf numFmtId="9" fontId="68" fillId="0" borderId="96" xfId="3" applyFont="1" applyBorder="1"/>
    <xf numFmtId="167" fontId="69" fillId="0" borderId="95" xfId="2" applyNumberFormat="1" applyFont="1" applyBorder="1" applyAlignment="1">
      <alignment horizontal="right"/>
    </xf>
    <xf numFmtId="167" fontId="69" fillId="0" borderId="0" xfId="2" applyNumberFormat="1" applyFont="1" applyFill="1" applyBorder="1" applyAlignment="1">
      <alignment horizontal="right"/>
    </xf>
    <xf numFmtId="167" fontId="69" fillId="0" borderId="96" xfId="2" applyNumberFormat="1" applyFont="1" applyFill="1" applyBorder="1" applyAlignment="1">
      <alignment horizontal="right"/>
    </xf>
    <xf numFmtId="167" fontId="79" fillId="0" borderId="95" xfId="2" applyNumberFormat="1" applyFont="1" applyFill="1" applyBorder="1"/>
    <xf numFmtId="167" fontId="68" fillId="0" borderId="0" xfId="2" applyNumberFormat="1" applyFont="1" applyFill="1" applyBorder="1"/>
    <xf numFmtId="167" fontId="69" fillId="0" borderId="96" xfId="2" applyNumberFormat="1" applyFont="1" applyFill="1" applyBorder="1"/>
    <xf numFmtId="167" fontId="69" fillId="0" borderId="0" xfId="2" applyNumberFormat="1" applyFont="1" applyBorder="1"/>
    <xf numFmtId="167" fontId="79" fillId="0" borderId="95" xfId="4" applyNumberFormat="1" applyFont="1" applyBorder="1" applyAlignment="1">
      <alignment horizontal="right"/>
    </xf>
    <xf numFmtId="166" fontId="69" fillId="0" borderId="95" xfId="4" applyFont="1" applyBorder="1" applyAlignment="1">
      <alignment horizontal="right"/>
    </xf>
    <xf numFmtId="167" fontId="69" fillId="0" borderId="0" xfId="4" applyNumberFormat="1" applyFont="1" applyBorder="1" applyAlignment="1">
      <alignment horizontal="right"/>
    </xf>
    <xf numFmtId="167" fontId="69" fillId="0" borderId="96" xfId="4" applyNumberFormat="1" applyFont="1" applyBorder="1" applyAlignment="1">
      <alignment horizontal="right"/>
    </xf>
    <xf numFmtId="167" fontId="69" fillId="0" borderId="0" xfId="4" applyNumberFormat="1" applyFont="1" applyFill="1" applyBorder="1"/>
    <xf numFmtId="167" fontId="69" fillId="0" borderId="96" xfId="4" applyNumberFormat="1" applyFont="1" applyFill="1" applyBorder="1"/>
    <xf numFmtId="167" fontId="79" fillId="0" borderId="95" xfId="2" applyNumberFormat="1" applyFont="1" applyFill="1" applyBorder="1" applyAlignment="1">
      <alignment horizontal="right"/>
    </xf>
    <xf numFmtId="167" fontId="79" fillId="0" borderId="96" xfId="2" applyNumberFormat="1" applyFont="1" applyFill="1" applyBorder="1" applyAlignment="1">
      <alignment horizontal="right"/>
    </xf>
    <xf numFmtId="167" fontId="79" fillId="0" borderId="97" xfId="2" applyNumberFormat="1" applyFont="1" applyFill="1" applyBorder="1"/>
    <xf numFmtId="167" fontId="68" fillId="0" borderId="105" xfId="2" applyNumberFormat="1" applyFont="1" applyFill="1" applyBorder="1"/>
    <xf numFmtId="167" fontId="69" fillId="0" borderId="98" xfId="2" applyNumberFormat="1" applyFont="1" applyFill="1" applyBorder="1"/>
    <xf numFmtId="0" fontId="61" fillId="0" borderId="101" xfId="0" applyFont="1" applyBorder="1" applyAlignment="1">
      <alignment vertical="top" wrapText="1"/>
    </xf>
    <xf numFmtId="0" fontId="23" fillId="43" borderId="99" xfId="0" applyFont="1" applyFill="1" applyBorder="1" applyAlignment="1">
      <alignment vertical="top" wrapText="1"/>
    </xf>
    <xf numFmtId="0" fontId="23" fillId="43" borderId="100" xfId="0" applyFont="1" applyFill="1" applyBorder="1" applyAlignment="1">
      <alignment vertical="top" wrapText="1"/>
    </xf>
    <xf numFmtId="0" fontId="80" fillId="0" borderId="99" xfId="0" applyFont="1" applyBorder="1" applyAlignment="1">
      <alignment vertical="top" wrapText="1"/>
    </xf>
    <xf numFmtId="0" fontId="23" fillId="0" borderId="104" xfId="0" applyFont="1" applyBorder="1" applyAlignment="1">
      <alignment vertical="top" wrapText="1"/>
    </xf>
    <xf numFmtId="0" fontId="80" fillId="0" borderId="100" xfId="0" applyFont="1" applyBorder="1" applyAlignment="1">
      <alignment vertical="top" wrapText="1"/>
    </xf>
    <xf numFmtId="0" fontId="23" fillId="0" borderId="99" xfId="0" applyFont="1" applyBorder="1" applyAlignment="1">
      <alignment horizontal="center" vertical="top" wrapText="1"/>
    </xf>
    <xf numFmtId="0" fontId="23" fillId="0" borderId="104" xfId="0" applyFont="1" applyBorder="1" applyAlignment="1">
      <alignment horizontal="center" vertical="top" wrapText="1"/>
    </xf>
    <xf numFmtId="0" fontId="80" fillId="0" borderId="100" xfId="0" applyFont="1" applyBorder="1" applyAlignment="1">
      <alignment horizontal="center" vertical="top" wrapText="1"/>
    </xf>
    <xf numFmtId="0" fontId="61" fillId="0" borderId="99" xfId="0" applyFont="1" applyBorder="1" applyAlignment="1">
      <alignment vertical="top" wrapText="1"/>
    </xf>
    <xf numFmtId="0" fontId="61" fillId="0" borderId="104" xfId="0" applyFont="1" applyBorder="1" applyAlignment="1">
      <alignment vertical="top" wrapText="1"/>
    </xf>
    <xf numFmtId="0" fontId="61" fillId="0" borderId="100" xfId="0" applyFont="1" applyBorder="1" applyAlignment="1">
      <alignment vertical="top" wrapText="1"/>
    </xf>
    <xf numFmtId="172" fontId="62" fillId="0" borderId="101" xfId="2" applyNumberFormat="1" applyFont="1" applyFill="1" applyBorder="1" applyAlignment="1">
      <alignment vertical="top" wrapText="1"/>
    </xf>
    <xf numFmtId="0" fontId="23" fillId="0" borderId="99" xfId="0" applyFont="1" applyBorder="1" applyAlignment="1">
      <alignment vertical="top" wrapText="1"/>
    </xf>
    <xf numFmtId="0" fontId="23" fillId="0" borderId="100" xfId="0" applyFont="1" applyBorder="1" applyAlignment="1">
      <alignment vertical="top" wrapText="1"/>
    </xf>
    <xf numFmtId="0" fontId="61" fillId="0" borderId="100" xfId="0" applyFont="1" applyBorder="1" applyAlignment="1">
      <alignment horizontal="center" vertical="top" wrapText="1"/>
    </xf>
    <xf numFmtId="0" fontId="31" fillId="0" borderId="0" xfId="0" applyFont="1" applyAlignment="1">
      <alignment vertical="top"/>
    </xf>
    <xf numFmtId="0" fontId="61" fillId="0" borderId="0" xfId="0" applyFont="1"/>
    <xf numFmtId="168" fontId="81" fillId="0" borderId="0" xfId="4" applyNumberFormat="1" applyFont="1" applyAlignment="1">
      <alignment wrapText="1"/>
    </xf>
    <xf numFmtId="167" fontId="69" fillId="3" borderId="96" xfId="2" applyNumberFormat="1" applyFont="1" applyFill="1" applyBorder="1" applyAlignment="1">
      <alignment horizontal="right"/>
    </xf>
    <xf numFmtId="168" fontId="71" fillId="0" borderId="0" xfId="4" applyNumberFormat="1" applyFont="1"/>
    <xf numFmtId="167" fontId="71" fillId="0" borderId="100" xfId="2" applyNumberFormat="1" applyFont="1" applyBorder="1"/>
    <xf numFmtId="167" fontId="7" fillId="19" borderId="17" xfId="2" applyNumberFormat="1" applyFont="1" applyFill="1" applyBorder="1" applyAlignment="1">
      <alignment horizontal="left" vertical="center" wrapText="1"/>
    </xf>
    <xf numFmtId="167" fontId="7" fillId="19" borderId="34" xfId="2" applyNumberFormat="1" applyFont="1" applyFill="1" applyBorder="1" applyAlignment="1">
      <alignment horizontal="center" vertical="center" wrapText="1"/>
    </xf>
    <xf numFmtId="167" fontId="7" fillId="19" borderId="16" xfId="2" applyNumberFormat="1" applyFont="1" applyFill="1" applyBorder="1" applyAlignment="1">
      <alignment horizontal="center" vertical="center" wrapText="1"/>
    </xf>
    <xf numFmtId="167" fontId="7" fillId="19" borderId="16" xfId="2" applyNumberFormat="1" applyFont="1" applyFill="1" applyBorder="1" applyAlignment="1">
      <alignment horizontal="left" vertical="center" wrapText="1"/>
    </xf>
    <xf numFmtId="167" fontId="7" fillId="19" borderId="15" xfId="2" applyNumberFormat="1" applyFont="1" applyFill="1" applyBorder="1" applyAlignment="1">
      <alignment horizontal="left" vertical="center" wrapText="1"/>
    </xf>
    <xf numFmtId="168" fontId="7" fillId="6" borderId="15" xfId="4" applyNumberFormat="1" applyFont="1" applyFill="1" applyBorder="1" applyAlignment="1">
      <alignment horizontal="center" vertical="center" wrapText="1"/>
    </xf>
    <xf numFmtId="168" fontId="7" fillId="6" borderId="16" xfId="4" applyNumberFormat="1" applyFont="1" applyFill="1" applyBorder="1" applyAlignment="1">
      <alignment horizontal="center" vertical="center" wrapText="1"/>
    </xf>
    <xf numFmtId="168" fontId="7" fillId="6" borderId="26" xfId="4" applyNumberFormat="1" applyFont="1" applyFill="1" applyBorder="1" applyAlignment="1">
      <alignment horizontal="center" vertical="center" wrapText="1"/>
    </xf>
    <xf numFmtId="168" fontId="82" fillId="21" borderId="22" xfId="4" applyNumberFormat="1" applyFont="1" applyFill="1" applyBorder="1" applyAlignment="1">
      <alignment horizontal="center" vertical="center" wrapText="1"/>
    </xf>
    <xf numFmtId="168" fontId="82" fillId="21" borderId="44" xfId="4" applyNumberFormat="1" applyFont="1" applyFill="1" applyBorder="1" applyAlignment="1">
      <alignment horizontal="center" vertical="center" wrapText="1"/>
    </xf>
    <xf numFmtId="167" fontId="83" fillId="4" borderId="6" xfId="2" applyNumberFormat="1" applyFont="1" applyFill="1" applyBorder="1" applyAlignment="1">
      <alignment horizontal="center" vertical="center" wrapText="1"/>
    </xf>
    <xf numFmtId="172" fontId="62" fillId="0" borderId="100" xfId="2" applyNumberFormat="1" applyFont="1" applyFill="1" applyBorder="1" applyAlignment="1">
      <alignment vertical="top" wrapText="1"/>
    </xf>
    <xf numFmtId="171" fontId="68" fillId="0" borderId="102" xfId="3" applyNumberFormat="1" applyFont="1" applyBorder="1"/>
    <xf numFmtId="171" fontId="68" fillId="0" borderId="103" xfId="3" applyNumberFormat="1" applyFont="1" applyBorder="1"/>
    <xf numFmtId="171" fontId="68" fillId="0" borderId="101" xfId="3" applyNumberFormat="1" applyFont="1" applyBorder="1"/>
    <xf numFmtId="167" fontId="71" fillId="0" borderId="98" xfId="4" applyNumberFormat="1" applyFont="1" applyBorder="1" applyAlignment="1">
      <alignment horizontal="right"/>
    </xf>
    <xf numFmtId="168" fontId="59" fillId="38" borderId="13" xfId="0" applyNumberFormat="1" applyFont="1" applyFill="1" applyBorder="1" applyAlignment="1">
      <alignment horizontal="center" vertical="center" wrapText="1"/>
    </xf>
    <xf numFmtId="10" fontId="1" fillId="0" borderId="0" xfId="3" applyNumberFormat="1" applyFont="1"/>
    <xf numFmtId="168" fontId="84" fillId="3" borderId="0" xfId="4" applyNumberFormat="1" applyFont="1" applyFill="1"/>
    <xf numFmtId="168" fontId="41" fillId="0" borderId="108" xfId="0" applyNumberFormat="1" applyFont="1" applyBorder="1"/>
    <xf numFmtId="170" fontId="85" fillId="0" borderId="0" xfId="4" applyNumberFormat="1" applyFont="1" applyFill="1" applyAlignment="1">
      <alignment horizontal="center" vertical="center" wrapText="1"/>
    </xf>
    <xf numFmtId="170" fontId="57" fillId="0" borderId="0" xfId="4" applyNumberFormat="1" applyFont="1" applyFill="1" applyAlignment="1">
      <alignment horizontal="center" vertical="center" wrapText="1"/>
    </xf>
    <xf numFmtId="0" fontId="86" fillId="0" borderId="0" xfId="0" applyFont="1"/>
    <xf numFmtId="0" fontId="41" fillId="0" borderId="108" xfId="0" applyFont="1" applyBorder="1" applyAlignment="1">
      <alignment vertical="center" wrapText="1"/>
    </xf>
    <xf numFmtId="0" fontId="85" fillId="44" borderId="99" xfId="0" applyFont="1" applyFill="1" applyBorder="1" applyAlignment="1">
      <alignment vertical="center" wrapText="1"/>
    </xf>
    <xf numFmtId="0" fontId="85" fillId="44" borderId="104" xfId="0" applyFont="1" applyFill="1" applyBorder="1" applyAlignment="1">
      <alignment vertical="center" wrapText="1"/>
    </xf>
    <xf numFmtId="0" fontId="85" fillId="21" borderId="104" xfId="0" applyFont="1" applyFill="1" applyBorder="1" applyAlignment="1">
      <alignment vertical="center" wrapText="1"/>
    </xf>
    <xf numFmtId="0" fontId="85" fillId="45" borderId="104" xfId="0" applyFont="1" applyFill="1" applyBorder="1" applyAlignment="1">
      <alignment vertical="center" wrapText="1"/>
    </xf>
    <xf numFmtId="0" fontId="85" fillId="45" borderId="100" xfId="0" applyFont="1" applyFill="1" applyBorder="1" applyAlignment="1">
      <alignment vertical="center" wrapText="1"/>
    </xf>
    <xf numFmtId="171" fontId="42" fillId="0" borderId="0" xfId="3" applyNumberFormat="1" applyFont="1"/>
    <xf numFmtId="170" fontId="0" fillId="0" borderId="0" xfId="0" applyNumberFormat="1"/>
    <xf numFmtId="9" fontId="42" fillId="0" borderId="0" xfId="3" applyFont="1"/>
    <xf numFmtId="9" fontId="41" fillId="0" borderId="108" xfId="3" applyFont="1" applyBorder="1"/>
    <xf numFmtId="1" fontId="0" fillId="0" borderId="95" xfId="0" applyNumberFormat="1" applyBorder="1"/>
    <xf numFmtId="1" fontId="0" fillId="0" borderId="96" xfId="0" applyNumberFormat="1" applyBorder="1"/>
    <xf numFmtId="1" fontId="0" fillId="0" borderId="97" xfId="0" applyNumberFormat="1" applyBorder="1"/>
    <xf numFmtId="1" fontId="0" fillId="0" borderId="105" xfId="0" applyNumberFormat="1" applyBorder="1"/>
    <xf numFmtId="1" fontId="0" fillId="0" borderId="98" xfId="0" applyNumberFormat="1" applyBorder="1"/>
    <xf numFmtId="168" fontId="55" fillId="3" borderId="0" xfId="4" applyNumberFormat="1" applyFont="1" applyFill="1"/>
    <xf numFmtId="170" fontId="0" fillId="0" borderId="99" xfId="0" applyNumberFormat="1" applyBorder="1"/>
    <xf numFmtId="0" fontId="0" fillId="0" borderId="104" xfId="0" applyBorder="1"/>
    <xf numFmtId="0" fontId="0" fillId="0" borderId="100" xfId="0" applyBorder="1"/>
    <xf numFmtId="170" fontId="0" fillId="0" borderId="95" xfId="0" applyNumberFormat="1" applyBorder="1"/>
    <xf numFmtId="9" fontId="0" fillId="0" borderId="0" xfId="3" applyFont="1" applyBorder="1"/>
    <xf numFmtId="9" fontId="0" fillId="0" borderId="96" xfId="3" applyFont="1" applyBorder="1"/>
    <xf numFmtId="0" fontId="0" fillId="0" borderId="96" xfId="0" applyBorder="1"/>
    <xf numFmtId="170" fontId="0" fillId="0" borderId="97" xfId="0" applyNumberFormat="1" applyBorder="1"/>
    <xf numFmtId="9" fontId="0" fillId="0" borderId="105" xfId="3" applyFont="1" applyBorder="1"/>
    <xf numFmtId="9" fontId="0" fillId="0" borderId="98" xfId="3" applyFont="1" applyBorder="1"/>
    <xf numFmtId="168" fontId="41" fillId="41" borderId="108" xfId="0" applyNumberFormat="1" applyFont="1" applyFill="1" applyBorder="1"/>
    <xf numFmtId="0" fontId="41" fillId="41" borderId="108" xfId="0" applyFont="1" applyFill="1" applyBorder="1" applyAlignment="1">
      <alignment vertical="center" wrapText="1"/>
    </xf>
    <xf numFmtId="171" fontId="41" fillId="41" borderId="108" xfId="3" applyNumberFormat="1" applyFont="1" applyFill="1" applyBorder="1"/>
    <xf numFmtId="168" fontId="41" fillId="21" borderId="108" xfId="0" applyNumberFormat="1" applyFont="1" applyFill="1" applyBorder="1"/>
    <xf numFmtId="0" fontId="41" fillId="21" borderId="108" xfId="0" applyFont="1" applyFill="1" applyBorder="1" applyAlignment="1">
      <alignment vertical="center" wrapText="1"/>
    </xf>
    <xf numFmtId="9" fontId="41" fillId="21" borderId="108" xfId="3" applyFont="1" applyFill="1" applyBorder="1"/>
    <xf numFmtId="9" fontId="41" fillId="41" borderId="108" xfId="3" applyFont="1" applyFill="1" applyBorder="1"/>
    <xf numFmtId="43" fontId="0" fillId="0" borderId="0" xfId="0" applyNumberFormat="1"/>
    <xf numFmtId="0" fontId="41" fillId="0" borderId="106" xfId="0" applyFont="1" applyBorder="1"/>
    <xf numFmtId="0" fontId="41" fillId="0" borderId="107" xfId="0" applyFont="1" applyBorder="1"/>
    <xf numFmtId="167" fontId="41" fillId="0" borderId="107" xfId="0" applyNumberFormat="1" applyFont="1" applyBorder="1"/>
    <xf numFmtId="43" fontId="0" fillId="0" borderId="0" xfId="2" applyFont="1" applyFill="1"/>
    <xf numFmtId="2" fontId="41" fillId="0" borderId="107" xfId="0" applyNumberFormat="1" applyFont="1" applyBorder="1"/>
    <xf numFmtId="170" fontId="41" fillId="21" borderId="99" xfId="0" applyNumberFormat="1" applyFont="1" applyFill="1" applyBorder="1"/>
    <xf numFmtId="0" fontId="41" fillId="21" borderId="104" xfId="0" applyFont="1" applyFill="1" applyBorder="1"/>
    <xf numFmtId="0" fontId="41" fillId="21" borderId="100" xfId="0" applyFont="1" applyFill="1" applyBorder="1"/>
    <xf numFmtId="173" fontId="0" fillId="0" borderId="0" xfId="3" applyNumberFormat="1" applyFont="1" applyBorder="1"/>
    <xf numFmtId="173" fontId="0" fillId="0" borderId="96" xfId="3" applyNumberFormat="1" applyFont="1" applyBorder="1"/>
    <xf numFmtId="173" fontId="0" fillId="0" borderId="105" xfId="3" applyNumberFormat="1" applyFont="1" applyBorder="1"/>
    <xf numFmtId="173" fontId="0" fillId="0" borderId="98" xfId="3" applyNumberFormat="1" applyFont="1" applyBorder="1"/>
    <xf numFmtId="168" fontId="33" fillId="33" borderId="1" xfId="4" applyNumberFormat="1" applyFont="1" applyFill="1" applyBorder="1" applyAlignment="1">
      <alignment horizontal="center" vertical="center" wrapText="1"/>
    </xf>
    <xf numFmtId="168" fontId="22" fillId="36" borderId="32" xfId="4" applyNumberFormat="1" applyFont="1" applyFill="1" applyBorder="1" applyAlignment="1">
      <alignment horizontal="center" vertical="center" wrapText="1"/>
    </xf>
    <xf numFmtId="168" fontId="8" fillId="33" borderId="59" xfId="4" applyNumberFormat="1" applyFont="1" applyFill="1" applyBorder="1" applyAlignment="1">
      <alignment vertical="center" wrapText="1"/>
    </xf>
    <xf numFmtId="166" fontId="6" fillId="0" borderId="13" xfId="4" applyFont="1" applyFill="1" applyBorder="1" applyAlignment="1">
      <alignment horizontal="right" vertical="center" wrapText="1"/>
    </xf>
    <xf numFmtId="166" fontId="6" fillId="0" borderId="1" xfId="4" applyFont="1" applyFill="1" applyBorder="1" applyAlignment="1">
      <alignment vertical="center" wrapText="1"/>
    </xf>
    <xf numFmtId="166" fontId="10" fillId="0" borderId="1" xfId="4" applyFont="1" applyFill="1" applyBorder="1" applyAlignment="1">
      <alignment vertical="center" wrapText="1"/>
    </xf>
    <xf numFmtId="166" fontId="6" fillId="0" borderId="14" xfId="4" applyFont="1" applyFill="1" applyBorder="1" applyAlignment="1">
      <alignment vertical="center" wrapText="1"/>
    </xf>
    <xf numFmtId="166" fontId="6" fillId="33" borderId="1" xfId="4" applyFont="1" applyFill="1" applyBorder="1" applyAlignment="1">
      <alignment vertical="center" wrapText="1"/>
    </xf>
    <xf numFmtId="166" fontId="6" fillId="33" borderId="14" xfId="4" applyFont="1" applyFill="1" applyBorder="1" applyAlignment="1">
      <alignment vertical="center" wrapText="1"/>
    </xf>
    <xf numFmtId="166" fontId="6" fillId="0" borderId="1" xfId="4" applyFont="1" applyBorder="1" applyAlignment="1">
      <alignment vertical="center" wrapText="1"/>
    </xf>
    <xf numFmtId="0" fontId="19" fillId="34" borderId="9" xfId="0" applyFont="1" applyFill="1" applyBorder="1" applyAlignment="1">
      <alignment horizontal="center" vertical="center"/>
    </xf>
    <xf numFmtId="0" fontId="19" fillId="34" borderId="47" xfId="0" applyFont="1" applyFill="1" applyBorder="1" applyAlignment="1">
      <alignment horizontal="center" vertical="center"/>
    </xf>
    <xf numFmtId="0" fontId="19" fillId="34" borderId="48" xfId="0" applyFont="1" applyFill="1" applyBorder="1" applyAlignment="1">
      <alignment horizontal="center" vertical="center"/>
    </xf>
    <xf numFmtId="0" fontId="17" fillId="37" borderId="8" xfId="0" applyFont="1" applyFill="1" applyBorder="1" applyAlignment="1">
      <alignment horizontal="center" vertical="center"/>
    </xf>
    <xf numFmtId="0" fontId="16" fillId="3" borderId="0" xfId="0" applyFont="1" applyFill="1" applyAlignment="1">
      <alignment horizontal="center"/>
    </xf>
    <xf numFmtId="0" fontId="15" fillId="0" borderId="8" xfId="0" applyFont="1" applyBorder="1" applyAlignment="1">
      <alignment horizontal="center"/>
    </xf>
    <xf numFmtId="0" fontId="13" fillId="0" borderId="0" xfId="0" applyFont="1" applyAlignment="1">
      <alignment horizontal="left" vertical="top" wrapText="1"/>
    </xf>
    <xf numFmtId="0" fontId="15" fillId="0" borderId="0" xfId="0" applyFont="1" applyAlignment="1">
      <alignment horizontal="center"/>
    </xf>
    <xf numFmtId="0" fontId="50" fillId="39" borderId="0" xfId="0" applyFont="1" applyFill="1" applyAlignment="1">
      <alignment horizontal="center" vertical="top" wrapText="1"/>
    </xf>
    <xf numFmtId="0" fontId="65" fillId="9" borderId="31" xfId="1" applyFont="1" applyFill="1" applyBorder="1" applyAlignment="1">
      <alignment horizontal="center" vertical="center" wrapText="1"/>
    </xf>
    <xf numFmtId="0" fontId="65" fillId="10" borderId="31" xfId="1" applyFont="1" applyFill="1" applyBorder="1" applyAlignment="1">
      <alignment horizontal="center" vertical="center" wrapText="1"/>
    </xf>
    <xf numFmtId="168" fontId="65" fillId="11" borderId="31" xfId="4" applyNumberFormat="1" applyFont="1" applyFill="1" applyBorder="1" applyAlignment="1">
      <alignment horizontal="center" vertical="center" wrapText="1"/>
    </xf>
    <xf numFmtId="168" fontId="65" fillId="11" borderId="66" xfId="4" applyNumberFormat="1" applyFont="1" applyFill="1" applyBorder="1" applyAlignment="1">
      <alignment horizontal="center" vertical="center" wrapText="1"/>
    </xf>
    <xf numFmtId="168" fontId="22" fillId="36" borderId="43" xfId="4" applyNumberFormat="1" applyFont="1" applyFill="1" applyBorder="1" applyAlignment="1">
      <alignment horizontal="center" vertical="center" wrapText="1"/>
    </xf>
    <xf numFmtId="168" fontId="22" fillId="36" borderId="49" xfId="4" applyNumberFormat="1" applyFont="1" applyFill="1" applyBorder="1" applyAlignment="1">
      <alignment horizontal="center" vertical="center" wrapText="1"/>
    </xf>
    <xf numFmtId="168" fontId="17" fillId="12" borderId="42" xfId="4" applyNumberFormat="1" applyFont="1" applyFill="1" applyBorder="1" applyAlignment="1">
      <alignment horizontal="center" vertical="center" wrapText="1"/>
    </xf>
    <xf numFmtId="168" fontId="17" fillId="12" borderId="43" xfId="4" applyNumberFormat="1" applyFont="1" applyFill="1" applyBorder="1" applyAlignment="1">
      <alignment horizontal="center" vertical="center" wrapText="1"/>
    </xf>
    <xf numFmtId="168" fontId="17" fillId="12" borderId="49" xfId="4" applyNumberFormat="1" applyFont="1" applyFill="1" applyBorder="1" applyAlignment="1">
      <alignment horizontal="center" vertical="center" wrapText="1"/>
    </xf>
    <xf numFmtId="168" fontId="33" fillId="0" borderId="21" xfId="4" applyNumberFormat="1" applyFont="1" applyBorder="1" applyAlignment="1">
      <alignment horizontal="right" wrapText="1"/>
    </xf>
    <xf numFmtId="0" fontId="33" fillId="0" borderId="21" xfId="0" applyFont="1" applyBorder="1" applyAlignment="1">
      <alignment horizontal="right" wrapText="1"/>
    </xf>
    <xf numFmtId="0" fontId="17" fillId="9" borderId="11" xfId="1" applyFont="1" applyFill="1" applyBorder="1" applyAlignment="1">
      <alignment horizontal="center" vertical="center" wrapText="1"/>
    </xf>
    <xf numFmtId="0" fontId="17" fillId="10" borderId="11" xfId="1" applyFont="1" applyFill="1" applyBorder="1" applyAlignment="1">
      <alignment horizontal="center" vertical="center" wrapText="1"/>
    </xf>
    <xf numFmtId="167" fontId="23" fillId="17" borderId="1" xfId="2" applyNumberFormat="1" applyFont="1" applyFill="1" applyBorder="1" applyAlignment="1">
      <alignment horizontal="center" vertical="center" wrapText="1"/>
    </xf>
    <xf numFmtId="168" fontId="17" fillId="11" borderId="11" xfId="4" applyNumberFormat="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17" fillId="12" borderId="11" xfId="1" applyFont="1" applyFill="1" applyBorder="1" applyAlignment="1">
      <alignment horizontal="center" vertical="center" wrapText="1"/>
    </xf>
    <xf numFmtId="168" fontId="17" fillId="12" borderId="11" xfId="4" applyNumberFormat="1" applyFont="1" applyFill="1" applyBorder="1" applyAlignment="1">
      <alignment horizontal="center" vertical="center" wrapText="1"/>
    </xf>
    <xf numFmtId="168" fontId="17" fillId="12" borderId="18" xfId="4" applyNumberFormat="1" applyFont="1" applyFill="1" applyBorder="1" applyAlignment="1">
      <alignment horizontal="center" vertical="center" wrapText="1"/>
    </xf>
    <xf numFmtId="0" fontId="17" fillId="12" borderId="24" xfId="1" applyFont="1" applyFill="1" applyBorder="1" applyAlignment="1">
      <alignment horizontal="center" vertical="center" wrapText="1"/>
    </xf>
    <xf numFmtId="0" fontId="17" fillId="2" borderId="18" xfId="1" applyFont="1" applyFill="1" applyBorder="1" applyAlignment="1">
      <alignment horizontal="center" vertical="center" wrapText="1"/>
    </xf>
    <xf numFmtId="0" fontId="17" fillId="2" borderId="24" xfId="1" applyFont="1" applyFill="1" applyBorder="1" applyAlignment="1">
      <alignment horizontal="center" vertical="center" wrapText="1"/>
    </xf>
    <xf numFmtId="0" fontId="17" fillId="2" borderId="19" xfId="1" applyFont="1" applyFill="1" applyBorder="1" applyAlignment="1">
      <alignment horizontal="center" vertical="center" wrapText="1"/>
    </xf>
    <xf numFmtId="168" fontId="17" fillId="11" borderId="37" xfId="4" applyNumberFormat="1" applyFont="1" applyFill="1" applyBorder="1" applyAlignment="1">
      <alignment horizontal="center" vertical="center" wrapText="1"/>
    </xf>
    <xf numFmtId="168" fontId="17" fillId="11" borderId="38" xfId="4" applyNumberFormat="1" applyFont="1" applyFill="1" applyBorder="1" applyAlignment="1">
      <alignment horizontal="center" vertical="center" wrapText="1"/>
    </xf>
    <xf numFmtId="168" fontId="17" fillId="11" borderId="18" xfId="4" applyNumberFormat="1" applyFont="1" applyFill="1" applyBorder="1" applyAlignment="1">
      <alignment horizontal="center" vertical="center" wrapText="1"/>
    </xf>
    <xf numFmtId="168" fontId="17" fillId="11" borderId="24" xfId="4" applyNumberFormat="1" applyFont="1" applyFill="1" applyBorder="1" applyAlignment="1">
      <alignment horizontal="center" vertical="center" wrapText="1"/>
    </xf>
    <xf numFmtId="168" fontId="17" fillId="11" borderId="19" xfId="4" applyNumberFormat="1" applyFont="1" applyFill="1" applyBorder="1" applyAlignment="1">
      <alignment horizontal="center" vertical="center" wrapText="1"/>
    </xf>
    <xf numFmtId="0" fontId="7" fillId="10" borderId="18" xfId="1" applyFont="1" applyFill="1" applyBorder="1" applyAlignment="1">
      <alignment horizontal="center" vertical="center" wrapText="1"/>
    </xf>
    <xf numFmtId="0" fontId="7" fillId="10" borderId="24" xfId="1" applyFont="1" applyFill="1" applyBorder="1" applyAlignment="1">
      <alignment horizontal="center" vertical="center" wrapText="1"/>
    </xf>
    <xf numFmtId="0" fontId="7" fillId="10" borderId="19" xfId="1" applyFont="1" applyFill="1" applyBorder="1" applyAlignment="1">
      <alignment horizontal="center" vertical="center" wrapText="1"/>
    </xf>
    <xf numFmtId="0" fontId="17" fillId="9" borderId="18" xfId="1" applyFont="1" applyFill="1" applyBorder="1" applyAlignment="1">
      <alignment horizontal="center" vertical="center" wrapText="1"/>
    </xf>
    <xf numFmtId="0" fontId="17" fillId="9" borderId="24" xfId="1" applyFont="1" applyFill="1" applyBorder="1" applyAlignment="1">
      <alignment horizontal="center" vertical="center" wrapText="1"/>
    </xf>
    <xf numFmtId="0" fontId="17" fillId="9" borderId="19" xfId="1" applyFont="1" applyFill="1" applyBorder="1" applyAlignment="1">
      <alignment horizontal="center" vertical="center" wrapText="1"/>
    </xf>
    <xf numFmtId="0" fontId="1" fillId="0" borderId="21" xfId="0" applyFont="1" applyBorder="1" applyAlignment="1">
      <alignment horizontal="center" wrapText="1"/>
    </xf>
    <xf numFmtId="0" fontId="24" fillId="28" borderId="27" xfId="0" applyFont="1" applyFill="1" applyBorder="1" applyAlignment="1">
      <alignment horizontal="center" vertical="center" wrapText="1"/>
    </xf>
    <xf numFmtId="0" fontId="24" fillId="28" borderId="29" xfId="0" applyFont="1" applyFill="1" applyBorder="1" applyAlignment="1">
      <alignment horizontal="center" vertical="center" wrapText="1"/>
    </xf>
    <xf numFmtId="0" fontId="24" fillId="10" borderId="18" xfId="1" applyFont="1" applyFill="1" applyBorder="1" applyAlignment="1">
      <alignment horizontal="center" vertical="center" wrapText="1"/>
    </xf>
    <xf numFmtId="0" fontId="24" fillId="10" borderId="19" xfId="1" applyFont="1" applyFill="1" applyBorder="1" applyAlignment="1">
      <alignment horizontal="center" vertical="center" wrapText="1"/>
    </xf>
    <xf numFmtId="168" fontId="24" fillId="11" borderId="18" xfId="4" applyNumberFormat="1" applyFont="1" applyFill="1" applyBorder="1" applyAlignment="1">
      <alignment horizontal="center" vertical="center" wrapText="1"/>
    </xf>
    <xf numFmtId="168" fontId="24" fillId="11" borderId="24" xfId="4" applyNumberFormat="1" applyFont="1" applyFill="1" applyBorder="1" applyAlignment="1">
      <alignment horizontal="center" vertical="center" wrapText="1"/>
    </xf>
    <xf numFmtId="168" fontId="24" fillId="11" borderId="19" xfId="4" applyNumberFormat="1" applyFont="1" applyFill="1" applyBorder="1" applyAlignment="1">
      <alignment horizontal="center" vertical="center" wrapText="1"/>
    </xf>
    <xf numFmtId="0" fontId="24" fillId="2" borderId="27" xfId="1" applyFont="1" applyFill="1" applyBorder="1" applyAlignment="1">
      <alignment horizontal="center" vertical="center" wrapText="1"/>
    </xf>
    <xf numFmtId="0" fontId="24" fillId="2" borderId="28" xfId="1" applyFont="1" applyFill="1" applyBorder="1" applyAlignment="1">
      <alignment horizontal="center" vertical="center" wrapText="1"/>
    </xf>
    <xf numFmtId="0" fontId="24" fillId="2" borderId="29" xfId="1" applyFont="1" applyFill="1" applyBorder="1" applyAlignment="1">
      <alignment horizontal="center" vertical="center" wrapText="1"/>
    </xf>
    <xf numFmtId="168" fontId="24" fillId="23" borderId="21" xfId="4" applyNumberFormat="1" applyFont="1" applyFill="1" applyBorder="1" applyAlignment="1">
      <alignment horizontal="center" vertical="center" wrapText="1"/>
    </xf>
    <xf numFmtId="168" fontId="24" fillId="25" borderId="46" xfId="4" applyNumberFormat="1" applyFont="1" applyFill="1" applyBorder="1" applyAlignment="1">
      <alignment horizontal="center" vertical="center" wrapText="1"/>
    </xf>
    <xf numFmtId="168" fontId="24" fillId="25" borderId="37" xfId="4" applyNumberFormat="1" applyFont="1" applyFill="1" applyBorder="1" applyAlignment="1">
      <alignment horizontal="center" vertical="center" wrapText="1"/>
    </xf>
    <xf numFmtId="168" fontId="24" fillId="25" borderId="38" xfId="4" applyNumberFormat="1" applyFont="1" applyFill="1" applyBorder="1" applyAlignment="1">
      <alignment horizontal="center" vertical="center" wrapText="1"/>
    </xf>
    <xf numFmtId="167" fontId="37" fillId="27" borderId="27" xfId="2" applyNumberFormat="1" applyFont="1" applyFill="1" applyBorder="1" applyAlignment="1">
      <alignment horizontal="center" vertical="center" wrapText="1"/>
    </xf>
    <xf numFmtId="167" fontId="37" fillId="27" borderId="29" xfId="2" applyNumberFormat="1" applyFont="1" applyFill="1" applyBorder="1" applyAlignment="1">
      <alignment horizontal="center" vertical="center" wrapText="1"/>
    </xf>
    <xf numFmtId="168" fontId="24" fillId="24" borderId="21" xfId="4" applyNumberFormat="1"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67" fontId="29" fillId="27" borderId="27" xfId="2" applyNumberFormat="1" applyFont="1" applyFill="1" applyBorder="1" applyAlignment="1">
      <alignment horizontal="center" vertical="center" wrapText="1"/>
    </xf>
    <xf numFmtId="167" fontId="29" fillId="27" borderId="29" xfId="2" applyNumberFormat="1" applyFont="1" applyFill="1" applyBorder="1" applyAlignment="1">
      <alignment horizontal="center" vertical="center" wrapText="1"/>
    </xf>
    <xf numFmtId="0" fontId="24" fillId="9" borderId="18" xfId="1" applyFont="1" applyFill="1" applyBorder="1" applyAlignment="1">
      <alignment horizontal="center" vertical="center" wrapText="1"/>
    </xf>
    <xf numFmtId="0" fontId="24" fillId="9" borderId="24" xfId="1" applyFont="1" applyFill="1" applyBorder="1" applyAlignment="1">
      <alignment horizontal="center" vertical="center" wrapText="1"/>
    </xf>
    <xf numFmtId="168" fontId="45" fillId="25" borderId="42" xfId="4" applyNumberFormat="1" applyFont="1" applyFill="1" applyBorder="1" applyAlignment="1">
      <alignment horizontal="center" vertical="center" wrapText="1"/>
    </xf>
    <xf numFmtId="168" fontId="45" fillId="25" borderId="49" xfId="4" applyNumberFormat="1" applyFont="1" applyFill="1" applyBorder="1" applyAlignment="1">
      <alignment horizontal="center" vertical="center" wrapText="1"/>
    </xf>
    <xf numFmtId="167" fontId="29" fillId="27" borderId="46" xfId="2" applyNumberFormat="1" applyFont="1" applyFill="1" applyBorder="1" applyAlignment="1">
      <alignment horizontal="center" vertical="center" wrapText="1"/>
    </xf>
    <xf numFmtId="167" fontId="29" fillId="27" borderId="37" xfId="2" applyNumberFormat="1" applyFont="1" applyFill="1" applyBorder="1" applyAlignment="1">
      <alignment horizontal="center" vertical="center" wrapText="1"/>
    </xf>
    <xf numFmtId="167" fontId="29" fillId="27" borderId="38" xfId="2" applyNumberFormat="1" applyFont="1" applyFill="1" applyBorder="1" applyAlignment="1">
      <alignment horizontal="center" vertical="center" wrapText="1"/>
    </xf>
    <xf numFmtId="169" fontId="1" fillId="20" borderId="21" xfId="4" applyNumberFormat="1" applyFont="1" applyFill="1" applyBorder="1" applyAlignment="1">
      <alignment horizontal="center"/>
    </xf>
    <xf numFmtId="0" fontId="36" fillId="0" borderId="0" xfId="0" applyFont="1" applyAlignment="1">
      <alignment horizontal="center" vertical="center" wrapText="1"/>
    </xf>
    <xf numFmtId="168" fontId="36" fillId="0" borderId="0" xfId="4" applyNumberFormat="1" applyFont="1" applyAlignment="1">
      <alignment horizontal="center" vertical="center" wrapText="1"/>
    </xf>
    <xf numFmtId="0" fontId="36" fillId="0" borderId="0" xfId="0" applyFont="1" applyAlignment="1">
      <alignment horizontal="center" vertical="center" textRotation="90" wrapText="1"/>
    </xf>
    <xf numFmtId="0" fontId="36" fillId="0" borderId="36" xfId="0" applyFont="1" applyBorder="1" applyAlignment="1">
      <alignment horizontal="center" vertical="center" textRotation="90" wrapText="1"/>
    </xf>
  </cellXfs>
  <cellStyles count="9">
    <cellStyle name="Comma" xfId="4" builtinId="3"/>
    <cellStyle name="Comma [0]" xfId="6" builtinId="6"/>
    <cellStyle name="Comma 2" xfId="2" xr:uid="{5D38CDC1-E85E-41E9-9606-1CCEEB01D8F0}"/>
    <cellStyle name="Comma 3" xfId="8" xr:uid="{E01B32CF-06E6-4434-8141-DD5EBEDEA43F}"/>
    <cellStyle name="Hyperlink" xfId="7" builtinId="8"/>
    <cellStyle name="Normal" xfId="0" builtinId="0"/>
    <cellStyle name="Normal 2" xfId="1" xr:uid="{302DEB05-DCF2-4BA3-83E1-73B661067522}"/>
    <cellStyle name="Percent" xfId="3" builtinId="5"/>
    <cellStyle name="Percent 2" xfId="5" xr:uid="{FD1A6169-9F19-48BF-8E96-E95C4B0D624C}"/>
  </cellStyles>
  <dxfs count="898">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ill>
        <patternFill>
          <bgColor rgb="FFFF9999"/>
        </patternFill>
      </fill>
    </dxf>
    <dxf>
      <font>
        <color rgb="FFFF0000"/>
      </font>
      <fill>
        <patternFill patternType="none">
          <bgColor auto="1"/>
        </patternFill>
      </fill>
    </dxf>
    <dxf>
      <fill>
        <patternFill>
          <bgColor rgb="FFFF9999"/>
        </patternFill>
      </fill>
    </dxf>
    <dxf>
      <fill>
        <patternFill>
          <bgColor rgb="FFFF9999"/>
        </patternFill>
      </fill>
    </dxf>
    <dxf>
      <fill>
        <patternFill>
          <bgColor rgb="FFFF9999"/>
        </patternFill>
      </fill>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Arial"/>
        <family val="2"/>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9"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9" formatCode="_ * #,##0.0_ ;_ * \-#,##0.0_ ;_ * &quot;-&quot;??_ ;_ @_ "/>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ck">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right style="thick">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0"/>
        <color rgb="FFC00000"/>
        <name val="Arial"/>
        <family val="2"/>
        <scheme val="none"/>
      </font>
      <numFmt numFmtId="167" formatCode="_-* #,##0_-;\-* #,##0_-;_-* &quot;-&quot;??_-;_-@_-"/>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family val="2"/>
        <scheme val="none"/>
      </font>
      <numFmt numFmtId="167" formatCode="_-* #,##0_-;\-* #,##0_-;_-* &quot;-&quot;??_-;_-@_-"/>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Arial"/>
        <family val="2"/>
        <scheme val="none"/>
      </font>
      <numFmt numFmtId="167"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67"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 #,##0.00_ ;_ * \-#,##0.0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numFmt numFmtId="168" formatCode="_ * #,##0_ ;_ * \-#,##0_ ;_ * &quot;-&quot;??_ ;_ @_ "/>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 formatCode="0"/>
      <alignmen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ck">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top style="thin">
          <color rgb="FF000000"/>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top style="thin">
          <color rgb="FF000000"/>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ck">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righ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2" tint="-9.9978637043366805E-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medium">
          <color rgb="FF000000"/>
        </left>
        <right style="medium">
          <color rgb="FF000000"/>
        </right>
        <top style="thin">
          <color rgb="FF000000"/>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medium">
          <color rgb="FF000000"/>
        </left>
        <right style="medium">
          <color rgb="FF000000"/>
        </right>
        <top style="thin">
          <color rgb="FF000000"/>
        </top>
        <bottom style="thin">
          <color rgb="FF000000"/>
        </bottom>
        <vertical/>
        <horizontal style="thin">
          <color rgb="FF000000"/>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rgb="FF000000"/>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8"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theme="0"/>
        <name val="Arial"/>
        <scheme val="none"/>
      </font>
      <numFmt numFmtId="167"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medium">
          <color indexed="64"/>
        </right>
        <top style="thin">
          <color indexed="64"/>
        </top>
        <bottom style="medium">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medium">
          <color indexed="64"/>
        </left>
        <right style="thin">
          <color indexed="64"/>
        </right>
        <top style="thin">
          <color indexed="64"/>
        </top>
        <bottom style="medium">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7" formatCode="_-* #,##0_-;\-* #,##0_-;_-* &quot;-&quot;??_-;_-@_-"/>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8"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solid">
          <fgColor indexed="64"/>
          <bgColor rgb="FFFFFF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8" formatCode="_ * #,##0_ ;_ * \-#,##0_ ;_ * &quot;-&quot;??_ ;_ @_ "/>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8"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0_-;\-* #,##0_-;_-* &quot;-&quot;??_-;_-@_-"/>
      <alignment vertical="center" textRotation="0" wrapText="1" indent="0" justifyLastLine="0" shrinkToFit="0" readingOrder="0"/>
    </dxf>
    <dxf>
      <border>
        <bottom style="thin">
          <color indexed="64"/>
        </bottom>
      </border>
    </dxf>
    <dxf>
      <font>
        <b/>
        <i val="0"/>
        <strike val="0"/>
        <condense val="0"/>
        <extend val="0"/>
        <outline val="0"/>
        <shadow val="0"/>
        <u val="none"/>
        <vertAlign val="baseline"/>
        <sz val="12"/>
        <color theme="0"/>
        <name val="Arial"/>
        <scheme val="none"/>
      </font>
      <numFmt numFmtId="167" formatCode="_-* #,##0_-;\-* #,##0_-;_-* &quot;-&quot;??_-;_-@_-"/>
      <fill>
        <patternFill patternType="solid">
          <fgColor indexed="64"/>
          <bgColor rgb="FF8FB6C9"/>
        </patternFill>
      </fill>
      <alignment horizontal="left" vertical="top" textRotation="0" wrapText="1" indent="0" justifyLastLine="0" shrinkToFit="0" readingOrder="0"/>
      <border diagonalUp="0" diagonalDown="0" outline="0">
        <left style="thin">
          <color indexed="64"/>
        </left>
        <right style="thin">
          <color indexed="64"/>
        </right>
        <top/>
        <bottom/>
      </border>
    </dxf>
    <dxf>
      <numFmt numFmtId="167" formatCode="_-* #,##0_-;\-* #,##0_-;_-* &quot;-&quot;??_-;_-@_-"/>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numFmt numFmtId="168" formatCode="_ * #,##0_ ;_ * \-#,##0_ ;_ * &quot;-&quot;??_ ;_ @_ "/>
    </dxf>
    <dxf>
      <font>
        <b/>
        <i val="0"/>
        <strike val="0"/>
        <condense val="0"/>
        <extend val="0"/>
        <outline val="0"/>
        <shadow val="0"/>
        <u val="none"/>
        <vertAlign val="baseline"/>
        <sz val="11"/>
        <color rgb="FFC00000"/>
        <name val="Calibri"/>
        <family val="2"/>
        <scheme val="minor"/>
      </font>
      <numFmt numFmtId="168" formatCode="_ * #,##0_ ;_ * \-#,##0_ ;_ * &quot;-&quot;??_ ;_ @_ "/>
    </dxf>
    <dxf>
      <numFmt numFmtId="168" formatCode="_ * #,##0_ ;_ * \-#,##0_ ;_ * &quot;-&quot;??_ ;_ @_ "/>
    </dxf>
    <dxf>
      <numFmt numFmtId="0" formatCode="General"/>
    </dxf>
    <dxf>
      <numFmt numFmtId="0" formatCode="General"/>
    </dxf>
    <dxf>
      <font>
        <b/>
        <i val="0"/>
        <strike val="0"/>
        <condense val="0"/>
        <extend val="0"/>
        <outline val="0"/>
        <shadow val="0"/>
        <u val="none"/>
        <vertAlign val="baseline"/>
        <sz val="11"/>
        <color auto="1"/>
        <name val="Calibri"/>
        <family val="2"/>
        <scheme val="minor"/>
      </font>
      <numFmt numFmtId="170" formatCode="_(* #,##0_);_(* \(#,##0\);_(* &quot;-&quot;??_);_(@_)"/>
      <fill>
        <patternFill patternType="none">
          <fgColor indexed="64"/>
          <bgColor indexed="65"/>
        </patternFill>
      </fill>
      <alignment horizontal="center" vertical="center" textRotation="0" wrapText="1" indent="0" justifyLastLine="0" shrinkToFit="0" readingOrder="0"/>
    </dxf>
    <dxf>
      <numFmt numFmtId="167" formatCode="_-* #,##0_-;\-* #,##0_-;_-* &quot;-&quot;??_-;_-@_-"/>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numFmt numFmtId="170" formatCode="_(* #,##0_);_(* \(#,##0\);_(* &quot;-&quot;??_);_(@_)"/>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C00000"/>
        <name val="Calibri"/>
        <family val="2"/>
        <scheme val="minor"/>
      </font>
      <numFmt numFmtId="168" formatCode="_ * #,##0_ ;_ * \-#,##0_ ;_ * &quot;-&quot;??_ ;_ @_ "/>
    </dxf>
    <dxf>
      <font>
        <b/>
        <i val="0"/>
        <strike val="0"/>
        <condense val="0"/>
        <extend val="0"/>
        <outline val="0"/>
        <shadow val="0"/>
        <u val="none"/>
        <vertAlign val="baseline"/>
        <sz val="11"/>
        <color rgb="FFC00000"/>
        <name val="Calibri"/>
        <family val="2"/>
        <scheme val="minor"/>
      </font>
      <numFmt numFmtId="168" formatCode="_ * #,##0_ ;_ * \-#,##0_ ;_ * &quot;-&quot;??_ ;_ @_ "/>
    </dxf>
    <dxf>
      <numFmt numFmtId="168" formatCode="_ * #,##0_ ;_ * \-#,##0_ ;_ * &quot;-&quot;??_ ;_ @_ "/>
    </dxf>
    <dxf>
      <numFmt numFmtId="0" formatCode="General"/>
    </dxf>
    <dxf>
      <numFmt numFmtId="0" formatCode="General"/>
    </dxf>
    <dxf>
      <font>
        <b/>
        <i val="0"/>
        <strike val="0"/>
        <condense val="0"/>
        <extend val="0"/>
        <outline val="0"/>
        <shadow val="0"/>
        <u val="none"/>
        <vertAlign val="baseline"/>
        <sz val="11"/>
        <color auto="1"/>
        <name val="Calibri"/>
        <family val="2"/>
        <scheme val="minor"/>
      </font>
      <numFmt numFmtId="170" formatCode="_(* #,##0_);_(* \(#,##0\);_(* &quot;-&quot;??_);_(@_)"/>
      <fill>
        <patternFill patternType="none">
          <fgColor indexed="64"/>
          <bgColor indexed="65"/>
        </patternFill>
      </fill>
      <alignment horizontal="center" vertical="center" textRotation="0" wrapText="1" indent="0" justifyLastLine="0" shrinkToFit="0" readingOrder="0"/>
    </dxf>
    <dxf>
      <font>
        <strike val="0"/>
        <outline val="0"/>
        <shadow val="0"/>
        <u val="none"/>
        <vertAlign val="baseline"/>
        <sz val="14"/>
        <name val="Calibri"/>
        <family val="2"/>
        <scheme val="minor"/>
      </font>
    </dxf>
    <dxf>
      <font>
        <strike val="0"/>
        <outline val="0"/>
        <shadow val="0"/>
        <u val="none"/>
        <vertAlign val="baseline"/>
        <sz val="16"/>
        <color auto="1"/>
        <name val="Arial"/>
        <family val="2"/>
        <scheme val="none"/>
      </font>
      <numFmt numFmtId="172" formatCode="_-* #,##0.0_-;\-* #,##0.0_-;_-* &quot;-&quot;??_-;_-@_-"/>
    </dxf>
    <dxf>
      <font>
        <strike val="0"/>
        <outline val="0"/>
        <shadow val="0"/>
        <u val="none"/>
        <vertAlign val="baseline"/>
        <sz val="14"/>
        <name val="Calibri"/>
        <family val="2"/>
        <scheme val="minor"/>
      </font>
    </dxf>
    <dxf>
      <font>
        <b/>
        <strike val="0"/>
        <outline val="0"/>
        <shadow val="0"/>
        <u val="none"/>
        <vertAlign val="baseline"/>
        <sz val="18"/>
        <color rgb="FFC00000"/>
        <name val="Arial"/>
        <family val="2"/>
        <scheme val="none"/>
      </font>
      <numFmt numFmtId="0" formatCode="General"/>
      <border diagonalUp="0" diagonalDown="0" outline="0">
        <left style="medium">
          <color indexed="64"/>
        </left>
        <right style="medium">
          <color indexed="64"/>
        </right>
      </border>
    </dxf>
    <dxf>
      <font>
        <strike val="0"/>
        <outline val="0"/>
        <shadow val="0"/>
        <u val="none"/>
        <vertAlign val="baseline"/>
        <sz val="14"/>
        <name val="Calibri"/>
        <family val="2"/>
        <scheme val="minor"/>
      </font>
    </dxf>
    <dxf>
      <font>
        <strike val="0"/>
        <outline val="0"/>
        <shadow val="0"/>
        <u val="none"/>
        <vertAlign val="baseline"/>
        <sz val="16"/>
        <color auto="1"/>
        <name val="Arial"/>
        <family val="2"/>
        <scheme val="none"/>
      </font>
    </dxf>
    <dxf>
      <font>
        <strike val="0"/>
        <outline val="0"/>
        <shadow val="0"/>
        <u val="none"/>
        <vertAlign val="baseline"/>
        <sz val="16"/>
        <color auto="1"/>
        <name val="Arial"/>
        <family val="2"/>
        <scheme val="none"/>
      </font>
    </dxf>
    <dxf>
      <font>
        <strike val="0"/>
        <outline val="0"/>
        <shadow val="0"/>
        <u val="none"/>
        <vertAlign val="baseline"/>
        <sz val="16"/>
        <color auto="1"/>
        <name val="Arial"/>
        <family val="2"/>
        <scheme val="none"/>
      </font>
      <border outline="0">
        <left style="medium">
          <color indexed="64"/>
        </left>
      </border>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b/>
        <strike val="0"/>
        <outline val="0"/>
        <shadow val="0"/>
        <u val="none"/>
        <vertAlign val="baseline"/>
        <sz val="18"/>
        <color rgb="FF00B050"/>
        <name val="Arial"/>
        <family val="2"/>
        <scheme val="none"/>
      </font>
      <numFmt numFmtId="167" formatCode="_-* #,##0_-;\-* #,##0_-;_-* &quot;-&quot;??_-;_-@_-"/>
      <border diagonalUp="0" diagonalDown="0" outline="0">
        <left/>
        <right style="medium">
          <color indexed="64"/>
        </right>
        <top/>
        <bottom/>
      </border>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strike val="0"/>
        <outline val="0"/>
        <shadow val="0"/>
        <u val="none"/>
        <vertAlign val="baseline"/>
        <sz val="16"/>
        <color auto="1"/>
        <name val="Arial"/>
        <family val="2"/>
        <scheme val="none"/>
      </font>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b val="0"/>
        <strike val="0"/>
        <outline val="0"/>
        <shadow val="0"/>
        <u val="none"/>
        <vertAlign val="baseline"/>
        <sz val="16"/>
        <color auto="1"/>
        <name val="Arial"/>
        <family val="2"/>
        <scheme val="none"/>
      </font>
      <numFmt numFmtId="167" formatCode="_-* #,##0_-;\-* #,##0_-;_-* &quot;-&quot;??_-;_-@_-"/>
    </dxf>
    <dxf>
      <font>
        <b val="0"/>
        <i val="0"/>
        <strike val="0"/>
        <condense val="0"/>
        <extend val="0"/>
        <outline val="0"/>
        <shadow val="0"/>
        <u val="none"/>
        <vertAlign val="baseline"/>
        <sz val="14"/>
        <color theme="1"/>
        <name val="Calibri"/>
        <family val="2"/>
        <scheme val="minor"/>
      </font>
      <border diagonalUp="0" diagonalDown="0" outline="0">
        <left/>
        <right style="medium">
          <color theme="5"/>
        </right>
        <top/>
        <bottom/>
      </border>
    </dxf>
    <dxf>
      <font>
        <b/>
        <i val="0"/>
        <strike val="0"/>
        <condense val="0"/>
        <extend val="0"/>
        <outline val="0"/>
        <shadow val="0"/>
        <u val="none"/>
        <vertAlign val="baseline"/>
        <sz val="18"/>
        <color rgb="FF00B050"/>
        <name val="Arial"/>
        <family val="2"/>
        <scheme val="none"/>
      </font>
      <numFmt numFmtId="167" formatCode="_-* #,##0_-;\-* #,##0_-;_-* &quot;-&quot;??_-;_-@_-"/>
      <alignment horizontal="right"/>
      <border diagonalUp="0" diagonalDown="0" outline="0">
        <left/>
        <right style="medium">
          <color indexed="64"/>
        </right>
        <top/>
        <bottom/>
      </border>
    </dxf>
    <dxf>
      <font>
        <b val="0"/>
        <i val="0"/>
        <strike val="0"/>
        <condense val="0"/>
        <extend val="0"/>
        <outline val="0"/>
        <shadow val="0"/>
        <u val="none"/>
        <vertAlign val="baseline"/>
        <sz val="14"/>
        <color theme="1"/>
        <name val="Calibri"/>
        <family val="2"/>
        <scheme val="minor"/>
      </font>
      <border diagonalUp="0" diagonalDown="0">
        <left style="medium">
          <color theme="5"/>
        </left>
        <right/>
        <top/>
        <bottom/>
      </border>
    </dxf>
    <dxf>
      <font>
        <strike val="0"/>
        <outline val="0"/>
        <shadow val="0"/>
        <u val="none"/>
        <vertAlign val="baseline"/>
        <sz val="16"/>
        <color auto="1"/>
        <name val="Arial"/>
        <family val="2"/>
        <scheme val="none"/>
      </font>
    </dxf>
    <dxf>
      <font>
        <b val="0"/>
        <i val="0"/>
        <strike val="0"/>
        <condense val="0"/>
        <extend val="0"/>
        <outline val="0"/>
        <shadow val="0"/>
        <u val="none"/>
        <vertAlign val="baseline"/>
        <sz val="14"/>
        <color theme="1"/>
        <name val="Calibri"/>
        <family val="2"/>
        <scheme val="minor"/>
      </font>
      <border diagonalUp="0" diagonalDown="0">
        <left style="medium">
          <color theme="5"/>
        </left>
        <right/>
        <top/>
        <bottom/>
      </border>
    </dxf>
    <dxf>
      <font>
        <b/>
        <strike val="0"/>
        <outline val="0"/>
        <shadow val="0"/>
        <u val="none"/>
        <vertAlign val="baseline"/>
        <sz val="18"/>
        <color rgb="FF00B050"/>
        <name val="Arial"/>
        <family val="2"/>
        <scheme val="none"/>
      </font>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border diagonalUp="0" diagonalDown="0" outline="0">
        <left style="medium">
          <color theme="5"/>
        </left>
        <right/>
        <top/>
        <bottom/>
      </border>
    </dxf>
    <dxf>
      <font>
        <b val="0"/>
        <i val="0"/>
        <strike val="0"/>
        <condense val="0"/>
        <extend val="0"/>
        <outline val="0"/>
        <shadow val="0"/>
        <u val="none"/>
        <vertAlign val="baseline"/>
        <sz val="16"/>
        <color auto="1"/>
        <name val="Arial"/>
        <family val="2"/>
        <scheme val="none"/>
      </font>
      <numFmt numFmtId="167" formatCode="_-* #,##0_-;\-* #,##0_-;_-* &quot;-&quot;??_-;_-@_-"/>
      <alignment horizontal="righ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border diagonalUp="0" diagonalDown="0" outline="0">
        <left style="medium">
          <color theme="5"/>
        </left>
        <right/>
        <top/>
        <bottom/>
      </border>
    </dxf>
    <dxf>
      <font>
        <b val="0"/>
        <strike val="0"/>
        <outline val="0"/>
        <shadow val="0"/>
        <u val="none"/>
        <vertAlign val="baseline"/>
        <sz val="16"/>
        <color auto="1"/>
        <name val="Arial"/>
        <family val="2"/>
        <scheme val="none"/>
      </font>
      <numFmt numFmtId="167" formatCode="_-* #,##0_-;\-* #,##0_-;_-* &quot;-&quot;??_-;_-@_-"/>
      <alignment horizontal="right"/>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6"/>
        <color auto="1"/>
        <name val="Arial"/>
        <family val="2"/>
        <scheme val="none"/>
      </font>
      <border diagonalUp="0" diagonalDown="0" outline="0">
        <left style="medium">
          <color indexed="64"/>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sz val="16"/>
        <color auto="1"/>
        <name val="Arial"/>
        <family val="2"/>
        <scheme val="none"/>
      </font>
    </dxf>
    <dxf>
      <font>
        <b/>
        <strike val="0"/>
        <outline val="0"/>
        <shadow val="0"/>
        <u val="none"/>
        <vertAlign val="baseline"/>
        <sz val="14"/>
        <name val="Arial"/>
        <family val="2"/>
        <scheme val="none"/>
      </font>
      <alignment horizontal="general" vertical="top" textRotation="0" wrapText="1" indent="0" justifyLastLine="0" shrinkToFit="0" readingOrder="0"/>
    </dxf>
    <dxf>
      <font>
        <strike val="0"/>
        <outline val="0"/>
        <shadow val="0"/>
        <u val="none"/>
        <vertAlign val="baseline"/>
        <sz val="14"/>
        <name val="Calibri"/>
        <family val="2"/>
        <scheme val="minor"/>
      </font>
    </dxf>
    <dxf>
      <font>
        <b/>
        <strike val="0"/>
        <outline val="0"/>
        <shadow val="0"/>
        <u val="none"/>
        <vertAlign val="baseline"/>
        <sz val="18"/>
        <color rgb="FFC00000"/>
        <name val="Arial"/>
        <family val="2"/>
        <scheme val="none"/>
      </font>
      <numFmt numFmtId="168" formatCode="_ * #,##0_ ;_ * \-#,##0_ ;_ * &quot;-&quot;??_ ;_ @_ "/>
      <border outline="0">
        <left style="medium">
          <color indexed="64"/>
        </left>
      </border>
    </dxf>
    <dxf>
      <font>
        <strike val="0"/>
        <outline val="0"/>
        <shadow val="0"/>
        <u val="none"/>
        <vertAlign val="baseline"/>
        <sz val="14"/>
        <name val="Calibri"/>
        <family val="2"/>
        <scheme val="minor"/>
      </font>
    </dxf>
    <dxf>
      <font>
        <strike val="0"/>
        <outline val="0"/>
        <shadow val="0"/>
        <u val="none"/>
        <vertAlign val="baseline"/>
        <sz val="14"/>
        <name val="Arial"/>
        <family val="2"/>
        <scheme val="none"/>
      </font>
      <numFmt numFmtId="171" formatCode="0.0%"/>
      <border diagonalUp="0" diagonalDown="0" outline="0">
        <left style="medium">
          <color indexed="64"/>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sz val="14"/>
        <name val="Arial"/>
        <family val="2"/>
        <scheme val="none"/>
      </font>
      <border outline="0">
        <right style="medium">
          <color indexed="64"/>
        </right>
      </border>
    </dxf>
    <dxf>
      <font>
        <strike val="0"/>
        <outline val="0"/>
        <shadow val="0"/>
        <u val="none"/>
        <vertAlign val="baseline"/>
        <sz val="14"/>
        <name val="Arial"/>
        <family val="2"/>
        <scheme val="none"/>
      </font>
    </dxf>
    <dxf>
      <font>
        <strike val="0"/>
        <outline val="0"/>
        <shadow val="0"/>
        <u val="none"/>
        <vertAlign val="baseline"/>
        <sz val="14"/>
        <name val="Arial"/>
        <family val="2"/>
        <scheme val="none"/>
      </font>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b val="0"/>
        <strike val="0"/>
        <outline val="0"/>
        <shadow val="0"/>
        <u val="none"/>
        <vertAlign val="baseline"/>
        <sz val="14"/>
        <color rgb="FF000000"/>
        <name val="Arial"/>
        <family val="2"/>
        <scheme val="none"/>
      </font>
      <numFmt numFmtId="167" formatCode="_-* #,##0_-;\-* #,##0_-;_-* &quot;-&quot;??_-;_-@_-"/>
      <border diagonalUp="0" diagonalDown="0" outline="0">
        <left/>
        <right style="medium">
          <color indexed="64"/>
        </right>
        <top/>
        <bottom/>
      </border>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strike val="0"/>
        <outline val="0"/>
        <shadow val="0"/>
        <u val="none"/>
        <vertAlign val="baseline"/>
        <sz val="14"/>
        <color theme="1"/>
        <name val="Arial"/>
        <family val="2"/>
        <scheme val="none"/>
      </font>
    </dxf>
    <dxf>
      <font>
        <b val="0"/>
        <i val="0"/>
        <strike val="0"/>
        <condense val="0"/>
        <extend val="0"/>
        <outline val="0"/>
        <shadow val="0"/>
        <u val="none"/>
        <vertAlign val="baseline"/>
        <sz val="14"/>
        <color theme="1"/>
        <name val="Calibri"/>
        <family val="2"/>
        <scheme val="minor"/>
      </font>
      <numFmt numFmtId="167" formatCode="_-* #,##0_-;\-* #,##0_-;_-* &quot;-&quot;??_-;_-@_-"/>
      <fill>
        <patternFill patternType="solid">
          <fgColor indexed="64"/>
          <bgColor rgb="FFFFFF00"/>
        </patternFill>
      </fill>
    </dxf>
    <dxf>
      <font>
        <b val="0"/>
        <strike val="0"/>
        <outline val="0"/>
        <shadow val="0"/>
        <u val="none"/>
        <vertAlign val="baseline"/>
        <sz val="14"/>
        <color theme="2" tint="-0.499984740745262"/>
        <name val="Arial"/>
        <family val="2"/>
        <scheme val="none"/>
      </font>
      <numFmt numFmtId="167" formatCode="_-* #,##0_-;\-* #,##0_-;_-* &quot;-&quot;??_-;_-@_-"/>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border diagonalUp="0" diagonalDown="0" outline="0">
        <left/>
        <right style="medium">
          <color theme="5"/>
        </right>
        <top/>
        <bottom/>
      </border>
    </dxf>
    <dxf>
      <font>
        <b val="0"/>
        <i val="0"/>
        <strike val="0"/>
        <condense val="0"/>
        <extend val="0"/>
        <outline val="0"/>
        <shadow val="0"/>
        <u val="none"/>
        <vertAlign val="baseline"/>
        <sz val="14"/>
        <color rgb="FF000000"/>
        <name val="Arial"/>
        <family val="2"/>
        <scheme val="none"/>
      </font>
      <numFmt numFmtId="167" formatCode="_-* #,##0_-;\-* #,##0_-;_-* &quot;-&quot;??_-;_-@_-"/>
      <alignment horizontal="right"/>
      <border diagonalUp="0" diagonalDown="0" outline="0">
        <left/>
        <right style="medium">
          <color indexed="64"/>
        </right>
      </border>
    </dxf>
    <dxf>
      <font>
        <b val="0"/>
        <i val="0"/>
        <strike val="0"/>
        <condense val="0"/>
        <extend val="0"/>
        <outline val="0"/>
        <shadow val="0"/>
        <u val="none"/>
        <vertAlign val="baseline"/>
        <sz val="14"/>
        <color theme="1"/>
        <name val="Calibri"/>
        <family val="2"/>
        <scheme val="minor"/>
      </font>
      <border diagonalUp="0" diagonalDown="0">
        <left style="medium">
          <color theme="5"/>
        </left>
        <right/>
        <top/>
        <bottom/>
      </border>
    </dxf>
    <dxf>
      <font>
        <strike val="0"/>
        <outline val="0"/>
        <shadow val="0"/>
        <u val="none"/>
        <vertAlign val="baseline"/>
        <name val="Arial"/>
        <family val="2"/>
        <scheme val="none"/>
      </font>
    </dxf>
    <dxf>
      <font>
        <b val="0"/>
        <i val="0"/>
        <strike val="0"/>
        <condense val="0"/>
        <extend val="0"/>
        <outline val="0"/>
        <shadow val="0"/>
        <u val="none"/>
        <vertAlign val="baseline"/>
        <sz val="14"/>
        <color theme="1"/>
        <name val="Calibri"/>
        <family val="2"/>
        <scheme val="minor"/>
      </font>
      <border diagonalUp="0" diagonalDown="0">
        <left style="medium">
          <color theme="5"/>
        </left>
        <right/>
        <top/>
        <bottom/>
      </border>
    </dxf>
    <dxf>
      <font>
        <strike val="0"/>
        <outline val="0"/>
        <shadow val="0"/>
        <u val="none"/>
        <vertAlign val="baseline"/>
        <name val="Arial"/>
        <family val="2"/>
        <scheme val="none"/>
      </font>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border diagonalUp="0" diagonalDown="0" outline="0">
        <left style="medium">
          <color theme="5"/>
        </left>
        <right/>
        <top/>
        <bottom/>
      </border>
    </dxf>
    <dxf>
      <font>
        <b val="0"/>
        <i val="0"/>
        <strike val="0"/>
        <condense val="0"/>
        <extend val="0"/>
        <outline val="0"/>
        <shadow val="0"/>
        <u val="none"/>
        <vertAlign val="baseline"/>
        <sz val="14"/>
        <color theme="2" tint="-0.499984740745262"/>
        <name val="Arial"/>
        <family val="2"/>
        <scheme val="none"/>
      </font>
      <numFmt numFmtId="167" formatCode="_-* #,##0_-;\-* #,##0_-;_-* &quot;-&quot;??_-;_-@_-"/>
      <alignment horizontal="right" vertical="bottom" textRotation="0" wrapText="0" indent="0" justifyLastLine="0" shrinkToFit="0" readingOrder="0"/>
      <border diagonalUp="0" diagonalDown="0" outline="0">
        <left/>
        <right style="medium">
          <color indexed="64"/>
        </right>
      </border>
    </dxf>
    <dxf>
      <font>
        <b val="0"/>
        <i val="0"/>
        <strike val="0"/>
        <condense val="0"/>
        <extend val="0"/>
        <outline val="0"/>
        <shadow val="0"/>
        <u val="none"/>
        <vertAlign val="baseline"/>
        <sz val="14"/>
        <color theme="1"/>
        <name val="Calibri"/>
        <family val="2"/>
        <scheme val="minor"/>
      </font>
      <border diagonalUp="0" diagonalDown="0" outline="0">
        <left style="medium">
          <color theme="5"/>
        </left>
        <right/>
        <top/>
        <bottom/>
      </border>
    </dxf>
    <dxf>
      <font>
        <b val="0"/>
        <strike val="0"/>
        <outline val="0"/>
        <shadow val="0"/>
        <u val="none"/>
        <vertAlign val="baseline"/>
        <sz val="14"/>
        <color theme="2" tint="-0.499984740745262"/>
        <name val="Arial"/>
        <family val="2"/>
        <scheme val="none"/>
      </font>
      <numFmt numFmtId="167" formatCode="_-* #,##0_-;\-* #,##0_-;_-* &quot;-&quot;??_-;_-@_-"/>
      <alignment horizontal="right"/>
      <border diagonalUp="0" diagonalDown="0" outline="0">
        <left style="medium">
          <color indexed="64"/>
        </left>
        <right/>
        <top/>
        <bottom/>
      </border>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name val="Arial"/>
        <family val="2"/>
        <scheme val="none"/>
      </font>
      <border diagonalUp="0" diagonalDown="0" outline="0">
        <left style="medium">
          <color indexed="64"/>
        </left>
        <right style="medium">
          <color indexed="64"/>
        </right>
        <top/>
        <bottom/>
      </border>
    </dxf>
    <dxf>
      <font>
        <strike val="0"/>
        <outline val="0"/>
        <shadow val="0"/>
        <u val="none"/>
        <vertAlign val="baseline"/>
        <sz val="14"/>
        <name val="Calibri"/>
        <family val="2"/>
        <scheme val="minor"/>
      </font>
    </dxf>
    <dxf>
      <font>
        <strike val="0"/>
        <outline val="0"/>
        <shadow val="0"/>
        <u val="none"/>
        <vertAlign val="baseline"/>
        <sz val="14"/>
        <name val="Arial"/>
        <family val="2"/>
        <scheme val="none"/>
      </font>
    </dxf>
    <dxf>
      <font>
        <b/>
        <strike val="0"/>
        <outline val="0"/>
        <shadow val="0"/>
        <u val="none"/>
        <vertAlign val="baseline"/>
        <sz val="14"/>
        <name val="Arial"/>
        <family val="2"/>
        <scheme val="none"/>
      </font>
      <alignment horizontal="general" vertical="top" textRotation="0" wrapText="1" indent="0" justifyLastLine="0" shrinkToFit="0" readingOrder="0"/>
    </dxf>
    <dxf>
      <numFmt numFmtId="167" formatCode="_-* #,##0_-;\-* #,##0_-;_-* &quot;-&quot;??_-;_-@_-"/>
    </dxf>
    <dxf>
      <alignment wrapText="1"/>
    </dxf>
    <dxf>
      <alignment wrapText="1"/>
    </dxf>
    <dxf>
      <alignment wrapText="1"/>
    </dxf>
    <dxf>
      <alignment wrapText="1"/>
    </dxf>
    <dxf>
      <alignment wrapText="1"/>
    </dxf>
    <dxf>
      <alignment wrapText="1"/>
    </dxf>
    <dxf>
      <alignment wrapText="1"/>
    </dxf>
    <dxf>
      <alignment wrapText="1"/>
    </dxf>
    <dxf>
      <alignment wrapText="1"/>
    </dxf>
    <dxf>
      <numFmt numFmtId="168" formatCode="_ * #,##0_ ;_ * \-#,##0_ ;_ * &quot;-&quot;??_ ;_ @_ "/>
    </dxf>
    <dxf>
      <numFmt numFmtId="167" formatCode="_-* #,##0_-;\-* #,##0_-;_-* &quot;-&quot;??_-;_-@_-"/>
    </dxf>
    <dxf>
      <alignment wrapText="1"/>
    </dxf>
    <dxf>
      <alignment wrapText="1"/>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7" formatCode="_-* #,##0_-;\-* #,##0_-;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border diagonalUp="0" diagonalDown="0" outline="0">
        <left/>
        <right/>
        <top/>
        <bottom/>
      </border>
    </dxf>
    <dxf>
      <font>
        <b/>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70"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strike val="0"/>
        <outline val="0"/>
        <shadow val="0"/>
        <u val="none"/>
        <vertAlign val="baseline"/>
        <sz val="14"/>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4"/>
        <color theme="1"/>
        <name val="Calibri"/>
        <family val="2"/>
        <scheme val="minor"/>
      </font>
      <numFmt numFmtId="170" formatCode="_(* #,##0_);_(* \(#,##0\);_(* &quot;-&quot;??_);_(@_)"/>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border outline="0">
        <top style="thin">
          <color indexed="64"/>
        </top>
      </border>
    </dxf>
    <dxf>
      <font>
        <strike val="0"/>
        <outline val="0"/>
        <shadow val="0"/>
        <u val="none"/>
        <vertAlign val="baseline"/>
        <sz val="8"/>
        <name val="Arial"/>
        <family val="2"/>
        <scheme val="none"/>
      </font>
    </dxf>
    <dxf>
      <border outline="0">
        <bottom style="thin">
          <color indexed="64"/>
        </bottom>
      </border>
    </dxf>
    <dxf>
      <font>
        <b val="0"/>
        <strike val="0"/>
        <outline val="0"/>
        <shadow val="0"/>
        <u val="none"/>
        <vertAlign val="baseline"/>
        <sz val="8"/>
        <color auto="1"/>
        <name val="Arial"/>
        <family val="2"/>
        <scheme val="none"/>
      </font>
      <fill>
        <patternFill patternType="solid">
          <fgColor indexed="64"/>
          <bgColor theme="0" tint="-0.14999847407452621"/>
        </patternFill>
      </fill>
      <border diagonalUp="0" diagonalDown="0" outline="0">
        <left style="thin">
          <color indexed="64"/>
        </left>
        <right style="thin">
          <color indexed="64"/>
        </right>
        <top/>
        <bottom/>
      </border>
    </dxf>
  </dxfs>
  <tableStyles count="0" defaultTableStyle="TableStyleMedium2" defaultPivotStyle="PivotStyleLight16"/>
  <colors>
    <mruColors>
      <color rgb="FF0D39C8"/>
      <color rgb="FFBDD7EE"/>
      <color rgb="FF628FA5"/>
      <color rgb="FFAD7BE9"/>
      <color rgb="FF5D903B"/>
      <color rgb="FFDC9100"/>
      <color rgb="FFFFAA04"/>
      <color rgb="FFDF1154"/>
      <color rgb="FFBB0F4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pivotCacheDefinition" Target="pivotCache/pivotCacheDefinition3.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aredStrings" Target="sharedStrings.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 Overall PiN of all units of analyses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6.6343815957912944E-2"/>
          <c:y val="0.11097642612245212"/>
          <c:w val="0.91309876290644332"/>
          <c:h val="0.7074031414349482"/>
        </c:manualLayout>
      </c:layout>
      <c:scatterChart>
        <c:scatterStyle val="smoothMarker"/>
        <c:varyColors val="0"/>
        <c:ser>
          <c:idx val="1"/>
          <c:order val="0"/>
          <c:tx>
            <c:strRef>
              <c:f>'PiN Visuals'!$B$5</c:f>
              <c:strCache>
                <c:ptCount val="1"/>
                <c:pt idx="0">
                  <c:v> IDPs </c:v>
                </c:pt>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strRef>
              <c:f>'PiN Visuals'!$A$6:$A$77</c:f>
              <c:strCache>
                <c:ptCount val="9"/>
                <c:pt idx="0">
                  <c:v>0%</c:v>
                </c:pt>
                <c:pt idx="1">
                  <c:v>5%</c:v>
                </c:pt>
                <c:pt idx="2">
                  <c:v>10%</c:v>
                </c:pt>
                <c:pt idx="3">
                  <c:v>15%</c:v>
                </c:pt>
                <c:pt idx="4">
                  <c:v>20%</c:v>
                </c:pt>
                <c:pt idx="5">
                  <c:v>25%</c:v>
                </c:pt>
                <c:pt idx="6">
                  <c:v>30%</c:v>
                </c:pt>
                <c:pt idx="7">
                  <c:v>35%</c:v>
                </c:pt>
                <c:pt idx="8">
                  <c:v>40%</c:v>
                </c:pt>
              </c:strCache>
            </c:strRef>
          </c:xVal>
          <c:yVal>
            <c:numRef>
              <c:f>'PiN Visuals'!$B$6:$B$77</c:f>
              <c:numCache>
                <c:formatCode>General</c:formatCode>
                <c:ptCount val="72"/>
                <c:pt idx="0">
                  <c:v>2</c:v>
                </c:pt>
                <c:pt idx="1">
                  <c:v>6</c:v>
                </c:pt>
                <c:pt idx="2">
                  <c:v>10</c:v>
                </c:pt>
                <c:pt idx="3">
                  <c:v>14</c:v>
                </c:pt>
                <c:pt idx="4">
                  <c:v>17</c:v>
                </c:pt>
                <c:pt idx="5">
                  <c:v>10</c:v>
                </c:pt>
                <c:pt idx="6">
                  <c:v>6</c:v>
                </c:pt>
                <c:pt idx="7">
                  <c:v>9</c:v>
                </c:pt>
                <c:pt idx="8">
                  <c:v>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1-6380-477A-B4EC-4E1DFDC086E8}"/>
            </c:ext>
          </c:extLst>
        </c:ser>
        <c:ser>
          <c:idx val="2"/>
          <c:order val="1"/>
          <c:tx>
            <c:strRef>
              <c:f>'PiN Visuals'!$C$5</c:f>
              <c:strCache>
                <c:ptCount val="1"/>
                <c:pt idx="0">
                  <c:v> Residents </c:v>
                </c:pt>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strRef>
              <c:f>'PiN Visuals'!$A$6:$A$77</c:f>
              <c:strCache>
                <c:ptCount val="9"/>
                <c:pt idx="0">
                  <c:v>0%</c:v>
                </c:pt>
                <c:pt idx="1">
                  <c:v>5%</c:v>
                </c:pt>
                <c:pt idx="2">
                  <c:v>10%</c:v>
                </c:pt>
                <c:pt idx="3">
                  <c:v>15%</c:v>
                </c:pt>
                <c:pt idx="4">
                  <c:v>20%</c:v>
                </c:pt>
                <c:pt idx="5">
                  <c:v>25%</c:v>
                </c:pt>
                <c:pt idx="6">
                  <c:v>30%</c:v>
                </c:pt>
                <c:pt idx="7">
                  <c:v>35%</c:v>
                </c:pt>
                <c:pt idx="8">
                  <c:v>40%</c:v>
                </c:pt>
              </c:strCache>
            </c:strRef>
          </c:xVal>
          <c:yVal>
            <c:numRef>
              <c:f>'PiN Visuals'!$C$6:$C$77</c:f>
              <c:numCache>
                <c:formatCode>General</c:formatCode>
                <c:ptCount val="72"/>
                <c:pt idx="0">
                  <c:v>1</c:v>
                </c:pt>
                <c:pt idx="1">
                  <c:v>5</c:v>
                </c:pt>
                <c:pt idx="2">
                  <c:v>13</c:v>
                </c:pt>
                <c:pt idx="3">
                  <c:v>14</c:v>
                </c:pt>
                <c:pt idx="4">
                  <c:v>17</c:v>
                </c:pt>
                <c:pt idx="5">
                  <c:v>12</c:v>
                </c:pt>
                <c:pt idx="6">
                  <c:v>7</c:v>
                </c:pt>
                <c:pt idx="7">
                  <c:v>8</c:v>
                </c:pt>
                <c:pt idx="8">
                  <c:v>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2-6380-477A-B4EC-4E1DFDC086E8}"/>
            </c:ext>
          </c:extLst>
        </c:ser>
        <c:ser>
          <c:idx val="3"/>
          <c:order val="2"/>
          <c:tx>
            <c:strRef>
              <c:f>'PiN Visuals'!$D$5</c:f>
              <c:strCache>
                <c:ptCount val="1"/>
                <c:pt idx="0">
                  <c:v> Returnees </c:v>
                </c:pt>
              </c:strCache>
              <c:extLst xmlns:c15="http://schemas.microsoft.com/office/drawing/2012/chart"/>
            </c:strRef>
          </c:tx>
          <c:spPr>
            <a:ln w="9525" cap="rnd">
              <a:solidFill>
                <a:schemeClr val="accent6">
                  <a:lumMod val="60000"/>
                </a:schemeClr>
              </a:solidFill>
              <a:round/>
            </a:ln>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xVal>
            <c:strRef>
              <c:f>'PiN Visuals'!$A$6:$A$77</c:f>
              <c:strCache>
                <c:ptCount val="9"/>
                <c:pt idx="0">
                  <c:v>0%</c:v>
                </c:pt>
                <c:pt idx="1">
                  <c:v>5%</c:v>
                </c:pt>
                <c:pt idx="2">
                  <c:v>10%</c:v>
                </c:pt>
                <c:pt idx="3">
                  <c:v>15%</c:v>
                </c:pt>
                <c:pt idx="4">
                  <c:v>20%</c:v>
                </c:pt>
                <c:pt idx="5">
                  <c:v>25%</c:v>
                </c:pt>
                <c:pt idx="6">
                  <c:v>30%</c:v>
                </c:pt>
                <c:pt idx="7">
                  <c:v>35%</c:v>
                </c:pt>
                <c:pt idx="8">
                  <c:v>40%</c:v>
                </c:pt>
              </c:strCache>
            </c:strRef>
          </c:xVal>
          <c:yVal>
            <c:numRef>
              <c:f>'PiN Visuals'!$D$6:$D$16</c:f>
              <c:numCache>
                <c:formatCode>General</c:formatCode>
                <c:ptCount val="11"/>
                <c:pt idx="0">
                  <c:v>1</c:v>
                </c:pt>
                <c:pt idx="1">
                  <c:v>6</c:v>
                </c:pt>
                <c:pt idx="2">
                  <c:v>11</c:v>
                </c:pt>
                <c:pt idx="3">
                  <c:v>13</c:v>
                </c:pt>
                <c:pt idx="4">
                  <c:v>19</c:v>
                </c:pt>
                <c:pt idx="5">
                  <c:v>10</c:v>
                </c:pt>
                <c:pt idx="6">
                  <c:v>5</c:v>
                </c:pt>
                <c:pt idx="7">
                  <c:v>11</c:v>
                </c:pt>
                <c:pt idx="8">
                  <c:v>2</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6380-477A-B4EC-4E1DFDC086E8}"/>
            </c:ext>
          </c:extLst>
        </c:ser>
        <c:ser>
          <c:idx val="4"/>
          <c:order val="3"/>
          <c:tx>
            <c:strRef>
              <c:f>'PiN Visuals'!$E$5</c:f>
              <c:strCache>
                <c:ptCount val="1"/>
              </c:strCache>
              <c:extLst xmlns:c15="http://schemas.microsoft.com/office/drawing/2012/chart"/>
            </c:strRef>
          </c:tx>
          <c:spPr>
            <a:ln w="9525" cap="rnd">
              <a:solidFill>
                <a:schemeClr val="accent5">
                  <a:lumMod val="60000"/>
                </a:schemeClr>
              </a:solidFill>
              <a:round/>
            </a:ln>
            <a:effectLst/>
          </c:spPr>
          <c:marker>
            <c:symbol val="circle"/>
            <c:size val="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xVal>
            <c:strRef>
              <c:f>'PiN Visuals'!$A$6:$A$77</c:f>
              <c:strCache>
                <c:ptCount val="9"/>
                <c:pt idx="0">
                  <c:v>0%</c:v>
                </c:pt>
                <c:pt idx="1">
                  <c:v>5%</c:v>
                </c:pt>
                <c:pt idx="2">
                  <c:v>10%</c:v>
                </c:pt>
                <c:pt idx="3">
                  <c:v>15%</c:v>
                </c:pt>
                <c:pt idx="4">
                  <c:v>20%</c:v>
                </c:pt>
                <c:pt idx="5">
                  <c:v>25%</c:v>
                </c:pt>
                <c:pt idx="6">
                  <c:v>30%</c:v>
                </c:pt>
                <c:pt idx="7">
                  <c:v>35%</c:v>
                </c:pt>
                <c:pt idx="8">
                  <c:v>40%</c:v>
                </c:pt>
              </c:strCache>
            </c:strRef>
          </c:xVal>
          <c:yVal>
            <c:numRef>
              <c:f>'PiN Visuals'!$E$6:$E$16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6380-477A-B4EC-4E1DFDC086E8}"/>
            </c:ext>
          </c:extLst>
        </c:ser>
        <c:ser>
          <c:idx val="5"/>
          <c:order val="4"/>
          <c:tx>
            <c:strRef>
              <c:f>'PiN Visuals'!$F$5</c:f>
              <c:strCache>
                <c:ptCount val="1"/>
              </c:strCache>
              <c:extLst xmlns:c15="http://schemas.microsoft.com/office/drawing/2012/chart"/>
            </c:strRef>
          </c:tx>
          <c:spPr>
            <a:ln w="9525" cap="rnd">
              <a:solidFill>
                <a:schemeClr val="accent4">
                  <a:lumMod val="60000"/>
                </a:schemeClr>
              </a:solidFill>
              <a:round/>
            </a:ln>
            <a:effectLst/>
          </c:spPr>
          <c:marker>
            <c:symbol val="circle"/>
            <c:size val="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xVal>
            <c:strRef>
              <c:f>'PiN Visuals'!$A$6:$A$77</c:f>
              <c:strCache>
                <c:ptCount val="9"/>
                <c:pt idx="0">
                  <c:v>0%</c:v>
                </c:pt>
                <c:pt idx="1">
                  <c:v>5%</c:v>
                </c:pt>
                <c:pt idx="2">
                  <c:v>10%</c:v>
                </c:pt>
                <c:pt idx="3">
                  <c:v>15%</c:v>
                </c:pt>
                <c:pt idx="4">
                  <c:v>20%</c:v>
                </c:pt>
                <c:pt idx="5">
                  <c:v>25%</c:v>
                </c:pt>
                <c:pt idx="6">
                  <c:v>30%</c:v>
                </c:pt>
                <c:pt idx="7">
                  <c:v>35%</c:v>
                </c:pt>
                <c:pt idx="8">
                  <c:v>40%</c:v>
                </c:pt>
              </c:strCache>
            </c:strRef>
          </c:xVal>
          <c:yVal>
            <c:numRef>
              <c:f>'PiN Visuals'!$F$6:$F$16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5-6380-477A-B4EC-4E1DFDC086E8}"/>
            </c:ext>
          </c:extLst>
        </c:ser>
        <c:dLbls>
          <c:showLegendKey val="0"/>
          <c:showVal val="0"/>
          <c:showCatName val="0"/>
          <c:showSerName val="0"/>
          <c:showPercent val="0"/>
          <c:showBubbleSize val="0"/>
        </c:dLbls>
        <c:axId val="278040799"/>
        <c:axId val="278042463"/>
        <c:extLst/>
      </c:scatterChart>
      <c:valAx>
        <c:axId val="278040799"/>
        <c:scaling>
          <c:orientation val="minMax"/>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p>
            </c:rich>
          </c:tx>
          <c:layout>
            <c:manualLayout>
              <c:xMode val="edge"/>
              <c:yMode val="edge"/>
              <c:x val="0.49175580174378231"/>
              <c:y val="0.880219745811336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2463"/>
        <c:crosses val="autoZero"/>
        <c:crossBetween val="midCat"/>
      </c:valAx>
      <c:valAx>
        <c:axId val="278042463"/>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of PiN change between last year's HNO and this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4.0825232981477146E-2"/>
          <c:y val="0.11371445255421546"/>
          <c:w val="0.91332920504981796"/>
          <c:h val="0.66030240635594117"/>
        </c:manualLayout>
      </c:layout>
      <c:scatterChart>
        <c:scatterStyle val="smoothMarker"/>
        <c:varyColors val="0"/>
        <c:ser>
          <c:idx val="0"/>
          <c:order val="0"/>
          <c:tx>
            <c:strRef>
              <c:f>'PiN Visuals'!$I$5</c:f>
              <c:strCache>
                <c:ptCount val="1"/>
                <c:pt idx="0">
                  <c:v> IDPs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'PiN Visuals'!$H$6:$H$31</c:f>
              <c:numCache>
                <c:formatCode>0%</c:formatCode>
                <c:ptCount val="26"/>
                <c:pt idx="0">
                  <c:v>-1</c:v>
                </c:pt>
                <c:pt idx="1">
                  <c:v>-0.9</c:v>
                </c:pt>
                <c:pt idx="2">
                  <c:v>-0.8</c:v>
                </c:pt>
                <c:pt idx="3">
                  <c:v>-0.7</c:v>
                </c:pt>
                <c:pt idx="4">
                  <c:v>-0.6</c:v>
                </c:pt>
                <c:pt idx="5">
                  <c:v>-0.5</c:v>
                </c:pt>
                <c:pt idx="6">
                  <c:v>-0.4</c:v>
                </c:pt>
                <c:pt idx="7">
                  <c:v>-0.3</c:v>
                </c:pt>
                <c:pt idx="8">
                  <c:v>-0.2</c:v>
                </c:pt>
                <c:pt idx="9">
                  <c:v>-0.1</c:v>
                </c:pt>
                <c:pt idx="10">
                  <c:v>0</c:v>
                </c:pt>
                <c:pt idx="11">
                  <c:v>0.1</c:v>
                </c:pt>
                <c:pt idx="12">
                  <c:v>0.2</c:v>
                </c:pt>
                <c:pt idx="13">
                  <c:v>0.3</c:v>
                </c:pt>
                <c:pt idx="14">
                  <c:v>0.4</c:v>
                </c:pt>
                <c:pt idx="15">
                  <c:v>0.5</c:v>
                </c:pt>
                <c:pt idx="16">
                  <c:v>0.6</c:v>
                </c:pt>
                <c:pt idx="17">
                  <c:v>0.7</c:v>
                </c:pt>
                <c:pt idx="18">
                  <c:v>0.8</c:v>
                </c:pt>
                <c:pt idx="19">
                  <c:v>0.9</c:v>
                </c:pt>
                <c:pt idx="20">
                  <c:v>1</c:v>
                </c:pt>
                <c:pt idx="21">
                  <c:v>1.1000000000000001</c:v>
                </c:pt>
                <c:pt idx="22">
                  <c:v>1.2</c:v>
                </c:pt>
                <c:pt idx="23">
                  <c:v>1.3</c:v>
                </c:pt>
                <c:pt idx="24">
                  <c:v>1.4</c:v>
                </c:pt>
                <c:pt idx="25">
                  <c:v>1.5</c:v>
                </c:pt>
              </c:numCache>
            </c:numRef>
          </c:xVal>
          <c:yVal>
            <c:numRef>
              <c:f>'PiN Visuals'!$I$6:$I$31</c:f>
              <c:numCache>
                <c:formatCode>General</c:formatCode>
                <c:ptCount val="26"/>
                <c:pt idx="0">
                  <c:v>1</c:v>
                </c:pt>
                <c:pt idx="1">
                  <c:v>0</c:v>
                </c:pt>
                <c:pt idx="2">
                  <c:v>1</c:v>
                </c:pt>
                <c:pt idx="3">
                  <c:v>0</c:v>
                </c:pt>
                <c:pt idx="4">
                  <c:v>1</c:v>
                </c:pt>
                <c:pt idx="5">
                  <c:v>1</c:v>
                </c:pt>
                <c:pt idx="6">
                  <c:v>3</c:v>
                </c:pt>
                <c:pt idx="7">
                  <c:v>3</c:v>
                </c:pt>
                <c:pt idx="8">
                  <c:v>2</c:v>
                </c:pt>
                <c:pt idx="9">
                  <c:v>6</c:v>
                </c:pt>
                <c:pt idx="10">
                  <c:v>9</c:v>
                </c:pt>
                <c:pt idx="11">
                  <c:v>4</c:v>
                </c:pt>
                <c:pt idx="12">
                  <c:v>6</c:v>
                </c:pt>
                <c:pt idx="13">
                  <c:v>7</c:v>
                </c:pt>
                <c:pt idx="14">
                  <c:v>6</c:v>
                </c:pt>
                <c:pt idx="15">
                  <c:v>2</c:v>
                </c:pt>
                <c:pt idx="16">
                  <c:v>1</c:v>
                </c:pt>
                <c:pt idx="17">
                  <c:v>3</c:v>
                </c:pt>
                <c:pt idx="18">
                  <c:v>0</c:v>
                </c:pt>
                <c:pt idx="19">
                  <c:v>0</c:v>
                </c:pt>
                <c:pt idx="20">
                  <c:v>0</c:v>
                </c:pt>
                <c:pt idx="21">
                  <c:v>1</c:v>
                </c:pt>
                <c:pt idx="22">
                  <c:v>1</c:v>
                </c:pt>
                <c:pt idx="23">
                  <c:v>0</c:v>
                </c:pt>
                <c:pt idx="24">
                  <c:v>2</c:v>
                </c:pt>
                <c:pt idx="25">
                  <c:v>3</c:v>
                </c:pt>
              </c:numCache>
            </c:numRef>
          </c:yVal>
          <c:smooth val="1"/>
          <c:extLst>
            <c:ext xmlns:c16="http://schemas.microsoft.com/office/drawing/2014/chart" uri="{C3380CC4-5D6E-409C-BE32-E72D297353CC}">
              <c16:uniqueId val="{00000000-958B-4DE1-B8B7-29F662A9504D}"/>
            </c:ext>
          </c:extLst>
        </c:ser>
        <c:ser>
          <c:idx val="1"/>
          <c:order val="1"/>
          <c:tx>
            <c:strRef>
              <c:f>'PiN Visuals'!$J$5</c:f>
              <c:strCache>
                <c:ptCount val="1"/>
                <c:pt idx="0">
                  <c:v> Residents </c:v>
                </c:pt>
              </c:strCache>
            </c:strRef>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'PiN Visuals'!$H$6:$H$31</c:f>
              <c:numCache>
                <c:formatCode>0%</c:formatCode>
                <c:ptCount val="26"/>
                <c:pt idx="0">
                  <c:v>-1</c:v>
                </c:pt>
                <c:pt idx="1">
                  <c:v>-0.9</c:v>
                </c:pt>
                <c:pt idx="2">
                  <c:v>-0.8</c:v>
                </c:pt>
                <c:pt idx="3">
                  <c:v>-0.7</c:v>
                </c:pt>
                <c:pt idx="4">
                  <c:v>-0.6</c:v>
                </c:pt>
                <c:pt idx="5">
                  <c:v>-0.5</c:v>
                </c:pt>
                <c:pt idx="6">
                  <c:v>-0.4</c:v>
                </c:pt>
                <c:pt idx="7">
                  <c:v>-0.3</c:v>
                </c:pt>
                <c:pt idx="8">
                  <c:v>-0.2</c:v>
                </c:pt>
                <c:pt idx="9">
                  <c:v>-0.1</c:v>
                </c:pt>
                <c:pt idx="10">
                  <c:v>0</c:v>
                </c:pt>
                <c:pt idx="11">
                  <c:v>0.1</c:v>
                </c:pt>
                <c:pt idx="12">
                  <c:v>0.2</c:v>
                </c:pt>
                <c:pt idx="13">
                  <c:v>0.3</c:v>
                </c:pt>
                <c:pt idx="14">
                  <c:v>0.4</c:v>
                </c:pt>
                <c:pt idx="15">
                  <c:v>0.5</c:v>
                </c:pt>
                <c:pt idx="16">
                  <c:v>0.6</c:v>
                </c:pt>
                <c:pt idx="17">
                  <c:v>0.7</c:v>
                </c:pt>
                <c:pt idx="18">
                  <c:v>0.8</c:v>
                </c:pt>
                <c:pt idx="19">
                  <c:v>0.9</c:v>
                </c:pt>
                <c:pt idx="20">
                  <c:v>1</c:v>
                </c:pt>
                <c:pt idx="21">
                  <c:v>1.1000000000000001</c:v>
                </c:pt>
                <c:pt idx="22">
                  <c:v>1.2</c:v>
                </c:pt>
                <c:pt idx="23">
                  <c:v>1.3</c:v>
                </c:pt>
                <c:pt idx="24">
                  <c:v>1.4</c:v>
                </c:pt>
                <c:pt idx="25">
                  <c:v>1.5</c:v>
                </c:pt>
              </c:numCache>
            </c:numRef>
          </c:xVal>
          <c:yVal>
            <c:numRef>
              <c:f>'PiN Visuals'!$J$6:$J$31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958B-4DE1-B8B7-29F662A9504D}"/>
            </c:ext>
          </c:extLst>
        </c:ser>
        <c:ser>
          <c:idx val="2"/>
          <c:order val="2"/>
          <c:tx>
            <c:strRef>
              <c:f>'PiN Visuals'!$K$5</c:f>
              <c:strCache>
                <c:ptCount val="1"/>
                <c:pt idx="0">
                  <c:v> Returnees </c:v>
                </c:pt>
              </c:strCache>
            </c:strRef>
          </c:tx>
          <c:spPr>
            <a:ln w="9525" cap="rnd">
              <a:solidFill>
                <a:schemeClr val="accent3"/>
              </a:solid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xVal>
            <c:numRef>
              <c:f>'PiN Visuals'!$H$6:$H$31</c:f>
              <c:numCache>
                <c:formatCode>0%</c:formatCode>
                <c:ptCount val="26"/>
                <c:pt idx="0">
                  <c:v>-1</c:v>
                </c:pt>
                <c:pt idx="1">
                  <c:v>-0.9</c:v>
                </c:pt>
                <c:pt idx="2">
                  <c:v>-0.8</c:v>
                </c:pt>
                <c:pt idx="3">
                  <c:v>-0.7</c:v>
                </c:pt>
                <c:pt idx="4">
                  <c:v>-0.6</c:v>
                </c:pt>
                <c:pt idx="5">
                  <c:v>-0.5</c:v>
                </c:pt>
                <c:pt idx="6">
                  <c:v>-0.4</c:v>
                </c:pt>
                <c:pt idx="7">
                  <c:v>-0.3</c:v>
                </c:pt>
                <c:pt idx="8">
                  <c:v>-0.2</c:v>
                </c:pt>
                <c:pt idx="9">
                  <c:v>-0.1</c:v>
                </c:pt>
                <c:pt idx="10">
                  <c:v>0</c:v>
                </c:pt>
                <c:pt idx="11">
                  <c:v>0.1</c:v>
                </c:pt>
                <c:pt idx="12">
                  <c:v>0.2</c:v>
                </c:pt>
                <c:pt idx="13">
                  <c:v>0.3</c:v>
                </c:pt>
                <c:pt idx="14">
                  <c:v>0.4</c:v>
                </c:pt>
                <c:pt idx="15">
                  <c:v>0.5</c:v>
                </c:pt>
                <c:pt idx="16">
                  <c:v>0.6</c:v>
                </c:pt>
                <c:pt idx="17">
                  <c:v>0.7</c:v>
                </c:pt>
                <c:pt idx="18">
                  <c:v>0.8</c:v>
                </c:pt>
                <c:pt idx="19">
                  <c:v>0.9</c:v>
                </c:pt>
                <c:pt idx="20">
                  <c:v>1</c:v>
                </c:pt>
                <c:pt idx="21">
                  <c:v>1.1000000000000001</c:v>
                </c:pt>
                <c:pt idx="22">
                  <c:v>1.2</c:v>
                </c:pt>
                <c:pt idx="23">
                  <c:v>1.3</c:v>
                </c:pt>
                <c:pt idx="24">
                  <c:v>1.4</c:v>
                </c:pt>
                <c:pt idx="25">
                  <c:v>1.5</c:v>
                </c:pt>
              </c:numCache>
            </c:numRef>
          </c:xVal>
          <c:yVal>
            <c:numRef>
              <c:f>'PiN Visuals'!$K$6:$K$31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2-958B-4DE1-B8B7-29F662A9504D}"/>
            </c:ext>
          </c:extLst>
        </c:ser>
        <c:ser>
          <c:idx val="3"/>
          <c:order val="3"/>
          <c:tx>
            <c:strRef>
              <c:f>'PiN Visuals'!$L$5</c:f>
              <c:strCache>
                <c:ptCount val="1"/>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numRef>
              <c:f>'PiN Visuals'!$H$6:$H$31</c:f>
              <c:numCache>
                <c:formatCode>0%</c:formatCode>
                <c:ptCount val="26"/>
                <c:pt idx="0">
                  <c:v>-1</c:v>
                </c:pt>
                <c:pt idx="1">
                  <c:v>-0.9</c:v>
                </c:pt>
                <c:pt idx="2">
                  <c:v>-0.8</c:v>
                </c:pt>
                <c:pt idx="3">
                  <c:v>-0.7</c:v>
                </c:pt>
                <c:pt idx="4">
                  <c:v>-0.6</c:v>
                </c:pt>
                <c:pt idx="5">
                  <c:v>-0.5</c:v>
                </c:pt>
                <c:pt idx="6">
                  <c:v>-0.4</c:v>
                </c:pt>
                <c:pt idx="7">
                  <c:v>-0.3</c:v>
                </c:pt>
                <c:pt idx="8">
                  <c:v>-0.2</c:v>
                </c:pt>
                <c:pt idx="9">
                  <c:v>-0.1</c:v>
                </c:pt>
                <c:pt idx="10">
                  <c:v>0</c:v>
                </c:pt>
                <c:pt idx="11">
                  <c:v>0.1</c:v>
                </c:pt>
                <c:pt idx="12">
                  <c:v>0.2</c:v>
                </c:pt>
                <c:pt idx="13">
                  <c:v>0.3</c:v>
                </c:pt>
                <c:pt idx="14">
                  <c:v>0.4</c:v>
                </c:pt>
                <c:pt idx="15">
                  <c:v>0.5</c:v>
                </c:pt>
                <c:pt idx="16">
                  <c:v>0.6</c:v>
                </c:pt>
                <c:pt idx="17">
                  <c:v>0.7</c:v>
                </c:pt>
                <c:pt idx="18">
                  <c:v>0.8</c:v>
                </c:pt>
                <c:pt idx="19">
                  <c:v>0.9</c:v>
                </c:pt>
                <c:pt idx="20">
                  <c:v>1</c:v>
                </c:pt>
                <c:pt idx="21">
                  <c:v>1.1000000000000001</c:v>
                </c:pt>
                <c:pt idx="22">
                  <c:v>1.2</c:v>
                </c:pt>
                <c:pt idx="23">
                  <c:v>1.3</c:v>
                </c:pt>
                <c:pt idx="24">
                  <c:v>1.4</c:v>
                </c:pt>
                <c:pt idx="25">
                  <c:v>1.5</c:v>
                </c:pt>
              </c:numCache>
            </c:numRef>
          </c:xVal>
          <c:yVal>
            <c:numRef>
              <c:f>'PiN Visuals'!$L$6:$L$31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0-FB8F-4450-A049-7F64D1F1CAF5}"/>
            </c:ext>
          </c:extLst>
        </c:ser>
        <c:ser>
          <c:idx val="4"/>
          <c:order val="4"/>
          <c:tx>
            <c:strRef>
              <c:f>'PiN Visuals'!$M$5</c:f>
              <c:strCache>
                <c:ptCount val="1"/>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numRef>
              <c:f>'PiN Visuals'!$H$6:$H$31</c:f>
              <c:numCache>
                <c:formatCode>0%</c:formatCode>
                <c:ptCount val="26"/>
                <c:pt idx="0">
                  <c:v>-1</c:v>
                </c:pt>
                <c:pt idx="1">
                  <c:v>-0.9</c:v>
                </c:pt>
                <c:pt idx="2">
                  <c:v>-0.8</c:v>
                </c:pt>
                <c:pt idx="3">
                  <c:v>-0.7</c:v>
                </c:pt>
                <c:pt idx="4">
                  <c:v>-0.6</c:v>
                </c:pt>
                <c:pt idx="5">
                  <c:v>-0.5</c:v>
                </c:pt>
                <c:pt idx="6">
                  <c:v>-0.4</c:v>
                </c:pt>
                <c:pt idx="7">
                  <c:v>-0.3</c:v>
                </c:pt>
                <c:pt idx="8">
                  <c:v>-0.2</c:v>
                </c:pt>
                <c:pt idx="9">
                  <c:v>-0.1</c:v>
                </c:pt>
                <c:pt idx="10">
                  <c:v>0</c:v>
                </c:pt>
                <c:pt idx="11">
                  <c:v>0.1</c:v>
                </c:pt>
                <c:pt idx="12">
                  <c:v>0.2</c:v>
                </c:pt>
                <c:pt idx="13">
                  <c:v>0.3</c:v>
                </c:pt>
                <c:pt idx="14">
                  <c:v>0.4</c:v>
                </c:pt>
                <c:pt idx="15">
                  <c:v>0.5</c:v>
                </c:pt>
                <c:pt idx="16">
                  <c:v>0.6</c:v>
                </c:pt>
                <c:pt idx="17">
                  <c:v>0.7</c:v>
                </c:pt>
                <c:pt idx="18">
                  <c:v>0.8</c:v>
                </c:pt>
                <c:pt idx="19">
                  <c:v>0.9</c:v>
                </c:pt>
                <c:pt idx="20">
                  <c:v>1</c:v>
                </c:pt>
                <c:pt idx="21">
                  <c:v>1.1000000000000001</c:v>
                </c:pt>
                <c:pt idx="22">
                  <c:v>1.2</c:v>
                </c:pt>
                <c:pt idx="23">
                  <c:v>1.3</c:v>
                </c:pt>
                <c:pt idx="24">
                  <c:v>1.4</c:v>
                </c:pt>
                <c:pt idx="25">
                  <c:v>1.5</c:v>
                </c:pt>
              </c:numCache>
            </c:numRef>
          </c:xVal>
          <c:yVal>
            <c:numRef>
              <c:f>'PiN Visuals'!$M$6:$M$31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FB8F-4450-A049-7F64D1F1CAF5}"/>
            </c:ext>
          </c:extLst>
        </c:ser>
        <c:dLbls>
          <c:showLegendKey val="0"/>
          <c:showVal val="0"/>
          <c:showCatName val="0"/>
          <c:showSerName val="0"/>
          <c:showPercent val="0"/>
          <c:showBubbleSize val="0"/>
        </c:dLbls>
        <c:axId val="354961231"/>
        <c:axId val="354960271"/>
      </c:scatterChart>
      <c:valAx>
        <c:axId val="354961231"/>
        <c:scaling>
          <c:orientation val="minMax"/>
          <c:max val="2"/>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r>
                  <a:rPr lang="en-GB" baseline="0"/>
                  <a:t> change</a:t>
                </a:r>
                <a:endParaRPr lang="en-GB"/>
              </a:p>
            </c:rich>
          </c:tx>
          <c:layout>
            <c:manualLayout>
              <c:xMode val="edge"/>
              <c:yMode val="edge"/>
              <c:x val="0.45259603888065963"/>
              <c:y val="0.832720670393533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0271"/>
        <c:crosses val="autoZero"/>
        <c:crossBetween val="midCat"/>
      </c:valAx>
      <c:valAx>
        <c:axId val="354960271"/>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layout>
            <c:manualLayout>
              <c:xMode val="edge"/>
              <c:yMode val="edge"/>
              <c:x val="1.1437909968337961E-2"/>
              <c:y val="0.424338917002409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1231"/>
        <c:crosses val="autoZero"/>
        <c:crossBetween val="midCat"/>
      </c:valAx>
      <c:spPr>
        <a:noFill/>
        <a:ln>
          <a:noFill/>
        </a:ln>
        <a:effectLst/>
      </c:spPr>
    </c:plotArea>
    <c:legend>
      <c:legendPos val="b"/>
      <c:layout>
        <c:manualLayout>
          <c:xMode val="edge"/>
          <c:yMode val="edge"/>
          <c:x val="0.31439469332441627"/>
          <c:y val="0.92448160395998424"/>
          <c:w val="0.254165328848457"/>
          <c:h val="4.61541542809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'Preliminary results graph'!$A$7</c:f>
          <c:strCache>
            <c:ptCount val="1"/>
            <c:pt idx="0">
              <c:v>Total Sectoral and Overall PiN, from a total population of 11,973,648</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0938683349512818"/>
          <c:y val="0.12633663366336634"/>
          <c:w val="0.87052184230395857"/>
          <c:h val="0.57051928814928732"/>
        </c:manualLayout>
      </c:layout>
      <c:barChart>
        <c:barDir val="col"/>
        <c:grouping val="clustered"/>
        <c:varyColors val="0"/>
        <c:ser>
          <c:idx val="0"/>
          <c:order val="0"/>
          <c:spPr>
            <a:solidFill>
              <a:schemeClr val="accent2"/>
            </a:solidFill>
            <a:ln>
              <a:noFill/>
            </a:ln>
            <a:effectLst/>
          </c:spPr>
          <c:invertIfNegative val="0"/>
          <c:cat>
            <c:strRef>
              <c:f>'Preliminary results graph'!$B$4:$K$4</c:f>
              <c:strCache>
                <c:ptCount val="10"/>
                <c:pt idx="0">
                  <c:v>Overall PiN</c:v>
                </c:pt>
                <c:pt idx="1">
                  <c:v>CCCM</c:v>
                </c:pt>
                <c:pt idx="2">
                  <c:v>Education</c:v>
                </c:pt>
                <c:pt idx="3">
                  <c:v>Nutrition</c:v>
                </c:pt>
                <c:pt idx="4">
                  <c:v>Food Security</c:v>
                </c:pt>
                <c:pt idx="5">
                  <c:v>Health</c:v>
                </c:pt>
                <c:pt idx="6">
                  <c:v>Overarching Protection</c:v>
                </c:pt>
                <c:pt idx="7">
                  <c:v>Shelter</c:v>
                </c:pt>
                <c:pt idx="8">
                  <c:v>WASH</c:v>
                </c:pt>
                <c:pt idx="9">
                  <c:v>CP</c:v>
                </c:pt>
              </c:strCache>
            </c:strRef>
          </c:cat>
          <c:val>
            <c:numRef>
              <c:f>'Preliminary results graph'!$B$5:$K$5</c:f>
              <c:numCache>
                <c:formatCode>_ * #\ ##0_ ;_ * \-#\ ##0_ ;_ * "-"??_ ;_ @_ </c:formatCode>
                <c:ptCount val="10"/>
                <c:pt idx="0">
                  <c:v>9266561.0112328324</c:v>
                </c:pt>
                <c:pt idx="1">
                  <c:v>1359005.6654804838</c:v>
                </c:pt>
                <c:pt idx="2">
                  <c:v>2435900.2640912938</c:v>
                </c:pt>
                <c:pt idx="3">
                  <c:v>5250932.6034867046</c:v>
                </c:pt>
                <c:pt idx="4">
                  <c:v>7650961.5530535178</c:v>
                </c:pt>
                <c:pt idx="5">
                  <c:v>6269692.2333403639</c:v>
                </c:pt>
                <c:pt idx="6">
                  <c:v>4867750</c:v>
                </c:pt>
                <c:pt idx="7">
                  <c:v>6669355.3914749231</c:v>
                </c:pt>
                <c:pt idx="8">
                  <c:v>6806494.7796443868</c:v>
                </c:pt>
                <c:pt idx="9">
                  <c:v>2723959</c:v>
                </c:pt>
              </c:numCache>
            </c:numRef>
          </c:val>
          <c:extLst>
            <c:ext xmlns:c16="http://schemas.microsoft.com/office/drawing/2014/chart" uri="{C3380CC4-5D6E-409C-BE32-E72D297353CC}">
              <c16:uniqueId val="{00000000-3700-0149-90BD-58D70062A1A7}"/>
            </c:ext>
          </c:extLst>
        </c:ser>
        <c:dLbls>
          <c:showLegendKey val="0"/>
          <c:showVal val="0"/>
          <c:showCatName val="0"/>
          <c:showSerName val="0"/>
          <c:showPercent val="0"/>
          <c:showBubbleSize val="0"/>
        </c:dLbls>
        <c:gapWidth val="219"/>
        <c:overlap val="-27"/>
        <c:axId val="1113616592"/>
        <c:axId val="261902624"/>
      </c:barChart>
      <c:catAx>
        <c:axId val="11136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1902624"/>
        <c:crosses val="autoZero"/>
        <c:auto val="1"/>
        <c:lblAlgn val="ctr"/>
        <c:lblOffset val="100"/>
        <c:noMultiLvlLbl val="0"/>
      </c:catAx>
      <c:valAx>
        <c:axId val="261902624"/>
        <c:scaling>
          <c:orientation val="minMax"/>
        </c:scaling>
        <c:delete val="0"/>
        <c:axPos val="l"/>
        <c:majorGridlines>
          <c:spPr>
            <a:ln w="9525" cap="flat" cmpd="sng" algn="ctr">
              <a:solidFill>
                <a:schemeClr val="tx1">
                  <a:lumMod val="15000"/>
                  <a:lumOff val="85000"/>
                </a:schemeClr>
              </a:solidFill>
              <a:round/>
            </a:ln>
            <a:effectLst/>
          </c:spPr>
        </c:majorGridlines>
        <c:numFmt formatCode="_ * #\ ##0_ ;_ *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616592"/>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units for Sectoral and Intersectoral Severity per severity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0"/>
          <c:tx>
            <c:v>1</c:v>
          </c:tx>
          <c:spPr>
            <a:solidFill>
              <a:schemeClr val="accent5">
                <a:lumMod val="20000"/>
                <a:lumOff val="8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Overarching Protection</c:v>
                </c:pt>
                <c:pt idx="7">
                  <c:v>Shelter</c:v>
                </c:pt>
                <c:pt idx="8">
                  <c:v>WASH</c:v>
                </c:pt>
              </c:strCache>
            </c:strRef>
          </c:cat>
          <c:val>
            <c:numRef>
              <c:f>'Preliminary results graph'!$V$11:$AI$11</c:f>
              <c:numCache>
                <c:formatCode>General</c:formatCode>
                <c:ptCount val="14"/>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2410-E245-9BB0-E5D4ACCFBF52}"/>
            </c:ext>
          </c:extLst>
        </c:ser>
        <c:ser>
          <c:idx val="2"/>
          <c:order val="1"/>
          <c:tx>
            <c:v>2</c:v>
          </c:tx>
          <c:spPr>
            <a:solidFill>
              <a:schemeClr val="accent5">
                <a:lumMod val="40000"/>
                <a:lumOff val="6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Overarching Protection</c:v>
                </c:pt>
                <c:pt idx="7">
                  <c:v>Shelter</c:v>
                </c:pt>
                <c:pt idx="8">
                  <c:v>WASH</c:v>
                </c:pt>
              </c:strCache>
            </c:strRef>
          </c:cat>
          <c:val>
            <c:numRef>
              <c:f>'Preliminary results graph'!$V$12:$AI$12</c:f>
              <c:numCache>
                <c:formatCode>General</c:formatCode>
                <c:ptCount val="14"/>
                <c:pt idx="0">
                  <c:v>0</c:v>
                </c:pt>
                <c:pt idx="1">
                  <c:v>41</c:v>
                </c:pt>
                <c:pt idx="2">
                  <c:v>2</c:v>
                </c:pt>
                <c:pt idx="3">
                  <c:v>11</c:v>
                </c:pt>
                <c:pt idx="4">
                  <c:v>2</c:v>
                </c:pt>
                <c:pt idx="5">
                  <c:v>0</c:v>
                </c:pt>
                <c:pt idx="6">
                  <c:v>1</c:v>
                </c:pt>
                <c:pt idx="7">
                  <c:v>25</c:v>
                </c:pt>
                <c:pt idx="8">
                  <c:v>3</c:v>
                </c:pt>
              </c:numCache>
            </c:numRef>
          </c:val>
          <c:extLst>
            <c:ext xmlns:c16="http://schemas.microsoft.com/office/drawing/2014/chart" uri="{C3380CC4-5D6E-409C-BE32-E72D297353CC}">
              <c16:uniqueId val="{00000002-2410-E245-9BB0-E5D4ACCFBF52}"/>
            </c:ext>
          </c:extLst>
        </c:ser>
        <c:ser>
          <c:idx val="3"/>
          <c:order val="2"/>
          <c:tx>
            <c:v>3</c:v>
          </c:tx>
          <c:spPr>
            <a:solidFill>
              <a:schemeClr val="accent5">
                <a:lumMod val="60000"/>
                <a:lumOff val="4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Overarching Protection</c:v>
                </c:pt>
                <c:pt idx="7">
                  <c:v>Shelter</c:v>
                </c:pt>
                <c:pt idx="8">
                  <c:v>WASH</c:v>
                </c:pt>
              </c:strCache>
            </c:strRef>
          </c:cat>
          <c:val>
            <c:numRef>
              <c:f>'Preliminary results graph'!$V$13:$AI$13</c:f>
              <c:numCache>
                <c:formatCode>General</c:formatCode>
                <c:ptCount val="14"/>
                <c:pt idx="0">
                  <c:v>50</c:v>
                </c:pt>
                <c:pt idx="1">
                  <c:v>25</c:v>
                </c:pt>
                <c:pt idx="2">
                  <c:v>46</c:v>
                </c:pt>
                <c:pt idx="3">
                  <c:v>22</c:v>
                </c:pt>
                <c:pt idx="4">
                  <c:v>42</c:v>
                </c:pt>
                <c:pt idx="5">
                  <c:v>17</c:v>
                </c:pt>
                <c:pt idx="6">
                  <c:v>43</c:v>
                </c:pt>
                <c:pt idx="7">
                  <c:v>36</c:v>
                </c:pt>
                <c:pt idx="8">
                  <c:v>42</c:v>
                </c:pt>
              </c:numCache>
            </c:numRef>
          </c:val>
          <c:extLst>
            <c:ext xmlns:c16="http://schemas.microsoft.com/office/drawing/2014/chart" uri="{C3380CC4-5D6E-409C-BE32-E72D297353CC}">
              <c16:uniqueId val="{00000003-2410-E245-9BB0-E5D4ACCFBF52}"/>
            </c:ext>
          </c:extLst>
        </c:ser>
        <c:ser>
          <c:idx val="4"/>
          <c:order val="3"/>
          <c:tx>
            <c:v>4</c:v>
          </c:tx>
          <c:spPr>
            <a:solidFill>
              <a:schemeClr val="accent5">
                <a:lumMod val="75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Overarching Protection</c:v>
                </c:pt>
                <c:pt idx="7">
                  <c:v>Shelter</c:v>
                </c:pt>
                <c:pt idx="8">
                  <c:v>WASH</c:v>
                </c:pt>
              </c:strCache>
            </c:strRef>
          </c:cat>
          <c:val>
            <c:numRef>
              <c:f>'Preliminary results graph'!$V$14:$AI$14</c:f>
              <c:numCache>
                <c:formatCode>General</c:formatCode>
                <c:ptCount val="14"/>
                <c:pt idx="0">
                  <c:v>24</c:v>
                </c:pt>
                <c:pt idx="1">
                  <c:v>12</c:v>
                </c:pt>
                <c:pt idx="2">
                  <c:v>25</c:v>
                </c:pt>
                <c:pt idx="3">
                  <c:v>41</c:v>
                </c:pt>
                <c:pt idx="4">
                  <c:v>35</c:v>
                </c:pt>
                <c:pt idx="5">
                  <c:v>11</c:v>
                </c:pt>
                <c:pt idx="6">
                  <c:v>35</c:v>
                </c:pt>
                <c:pt idx="7">
                  <c:v>14</c:v>
                </c:pt>
                <c:pt idx="8">
                  <c:v>23</c:v>
                </c:pt>
              </c:numCache>
            </c:numRef>
          </c:val>
          <c:extLst>
            <c:ext xmlns:c16="http://schemas.microsoft.com/office/drawing/2014/chart" uri="{C3380CC4-5D6E-409C-BE32-E72D297353CC}">
              <c16:uniqueId val="{00000004-2410-E245-9BB0-E5D4ACCFBF52}"/>
            </c:ext>
          </c:extLst>
        </c:ser>
        <c:ser>
          <c:idx val="5"/>
          <c:order val="4"/>
          <c:tx>
            <c:v>5</c:v>
          </c:tx>
          <c:spPr>
            <a:solidFill>
              <a:schemeClr val="accent5">
                <a:lumMod val="5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Overarching Protection</c:v>
                </c:pt>
                <c:pt idx="7">
                  <c:v>Shelter</c:v>
                </c:pt>
                <c:pt idx="8">
                  <c:v>WASH</c:v>
                </c:pt>
              </c:strCache>
            </c:strRef>
          </c:cat>
          <c:val>
            <c:numRef>
              <c:f>'Preliminary results graph'!$V$15:$AI$15</c:f>
              <c:numCache>
                <c:formatCode>General</c:formatCode>
                <c:ptCount val="14"/>
                <c:pt idx="0">
                  <c:v>5</c:v>
                </c:pt>
                <c:pt idx="1">
                  <c:v>1</c:v>
                </c:pt>
                <c:pt idx="2">
                  <c:v>6</c:v>
                </c:pt>
                <c:pt idx="3">
                  <c:v>5</c:v>
                </c:pt>
                <c:pt idx="4">
                  <c:v>0</c:v>
                </c:pt>
                <c:pt idx="5">
                  <c:v>0</c:v>
                </c:pt>
                <c:pt idx="6">
                  <c:v>0</c:v>
                </c:pt>
                <c:pt idx="7">
                  <c:v>4</c:v>
                </c:pt>
                <c:pt idx="8">
                  <c:v>11</c:v>
                </c:pt>
              </c:numCache>
            </c:numRef>
          </c:val>
          <c:extLst>
            <c:ext xmlns:c16="http://schemas.microsoft.com/office/drawing/2014/chart" uri="{C3380CC4-5D6E-409C-BE32-E72D297353CC}">
              <c16:uniqueId val="{00000000-0CCB-4100-BB53-AB6C020F6BCA}"/>
            </c:ext>
          </c:extLst>
        </c:ser>
        <c:dLbls>
          <c:showLegendKey val="0"/>
          <c:showVal val="0"/>
          <c:showCatName val="0"/>
          <c:showSerName val="0"/>
          <c:showPercent val="0"/>
          <c:showBubbleSize val="0"/>
        </c:dLbls>
        <c:gapWidth val="219"/>
        <c:overlap val="-27"/>
        <c:axId val="1629549456"/>
        <c:axId val="1629551184"/>
      </c:barChart>
      <c:catAx>
        <c:axId val="16295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51184"/>
        <c:crosses val="autoZero"/>
        <c:auto val="1"/>
        <c:lblAlgn val="ctr"/>
        <c:lblOffset val="100"/>
        <c:noMultiLvlLbl val="0"/>
      </c:catAx>
      <c:valAx>
        <c:axId val="162955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layout>
            <c:manualLayout>
              <c:xMode val="edge"/>
              <c:yMode val="edge"/>
              <c:x val="8.21917808219178E-3"/>
              <c:y val="0.378213889545561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49456"/>
        <c:crosses val="autoZero"/>
        <c:crossBetween val="between"/>
      </c:valAx>
      <c:spPr>
        <a:noFill/>
        <a:ln>
          <a:noFill/>
        </a:ln>
        <a:effectLst/>
      </c:spPr>
    </c:plotArea>
    <c:legend>
      <c:legendPos val="b"/>
      <c:layout>
        <c:manualLayout>
          <c:xMode val="edge"/>
          <c:yMode val="edge"/>
          <c:x val="0.48221385826771651"/>
          <c:y val="0.93331381498790711"/>
          <c:w val="0.16709828148966019"/>
          <c:h val="6.6686245300418528E-2"/>
        </c:manualLayout>
      </c:layout>
      <c:overlay val="0"/>
      <c:spPr>
        <a:solidFill>
          <a:schemeClr val="lt1"/>
        </a:solidFill>
        <a:ln w="12700" cap="flat" cmpd="sng" algn="ctr">
          <a:solidFill>
            <a:schemeClr val="dk1"/>
          </a:solidFill>
          <a:prstDash val="solid"/>
          <a:miter lim="800000"/>
        </a:ln>
        <a:effectLst>
          <a:outerShdw algn="ctr" rotWithShape="0">
            <a:srgbClr val="000000"/>
          </a:outerShdw>
          <a:softEdge rad="0"/>
        </a:effectLst>
      </c:spPr>
      <c:txPr>
        <a:bodyPr rot="0" spcFirstLastPara="1" vertOverflow="ellipsis" vert="horz" wrap="square" anchor="ctr" anchorCtr="1"/>
        <a:lstStyle/>
        <a:p>
          <a:pPr>
            <a:defRPr sz="1200" b="0" i="0" u="none" strike="noStrike" kern="1200" baseline="0">
              <a:ln>
                <a:noFill/>
              </a:ln>
              <a:solidFill>
                <a:schemeClr val="dk1"/>
              </a:solidFill>
              <a:latin typeface="+mn-lt"/>
              <a:ea typeface="+mn-ea"/>
              <a:cs typeface="+mn-cs"/>
            </a:defRPr>
          </a:pPr>
          <a:endParaRPr lang="fr-F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is the driver for PiN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graph'!$C$26:$J$26</c:f>
              <c:strCache>
                <c:ptCount val="8"/>
                <c:pt idx="0">
                  <c:v>CCCM</c:v>
                </c:pt>
                <c:pt idx="1">
                  <c:v>Education</c:v>
                </c:pt>
                <c:pt idx="2">
                  <c:v>Nutrition</c:v>
                </c:pt>
                <c:pt idx="3">
                  <c:v>Food Security</c:v>
                </c:pt>
                <c:pt idx="4">
                  <c:v>Health</c:v>
                </c:pt>
                <c:pt idx="5">
                  <c:v>Overarching Protection</c:v>
                </c:pt>
                <c:pt idx="6">
                  <c:v>Shelter</c:v>
                </c:pt>
                <c:pt idx="7">
                  <c:v>WASH</c:v>
                </c:pt>
              </c:strCache>
            </c:strRef>
          </c:cat>
          <c:val>
            <c:numRef>
              <c:f>'Preliminary results graph'!$C$27:$J$27</c:f>
              <c:numCache>
                <c:formatCode>General</c:formatCode>
                <c:ptCount val="8"/>
                <c:pt idx="0">
                  <c:v>9</c:v>
                </c:pt>
                <c:pt idx="1">
                  <c:v>3</c:v>
                </c:pt>
                <c:pt idx="2">
                  <c:v>6</c:v>
                </c:pt>
                <c:pt idx="3">
                  <c:v>49</c:v>
                </c:pt>
                <c:pt idx="4">
                  <c:v>16</c:v>
                </c:pt>
                <c:pt idx="5">
                  <c:v>25</c:v>
                </c:pt>
                <c:pt idx="6">
                  <c:v>84</c:v>
                </c:pt>
                <c:pt idx="7">
                  <c:v>66</c:v>
                </c:pt>
              </c:numCache>
            </c:numRef>
          </c:val>
          <c:extLst>
            <c:ext xmlns:c16="http://schemas.microsoft.com/office/drawing/2014/chart" uri="{C3380CC4-5D6E-409C-BE32-E72D297353CC}">
              <c16:uniqueId val="{00000000-3652-4BDA-A750-A2E73AF19B9C}"/>
            </c:ext>
          </c:extLst>
        </c:ser>
        <c:dLbls>
          <c:showLegendKey val="0"/>
          <c:showVal val="0"/>
          <c:showCatName val="0"/>
          <c:showSerName val="0"/>
          <c:showPercent val="0"/>
          <c:showBubbleSize val="0"/>
        </c:dLbls>
        <c:gapWidth val="219"/>
        <c:overlap val="-27"/>
        <c:axId val="756465080"/>
        <c:axId val="756458848"/>
      </c:barChart>
      <c:catAx>
        <c:axId val="75646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58848"/>
        <c:crosses val="autoZero"/>
        <c:auto val="1"/>
        <c:lblAlgn val="ctr"/>
        <c:lblOffset val="100"/>
        <c:noMultiLvlLbl val="0"/>
      </c:catAx>
      <c:valAx>
        <c:axId val="756458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65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has the highest severity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graph'!$U$26:$AB$26</c:f>
              <c:strCache>
                <c:ptCount val="8"/>
                <c:pt idx="0">
                  <c:v>CCCM</c:v>
                </c:pt>
                <c:pt idx="1">
                  <c:v>Education</c:v>
                </c:pt>
                <c:pt idx="2">
                  <c:v>Nutrition</c:v>
                </c:pt>
                <c:pt idx="3">
                  <c:v>Food Security</c:v>
                </c:pt>
                <c:pt idx="4">
                  <c:v>Health</c:v>
                </c:pt>
                <c:pt idx="5">
                  <c:v>Overarching Protection</c:v>
                </c:pt>
                <c:pt idx="6">
                  <c:v>Shelter</c:v>
                </c:pt>
                <c:pt idx="7">
                  <c:v>WASH</c:v>
                </c:pt>
              </c:strCache>
            </c:strRef>
          </c:cat>
          <c:val>
            <c:numRef>
              <c:f>'Preliminary results graph'!$U$27:$AB$27</c:f>
              <c:numCache>
                <c:formatCode>General</c:formatCode>
                <c:ptCount val="8"/>
                <c:pt idx="0">
                  <c:v>9</c:v>
                </c:pt>
                <c:pt idx="1">
                  <c:v>28</c:v>
                </c:pt>
                <c:pt idx="2">
                  <c:v>37</c:v>
                </c:pt>
                <c:pt idx="3">
                  <c:v>24</c:v>
                </c:pt>
                <c:pt idx="4">
                  <c:v>13</c:v>
                </c:pt>
                <c:pt idx="5">
                  <c:v>26</c:v>
                </c:pt>
                <c:pt idx="6">
                  <c:v>15</c:v>
                </c:pt>
                <c:pt idx="7">
                  <c:v>37</c:v>
                </c:pt>
              </c:numCache>
            </c:numRef>
          </c:val>
          <c:extLst>
            <c:ext xmlns:c16="http://schemas.microsoft.com/office/drawing/2014/chart" uri="{C3380CC4-5D6E-409C-BE32-E72D297353CC}">
              <c16:uniqueId val="{00000000-5539-4294-958A-FA04950A98E4}"/>
            </c:ext>
          </c:extLst>
        </c:ser>
        <c:dLbls>
          <c:showLegendKey val="0"/>
          <c:showVal val="0"/>
          <c:showCatName val="0"/>
          <c:showSerName val="0"/>
          <c:showPercent val="0"/>
          <c:showBubbleSize val="0"/>
        </c:dLbls>
        <c:gapWidth val="219"/>
        <c:overlap val="-27"/>
        <c:axId val="762467096"/>
        <c:axId val="762473984"/>
      </c:barChart>
      <c:catAx>
        <c:axId val="76246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73984"/>
        <c:crosses val="autoZero"/>
        <c:auto val="1"/>
        <c:lblAlgn val="ctr"/>
        <c:lblOffset val="100"/>
        <c:noMultiLvlLbl val="0"/>
      </c:catAx>
      <c:valAx>
        <c:axId val="76247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units</a:t>
                </a:r>
                <a:r>
                  <a:rPr lang="en-US" sz="1000" b="0" i="0" u="none" strike="noStrike" baseline="0"/>
                  <a:t> </a:t>
                </a:r>
                <a:endParaRPr lang="en-US"/>
              </a:p>
            </c:rich>
          </c:tx>
          <c:layout>
            <c:manualLayout>
              <c:xMode val="edge"/>
              <c:yMode val="edge"/>
              <c:x val="1.4007440487679518E-2"/>
              <c:y val="0.416317755512774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6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487018</xdr:colOff>
      <xdr:row>16</xdr:row>
      <xdr:rowOff>6627</xdr:rowOff>
    </xdr:from>
    <xdr:to>
      <xdr:col>12</xdr:col>
      <xdr:colOff>325107</xdr:colOff>
      <xdr:row>17</xdr:row>
      <xdr:rowOff>116529</xdr:rowOff>
    </xdr:to>
    <xdr:pic>
      <xdr:nvPicPr>
        <xdr:cNvPr id="2" name="Picture 1">
          <a:extLst>
            <a:ext uri="{FF2B5EF4-FFF2-40B4-BE49-F238E27FC236}">
              <a16:creationId xmlns:a16="http://schemas.microsoft.com/office/drawing/2014/main" id="{A197C327-93F3-ABB6-4E90-6B63E2F97B2A}"/>
            </a:ext>
          </a:extLst>
        </xdr:cNvPr>
        <xdr:cNvPicPr>
          <a:picLocks noChangeAspect="1"/>
        </xdr:cNvPicPr>
      </xdr:nvPicPr>
      <xdr:blipFill>
        <a:blip xmlns:r="http://schemas.openxmlformats.org/officeDocument/2006/relationships" r:embed="rId1"/>
        <a:stretch>
          <a:fillRect/>
        </a:stretch>
      </xdr:blipFill>
      <xdr:spPr>
        <a:xfrm>
          <a:off x="9949070" y="7752523"/>
          <a:ext cx="6132872" cy="1561015"/>
        </a:xfrm>
        <a:prstGeom prst="rect">
          <a:avLst/>
        </a:prstGeom>
      </xdr:spPr>
    </xdr:pic>
    <xdr:clientData/>
  </xdr:twoCellAnchor>
  <xdr:twoCellAnchor>
    <xdr:from>
      <xdr:col>1</xdr:col>
      <xdr:colOff>7431158</xdr:colOff>
      <xdr:row>16</xdr:row>
      <xdr:rowOff>271668</xdr:rowOff>
    </xdr:from>
    <xdr:to>
      <xdr:col>2</xdr:col>
      <xdr:colOff>311427</xdr:colOff>
      <xdr:row>16</xdr:row>
      <xdr:rowOff>543338</xdr:rowOff>
    </xdr:to>
    <xdr:sp macro="" textlink="">
      <xdr:nvSpPr>
        <xdr:cNvPr id="3" name="Arrow: Right 2">
          <a:extLst>
            <a:ext uri="{FF2B5EF4-FFF2-40B4-BE49-F238E27FC236}">
              <a16:creationId xmlns:a16="http://schemas.microsoft.com/office/drawing/2014/main" id="{4DC80B5F-D4E2-2325-9431-2D914024FC63}"/>
            </a:ext>
          </a:extLst>
        </xdr:cNvPr>
        <xdr:cNvSpPr/>
      </xdr:nvSpPr>
      <xdr:spPr>
        <a:xfrm>
          <a:off x="9064488" y="8017564"/>
          <a:ext cx="708991" cy="27167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436562</xdr:colOff>
      <xdr:row>3</xdr:row>
      <xdr:rowOff>19051</xdr:rowOff>
    </xdr:from>
    <xdr:to>
      <xdr:col>25</xdr:col>
      <xdr:colOff>76200</xdr:colOff>
      <xdr:row>26</xdr:row>
      <xdr:rowOff>85726</xdr:rowOff>
    </xdr:to>
    <xdr:graphicFrame macro="">
      <xdr:nvGraphicFramePr>
        <xdr:cNvPr id="17" name="Chart 7">
          <a:extLst>
            <a:ext uri="{FF2B5EF4-FFF2-40B4-BE49-F238E27FC236}">
              <a16:creationId xmlns:a16="http://schemas.microsoft.com/office/drawing/2014/main" i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495300</xdr:colOff>
      <xdr:row>2</xdr:row>
      <xdr:rowOff>280985</xdr:rowOff>
    </xdr:from>
    <xdr:to>
      <xdr:col>40</xdr:col>
      <xdr:colOff>76200</xdr:colOff>
      <xdr:row>26</xdr:row>
      <xdr:rowOff>85724</xdr:rowOff>
    </xdr:to>
    <xdr:graphicFrame macro="">
      <xdr:nvGraphicFramePr>
        <xdr:cNvPr id="2" name="Chart 1">
          <a:extLst>
            <a:ext uri="{FF2B5EF4-FFF2-40B4-BE49-F238E27FC236}">
              <a16:creationId xmlns:a16="http://schemas.microsoft.com/office/drawing/2014/main" id="{1E061ACB-6B44-AF8A-704E-BE6D337B88FE}"/>
            </a:ext>
            <a:ext uri="{147F2762-F138-4A5C-976F-8EAC2B608ADB}">
              <a16:predDERef xmlns:a16="http://schemas.microsoft.com/office/drawing/2014/main" pre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34925</xdr:rowOff>
    </xdr:from>
    <xdr:to>
      <xdr:col>17</xdr:col>
      <xdr:colOff>571500</xdr:colOff>
      <xdr:row>18</xdr:row>
      <xdr:rowOff>133350</xdr:rowOff>
    </xdr:to>
    <xdr:graphicFrame macro="">
      <xdr:nvGraphicFramePr>
        <xdr:cNvPr id="26" name="Chart 5">
          <a:extLst>
            <a:ext uri="{FF2B5EF4-FFF2-40B4-BE49-F238E27FC236}">
              <a16:creationId xmlns:a16="http://schemas.microsoft.com/office/drawing/2014/main" i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596899</xdr:colOff>
      <xdr:row>0</xdr:row>
      <xdr:rowOff>47625</xdr:rowOff>
    </xdr:from>
    <xdr:to>
      <xdr:col>36</xdr:col>
      <xdr:colOff>428624</xdr:colOff>
      <xdr:row>18</xdr:row>
      <xdr:rowOff>142875</xdr:rowOff>
    </xdr:to>
    <xdr:graphicFrame macro="">
      <xdr:nvGraphicFramePr>
        <xdr:cNvPr id="78" name="Chart 1">
          <a:extLst>
            <a:ext uri="{FF2B5EF4-FFF2-40B4-BE49-F238E27FC236}">
              <a16:creationId xmlns:a16="http://schemas.microsoft.com/office/drawing/2014/main" id="{433B0AA5-E000-C738-5866-D00020D385BF}"/>
            </a:ext>
            <a:ext uri="{147F2762-F138-4A5C-976F-8EAC2B608ADB}">
              <a16:predDERef xmlns:a16="http://schemas.microsoft.com/office/drawing/2014/main" pre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18</xdr:row>
      <xdr:rowOff>157162</xdr:rowOff>
    </xdr:from>
    <xdr:to>
      <xdr:col>17</xdr:col>
      <xdr:colOff>561975</xdr:colOff>
      <xdr:row>35</xdr:row>
      <xdr:rowOff>57150</xdr:rowOff>
    </xdr:to>
    <xdr:graphicFrame macro="">
      <xdr:nvGraphicFramePr>
        <xdr:cNvPr id="4" name="Chart 3">
          <a:extLst>
            <a:ext uri="{FF2B5EF4-FFF2-40B4-BE49-F238E27FC236}">
              <a16:creationId xmlns:a16="http://schemas.microsoft.com/office/drawing/2014/main" id="{FA557E21-025F-6321-980B-59FC0549699B}"/>
            </a:ext>
            <a:ext uri="{147F2762-F138-4A5C-976F-8EAC2B608ADB}">
              <a16:predDERef xmlns:a16="http://schemas.microsoft.com/office/drawing/2014/main" pred="{433B0AA5-E000-C738-5866-D00020D38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576261</xdr:colOff>
      <xdr:row>18</xdr:row>
      <xdr:rowOff>176211</xdr:rowOff>
    </xdr:from>
    <xdr:to>
      <xdr:col>36</xdr:col>
      <xdr:colOff>390524</xdr:colOff>
      <xdr:row>35</xdr:row>
      <xdr:rowOff>47624</xdr:rowOff>
    </xdr:to>
    <xdr:graphicFrame macro="">
      <xdr:nvGraphicFramePr>
        <xdr:cNvPr id="72" name="Chart 4">
          <a:extLst>
            <a:ext uri="{FF2B5EF4-FFF2-40B4-BE49-F238E27FC236}">
              <a16:creationId xmlns:a16="http://schemas.microsoft.com/office/drawing/2014/main" id="{C52AC021-AB76-5490-8FAD-151F828F56C9}"/>
            </a:ext>
            <a:ext uri="{147F2762-F138-4A5C-976F-8EAC2B608ADB}">
              <a16:predDERef xmlns:a16="http://schemas.microsoft.com/office/drawing/2014/main" pred="{FA557E21-025F-6321-980B-59FC05496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itednations.sharepoint.com/sites/OCHASouthSudan/CIMU/04Information_Management/HPC_Process/HNRP-2026/2026_JIAF%20PIN_Severity_Target%20calculation/JIAF%20PINSeverity%20calculation%20tool/InterClusters_Worksheet_3A_3B_PiN&amp;Sev_Template_4NOVEMBER2025.xlsx" TargetMode="External"/><Relationship Id="rId2" Type="http://schemas.microsoft.com/office/2019/04/relationships/externalLinkLongPath" Target="InterClusters_Worksheet_3A_3B_PiN&amp;Sev_Template_4NOVEMBER2025.xlsx?15E9DB78" TargetMode="External"/><Relationship Id="rId1" Type="http://schemas.openxmlformats.org/officeDocument/2006/relationships/externalLinkPath" Target="file:///\\15E9DB78\InterClusters_Worksheet_3A_3B_PiN&amp;Sev_Template_4NOVEMBER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LOGOYE\AppData\Local\Microsoft\Windows\INetCache\Content.Outlook\DSIJOP3I\Worksheet_3A_3B_PiNSev_Template.xlsx" TargetMode="External"/><Relationship Id="rId1" Type="http://schemas.openxmlformats.org/officeDocument/2006/relationships/externalLinkPath" Target="file:///C:\Users\SLOGOYE\AppData\Local\Microsoft\Windows\INetCache\Content.Outlook\DSIJOP3I\Worksheet_3A_3B_PiNSev_Template.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unitednations.sharepoint.com/sites/OCHASouthSudan/CIMU/04Information_Management/HPC_Process/HNRP-2026/2026_JIAF%20PIN_Severity_Target%20calculation/JIAF%20PINSeverity%20calculation%20tool/InterClusters_Worksheet_3A_3B_PiN&amp;Sev_Template_4NOVEMBER2025_Not%20touched.xlsx" TargetMode="External"/><Relationship Id="rId2" Type="http://schemas.microsoft.com/office/2019/04/relationships/externalLinkLongPath" Target="InterClusters_Worksheet_3A_3B_PiN&amp;Sev_Template_4NOVEMBER2025_Not%20touched.xlsx?15E9DB78" TargetMode="External"/><Relationship Id="rId1" Type="http://schemas.openxmlformats.org/officeDocument/2006/relationships/externalLinkPath" Target="file:///\\15E9DB78\InterClusters_Worksheet_3A_3B_PiN&amp;Sev_Template_4NOVEMBER2025_Not%20touched.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unitednations.sharepoint.com/sites/OCHASouthSudan/CIMU/04Information_Management/HPC_Process/HNRP-2025/Sectoral_PiN_Target_%20Severity_2025/PiN_Target_Severity/Target%20and%20Requirement_2025/Intersectoral_HPC%20Target%20and%20Requirements%20template%202025.xlsx" TargetMode="External"/><Relationship Id="rId2" Type="http://schemas.microsoft.com/office/2019/04/relationships/externalLinkLongPath" Target="/sites/OCHASouthSudan/CIMU/04Information_Management/HPC_Process/HNRP-2025/Sectoral_PiN_Target_%20Severity_2025/PiN_Target_Severity/Target%20and%20Requirement_2025/Intersectoral_HPC%20Target%20and%20Requirements%20template%202025.xlsx?0CD415D4" TargetMode="External"/><Relationship Id="rId1" Type="http://schemas.openxmlformats.org/officeDocument/2006/relationships/externalLinkPath" Target="file:///\\0CD415D4\Intersectoral_HPC%20Target%20and%20Requirements%20templat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 Me"/>
      <sheetName val="Thresholds"/>
      <sheetName val="COD"/>
      <sheetName val="Pivots"/>
      <sheetName val="Summary 2026"/>
      <sheetName val="Sectoral Target out of severity"/>
      <sheetName val="Sectoral Target out of priorit"/>
      <sheetName val="Target out of PiN"/>
      <sheetName val="WS - 3.1 Overall PiN"/>
      <sheetName val="Overall Target (1&amp;2) (3)50%"/>
      <sheetName val="Overa Target 1&amp;2"/>
      <sheetName val="PiN Historical Trend"/>
      <sheetName val="PiN Visuals"/>
      <sheetName val="WS - 3.2 Intersectoral Severity"/>
      <sheetName val="Reference Table Indicators"/>
      <sheetName val="Requirements  (1&amp;2)50% (3)"/>
      <sheetName val="Requirement 1&amp;2"/>
      <sheetName val="Preliminary results graph"/>
      <sheetName val="PiN &amp; Sev - Corr Coeff"/>
      <sheetName val="PiN &amp; Sev - value overlapping"/>
      <sheetName val="PiN &amp; Sev - 1st &amp; 2nd highest"/>
    </sheetNames>
    <sheetDataSet>
      <sheetData sheetId="0" refreshError="1"/>
      <sheetData sheetId="1" refreshError="1"/>
      <sheetData sheetId="2" refreshError="1"/>
      <sheetData sheetId="3" refreshError="1">
        <row r="127">
          <cell r="A127" t="str">
            <v>Abyei Administrative Area</v>
          </cell>
          <cell r="B127">
            <v>76370.452555428245</v>
          </cell>
        </row>
        <row r="128">
          <cell r="A128" t="str">
            <v>Central Equatoria</v>
          </cell>
          <cell r="B128">
            <v>0</v>
          </cell>
        </row>
        <row r="129">
          <cell r="A129" t="str">
            <v>Eastern Equatoria</v>
          </cell>
          <cell r="B129">
            <v>79362.006757069437</v>
          </cell>
        </row>
        <row r="130">
          <cell r="A130" t="str">
            <v>Jonglei</v>
          </cell>
          <cell r="B130">
            <v>944348.72683398926</v>
          </cell>
        </row>
        <row r="131">
          <cell r="A131" t="str">
            <v>Lakes</v>
          </cell>
          <cell r="B131">
            <v>0</v>
          </cell>
        </row>
        <row r="132">
          <cell r="A132" t="str">
            <v>Northern Bahr el Ghazal</v>
          </cell>
          <cell r="B132">
            <v>324782.11426546064</v>
          </cell>
        </row>
        <row r="133">
          <cell r="A133" t="str">
            <v>Unity</v>
          </cell>
          <cell r="B133">
            <v>518443.44031779608</v>
          </cell>
        </row>
        <row r="134">
          <cell r="A134" t="str">
            <v>Upper Nile</v>
          </cell>
          <cell r="B134">
            <v>938925.87179055158</v>
          </cell>
        </row>
        <row r="135">
          <cell r="A135" t="str">
            <v>Warrap</v>
          </cell>
          <cell r="B135">
            <v>229881.49297520221</v>
          </cell>
        </row>
        <row r="136">
          <cell r="A136" t="str">
            <v>Western Bahr el Ghazal</v>
          </cell>
          <cell r="B136">
            <v>0</v>
          </cell>
        </row>
        <row r="137">
          <cell r="A137" t="str">
            <v>Western Equatoria</v>
          </cell>
          <cell r="B137">
            <v>87094.56798424109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Thresholds"/>
      <sheetName val="WS - 3.1 Overall PiN"/>
      <sheetName val="PiN Historical Trend"/>
      <sheetName val="PiN Visuals"/>
      <sheetName val="WS - 3.2 Intersectoral Severity"/>
      <sheetName val="Reference Table Indicators"/>
      <sheetName val="Preliminary results graph"/>
      <sheetName val="PiN &amp; Sev - Corr Coeff"/>
      <sheetName val="PiN &amp; Sev - value overlapping"/>
      <sheetName val="PiN &amp; Sev - 1st &amp; 2nd highest"/>
      <sheetName val="Worksheet_3A_3B_PiNSev_Template"/>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Read Me"/>
      <sheetName val="Thresholds"/>
      <sheetName val="COD"/>
      <sheetName val="Pivots-graphs"/>
      <sheetName val="Summary 2026"/>
      <sheetName val="Sectoral Target out of severity"/>
      <sheetName val="Sectoral Target out of priorit"/>
      <sheetName val="Target out of PiN"/>
      <sheetName val="WS - 3.1 Overall PiN"/>
      <sheetName val="Overall Target (1&amp;2) (3)50%"/>
      <sheetName val="Overa Target 1&amp;2"/>
      <sheetName val="PiN Historical Trend"/>
      <sheetName val="PiN Visuals"/>
      <sheetName val="WS - 3.2 Intersectoral Severity"/>
      <sheetName val="Reference Table Indicators"/>
      <sheetName val="Requirements  (1&amp;2)50% (3)"/>
      <sheetName val="Requirement 1&amp;2"/>
      <sheetName val="Preliminary results graph"/>
      <sheetName val="PiN &amp; Sev - Corr Coeff"/>
      <sheetName val="PiN &amp; Sev - value overlapping"/>
      <sheetName val="PiN &amp; Sev - 1st &amp; 2nd highest"/>
      <sheetName val="InterClusters_Worksheet_3A_3B_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FwS9fYRCUUyXWFD45M2bpPWV0zsdS6JMvh8UpxYs-_5RrEAYs3GnTLKaUeCU_L1Q" itemId="01I46ZM226RALKTO2J25AYDZYEYRBVJGXC">
      <xxl21:absoluteUrl r:id="rId3"/>
    </xxl21:alternateUrls>
    <sheetNames>
      <sheetName val="Compiled target_requirement"/>
      <sheetName val="Sheet3"/>
      <sheetName val="Target by county"/>
      <sheetName val="Target by P1+2+3"/>
      <sheetName val="Requirement All counties"/>
      <sheetName val="Requirement priority 3 counties"/>
      <sheetName val="Priority 1+2 andPr"/>
      <sheetName val="Analysis"/>
      <sheetName val="Summary"/>
      <sheetName val="Summary 2024-2025"/>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Logoye" refreshedDate="45965.610676851851" createdVersion="8" refreshedVersion="8" minRefreshableVersion="3" recordCount="237" xr:uid="{F33C562E-0972-4494-8334-C9090FFB47AA}">
  <cacheSource type="worksheet">
    <worksheetSource name="tblPiNAnalysis512"/>
  </cacheSource>
  <cacheFields count="64">
    <cacheField name="ID" numFmtId="168">
      <sharedItems/>
    </cacheField>
    <cacheField name="Admin 1" numFmtId="0">
      <sharedItems count="11">
        <s v="Abyei Administrative Area"/>
        <s v="Central Equatoria"/>
        <s v="Eastern Equatoria"/>
        <s v="Jonglei"/>
        <s v="Lakes"/>
        <s v="Northern Bahr el Ghazal"/>
        <s v="Unity"/>
        <s v="Upper Nile"/>
        <s v="Warrap"/>
        <s v="Western Bahr el Ghazal"/>
        <s v="Western Equatoria"/>
      </sharedItems>
    </cacheField>
    <cacheField name="Admin 1 P-Code" numFmtId="0">
      <sharedItems/>
    </cacheField>
    <cacheField name="Admin 2" numFmtId="0">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NonDate="0" containsString="0" containsBlank="1"/>
    </cacheField>
    <cacheField name="Affected population projection 2026" numFmtId="168">
      <sharedItems containsSemiMixedTypes="0" containsString="0" containsNumber="1" minValue="0" maxValue="310546.09109739598"/>
    </cacheField>
    <cacheField name="Population Group" numFmtId="168">
      <sharedItems/>
    </cacheField>
    <cacheField name="CCCM" numFmtId="168">
      <sharedItems containsString="0" containsBlank="1" containsNumber="1" containsInteger="1" minValue="0" maxValue="204648"/>
    </cacheField>
    <cacheField name="Education" numFmtId="168">
      <sharedItems containsString="0" containsBlank="1" containsNumber="1" minValue="0" maxValue="64255.662244645791"/>
    </cacheField>
    <cacheField name="Nutrition" numFmtId="168">
      <sharedItems containsString="0" containsBlank="1" containsNumber="1" minValue="0" maxValue="60683.262481643316"/>
    </cacheField>
    <cacheField name="Food Security" numFmtId="168">
      <sharedItems containsString="0" containsBlank="1" containsNumber="1" minValue="0" maxValue="108356.63210257863"/>
    </cacheField>
    <cacheField name="Health" numFmtId="168">
      <sharedItems containsString="0" containsBlank="1" containsNumber="1" minValue="0" maxValue="132804.97200403735"/>
    </cacheField>
    <cacheField name="Overarching Protection" numFmtId="168">
      <sharedItems containsString="0" containsBlank="1" containsNumber="1" minValue="0" maxValue="94167.77191791551"/>
    </cacheField>
    <cacheField name="Shelter" numFmtId="168">
      <sharedItems containsString="0" containsBlank="1" containsNumber="1" minValue="0" maxValue="100235.13833898622"/>
    </cacheField>
    <cacheField name="WASH" numFmtId="168">
      <sharedItems containsString="0" containsBlank="1" containsNumber="1" minValue="0" maxValue="118537.50646803142"/>
    </cacheField>
    <cacheField name="CP" numFmtId="168">
      <sharedItems containsNonDate="0" containsString="0" containsBlank="1"/>
    </cacheField>
    <cacheField name="GBV" numFmtId="168">
      <sharedItems containsNonDate="0" containsString="0" containsBlank="1"/>
    </cacheField>
    <cacheField name="Mine Action" numFmtId="168">
      <sharedItems containsNonDate="0" containsString="0" containsBlank="1"/>
    </cacheField>
    <cacheField name="HLP" numFmtId="168">
      <sharedItems containsNonDate="0" containsString="0" containsBlank="1"/>
    </cacheField>
    <cacheField name="CCCM%" numFmtId="9">
      <sharedItems containsMixedTypes="1" containsNumber="1" minValue="0" maxValue="2.4000000000000004"/>
    </cacheField>
    <cacheField name="Education%" numFmtId="9">
      <sharedItems containsMixedTypes="1" containsNumber="1" minValue="0" maxValue="0.35000000000000003"/>
    </cacheField>
    <cacheField name="Nutrition%" numFmtId="9">
      <sharedItems containsMixedTypes="1" containsNumber="1" minValue="0" maxValue="0.45"/>
    </cacheField>
    <cacheField name="Food Security%" numFmtId="9">
      <sharedItems containsMixedTypes="1" containsNumber="1" minValue="0" maxValue="0.55000000000000004"/>
    </cacheField>
    <cacheField name="Health%" numFmtId="9">
      <sharedItems containsMixedTypes="1" containsNumber="1" minValue="0" maxValue="0.65"/>
    </cacheField>
    <cacheField name="Overarching Protection%" numFmtId="9">
      <sharedItems containsMixedTypes="1" containsNumber="1" minValue="0" maxValue="0.60000000000000009"/>
    </cacheField>
    <cacheField name="Shelter%" numFmtId="9">
      <sharedItems containsMixedTypes="1" containsNumber="1" minValue="0" maxValue="0.70000000000000007"/>
    </cacheField>
    <cacheField name="WASH%" numFmtId="9">
      <sharedItems containsMixedTypes="1" containsNumber="1" minValue="0" maxValue="0.9"/>
    </cacheField>
    <cacheField name="Child Protection (CP)%" numFmtId="9">
      <sharedItems containsMixedTypes="1" containsNumber="1" containsInteger="1" minValue="0" maxValue="0"/>
    </cacheField>
    <cacheField name="Gender-based Violence (GBV)%" numFmtId="9">
      <sharedItems containsMixedTypes="1" containsNumber="1" containsInteger="1" minValue="0" maxValue="0"/>
    </cacheField>
    <cacheField name="Mine Action%" numFmtId="9">
      <sharedItems containsMixedTypes="1" containsNumber="1" containsInteger="1" minValue="0" maxValue="0"/>
    </cacheField>
    <cacheField name="HLP%" numFmtId="9">
      <sharedItems containsMixedTypes="1" containsNumber="1" containsInteger="1" minValue="0" maxValue="0"/>
    </cacheField>
    <cacheField name="Highest Target" numFmtId="167">
      <sharedItems containsMixedTypes="1" containsNumber="1" minValue="0" maxValue="204648"/>
    </cacheField>
    <cacheField name="Highest sector(s)" numFmtId="167">
      <sharedItems/>
    </cacheField>
    <cacheField name="Highest sector(s') Target %" numFmtId="9">
      <sharedItems containsMixedTypes="1" containsNumber="1" minValue="0" maxValue="2.4125684234588083"/>
    </cacheField>
    <cacheField name="Number of missing / zero PiNs greater than threshold - Data quality" numFmtId="10">
      <sharedItems/>
    </cacheField>
    <cacheField name="Highest Target greater than 90% of total affected population" numFmtId="9">
      <sharedItems/>
    </cacheField>
    <cacheField name="Highest sector targets sub-population group(s)" numFmtId="9">
      <sharedItems/>
    </cacheField>
    <cacheField name="2nd Highest Target" numFmtId="168">
      <sharedItems containsMixedTypes="1" containsNumber="1" minValue="0" maxValue="132804.97200403735"/>
    </cacheField>
    <cacheField name="2nd Highest sector(s)" numFmtId="167">
      <sharedItems/>
    </cacheField>
    <cacheField name="2nd Highest sector Target %" numFmtId="9">
      <sharedItems containsMixedTypes="1" containsNumber="1" minValue="0" maxValue="0.75000000000000011"/>
    </cacheField>
    <cacheField name="Difference of Target between Highest and 2nd Highest" numFmtId="168">
      <sharedItems containsMixedTypes="1" containsNumber="1" minValue="0" maxValue="71843.02799596265"/>
    </cacheField>
    <cacheField name="% Difference between Highest and 2nd Highest" numFmtId="9">
      <sharedItems containsMixedTypes="1" containsNumber="1" minValue="8.8887856011840329E-3" maxValue="2.4465263192268694"/>
    </cacheField>
    <cacheField name="% difference is over a specified threshold between Highest and 2nd Highest" numFmtId="9">
      <sharedItems/>
    </cacheField>
    <cacheField name="3rd Highest Target" numFmtId="168">
      <sharedItems containsMixedTypes="1" containsNumber="1" minValue="0" maxValue="108356.63210257863"/>
    </cacheField>
    <cacheField name="3rd Highest sector(s)" numFmtId="9">
      <sharedItems/>
    </cacheField>
    <cacheField name="3rd Highest sector Target %" numFmtId="9">
      <sharedItems containsMixedTypes="1" containsNumber="1" minValue="0" maxValue="0.66299563846075282"/>
    </cacheField>
    <cacheField name="Difference of Target between Highest and 3rd Highest" numFmtId="168">
      <sharedItems containsMixedTypes="1" containsNumber="1" minValue="0" maxValue="96291.367897421369"/>
    </cacheField>
    <cacheField name="% Difference between Highest and 3rd Highest" numFmtId="9">
      <sharedItems containsMixedTypes="1" containsNumber="1" minValue="9.8658141436880328E-2" maxValue="3.9556349267883308"/>
    </cacheField>
    <cacheField name="% difference is over a specified threshold between Highest and 3rd Highest" numFmtId="9">
      <sharedItems/>
    </cacheField>
    <cacheField name="Change from last year for the highest sector(s)" numFmtId="9">
      <sharedItems/>
    </cacheField>
    <cacheField name="Change from last year for the highest sector(s) has significantly increased or decreased" numFmtId="168">
      <sharedItems/>
    </cacheField>
    <cacheField name="Change from last year for the 2nd highest sector(s)" numFmtId="168">
      <sharedItems/>
    </cacheField>
    <cacheField name="Change from last year for the 2nd highest sector(s) has significantly increased or decreased" numFmtId="9">
      <sharedItems/>
    </cacheField>
    <cacheField name="Severity" numFmtId="9">
      <sharedItems containsSemiMixedTypes="0" containsString="0" containsNumber="1" containsInteger="1" minValue="4" maxValue="4"/>
    </cacheField>
    <cacheField name="Preliminary Target" numFmtId="168">
      <sharedItems containsMixedTypes="1" containsNumber="1" minValue="0" maxValue="204648"/>
    </cacheField>
    <cacheField name="Manual Flag" numFmtId="9">
      <sharedItems containsNonDate="0" containsString="0" containsBlank="1"/>
    </cacheField>
    <cacheField name="Explanation for Manual Flag" numFmtId="9">
      <sharedItems containsNonDate="0" containsString="0" containsBlank="1"/>
    </cacheField>
    <cacheField name="# Flags" numFmtId="168">
      <sharedItems containsSemiMixedTypes="0" containsString="0" containsNumber="1" containsInteger="1" minValue="0" maxValue="5"/>
    </cacheField>
    <cacheField name="Flagged" numFmtId="167">
      <sharedItems/>
    </cacheField>
    <cacheField name="Final Target" numFmtId="167">
      <sharedItems containsMixedTypes="1" containsNumber="1" minValue="0" maxValue="204648"/>
    </cacheField>
    <cacheField name="Final Intersectoral  Priority ranking" numFmtId="167">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Logoye" refreshedDate="45975.39378726852" createdVersion="8" refreshedVersion="8" minRefreshableVersion="3" recordCount="237" xr:uid="{8B2EDF25-CA83-4AAE-9149-4C46CB46870F}">
  <cacheSource type="worksheet">
    <worksheetSource name="tblPiNAnalysis"/>
  </cacheSource>
  <cacheFields count="64">
    <cacheField name="ID" numFmtId="168">
      <sharedItems/>
    </cacheField>
    <cacheField name="Admin 1" numFmtId="0">
      <sharedItems count="11">
        <s v="Abyei Administrative Area"/>
        <s v="Central Equatoria"/>
        <s v="Eastern Equatoria"/>
        <s v="Jonglei"/>
        <s v="Lakes"/>
        <s v="Northern Bahr el Ghazal"/>
        <s v="Unity"/>
        <s v="Upper Nile"/>
        <s v="Warrap"/>
        <s v="Western Bahr el Ghazal"/>
        <s v="Western Equatoria"/>
      </sharedItems>
    </cacheField>
    <cacheField name="Admin 1 P-Code" numFmtId="0">
      <sharedItems/>
    </cacheField>
    <cacheField name="Admin 2" numFmtId="0">
      <sharedItems count="79">
        <s v="Abyei Administrative Area"/>
        <s v="Juba"/>
        <s v="Kajo-Keji"/>
        <s v="Lainya"/>
        <s v="Morobo"/>
        <s v="Terekeka"/>
        <s v="Yei"/>
        <s v="Budi"/>
        <s v="Ikotos"/>
        <s v="Kapoeta East"/>
        <s v="Kapoeta North"/>
        <s v="Kapoeta South"/>
        <s v="Lafon"/>
        <s v="Magwi"/>
        <s v="Torit"/>
        <s v="Akobo"/>
        <s v="Ayod"/>
        <s v="Bor South"/>
        <s v="Canal/Pigi"/>
        <s v="Duk"/>
        <s v="Fangak"/>
        <s v="Nyirol"/>
        <s v="Pibor"/>
        <s v="Pochalla"/>
        <s v="Twic East"/>
        <s v="Uror"/>
        <s v="Awerial"/>
        <s v="Cueibet"/>
        <s v="Rumbek Centre"/>
        <s v="Rumbek East"/>
        <s v="Rumbek North"/>
        <s v="Wulu"/>
        <s v="Yirol East"/>
        <s v="Yirol West"/>
        <s v="Aweil Centre"/>
        <s v="Aweil East"/>
        <s v="Aweil North"/>
        <s v="Aweil South"/>
        <s v="Aweil West"/>
        <s v="Abiemnhom"/>
        <s v="Guit"/>
        <s v="Koch"/>
        <s v="Leer"/>
        <s v="Mayendit"/>
        <s v="Mayom"/>
        <s v="Panyijiar"/>
        <s v="Pariang"/>
        <s v="Rubkona"/>
        <s v="Baliet"/>
        <s v="Fashoda"/>
        <s v="Longochuk"/>
        <s v="Luakpiny/Nasir"/>
        <s v="Maban"/>
        <s v="Maiwut"/>
        <s v="Malakal"/>
        <s v="Manyo"/>
        <s v="Melut"/>
        <s v="Panyikang"/>
        <s v="Renk"/>
        <s v="Ulang"/>
        <s v="Gogrial East"/>
        <s v="Gogrial West"/>
        <s v="Tonj East"/>
        <s v="Tonj North"/>
        <s v="Tonj South"/>
        <s v="Twic"/>
        <s v="Jur River"/>
        <s v="Raja"/>
        <s v="Wau"/>
        <s v="Ezo"/>
        <s v="Ibba"/>
        <s v="Maridi"/>
        <s v="Mundri East"/>
        <s v="Mundri West"/>
        <s v="Mvolo"/>
        <s v="Nagero"/>
        <s v="Nzara"/>
        <s v="Tambura"/>
        <s v="Yambio"/>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NonDate="0" containsString="0" containsBlank="1"/>
    </cacheField>
    <cacheField name="Affected population projection 2026" numFmtId="168">
      <sharedItems containsSemiMixedTypes="0" containsString="0" containsNumber="1" minValue="0" maxValue="310546.09109739598"/>
    </cacheField>
    <cacheField name="Population Group" numFmtId="168">
      <sharedItems count="3">
        <s v="IDPs"/>
        <s v="Residents"/>
        <s v="Returnees"/>
      </sharedItems>
    </cacheField>
    <cacheField name="CCCM" numFmtId="168">
      <sharedItems containsString="0" containsBlank="1" containsNumber="1" minValue="0" maxValue="233351.6448103383"/>
    </cacheField>
    <cacheField name="Education" numFmtId="168">
      <sharedItems containsSemiMixedTypes="0" containsString="0" containsNumber="1" minValue="0" maxValue="77711.137567749509"/>
    </cacheField>
    <cacheField name="Nutrition" numFmtId="168">
      <sharedItems containsSemiMixedTypes="0" containsString="0" containsNumber="1" minValue="0" maxValue="121870.66637679518"/>
    </cacheField>
    <cacheField name="Food Security" numFmtId="168">
      <sharedItems containsSemiMixedTypes="0" containsString="0" containsNumber="1" minValue="0" maxValue="218524.29063527889"/>
    </cacheField>
    <cacheField name="Health" numFmtId="168">
      <sharedItems containsSemiMixedTypes="0" containsString="0" containsNumber="1" minValue="0" maxValue="172216.93776355864"/>
    </cacheField>
    <cacheField name="Overarching Protection" numFmtId="168">
      <sharedItems containsSemiMixedTypes="0" containsString="0" containsNumber="1" containsInteger="1" minValue="0" maxValue="162104"/>
    </cacheField>
    <cacheField name="Shelter" numFmtId="168">
      <sharedItems containsSemiMixedTypes="0" containsString="0" containsNumber="1" minValue="0" maxValue="175141.5300617652"/>
    </cacheField>
    <cacheField name="WASH" numFmtId="168">
      <sharedItems containsSemiMixedTypes="0" containsString="0" containsNumber="1" minValue="0" maxValue="158241.33014394506"/>
    </cacheField>
    <cacheField name="CP" numFmtId="168">
      <sharedItems containsSemiMixedTypes="0" containsString="0" containsNumber="1" containsInteger="1" minValue="0" maxValue="98262"/>
    </cacheField>
    <cacheField name="GBV" numFmtId="168">
      <sharedItems containsSemiMixedTypes="0" containsString="0" containsNumber="1" containsInteger="1" minValue="0" maxValue="92999"/>
    </cacheField>
    <cacheField name="Mine Action" numFmtId="168">
      <sharedItems containsSemiMixedTypes="0" containsString="0" containsNumber="1" containsInteger="1" minValue="0" maxValue="102296"/>
    </cacheField>
    <cacheField name="HLP" numFmtId="168">
      <sharedItems containsSemiMixedTypes="0" containsString="0" containsNumber="1" containsInteger="1" minValue="0" maxValue="62408"/>
    </cacheField>
    <cacheField name="CCCM%" numFmtId="9">
      <sharedItems containsMixedTypes="1" containsNumber="1" minValue="0" maxValue="1"/>
    </cacheField>
    <cacheField name="Education%" numFmtId="9">
      <sharedItems containsMixedTypes="1" containsNumber="1" minValue="0" maxValue="0.4"/>
    </cacheField>
    <cacheField name="Nutrition%" numFmtId="9">
      <sharedItems containsMixedTypes="1" containsNumber="1" minValue="0.30000000000000004" maxValue="0.9"/>
    </cacheField>
    <cacheField name="Food Security%" numFmtId="9">
      <sharedItems containsMixedTypes="1" containsNumber="1" minValue="0.2" maxValue="0.9"/>
    </cacheField>
    <cacheField name="Health%" numFmtId="9">
      <sharedItems containsMixedTypes="1" containsNumber="1" minValue="0.35000000000000003" maxValue="0.9"/>
    </cacheField>
    <cacheField name="Overarching Protection%" numFmtId="9">
      <sharedItems containsMixedTypes="1" containsNumber="1" minValue="0.15000000000000002" maxValue="0.8"/>
    </cacheField>
    <cacheField name="Shelter%" numFmtId="9">
      <sharedItems containsMixedTypes="1" containsNumber="1" minValue="0" maxValue="1"/>
    </cacheField>
    <cacheField name="WASH%" numFmtId="9">
      <sharedItems containsMixedTypes="1" containsNumber="1" minValue="0.05" maxValue="1"/>
    </cacheField>
    <cacheField name="Child Protection (CP)%" numFmtId="9">
      <sharedItems containsMixedTypes="1" containsNumber="1" minValue="0.05" maxValue="0.45"/>
    </cacheField>
    <cacheField name="Gender-based Violence (GBV)%" numFmtId="9">
      <sharedItems containsMixedTypes="1" containsNumber="1" minValue="0.05" maxValue="0.55000000000000004"/>
    </cacheField>
    <cacheField name="Mine Action%" numFmtId="9">
      <sharedItems containsMixedTypes="1" containsNumber="1" minValue="0" maxValue="0.65"/>
    </cacheField>
    <cacheField name="HLP%" numFmtId="9">
      <sharedItems containsMixedTypes="1" containsNumber="1" minValue="0" maxValue="0.4"/>
    </cacheField>
    <cacheField name="Highest PiN" numFmtId="167">
      <sharedItems containsSemiMixedTypes="0" containsString="0" containsNumber="1" minValue="0" maxValue="233351.6448103383"/>
    </cacheField>
    <cacheField name="Highest sector(s)" numFmtId="167">
      <sharedItems/>
    </cacheField>
    <cacheField name="Highest sector(s') PiN %" numFmtId="9">
      <sharedItems containsMixedTypes="1" containsNumber="1" minValue="0.49571314541809142" maxValue="1.0000000000000002"/>
    </cacheField>
    <cacheField name="Number of missing / zero PiNs greater than threshold - Data quality" numFmtId="10">
      <sharedItems/>
    </cacheField>
    <cacheField name="Highest PiN greater than 90% of total affected population" numFmtId="9">
      <sharedItems/>
    </cacheField>
    <cacheField name="Highest sector targets sub-population group(s)" numFmtId="9">
      <sharedItems/>
    </cacheField>
    <cacheField name="2nd Highest PiN" numFmtId="168">
      <sharedItems containsSemiMixedTypes="0" containsString="0" containsNumber="1" minValue="0" maxValue="193493.98589746177"/>
    </cacheField>
    <cacheField name="2nd Highest sector(s)" numFmtId="167">
      <sharedItems/>
    </cacheField>
    <cacheField name="2nd Highest sector PiN %" numFmtId="9">
      <sharedItems containsMixedTypes="1" containsNumber="1" minValue="0.42600968045946108" maxValue="0.97058823529411753"/>
    </cacheField>
    <cacheField name="Difference of PiN between Highest and 2nd Highest" numFmtId="168">
      <sharedItems containsSemiMixedTypes="0" containsString="0" containsNumber="1" minValue="0" maxValue="62805.224117041711"/>
    </cacheField>
    <cacheField name="% Difference between Highest and 2nd Highest" numFmtId="9">
      <sharedItems containsMixedTypes="1" containsNumber="1" minValue="4.3414796706711034E-6" maxValue="0.92811937177240611"/>
    </cacheField>
    <cacheField name="% difference is over a specified threshold between Highest and 2nd Highest" numFmtId="9">
      <sharedItems/>
    </cacheField>
    <cacheField name="3rd Highest PiN" numFmtId="168">
      <sharedItems containsSemiMixedTypes="0" containsString="0" containsNumber="1" minValue="0" maxValue="162104"/>
    </cacheField>
    <cacheField name="3rd Highest sector(s)" numFmtId="9">
      <sharedItems/>
    </cacheField>
    <cacheField name="3rd Highest sector PiN %" numFmtId="9">
      <sharedItems containsMixedTypes="1" containsNumber="1" minValue="0.34579439252336447" maxValue="0.87859878695105831"/>
    </cacheField>
    <cacheField name="Difference of PiN between Highest and 3rd Highest" numFmtId="168">
      <sharedItems containsSemiMixedTypes="0" containsString="0" containsNumber="1" minValue="0" maxValue="96653.624258483702"/>
    </cacheField>
    <cacheField name="% Difference between Highest and 3rd Highest" numFmtId="9">
      <sharedItems containsMixedTypes="1" containsNumber="1" minValue="2.0941667255970794E-2" maxValue="1.2073426634674276"/>
    </cacheField>
    <cacheField name="% difference is over a specified threshold between Highest and 3rd Highest" numFmtId="9">
      <sharedItems/>
    </cacheField>
    <cacheField name="Change from last year for the highest sector(s)" numFmtId="9">
      <sharedItems/>
    </cacheField>
    <cacheField name="Change from last year for the highest sector(s) has significantly increased or decreased" numFmtId="168">
      <sharedItems/>
    </cacheField>
    <cacheField name="Change from last year for the 2nd highest sector(s)" numFmtId="168">
      <sharedItems/>
    </cacheField>
    <cacheField name="Change from last year for the 2nd highest sector(s) has significantly increased or decreased" numFmtId="9">
      <sharedItems/>
    </cacheField>
    <cacheField name="Severity" numFmtId="9">
      <sharedItems containsSemiMixedTypes="0" containsString="0" containsNumber="1" containsInteger="1" minValue="4" maxValue="4"/>
    </cacheField>
    <cacheField name="Preliminary PiN" numFmtId="168">
      <sharedItems containsSemiMixedTypes="0" containsString="0" containsNumber="1" minValue="0" maxValue="233351.6448103383"/>
    </cacheField>
    <cacheField name="Manual Flag" numFmtId="9">
      <sharedItems containsNonDate="0" containsString="0" containsBlank="1"/>
    </cacheField>
    <cacheField name="Explanation for Manual Flag" numFmtId="9">
      <sharedItems containsNonDate="0" containsString="0" containsBlank="1"/>
    </cacheField>
    <cacheField name="# Flags" numFmtId="168">
      <sharedItems containsSemiMixedTypes="0" containsString="0" containsNumber="1" containsInteger="1" minValue="0" maxValue="4"/>
    </cacheField>
    <cacheField name="Flagged" numFmtId="167">
      <sharedItems/>
    </cacheField>
    <cacheField name="Final PiN" numFmtId="167">
      <sharedItems containsSemiMixedTypes="0" containsString="0" containsNumber="1" minValue="0" maxValue="233351.6448103383"/>
    </cacheField>
    <cacheField name="Evidence &amp; Comments" numFmtId="167">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Logoye" refreshedDate="45975.394214236112" createdVersion="8" refreshedVersion="8" minRefreshableVersion="3" recordCount="237" xr:uid="{F7ECC53A-7B2A-40DA-A70D-B0FFB1DD368E}">
  <cacheSource type="worksheet">
    <worksheetSource name="tblPiNAnalysis5"/>
  </cacheSource>
  <cacheFields count="64">
    <cacheField name="ID" numFmtId="168">
      <sharedItems/>
    </cacheField>
    <cacheField name="Admin 1" numFmtId="0">
      <sharedItems count="11">
        <s v="Abyei Administrative Area"/>
        <s v="Central Equatoria"/>
        <s v="Eastern Equatoria"/>
        <s v="Jonglei"/>
        <s v="Lakes"/>
        <s v="Northern Bahr el Ghazal"/>
        <s v="Unity"/>
        <s v="Upper Nile"/>
        <s v="Warrap"/>
        <s v="Western Bahr el Ghazal"/>
        <s v="Western Equatoria"/>
      </sharedItems>
    </cacheField>
    <cacheField name="Admin 1 P-Code" numFmtId="0">
      <sharedItems/>
    </cacheField>
    <cacheField name="Admin 2" numFmtId="0">
      <sharedItems count="79">
        <s v="Abyei Administrative Area"/>
        <s v="Juba"/>
        <s v="Kajo-Keji"/>
        <s v="Lainya"/>
        <s v="Morobo"/>
        <s v="Terekeka"/>
        <s v="Yei"/>
        <s v="Budi"/>
        <s v="Ikotos"/>
        <s v="Kapoeta East"/>
        <s v="Kapoeta North"/>
        <s v="Kapoeta South"/>
        <s v="Lafon"/>
        <s v="Magwi"/>
        <s v="Torit"/>
        <s v="Akobo"/>
        <s v="Ayod"/>
        <s v="Bor South"/>
        <s v="Canal/Pigi"/>
        <s v="Duk"/>
        <s v="Fangak"/>
        <s v="Nyirol"/>
        <s v="Pibor"/>
        <s v="Pochalla"/>
        <s v="Twic East"/>
        <s v="Uror"/>
        <s v="Awerial"/>
        <s v="Cueibet"/>
        <s v="Rumbek Centre"/>
        <s v="Rumbek East"/>
        <s v="Rumbek North"/>
        <s v="Wulu"/>
        <s v="Yirol East"/>
        <s v="Yirol West"/>
        <s v="Aweil Centre"/>
        <s v="Aweil East"/>
        <s v="Aweil North"/>
        <s v="Aweil South"/>
        <s v="Aweil West"/>
        <s v="Abiemnhom"/>
        <s v="Guit"/>
        <s v="Koch"/>
        <s v="Leer"/>
        <s v="Mayendit"/>
        <s v="Mayom"/>
        <s v="Panyijiar"/>
        <s v="Pariang"/>
        <s v="Rubkona"/>
        <s v="Baliet"/>
        <s v="Fashoda"/>
        <s v="Longochuk"/>
        <s v="Luakpiny/Nasir"/>
        <s v="Maban"/>
        <s v="Maiwut"/>
        <s v="Malakal"/>
        <s v="Manyo"/>
        <s v="Melut"/>
        <s v="Panyikang"/>
        <s v="Renk"/>
        <s v="Ulang"/>
        <s v="Gogrial East"/>
        <s v="Gogrial West"/>
        <s v="Tonj East"/>
        <s v="Tonj North"/>
        <s v="Tonj South"/>
        <s v="Twic"/>
        <s v="Jur River"/>
        <s v="Raja"/>
        <s v="Wau"/>
        <s v="Ezo"/>
        <s v="Ibba"/>
        <s v="Maridi"/>
        <s v="Mundri East"/>
        <s v="Mundri West"/>
        <s v="Mvolo"/>
        <s v="Nagero"/>
        <s v="Nzara"/>
        <s v="Tambura"/>
        <s v="Yambio"/>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NonDate="0" containsString="0" containsBlank="1"/>
    </cacheField>
    <cacheField name="Affected population projection 2026" numFmtId="168">
      <sharedItems containsSemiMixedTypes="0" containsString="0" containsNumber="1" minValue="0" maxValue="310546.09109739598"/>
    </cacheField>
    <cacheField name="Population Group" numFmtId="168">
      <sharedItems count="3">
        <s v="IDPs"/>
        <s v="Residents"/>
        <s v="Returnees"/>
      </sharedItems>
    </cacheField>
    <cacheField name="CCCM" numFmtId="168">
      <sharedItems containsSemiMixedTypes="0" containsString="0" containsNumber="1" minValue="0" maxValue="204648"/>
    </cacheField>
    <cacheField name="Education" numFmtId="168">
      <sharedItems containsSemiMixedTypes="0" containsString="0" containsNumber="1" minValue="0" maxValue="64255.662244645791"/>
    </cacheField>
    <cacheField name="Nutrition" numFmtId="168">
      <sharedItems containsSemiMixedTypes="0" containsString="0" containsNumber="1" minValue="0" maxValue="60683.262481643316"/>
    </cacheField>
    <cacheField name="Food Security" numFmtId="168">
      <sharedItems containsSemiMixedTypes="0" containsString="0" containsNumber="1" minValue="0" maxValue="108356.63210257863"/>
    </cacheField>
    <cacheField name="Health" numFmtId="168">
      <sharedItems containsSemiMixedTypes="0" containsString="0" containsNumber="1" minValue="0" maxValue="132804.97200403735"/>
    </cacheField>
    <cacheField name="Overarching Protection" numFmtId="168">
      <sharedItems containsSemiMixedTypes="0" containsString="0" containsNumber="1" minValue="0" maxValue="85771.815696308287"/>
    </cacheField>
    <cacheField name="Shelter" numFmtId="168">
      <sharedItems containsSemiMixedTypes="0" containsString="0" containsNumber="1" minValue="0" maxValue="61997.563775317954"/>
    </cacheField>
    <cacheField name="WASH" numFmtId="168">
      <sharedItems containsSemiMixedTypes="0" containsString="0" containsNumber="1" minValue="0" maxValue="118537.50646803142"/>
    </cacheField>
    <cacheField name="CP" numFmtId="168">
      <sharedItems containsNonDate="0" containsString="0" containsBlank="1"/>
    </cacheField>
    <cacheField name="GBV" numFmtId="168">
      <sharedItems containsNonDate="0" containsString="0" containsBlank="1"/>
    </cacheField>
    <cacheField name="Mine Action" numFmtId="168">
      <sharedItems containsNonDate="0" containsString="0" containsBlank="1"/>
    </cacheField>
    <cacheField name="HLP" numFmtId="168">
      <sharedItems containsNonDate="0" containsString="0" containsBlank="1"/>
    </cacheField>
    <cacheField name="CCCM%" numFmtId="9">
      <sharedItems containsMixedTypes="1" containsNumber="1" minValue="0" maxValue="2.4000000000000004"/>
    </cacheField>
    <cacheField name="Education%" numFmtId="9">
      <sharedItems containsMixedTypes="1" containsNumber="1" minValue="0" maxValue="0.35000000000000003"/>
    </cacheField>
    <cacheField name="Nutrition%" numFmtId="9">
      <sharedItems containsMixedTypes="1" containsNumber="1" minValue="0" maxValue="0.45"/>
    </cacheField>
    <cacheField name="Food Security%" numFmtId="9">
      <sharedItems containsMixedTypes="1" containsNumber="1" minValue="0" maxValue="0.55000000000000004"/>
    </cacheField>
    <cacheField name="Health%" numFmtId="9">
      <sharedItems containsMixedTypes="1" containsNumber="1" minValue="0" maxValue="0.65"/>
    </cacheField>
    <cacheField name="Overarching Protection%" numFmtId="9">
      <sharedItems containsMixedTypes="1" containsNumber="1" minValue="0" maxValue="0.55000000000000004"/>
    </cacheField>
    <cacheField name="Shelter%" numFmtId="9">
      <sharedItems containsMixedTypes="1" containsNumber="1" minValue="0" maxValue="1"/>
    </cacheField>
    <cacheField name="WASH%" numFmtId="9">
      <sharedItems containsMixedTypes="1" containsNumber="1" minValue="0" maxValue="0.9"/>
    </cacheField>
    <cacheField name="Child Protection (CP)%" numFmtId="9">
      <sharedItems containsMixedTypes="1" containsNumber="1" containsInteger="1" minValue="0" maxValue="0"/>
    </cacheField>
    <cacheField name="Gender-based Violence (GBV)%" numFmtId="9">
      <sharedItems containsMixedTypes="1" containsNumber="1" containsInteger="1" minValue="0" maxValue="0"/>
    </cacheField>
    <cacheField name="Mine Action%" numFmtId="9">
      <sharedItems containsMixedTypes="1" containsNumber="1" containsInteger="1" minValue="0" maxValue="0"/>
    </cacheField>
    <cacheField name="HLP%" numFmtId="9">
      <sharedItems containsMixedTypes="1" containsNumber="1" containsInteger="1" minValue="0" maxValue="0"/>
    </cacheField>
    <cacheField name="Highest Target" numFmtId="167">
      <sharedItems containsSemiMixedTypes="0" containsString="0" containsNumber="1" minValue="0" maxValue="204648"/>
    </cacheField>
    <cacheField name="Highest sector(s)" numFmtId="167">
      <sharedItems/>
    </cacheField>
    <cacheField name="Highest sector(s') Target %" numFmtId="9">
      <sharedItems containsMixedTypes="1" containsNumber="1" minValue="0" maxValue="2.4125684234588083"/>
    </cacheField>
    <cacheField name="Number of missing / zero PiNs greater than threshold - Data quality" numFmtId="10">
      <sharedItems/>
    </cacheField>
    <cacheField name="Highest Target greater than 90% of total affected population" numFmtId="9">
      <sharedItems/>
    </cacheField>
    <cacheField name="Highest sector targets sub-population group(s)" numFmtId="9">
      <sharedItems/>
    </cacheField>
    <cacheField name="2nd Highest Target" numFmtId="168">
      <sharedItems containsSemiMixedTypes="0" containsString="0" containsNumber="1" minValue="0" maxValue="132804.97200403735"/>
    </cacheField>
    <cacheField name="2nd Highest sector(s)" numFmtId="167">
      <sharedItems/>
    </cacheField>
    <cacheField name="2nd Highest sector Target %" numFmtId="9">
      <sharedItems containsMixedTypes="1" containsNumber="1" minValue="0" maxValue="0.80667009602194784"/>
    </cacheField>
    <cacheField name="Difference of Target between Highest and 2nd Highest" numFmtId="168">
      <sharedItems containsSemiMixedTypes="0" containsString="0" containsNumber="1" minValue="0" maxValue="71843.02799596265"/>
    </cacheField>
    <cacheField name="% Difference between Highest and 2nd Highest" numFmtId="9">
      <sharedItems containsMixedTypes="1" containsNumber="1" minValue="2.33016727736623E-3" maxValue="4.4226137711848494"/>
    </cacheField>
    <cacheField name="% difference is over a specified threshold between Highest and 2nd Highest" numFmtId="9">
      <sharedItems/>
    </cacheField>
    <cacheField name="3rd Highest Target" numFmtId="168">
      <sharedItems containsSemiMixedTypes="0" containsString="0" containsNumber="1" minValue="0" maxValue="108356.63210257863"/>
    </cacheField>
    <cacheField name="3rd Highest sector(s)" numFmtId="9">
      <sharedItems/>
    </cacheField>
    <cacheField name="3rd Highest sector Target %" numFmtId="9">
      <sharedItems containsMixedTypes="1" containsNumber="1" minValue="0" maxValue="0.60812775878754799"/>
    </cacheField>
    <cacheField name="Difference of Target between Highest and 3rd Highest" numFmtId="168">
      <sharedItems containsSemiMixedTypes="0" containsString="0" containsNumber="1" minValue="0" maxValue="96291.367897421369"/>
    </cacheField>
    <cacheField name="% Difference between Highest and 3rd Highest" numFmtId="9">
      <sharedItems containsMixedTypes="1" containsNumber="1" minValue="4.3399437652627125E-2" maxValue="4.6598272498177549"/>
    </cacheField>
    <cacheField name="% difference is over a specified threshold between Highest and 3rd Highest" numFmtId="9">
      <sharedItems/>
    </cacheField>
    <cacheField name="Change from last year for the highest sector(s)" numFmtId="9">
      <sharedItems/>
    </cacheField>
    <cacheField name="Change from last year for the highest sector(s) has significantly increased or decreased" numFmtId="168">
      <sharedItems/>
    </cacheField>
    <cacheField name="Change from last year for the 2nd highest sector(s)" numFmtId="168">
      <sharedItems/>
    </cacheField>
    <cacheField name="Change from last year for the 2nd highest sector(s) has significantly increased or decreased" numFmtId="9">
      <sharedItems/>
    </cacheField>
    <cacheField name="Severity" numFmtId="9">
      <sharedItems containsSemiMixedTypes="0" containsString="0" containsNumber="1" containsInteger="1" minValue="4" maxValue="4"/>
    </cacheField>
    <cacheField name="Preliminary Target" numFmtId="168">
      <sharedItems containsSemiMixedTypes="0" containsString="0" containsNumber="1" minValue="0" maxValue="204648"/>
    </cacheField>
    <cacheField name="Manual Flag" numFmtId="9">
      <sharedItems containsNonDate="0" containsString="0" containsBlank="1"/>
    </cacheField>
    <cacheField name="Explanation for Manual Flag" numFmtId="9">
      <sharedItems containsNonDate="0" containsString="0" containsBlank="1"/>
    </cacheField>
    <cacheField name="# Flags" numFmtId="168">
      <sharedItems containsSemiMixedTypes="0" containsString="0" containsNumber="1" containsInteger="1" minValue="0" maxValue="5"/>
    </cacheField>
    <cacheField name="Flagged" numFmtId="167">
      <sharedItems/>
    </cacheField>
    <cacheField name="Final Target" numFmtId="167">
      <sharedItems containsSemiMixedTypes="0" containsString="0" containsNumber="1" minValue="0" maxValue="204648"/>
    </cacheField>
    <cacheField name="Evidence &amp; Comments" numFmtId="167">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s v=""/>
    <x v="0"/>
    <s v="SS00"/>
    <s v="Abyei Administrative Area"/>
    <s v="SS0001"/>
    <m/>
    <m/>
    <m/>
    <n v="122221.68957757292"/>
    <s v="IDPs"/>
    <n v="20000"/>
    <n v="26008.775542107513"/>
    <n v="25054.493905922202"/>
    <n v="42248.116222548866"/>
    <n v="59893.189280265571"/>
    <n v="39676.460682011078"/>
    <n v="53247.631193585963"/>
    <n v="13202.960293873615"/>
    <m/>
    <m/>
    <m/>
    <m/>
    <n v="0.15000000000000002"/>
    <n v="0.2"/>
    <n v="0.2"/>
    <n v="0.35000000000000003"/>
    <n v="0.5"/>
    <n v="0.30000000000000004"/>
    <n v="0.45"/>
    <n v="0.1"/>
    <n v="0"/>
    <n v="0"/>
    <n v="0"/>
    <n v="0"/>
    <n v="59893.189280265571"/>
    <s v="Health"/>
    <n v="0.49003732060381922"/>
    <s v=""/>
    <s v=""/>
    <s v=""/>
    <n v="53247.631193585963"/>
    <s v="Shelter"/>
    <n v="0.43566433566433566"/>
    <n v="6645.5580866796081"/>
    <n v="0.12480476478886277"/>
    <s v=""/>
    <n v="42248.116222548866"/>
    <s v="Food Security"/>
    <n v="0.34566791187855733"/>
    <n v="17645.073057716705"/>
    <n v="0.41765348695710824"/>
    <s v=""/>
    <s v=""/>
    <s v="Flagged"/>
    <s v=""/>
    <s v="Flagged"/>
    <n v="4"/>
    <n v="59893.189280265571"/>
    <m/>
    <m/>
    <n v="2"/>
    <s v="Flagged"/>
    <n v="59893.189280265571"/>
    <n v="1"/>
  </r>
  <r>
    <s v=""/>
    <x v="1"/>
    <s v="SS01"/>
    <s v="Juba"/>
    <s v="SS0101"/>
    <m/>
    <m/>
    <m/>
    <n v="185655.53028576757"/>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Kajo-Keji"/>
    <s v="SS0102"/>
    <m/>
    <m/>
    <m/>
    <n v="16311.747528959717"/>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Lainya"/>
    <s v="SS0103"/>
    <m/>
    <m/>
    <m/>
    <n v="7434.876377553911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Morobo"/>
    <s v="SS0104"/>
    <m/>
    <m/>
    <m/>
    <n v="10995.85232476560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Terekeka"/>
    <s v="SS0105"/>
    <m/>
    <m/>
    <m/>
    <n v="13333.613326350463"/>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Yei"/>
    <s v="SS0106"/>
    <m/>
    <m/>
    <m/>
    <n v="38535.006634969555"/>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2"/>
    <s v="SS02"/>
    <s v="Budi"/>
    <s v="SS0201"/>
    <m/>
    <m/>
    <m/>
    <n v="4566.583589414553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Ikotos"/>
    <s v="SS0202"/>
    <m/>
    <m/>
    <m/>
    <n v="6185.6711628854973"/>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Kapoeta East"/>
    <s v="SS0203"/>
    <m/>
    <m/>
    <m/>
    <n v="2159.7729564411493"/>
    <s v="IDPs"/>
    <n v="0"/>
    <n v="368.88922096014835"/>
    <n v="478.28693723217754"/>
    <n v="873.61167017554192"/>
    <n v="586.43658534256826"/>
    <n v="922.90587367903663"/>
    <n v="0"/>
    <n v="1210.2431450016591"/>
    <m/>
    <m/>
    <m/>
    <m/>
    <n v="0"/>
    <n v="0.15000000000000002"/>
    <n v="0.2"/>
    <n v="0.4"/>
    <n v="0.25"/>
    <n v="0.45"/>
    <n v="0"/>
    <n v="0.55000000000000004"/>
    <n v="0"/>
    <n v="0"/>
    <n v="0"/>
    <n v="0"/>
    <n v="1210.2431450016591"/>
    <s v="WASH"/>
    <n v="0.56035665294924553"/>
    <s v="Flagged"/>
    <s v=""/>
    <s v=""/>
    <n v="922.90587367903663"/>
    <s v="Overarching Protection"/>
    <n v="0.42731615419418484"/>
    <n v="287.33727132262243"/>
    <n v="0.31133973628013889"/>
    <s v="Flagged"/>
    <n v="873.61167017554192"/>
    <s v="Food Security"/>
    <n v="0.40449236461182003"/>
    <n v="336.63147482611714"/>
    <n v="0.3853330791225294"/>
    <s v=""/>
    <s v=""/>
    <s v=""/>
    <s v=""/>
    <s v=""/>
    <n v="4"/>
    <n v="1210.2431450016591"/>
    <m/>
    <m/>
    <n v="2"/>
    <s v="Flagged"/>
    <n v="1210.2431450016591"/>
    <n v="2"/>
  </r>
  <r>
    <s v=""/>
    <x v="2"/>
    <s v="SS02"/>
    <s v="Kapoeta North"/>
    <s v="SS0204"/>
    <m/>
    <m/>
    <m/>
    <n v="8023.4115031633137"/>
    <s v="IDPs"/>
    <m/>
    <m/>
    <m/>
    <m/>
    <m/>
    <m/>
    <m/>
    <m/>
    <m/>
    <m/>
    <m/>
    <m/>
    <s v=""/>
    <s v=""/>
    <s v=""/>
    <s v=""/>
    <s v=""/>
    <s v=""/>
    <s v=""/>
    <s v=""/>
    <n v="0"/>
    <n v="0"/>
    <n v="0"/>
    <n v="0"/>
    <s v=""/>
    <s v=""/>
    <s v=""/>
    <s v=""/>
    <s v=""/>
    <s v=""/>
    <s v=""/>
    <s v=""/>
    <s v=""/>
    <s v=""/>
    <s v=""/>
    <s v=""/>
    <s v=""/>
    <s v=""/>
    <s v=""/>
    <s v=""/>
    <s v=""/>
    <s v=""/>
    <s v=""/>
    <s v="Flagged"/>
    <s v=""/>
    <s v="Flagged"/>
    <n v="4"/>
    <s v=""/>
    <m/>
    <m/>
    <n v="2"/>
    <s v="Flagged"/>
    <s v=""/>
    <n v="3"/>
  </r>
  <r>
    <s v=""/>
    <x v="2"/>
    <s v="SS02"/>
    <s v="Kapoeta South"/>
    <s v="SS0205"/>
    <m/>
    <m/>
    <m/>
    <n v="4829.7886557975189"/>
    <s v="IDPs"/>
    <m/>
    <m/>
    <m/>
    <m/>
    <m/>
    <m/>
    <m/>
    <m/>
    <m/>
    <m/>
    <m/>
    <m/>
    <s v=""/>
    <s v=""/>
    <s v=""/>
    <s v=""/>
    <s v=""/>
    <s v=""/>
    <s v=""/>
    <s v=""/>
    <n v="0"/>
    <n v="0"/>
    <n v="0"/>
    <n v="0"/>
    <s v=""/>
    <s v=""/>
    <s v=""/>
    <s v=""/>
    <s v=""/>
    <s v=""/>
    <s v=""/>
    <s v=""/>
    <s v=""/>
    <s v=""/>
    <s v=""/>
    <s v=""/>
    <s v=""/>
    <s v=""/>
    <s v=""/>
    <s v=""/>
    <s v=""/>
    <s v=""/>
    <s v=""/>
    <s v="Flagged"/>
    <s v=""/>
    <s v="Flagged"/>
    <n v="4"/>
    <s v=""/>
    <m/>
    <m/>
    <n v="2"/>
    <s v="Flagged"/>
    <s v=""/>
    <n v="3"/>
  </r>
  <r>
    <s v=""/>
    <x v="2"/>
    <s v="SS02"/>
    <s v="Lafon"/>
    <s v="SS0206"/>
    <m/>
    <m/>
    <m/>
    <n v="21293.088674698796"/>
    <s v="IDPs"/>
    <m/>
    <m/>
    <m/>
    <m/>
    <m/>
    <m/>
    <m/>
    <m/>
    <m/>
    <m/>
    <m/>
    <m/>
    <s v=""/>
    <s v=""/>
    <s v=""/>
    <s v=""/>
    <s v=""/>
    <s v=""/>
    <s v=""/>
    <s v=""/>
    <n v="0"/>
    <n v="0"/>
    <n v="0"/>
    <n v="0"/>
    <s v=""/>
    <s v=""/>
    <s v=""/>
    <s v=""/>
    <s v=""/>
    <s v=""/>
    <s v=""/>
    <s v=""/>
    <s v=""/>
    <s v=""/>
    <s v=""/>
    <s v=""/>
    <s v=""/>
    <s v=""/>
    <s v=""/>
    <s v=""/>
    <s v=""/>
    <s v=""/>
    <s v=""/>
    <s v="Flagged"/>
    <s v=""/>
    <s v="Flagged"/>
    <n v="4"/>
    <s v=""/>
    <m/>
    <m/>
    <n v="2"/>
    <s v="Flagged"/>
    <s v=""/>
    <n v="3"/>
  </r>
  <r>
    <s v=""/>
    <x v="2"/>
    <s v="SS02"/>
    <s v="Magwi"/>
    <s v="SS0207"/>
    <m/>
    <m/>
    <m/>
    <n v="40940.594481869215"/>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Torit"/>
    <s v="SS0208"/>
    <m/>
    <m/>
    <m/>
    <n v="2501.5236312386551"/>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Akobo"/>
    <s v="SS0301"/>
    <m/>
    <m/>
    <m/>
    <n v="45687.987079478589"/>
    <s v="IDPs"/>
    <n v="24153"/>
    <n v="9011.1330676597208"/>
    <n v="11920.360453089319"/>
    <n v="22207.155096992403"/>
    <n v="22011.499596320162"/>
    <n v="23198.824955641583"/>
    <n v="28428.080849453345"/>
    <n v="7826.1829719477209"/>
    <m/>
    <m/>
    <m/>
    <m/>
    <n v="0.55000000000000004"/>
    <n v="0.2"/>
    <n v="0.25"/>
    <n v="0.5"/>
    <n v="0.5"/>
    <n v="0.5"/>
    <n v="0.60000000000000009"/>
    <n v="0.15000000000000002"/>
    <n v="0"/>
    <n v="0"/>
    <n v="0"/>
    <n v="0"/>
    <n v="28428.080849453345"/>
    <s v="Shelter"/>
    <n v="0.62222222222222223"/>
    <s v=""/>
    <s v=""/>
    <s v=""/>
    <n v="24153"/>
    <s v="CCCM"/>
    <n v="0.52865099874029386"/>
    <n v="4275.0808494533449"/>
    <n v="0.17699999376695835"/>
    <s v=""/>
    <n v="23198.824955641583"/>
    <s v="Overarching Protection"/>
    <n v="0.50776640510086435"/>
    <n v="5229.2558938117618"/>
    <n v="0.22541037762949673"/>
    <s v=""/>
    <s v=""/>
    <s v="Flagged"/>
    <s v=""/>
    <s v=""/>
    <n v="4"/>
    <n v="28428.080849453345"/>
    <m/>
    <m/>
    <n v="1"/>
    <s v="Flagged"/>
    <n v="28428.080849453345"/>
    <n v="1"/>
  </r>
  <r>
    <s v=""/>
    <x v="3"/>
    <s v="SS03"/>
    <s v="Ayod"/>
    <s v="SS0302"/>
    <m/>
    <m/>
    <m/>
    <n v="21857.689382345037"/>
    <s v="IDPs"/>
    <n v="0"/>
    <n v="3012.1644584022056"/>
    <n v="3864.8899374194034"/>
    <n v="9379.209789665756"/>
    <n v="8832.762200943982"/>
    <n v="8756.0836161844727"/>
    <n v="9709.8581679263516"/>
    <n v="15131.99644182275"/>
    <m/>
    <m/>
    <m/>
    <m/>
    <n v="0"/>
    <n v="0.15000000000000002"/>
    <n v="0.2"/>
    <n v="0.45"/>
    <n v="0.4"/>
    <n v="0.4"/>
    <n v="0.45"/>
    <n v="0.70000000000000007"/>
    <n v="0"/>
    <n v="0"/>
    <n v="0"/>
    <n v="0"/>
    <n v="15131.99644182275"/>
    <s v="WASH"/>
    <n v="0.69229625223081515"/>
    <s v=""/>
    <s v=""/>
    <s v=""/>
    <n v="9709.8581679263516"/>
    <s v="Shelter"/>
    <n v="0.44423076923076915"/>
    <n v="5422.1382738963985"/>
    <n v="0.55841580588754947"/>
    <s v="Flagged"/>
    <n v="9379.209789665756"/>
    <s v="Food Security"/>
    <n v="0.42910344390023042"/>
    <n v="5752.786652156994"/>
    <n v="0.61335515263722495"/>
    <s v="Flagged"/>
    <s v=""/>
    <s v=""/>
    <s v=""/>
    <s v="Flagged"/>
    <n v="4"/>
    <n v="15131.99644182275"/>
    <m/>
    <m/>
    <n v="3"/>
    <s v="Flagged"/>
    <n v="15131.99644182275"/>
    <n v="2"/>
  </r>
  <r>
    <s v=""/>
    <x v="3"/>
    <s v="SS03"/>
    <s v="Bor South"/>
    <s v="SS0303"/>
    <m/>
    <m/>
    <m/>
    <n v="95901.175542296638"/>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Canal/Pigi"/>
    <s v="SS0304"/>
    <m/>
    <m/>
    <m/>
    <n v="69039.732902168529"/>
    <s v="IDPs"/>
    <n v="2352"/>
    <n v="11234.283417306668"/>
    <n v="14939.685153799473"/>
    <n v="35485.061963873144"/>
    <n v="45773.041794633064"/>
    <n v="30705.141446714861"/>
    <n v="48327.813031517966"/>
    <n v="63712.59301774195"/>
    <m/>
    <m/>
    <m/>
    <m/>
    <n v="0.05"/>
    <n v="0.15000000000000002"/>
    <n v="0.2"/>
    <n v="0.5"/>
    <n v="0.65"/>
    <n v="0.45"/>
    <n v="0.70000000000000007"/>
    <n v="0.9"/>
    <n v="0"/>
    <n v="0"/>
    <n v="0"/>
    <n v="0"/>
    <n v="63712.59301774195"/>
    <s v="WASH"/>
    <n v="0.92283950617283961"/>
    <s v=""/>
    <s v="Flagged"/>
    <s v=""/>
    <n v="48327.813031517966"/>
    <s v="Shelter"/>
    <n v="0.7"/>
    <n v="15384.779986223984"/>
    <n v="0.31834215167548524"/>
    <s v="Flagged"/>
    <n v="45773.041794633064"/>
    <s v="Health"/>
    <n v="0.66299563846075282"/>
    <n v="17939.551223108887"/>
    <n v="0.39192394736616165"/>
    <s v=""/>
    <s v=""/>
    <s v=""/>
    <s v=""/>
    <s v="Flagged"/>
    <n v="4"/>
    <n v="63712.59301774195"/>
    <m/>
    <m/>
    <n v="3"/>
    <s v="Flagged"/>
    <n v="63712.59301774195"/>
    <n v="1"/>
  </r>
  <r>
    <s v=""/>
    <x v="3"/>
    <s v="SS03"/>
    <s v="Duk"/>
    <s v="SS0305"/>
    <m/>
    <m/>
    <m/>
    <n v="77068.443303189997"/>
    <s v="IDPs"/>
    <n v="0"/>
    <n v="8003.5578370362809"/>
    <n v="16714.952361157229"/>
    <n v="31179.707915281349"/>
    <n v="46136.836289178369"/>
    <n v="30090.439673173918"/>
    <n v="53947.910312232998"/>
    <n v="9435.3341081065919"/>
    <m/>
    <m/>
    <m/>
    <m/>
    <n v="0"/>
    <n v="0.1"/>
    <n v="0.2"/>
    <n v="0.4"/>
    <n v="0.60000000000000009"/>
    <n v="0.4"/>
    <n v="0.70000000000000007"/>
    <n v="0.1"/>
    <n v="0"/>
    <n v="0"/>
    <n v="0"/>
    <n v="0"/>
    <n v="53947.910312232998"/>
    <s v="Shelter"/>
    <n v="0.7"/>
    <s v=""/>
    <s v=""/>
    <s v=""/>
    <n v="46136.836289178369"/>
    <s v="Health"/>
    <n v="0.59864756976697209"/>
    <n v="7811.0740230546289"/>
    <n v="0.16930233304459924"/>
    <s v=""/>
    <n v="31179.707915281349"/>
    <s v="Food Security"/>
    <n v="0.40457165837149806"/>
    <n v="22768.202396951649"/>
    <n v="0.7302250059178016"/>
    <s v="Flagged"/>
    <s v=""/>
    <s v="Flagged"/>
    <s v=""/>
    <s v="Flagged"/>
    <n v="4"/>
    <n v="53947.910312232998"/>
    <m/>
    <m/>
    <n v="3"/>
    <s v="Flagged"/>
    <n v="53947.910312232998"/>
    <n v="2"/>
  </r>
  <r>
    <s v=""/>
    <x v="3"/>
    <s v="SS03"/>
    <s v="Fangak"/>
    <s v="SS0306"/>
    <m/>
    <m/>
    <m/>
    <n v="118740.98784317059"/>
    <s v="IDPs"/>
    <n v="42741"/>
    <n v="44409.129453345799"/>
    <n v="22116.382554343534"/>
    <n v="63351.844124740099"/>
    <n v="69603.371874561461"/>
    <n v="56111.826600999208"/>
    <n v="52333.99093828629"/>
    <n v="68792.200390108468"/>
    <m/>
    <m/>
    <m/>
    <m/>
    <n v="0.35000000000000003"/>
    <n v="0.35000000000000003"/>
    <n v="0.2"/>
    <n v="0.55000000000000004"/>
    <n v="0.60000000000000009"/>
    <n v="0.45"/>
    <n v="0.45"/>
    <n v="0.60000000000000009"/>
    <n v="0"/>
    <n v="0"/>
    <n v="0"/>
    <n v="0"/>
    <n v="69603.371874561461"/>
    <s v="Health"/>
    <n v="0.58617814403305646"/>
    <s v=""/>
    <s v=""/>
    <s v=""/>
    <n v="68792.200390108468"/>
    <s v="WASH"/>
    <n v="0.57934670781892994"/>
    <n v="811.17148445299244"/>
    <n v="1.1791619978035033E-2"/>
    <s v=""/>
    <n v="63351.844124740099"/>
    <s v="Food Security"/>
    <n v="0.53352970423669754"/>
    <n v="6251.5277498213618"/>
    <n v="9.8679491279086873E-2"/>
    <s v=""/>
    <s v=""/>
    <s v="Flagged"/>
    <s v=""/>
    <s v=""/>
    <n v="4"/>
    <n v="69603.371874561461"/>
    <m/>
    <m/>
    <n v="1"/>
    <s v="Flagged"/>
    <n v="69603.371874561461"/>
    <n v="1"/>
  </r>
  <r>
    <s v=""/>
    <x v="3"/>
    <s v="SS03"/>
    <s v="Nyirol"/>
    <s v="SS0307"/>
    <m/>
    <m/>
    <m/>
    <n v="53158.210520699089"/>
    <s v="IDPs"/>
    <n v="7474"/>
    <n v="9238.3813538554514"/>
    <n v="12757.597978669774"/>
    <n v="23534.221579122648"/>
    <n v="33729.021236239671"/>
    <n v="17123.530341617636"/>
    <n v="32917.199591663666"/>
    <n v="19897.869267264428"/>
    <m/>
    <m/>
    <m/>
    <m/>
    <n v="0.15000000000000002"/>
    <n v="0.15000000000000002"/>
    <n v="0.25"/>
    <n v="0.45"/>
    <n v="0.65"/>
    <n v="0.30000000000000004"/>
    <n v="0.60000000000000009"/>
    <n v="0.35000000000000003"/>
    <n v="0"/>
    <n v="0"/>
    <n v="0"/>
    <n v="0"/>
    <n v="33729.021236239671"/>
    <s v="Health"/>
    <n v="0.63450257083251604"/>
    <s v=""/>
    <s v=""/>
    <s v=""/>
    <n v="32917.199591663666"/>
    <s v="Shelter"/>
    <n v="0.61923076923076925"/>
    <n v="811.82164457600447"/>
    <n v="2.4662536748162489E-2"/>
    <s v=""/>
    <n v="23534.221579122648"/>
    <s v="Food Security"/>
    <n v="0.44272035022621276"/>
    <n v="10194.799657117022"/>
    <n v="0.433190433889723"/>
    <s v=""/>
    <s v=""/>
    <s v="Flagged"/>
    <s v=""/>
    <s v="Flagged"/>
    <n v="4"/>
    <n v="33729.021236239671"/>
    <m/>
    <m/>
    <n v="2"/>
    <s v="Flagged"/>
    <n v="33729.021236239671"/>
    <n v="2"/>
  </r>
  <r>
    <s v=""/>
    <x v="3"/>
    <s v="SS03"/>
    <s v="Pibor"/>
    <s v="SS0308"/>
    <m/>
    <m/>
    <m/>
    <n v="46710.303757716349"/>
    <s v="IDPs"/>
    <n v="3188"/>
    <n v="13385.024382988649"/>
    <n v="13024.941434108723"/>
    <n v="22734.610921261999"/>
    <n v="25605.843627641058"/>
    <n v="17387.999039054714"/>
    <n v="22888.048841281008"/>
    <n v="30659.643824509294"/>
    <m/>
    <m/>
    <m/>
    <m/>
    <n v="0.05"/>
    <n v="0.30000000000000004"/>
    <n v="0.30000000000000004"/>
    <n v="0.5"/>
    <n v="0.55000000000000004"/>
    <n v="0.35000000000000003"/>
    <n v="0.5"/>
    <n v="0.65"/>
    <n v="0"/>
    <n v="0"/>
    <n v="0"/>
    <n v="0"/>
    <n v="30659.643824509294"/>
    <s v="WASH"/>
    <n v="0.65637860082304533"/>
    <s v=""/>
    <s v=""/>
    <s v=""/>
    <n v="25605.843627641058"/>
    <s v="Health"/>
    <n v="0.5481840529330978"/>
    <n v="5053.8001968682365"/>
    <n v="0.19736901741494461"/>
    <s v=""/>
    <n v="22888.048841281008"/>
    <s v="Shelter"/>
    <n v="0.48999999999999994"/>
    <n v="7771.5949832282859"/>
    <n v="0.33954816494499063"/>
    <s v=""/>
    <s v=""/>
    <s v=""/>
    <s v=""/>
    <s v="Flagged"/>
    <n v="4"/>
    <n v="30659.643824509294"/>
    <m/>
    <m/>
    <n v="1"/>
    <s v="Flagged"/>
    <n v="30659.643824509294"/>
    <n v="1"/>
  </r>
  <r>
    <s v=""/>
    <x v="3"/>
    <s v="SS03"/>
    <s v="Pochalla"/>
    <s v="SS0309"/>
    <m/>
    <m/>
    <m/>
    <n v="15457.341069804937"/>
    <s v="IDPs"/>
    <m/>
    <m/>
    <m/>
    <m/>
    <m/>
    <m/>
    <m/>
    <m/>
    <m/>
    <m/>
    <m/>
    <m/>
    <s v=""/>
    <s v=""/>
    <s v=""/>
    <s v=""/>
    <s v=""/>
    <s v=""/>
    <s v=""/>
    <s v=""/>
    <n v="0"/>
    <n v="0"/>
    <n v="0"/>
    <n v="0"/>
    <s v=""/>
    <s v=""/>
    <s v=""/>
    <s v=""/>
    <s v=""/>
    <s v=""/>
    <s v=""/>
    <s v=""/>
    <s v=""/>
    <s v=""/>
    <s v=""/>
    <s v=""/>
    <s v=""/>
    <s v=""/>
    <s v=""/>
    <s v=""/>
    <s v=""/>
    <s v=""/>
    <s v=""/>
    <s v="Flagged"/>
    <s v=""/>
    <s v="Flagged"/>
    <n v="4"/>
    <s v=""/>
    <m/>
    <m/>
    <n v="2"/>
    <s v="Flagged"/>
    <s v=""/>
    <n v="3"/>
  </r>
  <r>
    <s v=""/>
    <x v="3"/>
    <s v="SS03"/>
    <s v="Twic East"/>
    <s v="SS0310"/>
    <m/>
    <m/>
    <m/>
    <n v="25870.030094616061"/>
    <s v="IDPs"/>
    <n v="0"/>
    <n v="7810.8088363169554"/>
    <n v="5675.826298061118"/>
    <n v="10988.73484378785"/>
    <n v="12979.718799381051"/>
    <n v="15192.872237196767"/>
    <n v="18109.021066231242"/>
    <n v="8623.3433648720202"/>
    <m/>
    <m/>
    <m/>
    <m/>
    <n v="0"/>
    <n v="0.30000000000000004"/>
    <n v="0.2"/>
    <n v="0.4"/>
    <n v="0.5"/>
    <n v="0.60000000000000009"/>
    <n v="0.70000000000000007"/>
    <n v="0.35000000000000003"/>
    <n v="0"/>
    <n v="0"/>
    <n v="0"/>
    <n v="0"/>
    <n v="18109.021066231242"/>
    <s v="Shelter"/>
    <n v="0.7"/>
    <s v=""/>
    <s v=""/>
    <s v=""/>
    <n v="15192.872237196767"/>
    <s v="Overarching Protection"/>
    <n v="0.58727694485205217"/>
    <n v="2916.1488290344751"/>
    <n v="0.19194190430265429"/>
    <s v=""/>
    <n v="12979.718799381051"/>
    <s v="Health"/>
    <n v="0.50172801314530846"/>
    <n v="5129.3022668501908"/>
    <n v="0.39517822736612646"/>
    <s v=""/>
    <s v=""/>
    <s v="Flagged"/>
    <s v=""/>
    <s v=""/>
    <n v="4"/>
    <n v="18109.021066231242"/>
    <m/>
    <m/>
    <n v="1"/>
    <s v="Flagged"/>
    <n v="18109.021066231242"/>
    <n v="2"/>
  </r>
  <r>
    <s v=""/>
    <x v="3"/>
    <s v="SS03"/>
    <s v="Uror"/>
    <s v="SS0311"/>
    <m/>
    <m/>
    <m/>
    <n v="23976.103995536083"/>
    <s v="IDPs"/>
    <n v="3000"/>
    <n v="5890.5930862472778"/>
    <n v="7402.0200482744513"/>
    <n v="11543.774917353358"/>
    <n v="8046.4376515490139"/>
    <n v="7696.0116884073996"/>
    <n v="16783.272796875259"/>
    <n v="13782.559781384551"/>
    <m/>
    <m/>
    <m/>
    <m/>
    <n v="0.15000000000000002"/>
    <n v="0.25"/>
    <n v="0.30000000000000004"/>
    <n v="0.5"/>
    <n v="0.35000000000000003"/>
    <n v="0.30000000000000004"/>
    <n v="0.70000000000000007"/>
    <n v="0.55000000000000004"/>
    <n v="0"/>
    <n v="0"/>
    <n v="0"/>
    <n v="0"/>
    <n v="16783.272796875259"/>
    <s v="Shelter"/>
    <n v="0.70000000000000007"/>
    <s v=""/>
    <s v=""/>
    <s v=""/>
    <n v="13782.559781384551"/>
    <s v="WASH"/>
    <n v="0.57484567901234551"/>
    <n v="3000.7130154907081"/>
    <n v="0.21771812080536945"/>
    <s v=""/>
    <n v="11543.774917353358"/>
    <s v="Food Security"/>
    <n v="0.48147000528119999"/>
    <n v="5239.4978795219013"/>
    <n v="0.45388080736445624"/>
    <s v=""/>
    <s v=""/>
    <s v="Flagged"/>
    <s v=""/>
    <s v=""/>
    <n v="4"/>
    <n v="16783.272796875259"/>
    <m/>
    <m/>
    <n v="1"/>
    <s v="Flagged"/>
    <n v="16783.272796875259"/>
    <n v="2"/>
  </r>
  <r>
    <s v=""/>
    <x v="4"/>
    <s v="SS04"/>
    <s v="Awerial"/>
    <s v="SS0401"/>
    <m/>
    <m/>
    <m/>
    <n v="48668.970941608946"/>
    <s v="IDPs"/>
    <m/>
    <m/>
    <m/>
    <m/>
    <m/>
    <m/>
    <m/>
    <m/>
    <m/>
    <m/>
    <m/>
    <m/>
    <s v=""/>
    <s v=""/>
    <s v=""/>
    <s v=""/>
    <s v=""/>
    <s v=""/>
    <s v=""/>
    <s v=""/>
    <n v="0"/>
    <n v="0"/>
    <n v="0"/>
    <n v="0"/>
    <s v=""/>
    <s v=""/>
    <s v=""/>
    <s v=""/>
    <s v=""/>
    <s v=""/>
    <s v=""/>
    <s v=""/>
    <s v=""/>
    <s v=""/>
    <s v=""/>
    <s v=""/>
    <s v=""/>
    <s v=""/>
    <s v=""/>
    <s v=""/>
    <s v=""/>
    <s v=""/>
    <s v=""/>
    <s v="Flagged"/>
    <s v=""/>
    <s v="Flagged"/>
    <n v="4"/>
    <s v=""/>
    <m/>
    <m/>
    <n v="2"/>
    <s v="Flagged"/>
    <s v=""/>
    <n v="3"/>
  </r>
  <r>
    <s v=""/>
    <x v="4"/>
    <s v="SS04"/>
    <s v="Cueibet"/>
    <s v="SS0402"/>
    <m/>
    <m/>
    <m/>
    <n v="5443.7472474147844"/>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Rumbek Centre"/>
    <s v="SS0403"/>
    <m/>
    <m/>
    <m/>
    <n v="2921.278387395736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East"/>
    <s v="SS0404"/>
    <m/>
    <m/>
    <m/>
    <n v="6808.1234044964567"/>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North"/>
    <s v="SS0405"/>
    <m/>
    <m/>
    <m/>
    <n v="23157.383024277355"/>
    <s v="IDPs"/>
    <m/>
    <m/>
    <m/>
    <m/>
    <m/>
    <m/>
    <m/>
    <m/>
    <m/>
    <m/>
    <m/>
    <m/>
    <s v=""/>
    <s v=""/>
    <s v=""/>
    <s v=""/>
    <s v=""/>
    <s v=""/>
    <s v=""/>
    <s v=""/>
    <n v="0"/>
    <n v="0"/>
    <n v="0"/>
    <n v="0"/>
    <s v=""/>
    <s v=""/>
    <s v=""/>
    <s v=""/>
    <s v=""/>
    <s v=""/>
    <s v=""/>
    <s v=""/>
    <s v=""/>
    <s v=""/>
    <s v=""/>
    <s v=""/>
    <s v=""/>
    <s v=""/>
    <s v=""/>
    <s v=""/>
    <s v=""/>
    <s v=""/>
    <s v=""/>
    <s v="Flagged"/>
    <s v=""/>
    <s v="Flagged"/>
    <n v="4"/>
    <s v=""/>
    <m/>
    <m/>
    <n v="2"/>
    <s v="Flagged"/>
    <s v=""/>
    <n v="3"/>
  </r>
  <r>
    <s v=""/>
    <x v="4"/>
    <s v="SS04"/>
    <s v="Wulu"/>
    <s v="SS0406"/>
    <m/>
    <m/>
    <m/>
    <n v="9602.9953236523688"/>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Yirol East"/>
    <s v="SS0407"/>
    <m/>
    <m/>
    <m/>
    <n v="23378.692739825943"/>
    <s v="IDPs"/>
    <m/>
    <m/>
    <m/>
    <m/>
    <m/>
    <m/>
    <m/>
    <m/>
    <m/>
    <m/>
    <m/>
    <m/>
    <s v=""/>
    <s v=""/>
    <s v=""/>
    <s v=""/>
    <s v=""/>
    <s v=""/>
    <s v=""/>
    <s v=""/>
    <n v="0"/>
    <n v="0"/>
    <n v="0"/>
    <n v="0"/>
    <s v=""/>
    <s v=""/>
    <s v=""/>
    <s v=""/>
    <s v=""/>
    <s v=""/>
    <s v=""/>
    <s v=""/>
    <s v=""/>
    <s v=""/>
    <s v=""/>
    <s v=""/>
    <s v=""/>
    <s v=""/>
    <s v=""/>
    <s v=""/>
    <s v=""/>
    <s v=""/>
    <s v=""/>
    <s v="Flagged"/>
    <s v=""/>
    <s v="Flagged"/>
    <n v="4"/>
    <s v=""/>
    <m/>
    <m/>
    <n v="2"/>
    <s v="Flagged"/>
    <s v=""/>
    <n v="3"/>
  </r>
  <r>
    <s v=""/>
    <x v="4"/>
    <s v="SS04"/>
    <s v="Yirol West"/>
    <s v="SS0408"/>
    <m/>
    <m/>
    <m/>
    <n v="11657.898587687116"/>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Centre"/>
    <s v="SS0501"/>
    <m/>
    <m/>
    <m/>
    <n v="8794.7895188948787"/>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East"/>
    <s v="SS0502"/>
    <m/>
    <m/>
    <m/>
    <n v="56514.282244133567"/>
    <s v="IDPs"/>
    <n v="25316"/>
    <n v="20725.79920737167"/>
    <n v="12364.891220805526"/>
    <n v="24921.190568923557"/>
    <n v="21485.996491867601"/>
    <n v="24968.08291058004"/>
    <n v="33313.682164962942"/>
    <n v="6075.8667639011928"/>
    <m/>
    <m/>
    <m/>
    <m/>
    <n v="0.45"/>
    <n v="0.35000000000000003"/>
    <n v="0.2"/>
    <n v="0.45"/>
    <n v="0.4"/>
    <n v="0.45"/>
    <n v="0.60000000000000009"/>
    <n v="0.1"/>
    <n v="0"/>
    <n v="0"/>
    <n v="0"/>
    <n v="0"/>
    <n v="33313.682164962942"/>
    <s v="Shelter"/>
    <n v="0.58947368421052626"/>
    <s v=""/>
    <s v=""/>
    <s v=""/>
    <n v="25316"/>
    <s v="CCCM"/>
    <n v="0.4479575603674576"/>
    <n v="7997.6821649629419"/>
    <n v="0.31591413197041168"/>
    <s v="Flagged"/>
    <n v="24968.08291058004"/>
    <s v="Overarching Protection"/>
    <n v="0.44180129197645146"/>
    <n v="8345.5992543829016"/>
    <n v="0.33425070255780492"/>
    <s v=""/>
    <s v=""/>
    <s v="Flagged"/>
    <s v=""/>
    <s v=""/>
    <n v="4"/>
    <n v="33313.682164962942"/>
    <m/>
    <m/>
    <n v="2"/>
    <s v="Flagged"/>
    <n v="33313.682164962942"/>
    <n v="2"/>
  </r>
  <r>
    <s v=""/>
    <x v="5"/>
    <s v="SS05"/>
    <s v="Aweil North"/>
    <s v="SS0503"/>
    <m/>
    <m/>
    <m/>
    <n v="0"/>
    <s v="IDPs"/>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n v="2"/>
  </r>
  <r>
    <s v=""/>
    <x v="5"/>
    <s v="SS05"/>
    <s v="Aweil South"/>
    <s v="SS0504"/>
    <m/>
    <m/>
    <m/>
    <n v="8245.4682123487128"/>
    <s v="IDPs"/>
    <n v="0"/>
    <n v="752.14130349518405"/>
    <n v="2283.1942873618427"/>
    <n v="3507.0492208411197"/>
    <n v="2721.9506870244163"/>
    <n v="3915.4797339774345"/>
    <n v="4489.1993600565211"/>
    <n v="1931.8927588436857"/>
    <m/>
    <m/>
    <m/>
    <m/>
    <n v="0"/>
    <n v="0.1"/>
    <n v="0.30000000000000004"/>
    <n v="0.45"/>
    <n v="0.35000000000000003"/>
    <n v="0.45"/>
    <n v="0.55000000000000004"/>
    <n v="0.25"/>
    <n v="0"/>
    <n v="0"/>
    <n v="0"/>
    <n v="0"/>
    <n v="4489.1993600565211"/>
    <s v="Shelter"/>
    <n v="0.5444444444444444"/>
    <s v=""/>
    <s v=""/>
    <s v=""/>
    <n v="3915.4797339774345"/>
    <s v="Overarching Protection"/>
    <n v="0.47486445076744943"/>
    <n v="573.71962607908654"/>
    <n v="0.14652601087435305"/>
    <s v=""/>
    <n v="3507.0492208411197"/>
    <s v="Food Security"/>
    <n v="0.4253305125340045"/>
    <n v="982.1501392154014"/>
    <n v="0.28005028654255543"/>
    <s v=""/>
    <s v=""/>
    <s v="Flagged"/>
    <s v=""/>
    <s v=""/>
    <n v="4"/>
    <n v="4489.1993600565211"/>
    <m/>
    <m/>
    <n v="1"/>
    <s v="Flagged"/>
    <n v="4489.1993600565211"/>
    <n v="2"/>
  </r>
  <r>
    <s v=""/>
    <x v="5"/>
    <s v="SS05"/>
    <s v="Aweil West"/>
    <s v="SS0505"/>
    <m/>
    <m/>
    <m/>
    <n v="736.57326854984808"/>
    <s v="IDPs"/>
    <m/>
    <m/>
    <m/>
    <m/>
    <m/>
    <m/>
    <m/>
    <m/>
    <m/>
    <m/>
    <m/>
    <m/>
    <s v=""/>
    <s v=""/>
    <s v=""/>
    <s v=""/>
    <s v=""/>
    <s v=""/>
    <s v=""/>
    <s v=""/>
    <n v="0"/>
    <n v="0"/>
    <n v="0"/>
    <n v="0"/>
    <s v=""/>
    <s v=""/>
    <s v=""/>
    <s v=""/>
    <s v=""/>
    <s v=""/>
    <s v=""/>
    <s v=""/>
    <s v=""/>
    <s v=""/>
    <s v=""/>
    <s v=""/>
    <s v=""/>
    <s v=""/>
    <s v=""/>
    <s v=""/>
    <s v=""/>
    <s v=""/>
    <s v=""/>
    <s v="Flagged"/>
    <s v=""/>
    <s v="Flagged"/>
    <n v="4"/>
    <s v=""/>
    <m/>
    <m/>
    <n v="2"/>
    <s v="Flagged"/>
    <s v=""/>
    <n v="3"/>
  </r>
  <r>
    <s v=""/>
    <x v="6"/>
    <s v="SS06"/>
    <s v="Abiemnhom"/>
    <s v="SS0601"/>
    <m/>
    <m/>
    <m/>
    <n v="8191.9832367247782"/>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6"/>
    <s v="SS06"/>
    <s v="Guit"/>
    <s v="SS0602"/>
    <m/>
    <m/>
    <m/>
    <n v="25939.727484978604"/>
    <s v="IDPs"/>
    <m/>
    <m/>
    <m/>
    <m/>
    <m/>
    <m/>
    <m/>
    <m/>
    <m/>
    <m/>
    <m/>
    <m/>
    <s v=""/>
    <s v=""/>
    <s v=""/>
    <s v=""/>
    <s v=""/>
    <s v=""/>
    <s v=""/>
    <s v=""/>
    <n v="0"/>
    <n v="0"/>
    <n v="0"/>
    <n v="0"/>
    <s v=""/>
    <s v=""/>
    <s v=""/>
    <s v=""/>
    <s v=""/>
    <s v=""/>
    <s v=""/>
    <s v=""/>
    <s v=""/>
    <s v=""/>
    <s v=""/>
    <s v=""/>
    <s v=""/>
    <s v=""/>
    <s v=""/>
    <s v=""/>
    <s v=""/>
    <s v=""/>
    <s v=""/>
    <s v="Flagged"/>
    <s v=""/>
    <s v="Flagged"/>
    <n v="4"/>
    <s v=""/>
    <m/>
    <m/>
    <n v="2"/>
    <s v="Flagged"/>
    <s v=""/>
    <n v="3"/>
  </r>
  <r>
    <s v=""/>
    <x v="6"/>
    <s v="SS06"/>
    <s v="Koch"/>
    <s v="SS0603"/>
    <m/>
    <m/>
    <m/>
    <n v="31198.282244133567"/>
    <s v="IDPs"/>
    <m/>
    <m/>
    <m/>
    <m/>
    <m/>
    <m/>
    <m/>
    <m/>
    <m/>
    <m/>
    <m/>
    <m/>
    <s v=""/>
    <s v=""/>
    <s v=""/>
    <s v=""/>
    <s v=""/>
    <s v=""/>
    <s v=""/>
    <s v=""/>
    <n v="0"/>
    <n v="0"/>
    <n v="0"/>
    <n v="0"/>
    <s v=""/>
    <s v=""/>
    <s v=""/>
    <s v=""/>
    <s v=""/>
    <s v=""/>
    <s v=""/>
    <s v=""/>
    <s v=""/>
    <s v=""/>
    <s v=""/>
    <s v=""/>
    <s v=""/>
    <s v=""/>
    <s v=""/>
    <s v=""/>
    <s v=""/>
    <s v=""/>
    <s v=""/>
    <s v="Flagged"/>
    <s v=""/>
    <s v="Flagged"/>
    <n v="4"/>
    <s v=""/>
    <m/>
    <m/>
    <n v="2"/>
    <s v="Flagged"/>
    <s v=""/>
    <n v="3"/>
  </r>
  <r>
    <s v=""/>
    <x v="6"/>
    <s v="SS06"/>
    <s v="Leer"/>
    <s v="SS0604"/>
    <m/>
    <m/>
    <m/>
    <n v="44969.201203905293"/>
    <s v="IDPs"/>
    <n v="20116"/>
    <n v="4386.543216035544"/>
    <n v="8463.0890299679504"/>
    <n v="17961.501973408838"/>
    <n v="22448.556874354894"/>
    <n v="16390.195342527695"/>
    <n v="26981.520722343175"/>
    <n v="4886.6994621013337"/>
    <m/>
    <m/>
    <m/>
    <m/>
    <n v="0.45"/>
    <n v="0.1"/>
    <n v="0.2"/>
    <n v="0.4"/>
    <n v="0.5"/>
    <n v="0.35000000000000003"/>
    <n v="0.60000000000000009"/>
    <n v="0.1"/>
    <n v="0"/>
    <n v="0"/>
    <n v="0"/>
    <n v="0"/>
    <n v="26981.520722343175"/>
    <s v="Shelter"/>
    <n v="0.6"/>
    <s v=""/>
    <s v=""/>
    <s v=""/>
    <n v="22448.556874354894"/>
    <s v="Health"/>
    <n v="0.49919847970093312"/>
    <n v="4532.9638479882815"/>
    <n v="0.20192673735596403"/>
    <s v=""/>
    <n v="20116"/>
    <s v="CCCM"/>
    <n v="0.44732838168032774"/>
    <n v="6865.5207223431753"/>
    <n v="0.34129651632248831"/>
    <s v=""/>
    <s v=""/>
    <s v="Flagged"/>
    <s v=""/>
    <s v="Flagged"/>
    <n v="4"/>
    <n v="26981.520722343175"/>
    <m/>
    <m/>
    <n v="2"/>
    <s v="Flagged"/>
    <n v="26981.520722343175"/>
    <n v="2"/>
  </r>
  <r>
    <s v=""/>
    <x v="6"/>
    <s v="SS06"/>
    <s v="Mayendit"/>
    <s v="SS0605"/>
    <m/>
    <m/>
    <m/>
    <n v="30389.775329136301"/>
    <s v="IDPs"/>
    <n v="12543"/>
    <n v="1377.7508543217234"/>
    <n v="7305.5912793264833"/>
    <n v="12610.420279895701"/>
    <n v="13127.117050010369"/>
    <n v="11322.524303036585"/>
    <n v="21272.842730395412"/>
    <n v="2923.2962893767944"/>
    <m/>
    <m/>
    <m/>
    <m/>
    <n v="0.4"/>
    <n v="0.05"/>
    <n v="0.25"/>
    <n v="0.4"/>
    <n v="0.45"/>
    <n v="0.35000000000000003"/>
    <n v="0.70000000000000007"/>
    <n v="0.1"/>
    <n v="0"/>
    <n v="0"/>
    <n v="0"/>
    <n v="0"/>
    <n v="21272.842730395412"/>
    <s v="Shelter"/>
    <n v="0.70000000000000007"/>
    <s v=""/>
    <s v=""/>
    <s v=""/>
    <n v="13127.117050010369"/>
    <s v="Health"/>
    <n v="0.43195834479976236"/>
    <n v="8145.7256803850432"/>
    <n v="0.62052662815089388"/>
    <s v="Flagged"/>
    <n v="12610.420279895701"/>
    <s v="Food Security"/>
    <n v="0.41495602199485226"/>
    <n v="8662.422450499711"/>
    <n v="0.68692575332400863"/>
    <s v="Flagged"/>
    <s v=""/>
    <s v="Flagged"/>
    <s v=""/>
    <s v="Flagged"/>
    <n v="4"/>
    <n v="21272.842730395412"/>
    <m/>
    <m/>
    <n v="4"/>
    <s v="Flagged"/>
    <n v="21272.842730395412"/>
    <n v="2"/>
  </r>
  <r>
    <s v=""/>
    <x v="6"/>
    <s v="SS06"/>
    <s v="Mayom"/>
    <s v="SS0606"/>
    <m/>
    <m/>
    <m/>
    <n v="44141.695035855759"/>
    <s v="IDPs"/>
    <m/>
    <m/>
    <m/>
    <m/>
    <m/>
    <m/>
    <m/>
    <m/>
    <m/>
    <m/>
    <m/>
    <m/>
    <s v=""/>
    <s v=""/>
    <s v=""/>
    <s v=""/>
    <s v=""/>
    <s v=""/>
    <s v=""/>
    <s v=""/>
    <n v="0"/>
    <n v="0"/>
    <n v="0"/>
    <n v="0"/>
    <s v=""/>
    <s v=""/>
    <s v=""/>
    <s v=""/>
    <s v=""/>
    <s v=""/>
    <s v=""/>
    <s v=""/>
    <s v=""/>
    <s v=""/>
    <s v=""/>
    <s v=""/>
    <s v=""/>
    <s v=""/>
    <s v=""/>
    <s v=""/>
    <s v=""/>
    <s v=""/>
    <s v=""/>
    <s v="Flagged"/>
    <s v=""/>
    <s v="Flagged"/>
    <n v="4"/>
    <s v=""/>
    <m/>
    <m/>
    <n v="2"/>
    <s v="Flagged"/>
    <s v=""/>
    <n v="3"/>
  </r>
  <r>
    <s v=""/>
    <x v="6"/>
    <s v="SS06"/>
    <s v="Panyijiar"/>
    <s v="SS0607"/>
    <m/>
    <m/>
    <m/>
    <n v="63061.040191389133"/>
    <s v="IDPs"/>
    <n v="27583"/>
    <n v="12479.729405043756"/>
    <n v="13869.297777122936"/>
    <n v="25599.689584140335"/>
    <n v="36467.024864190993"/>
    <n v="20542.774046341226"/>
    <n v="37836.624114833481"/>
    <n v="16332.939164796517"/>
    <m/>
    <m/>
    <m/>
    <m/>
    <n v="0.45"/>
    <n v="0.2"/>
    <n v="0.2"/>
    <n v="0.4"/>
    <n v="0.60000000000000009"/>
    <n v="0.35000000000000003"/>
    <n v="0.60000000000000009"/>
    <n v="0.25"/>
    <n v="0"/>
    <n v="0"/>
    <n v="0"/>
    <n v="0"/>
    <n v="37836.624114833481"/>
    <s v="Shelter"/>
    <n v="0.6"/>
    <s v=""/>
    <s v=""/>
    <s v=""/>
    <n v="36467.024864190993"/>
    <s v="Health"/>
    <n v="0.57828137235786503"/>
    <n v="1369.5992506424882"/>
    <n v="3.7557197378812607E-2"/>
    <s v=""/>
    <n v="27583"/>
    <s v="CCCM"/>
    <n v="0.43740160194449834"/>
    <n v="10253.624114833481"/>
    <n v="0.37173708859926335"/>
    <s v=""/>
    <s v=""/>
    <s v="Flagged"/>
    <s v=""/>
    <s v="Flagged"/>
    <n v="4"/>
    <n v="37836.624114833481"/>
    <m/>
    <m/>
    <n v="2"/>
    <s v="Flagged"/>
    <n v="37836.624114833481"/>
    <n v="1"/>
  </r>
  <r>
    <s v=""/>
    <x v="6"/>
    <s v="SS06"/>
    <s v="Pariang"/>
    <s v="SS0608"/>
    <m/>
    <m/>
    <m/>
    <n v="12256.01658411525"/>
    <s v="IDPs"/>
    <n v="0"/>
    <n v="925.18217990169205"/>
    <n v="2637.8329751267838"/>
    <n v="4094.5227847282067"/>
    <n v="7667.9788836034468"/>
    <n v="1759.8309278350516"/>
    <n v="3676.8049752345746"/>
    <n v="1684.5446580136527"/>
    <m/>
    <m/>
    <m/>
    <m/>
    <n v="0"/>
    <n v="0.1"/>
    <n v="0.2"/>
    <n v="0.35000000000000003"/>
    <n v="0.65"/>
    <n v="0.15000000000000002"/>
    <n v="0.30000000000000004"/>
    <n v="0.15000000000000002"/>
    <n v="0"/>
    <n v="0"/>
    <n v="0"/>
    <n v="0"/>
    <n v="7667.9788836034468"/>
    <s v="Health"/>
    <n v="0.6256501719769002"/>
    <s v=""/>
    <s v=""/>
    <s v=""/>
    <n v="4094.5227847282067"/>
    <s v="Food Security"/>
    <n v="0.3340826733243023"/>
    <n v="3573.4560988752401"/>
    <n v="0.87274055775279924"/>
    <s v="Flagged"/>
    <n v="3676.8049752345746"/>
    <s v="Shelter"/>
    <n v="0.3"/>
    <n v="3991.1739083688722"/>
    <n v="1.0855005732563341"/>
    <s v="Flagged"/>
    <s v=""/>
    <s v="Flagged"/>
    <s v=""/>
    <s v=""/>
    <n v="4"/>
    <n v="7667.9788836034468"/>
    <m/>
    <m/>
    <n v="3"/>
    <s v="Flagged"/>
    <n v="7667.9788836034468"/>
    <n v="2"/>
  </r>
  <r>
    <s v=""/>
    <x v="6"/>
    <s v="SS06"/>
    <s v="Rubkona"/>
    <s v="SS0609"/>
    <m/>
    <m/>
    <m/>
    <n v="233351.6448103383"/>
    <s v="IDPs"/>
    <n v="204648"/>
    <n v="64255.662244645791"/>
    <n v="41134.902441791375"/>
    <n v="108356.63210257863"/>
    <n v="132804.97200403735"/>
    <n v="94167.77191791551"/>
    <n v="100235.13833898622"/>
    <n v="38261.747316509944"/>
    <m/>
    <m/>
    <m/>
    <m/>
    <n v="0.9"/>
    <n v="0.30000000000000004"/>
    <n v="0.2"/>
    <n v="0.45"/>
    <n v="0.55000000000000004"/>
    <n v="0.4"/>
    <n v="0.45"/>
    <n v="0.15000000000000002"/>
    <n v="0"/>
    <n v="0"/>
    <n v="0"/>
    <n v="0"/>
    <n v="204648"/>
    <s v="CCCM"/>
    <n v="0.87699403261687814"/>
    <s v=""/>
    <s v=""/>
    <s v=""/>
    <n v="132804.97200403735"/>
    <s v="Health"/>
    <n v="0.56911950250866039"/>
    <n v="71843.02799596265"/>
    <n v="0.54096640292788567"/>
    <s v="Flagged"/>
    <n v="108356.63210257863"/>
    <s v="Food Security"/>
    <n v="0.46434912507536802"/>
    <n v="96291.367897421369"/>
    <n v="0.88865227747448472"/>
    <s v="Flagged"/>
    <s v=""/>
    <s v=""/>
    <s v=""/>
    <s v="Flagged"/>
    <n v="4"/>
    <n v="204648"/>
    <m/>
    <m/>
    <n v="3"/>
    <s v="Flagged"/>
    <n v="204648"/>
    <n v="1"/>
  </r>
  <r>
    <s v=""/>
    <x v="7"/>
    <s v="SS07"/>
    <s v="Baliet"/>
    <s v="SS0701"/>
    <m/>
    <m/>
    <m/>
    <n v="6074.719927136859"/>
    <s v="IDPs"/>
    <n v="592"/>
    <n v="486.8037560810393"/>
    <n v="2019.3172490671554"/>
    <n v="2712.3344911859526"/>
    <n v="2701.0477263767389"/>
    <n v="975.25458953931422"/>
    <n v="2126.1519744979005"/>
    <n v="4900.2949069299302"/>
    <m/>
    <m/>
    <m/>
    <m/>
    <n v="0.1"/>
    <n v="0.1"/>
    <n v="0.35000000000000003"/>
    <n v="0.45"/>
    <n v="0.45"/>
    <n v="0.15000000000000002"/>
    <n v="0.35000000000000003"/>
    <n v="0.8"/>
    <n v="0"/>
    <n v="0"/>
    <n v="0"/>
    <n v="0"/>
    <n v="4900.2949069299302"/>
    <s v="WASH"/>
    <n v="0.80667009602194784"/>
    <s v=""/>
    <s v=""/>
    <s v=""/>
    <n v="2712.3344911859526"/>
    <s v="Food Security"/>
    <n v="0.44649539793093507"/>
    <n v="2187.9604157439776"/>
    <n v="0.80667057210458748"/>
    <s v="Flagged"/>
    <n v="2701.0477263767389"/>
    <s v="Health"/>
    <n v="0.44463740860062967"/>
    <n v="2199.2471805531914"/>
    <n v="0.81422003731245551"/>
    <s v="Flagged"/>
    <s v=""/>
    <s v=""/>
    <s v=""/>
    <s v=""/>
    <n v="4"/>
    <n v="4900.2949069299302"/>
    <m/>
    <m/>
    <n v="2"/>
    <s v="Flagged"/>
    <n v="4900.2949069299302"/>
    <n v="2"/>
  </r>
  <r>
    <s v=""/>
    <x v="7"/>
    <s v="SS07"/>
    <s v="Fashoda"/>
    <s v="SS0702"/>
    <m/>
    <m/>
    <m/>
    <n v="30713.015967447398"/>
    <s v="IDPs"/>
    <n v="15575"/>
    <n v="10474.612669666001"/>
    <n v="5444.4795536661668"/>
    <n v="11909.444927664776"/>
    <n v="9464.7070587421695"/>
    <n v="16740.810733052764"/>
    <n v="17199.288941770545"/>
    <n v="27959.934408207315"/>
    <m/>
    <m/>
    <m/>
    <m/>
    <n v="0.5"/>
    <n v="0.35000000000000003"/>
    <n v="0.2"/>
    <n v="0.4"/>
    <n v="0.30000000000000004"/>
    <n v="0.55000000000000004"/>
    <n v="0.55000000000000004"/>
    <n v="0.9"/>
    <n v="0"/>
    <n v="0"/>
    <n v="0"/>
    <n v="0"/>
    <n v="27959.934408207315"/>
    <s v="WASH"/>
    <n v="0.91036108071711153"/>
    <s v=""/>
    <s v="Flagged"/>
    <s v=""/>
    <n v="17199.288941770545"/>
    <s v="Shelter"/>
    <n v="0.56000000000000005"/>
    <n v="10760.64546643677"/>
    <n v="0.62564478699484183"/>
    <s v="Flagged"/>
    <n v="16740.810733052764"/>
    <s v="Overarching Protection"/>
    <n v="0.54507218538212854"/>
    <n v="11219.123675154551"/>
    <n v="0.67016609016454087"/>
    <s v="Flagged"/>
    <s v=""/>
    <s v=""/>
    <s v=""/>
    <s v="Flagged"/>
    <n v="4"/>
    <n v="27959.934408207315"/>
    <m/>
    <m/>
    <n v="4"/>
    <s v="Flagged"/>
    <n v="27959.934408207315"/>
    <n v="1"/>
  </r>
  <r>
    <s v=""/>
    <x v="7"/>
    <s v="SS07"/>
    <s v="Longochuk"/>
    <s v="SS0703"/>
    <m/>
    <m/>
    <m/>
    <n v="4270.8268474169781"/>
    <s v="IDPs"/>
    <n v="0"/>
    <n v="1471.4770882493167"/>
    <n v="803.22324479776319"/>
    <n v="2237.5550141790695"/>
    <n v="1298.3398448072323"/>
    <n v="1737.3112220408948"/>
    <n v="2989.5787931918844"/>
    <n v="359.10748426643897"/>
    <m/>
    <m/>
    <m/>
    <m/>
    <n v="0"/>
    <n v="0.35000000000000003"/>
    <n v="0.2"/>
    <n v="0.5"/>
    <n v="0.30000000000000004"/>
    <n v="0.4"/>
    <n v="0.70000000000000007"/>
    <n v="0.1"/>
    <n v="0"/>
    <n v="0"/>
    <n v="0"/>
    <n v="0"/>
    <n v="2989.5787931918844"/>
    <s v="Shelter"/>
    <n v="0.7"/>
    <s v=""/>
    <s v=""/>
    <s v=""/>
    <n v="2237.5550141790695"/>
    <s v="Food Security"/>
    <n v="0.52391611604023614"/>
    <n v="752.02377901281488"/>
    <n v="0.33609174936363423"/>
    <s v="Flagged"/>
    <n v="1737.3112220408948"/>
    <s v="Overarching Protection"/>
    <n v="0.40678568439074769"/>
    <n v="1252.2675711509896"/>
    <n v="0.72080785253887703"/>
    <s v="Flagged"/>
    <s v=""/>
    <s v="Flagged"/>
    <s v=""/>
    <s v=""/>
    <n v="4"/>
    <n v="2989.5787931918844"/>
    <m/>
    <m/>
    <n v="3"/>
    <s v="Flagged"/>
    <n v="2989.5787931918844"/>
    <n v="2"/>
  </r>
  <r>
    <s v=""/>
    <x v="7"/>
    <s v="SS07"/>
    <s v="Luakpiny/Nasir"/>
    <s v="SS0704"/>
    <m/>
    <m/>
    <m/>
    <n v="17587.64076058444"/>
    <s v="IDPs"/>
    <n v="12381"/>
    <n v="0"/>
    <n v="3729.8510731024817"/>
    <n v="9488.3144215939865"/>
    <n v="9774.2941169991682"/>
    <n v="8489.7699031474203"/>
    <n v="7694.5928327556921"/>
    <n v="13190.730570438327"/>
    <m/>
    <m/>
    <m/>
    <m/>
    <n v="0.70000000000000007"/>
    <n v="0"/>
    <n v="0.2"/>
    <n v="0.55000000000000004"/>
    <n v="0.55000000000000004"/>
    <n v="0.5"/>
    <n v="0.45"/>
    <n v="0.75"/>
    <n v="0"/>
    <n v="0"/>
    <n v="0"/>
    <n v="0"/>
    <n v="13190.730570438327"/>
    <s v="WASH"/>
    <n v="0.74999999999999989"/>
    <s v=""/>
    <s v=""/>
    <s v=""/>
    <n v="12381"/>
    <s v="CCCM"/>
    <n v="0.70396025075443813"/>
    <n v="809.73057043832705"/>
    <n v="6.5401063762081171E-2"/>
    <s v=""/>
    <n v="9774.2941169991682"/>
    <s v="Health"/>
    <n v="0.55574788284874921"/>
    <n v="3416.4364534391589"/>
    <n v="0.34953280641487877"/>
    <s v=""/>
    <s v=""/>
    <s v=""/>
    <s v=""/>
    <s v=""/>
    <n v="4"/>
    <n v="13190.730570438327"/>
    <m/>
    <m/>
    <n v="0"/>
    <s v=""/>
    <n v="13190.730570438327"/>
    <n v="1"/>
  </r>
  <r>
    <s v=""/>
    <x v="7"/>
    <s v="SS07"/>
    <s v="Maban"/>
    <s v="SS0705"/>
    <m/>
    <m/>
    <m/>
    <n v="10736.997624544605"/>
    <s v="IDPs"/>
    <n v="5774"/>
    <n v="3698.0957753325883"/>
    <n v="1790.4208974488868"/>
    <n v="3967.6304385992098"/>
    <n v="4275.2961503323277"/>
    <n v="5163.5464309476283"/>
    <n v="7515.8983371812228"/>
    <n v="1789.4996040907672"/>
    <m/>
    <m/>
    <m/>
    <m/>
    <n v="0.55000000000000004"/>
    <n v="0.35000000000000003"/>
    <n v="0.15000000000000002"/>
    <n v="0.35000000000000003"/>
    <n v="0.4"/>
    <n v="0.5"/>
    <n v="0.70000000000000007"/>
    <n v="0.15000000000000002"/>
    <n v="0"/>
    <n v="0"/>
    <n v="0"/>
    <n v="0"/>
    <n v="7515.8983371812228"/>
    <s v="Shelter"/>
    <n v="0.7"/>
    <s v=""/>
    <s v=""/>
    <s v=""/>
    <n v="5774"/>
    <s v="CCCM"/>
    <n v="0.53776672044713214"/>
    <n v="1741.8983371812228"/>
    <n v="0.30167965659529317"/>
    <s v="Flagged"/>
    <n v="5163.5464309476283"/>
    <s v="Overarching Protection"/>
    <n v="0.48091157430675441"/>
    <n v="2352.3519062335945"/>
    <n v="0.45556904303887208"/>
    <s v=""/>
    <s v=""/>
    <s v="Flagged"/>
    <s v=""/>
    <s v=""/>
    <n v="4"/>
    <n v="7515.8983371812228"/>
    <m/>
    <m/>
    <n v="2"/>
    <s v="Flagged"/>
    <n v="7515.8983371812228"/>
    <n v="1"/>
  </r>
  <r>
    <s v=""/>
    <x v="7"/>
    <s v="SS07"/>
    <s v="Maiwut"/>
    <s v="SS0706"/>
    <m/>
    <m/>
    <m/>
    <n v="541.0592565619784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7"/>
    <s v="SS07"/>
    <s v="Malakal"/>
    <s v="SS0707"/>
    <m/>
    <m/>
    <m/>
    <n v="107560.86765914821"/>
    <s v="IDPs"/>
    <n v="59348"/>
    <n v="3013.7694631152058"/>
    <n v="22315.110124894109"/>
    <n v="49250.661159626798"/>
    <n v="65410.749382801841"/>
    <n v="39226.508448101798"/>
    <n v="59992.505330744163"/>
    <n v="67220.086111146898"/>
    <m/>
    <m/>
    <m/>
    <m/>
    <n v="0.55000000000000004"/>
    <n v="0.05"/>
    <n v="0.2"/>
    <n v="0.45"/>
    <n v="0.60000000000000009"/>
    <n v="0.35000000000000003"/>
    <n v="0.55000000000000004"/>
    <n v="0.60000000000000009"/>
    <n v="0"/>
    <n v="0"/>
    <n v="0"/>
    <n v="0"/>
    <n v="67220.086111146898"/>
    <s v="WASH"/>
    <n v="0.62494927359792207"/>
    <s v=""/>
    <s v=""/>
    <s v=""/>
    <n v="65410.749382801841"/>
    <s v="Health"/>
    <n v="0.60812775878754788"/>
    <n v="1809.3367283450571"/>
    <n v="2.7661152722105609E-2"/>
    <s v=""/>
    <n v="59992.505330744163"/>
    <s v="Shelter"/>
    <n v="0.55775401069518715"/>
    <n v="7227.5807804027354"/>
    <n v="0.12047472831075186"/>
    <s v=""/>
    <s v=""/>
    <s v=""/>
    <s v=""/>
    <s v="Flagged"/>
    <n v="4"/>
    <n v="67220.086111146898"/>
    <m/>
    <m/>
    <n v="1"/>
    <s v="Flagged"/>
    <n v="67220.086111146898"/>
    <n v="1"/>
  </r>
  <r>
    <s v=""/>
    <x v="7"/>
    <s v="SS07"/>
    <s v="Manyo"/>
    <s v="SS0708"/>
    <m/>
    <m/>
    <m/>
    <n v="19743.531183340554"/>
    <s v="IDPs"/>
    <m/>
    <m/>
    <m/>
    <m/>
    <m/>
    <m/>
    <m/>
    <m/>
    <m/>
    <m/>
    <m/>
    <m/>
    <s v=""/>
    <s v=""/>
    <s v=""/>
    <s v=""/>
    <s v=""/>
    <s v=""/>
    <s v=""/>
    <s v=""/>
    <n v="0"/>
    <n v="0"/>
    <n v="0"/>
    <n v="0"/>
    <s v=""/>
    <s v=""/>
    <s v=""/>
    <s v=""/>
    <s v=""/>
    <s v=""/>
    <s v=""/>
    <s v=""/>
    <s v=""/>
    <s v=""/>
    <s v=""/>
    <s v=""/>
    <s v=""/>
    <s v=""/>
    <s v=""/>
    <s v=""/>
    <s v=""/>
    <s v=""/>
    <s v=""/>
    <s v="Flagged"/>
    <s v=""/>
    <s v="Flagged"/>
    <n v="4"/>
    <s v=""/>
    <m/>
    <m/>
    <n v="2"/>
    <s v="Flagged"/>
    <s v=""/>
    <n v="3"/>
  </r>
  <r>
    <s v=""/>
    <x v="7"/>
    <s v="SS07"/>
    <s v="Melut"/>
    <s v="SS0709"/>
    <m/>
    <m/>
    <m/>
    <n v="33846.254411291047"/>
    <s v="IDPs"/>
    <n v="0"/>
    <n v="0"/>
    <m/>
    <n v="0"/>
    <n v="0"/>
    <n v="0"/>
    <n v="0"/>
    <n v="0"/>
    <m/>
    <m/>
    <m/>
    <m/>
    <n v="0"/>
    <n v="0"/>
    <s v=""/>
    <n v="0"/>
    <n v="0"/>
    <n v="0"/>
    <n v="0"/>
    <n v="0"/>
    <n v="0"/>
    <n v="0"/>
    <n v="0"/>
    <n v="0"/>
    <n v="0"/>
    <s v="CCCM_x000a_Education_x000a_Nutrition_x000a_Food Security_x000a_Health_x000a_Overarching Protection_x000a_Shelter_x000a_WASH"/>
    <n v="0"/>
    <s v=""/>
    <s v=""/>
    <s v=""/>
    <s v="NA"/>
    <s v=""/>
    <s v=""/>
    <s v=""/>
    <s v=""/>
    <s v=""/>
    <n v="0"/>
    <s v="CCCM_x000a_Education_x000a_Nutrition_x000a_Food Security_x000a_Health_x000a_Overarching Protection_x000a_Shelter_x000a_WASH"/>
    <n v="0"/>
    <n v="0"/>
    <s v=""/>
    <s v=""/>
    <s v=""/>
    <s v="Flagged"/>
    <s v=""/>
    <s v=""/>
    <n v="4"/>
    <n v="0"/>
    <m/>
    <m/>
    <n v="1"/>
    <s v="Flagged"/>
    <n v="0"/>
    <n v="4"/>
  </r>
  <r>
    <s v=""/>
    <x v="7"/>
    <s v="SS07"/>
    <s v="Panyikang"/>
    <s v="SS0710"/>
    <m/>
    <m/>
    <m/>
    <n v="17038.14092740557"/>
    <s v="IDPs"/>
    <n v="1984"/>
    <n v="1409.2553047593842"/>
    <n v="4777.6809424247476"/>
    <n v="8336.8899108872847"/>
    <n v="9321.9440506130777"/>
    <n v="7017.5177811698222"/>
    <n v="9852.4901884562623"/>
    <n v="15524.42179542532"/>
    <m/>
    <m/>
    <m/>
    <m/>
    <n v="0.1"/>
    <n v="0.1"/>
    <n v="0.30000000000000004"/>
    <n v="0.5"/>
    <n v="0.55000000000000004"/>
    <n v="0.4"/>
    <n v="0.60000000000000009"/>
    <n v="0.9"/>
    <n v="0"/>
    <n v="0"/>
    <n v="0"/>
    <n v="0"/>
    <n v="15524.42179542532"/>
    <s v="WASH"/>
    <n v="0.91115702479338823"/>
    <s v=""/>
    <s v="Flagged"/>
    <s v=""/>
    <n v="9852.4901884562623"/>
    <s v="Shelter"/>
    <n v="0.57826086956521727"/>
    <n v="5671.9316069690576"/>
    <n v="0.57568508046976952"/>
    <s v="Flagged"/>
    <n v="9321.9440506130777"/>
    <s v="Health"/>
    <n v="0.54712213558574829"/>
    <n v="6202.4777448122422"/>
    <n v="0.66536311644182444"/>
    <s v="Flagged"/>
    <s v=""/>
    <s v=""/>
    <s v=""/>
    <s v="Flagged"/>
    <n v="4"/>
    <n v="15524.42179542532"/>
    <m/>
    <m/>
    <n v="4"/>
    <s v="Flagged"/>
    <n v="15524.42179542532"/>
    <n v="2"/>
  </r>
  <r>
    <s v=""/>
    <x v="7"/>
    <s v="SS07"/>
    <s v="Renk"/>
    <s v="SS0711"/>
    <m/>
    <m/>
    <m/>
    <n v="119449.90934019189"/>
    <s v="IDPs"/>
    <n v="11554"/>
    <n v="21877.250895656147"/>
    <n v="19541.698900197116"/>
    <n v="43135.041624416102"/>
    <n v="35332.616272001105"/>
    <n v="33882.885885087802"/>
    <n v="27871.645512711442"/>
    <n v="23697.452864643696"/>
    <m/>
    <m/>
    <m/>
    <m/>
    <n v="0.1"/>
    <n v="0.2"/>
    <n v="0.15000000000000002"/>
    <n v="0.35000000000000003"/>
    <n v="0.30000000000000004"/>
    <n v="0.30000000000000004"/>
    <n v="0.25"/>
    <n v="0.2"/>
    <n v="0"/>
    <n v="0"/>
    <n v="0"/>
    <n v="0"/>
    <n v="43135.041624416102"/>
    <s v="Food Security"/>
    <n v="0.36111405912890254"/>
    <s v=""/>
    <s v=""/>
    <s v=""/>
    <n v="35332.616272001105"/>
    <s v="Health"/>
    <n v="0.29579441681595792"/>
    <n v="7802.4253524149972"/>
    <n v="0.22082784055246801"/>
    <s v=""/>
    <n v="33882.885885087802"/>
    <s v="Overarching Protection"/>
    <n v="0.28365769444487188"/>
    <n v="9252.1557393283001"/>
    <n v="0.27306280140087674"/>
    <s v=""/>
    <s v=""/>
    <s v=""/>
    <s v=""/>
    <s v="Flagged"/>
    <n v="4"/>
    <n v="43135.041624416102"/>
    <m/>
    <m/>
    <n v="1"/>
    <s v="Flagged"/>
    <n v="43135.041624416102"/>
    <n v="1"/>
  </r>
  <r>
    <s v=""/>
    <x v="7"/>
    <s v="SS07"/>
    <s v="Ulang"/>
    <s v="SS0712"/>
    <m/>
    <m/>
    <m/>
    <n v="18966"/>
    <s v="IDPs"/>
    <n v="18966"/>
    <n v="6161.2947599999998"/>
    <n v="3813.6559315961349"/>
    <n v="9775.2632140054211"/>
    <n v="11004.401041173787"/>
    <n v="8096.2186060682088"/>
    <n v="8850.7999999999993"/>
    <n v="14224.500000000002"/>
    <m/>
    <m/>
    <m/>
    <m/>
    <n v="1"/>
    <n v="0.30000000000000004"/>
    <n v="0.2"/>
    <n v="0.5"/>
    <n v="0.60000000000000009"/>
    <n v="0.45"/>
    <n v="0.45"/>
    <n v="0.75"/>
    <n v="0"/>
    <n v="0"/>
    <n v="0"/>
    <n v="0"/>
    <n v="18966"/>
    <s v="CCCM"/>
    <n v="1"/>
    <s v=""/>
    <s v="Flagged"/>
    <s v=""/>
    <n v="14224.500000000002"/>
    <s v="WASH"/>
    <n v="0.75000000000000011"/>
    <n v="4741.4999999999982"/>
    <n v="0.33333333333333315"/>
    <s v="Flagged"/>
    <n v="11004.401041173787"/>
    <s v="Health"/>
    <n v="0.58021728573098108"/>
    <n v="7961.5989588262128"/>
    <n v="0.72349225814629037"/>
    <s v="Flagged"/>
    <s v=""/>
    <s v=""/>
    <s v=""/>
    <s v=""/>
    <n v="4"/>
    <n v="18966"/>
    <m/>
    <m/>
    <n v="3"/>
    <s v="Flagged"/>
    <n v="18966"/>
    <n v="1"/>
  </r>
  <r>
    <s v=""/>
    <x v="8"/>
    <s v="SS08"/>
    <s v="Gogrial East"/>
    <s v="SS0801"/>
    <m/>
    <m/>
    <m/>
    <n v="18326.432795999659"/>
    <s v="IDPs"/>
    <m/>
    <m/>
    <m/>
    <m/>
    <m/>
    <m/>
    <m/>
    <m/>
    <m/>
    <m/>
    <m/>
    <m/>
    <s v=""/>
    <s v=""/>
    <s v=""/>
    <s v=""/>
    <s v=""/>
    <s v=""/>
    <s v=""/>
    <s v=""/>
    <n v="0"/>
    <n v="0"/>
    <n v="0"/>
    <n v="0"/>
    <s v=""/>
    <s v=""/>
    <s v=""/>
    <s v=""/>
    <s v=""/>
    <s v=""/>
    <s v=""/>
    <s v=""/>
    <s v=""/>
    <s v=""/>
    <s v=""/>
    <s v=""/>
    <s v=""/>
    <s v=""/>
    <s v=""/>
    <s v=""/>
    <s v=""/>
    <s v=""/>
    <s v=""/>
    <s v="Flagged"/>
    <s v=""/>
    <s v="Flagged"/>
    <n v="4"/>
    <s v=""/>
    <m/>
    <m/>
    <n v="2"/>
    <s v="Flagged"/>
    <s v=""/>
    <n v="3"/>
  </r>
  <r>
    <s v=""/>
    <x v="8"/>
    <s v="SS08"/>
    <s v="Gogrial West"/>
    <s v="SS0802"/>
    <m/>
    <m/>
    <m/>
    <n v="24686.538616861621"/>
    <s v="IDPs"/>
    <m/>
    <m/>
    <m/>
    <m/>
    <m/>
    <m/>
    <m/>
    <m/>
    <m/>
    <m/>
    <m/>
    <m/>
    <s v=""/>
    <s v=""/>
    <s v=""/>
    <s v=""/>
    <s v=""/>
    <s v=""/>
    <s v=""/>
    <s v=""/>
    <n v="0"/>
    <n v="0"/>
    <n v="0"/>
    <n v="0"/>
    <s v=""/>
    <s v=""/>
    <s v=""/>
    <s v=""/>
    <s v=""/>
    <s v=""/>
    <s v=""/>
    <s v=""/>
    <s v=""/>
    <s v=""/>
    <s v=""/>
    <s v=""/>
    <s v=""/>
    <s v=""/>
    <s v=""/>
    <s v=""/>
    <s v=""/>
    <s v=""/>
    <s v=""/>
    <s v="Flagged"/>
    <s v=""/>
    <s v="Flagged"/>
    <n v="4"/>
    <s v=""/>
    <m/>
    <m/>
    <n v="2"/>
    <s v="Flagged"/>
    <s v=""/>
    <n v="3"/>
  </r>
  <r>
    <s v=""/>
    <x v="8"/>
    <s v="SS08"/>
    <s v="Tonj East"/>
    <s v="SS0803"/>
    <m/>
    <m/>
    <m/>
    <n v="23538.621025019514"/>
    <s v="IDPs"/>
    <n v="192"/>
    <n v="7700.4762670911396"/>
    <n v="5891.1816534653799"/>
    <n v="9720.1228223356502"/>
    <n v="7048.1715905523179"/>
    <n v="9872.894727510773"/>
    <n v="16477.034717513659"/>
    <n v="3529.5823193380597"/>
    <m/>
    <m/>
    <m/>
    <m/>
    <n v="0"/>
    <n v="0.35000000000000003"/>
    <n v="0.25"/>
    <n v="0.4"/>
    <n v="0.30000000000000004"/>
    <n v="0.4"/>
    <n v="0.70000000000000007"/>
    <n v="0.15000000000000002"/>
    <n v="0"/>
    <n v="0"/>
    <n v="0"/>
    <n v="0"/>
    <n v="16477.034717513659"/>
    <s v="Shelter"/>
    <n v="0.7"/>
    <s v=""/>
    <s v=""/>
    <s v=""/>
    <n v="9872.894727510773"/>
    <s v="Overarching Protection"/>
    <n v="0.41943386220529832"/>
    <n v="6604.1399900028864"/>
    <n v="0.66891627757363625"/>
    <s v="Flagged"/>
    <n v="9720.1228223356502"/>
    <s v="Food Security"/>
    <n v="0.41294359648358336"/>
    <n v="6756.9118951780092"/>
    <n v="0.69514676086720373"/>
    <s v="Flagged"/>
    <s v=""/>
    <s v="Flagged"/>
    <s v=""/>
    <s v=""/>
    <n v="4"/>
    <n v="16477.034717513659"/>
    <m/>
    <m/>
    <n v="3"/>
    <s v="Flagged"/>
    <n v="16477.034717513659"/>
    <n v="2"/>
  </r>
  <r>
    <s v=""/>
    <x v="8"/>
    <s v="SS08"/>
    <s v="Tonj North"/>
    <s v="SS0804"/>
    <m/>
    <m/>
    <m/>
    <n v="35756.212335130236"/>
    <s v="IDPs"/>
    <m/>
    <m/>
    <m/>
    <m/>
    <m/>
    <m/>
    <m/>
    <m/>
    <m/>
    <m/>
    <m/>
    <m/>
    <s v=""/>
    <s v=""/>
    <s v=""/>
    <s v=""/>
    <s v=""/>
    <s v=""/>
    <s v=""/>
    <s v=""/>
    <n v="0"/>
    <n v="0"/>
    <n v="0"/>
    <n v="0"/>
    <s v=""/>
    <s v=""/>
    <s v=""/>
    <s v=""/>
    <s v=""/>
    <s v=""/>
    <s v=""/>
    <s v=""/>
    <s v=""/>
    <s v=""/>
    <s v=""/>
    <s v=""/>
    <s v=""/>
    <s v=""/>
    <s v=""/>
    <s v=""/>
    <s v=""/>
    <s v=""/>
    <s v=""/>
    <s v="Flagged"/>
    <s v=""/>
    <s v="Flagged"/>
    <n v="4"/>
    <s v=""/>
    <m/>
    <m/>
    <n v="2"/>
    <s v="Flagged"/>
    <s v=""/>
    <n v="3"/>
  </r>
  <r>
    <s v=""/>
    <x v="8"/>
    <s v="SS08"/>
    <s v="Tonj South"/>
    <s v="SS0805"/>
    <m/>
    <m/>
    <m/>
    <n v="7457.5791677040434"/>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8"/>
    <s v="SS08"/>
    <s v="Twic"/>
    <s v="SS0806"/>
    <m/>
    <m/>
    <m/>
    <n v="150879.3340223525"/>
    <s v="IDPs"/>
    <n v="67460"/>
    <n v="18528.283976612929"/>
    <n v="35940.485923085216"/>
    <n v="49939.952433345177"/>
    <n v="82033.862123911051"/>
    <n v="55244.503987392018"/>
    <n v="59695.736504495995"/>
    <n v="19332.061445165113"/>
    <m/>
    <m/>
    <m/>
    <m/>
    <n v="0.45"/>
    <n v="0.1"/>
    <n v="0.25"/>
    <n v="0.35000000000000003"/>
    <n v="0.55000000000000004"/>
    <n v="0.35000000000000003"/>
    <n v="0.4"/>
    <n v="0.15000000000000002"/>
    <n v="0"/>
    <n v="0"/>
    <n v="0"/>
    <n v="0"/>
    <n v="82033.862123911051"/>
    <s v="Health"/>
    <n v="0.54370509159165481"/>
    <s v=""/>
    <s v=""/>
    <s v=""/>
    <n v="67460"/>
    <s v="CCCM"/>
    <n v="0.44711225985399644"/>
    <n v="14573.862123911051"/>
    <n v="0.21603709048193079"/>
    <s v=""/>
    <n v="59695.736504495995"/>
    <s v="Shelter"/>
    <n v="0.39565217391304353"/>
    <n v="22338.125619415056"/>
    <n v="0.37419968204484177"/>
    <s v=""/>
    <s v=""/>
    <s v="Flagged"/>
    <s v=""/>
    <s v=""/>
    <n v="4"/>
    <n v="82033.862123911051"/>
    <m/>
    <m/>
    <n v="1"/>
    <s v="Flagged"/>
    <n v="82033.862123911051"/>
    <n v="1"/>
  </r>
  <r>
    <s v=""/>
    <x v="9"/>
    <s v="SS09"/>
    <s v="Jur River"/>
    <s v="SS0901"/>
    <m/>
    <m/>
    <m/>
    <n v="47398.331065600592"/>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9"/>
    <s v="SS09"/>
    <s v="Raja"/>
    <s v="SS0902"/>
    <m/>
    <m/>
    <m/>
    <n v="7607.0241213008612"/>
    <s v="IDPs"/>
    <m/>
    <m/>
    <m/>
    <m/>
    <m/>
    <m/>
    <m/>
    <m/>
    <m/>
    <m/>
    <m/>
    <m/>
    <s v=""/>
    <s v=""/>
    <s v=""/>
    <s v=""/>
    <s v=""/>
    <s v=""/>
    <s v=""/>
    <s v=""/>
    <n v="0"/>
    <n v="0"/>
    <n v="0"/>
    <n v="0"/>
    <s v=""/>
    <s v=""/>
    <s v=""/>
    <s v=""/>
    <s v=""/>
    <s v=""/>
    <s v=""/>
    <s v=""/>
    <s v=""/>
    <s v=""/>
    <s v=""/>
    <s v=""/>
    <s v=""/>
    <s v=""/>
    <s v=""/>
    <s v=""/>
    <s v=""/>
    <s v=""/>
    <s v=""/>
    <s v="Flagged"/>
    <s v=""/>
    <s v="Flagged"/>
    <n v="4"/>
    <s v=""/>
    <m/>
    <m/>
    <n v="2"/>
    <s v="Flagged"/>
    <s v=""/>
    <n v="3"/>
  </r>
  <r>
    <s v=""/>
    <x v="9"/>
    <s v="SS09"/>
    <s v="Wau"/>
    <s v="SS0903"/>
    <m/>
    <m/>
    <m/>
    <n v="17868.652727011824"/>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0"/>
    <s v="SS10"/>
    <s v="Ezo"/>
    <s v="SS1001"/>
    <m/>
    <m/>
    <m/>
    <n v="41205.344743342968"/>
    <s v="IDPs"/>
    <m/>
    <m/>
    <m/>
    <m/>
    <m/>
    <m/>
    <m/>
    <m/>
    <m/>
    <m/>
    <m/>
    <m/>
    <s v=""/>
    <s v=""/>
    <s v=""/>
    <s v=""/>
    <s v=""/>
    <s v=""/>
    <s v=""/>
    <s v=""/>
    <n v="0"/>
    <n v="0"/>
    <n v="0"/>
    <n v="0"/>
    <s v=""/>
    <s v=""/>
    <s v=""/>
    <s v=""/>
    <s v=""/>
    <s v=""/>
    <s v=""/>
    <s v=""/>
    <s v=""/>
    <s v=""/>
    <s v=""/>
    <s v=""/>
    <s v=""/>
    <s v=""/>
    <s v=""/>
    <s v=""/>
    <s v=""/>
    <s v=""/>
    <s v=""/>
    <s v="Flagged"/>
    <s v=""/>
    <s v="Flagged"/>
    <n v="4"/>
    <s v=""/>
    <m/>
    <m/>
    <n v="2"/>
    <s v="Flagged"/>
    <s v=""/>
    <n v="3"/>
  </r>
  <r>
    <s v=""/>
    <x v="10"/>
    <s v="SS10"/>
    <s v="Ibba"/>
    <s v="SS1002"/>
    <m/>
    <m/>
    <m/>
    <n v="7434.8763775539119"/>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aridi"/>
    <s v="SS1003"/>
    <m/>
    <m/>
    <m/>
    <n v="11522.074781291758"/>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East"/>
    <s v="SS1004"/>
    <m/>
    <m/>
    <m/>
    <n v="17357.293062226148"/>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West"/>
    <s v="SS1005"/>
    <m/>
    <m/>
    <m/>
    <n v="1326.2143950586142"/>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volo"/>
    <s v="SS1006"/>
    <m/>
    <m/>
    <m/>
    <n v="0"/>
    <s v="IDPs"/>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n v="5"/>
  </r>
  <r>
    <s v=""/>
    <x v="10"/>
    <s v="SS10"/>
    <s v="Nagero"/>
    <s v="SS1007"/>
    <m/>
    <m/>
    <m/>
    <n v="36534.526328235108"/>
    <s v="IDPs"/>
    <n v="3510"/>
    <n v="1916.1336092422125"/>
    <n v="6836.870387112871"/>
    <n v="10717.118264456685"/>
    <n v="13828.875993010917"/>
    <n v="11971.050628910942"/>
    <n v="6850.2236865440827"/>
    <n v="10035.718651891744"/>
    <m/>
    <m/>
    <m/>
    <m/>
    <n v="0.1"/>
    <n v="0.05"/>
    <n v="0.2"/>
    <n v="0.30000000000000004"/>
    <n v="0.4"/>
    <n v="0.35000000000000003"/>
    <n v="0.2"/>
    <n v="0.25"/>
    <n v="0"/>
    <n v="0"/>
    <n v="0"/>
    <n v="0"/>
    <n v="13828.875993010917"/>
    <s v="Health"/>
    <n v="0.37851526714124928"/>
    <s v=""/>
    <s v=""/>
    <s v=""/>
    <n v="11971.050628910942"/>
    <s v="Overarching Protection"/>
    <n v="0.32766404363259288"/>
    <n v="1857.8253640999756"/>
    <n v="0.15519317574459127"/>
    <s v=""/>
    <n v="10717.118264456685"/>
    <s v="Food Security"/>
    <n v="0.29334219823110547"/>
    <n v="3111.757728554232"/>
    <n v="0.29035396006353448"/>
    <s v=""/>
    <s v=""/>
    <s v="Flagged"/>
    <s v=""/>
    <s v=""/>
    <n v="4"/>
    <n v="13828.875993010917"/>
    <m/>
    <m/>
    <n v="1"/>
    <s v="Flagged"/>
    <n v="13828.875993010917"/>
    <n v="2"/>
  </r>
  <r>
    <s v=""/>
    <x v="10"/>
    <s v="SS10"/>
    <s v="Nzara"/>
    <s v="SS1008"/>
    <m/>
    <m/>
    <m/>
    <n v="2761.8509896481692"/>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Tambura"/>
    <s v="SS1009"/>
    <m/>
    <m/>
    <m/>
    <n v="24855.8360229996"/>
    <s v="IDPs"/>
    <n v="22574"/>
    <n v="5005.1948441154063"/>
    <n v="4559.3211983314986"/>
    <n v="5860.7803064083755"/>
    <n v="10584.306921328942"/>
    <n v="9827.0573294629885"/>
    <n v="16887.347415626198"/>
    <n v="13530.703946162206"/>
    <m/>
    <m/>
    <m/>
    <m/>
    <n v="0.9"/>
    <n v="0.2"/>
    <n v="0.2"/>
    <n v="0.25"/>
    <n v="0.45"/>
    <n v="0.4"/>
    <n v="0.70000000000000007"/>
    <n v="0.55000000000000004"/>
    <n v="0"/>
    <n v="0"/>
    <n v="0"/>
    <n v="0"/>
    <n v="22574"/>
    <s v="CCCM"/>
    <n v="0.90819717265240363"/>
    <s v=""/>
    <s v="Flagged"/>
    <s v=""/>
    <n v="16887.347415626198"/>
    <s v="Shelter"/>
    <n v="0.67941176470588238"/>
    <n v="5686.6525843738018"/>
    <n v="0.33674042728059406"/>
    <s v="Flagged"/>
    <n v="13530.703946162206"/>
    <s v="WASH"/>
    <n v="0.54436728395061729"/>
    <n v="9043.2960538377938"/>
    <n v="0.66835370057762566"/>
    <s v="Flagged"/>
    <s v=""/>
    <s v=""/>
    <s v=""/>
    <s v="Flagged"/>
    <n v="4"/>
    <n v="22574"/>
    <m/>
    <m/>
    <n v="4"/>
    <s v="Flagged"/>
    <n v="22574"/>
    <n v="2"/>
  </r>
  <r>
    <s v=""/>
    <x v="10"/>
    <s v="SS10"/>
    <s v="Yambio"/>
    <s v="SS1010"/>
    <m/>
    <m/>
    <m/>
    <n v="10973.797642312536"/>
    <s v="IDP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0"/>
    <s v="SS00"/>
    <s v="Abyei Administrative Area"/>
    <s v="SS0001"/>
    <m/>
    <m/>
    <m/>
    <n v="14516.802522734295"/>
    <s v="Residents"/>
    <n v="0"/>
    <n v="384.11459475154942"/>
    <n v="3895.0672639218305"/>
    <n v="5017.9928151869372"/>
    <n v="7113.7750119754764"/>
    <n v="1196.0752409006939"/>
    <n v="457.37870962039574"/>
    <n v="1568.1731120237662"/>
    <m/>
    <m/>
    <m/>
    <m/>
    <n v="0"/>
    <n v="0.05"/>
    <n v="0.25"/>
    <n v="0.35000000000000003"/>
    <n v="0.5"/>
    <n v="0.1"/>
    <n v="0.05"/>
    <n v="0.1"/>
    <n v="0"/>
    <n v="0"/>
    <n v="0"/>
    <n v="0"/>
    <n v="7113.7750119754764"/>
    <s v="Health"/>
    <n v="0.49003732060381916"/>
    <s v=""/>
    <s v=""/>
    <s v=""/>
    <n v="5017.9928151869372"/>
    <s v="Food Security"/>
    <n v="0.34566791187855733"/>
    <n v="2095.7821967885393"/>
    <n v="0.41765348695710802"/>
    <s v="Flagged"/>
    <n v="3895.0672639218305"/>
    <s v="Nutrition"/>
    <n v="0.26831440724098105"/>
    <n v="3218.7077480536459"/>
    <n v="0.82635485601674108"/>
    <s v="Flagged"/>
    <s v=""/>
    <s v="Flagged"/>
    <s v=""/>
    <s v=""/>
    <n v="4"/>
    <n v="7113.7750119754764"/>
    <m/>
    <m/>
    <n v="3"/>
    <s v="Flagged"/>
    <n v="7113.7750119754764"/>
    <n v="1"/>
  </r>
  <r>
    <s v=""/>
    <x v="1"/>
    <s v="SS01"/>
    <s v="Juba"/>
    <s v="SS0101"/>
    <m/>
    <m/>
    <m/>
    <n v="310546.09109739598"/>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Kajo-Keji"/>
    <s v="SS0102"/>
    <m/>
    <m/>
    <m/>
    <n v="165087.87496325735"/>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Lainya"/>
    <s v="SS0103"/>
    <m/>
    <m/>
    <m/>
    <n v="81323.353354623177"/>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Morobo"/>
    <s v="SS0104"/>
    <m/>
    <m/>
    <m/>
    <n v="76038.235545987191"/>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Terekeka"/>
    <s v="SS0105"/>
    <m/>
    <m/>
    <m/>
    <n v="198861.4986441193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Yei"/>
    <s v="SS0106"/>
    <m/>
    <m/>
    <m/>
    <n v="194205.2688130234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2"/>
    <s v="SS02"/>
    <s v="Budi"/>
    <s v="SS0201"/>
    <m/>
    <m/>
    <m/>
    <n v="80977.34299092931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Ikotos"/>
    <s v="SS0202"/>
    <m/>
    <m/>
    <m/>
    <n v="79454.88062065347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Kapoeta East"/>
    <s v="SS0203"/>
    <m/>
    <m/>
    <m/>
    <n v="135919.18209910189"/>
    <s v="Residents"/>
    <n v="0"/>
    <n v="9285.9985210106443"/>
    <n v="39397.422947361774"/>
    <n v="54978.271363370288"/>
    <n v="36905.722333005782"/>
    <n v="27605.384287703775"/>
    <n v="7022.4910751202642"/>
    <n v="76163.217952651743"/>
    <m/>
    <m/>
    <m/>
    <m/>
    <n v="0"/>
    <n v="0.05"/>
    <n v="0.30000000000000004"/>
    <n v="0.4"/>
    <n v="0.25"/>
    <n v="0.2"/>
    <n v="0.05"/>
    <n v="0.55000000000000004"/>
    <n v="0"/>
    <n v="0"/>
    <n v="0"/>
    <n v="0"/>
    <n v="76163.217952651743"/>
    <s v="WASH"/>
    <n v="0.56035665294924553"/>
    <s v=""/>
    <s v=""/>
    <s v=""/>
    <n v="54978.271363370288"/>
    <s v="Food Security"/>
    <n v="0.40449236461182003"/>
    <n v="21184.946589281455"/>
    <n v="0.3853330791225294"/>
    <s v="Flagged"/>
    <n v="39397.422947361774"/>
    <s v="Nutrition"/>
    <n v="0.28985918204419581"/>
    <n v="36765.795005289969"/>
    <n v="0.93320304362069872"/>
    <s v="Flagged"/>
    <s v=""/>
    <s v=""/>
    <s v=""/>
    <s v=""/>
    <n v="4"/>
    <n v="76163.217952651743"/>
    <m/>
    <m/>
    <n v="2"/>
    <s v="Flagged"/>
    <n v="76163.217952651743"/>
    <n v="2"/>
  </r>
  <r>
    <s v=""/>
    <x v="2"/>
    <s v="SS02"/>
    <s v="Kapoeta North"/>
    <s v="SS0204"/>
    <m/>
    <m/>
    <m/>
    <n v="121484.03458105327"/>
    <s v="Residents"/>
    <m/>
    <m/>
    <m/>
    <m/>
    <m/>
    <m/>
    <m/>
    <m/>
    <m/>
    <m/>
    <m/>
    <m/>
    <s v=""/>
    <s v=""/>
    <s v=""/>
    <s v=""/>
    <s v=""/>
    <s v=""/>
    <s v=""/>
    <s v=""/>
    <n v="0"/>
    <n v="0"/>
    <n v="0"/>
    <n v="0"/>
    <s v=""/>
    <s v=""/>
    <s v=""/>
    <s v=""/>
    <s v=""/>
    <s v=""/>
    <s v=""/>
    <s v=""/>
    <s v=""/>
    <s v=""/>
    <s v=""/>
    <s v=""/>
    <s v=""/>
    <s v=""/>
    <s v=""/>
    <s v=""/>
    <s v=""/>
    <s v=""/>
    <s v=""/>
    <s v="Flagged"/>
    <s v=""/>
    <s v="Flagged"/>
    <n v="4"/>
    <s v=""/>
    <m/>
    <m/>
    <n v="2"/>
    <s v="Flagged"/>
    <s v=""/>
    <n v="3"/>
  </r>
  <r>
    <s v=""/>
    <x v="2"/>
    <s v="SS02"/>
    <s v="Kapoeta South"/>
    <s v="SS0205"/>
    <m/>
    <m/>
    <m/>
    <n v="79271.088602523028"/>
    <s v="Residents"/>
    <m/>
    <m/>
    <m/>
    <m/>
    <m/>
    <m/>
    <m/>
    <m/>
    <m/>
    <m/>
    <m/>
    <m/>
    <s v=""/>
    <s v=""/>
    <s v=""/>
    <s v=""/>
    <s v=""/>
    <s v=""/>
    <s v=""/>
    <s v=""/>
    <n v="0"/>
    <n v="0"/>
    <n v="0"/>
    <n v="0"/>
    <s v=""/>
    <s v=""/>
    <s v=""/>
    <s v=""/>
    <s v=""/>
    <s v=""/>
    <s v=""/>
    <s v=""/>
    <s v=""/>
    <s v=""/>
    <s v=""/>
    <s v=""/>
    <s v=""/>
    <s v=""/>
    <s v=""/>
    <s v=""/>
    <s v=""/>
    <s v=""/>
    <s v=""/>
    <s v="Flagged"/>
    <s v=""/>
    <s v="Flagged"/>
    <n v="4"/>
    <s v=""/>
    <m/>
    <m/>
    <n v="2"/>
    <s v="Flagged"/>
    <s v=""/>
    <n v="3"/>
  </r>
  <r>
    <s v=""/>
    <x v="2"/>
    <s v="SS02"/>
    <s v="Lafon"/>
    <s v="SS0206"/>
    <m/>
    <m/>
    <m/>
    <n v="107170.91979145796"/>
    <s v="Residents"/>
    <m/>
    <m/>
    <m/>
    <m/>
    <m/>
    <m/>
    <m/>
    <m/>
    <m/>
    <m/>
    <m/>
    <m/>
    <s v=""/>
    <s v=""/>
    <s v=""/>
    <s v=""/>
    <s v=""/>
    <s v=""/>
    <s v=""/>
    <s v=""/>
    <n v="0"/>
    <n v="0"/>
    <n v="0"/>
    <n v="0"/>
    <s v=""/>
    <s v=""/>
    <s v=""/>
    <s v=""/>
    <s v=""/>
    <s v=""/>
    <s v=""/>
    <s v=""/>
    <s v=""/>
    <s v=""/>
    <s v=""/>
    <s v=""/>
    <s v=""/>
    <s v=""/>
    <s v=""/>
    <s v=""/>
    <s v=""/>
    <s v=""/>
    <s v=""/>
    <s v="Flagged"/>
    <s v=""/>
    <s v="Flagged"/>
    <n v="4"/>
    <s v=""/>
    <m/>
    <m/>
    <n v="2"/>
    <s v="Flagged"/>
    <s v=""/>
    <n v="3"/>
  </r>
  <r>
    <s v=""/>
    <x v="2"/>
    <s v="SS02"/>
    <s v="Magwi"/>
    <s v="SS0207"/>
    <m/>
    <m/>
    <m/>
    <n v="159337.28264572358"/>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Torit"/>
    <s v="SS0208"/>
    <m/>
    <m/>
    <m/>
    <n v="47474.399116158442"/>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Akobo"/>
    <s v="SS0301"/>
    <m/>
    <m/>
    <m/>
    <n v="146807.46329287597"/>
    <s v="Residents"/>
    <n v="0"/>
    <n v="8686.5388800541532"/>
    <n v="50135.129326768183"/>
    <n v="71357.403009888134"/>
    <n v="70728.71066493931"/>
    <n v="36704.950852891365"/>
    <n v="10163.593612583722"/>
    <n v="25147.574730724125"/>
    <m/>
    <m/>
    <m/>
    <m/>
    <n v="0"/>
    <n v="0.05"/>
    <n v="0.35000000000000003"/>
    <n v="0.5"/>
    <n v="0.5"/>
    <n v="0.25"/>
    <n v="0.05"/>
    <n v="0.15000000000000002"/>
    <n v="0"/>
    <n v="0"/>
    <n v="0"/>
    <n v="0"/>
    <n v="71357.403009888134"/>
    <s v="Food Security"/>
    <n v="0.4860611402809441"/>
    <s v=""/>
    <s v=""/>
    <s v=""/>
    <n v="70728.71066493931"/>
    <s v="Health"/>
    <n v="0.48177871259745086"/>
    <n v="628.69234494882403"/>
    <n v="8.8887856011840329E-3"/>
    <s v=""/>
    <n v="50135.129326768183"/>
    <s v="Nutrition"/>
    <n v="0.34150259259469856"/>
    <n v="21222.273683119951"/>
    <n v="0.42330146482316822"/>
    <s v=""/>
    <s v=""/>
    <s v=""/>
    <s v=""/>
    <s v="Flagged"/>
    <n v="4"/>
    <n v="71357.403009888134"/>
    <m/>
    <m/>
    <n v="1"/>
    <s v="Flagged"/>
    <n v="71357.403009888134"/>
    <n v="1"/>
  </r>
  <r>
    <s v=""/>
    <x v="3"/>
    <s v="SS03"/>
    <s v="Ayod"/>
    <s v="SS0302"/>
    <m/>
    <m/>
    <m/>
    <n v="126785.47631993188"/>
    <s v="Residents"/>
    <n v="0"/>
    <n v="5241.6158762091518"/>
    <n v="29343.305071128358"/>
    <n v="54404.084525413884"/>
    <n v="51234.416560604725"/>
    <n v="22983.164053660905"/>
    <n v="5582.34559916118"/>
    <n v="87773.110093587602"/>
    <m/>
    <m/>
    <m/>
    <m/>
    <n v="0"/>
    <n v="0.05"/>
    <n v="0.25"/>
    <n v="0.45"/>
    <n v="0.4"/>
    <n v="0.2"/>
    <n v="0.05"/>
    <n v="0.70000000000000007"/>
    <n v="0"/>
    <n v="0"/>
    <n v="0"/>
    <n v="0"/>
    <n v="87773.110093587602"/>
    <s v="WASH"/>
    <n v="0.69229625223081515"/>
    <s v=""/>
    <s v=""/>
    <s v=""/>
    <n v="54404.084525413884"/>
    <s v="Food Security"/>
    <n v="0.42910344390023042"/>
    <n v="33369.025568173718"/>
    <n v="0.61335515263722495"/>
    <s v="Flagged"/>
    <n v="51234.416560604725"/>
    <s v="Health"/>
    <n v="0.40410319894464275"/>
    <n v="36538.693532982878"/>
    <n v="0.71316696833585658"/>
    <s v="Flagged"/>
    <s v=""/>
    <s v=""/>
    <s v=""/>
    <s v=""/>
    <n v="4"/>
    <n v="87773.110093587602"/>
    <m/>
    <m/>
    <n v="2"/>
    <s v="Flagged"/>
    <n v="87773.110093587602"/>
    <n v="2"/>
  </r>
  <r>
    <s v=""/>
    <x v="3"/>
    <s v="SS03"/>
    <s v="Bor South"/>
    <s v="SS0303"/>
    <m/>
    <m/>
    <m/>
    <n v="191777.77641387403"/>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Canal/Pigi"/>
    <s v="SS0304"/>
    <m/>
    <m/>
    <m/>
    <n v="32762.733973342118"/>
    <s v="Residents"/>
    <n v="0"/>
    <n v="1377.2634294043694"/>
    <n v="9279.5970762729612"/>
    <n v="16839.399520814484"/>
    <n v="21721.54972837575"/>
    <n v="6433.919090339441"/>
    <n v="2548.2126423710538"/>
    <n v="30234.745240831155"/>
    <m/>
    <m/>
    <m/>
    <m/>
    <n v="0"/>
    <n v="0.05"/>
    <n v="0.30000000000000004"/>
    <n v="0.5"/>
    <n v="0.65"/>
    <n v="0.2"/>
    <n v="0.1"/>
    <n v="0.9"/>
    <n v="0"/>
    <n v="0"/>
    <n v="0"/>
    <n v="0"/>
    <n v="30234.745240831155"/>
    <s v="WASH"/>
    <n v="0.92283950617283961"/>
    <s v=""/>
    <s v="Flagged"/>
    <s v=""/>
    <n v="21721.54972837575"/>
    <s v="Health"/>
    <n v="0.66299563846075271"/>
    <n v="8513.1955124554042"/>
    <n v="0.39192394736616182"/>
    <s v="Flagged"/>
    <n v="16839.399520814484"/>
    <s v="Food Security"/>
    <n v="0.51398029036636905"/>
    <n v="13395.34572001667"/>
    <n v="0.79547644816308549"/>
    <s v="Flagged"/>
    <s v=""/>
    <s v=""/>
    <s v=""/>
    <s v="Flagged"/>
    <n v="4"/>
    <n v="30234.745240831155"/>
    <m/>
    <m/>
    <n v="4"/>
    <s v="Flagged"/>
    <n v="30234.745240831155"/>
    <n v="1"/>
  </r>
  <r>
    <s v=""/>
    <x v="3"/>
    <s v="SS03"/>
    <s v="Duk"/>
    <s v="SS0305"/>
    <m/>
    <m/>
    <m/>
    <n v="95901.718428606313"/>
    <s v="Residents"/>
    <n v="0"/>
    <n v="3238.409227897178"/>
    <n v="27224.60497860179"/>
    <n v="38799.117265337714"/>
    <n v="57411.330673761615"/>
    <n v="18379.553794587879"/>
    <n v="9080.0563193042162"/>
    <n v="11741.0540051483"/>
    <m/>
    <m/>
    <m/>
    <m/>
    <n v="0"/>
    <n v="0.05"/>
    <n v="0.30000000000000004"/>
    <n v="0.4"/>
    <n v="0.60000000000000009"/>
    <n v="0.2"/>
    <n v="0.1"/>
    <n v="0.1"/>
    <n v="0"/>
    <n v="0"/>
    <n v="0"/>
    <n v="0"/>
    <n v="57411.330673761615"/>
    <s v="Health"/>
    <n v="0.59864756976697209"/>
    <s v=""/>
    <s v=""/>
    <s v=""/>
    <n v="38799.117265337714"/>
    <s v="Food Security"/>
    <n v="0.40457165837149806"/>
    <n v="18612.213408423901"/>
    <n v="0.47970713563248119"/>
    <s v="Flagged"/>
    <n v="27224.60497860179"/>
    <s v="Nutrition"/>
    <n v="0.2838802622590027"/>
    <n v="30186.725695159825"/>
    <n v="1.1088030742369348"/>
    <s v="Flagged"/>
    <s v=""/>
    <s v="Flagged"/>
    <s v=""/>
    <s v=""/>
    <n v="4"/>
    <n v="57411.330673761615"/>
    <m/>
    <m/>
    <n v="3"/>
    <s v="Flagged"/>
    <n v="57411.330673761615"/>
    <n v="2"/>
  </r>
  <r>
    <s v=""/>
    <x v="3"/>
    <s v="SS03"/>
    <s v="Fangak"/>
    <s v="SS0306"/>
    <m/>
    <m/>
    <m/>
    <n v="57313.644275077953"/>
    <s v="Residents"/>
    <n v="0"/>
    <n v="5255.9362855171694"/>
    <n v="13972.628139294504"/>
    <n v="30578.531678809632"/>
    <n v="33596.005628936007"/>
    <n v="12044.436527762007"/>
    <n v="3086.1193071195821"/>
    <n v="33204.471123871677"/>
    <m/>
    <m/>
    <m/>
    <m/>
    <n v="0"/>
    <n v="0.1"/>
    <n v="0.25"/>
    <n v="0.55000000000000004"/>
    <n v="0.60000000000000009"/>
    <n v="0.2"/>
    <n v="0.05"/>
    <n v="0.60000000000000009"/>
    <n v="0"/>
    <n v="0"/>
    <n v="0"/>
    <n v="0"/>
    <n v="33596.005628936007"/>
    <s v="Health"/>
    <n v="0.58617814403305646"/>
    <s v=""/>
    <s v=""/>
    <s v=""/>
    <n v="33204.471123871677"/>
    <s v="WASH"/>
    <n v="0.57934670781893005"/>
    <n v="391.53450506433001"/>
    <n v="1.1791619978034953E-2"/>
    <s v=""/>
    <n v="30578.531678809632"/>
    <s v="Food Security"/>
    <n v="0.53352970423669754"/>
    <n v="3017.4739501263757"/>
    <n v="9.8679491279086845E-2"/>
    <s v=""/>
    <s v=""/>
    <s v="Flagged"/>
    <s v=""/>
    <s v=""/>
    <n v="4"/>
    <n v="33596.005628936007"/>
    <m/>
    <m/>
    <n v="1"/>
    <s v="Flagged"/>
    <n v="33596.005628936007"/>
    <n v="1"/>
  </r>
  <r>
    <s v=""/>
    <x v="3"/>
    <s v="SS03"/>
    <s v="Nyirol"/>
    <s v="SS0307"/>
    <m/>
    <m/>
    <m/>
    <n v="65001.764922770279"/>
    <s v="Residents"/>
    <n v="0"/>
    <n v="4518.6704905830802"/>
    <n v="20418.80632528372"/>
    <n v="28777.60413193081"/>
    <n v="41243.786952148606"/>
    <n v="10289.488012646001"/>
    <n v="4789.6037311514947"/>
    <n v="24331.079016873722"/>
    <m/>
    <m/>
    <m/>
    <m/>
    <n v="0"/>
    <n v="0.05"/>
    <n v="0.30000000000000004"/>
    <n v="0.45"/>
    <n v="0.65"/>
    <n v="0.15000000000000002"/>
    <n v="0.05"/>
    <n v="0.35000000000000003"/>
    <n v="0"/>
    <n v="0"/>
    <n v="0"/>
    <n v="0"/>
    <n v="41243.786952148606"/>
    <s v="Health"/>
    <n v="0.63450257083251604"/>
    <s v=""/>
    <s v=""/>
    <s v=""/>
    <n v="28777.60413193081"/>
    <s v="Food Security"/>
    <n v="0.44272035022621276"/>
    <n v="12466.182820217797"/>
    <n v="0.43319043388972311"/>
    <s v="Flagged"/>
    <n v="24331.079016873722"/>
    <s v="WASH"/>
    <n v="0.37431412894375865"/>
    <n v="16912.707935274884"/>
    <n v="0.69510718877472877"/>
    <s v="Flagged"/>
    <s v=""/>
    <s v="Flagged"/>
    <s v=""/>
    <s v=""/>
    <n v="4"/>
    <n v="41243.786952148606"/>
    <m/>
    <m/>
    <n v="3"/>
    <s v="Flagged"/>
    <n v="41243.786952148606"/>
    <n v="2"/>
  </r>
  <r>
    <s v=""/>
    <x v="3"/>
    <s v="SS03"/>
    <s v="Pibor"/>
    <s v="SS0308"/>
    <m/>
    <m/>
    <m/>
    <n v="146214.98577625639"/>
    <s v="Residents"/>
    <n v="0"/>
    <n v="12569.546710238808"/>
    <n v="53365.626885617348"/>
    <n v="71165.043792546785"/>
    <n v="80152.72350238348"/>
    <n v="26075.318061025955"/>
    <n v="7730.9072939170046"/>
    <n v="95972.387783180646"/>
    <m/>
    <m/>
    <m/>
    <m/>
    <n v="0"/>
    <n v="0.1"/>
    <n v="0.35000000000000003"/>
    <n v="0.5"/>
    <n v="0.55000000000000004"/>
    <n v="0.2"/>
    <n v="0.05"/>
    <n v="0.65"/>
    <n v="0"/>
    <n v="0"/>
    <n v="0"/>
    <n v="0"/>
    <n v="95972.387783180646"/>
    <s v="WASH"/>
    <n v="0.65637860082304533"/>
    <s v=""/>
    <s v=""/>
    <s v=""/>
    <n v="80152.72350238348"/>
    <s v="Health"/>
    <n v="0.5481840529330978"/>
    <n v="15819.664280797166"/>
    <n v="0.19736901741494461"/>
    <s v=""/>
    <n v="71165.043792546785"/>
    <s v="Food Security"/>
    <n v="0.48671511620187946"/>
    <n v="24807.343990633861"/>
    <n v="0.3485888951737281"/>
    <s v=""/>
    <s v=""/>
    <s v=""/>
    <s v=""/>
    <s v="Flagged"/>
    <n v="4"/>
    <n v="95972.387783180646"/>
    <m/>
    <m/>
    <n v="1"/>
    <s v="Flagged"/>
    <n v="95972.387783180646"/>
    <n v="1"/>
  </r>
  <r>
    <s v=""/>
    <x v="3"/>
    <s v="SS03"/>
    <s v="Pochalla"/>
    <s v="SS0309"/>
    <m/>
    <m/>
    <m/>
    <n v="50788.148876183637"/>
    <s v="Residents"/>
    <m/>
    <m/>
    <m/>
    <m/>
    <m/>
    <m/>
    <m/>
    <m/>
    <m/>
    <m/>
    <m/>
    <m/>
    <s v=""/>
    <s v=""/>
    <s v=""/>
    <s v=""/>
    <s v=""/>
    <s v=""/>
    <s v=""/>
    <s v=""/>
    <n v="0"/>
    <n v="0"/>
    <n v="0"/>
    <n v="0"/>
    <s v=""/>
    <s v=""/>
    <s v=""/>
    <s v=""/>
    <s v=""/>
    <s v=""/>
    <s v=""/>
    <s v=""/>
    <s v=""/>
    <s v=""/>
    <s v=""/>
    <s v=""/>
    <s v=""/>
    <s v=""/>
    <s v=""/>
    <s v=""/>
    <s v=""/>
    <s v=""/>
    <s v=""/>
    <s v="Flagged"/>
    <s v=""/>
    <s v="Flagged"/>
    <n v="4"/>
    <s v=""/>
    <m/>
    <m/>
    <n v="2"/>
    <s v="Flagged"/>
    <s v=""/>
    <n v="3"/>
  </r>
  <r>
    <s v=""/>
    <x v="3"/>
    <s v="SS03"/>
    <s v="Twic East"/>
    <s v="SS0310"/>
    <m/>
    <m/>
    <m/>
    <n v="77537.996273544151"/>
    <s v="Residents"/>
    <n v="0"/>
    <n v="6494.001032900007"/>
    <n v="22266.572815189596"/>
    <n v="32935.581375528054"/>
    <n v="38902.984813593641"/>
    <n v="9439.019676549864"/>
    <n v="7393.157784221652"/>
    <n v="25845.99875784805"/>
    <m/>
    <m/>
    <m/>
    <m/>
    <n v="0"/>
    <n v="0.1"/>
    <n v="0.30000000000000004"/>
    <n v="0.4"/>
    <n v="0.5"/>
    <n v="0.1"/>
    <n v="0.1"/>
    <n v="0.35000000000000003"/>
    <n v="0"/>
    <n v="0"/>
    <n v="0"/>
    <n v="0"/>
    <n v="38902.984813593641"/>
    <s v="Health"/>
    <n v="0.50172801314530846"/>
    <s v=""/>
    <s v=""/>
    <s v=""/>
    <n v="32935.581375528054"/>
    <s v="Food Security"/>
    <n v="0.42476699113213512"/>
    <n v="5967.4034380655867"/>
    <n v="0.1811840929730639"/>
    <s v=""/>
    <n v="25845.99875784805"/>
    <s v="WASH"/>
    <n v="0.33333333333333331"/>
    <n v="13056.98605574559"/>
    <n v="0.50518403943592549"/>
    <s v="Flagged"/>
    <s v=""/>
    <s v="Flagged"/>
    <s v=""/>
    <s v=""/>
    <n v="4"/>
    <n v="38902.984813593641"/>
    <m/>
    <m/>
    <n v="2"/>
    <s v="Flagged"/>
    <n v="38902.984813593641"/>
    <n v="2"/>
  </r>
  <r>
    <s v=""/>
    <x v="3"/>
    <s v="SS03"/>
    <s v="Uror"/>
    <s v="SS0311"/>
    <m/>
    <m/>
    <m/>
    <n v="136551.06257292113"/>
    <s v="Residents"/>
    <n v="0"/>
    <n v="10051.414475142667"/>
    <n v="55178.941958325748"/>
    <n v="65745.240818137798"/>
    <n v="45826.862089451446"/>
    <n v="21719.692165966542"/>
    <n v="2958.6063557466246"/>
    <n v="78495.78828458814"/>
    <m/>
    <m/>
    <m/>
    <m/>
    <n v="0"/>
    <n v="0.05"/>
    <n v="0.4"/>
    <n v="0.5"/>
    <n v="0.35000000000000003"/>
    <n v="0.15000000000000002"/>
    <n v="0"/>
    <n v="0.55000000000000004"/>
    <n v="0"/>
    <n v="0"/>
    <n v="0"/>
    <n v="0"/>
    <n v="78495.78828458814"/>
    <s v="WASH"/>
    <n v="0.57484567901234562"/>
    <s v=""/>
    <s v=""/>
    <s v=""/>
    <n v="65745.240818137798"/>
    <s v="Food Security"/>
    <n v="0.48147000528119993"/>
    <n v="12750.547466450342"/>
    <n v="0.19393871416062591"/>
    <s v=""/>
    <n v="55178.941958325748"/>
    <s v="Nutrition"/>
    <n v="0.40409016904470468"/>
    <n v="23316.846326262392"/>
    <n v="0.42256784017121224"/>
    <s v=""/>
    <s v=""/>
    <s v=""/>
    <s v=""/>
    <s v=""/>
    <n v="4"/>
    <n v="78495.78828458814"/>
    <m/>
    <m/>
    <n v="0"/>
    <s v=""/>
    <n v="78495.78828458814"/>
    <n v="2"/>
  </r>
  <r>
    <s v=""/>
    <x v="4"/>
    <s v="SS04"/>
    <s v="Awerial"/>
    <s v="SS0401"/>
    <m/>
    <m/>
    <m/>
    <n v="73916.557684246116"/>
    <s v="Residents"/>
    <m/>
    <m/>
    <m/>
    <m/>
    <m/>
    <m/>
    <m/>
    <m/>
    <m/>
    <m/>
    <m/>
    <m/>
    <s v=""/>
    <s v=""/>
    <s v=""/>
    <s v=""/>
    <s v=""/>
    <s v=""/>
    <s v=""/>
    <s v=""/>
    <n v="0"/>
    <n v="0"/>
    <n v="0"/>
    <n v="0"/>
    <s v=""/>
    <s v=""/>
    <s v=""/>
    <s v=""/>
    <s v=""/>
    <s v=""/>
    <s v=""/>
    <s v=""/>
    <s v=""/>
    <s v=""/>
    <s v=""/>
    <s v=""/>
    <s v=""/>
    <s v=""/>
    <s v=""/>
    <s v=""/>
    <s v=""/>
    <s v=""/>
    <s v=""/>
    <s v="Flagged"/>
    <s v=""/>
    <s v="Flagged"/>
    <n v="4"/>
    <s v=""/>
    <m/>
    <m/>
    <n v="2"/>
    <s v="Flagged"/>
    <s v=""/>
    <n v="3"/>
  </r>
  <r>
    <s v=""/>
    <x v="4"/>
    <s v="SS04"/>
    <s v="Cueibet"/>
    <s v="SS0402"/>
    <m/>
    <m/>
    <m/>
    <n v="143892.97660154747"/>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Rumbek Centre"/>
    <s v="SS0403"/>
    <m/>
    <m/>
    <m/>
    <n v="170865.34327385121"/>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East"/>
    <s v="SS0404"/>
    <m/>
    <m/>
    <m/>
    <n v="131576.89060543224"/>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North"/>
    <s v="SS0405"/>
    <m/>
    <m/>
    <m/>
    <n v="38561.747092505328"/>
    <s v="Residents"/>
    <m/>
    <m/>
    <m/>
    <m/>
    <m/>
    <m/>
    <m/>
    <m/>
    <m/>
    <m/>
    <m/>
    <m/>
    <s v=""/>
    <s v=""/>
    <s v=""/>
    <s v=""/>
    <s v=""/>
    <s v=""/>
    <s v=""/>
    <s v=""/>
    <n v="0"/>
    <n v="0"/>
    <n v="0"/>
    <n v="0"/>
    <s v=""/>
    <s v=""/>
    <s v=""/>
    <s v=""/>
    <s v=""/>
    <s v=""/>
    <s v=""/>
    <s v=""/>
    <s v=""/>
    <s v=""/>
    <s v=""/>
    <s v=""/>
    <s v=""/>
    <s v=""/>
    <s v=""/>
    <s v=""/>
    <s v=""/>
    <s v=""/>
    <s v=""/>
    <s v="Flagged"/>
    <s v=""/>
    <s v="Flagged"/>
    <n v="4"/>
    <s v=""/>
    <m/>
    <m/>
    <n v="2"/>
    <s v="Flagged"/>
    <s v=""/>
    <n v="3"/>
  </r>
  <r>
    <s v=""/>
    <x v="4"/>
    <s v="SS04"/>
    <s v="Wulu"/>
    <s v="SS0406"/>
    <m/>
    <m/>
    <m/>
    <n v="62742.53767041306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Yirol East"/>
    <s v="SS0407"/>
    <m/>
    <m/>
    <m/>
    <n v="110327.5657380367"/>
    <s v="Residents"/>
    <m/>
    <m/>
    <m/>
    <m/>
    <m/>
    <m/>
    <m/>
    <m/>
    <m/>
    <m/>
    <m/>
    <m/>
    <s v=""/>
    <s v=""/>
    <s v=""/>
    <s v=""/>
    <s v=""/>
    <s v=""/>
    <s v=""/>
    <s v=""/>
    <n v="0"/>
    <n v="0"/>
    <n v="0"/>
    <n v="0"/>
    <s v=""/>
    <s v=""/>
    <s v=""/>
    <s v=""/>
    <s v=""/>
    <s v=""/>
    <s v=""/>
    <s v=""/>
    <s v=""/>
    <s v=""/>
    <s v=""/>
    <s v=""/>
    <s v=""/>
    <s v=""/>
    <s v=""/>
    <s v=""/>
    <s v=""/>
    <s v=""/>
    <s v=""/>
    <s v="Flagged"/>
    <s v=""/>
    <s v="Flagged"/>
    <n v="4"/>
    <s v=""/>
    <m/>
    <m/>
    <n v="2"/>
    <s v="Flagged"/>
    <s v=""/>
    <n v="3"/>
  </r>
  <r>
    <s v=""/>
    <x v="4"/>
    <s v="SS04"/>
    <s v="Yirol West"/>
    <s v="SS0408"/>
    <m/>
    <m/>
    <m/>
    <n v="128918.60101552917"/>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Centre"/>
    <s v="SS0501"/>
    <m/>
    <m/>
    <m/>
    <n v="53097.621318074722"/>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East"/>
    <s v="SS0502"/>
    <m/>
    <m/>
    <m/>
    <n v="211899.62896361714"/>
    <s v="Residents"/>
    <n v="0"/>
    <n v="23313.34127032485"/>
    <n v="60683.262481643316"/>
    <n v="93441.707568261045"/>
    <n v="80561.488242433319"/>
    <n v="22754.824430047061"/>
    <n v="17514.153006176519"/>
    <n v="22781.390150923864"/>
    <m/>
    <m/>
    <m/>
    <m/>
    <n v="0"/>
    <n v="0.1"/>
    <n v="0.30000000000000004"/>
    <n v="0.45"/>
    <n v="0.4"/>
    <n v="0.1"/>
    <n v="0.1"/>
    <n v="0.1"/>
    <n v="0"/>
    <n v="0"/>
    <n v="0"/>
    <n v="0"/>
    <n v="93441.707568261045"/>
    <s v="Food Security"/>
    <n v="0.44097154877182371"/>
    <s v=""/>
    <s v=""/>
    <s v=""/>
    <n v="80561.488242433319"/>
    <s v="Health"/>
    <n v="0.38018701890349044"/>
    <n v="12880.219325827726"/>
    <n v="0.15988060308751176"/>
    <s v=""/>
    <n v="60683.262481643316"/>
    <s v="Nutrition"/>
    <n v="0.28637738904234961"/>
    <n v="32758.445086617729"/>
    <n v="0.53982669597777733"/>
    <s v="Flagged"/>
    <s v=""/>
    <s v=""/>
    <s v=""/>
    <s v="Flagged"/>
    <n v="4"/>
    <n v="93441.707568261045"/>
    <m/>
    <m/>
    <n v="2"/>
    <s v="Flagged"/>
    <n v="93441.707568261045"/>
    <n v="2"/>
  </r>
  <r>
    <s v=""/>
    <x v="5"/>
    <s v="SS05"/>
    <s v="Aweil North"/>
    <s v="SS0503"/>
    <m/>
    <m/>
    <m/>
    <n v="109801.05355905752"/>
    <s v="Residents"/>
    <n v="0"/>
    <n v="5744.9097073477342"/>
    <n v="51087.260668412309"/>
    <n v="44165.640241204113"/>
    <n v="45205.040373118449"/>
    <n v="14130.379641323567"/>
    <n v="6475.4467483546741"/>
    <n v="4447.9593455636723"/>
    <m/>
    <m/>
    <m/>
    <m/>
    <n v="0"/>
    <n v="0.05"/>
    <n v="0.45"/>
    <n v="0.4"/>
    <n v="0.4"/>
    <n v="0.15000000000000002"/>
    <n v="0.05"/>
    <n v="0.05"/>
    <n v="0"/>
    <n v="0"/>
    <n v="0"/>
    <n v="0"/>
    <n v="51087.260668412309"/>
    <s v="Nutrition"/>
    <n v="0.46527113367755213"/>
    <s v=""/>
    <s v=""/>
    <s v=""/>
    <n v="45205.040373118449"/>
    <s v="Health"/>
    <n v="0.41169951387401305"/>
    <n v="5882.2202952938605"/>
    <n v="0.13012310677620303"/>
    <s v=""/>
    <n v="44165.640241204113"/>
    <s v="Food Security"/>
    <n v="0.4022333011353959"/>
    <n v="6921.6204272081959"/>
    <n v="0.15671957633596592"/>
    <s v=""/>
    <s v=""/>
    <s v=""/>
    <s v=""/>
    <s v="Flagged"/>
    <n v="4"/>
    <n v="51087.260668412309"/>
    <m/>
    <m/>
    <n v="1"/>
    <s v="Flagged"/>
    <n v="51087.260668412309"/>
    <n v="2"/>
  </r>
  <r>
    <s v=""/>
    <x v="5"/>
    <s v="SS05"/>
    <s v="Aweil South"/>
    <s v="SS0504"/>
    <m/>
    <m/>
    <m/>
    <n v="105778.12989801918"/>
    <s v="Residents"/>
    <n v="0"/>
    <n v="3859.5795146539758"/>
    <n v="38338.054769520058"/>
    <n v="44990.666204413006"/>
    <n v="34918.92102826466"/>
    <n v="12438.363895046818"/>
    <n v="4134.9632596498404"/>
    <n v="24783.553575279697"/>
    <m/>
    <m/>
    <m/>
    <m/>
    <n v="0"/>
    <n v="0.05"/>
    <n v="0.35000000000000003"/>
    <n v="0.45"/>
    <n v="0.35000000000000003"/>
    <n v="0.1"/>
    <n v="0.05"/>
    <n v="0.25"/>
    <n v="0"/>
    <n v="0"/>
    <n v="0"/>
    <n v="0"/>
    <n v="44990.666204413006"/>
    <s v="Food Security"/>
    <n v="0.42533051253400456"/>
    <s v=""/>
    <s v=""/>
    <s v=""/>
    <n v="38338.054769520058"/>
    <s v="Nutrition"/>
    <n v="0.36243838689984237"/>
    <n v="6652.6114348929477"/>
    <n v="0.17352501254659325"/>
    <s v=""/>
    <n v="34918.92102826466"/>
    <s v="Health"/>
    <n v="0.33011475114874911"/>
    <n v="10071.745176148346"/>
    <n v="0.28843231347256992"/>
    <s v=""/>
    <s v=""/>
    <s v=""/>
    <s v=""/>
    <s v=""/>
    <n v="4"/>
    <n v="44990.666204413006"/>
    <m/>
    <m/>
    <n v="0"/>
    <s v=""/>
    <n v="44990.666204413006"/>
    <n v="2"/>
  </r>
  <r>
    <s v=""/>
    <x v="5"/>
    <s v="SS05"/>
    <s v="Aweil West"/>
    <s v="SS0505"/>
    <m/>
    <m/>
    <m/>
    <n v="138670.80517744401"/>
    <s v="Residents"/>
    <m/>
    <m/>
    <m/>
    <m/>
    <m/>
    <m/>
    <m/>
    <m/>
    <m/>
    <m/>
    <m/>
    <m/>
    <s v=""/>
    <s v=""/>
    <s v=""/>
    <s v=""/>
    <s v=""/>
    <s v=""/>
    <s v=""/>
    <s v=""/>
    <n v="0"/>
    <n v="0"/>
    <n v="0"/>
    <n v="0"/>
    <s v=""/>
    <s v=""/>
    <s v=""/>
    <s v=""/>
    <s v=""/>
    <s v=""/>
    <s v=""/>
    <s v=""/>
    <s v=""/>
    <s v=""/>
    <s v=""/>
    <s v=""/>
    <s v=""/>
    <s v=""/>
    <s v=""/>
    <s v=""/>
    <s v=""/>
    <s v=""/>
    <s v=""/>
    <s v="Flagged"/>
    <s v=""/>
    <s v="Flagged"/>
    <n v="4"/>
    <s v=""/>
    <m/>
    <m/>
    <n v="2"/>
    <s v="Flagged"/>
    <s v=""/>
    <n v="3"/>
  </r>
  <r>
    <s v=""/>
    <x v="6"/>
    <s v="SS06"/>
    <s v="Abiemnhom"/>
    <s v="SS0601"/>
    <m/>
    <m/>
    <m/>
    <n v="39195.118555506007"/>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6"/>
    <s v="SS06"/>
    <s v="Guit"/>
    <s v="SS0602"/>
    <m/>
    <m/>
    <m/>
    <n v="37012.158261154211"/>
    <s v="Residents"/>
    <m/>
    <m/>
    <m/>
    <m/>
    <m/>
    <m/>
    <m/>
    <m/>
    <m/>
    <m/>
    <m/>
    <m/>
    <s v=""/>
    <s v=""/>
    <s v=""/>
    <s v=""/>
    <s v=""/>
    <s v=""/>
    <s v=""/>
    <s v=""/>
    <n v="0"/>
    <n v="0"/>
    <n v="0"/>
    <n v="0"/>
    <s v=""/>
    <s v=""/>
    <s v=""/>
    <s v=""/>
    <s v=""/>
    <s v=""/>
    <s v=""/>
    <s v=""/>
    <s v=""/>
    <s v=""/>
    <s v=""/>
    <s v=""/>
    <s v=""/>
    <s v=""/>
    <s v=""/>
    <s v=""/>
    <s v=""/>
    <s v=""/>
    <s v=""/>
    <s v="Flagged"/>
    <s v=""/>
    <s v="Flagged"/>
    <n v="4"/>
    <s v=""/>
    <m/>
    <m/>
    <n v="2"/>
    <s v="Flagged"/>
    <s v=""/>
    <n v="3"/>
  </r>
  <r>
    <s v=""/>
    <x v="6"/>
    <s v="SS06"/>
    <s v="Koch"/>
    <s v="SS0603"/>
    <m/>
    <m/>
    <m/>
    <n v="52356.268586149592"/>
    <s v="Residents"/>
    <m/>
    <m/>
    <m/>
    <m/>
    <m/>
    <m/>
    <m/>
    <m/>
    <m/>
    <m/>
    <m/>
    <m/>
    <s v=""/>
    <s v=""/>
    <s v=""/>
    <s v=""/>
    <s v=""/>
    <s v=""/>
    <s v=""/>
    <s v=""/>
    <n v="0"/>
    <n v="0"/>
    <n v="0"/>
    <n v="0"/>
    <s v=""/>
    <s v=""/>
    <s v=""/>
    <s v=""/>
    <s v=""/>
    <s v=""/>
    <s v=""/>
    <s v=""/>
    <s v=""/>
    <s v=""/>
    <s v=""/>
    <s v=""/>
    <s v=""/>
    <s v=""/>
    <s v=""/>
    <s v=""/>
    <s v=""/>
    <s v=""/>
    <s v=""/>
    <s v="Flagged"/>
    <s v=""/>
    <s v="Flagged"/>
    <n v="4"/>
    <s v=""/>
    <m/>
    <m/>
    <n v="2"/>
    <s v="Flagged"/>
    <s v=""/>
    <n v="3"/>
  </r>
  <r>
    <s v=""/>
    <x v="6"/>
    <s v="SS06"/>
    <s v="Leer"/>
    <s v="SS0604"/>
    <m/>
    <m/>
    <m/>
    <n v="27460.602325830623"/>
    <s v="Residents"/>
    <n v="0"/>
    <n v="1071.4632736697245"/>
    <n v="6764.4180032334552"/>
    <n v="10968.254931412208"/>
    <n v="13708.290932726555"/>
    <n v="2527.9369206420979"/>
    <n v="2562.9895504108586"/>
    <n v="2984.080371055411"/>
    <m/>
    <m/>
    <m/>
    <m/>
    <n v="0"/>
    <n v="0.05"/>
    <n v="0.25"/>
    <n v="0.4"/>
    <n v="0.5"/>
    <n v="0.1"/>
    <n v="0.1"/>
    <n v="0.1"/>
    <n v="0"/>
    <n v="0"/>
    <n v="0"/>
    <n v="0"/>
    <n v="13708.290932726555"/>
    <s v="Health"/>
    <n v="0.49919847970093312"/>
    <s v=""/>
    <s v=""/>
    <s v=""/>
    <n v="10968.254931412208"/>
    <s v="Food Security"/>
    <n v="0.39941785694536625"/>
    <n v="2740.0360013143472"/>
    <n v="0.24981512724208318"/>
    <s v=""/>
    <n v="6764.4180032334552"/>
    <s v="Nutrition"/>
    <n v="0.24633174185223727"/>
    <n v="6943.8729294930999"/>
    <n v="1.0265292485138948"/>
    <s v="Flagged"/>
    <s v=""/>
    <s v="Flagged"/>
    <s v=""/>
    <s v=""/>
    <n v="4"/>
    <n v="13708.290932726555"/>
    <m/>
    <m/>
    <n v="2"/>
    <s v="Flagged"/>
    <n v="13708.290932726555"/>
    <n v="2"/>
  </r>
  <r>
    <s v=""/>
    <x v="6"/>
    <s v="SS06"/>
    <s v="Mayendit"/>
    <s v="SS0605"/>
    <m/>
    <m/>
    <m/>
    <n v="32690.293010704088"/>
    <s v="Residents"/>
    <n v="0"/>
    <n v="1211.5735238154566"/>
    <n v="10286.161451833896"/>
    <n v="13565.03394556789"/>
    <n v="14120.844859922978"/>
    <n v="2944.3992123536118"/>
    <n v="1885.9784429252359"/>
    <n v="3144.5909429020912"/>
    <m/>
    <m/>
    <m/>
    <m/>
    <n v="0"/>
    <n v="0.05"/>
    <n v="0.30000000000000004"/>
    <n v="0.4"/>
    <n v="0.45"/>
    <n v="0.1"/>
    <n v="0.05"/>
    <n v="0.1"/>
    <n v="0"/>
    <n v="0"/>
    <n v="0"/>
    <n v="0"/>
    <n v="14120.844859922978"/>
    <s v="Health"/>
    <n v="0.43195834479976236"/>
    <s v=""/>
    <s v=""/>
    <s v=""/>
    <n v="13565.03394556789"/>
    <s v="Food Security"/>
    <n v="0.41495602199485221"/>
    <n v="555.81091435508824"/>
    <n v="4.0973794579901412E-2"/>
    <s v=""/>
    <n v="10286.161451833896"/>
    <s v="Nutrition"/>
    <n v="0.31465491754588437"/>
    <n v="3834.6834080890821"/>
    <n v="0.37280023515530231"/>
    <s v=""/>
    <s v=""/>
    <s v="Flagged"/>
    <s v=""/>
    <s v=""/>
    <n v="4"/>
    <n v="14120.844859922978"/>
    <m/>
    <m/>
    <n v="1"/>
    <s v="Flagged"/>
    <n v="14120.844859922978"/>
    <n v="2"/>
  </r>
  <r>
    <s v=""/>
    <x v="6"/>
    <s v="SS06"/>
    <s v="Mayom"/>
    <s v="SS0606"/>
    <m/>
    <m/>
    <m/>
    <n v="95120.28021781116"/>
    <s v="Residents"/>
    <m/>
    <m/>
    <m/>
    <m/>
    <m/>
    <m/>
    <m/>
    <m/>
    <m/>
    <m/>
    <m/>
    <m/>
    <s v=""/>
    <s v=""/>
    <s v=""/>
    <s v=""/>
    <s v=""/>
    <s v=""/>
    <s v=""/>
    <s v=""/>
    <n v="0"/>
    <n v="0"/>
    <n v="0"/>
    <n v="0"/>
    <s v=""/>
    <s v=""/>
    <s v=""/>
    <s v=""/>
    <s v=""/>
    <s v=""/>
    <s v=""/>
    <s v=""/>
    <s v=""/>
    <s v=""/>
    <s v=""/>
    <s v=""/>
    <s v=""/>
    <s v=""/>
    <s v=""/>
    <s v=""/>
    <s v=""/>
    <s v=""/>
    <s v=""/>
    <s v="Flagged"/>
    <s v=""/>
    <s v="Flagged"/>
    <n v="4"/>
    <s v=""/>
    <m/>
    <m/>
    <n v="2"/>
    <s v="Flagged"/>
    <s v=""/>
    <n v="3"/>
  </r>
  <r>
    <s v=""/>
    <x v="6"/>
    <s v="SS06"/>
    <s v="Panyijiar"/>
    <s v="SS0607"/>
    <m/>
    <m/>
    <m/>
    <n v="46967.678081984632"/>
    <s v="Residents"/>
    <n v="0"/>
    <n v="4280.2283796534512"/>
    <n v="13520.696823211947"/>
    <n v="19066.573842383557"/>
    <n v="27160.533337712492"/>
    <n v="7702.1820869621115"/>
    <n v="3195.7389210422534"/>
    <n v="12164.725264546945"/>
    <m/>
    <m/>
    <m/>
    <m/>
    <n v="0"/>
    <n v="0.1"/>
    <n v="0.30000000000000004"/>
    <n v="0.4"/>
    <n v="0.60000000000000009"/>
    <n v="0.15000000000000002"/>
    <n v="0.05"/>
    <n v="0.25"/>
    <n v="0"/>
    <n v="0"/>
    <n v="0"/>
    <n v="0"/>
    <n v="27160.533337712492"/>
    <s v="Health"/>
    <n v="0.57828137235786503"/>
    <s v=""/>
    <s v=""/>
    <s v=""/>
    <n v="19066.573842383557"/>
    <s v="Food Security"/>
    <n v="0.40595095650889573"/>
    <n v="8093.9594953289343"/>
    <n v="0.4245104318289567"/>
    <s v="Flagged"/>
    <n v="13520.696823211947"/>
    <s v="Nutrition"/>
    <n v="0.28787237043336134"/>
    <n v="13639.836514500545"/>
    <n v="1.0088116531896538"/>
    <s v="Flagged"/>
    <s v=""/>
    <s v="Flagged"/>
    <s v=""/>
    <s v=""/>
    <n v="4"/>
    <n v="27160.533337712492"/>
    <m/>
    <m/>
    <n v="3"/>
    <s v="Flagged"/>
    <n v="27160.533337712492"/>
    <n v="1"/>
  </r>
  <r>
    <s v=""/>
    <x v="6"/>
    <s v="SS06"/>
    <s v="Pariang"/>
    <s v="SS0608"/>
    <m/>
    <m/>
    <m/>
    <n v="96392.652760116689"/>
    <s v="Residents"/>
    <n v="0"/>
    <n v="2254.4120842230577"/>
    <n v="27154.919948448758"/>
    <n v="32203.115122920968"/>
    <n v="60308.079776676626"/>
    <n v="12709.411364181253"/>
    <n v="1695.7966689279788"/>
    <n v="13248.817604349008"/>
    <m/>
    <m/>
    <m/>
    <m/>
    <n v="0"/>
    <n v="0"/>
    <n v="0.30000000000000004"/>
    <n v="0.35000000000000003"/>
    <n v="0.65"/>
    <n v="0.15000000000000002"/>
    <n v="0"/>
    <n v="0.15000000000000002"/>
    <n v="0"/>
    <n v="0"/>
    <n v="0"/>
    <n v="0"/>
    <n v="60308.079776676626"/>
    <s v="Health"/>
    <n v="0.6256501719769002"/>
    <s v=""/>
    <s v=""/>
    <s v=""/>
    <n v="32203.115122920968"/>
    <s v="Food Security"/>
    <n v="0.3340826733243023"/>
    <n v="28104.964653755658"/>
    <n v="0.87274055775279946"/>
    <s v="Flagged"/>
    <n v="27154.919948448758"/>
    <s v="Nutrition"/>
    <n v="0.28171151193469746"/>
    <n v="33153.159828227872"/>
    <n v="1.2208896174677093"/>
    <s v="Flagged"/>
    <s v=""/>
    <s v="Flagged"/>
    <s v=""/>
    <s v=""/>
    <n v="4"/>
    <n v="60308.079776676626"/>
    <m/>
    <m/>
    <n v="3"/>
    <s v="Flagged"/>
    <n v="60308.079776676626"/>
    <n v="2"/>
  </r>
  <r>
    <s v=""/>
    <x v="6"/>
    <s v="SS06"/>
    <s v="Rubkona"/>
    <s v="SS0609"/>
    <m/>
    <m/>
    <m/>
    <n v="128065.73135408323"/>
    <s v="Residents"/>
    <n v="0"/>
    <n v="10579.246251754224"/>
    <n v="29548.754558209097"/>
    <n v="59467.210306405665"/>
    <n v="72884.705316643594"/>
    <n v="12567.398569265311"/>
    <n v="9486.3504706728309"/>
    <n v="20998.432031437256"/>
    <m/>
    <m/>
    <m/>
    <m/>
    <n v="0"/>
    <n v="0.1"/>
    <n v="0.25"/>
    <n v="0.45"/>
    <n v="0.55000000000000004"/>
    <n v="0.1"/>
    <n v="0.05"/>
    <n v="0.15000000000000002"/>
    <n v="0"/>
    <n v="0"/>
    <n v="0"/>
    <n v="0"/>
    <n v="72884.705316643594"/>
    <s v="Health"/>
    <n v="0.56911950250866039"/>
    <s v=""/>
    <s v=""/>
    <s v=""/>
    <n v="59467.210306405665"/>
    <s v="Food Security"/>
    <n v="0.46434912507536796"/>
    <n v="13417.49501023793"/>
    <n v="0.22562845879441951"/>
    <s v=""/>
    <n v="29548.754558209097"/>
    <s v="Nutrition"/>
    <n v="0.23073115849009651"/>
    <n v="43335.950758434497"/>
    <n v="1.466591448822844"/>
    <s v="Flagged"/>
    <s v=""/>
    <s v="Flagged"/>
    <s v=""/>
    <s v=""/>
    <n v="4"/>
    <n v="72884.705316643594"/>
    <m/>
    <m/>
    <n v="2"/>
    <s v="Flagged"/>
    <n v="72884.705316643594"/>
    <n v="1"/>
  </r>
  <r>
    <s v=""/>
    <x v="7"/>
    <s v="SS07"/>
    <s v="Baliet"/>
    <s v="SS0701"/>
    <m/>
    <m/>
    <m/>
    <n v="38631.891660273708"/>
    <s v="Residents"/>
    <n v="0"/>
    <n v="928.74158102630827"/>
    <n v="16808.57557577873"/>
    <n v="17248.961839678679"/>
    <n v="17177.184197164377"/>
    <n v="5222.2274564138088"/>
    <n v="1229.1965528268909"/>
    <n v="31163.191755102478"/>
    <m/>
    <m/>
    <m/>
    <m/>
    <n v="0"/>
    <n v="0"/>
    <n v="0.45"/>
    <n v="0.45"/>
    <n v="0.45"/>
    <n v="0.15000000000000002"/>
    <n v="0.05"/>
    <n v="0.8"/>
    <n v="0"/>
    <n v="0"/>
    <n v="0"/>
    <n v="0"/>
    <n v="31163.191755102478"/>
    <s v="WASH"/>
    <n v="0.80667009602194784"/>
    <s v=""/>
    <s v=""/>
    <s v=""/>
    <n v="17248.961839678679"/>
    <s v="Food Security"/>
    <n v="0.44649539793093501"/>
    <n v="13914.229915423799"/>
    <n v="0.80667057210458759"/>
    <s v="Flagged"/>
    <n v="17177.184197164377"/>
    <s v="Health"/>
    <n v="0.44463740860062961"/>
    <n v="13986.007557938101"/>
    <n v="0.81422003731245551"/>
    <s v="Flagged"/>
    <s v=""/>
    <s v=""/>
    <s v=""/>
    <s v=""/>
    <n v="4"/>
    <n v="31163.191755102478"/>
    <m/>
    <m/>
    <n v="2"/>
    <s v="Flagged"/>
    <n v="31163.191755102478"/>
    <n v="2"/>
  </r>
  <r>
    <s v=""/>
    <x v="7"/>
    <s v="SS07"/>
    <s v="Fashoda"/>
    <s v="SS0702"/>
    <m/>
    <m/>
    <m/>
    <n v="44904.26104030956"/>
    <s v="Residents"/>
    <n v="0"/>
    <n v="4594.3525257826486"/>
    <n v="10419.049491088002"/>
    <n v="17412.318752540163"/>
    <n v="13837.966186267111"/>
    <n v="5332.4303445324203"/>
    <n v="2634.383314364828"/>
    <n v="40879.091609459501"/>
    <m/>
    <m/>
    <m/>
    <m/>
    <n v="0"/>
    <n v="0.1"/>
    <n v="0.25"/>
    <n v="0.4"/>
    <n v="0.30000000000000004"/>
    <n v="0.1"/>
    <n v="0.05"/>
    <n v="0.9"/>
    <n v="0"/>
    <n v="0"/>
    <n v="0"/>
    <n v="0"/>
    <n v="40879.091609459501"/>
    <s v="WASH"/>
    <n v="0.91036108071711164"/>
    <s v=""/>
    <s v="Flagged"/>
    <s v=""/>
    <n v="17412.318752540163"/>
    <s v="Food Security"/>
    <n v="0.38776540019018485"/>
    <n v="23466.772856919339"/>
    <n v="1.3477109620162411"/>
    <s v="Flagged"/>
    <n v="13837.966186267111"/>
    <s v="Health"/>
    <n v="0.30816599284074792"/>
    <n v="27041.125423192389"/>
    <n v="1.9541257045437921"/>
    <s v="Flagged"/>
    <s v=""/>
    <s v=""/>
    <s v=""/>
    <s v=""/>
    <n v="4"/>
    <n v="40879.091609459501"/>
    <m/>
    <m/>
    <n v="3"/>
    <s v="Flagged"/>
    <n v="40879.091609459501"/>
    <n v="1"/>
  </r>
  <r>
    <s v=""/>
    <x v="7"/>
    <s v="SS07"/>
    <s v="Longochuk"/>
    <s v="SS0703"/>
    <m/>
    <m/>
    <m/>
    <n v="45380.431986163101"/>
    <s v="Residents"/>
    <n v="0"/>
    <n v="4690.6326321481838"/>
    <n v="11171.193416788352"/>
    <n v="23775.539670418675"/>
    <n v="13795.741463467401"/>
    <n v="7898.9953601484749"/>
    <n v="4468.2271494068291"/>
    <n v="3815.7605886858805"/>
    <m/>
    <m/>
    <m/>
    <m/>
    <n v="0"/>
    <n v="0.1"/>
    <n v="0.25"/>
    <n v="0.5"/>
    <n v="0.30000000000000004"/>
    <n v="0.15000000000000002"/>
    <n v="0.1"/>
    <n v="0.1"/>
    <n v="0"/>
    <n v="0"/>
    <n v="0"/>
    <n v="0"/>
    <n v="23775.539670418675"/>
    <s v="Food Security"/>
    <n v="0.52391611604023625"/>
    <s v=""/>
    <s v=""/>
    <s v=""/>
    <n v="13795.741463467401"/>
    <s v="Health"/>
    <n v="0.30400198631149755"/>
    <n v="9979.7982069512746"/>
    <n v="0.72339701591094963"/>
    <s v="Flagged"/>
    <n v="11171.193416788352"/>
    <s v="Nutrition"/>
    <n v="0.24616763058127231"/>
    <n v="12604.346253630323"/>
    <n v="1.1282900387964094"/>
    <s v="Flagged"/>
    <s v=""/>
    <s v=""/>
    <s v=""/>
    <s v="Flagged"/>
    <n v="4"/>
    <n v="23775.539670418675"/>
    <m/>
    <m/>
    <n v="3"/>
    <s v="Flagged"/>
    <n v="23775.539670418675"/>
    <n v="2"/>
  </r>
  <r>
    <s v=""/>
    <x v="7"/>
    <s v="SS07"/>
    <s v="Luakpiny/Nasir"/>
    <s v="SS0704"/>
    <m/>
    <m/>
    <m/>
    <n v="117681.01108725299"/>
    <s v="Residents"/>
    <n v="0"/>
    <n v="11499.717794839709"/>
    <n v="32666.073710915625"/>
    <n v="63487.448364839125"/>
    <n v="65400.972763241043"/>
    <n v="24453.688413391221"/>
    <n v="3922.7003695750996"/>
    <n v="88260.758315439714"/>
    <m/>
    <m/>
    <m/>
    <m/>
    <n v="0"/>
    <n v="0.1"/>
    <n v="0.30000000000000004"/>
    <n v="0.55000000000000004"/>
    <n v="0.55000000000000004"/>
    <n v="0.2"/>
    <n v="0.05"/>
    <n v="0.75"/>
    <n v="0"/>
    <n v="0"/>
    <n v="0"/>
    <n v="0"/>
    <n v="88260.758315439714"/>
    <s v="WASH"/>
    <n v="0.74999999999999978"/>
    <s v=""/>
    <s v=""/>
    <s v=""/>
    <n v="65400.972763241043"/>
    <s v="Health"/>
    <n v="0.55574788284874932"/>
    <n v="22859.785552198671"/>
    <n v="0.34953280641487849"/>
    <s v="Flagged"/>
    <n v="63487.448364839125"/>
    <s v="Food Security"/>
    <n v="0.53948761808111267"/>
    <n v="24773.309950600589"/>
    <n v="0.3902079952597472"/>
    <s v=""/>
    <s v=""/>
    <s v=""/>
    <s v=""/>
    <s v="Flagged"/>
    <n v="4"/>
    <n v="88260.758315439714"/>
    <m/>
    <m/>
    <n v="2"/>
    <s v="Flagged"/>
    <n v="88260.758315439714"/>
    <n v="1"/>
  </r>
  <r>
    <s v=""/>
    <x v="7"/>
    <s v="SS07"/>
    <s v="Maban"/>
    <s v="SS0705"/>
    <m/>
    <m/>
    <m/>
    <n v="54056.787582147139"/>
    <s v="Residents"/>
    <n v="0"/>
    <n v="5585.5608274124452"/>
    <n v="11798.564091950871"/>
    <n v="19975.542821535786"/>
    <n v="21524.525191378929"/>
    <n v="12133.334093717327"/>
    <n v="2993.9143891650729"/>
    <n v="9009.4645970245219"/>
    <m/>
    <m/>
    <m/>
    <m/>
    <n v="0"/>
    <n v="0.1"/>
    <n v="0.2"/>
    <n v="0.35000000000000003"/>
    <n v="0.4"/>
    <n v="0.2"/>
    <n v="0.05"/>
    <n v="0.15000000000000002"/>
    <n v="0"/>
    <n v="0"/>
    <n v="0"/>
    <n v="0"/>
    <n v="21524.525191378929"/>
    <s v="Health"/>
    <n v="0.39818357978948132"/>
    <s v=""/>
    <s v=""/>
    <s v=""/>
    <n v="19975.542821535786"/>
    <s v="Food Security"/>
    <n v="0.36952885502454336"/>
    <n v="1548.9823698431428"/>
    <n v="7.7543943795768747E-2"/>
    <s v=""/>
    <n v="12133.334093717327"/>
    <s v="Overarching Protection"/>
    <n v="0.22445532996719356"/>
    <n v="9391.1910976616018"/>
    <n v="0.77399921778502623"/>
    <s v="Flagged"/>
    <s v=""/>
    <s v="Flagged"/>
    <s v=""/>
    <s v=""/>
    <n v="4"/>
    <n v="21524.525191378929"/>
    <m/>
    <m/>
    <n v="2"/>
    <s v="Flagged"/>
    <n v="21524.525191378929"/>
    <n v="1"/>
  </r>
  <r>
    <s v=""/>
    <x v="7"/>
    <s v="SS07"/>
    <s v="Maiwut"/>
    <s v="SS0706"/>
    <m/>
    <m/>
    <m/>
    <n v="75995.604930880276"/>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7"/>
    <s v="SS07"/>
    <s v="Malakal"/>
    <s v="SS0707"/>
    <m/>
    <m/>
    <m/>
    <n v="123133.14998785798"/>
    <s v="Residents"/>
    <n v="0"/>
    <n v="1035.0277068419368"/>
    <n v="33436.927896884066"/>
    <n v="56380.997843816796"/>
    <n v="74880.686534567067"/>
    <n v="11291.688115511362"/>
    <n v="7508.1189016986573"/>
    <n v="76951.972640735839"/>
    <m/>
    <m/>
    <m/>
    <m/>
    <n v="0"/>
    <n v="0"/>
    <n v="0.25"/>
    <n v="0.45"/>
    <n v="0.60000000000000009"/>
    <n v="0.1"/>
    <n v="0.05"/>
    <n v="0.60000000000000009"/>
    <n v="0"/>
    <n v="0"/>
    <n v="0"/>
    <n v="0"/>
    <n v="76951.972640735839"/>
    <s v="WASH"/>
    <n v="0.62494927359792218"/>
    <s v=""/>
    <s v=""/>
    <s v=""/>
    <n v="74880.686534567067"/>
    <s v="Health"/>
    <n v="0.60812775878754799"/>
    <n v="2071.2861061687727"/>
    <n v="2.7661152722105557E-2"/>
    <s v=""/>
    <n v="56380.997843816796"/>
    <s v="Food Security"/>
    <n v="0.4578864249747242"/>
    <n v="20570.974796919043"/>
    <n v="0.36485652229681181"/>
    <s v=""/>
    <s v=""/>
    <s v=""/>
    <s v=""/>
    <s v="Flagged"/>
    <n v="4"/>
    <n v="76951.972640735839"/>
    <m/>
    <m/>
    <n v="1"/>
    <s v="Flagged"/>
    <n v="76951.972640735839"/>
    <n v="1"/>
  </r>
  <r>
    <s v=""/>
    <x v="7"/>
    <s v="SS07"/>
    <s v="Manyo"/>
    <s v="SS0708"/>
    <m/>
    <m/>
    <m/>
    <n v="55774.82852003994"/>
    <s v="Residents"/>
    <m/>
    <m/>
    <m/>
    <m/>
    <m/>
    <m/>
    <m/>
    <m/>
    <m/>
    <m/>
    <m/>
    <m/>
    <s v=""/>
    <s v=""/>
    <s v=""/>
    <s v=""/>
    <s v=""/>
    <s v=""/>
    <s v=""/>
    <s v=""/>
    <n v="0"/>
    <n v="0"/>
    <n v="0"/>
    <n v="0"/>
    <s v=""/>
    <s v=""/>
    <s v=""/>
    <s v=""/>
    <s v=""/>
    <s v=""/>
    <s v=""/>
    <s v=""/>
    <s v=""/>
    <s v=""/>
    <s v=""/>
    <s v=""/>
    <s v=""/>
    <s v=""/>
    <s v=""/>
    <s v=""/>
    <s v=""/>
    <s v=""/>
    <s v=""/>
    <s v="Flagged"/>
    <s v=""/>
    <s v="Flagged"/>
    <n v="4"/>
    <s v=""/>
    <m/>
    <m/>
    <n v="2"/>
    <s v="Flagged"/>
    <s v=""/>
    <n v="3"/>
  </r>
  <r>
    <s v=""/>
    <x v="7"/>
    <s v="SS07"/>
    <s v="Melut"/>
    <s v="SS0709"/>
    <m/>
    <m/>
    <m/>
    <n v="84237.505871052446"/>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7"/>
    <s v="SS07"/>
    <s v="Panyikang"/>
    <s v="SS0710"/>
    <m/>
    <m/>
    <m/>
    <n v="39623.047823684894"/>
    <s v="Residents"/>
    <n v="0"/>
    <n v="983.18808209491817"/>
    <n v="14542.847759831051"/>
    <n v="19387.85393590376"/>
    <n v="21678.646543710714"/>
    <n v="6971.6953980059106"/>
    <n v="2785.3825697837901"/>
    <n v="36102.818368274864"/>
    <m/>
    <m/>
    <m/>
    <m/>
    <n v="0"/>
    <n v="0"/>
    <n v="0.35000000000000003"/>
    <n v="0.5"/>
    <n v="0.55000000000000004"/>
    <n v="0.2"/>
    <n v="0.05"/>
    <n v="0.9"/>
    <n v="0"/>
    <n v="0"/>
    <n v="0"/>
    <n v="0"/>
    <n v="36102.818368274864"/>
    <s v="WASH"/>
    <n v="0.91115702479338823"/>
    <s v=""/>
    <s v="Flagged"/>
    <s v=""/>
    <n v="21678.646543710714"/>
    <s v="Health"/>
    <n v="0.54712213558574829"/>
    <n v="14424.17182456415"/>
    <n v="0.66536311644182455"/>
    <s v="Flagged"/>
    <n v="19387.85393590376"/>
    <s v="Food Security"/>
    <n v="0.48930748644516348"/>
    <n v="16714.964432371104"/>
    <n v="0.86213587577205664"/>
    <s v="Flagged"/>
    <s v=""/>
    <s v=""/>
    <s v=""/>
    <s v="Flagged"/>
    <n v="4"/>
    <n v="36102.818368274864"/>
    <m/>
    <m/>
    <n v="4"/>
    <s v="Flagged"/>
    <n v="36102.818368274864"/>
    <n v="2"/>
  </r>
  <r>
    <s v=""/>
    <x v="7"/>
    <s v="SS07"/>
    <s v="Renk"/>
    <s v="SS0711"/>
    <m/>
    <m/>
    <m/>
    <n v="208923.05518722511"/>
    <s v="Residents"/>
    <n v="0"/>
    <n v="11479.277267262083"/>
    <n v="44737.272451447789"/>
    <n v="75445.052504270585"/>
    <n v="61798.27326851344"/>
    <n v="29800.64953507435"/>
    <n v="4398.3801092047388"/>
    <n v="41447.869487589072"/>
    <m/>
    <m/>
    <m/>
    <m/>
    <n v="0"/>
    <n v="0.05"/>
    <n v="0.2"/>
    <n v="0.35000000000000003"/>
    <n v="0.30000000000000004"/>
    <n v="0.15000000000000002"/>
    <n v="0"/>
    <n v="0.2"/>
    <n v="0"/>
    <n v="0"/>
    <n v="0"/>
    <n v="0"/>
    <n v="75445.052504270585"/>
    <s v="Food Security"/>
    <n v="0.3611140591289026"/>
    <s v=""/>
    <s v=""/>
    <s v=""/>
    <n v="61798.27326851344"/>
    <s v="Health"/>
    <n v="0.29579441681595792"/>
    <n v="13646.779235757145"/>
    <n v="0.22082784055246824"/>
    <s v=""/>
    <n v="44737.272451447789"/>
    <s v="Nutrition"/>
    <n v="0.21413276965223754"/>
    <n v="30707.780052822796"/>
    <n v="0.68640259832892492"/>
    <s v="Flagged"/>
    <s v=""/>
    <s v=""/>
    <s v=""/>
    <s v="Flagged"/>
    <n v="4"/>
    <n v="75445.052504270585"/>
    <m/>
    <m/>
    <n v="2"/>
    <s v="Flagged"/>
    <n v="75445.052504270585"/>
    <n v="1"/>
  </r>
  <r>
    <s v=""/>
    <x v="7"/>
    <s v="SS07"/>
    <s v="Ulang"/>
    <s v="SS0712"/>
    <m/>
    <m/>
    <m/>
    <n v="68673.985334433135"/>
    <s v="Residents"/>
    <n v="0"/>
    <n v="8923.7723502975805"/>
    <n v="18074.431865468745"/>
    <n v="35395.248476159017"/>
    <n v="39845.83337107399"/>
    <n v="6066.4278212871195"/>
    <n v="2980.1918163999289"/>
    <n v="51505.489000824855"/>
    <m/>
    <m/>
    <m/>
    <m/>
    <n v="0"/>
    <n v="0.15000000000000002"/>
    <n v="0.25"/>
    <n v="0.5"/>
    <n v="0.60000000000000009"/>
    <n v="0.1"/>
    <n v="0.05"/>
    <n v="0.75"/>
    <n v="0"/>
    <n v="0"/>
    <n v="0"/>
    <n v="0"/>
    <n v="51505.489000824855"/>
    <s v="WASH"/>
    <n v="0.75"/>
    <s v=""/>
    <s v=""/>
    <s v=""/>
    <n v="39845.83337107399"/>
    <s v="Health"/>
    <n v="0.58021728573098097"/>
    <n v="11659.655629750865"/>
    <n v="0.29261919360971805"/>
    <s v=""/>
    <n v="35395.248476159017"/>
    <s v="Food Security"/>
    <n v="0.51540984994228722"/>
    <n v="16110.240524665838"/>
    <n v="0.45515263257770672"/>
    <s v=""/>
    <s v=""/>
    <s v=""/>
    <s v=""/>
    <s v="Flagged"/>
    <n v="4"/>
    <n v="51505.489000824855"/>
    <m/>
    <m/>
    <n v="1"/>
    <s v="Flagged"/>
    <n v="51505.489000824855"/>
    <n v="1"/>
  </r>
  <r>
    <s v=""/>
    <x v="8"/>
    <s v="SS08"/>
    <s v="Gogrial East"/>
    <s v="SS0801"/>
    <m/>
    <m/>
    <m/>
    <n v="66451.811981503241"/>
    <s v="Residents"/>
    <m/>
    <m/>
    <m/>
    <m/>
    <m/>
    <m/>
    <m/>
    <m/>
    <m/>
    <m/>
    <m/>
    <m/>
    <s v=""/>
    <s v=""/>
    <s v=""/>
    <s v=""/>
    <s v=""/>
    <s v=""/>
    <s v=""/>
    <s v=""/>
    <n v="0"/>
    <n v="0"/>
    <n v="0"/>
    <n v="0"/>
    <s v=""/>
    <s v=""/>
    <s v=""/>
    <s v=""/>
    <s v=""/>
    <s v=""/>
    <s v=""/>
    <s v=""/>
    <s v=""/>
    <s v=""/>
    <s v=""/>
    <s v=""/>
    <s v=""/>
    <s v=""/>
    <s v=""/>
    <s v=""/>
    <s v=""/>
    <s v=""/>
    <s v=""/>
    <s v="Flagged"/>
    <s v=""/>
    <s v="Flagged"/>
    <n v="4"/>
    <s v=""/>
    <m/>
    <m/>
    <n v="2"/>
    <s v="Flagged"/>
    <s v=""/>
    <n v="3"/>
  </r>
  <r>
    <s v=""/>
    <x v="8"/>
    <s v="SS08"/>
    <s v="Gogrial West"/>
    <s v="SS0802"/>
    <m/>
    <m/>
    <m/>
    <n v="175059.60932121321"/>
    <s v="Residents"/>
    <m/>
    <m/>
    <m/>
    <m/>
    <m/>
    <m/>
    <m/>
    <m/>
    <m/>
    <m/>
    <m/>
    <m/>
    <s v=""/>
    <s v=""/>
    <s v=""/>
    <s v=""/>
    <s v=""/>
    <s v=""/>
    <s v=""/>
    <s v=""/>
    <n v="0"/>
    <n v="0"/>
    <n v="0"/>
    <n v="0"/>
    <s v=""/>
    <s v=""/>
    <s v=""/>
    <s v=""/>
    <s v=""/>
    <s v=""/>
    <s v=""/>
    <s v=""/>
    <s v=""/>
    <s v=""/>
    <s v=""/>
    <s v=""/>
    <s v=""/>
    <s v=""/>
    <s v=""/>
    <s v=""/>
    <s v=""/>
    <s v=""/>
    <s v=""/>
    <s v="Flagged"/>
    <s v=""/>
    <s v="Flagged"/>
    <n v="4"/>
    <s v=""/>
    <m/>
    <m/>
    <n v="2"/>
    <s v="Flagged"/>
    <s v=""/>
    <n v="3"/>
  </r>
  <r>
    <s v=""/>
    <x v="8"/>
    <s v="SS08"/>
    <s v="Tonj East"/>
    <s v="SS0803"/>
    <m/>
    <m/>
    <m/>
    <n v="118674.00478882086"/>
    <s v="Residents"/>
    <n v="0"/>
    <n v="11646.982502827619"/>
    <n v="38876.18475235159"/>
    <n v="49005.670346605686"/>
    <n v="35534.568834791949"/>
    <n v="21380.523975778735"/>
    <n v="7063.9288564774324"/>
    <n v="17794.996088447162"/>
    <m/>
    <m/>
    <m/>
    <m/>
    <n v="0"/>
    <n v="0.1"/>
    <n v="0.35000000000000003"/>
    <n v="0.4"/>
    <n v="0.30000000000000004"/>
    <n v="0.2"/>
    <n v="0.05"/>
    <n v="0.15000000000000002"/>
    <n v="0"/>
    <n v="0"/>
    <n v="0"/>
    <n v="0"/>
    <n v="49005.670346605686"/>
    <s v="Food Security"/>
    <n v="0.41294359648358336"/>
    <s v=""/>
    <s v=""/>
    <s v=""/>
    <n v="38876.18475235159"/>
    <s v="Nutrition"/>
    <n v="0.32758804105019756"/>
    <n v="10129.485594254096"/>
    <n v="0.26055760509372955"/>
    <s v=""/>
    <n v="35534.568834791949"/>
    <s v="Health"/>
    <n v="0.29943009758561145"/>
    <n v="13471.101511813737"/>
    <n v="0.37909849348232871"/>
    <s v=""/>
    <s v=""/>
    <s v=""/>
    <s v=""/>
    <s v=""/>
    <n v="4"/>
    <n v="49005.670346605686"/>
    <m/>
    <m/>
    <n v="0"/>
    <s v=""/>
    <n v="49005.670346605686"/>
    <n v="2"/>
  </r>
  <r>
    <s v=""/>
    <x v="8"/>
    <s v="SS08"/>
    <s v="Tonj North"/>
    <s v="SS0804"/>
    <m/>
    <m/>
    <m/>
    <n v="176910.11306393327"/>
    <s v="Residents"/>
    <m/>
    <m/>
    <m/>
    <m/>
    <m/>
    <m/>
    <m/>
    <m/>
    <m/>
    <m/>
    <m/>
    <m/>
    <s v=""/>
    <s v=""/>
    <s v=""/>
    <s v=""/>
    <s v=""/>
    <s v=""/>
    <s v=""/>
    <s v=""/>
    <n v="0"/>
    <n v="0"/>
    <n v="0"/>
    <n v="0"/>
    <s v=""/>
    <s v=""/>
    <s v=""/>
    <s v=""/>
    <s v=""/>
    <s v=""/>
    <s v=""/>
    <s v=""/>
    <s v=""/>
    <s v=""/>
    <s v=""/>
    <s v=""/>
    <s v=""/>
    <s v=""/>
    <s v=""/>
    <s v=""/>
    <s v=""/>
    <s v=""/>
    <s v=""/>
    <s v="Flagged"/>
    <s v=""/>
    <s v="Flagged"/>
    <n v="4"/>
    <s v=""/>
    <m/>
    <m/>
    <n v="2"/>
    <s v="Flagged"/>
    <s v=""/>
    <n v="3"/>
  </r>
  <r>
    <s v=""/>
    <x v="8"/>
    <s v="SS08"/>
    <s v="Tonj South"/>
    <s v="SS0805"/>
    <m/>
    <m/>
    <m/>
    <n v="85516.790119838945"/>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8"/>
    <s v="SS08"/>
    <s v="Twic"/>
    <s v="SS0806"/>
    <m/>
    <m/>
    <m/>
    <n v="56495.39881084334"/>
    <s v="Residents"/>
    <n v="0"/>
    <n v="2081.3243894307552"/>
    <n v="17614.645459844574"/>
    <n v="18699.56245232631"/>
    <n v="30716.835984956648"/>
    <n v="9101.0829590833146"/>
    <n v="1738.3199634105645"/>
    <n v="7238.7151511321499"/>
    <m/>
    <m/>
    <m/>
    <m/>
    <n v="0"/>
    <n v="0.05"/>
    <n v="0.30000000000000004"/>
    <n v="0.35000000000000003"/>
    <n v="0.55000000000000004"/>
    <n v="0.15000000000000002"/>
    <n v="0.05"/>
    <n v="0.15000000000000002"/>
    <n v="0"/>
    <n v="0"/>
    <n v="0"/>
    <n v="0"/>
    <n v="30716.835984956648"/>
    <s v="Health"/>
    <n v="0.54370509159165481"/>
    <s v=""/>
    <s v=""/>
    <s v=""/>
    <n v="18699.56245232631"/>
    <s v="Food Security"/>
    <n v="0.33099266216237849"/>
    <n v="12017.273532630337"/>
    <n v="0.64264998516771898"/>
    <s v="Flagged"/>
    <n v="17614.645459844574"/>
    <s v="Nutrition"/>
    <n v="0.31178902761305477"/>
    <n v="13102.190525112073"/>
    <n v="0.74382368665782295"/>
    <s v="Flagged"/>
    <s v=""/>
    <s v="Flagged"/>
    <s v=""/>
    <s v=""/>
    <n v="4"/>
    <n v="30716.835984956648"/>
    <m/>
    <m/>
    <n v="3"/>
    <s v="Flagged"/>
    <n v="30716.835984956648"/>
    <n v="1"/>
  </r>
  <r>
    <s v=""/>
    <x v="9"/>
    <s v="SS09"/>
    <s v="Jur River"/>
    <s v="SS0901"/>
    <m/>
    <m/>
    <m/>
    <n v="178742.31540837008"/>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9"/>
    <s v="SS09"/>
    <s v="Raja"/>
    <s v="SS0902"/>
    <m/>
    <m/>
    <m/>
    <n v="37008.275019605207"/>
    <s v="Residents"/>
    <m/>
    <m/>
    <m/>
    <m/>
    <m/>
    <m/>
    <m/>
    <m/>
    <m/>
    <m/>
    <m/>
    <m/>
    <s v=""/>
    <s v=""/>
    <s v=""/>
    <s v=""/>
    <s v=""/>
    <s v=""/>
    <s v=""/>
    <s v=""/>
    <n v="0"/>
    <n v="0"/>
    <n v="0"/>
    <n v="0"/>
    <s v=""/>
    <s v=""/>
    <s v=""/>
    <s v=""/>
    <s v=""/>
    <s v=""/>
    <s v=""/>
    <s v=""/>
    <s v=""/>
    <s v=""/>
    <s v=""/>
    <s v=""/>
    <s v=""/>
    <s v=""/>
    <s v=""/>
    <s v=""/>
    <s v=""/>
    <s v=""/>
    <s v=""/>
    <s v="Flagged"/>
    <s v=""/>
    <s v="Flagged"/>
    <n v="4"/>
    <s v=""/>
    <m/>
    <m/>
    <n v="2"/>
    <s v="Flagged"/>
    <s v=""/>
    <n v="3"/>
  </r>
  <r>
    <s v=""/>
    <x v="9"/>
    <s v="SS09"/>
    <s v="Wau"/>
    <s v="SS0903"/>
    <m/>
    <m/>
    <m/>
    <n v="225180.53774946873"/>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0"/>
    <s v="SS10"/>
    <s v="Ezo"/>
    <s v="SS1001"/>
    <m/>
    <m/>
    <m/>
    <n v="73520.181474041485"/>
    <s v="Residents"/>
    <m/>
    <m/>
    <m/>
    <m/>
    <m/>
    <m/>
    <m/>
    <m/>
    <m/>
    <m/>
    <m/>
    <m/>
    <s v=""/>
    <s v=""/>
    <s v=""/>
    <s v=""/>
    <s v=""/>
    <s v=""/>
    <s v=""/>
    <s v=""/>
    <n v="0"/>
    <n v="0"/>
    <n v="0"/>
    <n v="0"/>
    <s v=""/>
    <s v=""/>
    <s v=""/>
    <s v=""/>
    <s v=""/>
    <s v=""/>
    <s v=""/>
    <s v=""/>
    <s v=""/>
    <s v=""/>
    <s v=""/>
    <s v=""/>
    <s v=""/>
    <s v=""/>
    <s v=""/>
    <s v=""/>
    <s v=""/>
    <s v=""/>
    <s v=""/>
    <s v="Flagged"/>
    <s v=""/>
    <s v="Flagged"/>
    <n v="4"/>
    <s v=""/>
    <m/>
    <m/>
    <n v="2"/>
    <s v="Flagged"/>
    <s v=""/>
    <n v="3"/>
  </r>
  <r>
    <s v=""/>
    <x v="10"/>
    <s v="SS10"/>
    <s v="Ibba"/>
    <s v="SS1002"/>
    <m/>
    <m/>
    <m/>
    <n v="47140.450098552225"/>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aridi"/>
    <s v="SS1003"/>
    <m/>
    <m/>
    <m/>
    <n v="80255.412925910496"/>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East"/>
    <s v="SS1004"/>
    <m/>
    <m/>
    <m/>
    <n v="64180.342035561967"/>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West"/>
    <s v="SS1005"/>
    <m/>
    <m/>
    <m/>
    <n v="37549.507730213714"/>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volo"/>
    <s v="SS1006"/>
    <m/>
    <m/>
    <m/>
    <n v="57305.25569680793"/>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Nagero"/>
    <s v="SS1007"/>
    <m/>
    <m/>
    <m/>
    <n v="20533.496005228379"/>
    <s v="Residents"/>
    <n v="0"/>
    <n v="401.87665577528861"/>
    <n v="5029.4837009159291"/>
    <n v="6023.3408555433152"/>
    <n v="7772.2417257627949"/>
    <n v="3371.9493710890588"/>
    <n v="429.77084662105909"/>
    <n v="5640.373902670759"/>
    <m/>
    <m/>
    <m/>
    <m/>
    <n v="0"/>
    <n v="0"/>
    <n v="0.25"/>
    <n v="0.30000000000000004"/>
    <n v="0.4"/>
    <n v="0.15000000000000002"/>
    <n v="0"/>
    <n v="0.25"/>
    <n v="0"/>
    <n v="0"/>
    <n v="0"/>
    <n v="0"/>
    <n v="7772.2417257627949"/>
    <s v="Health"/>
    <n v="0.37851526714124928"/>
    <s v=""/>
    <s v=""/>
    <s v=""/>
    <n v="6023.3408555433152"/>
    <s v="Food Security"/>
    <n v="0.29334219823110547"/>
    <n v="1748.9008702194797"/>
    <n v="0.29035396006353453"/>
    <s v=""/>
    <n v="5640.373902670759"/>
    <s v="WASH"/>
    <n v="0.27469135802469141"/>
    <n v="2131.8678230920359"/>
    <n v="0.37796569161533433"/>
    <s v=""/>
    <s v=""/>
    <s v="Flagged"/>
    <s v=""/>
    <s v=""/>
    <n v="4"/>
    <n v="7772.2417257627949"/>
    <m/>
    <m/>
    <n v="1"/>
    <s v="Flagged"/>
    <n v="7772.2417257627949"/>
    <n v="2"/>
  </r>
  <r>
    <s v=""/>
    <x v="10"/>
    <s v="SS10"/>
    <s v="Nzara"/>
    <s v="SS1008"/>
    <m/>
    <m/>
    <m/>
    <n v="65499.917413585019"/>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Tambura"/>
    <s v="SS1009"/>
    <m/>
    <m/>
    <m/>
    <n v="76119.104669093867"/>
    <s v="Residents"/>
    <n v="0"/>
    <n v="4598.4083964332285"/>
    <n v="18275.620298405785"/>
    <n v="17948.193300489344"/>
    <n v="32413.633790026284"/>
    <n v="13241.447024673438"/>
    <n v="7184.2750474200948"/>
    <n v="41436.750265467381"/>
    <m/>
    <m/>
    <m/>
    <m/>
    <n v="0"/>
    <n v="0.05"/>
    <n v="0.25"/>
    <n v="0.25"/>
    <n v="0.45"/>
    <n v="0.15000000000000002"/>
    <n v="0.1"/>
    <n v="0.55000000000000004"/>
    <n v="0"/>
    <n v="0"/>
    <n v="0"/>
    <n v="0"/>
    <n v="41436.750265467381"/>
    <s v="WASH"/>
    <n v="0.54436728395061729"/>
    <s v=""/>
    <s v=""/>
    <s v=""/>
    <n v="32413.633790026284"/>
    <s v="Health"/>
    <n v="0.42582783824028575"/>
    <n v="9023.1164754410966"/>
    <n v="0.2783741105330042"/>
    <s v=""/>
    <n v="18275.620298405785"/>
    <s v="Nutrition"/>
    <n v="0.24009242328655653"/>
    <n v="23161.129967061595"/>
    <n v="1.26732387677599"/>
    <s v="Flagged"/>
    <s v=""/>
    <s v=""/>
    <s v=""/>
    <s v="Flagged"/>
    <n v="4"/>
    <n v="41436.750265467381"/>
    <m/>
    <m/>
    <n v="2"/>
    <s v="Flagged"/>
    <n v="41436.750265467381"/>
    <n v="2"/>
  </r>
  <r>
    <s v=""/>
    <x v="10"/>
    <s v="SS10"/>
    <s v="Yambio"/>
    <s v="SS1010"/>
    <m/>
    <m/>
    <m/>
    <n v="122615.70597189905"/>
    <s v="Resident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0"/>
    <s v="SS00"/>
    <s v="Abyei Administrative Area"/>
    <s v="SS0001"/>
    <m/>
    <m/>
    <m/>
    <n v="19107.704392085096"/>
    <s v="Returnees"/>
    <n v="5000"/>
    <n v="2193.5644642113693"/>
    <n v="3916.9304965614242"/>
    <n v="6604.9202780047945"/>
    <n v="9363.4882631872078"/>
    <n v="6008.4640770882224"/>
    <n v="2786.5402238457432"/>
    <n v="2064.1038695153652"/>
    <m/>
    <m/>
    <m/>
    <m/>
    <n v="0.25"/>
    <n v="0.1"/>
    <n v="0.2"/>
    <n v="0.35000000000000003"/>
    <n v="0.5"/>
    <n v="0.30000000000000004"/>
    <n v="0.15000000000000002"/>
    <n v="0.1"/>
    <n v="0"/>
    <n v="0"/>
    <n v="0"/>
    <n v="0"/>
    <n v="9363.4882631872078"/>
    <s v="Health"/>
    <n v="0.49003732060381916"/>
    <s v=""/>
    <s v=""/>
    <s v=""/>
    <n v="6604.9202780047945"/>
    <s v="Food Security"/>
    <n v="0.34566791187855739"/>
    <n v="2758.5679851824134"/>
    <n v="0.41765348695710797"/>
    <s v="Flagged"/>
    <n v="6008.4640770882224"/>
    <s v="Overarching Protection"/>
    <n v="0.31445242996207767"/>
    <n v="3355.0241860989854"/>
    <n v="0.55838299822620763"/>
    <s v="Flagged"/>
    <s v=""/>
    <s v="Flagged"/>
    <s v=""/>
    <s v=""/>
    <n v="4"/>
    <n v="9363.4882631872078"/>
    <m/>
    <m/>
    <n v="3"/>
    <s v="Flagged"/>
    <n v="9363.4882631872078"/>
    <n v="1"/>
  </r>
  <r>
    <s v=""/>
    <x v="1"/>
    <s v="SS01"/>
    <s v="Juba"/>
    <s v="SS0101"/>
    <m/>
    <m/>
    <m/>
    <n v="58949.896431430854"/>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Kajo-Keji"/>
    <s v="SS0102"/>
    <m/>
    <m/>
    <m/>
    <n v="15480.714285714301"/>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Lainya"/>
    <s v="SS0103"/>
    <m/>
    <m/>
    <m/>
    <n v="7168.4285714285697"/>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Morobo"/>
    <s v="SS0104"/>
    <m/>
    <m/>
    <m/>
    <n v="12810"/>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
    <s v="SS01"/>
    <s v="Terekeka"/>
    <s v="SS0105"/>
    <m/>
    <m/>
    <m/>
    <n v="1080"/>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
    <s v="SS01"/>
    <s v="Yei"/>
    <s v="SS0106"/>
    <m/>
    <m/>
    <m/>
    <n v="29744.714285714301"/>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2"/>
    <s v="SS02"/>
    <s v="Budi"/>
    <s v="SS0201"/>
    <m/>
    <m/>
    <m/>
    <n v="2130"/>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Ikotos"/>
    <s v="SS0202"/>
    <m/>
    <m/>
    <m/>
    <n v="3437.4285714285702"/>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Kapoeta East"/>
    <s v="SS0203"/>
    <m/>
    <m/>
    <m/>
    <n v="3548.7142857142862"/>
    <s v="Returnees"/>
    <n v="0"/>
    <n v="606.12040000000013"/>
    <n v="785.87134900659157"/>
    <n v="1435.4278327603176"/>
    <n v="963.57160222058019"/>
    <n v="1275.7098386171867"/>
    <n v="0"/>
    <n v="1988.54565941603"/>
    <m/>
    <m/>
    <m/>
    <m/>
    <n v="0"/>
    <n v="0.15000000000000002"/>
    <n v="0.2"/>
    <n v="0.4"/>
    <n v="0.25"/>
    <n v="0.35000000000000003"/>
    <n v="0"/>
    <n v="0.55000000000000004"/>
    <n v="0"/>
    <n v="0"/>
    <n v="0"/>
    <n v="0"/>
    <n v="1988.54565941603"/>
    <s v="WASH"/>
    <n v="0.56035665294924553"/>
    <s v="Flagged"/>
    <s v=""/>
    <s v=""/>
    <n v="1435.4278327603176"/>
    <s v="Food Security"/>
    <n v="0.40449236461182003"/>
    <n v="553.11782665571241"/>
    <n v="0.3853330791225294"/>
    <s v="Flagged"/>
    <n v="1275.7098386171867"/>
    <s v="Overarching Protection"/>
    <n v="0.35948507992111051"/>
    <n v="712.83582079884332"/>
    <n v="0.55877582755928723"/>
    <s v="Flagged"/>
    <s v=""/>
    <s v=""/>
    <s v=""/>
    <s v=""/>
    <n v="4"/>
    <n v="1988.54565941603"/>
    <m/>
    <m/>
    <n v="3"/>
    <s v="Flagged"/>
    <n v="1988.54565941603"/>
    <n v="2"/>
  </r>
  <r>
    <s v=""/>
    <x v="2"/>
    <s v="SS02"/>
    <s v="Kapoeta North"/>
    <s v="SS0204"/>
    <m/>
    <m/>
    <m/>
    <n v="3"/>
    <s v="Returnees"/>
    <m/>
    <m/>
    <m/>
    <m/>
    <m/>
    <m/>
    <m/>
    <m/>
    <m/>
    <m/>
    <m/>
    <m/>
    <s v=""/>
    <s v=""/>
    <s v=""/>
    <s v=""/>
    <s v=""/>
    <s v=""/>
    <s v=""/>
    <s v=""/>
    <n v="0"/>
    <n v="0"/>
    <n v="0"/>
    <n v="0"/>
    <s v=""/>
    <s v=""/>
    <s v=""/>
    <s v=""/>
    <s v=""/>
    <s v=""/>
    <s v=""/>
    <s v=""/>
    <s v=""/>
    <s v=""/>
    <s v=""/>
    <s v=""/>
    <s v=""/>
    <s v=""/>
    <s v=""/>
    <s v=""/>
    <s v=""/>
    <s v=""/>
    <s v=""/>
    <s v="Flagged"/>
    <s v=""/>
    <s v="Flagged"/>
    <n v="4"/>
    <s v=""/>
    <m/>
    <m/>
    <n v="2"/>
    <s v="Flagged"/>
    <s v=""/>
    <n v="3"/>
  </r>
  <r>
    <s v=""/>
    <x v="2"/>
    <s v="SS02"/>
    <s v="Kapoeta South"/>
    <s v="SS0205"/>
    <m/>
    <m/>
    <m/>
    <n v="9189.5714285714294"/>
    <s v="Returnees"/>
    <m/>
    <m/>
    <m/>
    <m/>
    <m/>
    <m/>
    <m/>
    <m/>
    <m/>
    <m/>
    <m/>
    <m/>
    <s v=""/>
    <s v=""/>
    <s v=""/>
    <s v=""/>
    <s v=""/>
    <s v=""/>
    <s v=""/>
    <s v=""/>
    <n v="0"/>
    <n v="0"/>
    <n v="0"/>
    <n v="0"/>
    <s v=""/>
    <s v=""/>
    <s v=""/>
    <s v=""/>
    <s v=""/>
    <s v=""/>
    <s v=""/>
    <s v=""/>
    <s v=""/>
    <s v=""/>
    <s v=""/>
    <s v=""/>
    <s v=""/>
    <s v=""/>
    <s v=""/>
    <s v=""/>
    <s v=""/>
    <s v=""/>
    <s v=""/>
    <s v="Flagged"/>
    <s v=""/>
    <s v="Flagged"/>
    <n v="4"/>
    <s v=""/>
    <m/>
    <m/>
    <n v="2"/>
    <s v="Flagged"/>
    <s v=""/>
    <n v="3"/>
  </r>
  <r>
    <s v=""/>
    <x v="2"/>
    <s v="SS02"/>
    <s v="Lafon"/>
    <s v="SS0206"/>
    <m/>
    <m/>
    <m/>
    <n v="5555.8571428571404"/>
    <s v="Returnees"/>
    <m/>
    <m/>
    <m/>
    <m/>
    <m/>
    <m/>
    <m/>
    <m/>
    <m/>
    <m/>
    <m/>
    <m/>
    <s v=""/>
    <s v=""/>
    <s v=""/>
    <s v=""/>
    <s v=""/>
    <s v=""/>
    <s v=""/>
    <s v=""/>
    <n v="0"/>
    <n v="0"/>
    <n v="0"/>
    <n v="0"/>
    <s v=""/>
    <s v=""/>
    <s v=""/>
    <s v=""/>
    <s v=""/>
    <s v=""/>
    <s v=""/>
    <s v=""/>
    <s v=""/>
    <s v=""/>
    <s v=""/>
    <s v=""/>
    <s v=""/>
    <s v=""/>
    <s v=""/>
    <s v=""/>
    <s v=""/>
    <s v=""/>
    <s v=""/>
    <s v="Flagged"/>
    <s v=""/>
    <s v="Flagged"/>
    <n v="4"/>
    <s v=""/>
    <m/>
    <m/>
    <n v="2"/>
    <s v="Flagged"/>
    <s v=""/>
    <n v="3"/>
  </r>
  <r>
    <s v=""/>
    <x v="2"/>
    <s v="SS02"/>
    <s v="Magwi"/>
    <s v="SS0207"/>
    <m/>
    <m/>
    <m/>
    <n v="33159.142857142899"/>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2"/>
    <s v="SS02"/>
    <s v="Torit"/>
    <s v="SS0208"/>
    <m/>
    <m/>
    <m/>
    <n v="9209.5714285714294"/>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Akobo"/>
    <s v="SS0301"/>
    <m/>
    <m/>
    <m/>
    <n v="6904.2601395402035"/>
    <s v="Returnees"/>
    <n v="16657"/>
    <n v="1361.7410358417935"/>
    <n v="1801.3765715273275"/>
    <n v="3355.8925562211812"/>
    <n v="3326.3255614655754"/>
    <n v="3361.224191467054"/>
    <n v="4832.9820976781421"/>
    <n v="1182.6741905693866"/>
    <m/>
    <m/>
    <m/>
    <m/>
    <n v="2.4000000000000004"/>
    <n v="0.2"/>
    <n v="0.25"/>
    <n v="0.5"/>
    <n v="0.5"/>
    <n v="0.5"/>
    <n v="0.70000000000000007"/>
    <n v="0.15000000000000002"/>
    <n v="0"/>
    <n v="0"/>
    <n v="0"/>
    <n v="0"/>
    <n v="16657"/>
    <s v="CCCM"/>
    <n v="2.4125684234588083"/>
    <s v=""/>
    <s v="Flagged"/>
    <s v=""/>
    <n v="4832.9820976781421"/>
    <s v="Shelter"/>
    <n v="0.7"/>
    <n v="11824.017902321859"/>
    <n v="2.4465263192268694"/>
    <s v="Flagged"/>
    <n v="3361.224191467054"/>
    <s v="Overarching Protection"/>
    <n v="0.4868333642612282"/>
    <n v="13295.775808532946"/>
    <n v="3.9556349267883308"/>
    <s v="Flagged"/>
    <s v=""/>
    <s v=""/>
    <s v=""/>
    <s v="Flagged"/>
    <n v="4"/>
    <n v="16657"/>
    <m/>
    <m/>
    <n v="4"/>
    <s v="Flagged"/>
    <n v="16657"/>
    <n v="1"/>
  </r>
  <r>
    <s v=""/>
    <x v="3"/>
    <s v="SS03"/>
    <s v="Ayod"/>
    <s v="SS0302"/>
    <m/>
    <m/>
    <m/>
    <n v="19402.803122498015"/>
    <s v="Returnees"/>
    <n v="0"/>
    <n v="2673.8614927052067"/>
    <n v="3430.8154551067632"/>
    <n v="8325.8096411820425"/>
    <n v="7840.7348102945498"/>
    <n v="6754.7523301546253"/>
    <n v="8334.385886709375"/>
    <n v="13432.487884477732"/>
    <m/>
    <m/>
    <m/>
    <m/>
    <n v="0"/>
    <n v="0.15000000000000002"/>
    <n v="0.2"/>
    <n v="0.45"/>
    <n v="0.4"/>
    <n v="0.35000000000000003"/>
    <n v="0.45"/>
    <n v="0.70000000000000007"/>
    <n v="0"/>
    <n v="0"/>
    <n v="0"/>
    <n v="0"/>
    <n v="13432.487884477732"/>
    <s v="WASH"/>
    <n v="0.69229625223081503"/>
    <s v=""/>
    <s v=""/>
    <s v=""/>
    <n v="8334.385886709375"/>
    <s v="Shelter"/>
    <n v="0.42954545454545456"/>
    <n v="5098.1019977683573"/>
    <n v="0.61169497873840539"/>
    <s v="Flagged"/>
    <n v="8325.8096411820425"/>
    <s v="Food Security"/>
    <n v="0.42910344390023042"/>
    <n v="5106.6782432956898"/>
    <n v="0.61335515263722484"/>
    <s v="Flagged"/>
    <s v=""/>
    <s v=""/>
    <s v=""/>
    <s v="Flagged"/>
    <n v="4"/>
    <n v="13432.487884477732"/>
    <m/>
    <m/>
    <n v="3"/>
    <s v="Flagged"/>
    <n v="13432.487884477732"/>
    <n v="2"/>
  </r>
  <r>
    <s v=""/>
    <x v="3"/>
    <s v="SS03"/>
    <s v="Bor South"/>
    <s v="SS0303"/>
    <m/>
    <m/>
    <m/>
    <n v="16703"/>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3"/>
    <s v="SS03"/>
    <s v="Canal/Pigi"/>
    <s v="SS0304"/>
    <m/>
    <m/>
    <m/>
    <n v="1206"/>
    <s v="Returnees"/>
    <n v="0"/>
    <n v="196.24273199999999"/>
    <n v="260.96943800482529"/>
    <n v="619.86023018184108"/>
    <n v="799.57273998366782"/>
    <n v="555.93946294569855"/>
    <n v="0"/>
    <n v="1112.9444444444446"/>
    <m/>
    <m/>
    <m/>
    <m/>
    <n v="0"/>
    <n v="0.15000000000000002"/>
    <n v="0.2"/>
    <n v="0.5"/>
    <n v="0.65"/>
    <n v="0.45"/>
    <n v="0"/>
    <n v="0.9"/>
    <n v="0"/>
    <n v="0"/>
    <n v="0"/>
    <n v="0"/>
    <n v="1112.9444444444446"/>
    <s v="WASH"/>
    <n v="0.92283950617283961"/>
    <s v="Flagged"/>
    <s v="Flagged"/>
    <s v=""/>
    <n v="799.57273998366782"/>
    <s v="Health"/>
    <n v="0.66299563846075271"/>
    <n v="313.37170446077675"/>
    <n v="0.39192394736616176"/>
    <s v="Flagged"/>
    <n v="619.86023018184108"/>
    <s v="Food Security"/>
    <n v="0.51398029036636905"/>
    <n v="493.0842142626035"/>
    <n v="0.79547644816308538"/>
    <s v="Flagged"/>
    <s v=""/>
    <s v=""/>
    <s v=""/>
    <s v="Flagged"/>
    <n v="4"/>
    <n v="1112.9444444444446"/>
    <m/>
    <m/>
    <n v="5"/>
    <s v="Flagged"/>
    <n v="1112.9444444444446"/>
    <n v="1"/>
  </r>
  <r>
    <s v=""/>
    <x v="3"/>
    <s v="SS03"/>
    <s v="Duk"/>
    <s v="SS0305"/>
    <m/>
    <m/>
    <m/>
    <n v="9262.1428571428605"/>
    <s v="Returnees"/>
    <n v="0"/>
    <n v="887.40590714285759"/>
    <n v="2008.8154111316726"/>
    <n v="3747.2004957880122"/>
    <n v="5544.7593122630933"/>
    <n v="3616.0065322382015"/>
    <n v="6483.5000000000018"/>
    <n v="1133.9454732510289"/>
    <m/>
    <m/>
    <m/>
    <m/>
    <n v="0"/>
    <n v="0.1"/>
    <n v="0.2"/>
    <n v="0.4"/>
    <n v="0.60000000000000009"/>
    <n v="0.4"/>
    <n v="0.70000000000000007"/>
    <n v="0.1"/>
    <n v="0"/>
    <n v="0"/>
    <n v="0"/>
    <n v="0"/>
    <n v="6483.5000000000018"/>
    <s v="Shelter"/>
    <n v="0.7"/>
    <s v=""/>
    <s v=""/>
    <s v=""/>
    <n v="5544.7593122630933"/>
    <s v="Health"/>
    <n v="0.5986475697669722"/>
    <n v="938.74068773690851"/>
    <n v="0.1693023330445991"/>
    <s v=""/>
    <n v="3747.2004957880122"/>
    <s v="Food Security"/>
    <n v="0.40457165837149806"/>
    <n v="2736.2995042119896"/>
    <n v="0.73022500591780148"/>
    <s v="Flagged"/>
    <s v=""/>
    <s v="Flagged"/>
    <s v=""/>
    <s v="Flagged"/>
    <n v="4"/>
    <n v="6483.5000000000018"/>
    <m/>
    <m/>
    <n v="3"/>
    <s v="Flagged"/>
    <n v="6483.5000000000018"/>
    <n v="2"/>
  </r>
  <r>
    <s v=""/>
    <x v="3"/>
    <s v="SS03"/>
    <s v="Fangak"/>
    <s v="SS0306"/>
    <m/>
    <m/>
    <m/>
    <n v="33686.173990621071"/>
    <s v="Returnees"/>
    <n v="0"/>
    <n v="12598.62907249228"/>
    <n v="6274.2977324118883"/>
    <n v="17972.574446081995"/>
    <n v="19746.098949396881"/>
    <n v="15121.736871238787"/>
    <n v="23580.321793434749"/>
    <n v="19515.974000481987"/>
    <m/>
    <m/>
    <m/>
    <m/>
    <n v="0"/>
    <n v="0.35000000000000003"/>
    <n v="0.2"/>
    <n v="0.55000000000000004"/>
    <n v="0.60000000000000009"/>
    <n v="0.45"/>
    <n v="0.70000000000000007"/>
    <n v="0.60000000000000009"/>
    <n v="0"/>
    <n v="0"/>
    <n v="0"/>
    <n v="0"/>
    <n v="23580.321793434749"/>
    <s v="Shelter"/>
    <n v="0.7"/>
    <s v=""/>
    <s v=""/>
    <s v=""/>
    <n v="19746.098949396881"/>
    <s v="Health"/>
    <n v="0.58617814403305657"/>
    <n v="3834.2228440378676"/>
    <n v="0.19417621950866296"/>
    <s v=""/>
    <n v="19515.974000481987"/>
    <s v="WASH"/>
    <n v="0.57934670781893005"/>
    <n v="4064.3477929527617"/>
    <n v="0.20825749167591556"/>
    <s v=""/>
    <s v=""/>
    <s v="Flagged"/>
    <s v=""/>
    <s v="Flagged"/>
    <n v="4"/>
    <n v="23580.321793434749"/>
    <m/>
    <m/>
    <n v="2"/>
    <s v="Flagged"/>
    <n v="23580.321793434749"/>
    <n v="1"/>
  </r>
  <r>
    <s v=""/>
    <x v="3"/>
    <s v="SS03"/>
    <s v="Nyirol"/>
    <s v="SS0307"/>
    <m/>
    <m/>
    <m/>
    <n v="13146.5714285714"/>
    <s v="Returnees"/>
    <n v="0"/>
    <n v="2284.7465925428523"/>
    <n v="3155.0850083313644"/>
    <n v="5820.2547071310528"/>
    <n v="8341.5333690618572"/>
    <n v="4026.9816457363663"/>
    <n v="6625.8719999999857"/>
    <n v="4920.9474328826082"/>
    <m/>
    <m/>
    <m/>
    <m/>
    <n v="0"/>
    <n v="0.15000000000000002"/>
    <n v="0.25"/>
    <n v="0.45"/>
    <n v="0.65"/>
    <n v="0.30000000000000004"/>
    <n v="0.5"/>
    <n v="0.35000000000000003"/>
    <n v="0"/>
    <n v="0"/>
    <n v="0"/>
    <n v="0"/>
    <n v="8341.5333690618572"/>
    <s v="Health"/>
    <n v="0.63450257083251604"/>
    <s v=""/>
    <s v=""/>
    <s v=""/>
    <n v="6625.8719999999857"/>
    <s v="Shelter"/>
    <n v="0.504"/>
    <n v="1715.6613690618715"/>
    <n v="0.2589336722867383"/>
    <s v=""/>
    <n v="5820.2547071310528"/>
    <s v="Food Security"/>
    <n v="0.44272035022621276"/>
    <n v="2521.2786619308044"/>
    <n v="0.43319043388972317"/>
    <s v=""/>
    <s v=""/>
    <s v="Flagged"/>
    <s v=""/>
    <s v="Flagged"/>
    <n v="4"/>
    <n v="8341.5333690618572"/>
    <m/>
    <m/>
    <n v="2"/>
    <s v="Flagged"/>
    <n v="8341.5333690618572"/>
    <n v="2"/>
  </r>
  <r>
    <s v=""/>
    <x v="3"/>
    <s v="SS03"/>
    <s v="Pibor"/>
    <s v="SS0308"/>
    <m/>
    <m/>
    <m/>
    <n v="4238"/>
    <s v="Returnees"/>
    <n v="0"/>
    <n v="1214.4158519999999"/>
    <n v="1181.7457253986281"/>
    <n v="2062.6986624635656"/>
    <n v="2323.2040163304687"/>
    <n v="1585.6828999193278"/>
    <n v="1695.2"/>
    <n v="2781.7325102880664"/>
    <m/>
    <m/>
    <m/>
    <m/>
    <n v="0"/>
    <n v="0.30000000000000004"/>
    <n v="0.30000000000000004"/>
    <n v="0.5"/>
    <n v="0.55000000000000004"/>
    <n v="0.35000000000000003"/>
    <n v="0.4"/>
    <n v="0.65"/>
    <n v="0"/>
    <n v="0"/>
    <n v="0"/>
    <n v="0"/>
    <n v="2781.7325102880664"/>
    <s v="WASH"/>
    <n v="0.65637860082304533"/>
    <s v=""/>
    <s v=""/>
    <s v=""/>
    <n v="2323.2040163304687"/>
    <s v="Health"/>
    <n v="0.5481840529330978"/>
    <n v="458.52849395759768"/>
    <n v="0.19736901741494467"/>
    <s v=""/>
    <n v="2062.6986624635656"/>
    <s v="Food Security"/>
    <n v="0.48671511620187957"/>
    <n v="719.03384782450075"/>
    <n v="0.34858889517372799"/>
    <s v=""/>
    <s v=""/>
    <s v=""/>
    <s v=""/>
    <s v="Flagged"/>
    <n v="4"/>
    <n v="2781.7325102880664"/>
    <m/>
    <m/>
    <n v="1"/>
    <s v="Flagged"/>
    <n v="2781.7325102880664"/>
    <n v="1"/>
  </r>
  <r>
    <s v=""/>
    <x v="3"/>
    <s v="SS03"/>
    <s v="Pochalla"/>
    <s v="SS0309"/>
    <m/>
    <m/>
    <m/>
    <n v="2811.1428571428601"/>
    <s v="Returnees"/>
    <m/>
    <m/>
    <m/>
    <m/>
    <m/>
    <m/>
    <m/>
    <m/>
    <m/>
    <m/>
    <m/>
    <m/>
    <s v=""/>
    <s v=""/>
    <s v=""/>
    <s v=""/>
    <s v=""/>
    <s v=""/>
    <s v=""/>
    <s v=""/>
    <n v="0"/>
    <n v="0"/>
    <n v="0"/>
    <n v="0"/>
    <s v=""/>
    <s v=""/>
    <s v=""/>
    <s v=""/>
    <s v=""/>
    <s v=""/>
    <s v=""/>
    <s v=""/>
    <s v=""/>
    <s v=""/>
    <s v=""/>
    <s v=""/>
    <s v=""/>
    <s v=""/>
    <s v=""/>
    <s v=""/>
    <s v=""/>
    <s v=""/>
    <s v=""/>
    <s v="Flagged"/>
    <s v=""/>
    <s v="Flagged"/>
    <n v="4"/>
    <s v=""/>
    <m/>
    <m/>
    <n v="2"/>
    <s v="Flagged"/>
    <s v=""/>
    <n v="3"/>
  </r>
  <r>
    <s v=""/>
    <x v="3"/>
    <s v="SS03"/>
    <s v="Twic East"/>
    <s v="SS0310"/>
    <m/>
    <m/>
    <m/>
    <n v="5169"/>
    <s v="Returnees"/>
    <n v="0"/>
    <n v="1679.9250000000002"/>
    <n v="1134.0669503428085"/>
    <n v="2195.6205771620066"/>
    <n v="2593.4320999480992"/>
    <n v="2603.1080862533695"/>
    <n v="3618.2999999999997"/>
    <n v="1723"/>
    <m/>
    <m/>
    <m/>
    <m/>
    <n v="0"/>
    <n v="0.35000000000000003"/>
    <n v="0.2"/>
    <n v="0.4"/>
    <n v="0.5"/>
    <n v="0.5"/>
    <n v="0.70000000000000007"/>
    <n v="0.35000000000000003"/>
    <n v="0"/>
    <n v="0"/>
    <n v="0"/>
    <n v="0"/>
    <n v="3618.2999999999997"/>
    <s v="Shelter"/>
    <n v="0.7"/>
    <s v=""/>
    <s v=""/>
    <s v=""/>
    <n v="2603.1080862533695"/>
    <s v="Overarching Protection"/>
    <n v="0.50359993930225755"/>
    <n v="1015.1919137466302"/>
    <n v="0.3899922247207902"/>
    <s v="Flagged"/>
    <n v="2593.4320999480992"/>
    <s v="Health"/>
    <n v="0.50172801314530846"/>
    <n v="1024.8679000519005"/>
    <n v="0.39517822736612634"/>
    <s v=""/>
    <s v=""/>
    <s v="Flagged"/>
    <s v=""/>
    <s v=""/>
    <n v="4"/>
    <n v="3618.2999999999997"/>
    <m/>
    <m/>
    <n v="2"/>
    <s v="Flagged"/>
    <n v="3618.2999999999997"/>
    <n v="2"/>
  </r>
  <r>
    <s v=""/>
    <x v="3"/>
    <s v="SS03"/>
    <s v="Uror"/>
    <s v="SS0311"/>
    <m/>
    <m/>
    <m/>
    <n v="5651"/>
    <s v="Returnees"/>
    <n v="0"/>
    <n v="1011.709832"/>
    <n v="1744.6043485875227"/>
    <n v="2720.786999844061"/>
    <n v="1896.4890700077565"/>
    <n v="1695.2961456260593"/>
    <n v="1977.85"/>
    <n v="3248.4529320987654"/>
    <m/>
    <m/>
    <m/>
    <m/>
    <n v="0"/>
    <n v="0.2"/>
    <n v="0.30000000000000004"/>
    <n v="0.5"/>
    <n v="0.35000000000000003"/>
    <n v="0.30000000000000004"/>
    <n v="0.35000000000000003"/>
    <n v="0.55000000000000004"/>
    <n v="0"/>
    <n v="0"/>
    <n v="0"/>
    <n v="0"/>
    <n v="3248.4529320987654"/>
    <s v="WASH"/>
    <n v="0.57484567901234562"/>
    <s v=""/>
    <s v=""/>
    <s v=""/>
    <n v="2720.786999844061"/>
    <s v="Food Security"/>
    <n v="0.48147000528119999"/>
    <n v="527.66593225470433"/>
    <n v="0.19393871416062591"/>
    <s v=""/>
    <n v="1977.85"/>
    <s v="Shelter"/>
    <n v="0.35"/>
    <n v="1270.6029320987655"/>
    <n v="0.64241622574955914"/>
    <s v="Flagged"/>
    <s v=""/>
    <s v=""/>
    <s v=""/>
    <s v=""/>
    <n v="4"/>
    <n v="3248.4529320987654"/>
    <m/>
    <m/>
    <n v="1"/>
    <s v="Flagged"/>
    <n v="3248.4529320987654"/>
    <n v="2"/>
  </r>
  <r>
    <s v=""/>
    <x v="4"/>
    <s v="SS04"/>
    <s v="Awerial"/>
    <s v="SS0401"/>
    <m/>
    <m/>
    <m/>
    <n v="3073.7142857142899"/>
    <s v="Returnees"/>
    <m/>
    <m/>
    <m/>
    <m/>
    <m/>
    <m/>
    <m/>
    <m/>
    <m/>
    <m/>
    <m/>
    <m/>
    <s v=""/>
    <s v=""/>
    <s v=""/>
    <s v=""/>
    <s v=""/>
    <s v=""/>
    <s v=""/>
    <s v=""/>
    <n v="0"/>
    <n v="0"/>
    <n v="0"/>
    <n v="0"/>
    <s v=""/>
    <s v=""/>
    <s v=""/>
    <s v=""/>
    <s v=""/>
    <s v=""/>
    <s v=""/>
    <s v=""/>
    <s v=""/>
    <s v=""/>
    <s v=""/>
    <s v=""/>
    <s v=""/>
    <s v=""/>
    <s v=""/>
    <s v=""/>
    <s v=""/>
    <s v=""/>
    <s v=""/>
    <s v="Flagged"/>
    <s v=""/>
    <s v="Flagged"/>
    <n v="4"/>
    <s v=""/>
    <m/>
    <m/>
    <n v="2"/>
    <s v="Flagged"/>
    <s v=""/>
    <n v="3"/>
  </r>
  <r>
    <s v=""/>
    <x v="4"/>
    <s v="SS04"/>
    <s v="Cueibet"/>
    <s v="SS0402"/>
    <m/>
    <m/>
    <m/>
    <n v="1148"/>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Rumbek Centre"/>
    <s v="SS0403"/>
    <m/>
    <m/>
    <m/>
    <n v="2881"/>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East"/>
    <s v="SS0404"/>
    <m/>
    <m/>
    <m/>
    <n v="6622"/>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4"/>
    <s v="SS04"/>
    <s v="Rumbek North"/>
    <s v="SS0405"/>
    <m/>
    <m/>
    <m/>
    <n v="3719.2857142857101"/>
    <s v="Returnees"/>
    <m/>
    <m/>
    <m/>
    <m/>
    <m/>
    <m/>
    <m/>
    <m/>
    <m/>
    <m/>
    <m/>
    <m/>
    <s v=""/>
    <s v=""/>
    <s v=""/>
    <s v=""/>
    <s v=""/>
    <s v=""/>
    <s v=""/>
    <s v=""/>
    <n v="0"/>
    <n v="0"/>
    <n v="0"/>
    <n v="0"/>
    <s v=""/>
    <s v=""/>
    <s v=""/>
    <s v=""/>
    <s v=""/>
    <s v=""/>
    <s v=""/>
    <s v=""/>
    <s v=""/>
    <s v=""/>
    <s v=""/>
    <s v=""/>
    <s v=""/>
    <s v=""/>
    <s v=""/>
    <s v=""/>
    <s v=""/>
    <s v=""/>
    <s v=""/>
    <s v="Flagged"/>
    <s v=""/>
    <s v="Flagged"/>
    <n v="4"/>
    <s v=""/>
    <m/>
    <m/>
    <n v="2"/>
    <s v="Flagged"/>
    <s v=""/>
    <n v="3"/>
  </r>
  <r>
    <s v=""/>
    <x v="4"/>
    <s v="SS04"/>
    <s v="Wulu"/>
    <s v="SS0406"/>
    <m/>
    <m/>
    <m/>
    <n v="2968"/>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4"/>
    <s v="SS04"/>
    <s v="Yirol East"/>
    <s v="SS0407"/>
    <m/>
    <m/>
    <m/>
    <n v="3047.871016813448"/>
    <s v="Returnees"/>
    <m/>
    <m/>
    <m/>
    <m/>
    <m/>
    <m/>
    <m/>
    <m/>
    <m/>
    <m/>
    <m/>
    <m/>
    <s v=""/>
    <s v=""/>
    <s v=""/>
    <s v=""/>
    <s v=""/>
    <s v=""/>
    <s v=""/>
    <s v=""/>
    <n v="0"/>
    <n v="0"/>
    <n v="0"/>
    <n v="0"/>
    <s v=""/>
    <s v=""/>
    <s v=""/>
    <s v=""/>
    <s v=""/>
    <s v=""/>
    <s v=""/>
    <s v=""/>
    <s v=""/>
    <s v=""/>
    <s v=""/>
    <s v=""/>
    <s v=""/>
    <s v=""/>
    <s v=""/>
    <s v=""/>
    <s v=""/>
    <s v=""/>
    <s v=""/>
    <s v="Flagged"/>
    <s v=""/>
    <s v="Flagged"/>
    <n v="4"/>
    <s v=""/>
    <m/>
    <m/>
    <n v="2"/>
    <s v="Flagged"/>
    <s v=""/>
    <n v="3"/>
  </r>
  <r>
    <s v=""/>
    <x v="4"/>
    <s v="SS04"/>
    <s v="Yirol West"/>
    <s v="SS0408"/>
    <m/>
    <m/>
    <m/>
    <n v="5119.8571428571404"/>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Centre"/>
    <s v="SS0501"/>
    <m/>
    <m/>
    <m/>
    <n v="16513.487018186021"/>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5"/>
    <s v="SS05"/>
    <s v="Aweil East"/>
    <s v="SS0502"/>
    <m/>
    <m/>
    <m/>
    <n v="84624.371794578474"/>
    <s v="Returnees"/>
    <n v="6817"/>
    <n v="31034.769764707813"/>
    <n v="18515.163075924651"/>
    <n v="37316.940294097905"/>
    <n v="32173.087639161407"/>
    <n v="35809.092659372902"/>
    <n v="59237.060256204924"/>
    <n v="9097.9905890261853"/>
    <m/>
    <m/>
    <m/>
    <m/>
    <n v="0.1"/>
    <n v="0.35000000000000003"/>
    <n v="0.2"/>
    <n v="0.45"/>
    <n v="0.4"/>
    <n v="0.4"/>
    <n v="0.70000000000000007"/>
    <n v="0.1"/>
    <n v="0"/>
    <n v="0"/>
    <n v="0"/>
    <n v="0"/>
    <n v="59237.060256204924"/>
    <s v="Shelter"/>
    <n v="0.7"/>
    <s v=""/>
    <s v=""/>
    <s v=""/>
    <n v="37316.940294097905"/>
    <s v="Food Security"/>
    <n v="0.44097154877182371"/>
    <n v="21920.119962107019"/>
    <n v="0.58740399907797192"/>
    <s v="Flagged"/>
    <n v="35809.092659372902"/>
    <s v="Overarching Protection"/>
    <n v="0.42315342377131876"/>
    <n v="23427.967596832023"/>
    <n v="0.65424633401594545"/>
    <s v="Flagged"/>
    <s v=""/>
    <s v="Flagged"/>
    <s v=""/>
    <s v=""/>
    <n v="4"/>
    <n v="59237.060256204924"/>
    <m/>
    <m/>
    <n v="3"/>
    <s v="Flagged"/>
    <n v="59237.060256204924"/>
    <n v="2"/>
  </r>
  <r>
    <s v=""/>
    <x v="5"/>
    <s v="SS05"/>
    <s v="Aweil North"/>
    <s v="SS0503"/>
    <m/>
    <m/>
    <m/>
    <n v="62262.159201647075"/>
    <s v="Returnees"/>
    <n v="0"/>
    <n v="8144.0585314052814"/>
    <n v="22132.152043279402"/>
    <n v="25043.913831496066"/>
    <n v="25633.300676064508"/>
    <n v="30284.620358676431"/>
    <n v="34074.381672174124"/>
    <n v="2522.1939491407957"/>
    <m/>
    <m/>
    <m/>
    <m/>
    <n v="0"/>
    <n v="0.15000000000000002"/>
    <n v="0.35000000000000003"/>
    <n v="0.4"/>
    <n v="0.4"/>
    <n v="0.5"/>
    <n v="0.55000000000000004"/>
    <n v="0.05"/>
    <n v="0"/>
    <n v="0"/>
    <n v="0"/>
    <n v="0"/>
    <n v="34074.381672174124"/>
    <s v="Shelter"/>
    <n v="0.54727272727272724"/>
    <s v=""/>
    <s v=""/>
    <s v=""/>
    <n v="30284.620358676431"/>
    <s v="Overarching Protection"/>
    <n v="0.48640491667811109"/>
    <n v="3789.7613134976928"/>
    <n v="0.12513814829486347"/>
    <s v=""/>
    <n v="25633.300676064508"/>
    <s v="Health"/>
    <n v="0.41169951387401305"/>
    <n v="8441.0809961096165"/>
    <n v="0.32930136866812504"/>
    <s v=""/>
    <s v=""/>
    <s v="Flagged"/>
    <s v=""/>
    <s v=""/>
    <n v="4"/>
    <n v="34074.381672174124"/>
    <m/>
    <m/>
    <n v="1"/>
    <s v="Flagged"/>
    <n v="34074.381672174124"/>
    <n v="2"/>
  </r>
  <r>
    <s v=""/>
    <x v="5"/>
    <s v="SS05"/>
    <s v="Aweil South"/>
    <s v="SS0504"/>
    <m/>
    <m/>
    <m/>
    <n v="8876.9955392885731"/>
    <s v="Returnees"/>
    <n v="0"/>
    <n v="809.7484368494795"/>
    <n v="2458.0660530455111"/>
    <n v="3775.6570624876808"/>
    <n v="2930.4271734008034"/>
    <n v="4148.1563709757465"/>
    <n v="4020.75680308953"/>
    <n v="2079.8580457754633"/>
    <m/>
    <m/>
    <m/>
    <m/>
    <n v="0"/>
    <n v="0.1"/>
    <n v="0.30000000000000004"/>
    <n v="0.45"/>
    <n v="0.35000000000000003"/>
    <n v="0.45"/>
    <n v="0.45"/>
    <n v="0.25"/>
    <n v="0"/>
    <n v="0"/>
    <n v="0"/>
    <n v="0"/>
    <n v="4148.1563709757465"/>
    <s v="Overarching Protection"/>
    <n v="0.46729283039700514"/>
    <s v=""/>
    <s v=""/>
    <s v=""/>
    <n v="4020.75680308953"/>
    <s v="Shelter"/>
    <n v="0.45294117647058824"/>
    <n v="127.39956788621657"/>
    <n v="3.1685469707673782E-2"/>
    <s v=""/>
    <n v="3775.6570624876808"/>
    <s v="Food Security"/>
    <n v="0.42533051253400456"/>
    <n v="372.49930848806571"/>
    <n v="9.8658141436880328E-2"/>
    <s v=""/>
    <s v=""/>
    <s v=""/>
    <s v=""/>
    <s v="Flagged"/>
    <n v="4"/>
    <n v="4148.1563709757465"/>
    <m/>
    <m/>
    <n v="1"/>
    <s v="Flagged"/>
    <n v="4148.1563709757465"/>
    <n v="2"/>
  </r>
  <r>
    <s v=""/>
    <x v="5"/>
    <s v="SS05"/>
    <s v="Aweil West"/>
    <s v="SS0505"/>
    <m/>
    <m/>
    <m/>
    <n v="46727.292920050364"/>
    <s v="Returnees"/>
    <m/>
    <m/>
    <m/>
    <m/>
    <m/>
    <m/>
    <m/>
    <m/>
    <m/>
    <m/>
    <m/>
    <m/>
    <s v=""/>
    <s v=""/>
    <s v=""/>
    <s v=""/>
    <s v=""/>
    <s v=""/>
    <s v=""/>
    <s v=""/>
    <n v="0"/>
    <n v="0"/>
    <n v="0"/>
    <n v="0"/>
    <s v=""/>
    <s v=""/>
    <s v=""/>
    <s v=""/>
    <s v=""/>
    <s v=""/>
    <s v=""/>
    <s v=""/>
    <s v=""/>
    <s v=""/>
    <s v=""/>
    <s v=""/>
    <s v=""/>
    <s v=""/>
    <s v=""/>
    <s v=""/>
    <s v=""/>
    <s v=""/>
    <s v=""/>
    <s v="Flagged"/>
    <s v=""/>
    <s v="Flagged"/>
    <n v="4"/>
    <s v=""/>
    <m/>
    <m/>
    <n v="2"/>
    <s v="Flagged"/>
    <s v=""/>
    <n v="3"/>
  </r>
  <r>
    <s v=""/>
    <x v="6"/>
    <s v="SS06"/>
    <s v="Abiemnhom"/>
    <s v="SS0601"/>
    <m/>
    <m/>
    <m/>
    <n v="1708.2679972549467"/>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6"/>
    <s v="SS06"/>
    <s v="Guit"/>
    <s v="SS0602"/>
    <m/>
    <m/>
    <m/>
    <n v="1810"/>
    <s v="Returnees"/>
    <m/>
    <m/>
    <m/>
    <m/>
    <m/>
    <m/>
    <m/>
    <m/>
    <m/>
    <m/>
    <m/>
    <m/>
    <s v=""/>
    <s v=""/>
    <s v=""/>
    <s v=""/>
    <s v=""/>
    <s v=""/>
    <s v=""/>
    <s v=""/>
    <n v="0"/>
    <n v="0"/>
    <n v="0"/>
    <n v="0"/>
    <s v=""/>
    <s v=""/>
    <s v=""/>
    <s v=""/>
    <s v=""/>
    <s v=""/>
    <s v=""/>
    <s v=""/>
    <s v=""/>
    <s v=""/>
    <s v=""/>
    <s v=""/>
    <s v=""/>
    <s v=""/>
    <s v=""/>
    <s v=""/>
    <s v=""/>
    <s v=""/>
    <s v=""/>
    <s v="Flagged"/>
    <s v=""/>
    <s v="Flagged"/>
    <n v="4"/>
    <s v=""/>
    <m/>
    <m/>
    <n v="2"/>
    <s v="Flagged"/>
    <s v=""/>
    <n v="3"/>
  </r>
  <r>
    <s v=""/>
    <x v="6"/>
    <s v="SS06"/>
    <s v="Koch"/>
    <s v="SS0603"/>
    <m/>
    <m/>
    <m/>
    <n v="7417"/>
    <s v="Returnees"/>
    <m/>
    <m/>
    <m/>
    <m/>
    <m/>
    <m/>
    <m/>
    <m/>
    <m/>
    <m/>
    <m/>
    <m/>
    <s v=""/>
    <s v=""/>
    <s v=""/>
    <s v=""/>
    <s v=""/>
    <s v=""/>
    <s v=""/>
    <s v=""/>
    <n v="0"/>
    <n v="0"/>
    <n v="0"/>
    <n v="0"/>
    <s v=""/>
    <s v=""/>
    <s v=""/>
    <s v=""/>
    <s v=""/>
    <s v=""/>
    <s v=""/>
    <s v=""/>
    <s v=""/>
    <s v=""/>
    <s v=""/>
    <s v=""/>
    <s v=""/>
    <s v=""/>
    <s v=""/>
    <s v=""/>
    <s v=""/>
    <s v=""/>
    <s v=""/>
    <s v="Flagged"/>
    <s v=""/>
    <s v="Flagged"/>
    <n v="4"/>
    <s v=""/>
    <m/>
    <m/>
    <n v="2"/>
    <s v="Flagged"/>
    <s v=""/>
    <n v="3"/>
  </r>
  <r>
    <s v=""/>
    <x v="6"/>
    <s v="SS06"/>
    <s v="Leer"/>
    <s v="SS0604"/>
    <m/>
    <m/>
    <m/>
    <n v="5041.023996339929"/>
    <s v="Returnees"/>
    <n v="413"/>
    <n v="491.72920623497652"/>
    <n v="948.70786540732831"/>
    <n v="2013.4750014282604"/>
    <n v="2516.4715151088149"/>
    <n v="1808.8677368302056"/>
    <n v="3221.8718585303027"/>
    <n v="547.79646050761835"/>
    <m/>
    <m/>
    <m/>
    <m/>
    <n v="0.1"/>
    <n v="0.1"/>
    <n v="0.2"/>
    <n v="0.4"/>
    <n v="0.5"/>
    <n v="0.35000000000000003"/>
    <n v="0.65"/>
    <n v="0.1"/>
    <n v="0"/>
    <n v="0"/>
    <n v="0"/>
    <n v="0"/>
    <n v="3221.8718585303027"/>
    <s v="Shelter"/>
    <n v="0.63913043478260878"/>
    <s v=""/>
    <s v=""/>
    <s v=""/>
    <n v="2516.4715151088149"/>
    <s v="Health"/>
    <n v="0.49919847970093312"/>
    <n v="705.40034342148783"/>
    <n v="0.28031326370526616"/>
    <s v=""/>
    <n v="2013.4750014282604"/>
    <s v="Food Security"/>
    <n v="0.3994178569453663"/>
    <n v="1208.3968571020423"/>
    <n v="0.60015488458752397"/>
    <s v="Flagged"/>
    <s v=""/>
    <s v="Flagged"/>
    <s v=""/>
    <s v="Flagged"/>
    <n v="4"/>
    <n v="3221.8718585303027"/>
    <m/>
    <m/>
    <n v="3"/>
    <s v="Flagged"/>
    <n v="3221.8718585303027"/>
    <n v="2"/>
  </r>
  <r>
    <s v=""/>
    <x v="6"/>
    <s v="SS06"/>
    <s v="Mayendit"/>
    <s v="SS0605"/>
    <m/>
    <m/>
    <m/>
    <n v="3069.1428571428601"/>
    <s v="Returnees"/>
    <n v="672"/>
    <n v="597.15391828571489"/>
    <n v="737.81076198523169"/>
    <n v="1273.5593109339161"/>
    <n v="1325.7418685254431"/>
    <n v="1140.0764846098041"/>
    <n v="2148.4000000000019"/>
    <n v="295.23133450911257"/>
    <m/>
    <m/>
    <m/>
    <m/>
    <n v="0.2"/>
    <n v="0.2"/>
    <n v="0.25"/>
    <n v="0.4"/>
    <n v="0.45"/>
    <n v="0.35000000000000003"/>
    <n v="0.70000000000000007"/>
    <n v="0.1"/>
    <n v="0"/>
    <n v="0"/>
    <n v="0"/>
    <n v="0"/>
    <n v="2148.4000000000019"/>
    <s v="Shelter"/>
    <n v="0.7"/>
    <s v=""/>
    <s v=""/>
    <s v=""/>
    <n v="1325.7418685254431"/>
    <s v="Health"/>
    <n v="0.43195834479976231"/>
    <n v="822.65813147455879"/>
    <n v="0.62052662815089377"/>
    <s v="Flagged"/>
    <n v="1273.5593109339161"/>
    <s v="Food Security"/>
    <n v="0.41495602199485215"/>
    <n v="874.84068906608582"/>
    <n v="0.68692575332400874"/>
    <s v="Flagged"/>
    <s v=""/>
    <s v="Flagged"/>
    <s v=""/>
    <s v="Flagged"/>
    <n v="4"/>
    <n v="2148.4000000000019"/>
    <m/>
    <m/>
    <n v="4"/>
    <s v="Flagged"/>
    <n v="2148.4000000000019"/>
    <n v="2"/>
  </r>
  <r>
    <s v=""/>
    <x v="6"/>
    <s v="SS06"/>
    <s v="Mayom"/>
    <s v="SS0606"/>
    <m/>
    <m/>
    <m/>
    <n v="7050.3021159784967"/>
    <s v="Returnees"/>
    <m/>
    <m/>
    <m/>
    <m/>
    <m/>
    <m/>
    <m/>
    <m/>
    <m/>
    <m/>
    <m/>
    <m/>
    <s v=""/>
    <s v=""/>
    <s v=""/>
    <s v=""/>
    <s v=""/>
    <s v=""/>
    <s v=""/>
    <s v=""/>
    <n v="0"/>
    <n v="0"/>
    <n v="0"/>
    <n v="0"/>
    <s v=""/>
    <s v=""/>
    <s v=""/>
    <s v=""/>
    <s v=""/>
    <s v=""/>
    <s v=""/>
    <s v=""/>
    <s v=""/>
    <s v=""/>
    <s v=""/>
    <s v=""/>
    <s v=""/>
    <s v=""/>
    <s v=""/>
    <s v=""/>
    <s v=""/>
    <s v=""/>
    <s v=""/>
    <s v="Flagged"/>
    <s v=""/>
    <s v="Flagged"/>
    <n v="4"/>
    <s v=""/>
    <m/>
    <m/>
    <n v="2"/>
    <s v="Flagged"/>
    <s v=""/>
    <n v="3"/>
  </r>
  <r>
    <s v=""/>
    <x v="6"/>
    <s v="SS06"/>
    <s v="Panyijiar"/>
    <s v="SS0607"/>
    <m/>
    <m/>
    <m/>
    <n v="3636"/>
    <s v="Returnees"/>
    <n v="3219"/>
    <n v="688.46932800000013"/>
    <n v="799.68180931631616"/>
    <n v="1476.0376778663449"/>
    <n v="2102.6310698931975"/>
    <n v="1155.0438666966609"/>
    <n v="2545.1999999999998"/>
    <n v="941.73148148148152"/>
    <m/>
    <m/>
    <m/>
    <m/>
    <n v="0.9"/>
    <n v="0.2"/>
    <n v="0.2"/>
    <n v="0.4"/>
    <n v="0.60000000000000009"/>
    <n v="0.30000000000000004"/>
    <n v="0.70000000000000007"/>
    <n v="0.25"/>
    <n v="0"/>
    <n v="0"/>
    <n v="0"/>
    <n v="0"/>
    <n v="3219"/>
    <s v="CCCM"/>
    <n v="0.88531353135313529"/>
    <s v=""/>
    <s v=""/>
    <s v=""/>
    <n v="2545.1999999999998"/>
    <s v="Shelter"/>
    <n v="0.7"/>
    <n v="673.80000000000018"/>
    <n v="0.26473361621876484"/>
    <s v=""/>
    <n v="2102.6310698931975"/>
    <s v="Health"/>
    <n v="0.57828137235786514"/>
    <n v="1116.3689301068025"/>
    <n v="0.53093904398716418"/>
    <s v="Flagged"/>
    <s v=""/>
    <s v=""/>
    <s v=""/>
    <s v="Flagged"/>
    <n v="4"/>
    <n v="3219"/>
    <m/>
    <m/>
    <n v="2"/>
    <s v="Flagged"/>
    <n v="3219"/>
    <n v="1"/>
  </r>
  <r>
    <s v=""/>
    <x v="6"/>
    <s v="SS06"/>
    <s v="Pariang"/>
    <s v="SS0608"/>
    <m/>
    <m/>
    <m/>
    <n v="3515.9389111289033"/>
    <s v="Returnees"/>
    <n v="0"/>
    <n v="94.197277337510016"/>
    <n v="756.72707642445596"/>
    <n v="1174.6142706748806"/>
    <n v="2199.7477844080736"/>
    <n v="504.75770798369695"/>
    <n v="615.28930944755803"/>
    <n v="483.25294519598515"/>
    <m/>
    <m/>
    <m/>
    <m/>
    <n v="0"/>
    <n v="0.05"/>
    <n v="0.2"/>
    <n v="0.35000000000000003"/>
    <n v="0.65"/>
    <n v="0.15000000000000002"/>
    <n v="0.2"/>
    <n v="0.15000000000000002"/>
    <n v="0"/>
    <n v="0"/>
    <n v="0"/>
    <n v="0"/>
    <n v="2199.7477844080736"/>
    <s v="Health"/>
    <n v="0.6256501719769002"/>
    <s v=""/>
    <s v=""/>
    <s v=""/>
    <n v="1174.6142706748806"/>
    <s v="Food Security"/>
    <n v="0.3340826733243023"/>
    <n v="1025.133513733193"/>
    <n v="0.87274055775279946"/>
    <s v="Flagged"/>
    <n v="756.72707642445596"/>
    <s v="Nutrition"/>
    <n v="0.21522759511810882"/>
    <n v="1443.0207079836177"/>
    <n v="1.9069235830729185"/>
    <s v="Flagged"/>
    <s v=""/>
    <s v="Flagged"/>
    <s v=""/>
    <s v=""/>
    <n v="4"/>
    <n v="2199.7477844080736"/>
    <m/>
    <m/>
    <n v="3"/>
    <s v="Flagged"/>
    <n v="2199.7477844080736"/>
    <n v="2"/>
  </r>
  <r>
    <s v=""/>
    <x v="6"/>
    <s v="SS06"/>
    <s v="Rubkona"/>
    <s v="SS0609"/>
    <m/>
    <m/>
    <m/>
    <n v="13224.062358458195"/>
    <s v="Returnees"/>
    <n v="21065"/>
    <n v="3641.3751662125778"/>
    <n v="2331.1192661250252"/>
    <n v="6140.5817860921698"/>
    <n v="7526.0717905892307"/>
    <n v="4514.8295128191739"/>
    <n v="9256.8436509207368"/>
    <n v="2168.2972617070727"/>
    <m/>
    <m/>
    <m/>
    <m/>
    <n v="1.6"/>
    <n v="0.30000000000000004"/>
    <n v="0.2"/>
    <n v="0.45"/>
    <n v="0.55000000000000004"/>
    <n v="0.35000000000000003"/>
    <n v="0.70000000000000007"/>
    <n v="0.15000000000000002"/>
    <n v="0"/>
    <n v="0"/>
    <n v="0"/>
    <n v="0"/>
    <n v="21065"/>
    <s v="CCCM"/>
    <n v="1.5929295725474775"/>
    <s v=""/>
    <s v="Flagged"/>
    <s v=""/>
    <n v="9256.8436509207368"/>
    <s v="Shelter"/>
    <n v="0.7"/>
    <n v="11808.156349079263"/>
    <n v="1.2756136750678249"/>
    <s v="Flagged"/>
    <n v="7526.0717905892307"/>
    <s v="Health"/>
    <n v="0.56911950250866039"/>
    <n v="13538.928209410769"/>
    <n v="1.7989368937910146"/>
    <s v="Flagged"/>
    <s v=""/>
    <s v=""/>
    <s v=""/>
    <s v="Flagged"/>
    <n v="4"/>
    <n v="21065"/>
    <m/>
    <m/>
    <n v="4"/>
    <s v="Flagged"/>
    <n v="21065"/>
    <n v="1"/>
  </r>
  <r>
    <s v=""/>
    <x v="7"/>
    <s v="SS07"/>
    <s v="Baliet"/>
    <s v="SS0701"/>
    <m/>
    <m/>
    <m/>
    <n v="4961"/>
    <s v="Returnees"/>
    <n v="0"/>
    <n v="397.55469600000004"/>
    <n v="1649.102015036234"/>
    <n v="2215.0636691353689"/>
    <n v="2205.8461840677242"/>
    <n v="754.51795404687675"/>
    <n v="1368.0333333333333"/>
    <n v="4001.8903463648835"/>
    <m/>
    <m/>
    <m/>
    <m/>
    <n v="0"/>
    <n v="0.1"/>
    <n v="0.35000000000000003"/>
    <n v="0.45"/>
    <n v="0.45"/>
    <n v="0.15000000000000002"/>
    <n v="0.30000000000000004"/>
    <n v="0.8"/>
    <n v="0"/>
    <n v="0"/>
    <n v="0"/>
    <n v="0"/>
    <n v="4001.8903463648835"/>
    <s v="WASH"/>
    <n v="0.80667009602194795"/>
    <s v=""/>
    <s v=""/>
    <s v=""/>
    <n v="2215.0636691353689"/>
    <s v="Food Security"/>
    <n v="0.44649539793093507"/>
    <n v="1786.8266772295146"/>
    <n v="0.80667057210458748"/>
    <s v="Flagged"/>
    <n v="2205.8461840677242"/>
    <s v="Health"/>
    <n v="0.44463740860062972"/>
    <n v="1796.0441622971593"/>
    <n v="0.81422003731245518"/>
    <s v="Flagged"/>
    <s v=""/>
    <s v=""/>
    <s v=""/>
    <s v=""/>
    <n v="4"/>
    <n v="4001.8903463648835"/>
    <m/>
    <m/>
    <n v="2"/>
    <s v="Flagged"/>
    <n v="4001.8903463648835"/>
    <n v="2"/>
  </r>
  <r>
    <s v=""/>
    <x v="7"/>
    <s v="SS07"/>
    <s v="Fashoda"/>
    <s v="SS0702"/>
    <m/>
    <m/>
    <m/>
    <n v="14416.589191353083"/>
    <s v="Returnees"/>
    <n v="5999"/>
    <n v="4916.7489105325858"/>
    <n v="2555.6208862431035"/>
    <n v="5590.2544771625207"/>
    <n v="4442.7025215305175"/>
    <n v="6667.7589224148178"/>
    <n v="5703.9548539701327"/>
    <n v="13124.301716494821"/>
    <m/>
    <m/>
    <m/>
    <m/>
    <n v="0.4"/>
    <n v="0.35000000000000003"/>
    <n v="0.2"/>
    <n v="0.4"/>
    <n v="0.30000000000000004"/>
    <n v="0.45"/>
    <n v="0.4"/>
    <n v="0.9"/>
    <n v="0"/>
    <n v="0"/>
    <n v="0"/>
    <n v="0"/>
    <n v="13124.301716494821"/>
    <s v="WASH"/>
    <n v="0.91036108071711153"/>
    <s v=""/>
    <s v="Flagged"/>
    <s v=""/>
    <n v="6667.7589224148178"/>
    <s v="Overarching Protection"/>
    <n v="0.46250599458116409"/>
    <n v="6456.5427940800037"/>
    <n v="0.96832277069514694"/>
    <s v="Flagged"/>
    <n v="5999"/>
    <s v="CCCM"/>
    <n v="0.41611784315794587"/>
    <n v="7125.3017164948214"/>
    <n v="1.1877482441231575"/>
    <s v="Flagged"/>
    <s v=""/>
    <s v=""/>
    <s v=""/>
    <s v=""/>
    <n v="4"/>
    <n v="13124.301716494821"/>
    <m/>
    <m/>
    <n v="3"/>
    <s v="Flagged"/>
    <n v="13124.301716494821"/>
    <n v="1"/>
  </r>
  <r>
    <s v=""/>
    <x v="7"/>
    <s v="SS07"/>
    <s v="Longochuk"/>
    <s v="SS0703"/>
    <m/>
    <m/>
    <m/>
    <n v="16232.649182202906"/>
    <s v="Returnees"/>
    <n v="0"/>
    <n v="5592.8212982099622"/>
    <n v="3052.9079294512967"/>
    <n v="8504.5465125834617"/>
    <n v="4934.7575944873897"/>
    <n v="6252.6934178106303"/>
    <n v="10804.025521269476"/>
    <n v="1364.9033358320601"/>
    <m/>
    <m/>
    <m/>
    <m/>
    <n v="0"/>
    <n v="0.35000000000000003"/>
    <n v="0.2"/>
    <n v="0.5"/>
    <n v="0.30000000000000004"/>
    <n v="0.4"/>
    <n v="0.65"/>
    <n v="0.1"/>
    <n v="0"/>
    <n v="0"/>
    <n v="0"/>
    <n v="0"/>
    <n v="10804.025521269476"/>
    <s v="Shelter"/>
    <n v="0.66557377049180333"/>
    <s v=""/>
    <s v=""/>
    <s v=""/>
    <n v="8504.5465125834617"/>
    <s v="Food Security"/>
    <n v="0.52391611604023614"/>
    <n v="2299.4790086860139"/>
    <n v="0.27038231906706234"/>
    <s v=""/>
    <n v="6252.6934178106303"/>
    <s v="Overarching Protection"/>
    <n v="0.38519241977248769"/>
    <n v="4551.3321034588453"/>
    <n v="0.72789945057828953"/>
    <s v="Flagged"/>
    <s v=""/>
    <s v="Flagged"/>
    <s v=""/>
    <s v=""/>
    <n v="4"/>
    <n v="10804.025521269476"/>
    <m/>
    <m/>
    <n v="2"/>
    <s v="Flagged"/>
    <n v="10804.025521269476"/>
    <n v="2"/>
  </r>
  <r>
    <s v=""/>
    <x v="7"/>
    <s v="SS07"/>
    <s v="Luakpiny/Nasir"/>
    <s v="SS0704"/>
    <m/>
    <m/>
    <m/>
    <n v="158050.00862404195"/>
    <s v="Returnees"/>
    <n v="0"/>
    <n v="42577.170848234979"/>
    <n v="33518.025657618113"/>
    <n v="85266.022690283688"/>
    <n v="87835.957677037863"/>
    <n v="72294.541683461357"/>
    <n v="47774.207152267219"/>
    <n v="118537.50646803142"/>
    <m/>
    <m/>
    <m/>
    <m/>
    <n v="0"/>
    <n v="0.25"/>
    <n v="0.2"/>
    <n v="0.55000000000000004"/>
    <n v="0.55000000000000004"/>
    <n v="0.45"/>
    <n v="0.30000000000000004"/>
    <n v="0.75"/>
    <n v="0"/>
    <n v="0"/>
    <n v="0"/>
    <n v="0"/>
    <n v="118537.50646803142"/>
    <s v="WASH"/>
    <n v="0.74999999999999978"/>
    <s v=""/>
    <s v=""/>
    <s v=""/>
    <n v="87835.957677037863"/>
    <s v="Health"/>
    <n v="0.55574788284874921"/>
    <n v="30701.548790993562"/>
    <n v="0.34953280641487877"/>
    <s v="Flagged"/>
    <n v="85266.022690283688"/>
    <s v="Food Security"/>
    <n v="0.53948761808111256"/>
    <n v="33271.483777747737"/>
    <n v="0.39020799525974748"/>
    <s v=""/>
    <s v=""/>
    <s v=""/>
    <s v=""/>
    <s v="Flagged"/>
    <n v="4"/>
    <n v="118537.50646803142"/>
    <m/>
    <m/>
    <n v="2"/>
    <s v="Flagged"/>
    <n v="118537.50646803142"/>
    <n v="1"/>
  </r>
  <r>
    <s v=""/>
    <x v="7"/>
    <s v="SS07"/>
    <s v="Maban"/>
    <s v="SS0705"/>
    <m/>
    <m/>
    <m/>
    <n v="25766.491604712341"/>
    <s v="Returnees"/>
    <n v="0"/>
    <n v="8874.6367541988493"/>
    <n v="4296.6261739277361"/>
    <n v="9521.46214068886"/>
    <n v="10259.793865779977"/>
    <n v="11727.119475335045"/>
    <n v="13694.413130652671"/>
    <n v="4294.4152674520565"/>
    <m/>
    <m/>
    <m/>
    <m/>
    <n v="0"/>
    <n v="0.35000000000000003"/>
    <n v="0.15000000000000002"/>
    <n v="0.35000000000000003"/>
    <n v="0.4"/>
    <n v="0.45"/>
    <n v="0.55000000000000004"/>
    <n v="0.15000000000000002"/>
    <n v="0"/>
    <n v="0"/>
    <n v="0"/>
    <n v="0"/>
    <n v="13694.413130652671"/>
    <s v="Shelter"/>
    <n v="0.53148148148148155"/>
    <s v=""/>
    <s v=""/>
    <s v=""/>
    <n v="11727.119475335045"/>
    <s v="Overarching Protection"/>
    <n v="0.45513062683280925"/>
    <n v="1967.293655317626"/>
    <n v="0.16775591477986715"/>
    <s v=""/>
    <n v="10259.793865779977"/>
    <s v="Health"/>
    <n v="0.39818357978948132"/>
    <n v="3434.6192648726937"/>
    <n v="0.33476493873121155"/>
    <s v=""/>
    <s v=""/>
    <s v="Flagged"/>
    <s v=""/>
    <s v=""/>
    <n v="4"/>
    <n v="13694.413130652671"/>
    <m/>
    <m/>
    <n v="1"/>
    <s v="Flagged"/>
    <n v="13694.413130652671"/>
    <n v="1"/>
  </r>
  <r>
    <s v=""/>
    <x v="7"/>
    <s v="SS07"/>
    <s v="Maiwut"/>
    <s v="SS0706"/>
    <m/>
    <m/>
    <m/>
    <n v="43189.075569026623"/>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7"/>
    <s v="SS07"/>
    <s v="Malakal"/>
    <s v="SS0707"/>
    <m/>
    <m/>
    <m/>
    <n v="12690.76710511266"/>
    <s v="Returnees"/>
    <n v="9357"/>
    <n v="355.58514167157261"/>
    <n v="2632.8893740184176"/>
    <n v="5810.9299799468654"/>
    <n v="7717.6077569269"/>
    <n v="4335.803436386841"/>
    <n v="8883.5369735788609"/>
    <n v="7931.0856837405618"/>
    <m/>
    <m/>
    <m/>
    <m/>
    <n v="0.75"/>
    <n v="0.05"/>
    <n v="0.2"/>
    <n v="0.45"/>
    <n v="0.60000000000000009"/>
    <n v="0.35000000000000003"/>
    <n v="0.70000000000000007"/>
    <n v="0.60000000000000009"/>
    <n v="0"/>
    <n v="0"/>
    <n v="0"/>
    <n v="0"/>
    <n v="9357"/>
    <s v="CCCM"/>
    <n v="0.73730767592688673"/>
    <s v=""/>
    <s v=""/>
    <s v=""/>
    <n v="8883.5369735788609"/>
    <s v="Shelter"/>
    <n v="0.7"/>
    <n v="473.46302642113915"/>
    <n v="5.3296679895552652E-2"/>
    <s v=""/>
    <n v="7931.0856837405618"/>
    <s v="WASH"/>
    <n v="0.62494927359792207"/>
    <n v="1425.9143162594382"/>
    <n v="0.17978803572664595"/>
    <s v=""/>
    <s v=""/>
    <s v=""/>
    <s v=""/>
    <s v="Flagged"/>
    <n v="4"/>
    <n v="9357"/>
    <m/>
    <m/>
    <n v="1"/>
    <s v="Flagged"/>
    <n v="9357"/>
    <n v="1"/>
  </r>
  <r>
    <s v=""/>
    <x v="7"/>
    <s v="SS07"/>
    <s v="Manyo"/>
    <s v="SS0708"/>
    <m/>
    <m/>
    <m/>
    <n v="24576.329269129605"/>
    <s v="Returnees"/>
    <m/>
    <m/>
    <m/>
    <m/>
    <m/>
    <m/>
    <m/>
    <m/>
    <m/>
    <m/>
    <m/>
    <m/>
    <s v=""/>
    <s v=""/>
    <s v=""/>
    <s v=""/>
    <s v=""/>
    <s v=""/>
    <s v=""/>
    <s v=""/>
    <n v="0"/>
    <n v="0"/>
    <n v="0"/>
    <n v="0"/>
    <s v=""/>
    <s v=""/>
    <s v=""/>
    <s v=""/>
    <s v=""/>
    <s v=""/>
    <s v=""/>
    <s v=""/>
    <s v=""/>
    <s v=""/>
    <s v=""/>
    <s v=""/>
    <s v=""/>
    <s v=""/>
    <s v=""/>
    <s v=""/>
    <s v=""/>
    <s v=""/>
    <s v=""/>
    <s v="Flagged"/>
    <s v=""/>
    <s v="Flagged"/>
    <n v="4"/>
    <s v=""/>
    <m/>
    <m/>
    <n v="2"/>
    <s v="Flagged"/>
    <s v=""/>
    <n v="3"/>
  </r>
  <r>
    <s v=""/>
    <x v="7"/>
    <s v="SS07"/>
    <s v="Melut"/>
    <s v="SS0709"/>
    <m/>
    <m/>
    <m/>
    <n v="1622.427953791605"/>
    <s v="Returnees"/>
    <n v="0"/>
    <n v="0"/>
    <m/>
    <n v="0"/>
    <n v="0"/>
    <n v="0"/>
    <n v="0"/>
    <n v="0"/>
    <m/>
    <m/>
    <m/>
    <m/>
    <n v="0"/>
    <n v="0"/>
    <s v=""/>
    <n v="0"/>
    <n v="0"/>
    <n v="0"/>
    <n v="0"/>
    <n v="0"/>
    <n v="0"/>
    <n v="0"/>
    <n v="0"/>
    <n v="0"/>
    <n v="0"/>
    <s v="CCCM_x000a_Education_x000a_Nutrition_x000a_Food Security_x000a_Health_x000a_Overarching Protection_x000a_Shelter_x000a_WASH"/>
    <n v="0"/>
    <s v=""/>
    <s v=""/>
    <s v=""/>
    <s v="NA"/>
    <s v=""/>
    <s v=""/>
    <s v=""/>
    <s v=""/>
    <s v=""/>
    <n v="0"/>
    <s v="CCCM_x000a_Education_x000a_Nutrition_x000a_Food Security_x000a_Health_x000a_Overarching Protection_x000a_Shelter_x000a_WASH"/>
    <n v="0"/>
    <n v="0"/>
    <s v=""/>
    <s v=""/>
    <s v=""/>
    <s v="Flagged"/>
    <s v=""/>
    <s v=""/>
    <n v="4"/>
    <n v="0"/>
    <m/>
    <m/>
    <n v="1"/>
    <s v="Flagged"/>
    <n v="0"/>
    <n v="4"/>
  </r>
  <r>
    <s v=""/>
    <x v="7"/>
    <s v="SS07"/>
    <s v="Panyikang"/>
    <s v="SS0710"/>
    <m/>
    <m/>
    <m/>
    <n v="4756.8792176598463"/>
    <s v="Returnees"/>
    <n v="0"/>
    <n v="393.45004247523769"/>
    <n v="1333.8809251820439"/>
    <n v="2327.5766133163752"/>
    <n v="2602.5939162895193"/>
    <n v="1863.7868208242669"/>
    <n v="2497.3615892714188"/>
    <n v="4334.263915264446"/>
    <m/>
    <m/>
    <m/>
    <m/>
    <n v="0"/>
    <n v="0.1"/>
    <n v="0.30000000000000004"/>
    <n v="0.5"/>
    <n v="0.55000000000000004"/>
    <n v="0.4"/>
    <n v="0.55000000000000004"/>
    <n v="0.9"/>
    <n v="0"/>
    <n v="0"/>
    <n v="0"/>
    <n v="0"/>
    <n v="4334.263915264446"/>
    <s v="WASH"/>
    <n v="0.91115702479338834"/>
    <s v=""/>
    <s v="Flagged"/>
    <s v=""/>
    <n v="2602.5939162895193"/>
    <s v="Health"/>
    <n v="0.5471221355857484"/>
    <n v="1731.6699989749268"/>
    <n v="0.66536311644182422"/>
    <s v="Flagged"/>
    <n v="2497.3615892714188"/>
    <s v="Shelter"/>
    <n v="0.52499999999999991"/>
    <n v="1836.9023259930273"/>
    <n v="0.73553719008264473"/>
    <s v="Flagged"/>
    <s v=""/>
    <s v=""/>
    <s v=""/>
    <s v="Flagged"/>
    <n v="4"/>
    <n v="4334.263915264446"/>
    <m/>
    <m/>
    <n v="4"/>
    <s v="Flagged"/>
    <n v="4334.263915264446"/>
    <n v="2"/>
  </r>
  <r>
    <s v=""/>
    <x v="7"/>
    <s v="SS07"/>
    <s v="Renk"/>
    <s v="SS0711"/>
    <m/>
    <m/>
    <m/>
    <n v="235020.19206222118"/>
    <s v="Returnees"/>
    <n v="10519"/>
    <n v="43043.948176195809"/>
    <n v="38448.70083296996"/>
    <n v="84869.09553284297"/>
    <n v="69517.660651019134"/>
    <n v="62871.464579837848"/>
    <n v="36558.696543012178"/>
    <n v="46625.233576129962"/>
    <m/>
    <m/>
    <m/>
    <m/>
    <n v="0.05"/>
    <n v="0.2"/>
    <n v="0.15000000000000002"/>
    <n v="0.35000000000000003"/>
    <n v="0.30000000000000004"/>
    <n v="0.25"/>
    <n v="0.15000000000000002"/>
    <n v="0.2"/>
    <n v="0"/>
    <n v="0"/>
    <n v="0"/>
    <n v="0"/>
    <n v="84869.09553284297"/>
    <s v="Food Security"/>
    <n v="0.36111405912890254"/>
    <s v=""/>
    <s v=""/>
    <s v=""/>
    <n v="69517.660651019134"/>
    <s v="Health"/>
    <n v="0.29579441681595792"/>
    <n v="15351.434881823836"/>
    <n v="0.22082784055246804"/>
    <s v=""/>
    <n v="62871.464579837848"/>
    <s v="Overarching Protection"/>
    <n v="0.26751516126407021"/>
    <n v="21997.630953005122"/>
    <n v="0.34988259141110428"/>
    <s v=""/>
    <s v=""/>
    <s v=""/>
    <s v=""/>
    <s v="Flagged"/>
    <n v="4"/>
    <n v="84869.09553284297"/>
    <m/>
    <m/>
    <n v="1"/>
    <s v="Flagged"/>
    <n v="84869.09553284297"/>
    <n v="1"/>
  </r>
  <r>
    <s v=""/>
    <x v="7"/>
    <s v="SS07"/>
    <s v="Ulang"/>
    <s v="SS0712"/>
    <m/>
    <m/>
    <m/>
    <n v="44257.266075717678"/>
    <s v="Returnees"/>
    <n v="0"/>
    <n v="14377.415457357643"/>
    <n v="8899.1872448533759"/>
    <n v="22810.630866941527"/>
    <n v="25678.83079632674"/>
    <n v="15611.353572644672"/>
    <n v="17702.906430287068"/>
    <n v="33192.949556788255"/>
    <m/>
    <m/>
    <m/>
    <m/>
    <n v="0"/>
    <n v="0.30000000000000004"/>
    <n v="0.2"/>
    <n v="0.5"/>
    <n v="0.60000000000000009"/>
    <n v="0.35000000000000003"/>
    <n v="0.4"/>
    <n v="0.75"/>
    <n v="0"/>
    <n v="0"/>
    <n v="0"/>
    <n v="0"/>
    <n v="33192.949556788255"/>
    <s v="WASH"/>
    <n v="0.74999999999999989"/>
    <s v=""/>
    <s v=""/>
    <s v=""/>
    <n v="25678.83079632674"/>
    <s v="Health"/>
    <n v="0.58021728573098108"/>
    <n v="7514.1187604615152"/>
    <n v="0.29261919360971766"/>
    <s v=""/>
    <n v="22810.630866941527"/>
    <s v="Food Security"/>
    <n v="0.51540984994228722"/>
    <n v="10382.318689846728"/>
    <n v="0.45515263257770655"/>
    <s v=""/>
    <s v=""/>
    <s v=""/>
    <s v=""/>
    <s v="Flagged"/>
    <n v="4"/>
    <n v="33192.949556788255"/>
    <m/>
    <m/>
    <n v="1"/>
    <s v="Flagged"/>
    <n v="33192.949556788255"/>
    <n v="1"/>
  </r>
  <r>
    <s v=""/>
    <x v="8"/>
    <s v="SS08"/>
    <s v="Gogrial East"/>
    <s v="SS0801"/>
    <m/>
    <m/>
    <m/>
    <n v="34983.329520759507"/>
    <s v="Returnees"/>
    <m/>
    <m/>
    <m/>
    <m/>
    <m/>
    <m/>
    <m/>
    <m/>
    <m/>
    <m/>
    <m/>
    <m/>
    <s v=""/>
    <s v=""/>
    <s v=""/>
    <s v=""/>
    <s v=""/>
    <s v=""/>
    <s v=""/>
    <s v=""/>
    <n v="0"/>
    <n v="0"/>
    <n v="0"/>
    <n v="0"/>
    <s v=""/>
    <s v=""/>
    <s v=""/>
    <s v=""/>
    <s v=""/>
    <s v=""/>
    <s v=""/>
    <s v=""/>
    <s v=""/>
    <s v=""/>
    <s v=""/>
    <s v=""/>
    <s v=""/>
    <s v=""/>
    <s v=""/>
    <s v=""/>
    <s v=""/>
    <s v=""/>
    <s v=""/>
    <s v="Flagged"/>
    <s v=""/>
    <s v="Flagged"/>
    <n v="4"/>
    <s v=""/>
    <m/>
    <m/>
    <n v="2"/>
    <s v="Flagged"/>
    <s v=""/>
    <n v="3"/>
  </r>
  <r>
    <s v=""/>
    <x v="8"/>
    <s v="SS08"/>
    <s v="Gogrial West"/>
    <s v="SS0802"/>
    <m/>
    <m/>
    <m/>
    <n v="98408.747432231496"/>
    <s v="Returnees"/>
    <m/>
    <m/>
    <m/>
    <m/>
    <m/>
    <m/>
    <m/>
    <m/>
    <m/>
    <m/>
    <m/>
    <m/>
    <s v=""/>
    <s v=""/>
    <s v=""/>
    <s v=""/>
    <s v=""/>
    <s v=""/>
    <s v=""/>
    <s v=""/>
    <n v="0"/>
    <n v="0"/>
    <n v="0"/>
    <n v="0"/>
    <s v=""/>
    <s v=""/>
    <s v=""/>
    <s v=""/>
    <s v=""/>
    <s v=""/>
    <s v=""/>
    <s v=""/>
    <s v=""/>
    <s v=""/>
    <s v=""/>
    <s v=""/>
    <s v=""/>
    <s v=""/>
    <s v=""/>
    <s v=""/>
    <s v=""/>
    <s v=""/>
    <s v=""/>
    <s v="Flagged"/>
    <s v=""/>
    <s v="Flagged"/>
    <n v="4"/>
    <s v=""/>
    <m/>
    <m/>
    <n v="2"/>
    <s v="Flagged"/>
    <s v=""/>
    <n v="3"/>
  </r>
  <r>
    <s v=""/>
    <x v="8"/>
    <s v="SS08"/>
    <s v="Tonj East"/>
    <s v="SS0803"/>
    <m/>
    <m/>
    <m/>
    <n v="17868.834713485074"/>
    <s v="Returnees"/>
    <n v="0"/>
    <n v="5845.6498996058772"/>
    <n v="4472.1630515652214"/>
    <n v="7378.8208715572273"/>
    <n v="5350.4669219999969"/>
    <n v="7189.5812967104912"/>
    <n v="8528.3074768906026"/>
    <n v="2679.4060282823557"/>
    <m/>
    <m/>
    <m/>
    <m/>
    <n v="0"/>
    <n v="0.35000000000000003"/>
    <n v="0.25"/>
    <n v="0.4"/>
    <n v="0.30000000000000004"/>
    <n v="0.4"/>
    <n v="0.5"/>
    <n v="0.15000000000000002"/>
    <n v="0"/>
    <n v="0"/>
    <n v="0"/>
    <n v="0"/>
    <n v="8528.3074768906026"/>
    <s v="Shelter"/>
    <n v="0.47727272727272724"/>
    <s v=""/>
    <s v=""/>
    <s v=""/>
    <n v="7378.8208715572273"/>
    <s v="Food Security"/>
    <n v="0.41294359648358336"/>
    <n v="1149.4866053333753"/>
    <n v="0.15578188240945703"/>
    <s v=""/>
    <n v="7189.5812967104912"/>
    <s v="Overarching Protection"/>
    <n v="0.40235311434632781"/>
    <n v="1338.7261801801114"/>
    <n v="0.18620363619681579"/>
    <s v=""/>
    <s v=""/>
    <s v="Flagged"/>
    <s v=""/>
    <s v=""/>
    <n v="4"/>
    <n v="8528.3074768906026"/>
    <m/>
    <m/>
    <n v="1"/>
    <s v="Flagged"/>
    <n v="8528.3074768906026"/>
    <n v="2"/>
  </r>
  <r>
    <s v=""/>
    <x v="8"/>
    <s v="SS08"/>
    <s v="Tonj North"/>
    <s v="SS0804"/>
    <m/>
    <m/>
    <m/>
    <n v="13129.238762438523"/>
    <s v="Returnees"/>
    <m/>
    <m/>
    <m/>
    <m/>
    <m/>
    <m/>
    <m/>
    <m/>
    <m/>
    <m/>
    <m/>
    <m/>
    <s v=""/>
    <s v=""/>
    <s v=""/>
    <s v=""/>
    <s v=""/>
    <s v=""/>
    <s v=""/>
    <s v=""/>
    <n v="0"/>
    <n v="0"/>
    <n v="0"/>
    <n v="0"/>
    <s v=""/>
    <s v=""/>
    <s v=""/>
    <s v=""/>
    <s v=""/>
    <s v=""/>
    <s v=""/>
    <s v=""/>
    <s v=""/>
    <s v=""/>
    <s v=""/>
    <s v=""/>
    <s v=""/>
    <s v=""/>
    <s v=""/>
    <s v=""/>
    <s v=""/>
    <s v=""/>
    <s v=""/>
    <s v="Flagged"/>
    <s v=""/>
    <s v="Flagged"/>
    <n v="4"/>
    <s v=""/>
    <m/>
    <m/>
    <n v="2"/>
    <s v="Flagged"/>
    <s v=""/>
    <n v="3"/>
  </r>
  <r>
    <s v=""/>
    <x v="8"/>
    <s v="SS08"/>
    <s v="Tonj South"/>
    <s v="SS0805"/>
    <m/>
    <m/>
    <m/>
    <n v="8647.438167676999"/>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8"/>
    <s v="SS08"/>
    <s v="Twic"/>
    <s v="SS0806"/>
    <m/>
    <m/>
    <m/>
    <n v="79307.299107857689"/>
    <s v="Returnees"/>
    <n v="367"/>
    <n v="9739.0949450431381"/>
    <n v="18891.539292992871"/>
    <n v="26250.134060617846"/>
    <n v="43119.782325324537"/>
    <n v="15776.413053524664"/>
    <n v="31586.182920543321"/>
    <n v="10161.587664325563"/>
    <m/>
    <m/>
    <m/>
    <m/>
    <n v="0"/>
    <n v="0.1"/>
    <n v="0.25"/>
    <n v="0.35000000000000003"/>
    <n v="0.55000000000000004"/>
    <n v="0.2"/>
    <n v="0.4"/>
    <n v="0.15000000000000002"/>
    <n v="0"/>
    <n v="0"/>
    <n v="0"/>
    <n v="0"/>
    <n v="43119.782325324537"/>
    <s v="Health"/>
    <n v="0.54370509159165492"/>
    <s v=""/>
    <s v=""/>
    <s v=""/>
    <n v="31586.182920543321"/>
    <s v="Shelter"/>
    <n v="0.39827586206896554"/>
    <n v="11533.599404781216"/>
    <n v="0.36514698321714223"/>
    <s v="Flagged"/>
    <n v="26250.134060617846"/>
    <s v="Food Security"/>
    <n v="0.33099266216237855"/>
    <n v="16869.648264706691"/>
    <n v="0.64264998516771887"/>
    <s v="Flagged"/>
    <s v=""/>
    <s v="Flagged"/>
    <s v=""/>
    <s v="Flagged"/>
    <n v="4"/>
    <n v="43119.782325324537"/>
    <m/>
    <m/>
    <n v="4"/>
    <s v="Flagged"/>
    <n v="43119.782325324537"/>
    <n v="1"/>
  </r>
  <r>
    <s v=""/>
    <x v="9"/>
    <s v="SS09"/>
    <s v="Jur River"/>
    <s v="SS0901"/>
    <m/>
    <m/>
    <m/>
    <n v="20202.24984559073"/>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9"/>
    <s v="SS09"/>
    <s v="Raja"/>
    <s v="SS0902"/>
    <m/>
    <m/>
    <m/>
    <n v="28676.523493080207"/>
    <s v="Returnees"/>
    <m/>
    <m/>
    <m/>
    <m/>
    <m/>
    <m/>
    <m/>
    <m/>
    <m/>
    <m/>
    <m/>
    <m/>
    <s v=""/>
    <s v=""/>
    <s v=""/>
    <s v=""/>
    <s v=""/>
    <s v=""/>
    <s v=""/>
    <s v=""/>
    <n v="0"/>
    <n v="0"/>
    <n v="0"/>
    <n v="0"/>
    <s v=""/>
    <s v=""/>
    <s v=""/>
    <s v=""/>
    <s v=""/>
    <s v=""/>
    <s v=""/>
    <s v=""/>
    <s v=""/>
    <s v=""/>
    <s v=""/>
    <s v=""/>
    <s v=""/>
    <s v=""/>
    <s v=""/>
    <s v=""/>
    <s v=""/>
    <s v=""/>
    <s v=""/>
    <s v="Flagged"/>
    <s v=""/>
    <s v="Flagged"/>
    <n v="4"/>
    <s v=""/>
    <m/>
    <m/>
    <n v="2"/>
    <s v="Flagged"/>
    <s v=""/>
    <n v="3"/>
  </r>
  <r>
    <s v=""/>
    <x v="9"/>
    <s v="SS09"/>
    <s v="Wau"/>
    <s v="SS0903"/>
    <m/>
    <m/>
    <m/>
    <n v="47646.035148118463"/>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4"/>
  </r>
  <r>
    <s v=""/>
    <x v="10"/>
    <s v="SS10"/>
    <s v="Ezo"/>
    <s v="SS1001"/>
    <m/>
    <m/>
    <m/>
    <n v="3661"/>
    <s v="Returnees"/>
    <m/>
    <m/>
    <m/>
    <m/>
    <m/>
    <m/>
    <m/>
    <m/>
    <m/>
    <m/>
    <m/>
    <m/>
    <s v=""/>
    <s v=""/>
    <s v=""/>
    <s v=""/>
    <s v=""/>
    <s v=""/>
    <s v=""/>
    <s v=""/>
    <n v="0"/>
    <n v="0"/>
    <n v="0"/>
    <n v="0"/>
    <s v=""/>
    <s v=""/>
    <s v=""/>
    <s v=""/>
    <s v=""/>
    <s v=""/>
    <s v=""/>
    <s v=""/>
    <s v=""/>
    <s v=""/>
    <s v=""/>
    <s v=""/>
    <s v=""/>
    <s v=""/>
    <s v=""/>
    <s v=""/>
    <s v=""/>
    <s v=""/>
    <s v=""/>
    <s v="Flagged"/>
    <s v=""/>
    <s v="Flagged"/>
    <n v="4"/>
    <s v=""/>
    <m/>
    <m/>
    <n v="2"/>
    <s v="Flagged"/>
    <s v=""/>
    <n v="3"/>
  </r>
  <r>
    <s v=""/>
    <x v="10"/>
    <s v="SS10"/>
    <s v="Ibba"/>
    <s v="SS1002"/>
    <m/>
    <m/>
    <m/>
    <n v="1463.1428571428601"/>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aridi"/>
    <s v="SS1003"/>
    <m/>
    <m/>
    <m/>
    <n v="688"/>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East"/>
    <s v="SS1004"/>
    <m/>
    <m/>
    <m/>
    <n v="5019"/>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undri West"/>
    <s v="SS1005"/>
    <m/>
    <m/>
    <m/>
    <n v="2319"/>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Mvolo"/>
    <s v="SS1006"/>
    <m/>
    <m/>
    <m/>
    <n v="4934"/>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Nagero"/>
    <s v="SS1007"/>
    <m/>
    <m/>
    <m/>
    <n v="0"/>
    <s v="Returnees"/>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n v="2"/>
  </r>
  <r>
    <s v=""/>
    <x v="10"/>
    <s v="SS10"/>
    <s v="Nzara"/>
    <s v="SS1008"/>
    <m/>
    <m/>
    <m/>
    <n v="375"/>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r>
    <s v=""/>
    <x v="10"/>
    <s v="SS10"/>
    <s v="Tambura"/>
    <s v="SS1009"/>
    <m/>
    <m/>
    <m/>
    <n v="2118.1428571428601"/>
    <s v="Returnees"/>
    <n v="0"/>
    <n v="426.52830900000049"/>
    <n v="388.53223929904436"/>
    <n v="499.4388413174093"/>
    <n v="901.96419394124655"/>
    <n v="766.49564586357042"/>
    <n v="1482.7000000000019"/>
    <n v="1153.047674162259"/>
    <m/>
    <m/>
    <m/>
    <m/>
    <n v="0"/>
    <n v="0.2"/>
    <n v="0.2"/>
    <n v="0.25"/>
    <n v="0.45"/>
    <n v="0.35000000000000003"/>
    <n v="0.70000000000000007"/>
    <n v="0.55000000000000004"/>
    <n v="0"/>
    <n v="0"/>
    <n v="0"/>
    <n v="0"/>
    <n v="1482.7000000000019"/>
    <s v="Shelter"/>
    <n v="0.7"/>
    <s v=""/>
    <s v=""/>
    <s v=""/>
    <n v="1153.047674162259"/>
    <s v="WASH"/>
    <n v="0.54436728395061729"/>
    <n v="329.65232583774286"/>
    <n v="0.28589652728561299"/>
    <s v=""/>
    <n v="901.96419394124655"/>
    <s v="Health"/>
    <n v="0.42582783824028575"/>
    <n v="580.73580605875532"/>
    <n v="0.64385682930622423"/>
    <s v="Flagged"/>
    <s v=""/>
    <s v="Flagged"/>
    <s v=""/>
    <s v=""/>
    <n v="4"/>
    <n v="1482.7000000000019"/>
    <m/>
    <m/>
    <n v="2"/>
    <s v="Flagged"/>
    <n v="1482.7000000000019"/>
    <n v="2"/>
  </r>
  <r>
    <s v=""/>
    <x v="10"/>
    <s v="SS10"/>
    <s v="Yambio"/>
    <s v="SS1010"/>
    <m/>
    <m/>
    <m/>
    <n v="7750"/>
    <s v="Returnees"/>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s v=""/>
    <x v="0"/>
    <s v="SS00"/>
    <x v="0"/>
    <s v="SS0001"/>
    <m/>
    <m/>
    <m/>
    <n v="122221.68957757292"/>
    <x v="0"/>
    <n v="30000"/>
    <n v="26008.775542107513"/>
    <n v="45256.130915601672"/>
    <n v="75443.064683122982"/>
    <n v="85561.698971807957"/>
    <n v="84755"/>
    <n v="76068.04456226567"/>
    <n v="47530.65705794502"/>
    <n v="48965"/>
    <n v="49809"/>
    <n v="0"/>
    <n v="35585"/>
    <n v="0.25"/>
    <n v="0.2"/>
    <n v="0.35000000000000003"/>
    <n v="0.60000000000000009"/>
    <n v="0.70000000000000007"/>
    <n v="0.70000000000000007"/>
    <n v="0.60000000000000009"/>
    <n v="0.4"/>
    <n v="0.4"/>
    <n v="0.4"/>
    <n v="0"/>
    <n v="0.30000000000000004"/>
    <n v="85561.698971807957"/>
    <s v="Health"/>
    <n v="0.70005331514831315"/>
    <s v=""/>
    <s v=""/>
    <s v=""/>
    <n v="84755"/>
    <s v="Overarching Protection"/>
    <n v="0.69345302206943249"/>
    <n v="806.6989718079567"/>
    <n v="9.518010404199832E-3"/>
    <s v=""/>
    <n v="76068.04456226567"/>
    <s v="Shelter"/>
    <n v="0.6223776223776224"/>
    <n v="9493.6544095422869"/>
    <n v="0.12480476478886261"/>
    <s v=""/>
    <s v=""/>
    <s v="Flagged"/>
    <s v=""/>
    <s v=""/>
    <n v="4"/>
    <n v="85561.698971807957"/>
    <m/>
    <m/>
    <n v="1"/>
    <s v="Flagged"/>
    <n v="85561.698971807957"/>
    <m/>
  </r>
  <r>
    <s v=""/>
    <x v="1"/>
    <s v="SS01"/>
    <x v="1"/>
    <s v="SS0101"/>
    <m/>
    <m/>
    <m/>
    <n v="185655.53028576757"/>
    <x v="0"/>
    <n v="143125"/>
    <n v="20629.114247703066"/>
    <n v="55663.994410481486"/>
    <n v="130641.61559673256"/>
    <n v="102957.42828930625"/>
    <n v="125516"/>
    <n v="156584.91344386805"/>
    <n v="72574.434566254567"/>
    <n v="28152"/>
    <n v="71011"/>
    <n v="102296"/>
    <n v="49942"/>
    <n v="0.75"/>
    <n v="0.1"/>
    <n v="0.30000000000000004"/>
    <n v="0.70000000000000007"/>
    <n v="0.55000000000000004"/>
    <n v="0.70000000000000007"/>
    <n v="0.85000000000000009"/>
    <n v="0.4"/>
    <n v="0.15000000000000002"/>
    <n v="0.4"/>
    <n v="0.55000000000000004"/>
    <n v="0.25"/>
    <n v="156584.91344386805"/>
    <s v="Shelter"/>
    <n v="0.84341637010676174"/>
    <s v=""/>
    <s v=""/>
    <s v=""/>
    <n v="143125"/>
    <s v="CCCM"/>
    <n v="0.77091697607766885"/>
    <n v="13459.913443868048"/>
    <n v="9.4043063363270202E-2"/>
    <s v=""/>
    <n v="130641.61559673256"/>
    <s v="Food Security"/>
    <n v="0.70367747944617842"/>
    <n v="25943.297847135487"/>
    <n v="0.19858371873796965"/>
    <s v=""/>
    <s v=""/>
    <s v="Flagged"/>
    <s v=""/>
    <s v=""/>
    <n v="4"/>
    <n v="156584.91344386805"/>
    <m/>
    <m/>
    <n v="1"/>
    <s v="Flagged"/>
    <n v="156584.91344386805"/>
    <m/>
  </r>
  <r>
    <s v=""/>
    <x v="1"/>
    <s v="SS01"/>
    <x v="2"/>
    <s v="SS0102"/>
    <m/>
    <m/>
    <m/>
    <n v="16311.747528959717"/>
    <x v="0"/>
    <n v="0"/>
    <n v="1218.1221572686422"/>
    <n v="5483.0313173129834"/>
    <n v="11295.239262162"/>
    <n v="8641.7640411393641"/>
    <n v="12061"/>
    <n v="11514.174726324505"/>
    <n v="13291.053542115327"/>
    <n v="5929"/>
    <n v="5804"/>
    <n v="3127"/>
    <n v="4645"/>
    <n v="0"/>
    <n v="0.05"/>
    <n v="0.35000000000000003"/>
    <n v="0.70000000000000007"/>
    <n v="0.55000000000000004"/>
    <n v="0.75"/>
    <n v="0.70000000000000007"/>
    <n v="0.8"/>
    <n v="0.35000000000000003"/>
    <n v="0.35000000000000003"/>
    <n v="0.2"/>
    <n v="0.30000000000000004"/>
    <n v="13291.053542115327"/>
    <s v="WASH"/>
    <n v="0.81481481481481499"/>
    <s v=""/>
    <s v=""/>
    <s v=""/>
    <n v="12061"/>
    <s v="Overarching Protection"/>
    <n v="0.73940575518270002"/>
    <n v="1230.0535421153272"/>
    <n v="0.10198603284266042"/>
    <s v=""/>
    <n v="11514.174726324505"/>
    <s v="Shelter"/>
    <n v="0.70588235294117641"/>
    <n v="1776.878815790822"/>
    <n v="0.15432098765432128"/>
    <s v=""/>
    <s v=""/>
    <s v=""/>
    <s v=""/>
    <s v=""/>
    <n v="4"/>
    <n v="13291.053542115327"/>
    <m/>
    <m/>
    <n v="0"/>
    <s v=""/>
    <n v="13291.053542115327"/>
    <m/>
  </r>
  <r>
    <s v=""/>
    <x v="1"/>
    <s v="SS01"/>
    <x v="3"/>
    <s v="SS0103"/>
    <m/>
    <m/>
    <m/>
    <n v="7434.8763775539119"/>
    <x v="0"/>
    <n v="0"/>
    <n v="981.68620713946348"/>
    <n v="3016.7293663498526"/>
    <n v="4690.9435850029386"/>
    <n v="3386.0205108896025"/>
    <n v="5948"/>
    <n v="4687.2046728057267"/>
    <n v="4405.8526681800959"/>
    <n v="1249"/>
    <n v="907"/>
    <n v="3560"/>
    <n v="1895"/>
    <n v="0"/>
    <n v="0.15000000000000002"/>
    <n v="0.4"/>
    <n v="0.65"/>
    <n v="0.45"/>
    <n v="0.8"/>
    <n v="0.65"/>
    <n v="0.60000000000000009"/>
    <n v="0.15000000000000002"/>
    <n v="0.1"/>
    <n v="0.5"/>
    <n v="0.25"/>
    <n v="5948"/>
    <s v="Overarching Protection"/>
    <n v="0.80001330189660835"/>
    <s v=""/>
    <s v=""/>
    <s v=""/>
    <n v="4690.9435850029386"/>
    <s v="Food Security"/>
    <n v="0.63093767088919206"/>
    <n v="1257.0564149970614"/>
    <n v="0.26797517220541761"/>
    <s v=""/>
    <n v="4687.2046728057267"/>
    <s v="Shelter"/>
    <n v="0.63043478260869557"/>
    <n v="1260.7953271942733"/>
    <n v="0.26898661680151686"/>
    <s v=""/>
    <s v=""/>
    <s v=""/>
    <s v=""/>
    <s v=""/>
    <n v="4"/>
    <n v="5948"/>
    <m/>
    <m/>
    <n v="0"/>
    <s v=""/>
    <n v="5948"/>
    <m/>
  </r>
  <r>
    <s v=""/>
    <x v="1"/>
    <s v="SS01"/>
    <x v="4"/>
    <s v="SS0104"/>
    <m/>
    <m/>
    <m/>
    <n v="10995.852324765609"/>
    <x v="0"/>
    <n v="10003.75"/>
    <n v="1946.0349485846925"/>
    <n v="3652.351679331086"/>
    <n v="7470.4403267122298"/>
    <n v="7139.7875687378446"/>
    <n v="8797"/>
    <n v="10472.24030930058"/>
    <n v="6210.620294543538"/>
    <n v="4830"/>
    <n v="1708"/>
    <n v="5418"/>
    <n v="2853"/>
    <n v="0.9"/>
    <n v="0.2"/>
    <n v="0.35000000000000003"/>
    <n v="0.70000000000000007"/>
    <n v="0.65"/>
    <n v="0.8"/>
    <n v="0.95000000000000007"/>
    <n v="0.55000000000000004"/>
    <n v="0.45"/>
    <n v="0.15000000000000002"/>
    <n v="0.5"/>
    <n v="0.25"/>
    <n v="10472.24030930058"/>
    <s v="Shelter"/>
    <n v="0.95238095238095244"/>
    <s v=""/>
    <s v="Flagged"/>
    <s v=""/>
    <n v="10003.75"/>
    <s v="CCCM"/>
    <n v="0.90977485915019718"/>
    <n v="468.49030930057961"/>
    <n v="4.6831469129134537E-2"/>
    <s v=""/>
    <n v="8797"/>
    <s v="Overarching Protection"/>
    <n v="0.80002893274464926"/>
    <n v="1675.2403093005796"/>
    <n v="0.19043313735370918"/>
    <s v=""/>
    <s v=""/>
    <s v="Flagged"/>
    <s v=""/>
    <s v=""/>
    <n v="4"/>
    <n v="10472.24030930058"/>
    <m/>
    <m/>
    <n v="2"/>
    <s v="Flagged"/>
    <n v="10472.24030930058"/>
    <m/>
  </r>
  <r>
    <s v=""/>
    <x v="1"/>
    <s v="SS01"/>
    <x v="5"/>
    <s v="SS0105"/>
    <m/>
    <m/>
    <m/>
    <n v="13333.613326350463"/>
    <x v="0"/>
    <n v="0"/>
    <n v="3537.4742835474094"/>
    <n v="3921.0295061368129"/>
    <n v="8587.0091798293361"/>
    <n v="6819.088880858395"/>
    <n v="8429"/>
    <n v="11111.344438625387"/>
    <n v="4814.9159234043336"/>
    <n v="2013"/>
    <n v="5155"/>
    <n v="7187"/>
    <n v="2960"/>
    <n v="0"/>
    <n v="0.25"/>
    <n v="0.30000000000000004"/>
    <n v="0.65"/>
    <n v="0.5"/>
    <n v="0.65"/>
    <n v="0.85000000000000009"/>
    <n v="0.35000000000000003"/>
    <n v="0.15000000000000002"/>
    <n v="0.4"/>
    <n v="0.55000000000000004"/>
    <n v="0.2"/>
    <n v="11111.344438625387"/>
    <s v="Shelter"/>
    <n v="0.83333333333333337"/>
    <s v=""/>
    <s v=""/>
    <s v=""/>
    <n v="8587.0091798293361"/>
    <s v="Food Security"/>
    <n v="0.64401216456902322"/>
    <n v="2524.3352587960508"/>
    <n v="0.29397141728061144"/>
    <s v=""/>
    <n v="8429"/>
    <s v="Overarching Protection"/>
    <n v="0.63216172493484912"/>
    <n v="2682.3444386253868"/>
    <n v="0.31822807434160477"/>
    <s v=""/>
    <s v=""/>
    <s v="Flagged"/>
    <s v=""/>
    <s v=""/>
    <n v="4"/>
    <n v="11111.344438625387"/>
    <m/>
    <m/>
    <n v="1"/>
    <s v="Flagged"/>
    <n v="11111.344438625387"/>
    <m/>
  </r>
  <r>
    <s v=""/>
    <x v="1"/>
    <s v="SS01"/>
    <x v="6"/>
    <s v="SS0106"/>
    <m/>
    <m/>
    <m/>
    <n v="38535.006634969555"/>
    <x v="0"/>
    <n v="6856.25"/>
    <n v="6751.5258374798414"/>
    <n v="13241.129960863167"/>
    <n v="18936.823915437224"/>
    <n v="17789.683120040547"/>
    <n v="15408"/>
    <n v="25047.754312730212"/>
    <n v="31398.894295160375"/>
    <n v="3059"/>
    <n v="8076"/>
    <n v="10831"/>
    <n v="5931"/>
    <n v="0.2"/>
    <n v="0.2"/>
    <n v="0.35000000000000003"/>
    <n v="0.5"/>
    <n v="0.45"/>
    <n v="0.4"/>
    <n v="0.65"/>
    <n v="0.8"/>
    <n v="0.1"/>
    <n v="0.2"/>
    <n v="0.30000000000000004"/>
    <n v="0.15000000000000002"/>
    <n v="31398.894295160375"/>
    <s v="WASH"/>
    <n v="0.81481481481481477"/>
    <s v=""/>
    <s v=""/>
    <s v=""/>
    <n v="25047.754312730212"/>
    <s v="Shelter"/>
    <n v="0.65"/>
    <n v="6351.1399824301625"/>
    <n v="0.25356125356125336"/>
    <s v=""/>
    <n v="18936.823915437224"/>
    <s v="Food Security"/>
    <n v="0.4914187272580493"/>
    <n v="12462.070379723151"/>
    <n v="0.65808661660333234"/>
    <s v="Flagged"/>
    <s v=""/>
    <s v=""/>
    <s v=""/>
    <s v="Flagged"/>
    <n v="4"/>
    <n v="31398.894295160375"/>
    <m/>
    <m/>
    <n v="2"/>
    <s v="Flagged"/>
    <n v="31398.894295160375"/>
    <m/>
  </r>
  <r>
    <s v=""/>
    <x v="2"/>
    <s v="SS02"/>
    <x v="7"/>
    <s v="SS0201"/>
    <m/>
    <m/>
    <m/>
    <n v="4566.5835894145539"/>
    <x v="0"/>
    <n v="0"/>
    <n v="1492.7522432093658"/>
    <n v="1813.6109456368461"/>
    <n v="2934.7298505674235"/>
    <n v="2000.988397539779"/>
    <n v="3197"/>
    <n v="3044.3890596097026"/>
    <n v="3424.9376920609157"/>
    <n v="778"/>
    <n v="691"/>
    <n v="893"/>
    <n v="1116"/>
    <n v="0"/>
    <n v="0.35000000000000003"/>
    <n v="0.4"/>
    <n v="0.65"/>
    <n v="0.45"/>
    <n v="0.70000000000000007"/>
    <n v="0.65"/>
    <n v="0.75"/>
    <n v="0.15000000000000002"/>
    <n v="0.15000000000000002"/>
    <n v="0.2"/>
    <n v="0.25"/>
    <n v="3424.9376920609157"/>
    <s v="WASH"/>
    <n v="0.75"/>
    <s v=""/>
    <s v=""/>
    <s v=""/>
    <n v="3197"/>
    <s v="Overarching Protection"/>
    <n v="0.70008572872961738"/>
    <n v="227.93769206091565"/>
    <n v="7.1297370053461262E-2"/>
    <s v=""/>
    <n v="3044.3890596097026"/>
    <s v="Shelter"/>
    <n v="0.66666666666666663"/>
    <n v="380.54863245121305"/>
    <n v="0.12500000000000008"/>
    <s v=""/>
    <s v=""/>
    <s v=""/>
    <s v=""/>
    <s v=""/>
    <n v="4"/>
    <n v="3424.9376920609157"/>
    <m/>
    <m/>
    <n v="0"/>
    <s v=""/>
    <n v="3424.9376920609157"/>
    <m/>
  </r>
  <r>
    <s v=""/>
    <x v="2"/>
    <s v="SS02"/>
    <x v="8"/>
    <s v="SS0202"/>
    <m/>
    <m/>
    <m/>
    <n v="6185.6711628854973"/>
    <x v="0"/>
    <n v="0"/>
    <n v="693.40136601713857"/>
    <n v="2509.0423214440798"/>
    <n v="2761.5031570219976"/>
    <n v="3482.4856610790357"/>
    <n v="4315"/>
    <n v="2617.0147227592488"/>
    <n v="3007.7116663571692"/>
    <n v="1030"/>
    <n v="2734"/>
    <n v="3238"/>
    <n v="1574"/>
    <n v="0"/>
    <n v="0.1"/>
    <n v="0.4"/>
    <n v="0.45"/>
    <n v="0.55000000000000004"/>
    <n v="0.70000000000000007"/>
    <n v="0.4"/>
    <n v="0.5"/>
    <n v="0.15000000000000002"/>
    <n v="0.45"/>
    <n v="0.5"/>
    <n v="0.25"/>
    <n v="4315"/>
    <s v="Overarching Protection"/>
    <n v="0.69757992081608411"/>
    <s v=""/>
    <s v=""/>
    <s v=""/>
    <n v="3482.4856610790357"/>
    <s v="Health"/>
    <n v="0.56299236887570381"/>
    <n v="832.51433892096429"/>
    <n v="0.23905750660377814"/>
    <s v=""/>
    <n v="3007.7116663571692"/>
    <s v="WASH"/>
    <n v="0.48623853211009188"/>
    <n v="1307.2883336428308"/>
    <n v="0.43464549752741788"/>
    <s v=""/>
    <s v=""/>
    <s v=""/>
    <s v=""/>
    <s v="Flagged"/>
    <n v="4"/>
    <n v="4315"/>
    <m/>
    <m/>
    <n v="1"/>
    <s v="Flagged"/>
    <n v="4315"/>
    <m/>
  </r>
  <r>
    <s v=""/>
    <x v="2"/>
    <s v="SS02"/>
    <x v="9"/>
    <s v="SS0203"/>
    <m/>
    <m/>
    <m/>
    <n v="2159.7729564411493"/>
    <x v="0"/>
    <n v="0"/>
    <n v="737.7784419202967"/>
    <n v="839.53465065268131"/>
    <n v="1540.0205724248333"/>
    <n v="837.76655048938323"/>
    <n v="1512"/>
    <n v="0"/>
    <n v="1719.8192060549893"/>
    <n v="846"/>
    <n v="832"/>
    <n v="1057"/>
    <n v="641"/>
    <n v="0"/>
    <n v="0.35000000000000003"/>
    <n v="0.4"/>
    <n v="0.70000000000000007"/>
    <n v="0.4"/>
    <n v="0.70000000000000007"/>
    <n v="0"/>
    <n v="0.8"/>
    <n v="0.4"/>
    <n v="0.4"/>
    <n v="0.5"/>
    <n v="0.30000000000000004"/>
    <n v="1719.8192060549893"/>
    <s v="WASH"/>
    <n v="0.79629629629629628"/>
    <s v="Flagged"/>
    <s v=""/>
    <s v=""/>
    <n v="1540.0205724248333"/>
    <s v="Food Security"/>
    <n v="0.71304743761699041"/>
    <n v="179.79863363015602"/>
    <n v="0.11675079985915694"/>
    <s v=""/>
    <n v="1512"/>
    <s v="Overarching Protection"/>
    <n v="0.7000735866660065"/>
    <n v="207.81920605498931"/>
    <n v="0.13744656485118339"/>
    <s v=""/>
    <s v=""/>
    <s v=""/>
    <s v=""/>
    <s v=""/>
    <n v="4"/>
    <n v="1719.8192060549893"/>
    <m/>
    <m/>
    <n v="1"/>
    <s v="Flagged"/>
    <n v="1719.8192060549893"/>
    <m/>
  </r>
  <r>
    <s v=""/>
    <x v="2"/>
    <s v="SS02"/>
    <x v="10"/>
    <s v="SS0204"/>
    <m/>
    <m/>
    <m/>
    <n v="8023.4115031633137"/>
    <x v="0"/>
    <n v="0"/>
    <n v="3040.872959698896"/>
    <n v="3020.3613084251488"/>
    <n v="5691.5355279765563"/>
    <n v="2855.4831771933182"/>
    <n v="4057"/>
    <n v="8023.4115031633146"/>
    <n v="4122.1196713499603"/>
    <n v="2595"/>
    <n v="2349"/>
    <n v="1255"/>
    <n v="1273"/>
    <n v="0"/>
    <n v="0.4"/>
    <n v="0.4"/>
    <n v="0.70000000000000007"/>
    <n v="0.35000000000000003"/>
    <n v="0.5"/>
    <n v="1"/>
    <n v="0.5"/>
    <n v="0.30000000000000004"/>
    <n v="0.30000000000000004"/>
    <n v="0.15000000000000002"/>
    <n v="0.15000000000000002"/>
    <n v="8023.4115031633146"/>
    <s v="Shelter"/>
    <n v="1.0000000000000002"/>
    <s v=""/>
    <s v="Flagged"/>
    <s v=""/>
    <n v="5691.5355279765563"/>
    <s v="Food Security"/>
    <n v="0.70936602537868199"/>
    <n v="2331.8759751867583"/>
    <n v="0.40970946482271758"/>
    <s v="Flagged"/>
    <n v="4122.1196713499603"/>
    <s v="WASH"/>
    <n v="0.5137614678899084"/>
    <n v="3901.2918318133543"/>
    <n v="0.94642857142857117"/>
    <s v="Flagged"/>
    <s v=""/>
    <s v="Flagged"/>
    <s v=""/>
    <s v=""/>
    <n v="4"/>
    <n v="8023.4115031633146"/>
    <m/>
    <m/>
    <n v="4"/>
    <s v="Flagged"/>
    <n v="8023.4115031633146"/>
    <m/>
  </r>
  <r>
    <s v=""/>
    <x v="2"/>
    <s v="SS02"/>
    <x v="11"/>
    <s v="SS0205"/>
    <m/>
    <m/>
    <m/>
    <n v="4829.7886557975189"/>
    <x v="0"/>
    <n v="0"/>
    <n v="1199.4625573436151"/>
    <n v="1736.0189569086174"/>
    <n v="2134.1291226372955"/>
    <n v="2357.176214784763"/>
    <n v="3381"/>
    <n v="3622.3414918481394"/>
    <n v="4785.06839046606"/>
    <n v="1996"/>
    <n v="731"/>
    <n v="2250"/>
    <n v="1334"/>
    <n v="0"/>
    <n v="0.25"/>
    <n v="0.35000000000000003"/>
    <n v="0.45"/>
    <n v="0.5"/>
    <n v="0.70000000000000007"/>
    <n v="0.75"/>
    <n v="1"/>
    <n v="0.4"/>
    <n v="0.15000000000000002"/>
    <n v="0.45"/>
    <n v="0.30000000000000004"/>
    <n v="4785.06839046606"/>
    <s v="WASH"/>
    <n v="0.9907407407407407"/>
    <s v=""/>
    <s v="Flagged"/>
    <s v=""/>
    <n v="3622.3414918481394"/>
    <s v="Shelter"/>
    <n v="0.75"/>
    <n v="1162.7268986179206"/>
    <n v="0.32098765432098747"/>
    <s v="Flagged"/>
    <n v="3381"/>
    <s v="Overarching Protection"/>
    <n v="0.70003063093486695"/>
    <n v="1404.06839046606"/>
    <n v="0.41528198475778172"/>
    <s v=""/>
    <s v=""/>
    <s v=""/>
    <s v=""/>
    <s v="Flagged"/>
    <n v="4"/>
    <n v="4785.06839046606"/>
    <m/>
    <m/>
    <n v="3"/>
    <s v="Flagged"/>
    <n v="4785.06839046606"/>
    <m/>
  </r>
  <r>
    <s v=""/>
    <x v="2"/>
    <s v="SS02"/>
    <x v="12"/>
    <s v="SS0206"/>
    <m/>
    <m/>
    <m/>
    <n v="21293.088674698796"/>
    <x v="0"/>
    <n v="14262.5"/>
    <n v="1138.3285205493978"/>
    <n v="6949.2517940572598"/>
    <n v="14604.061169572129"/>
    <n v="8823.1210737882466"/>
    <n v="14039"/>
    <n v="7097.6962248995987"/>
    <n v="6227.2240463741755"/>
    <n v="8483"/>
    <n v="7959"/>
    <n v="4004"/>
    <n v="5323"/>
    <n v="0.65"/>
    <n v="0.05"/>
    <n v="0.35000000000000003"/>
    <n v="0.70000000000000007"/>
    <n v="0.4"/>
    <n v="0.65"/>
    <n v="0.35000000000000003"/>
    <n v="0.30000000000000004"/>
    <n v="0.4"/>
    <n v="0.35000000000000003"/>
    <n v="0.2"/>
    <n v="0.25"/>
    <n v="14604.061169572129"/>
    <s v="Food Security"/>
    <n v="0.68585921904909897"/>
    <s v=""/>
    <s v=""/>
    <s v=""/>
    <n v="14262.5"/>
    <s v="CCCM"/>
    <n v="0.66981827849837539"/>
    <n v="341.56116957212907"/>
    <n v="2.3948197691297392E-2"/>
    <s v=""/>
    <n v="14039"/>
    <s v="Overarching Protection"/>
    <n v="0.65932191494048664"/>
    <n v="565.06116957212907"/>
    <n v="4.0249388814882048E-2"/>
    <s v=""/>
    <s v=""/>
    <s v=""/>
    <s v=""/>
    <s v=""/>
    <n v="4"/>
    <n v="14604.061169572129"/>
    <m/>
    <m/>
    <n v="0"/>
    <s v=""/>
    <n v="14604.061169572129"/>
    <m/>
  </r>
  <r>
    <s v=""/>
    <x v="2"/>
    <s v="SS02"/>
    <x v="13"/>
    <s v="SS0207"/>
    <m/>
    <m/>
    <m/>
    <n v="40940.594481869215"/>
    <x v="0"/>
    <n v="0"/>
    <n v="2692.6096762997117"/>
    <n v="13324.992433803691"/>
    <n v="9914.5548055213094"/>
    <n v="21383.94598798571"/>
    <n v="28480"/>
    <n v="2924.3281772763721"/>
    <n v="14157.027998403373"/>
    <n v="5695"/>
    <n v="16601"/>
    <n v="27506"/>
    <n v="13277"/>
    <n v="0"/>
    <n v="0.05"/>
    <n v="0.35000000000000003"/>
    <n v="0.25"/>
    <n v="0.5"/>
    <n v="0.70000000000000007"/>
    <n v="0.05"/>
    <n v="0.35000000000000003"/>
    <n v="0.15000000000000002"/>
    <n v="0.4"/>
    <n v="0.65"/>
    <n v="0.30000000000000004"/>
    <n v="28480"/>
    <s v="Overarching Protection"/>
    <n v="0.69564207262824518"/>
    <s v=""/>
    <s v=""/>
    <s v=""/>
    <n v="21383.94598798571"/>
    <s v="Health"/>
    <n v="0.52231645042320318"/>
    <n v="7096.0540120142905"/>
    <n v="0.33184025137367612"/>
    <s v="Flagged"/>
    <n v="14157.027998403373"/>
    <s v="WASH"/>
    <n v="0.34579439252336447"/>
    <n v="14322.972001596627"/>
    <n v="1.0117216694924929"/>
    <s v="Flagged"/>
    <s v=""/>
    <s v=""/>
    <s v=""/>
    <s v="Flagged"/>
    <n v="4"/>
    <n v="28480"/>
    <m/>
    <m/>
    <n v="3"/>
    <s v="Flagged"/>
    <n v="28480"/>
    <m/>
  </r>
  <r>
    <s v=""/>
    <x v="2"/>
    <s v="SS02"/>
    <x v="14"/>
    <s v="SS0208"/>
    <m/>
    <m/>
    <m/>
    <n v="2501.5236312386551"/>
    <x v="0"/>
    <n v="0"/>
    <n v="279.86546081571822"/>
    <n v="1219.1162945708784"/>
    <n v="1404.6058331272616"/>
    <n v="1981.0929952949004"/>
    <n v="1492"/>
    <n v="2501.5236312386551"/>
    <n v="1728.3254179467071"/>
    <n v="136"/>
    <n v="990"/>
    <n v="1316"/>
    <n v="551"/>
    <n v="0"/>
    <n v="0.1"/>
    <n v="0.5"/>
    <n v="0.55000000000000004"/>
    <n v="0.8"/>
    <n v="0.60000000000000009"/>
    <n v="1"/>
    <n v="0.70000000000000007"/>
    <n v="0.05"/>
    <n v="0.4"/>
    <n v="0.55000000000000004"/>
    <n v="0.2"/>
    <n v="2501.5236312386551"/>
    <s v="Shelter"/>
    <n v="1"/>
    <s v=""/>
    <s v="Flagged"/>
    <s v=""/>
    <n v="1981.0929952949004"/>
    <s v="Health"/>
    <n v="0.7919545394476013"/>
    <n v="520.43063594375462"/>
    <n v="0.26269874113924907"/>
    <s v=""/>
    <n v="1728.3254179467071"/>
    <s v="WASH"/>
    <n v="0.69090909090909092"/>
    <n v="773.19821329194792"/>
    <n v="0.44736842105263158"/>
    <s v=""/>
    <s v=""/>
    <s v="Flagged"/>
    <s v=""/>
    <s v="Flagged"/>
    <n v="4"/>
    <n v="2501.5236312386551"/>
    <m/>
    <m/>
    <n v="3"/>
    <s v="Flagged"/>
    <n v="2501.5236312386551"/>
    <m/>
  </r>
  <r>
    <s v=""/>
    <x v="3"/>
    <s v="SS03"/>
    <x v="15"/>
    <s v="SS0301"/>
    <m/>
    <m/>
    <m/>
    <n v="45687.987079478589"/>
    <x v="0"/>
    <n v="30191.25"/>
    <n v="9011.1330676597208"/>
    <n v="20328.448264613897"/>
    <n v="39255.072141148179"/>
    <n v="24457.221773689071"/>
    <n v="36373"/>
    <n v="40611.544070647637"/>
    <n v="22843.993539739295"/>
    <n v="18743"/>
    <n v="17594"/>
    <n v="25213"/>
    <n v="13582"/>
    <n v="0.65"/>
    <n v="0.2"/>
    <n v="0.45"/>
    <n v="0.85000000000000009"/>
    <n v="0.55000000000000004"/>
    <n v="0.8"/>
    <n v="0.9"/>
    <n v="0.5"/>
    <n v="0.4"/>
    <n v="0.4"/>
    <n v="0.55000000000000004"/>
    <n v="0.30000000000000004"/>
    <n v="40611.544070647637"/>
    <s v="Shelter"/>
    <n v="0.88888888888888895"/>
    <s v=""/>
    <s v=""/>
    <s v=""/>
    <n v="39255.072141148179"/>
    <s v="Food Security"/>
    <n v="0.85919898534510297"/>
    <n v="1356.4719294994575"/>
    <n v="3.4555328917038691E-2"/>
    <s v=""/>
    <n v="36373"/>
    <s v="Overarching Protection"/>
    <n v="0.79611736749806272"/>
    <n v="4238.5440706476365"/>
    <n v="0.1165299554792741"/>
    <s v=""/>
    <s v=""/>
    <s v="Flagged"/>
    <s v=""/>
    <s v=""/>
    <n v="4"/>
    <n v="40611.544070647637"/>
    <m/>
    <m/>
    <n v="1"/>
    <s v="Flagged"/>
    <n v="40611.544070647637"/>
    <m/>
  </r>
  <r>
    <s v=""/>
    <x v="3"/>
    <s v="SS03"/>
    <x v="16"/>
    <s v="SS0302"/>
    <m/>
    <m/>
    <m/>
    <n v="21857.689382345037"/>
    <x v="0"/>
    <n v="0"/>
    <n v="3012.1644584022056"/>
    <n v="7246.9332264528048"/>
    <n v="16171.05136149268"/>
    <n v="9814.1802232710907"/>
    <n v="16888"/>
    <n v="13871.225954180503"/>
    <n v="18659.003131270158"/>
    <n v="8247"/>
    <n v="10279"/>
    <n v="1805"/>
    <n v="6241"/>
    <n v="0"/>
    <n v="0.15000000000000002"/>
    <n v="0.35000000000000003"/>
    <n v="0.75"/>
    <n v="0.45"/>
    <n v="0.75"/>
    <n v="0.65"/>
    <n v="0.85000000000000009"/>
    <n v="0.4"/>
    <n v="0.45"/>
    <n v="0.1"/>
    <n v="0.30000000000000004"/>
    <n v="18659.003131270158"/>
    <s v="WASH"/>
    <n v="0.85365853658536606"/>
    <s v=""/>
    <s v=""/>
    <s v=""/>
    <n v="16888"/>
    <s v="Overarching Protection"/>
    <n v="0.77263427549852681"/>
    <n v="1771.0031312701576"/>
    <n v="0.10486754685398848"/>
    <s v=""/>
    <n v="16171.05136149268"/>
    <s v="Food Security"/>
    <n v="0.7398335239659144"/>
    <n v="2487.9517697774772"/>
    <n v="0.15385219638235229"/>
    <s v=""/>
    <s v=""/>
    <s v=""/>
    <s v=""/>
    <s v=""/>
    <n v="4"/>
    <n v="18659.003131270158"/>
    <m/>
    <m/>
    <n v="0"/>
    <s v=""/>
    <n v="18659.003131270158"/>
    <m/>
  </r>
  <r>
    <s v=""/>
    <x v="3"/>
    <s v="SS03"/>
    <x v="17"/>
    <s v="SS0303"/>
    <m/>
    <m/>
    <m/>
    <n v="95901.175542296638"/>
    <x v="0"/>
    <n v="50265"/>
    <n v="19394.094729918648"/>
    <n v="36837.40550042902"/>
    <n v="22913.183208266495"/>
    <n v="53275.674539844593"/>
    <n v="66786"/>
    <n v="71925.881656722486"/>
    <n v="45286.666228306742"/>
    <n v="41372"/>
    <n v="13259"/>
    <n v="18846"/>
    <n v="23327"/>
    <n v="0.5"/>
    <n v="0.2"/>
    <n v="0.4"/>
    <n v="0.25"/>
    <n v="0.55000000000000004"/>
    <n v="0.70000000000000007"/>
    <n v="0.75"/>
    <n v="0.45"/>
    <n v="0.45"/>
    <n v="0.15000000000000002"/>
    <n v="0.2"/>
    <n v="0.25"/>
    <n v="71925.881656722486"/>
    <s v="Shelter"/>
    <n v="0.75000000000000011"/>
    <s v=""/>
    <s v=""/>
    <s v=""/>
    <n v="66786"/>
    <s v="Overarching Protection"/>
    <n v="0.69640439360979922"/>
    <n v="5139.8816567224858"/>
    <n v="7.6960465617382179E-2"/>
    <s v=""/>
    <n v="53275.674539844593"/>
    <s v="Health"/>
    <n v="0.55552681433344553"/>
    <n v="18650.207116877893"/>
    <n v="0.35006984478309144"/>
    <s v=""/>
    <s v=""/>
    <s v="Flagged"/>
    <s v=""/>
    <s v=""/>
    <n v="4"/>
    <n v="71925.881656722486"/>
    <m/>
    <m/>
    <n v="1"/>
    <s v="Flagged"/>
    <n v="71925.881656722486"/>
    <m/>
  </r>
  <r>
    <s v=""/>
    <x v="3"/>
    <s v="SS03"/>
    <x v="18"/>
    <s v="SS0304"/>
    <m/>
    <m/>
    <m/>
    <n v="69039.732902168529"/>
    <x v="0"/>
    <n v="2940"/>
    <n v="11234.283417306668"/>
    <n v="26154.980284305846"/>
    <n v="60658.225579270336"/>
    <n v="50858.935327370076"/>
    <n v="53298"/>
    <n v="69039.732902168529"/>
    <n v="66482.705757643766"/>
    <n v="27542"/>
    <n v="26342"/>
    <n v="32419"/>
    <n v="16304"/>
    <n v="0.05"/>
    <n v="0.15000000000000002"/>
    <n v="0.4"/>
    <n v="0.9"/>
    <n v="0.75"/>
    <n v="0.75"/>
    <n v="1"/>
    <n v="0.95000000000000007"/>
    <n v="0.4"/>
    <n v="0.4"/>
    <n v="0.45"/>
    <n v="0.25"/>
    <n v="69039.732902168529"/>
    <s v="Shelter"/>
    <n v="1"/>
    <s v=""/>
    <s v="Flagged"/>
    <s v=""/>
    <n v="66482.705757643766"/>
    <s v="WASH"/>
    <n v="0.96296296296296291"/>
    <n v="2557.0271445247636"/>
    <n v="3.8461538461538512E-2"/>
    <s v=""/>
    <n v="60658.225579270336"/>
    <s v="Food Security"/>
    <n v="0.87859878695105831"/>
    <n v="8381.5073228981928"/>
    <n v="0.13817593974859912"/>
    <s v=""/>
    <s v=""/>
    <s v="Flagged"/>
    <s v=""/>
    <s v=""/>
    <n v="4"/>
    <n v="69039.732902168529"/>
    <m/>
    <m/>
    <n v="2"/>
    <s v="Flagged"/>
    <n v="69039.732902168529"/>
    <m/>
  </r>
  <r>
    <s v=""/>
    <x v="3"/>
    <s v="SS03"/>
    <x v="19"/>
    <s v="SS0305"/>
    <m/>
    <m/>
    <m/>
    <n v="77068.443303189997"/>
    <x v="0"/>
    <n v="0"/>
    <n v="8003.5578370362809"/>
    <n v="29219.09106715216"/>
    <n v="53758.117095312671"/>
    <n v="51263.151432420411"/>
    <n v="53948"/>
    <n v="77068.443303189997"/>
    <n v="36393.431559839715"/>
    <n v="32413"/>
    <n v="33856"/>
    <n v="15753"/>
    <n v="20043"/>
    <n v="0"/>
    <n v="0.1"/>
    <n v="0.4"/>
    <n v="0.70000000000000007"/>
    <n v="0.65"/>
    <n v="0.70000000000000007"/>
    <n v="1"/>
    <n v="0.45"/>
    <n v="0.4"/>
    <n v="0.45"/>
    <n v="0.2"/>
    <n v="0.25"/>
    <n v="77068.443303189997"/>
    <s v="Shelter"/>
    <n v="1"/>
    <s v=""/>
    <s v="Flagged"/>
    <s v=""/>
    <n v="53948"/>
    <s v="Overarching Protection"/>
    <n v="0.7000011637417749"/>
    <n v="23120.443303189997"/>
    <n v="0.4285690535921628"/>
    <s v="Flagged"/>
    <n v="53758.117095312671"/>
    <s v="Food Security"/>
    <n v="0.6975373420198242"/>
    <n v="23310.326207877326"/>
    <n v="0.43361500490332133"/>
    <s v=""/>
    <s v=""/>
    <s v="Flagged"/>
    <s v=""/>
    <s v=""/>
    <n v="4"/>
    <n v="77068.443303189997"/>
    <m/>
    <m/>
    <n v="3"/>
    <s v="Flagged"/>
    <n v="77068.443303189997"/>
    <m/>
  </r>
  <r>
    <s v=""/>
    <x v="3"/>
    <s v="SS03"/>
    <x v="20"/>
    <s v="SS0306"/>
    <m/>
    <m/>
    <m/>
    <n v="118740.98784317059"/>
    <x v="0"/>
    <n v="53426.25"/>
    <n v="44409.129453345799"/>
    <n v="40113.54086952786"/>
    <n v="103011.12865811396"/>
    <n v="77337.079860623839"/>
    <n v="94945"/>
    <n v="74762.844197551851"/>
    <n v="93453.55524693981"/>
    <n v="49865"/>
    <n v="48097"/>
    <n v="60463"/>
    <n v="34020"/>
    <n v="0.45"/>
    <n v="0.35000000000000003"/>
    <n v="0.35000000000000003"/>
    <n v="0.85000000000000009"/>
    <n v="0.65"/>
    <n v="0.8"/>
    <n v="0.65"/>
    <n v="0.8"/>
    <n v="0.4"/>
    <n v="0.4"/>
    <n v="0.5"/>
    <n v="0.30000000000000004"/>
    <n v="103011.12865811396"/>
    <s v="Food Security"/>
    <n v="0.86752797436861362"/>
    <s v=""/>
    <s v=""/>
    <s v=""/>
    <n v="94945"/>
    <s v="Overarching Protection"/>
    <n v="0.79959752503828252"/>
    <n v="8066.1286581139575"/>
    <n v="8.4955802392058119E-2"/>
    <s v=""/>
    <n v="93453.55524693981"/>
    <s v="WASH"/>
    <n v="0.78703703703703698"/>
    <n v="9557.5734111741476"/>
    <n v="0.10227083802129738"/>
    <s v=""/>
    <s v=""/>
    <s v=""/>
    <s v=""/>
    <s v=""/>
    <n v="4"/>
    <n v="103011.12865811396"/>
    <m/>
    <m/>
    <n v="0"/>
    <s v=""/>
    <n v="103011.12865811396"/>
    <m/>
  </r>
  <r>
    <s v=""/>
    <x v="3"/>
    <s v="SS03"/>
    <x v="21"/>
    <s v="SS0307"/>
    <m/>
    <m/>
    <m/>
    <n v="53158.210520699089"/>
    <x v="0"/>
    <n v="9342.5"/>
    <n v="18476.762707710903"/>
    <n v="22173.945694892671"/>
    <n v="39836.572985494066"/>
    <n v="37476.690262488526"/>
    <n v="37211"/>
    <n v="47024.570845233815"/>
    <n v="36423.218319738276"/>
    <n v="23275"/>
    <n v="19503"/>
    <n v="4158"/>
    <n v="12301"/>
    <n v="0.2"/>
    <n v="0.35000000000000003"/>
    <n v="0.4"/>
    <n v="0.75"/>
    <n v="0.70000000000000007"/>
    <n v="0.70000000000000007"/>
    <n v="0.9"/>
    <n v="0.70000000000000007"/>
    <n v="0.45"/>
    <n v="0.35000000000000003"/>
    <n v="0.1"/>
    <n v="0.25"/>
    <n v="47024.570845233815"/>
    <s v="Shelter"/>
    <n v="0.88461538461538469"/>
    <s v=""/>
    <s v=""/>
    <s v=""/>
    <n v="39836.572985494066"/>
    <s v="Food Security"/>
    <n v="0.74939642616416224"/>
    <n v="7187.9978597397494"/>
    <n v="0.18043715412862343"/>
    <s v=""/>
    <n v="37476.690262488526"/>
    <s v="Health"/>
    <n v="0.70500285648057337"/>
    <n v="9547.8805827452888"/>
    <n v="0.25476851119646582"/>
    <s v=""/>
    <s v=""/>
    <s v="Flagged"/>
    <s v=""/>
    <s v=""/>
    <n v="4"/>
    <n v="47024.570845233815"/>
    <m/>
    <m/>
    <n v="1"/>
    <s v="Flagged"/>
    <n v="47024.570845233815"/>
    <m/>
  </r>
  <r>
    <s v=""/>
    <x v="3"/>
    <s v="SS03"/>
    <x v="22"/>
    <s v="SS0308"/>
    <m/>
    <m/>
    <m/>
    <n v="46710.303757716349"/>
    <x v="0"/>
    <n v="3985"/>
    <n v="13385.024382988649"/>
    <n v="21719.780450793813"/>
    <n v="37316.911865707822"/>
    <n v="28450.937364045618"/>
    <n v="32535"/>
    <n v="32697.212630401442"/>
    <n v="38060.2475062874"/>
    <n v="18914"/>
    <n v="22099"/>
    <n v="3929"/>
    <n v="13525"/>
    <n v="0.1"/>
    <n v="0.30000000000000004"/>
    <n v="0.45"/>
    <n v="0.8"/>
    <n v="0.60000000000000009"/>
    <n v="0.70000000000000007"/>
    <n v="0.70000000000000007"/>
    <n v="0.8"/>
    <n v="0.4"/>
    <n v="0.45"/>
    <n v="0.1"/>
    <n v="0.30000000000000004"/>
    <n v="38060.2475062874"/>
    <s v="WASH"/>
    <n v="0.81481481481481488"/>
    <s v=""/>
    <s v=""/>
    <s v=""/>
    <n v="37316.911865707822"/>
    <s v="Food Security"/>
    <n v="0.79890107457379189"/>
    <n v="743.33564057957847"/>
    <n v="1.9919537909637769E-2"/>
    <s v=""/>
    <n v="32697.212630401442"/>
    <s v="Shelter"/>
    <n v="0.7"/>
    <n v="5363.0348758859582"/>
    <n v="0.16402116402116423"/>
    <s v=""/>
    <s v=""/>
    <s v=""/>
    <s v=""/>
    <s v=""/>
    <n v="4"/>
    <n v="38060.2475062874"/>
    <m/>
    <m/>
    <n v="0"/>
    <s v=""/>
    <n v="38060.2475062874"/>
    <m/>
  </r>
  <r>
    <s v=""/>
    <x v="3"/>
    <s v="SS03"/>
    <x v="23"/>
    <s v="SS0309"/>
    <m/>
    <m/>
    <m/>
    <n v="15457.341069804937"/>
    <x v="0"/>
    <n v="0"/>
    <n v="1984.9080814557915"/>
    <n v="5322.885706808629"/>
    <n v="10432.941512055986"/>
    <n v="9774.8209809490527"/>
    <n v="10820"/>
    <n v="14426.851665151275"/>
    <n v="567.24187412128219"/>
    <n v="6310"/>
    <n v="5847"/>
    <n v="8427"/>
    <n v="4289"/>
    <n v="0"/>
    <n v="0.15000000000000002"/>
    <n v="0.35000000000000003"/>
    <n v="0.65"/>
    <n v="0.65"/>
    <n v="0.70000000000000007"/>
    <n v="0.95000000000000007"/>
    <n v="0.05"/>
    <n v="0.4"/>
    <n v="0.4"/>
    <n v="0.55000000000000004"/>
    <n v="0.30000000000000004"/>
    <n v="14426.851665151275"/>
    <s v="Shelter"/>
    <n v="0.93333333333333335"/>
    <s v=""/>
    <s v="Flagged"/>
    <s v=""/>
    <n v="10820"/>
    <s v="Overarching Protection"/>
    <n v="0.69999102375610212"/>
    <n v="3606.8516651512746"/>
    <n v="0.3333504311600069"/>
    <s v="Flagged"/>
    <n v="10432.941512055986"/>
    <s v="Food Security"/>
    <n v="0.6749505924040301"/>
    <n v="3993.9101530952885"/>
    <n v="0.38281726668169747"/>
    <s v=""/>
    <s v=""/>
    <s v="Flagged"/>
    <s v=""/>
    <s v=""/>
    <n v="4"/>
    <n v="14426.851665151275"/>
    <m/>
    <m/>
    <n v="3"/>
    <s v="Flagged"/>
    <n v="14426.851665151275"/>
    <m/>
  </r>
  <r>
    <s v=""/>
    <x v="3"/>
    <s v="SS03"/>
    <x v="24"/>
    <s v="SS0310"/>
    <m/>
    <m/>
    <m/>
    <n v="25870.030094616061"/>
    <x v="0"/>
    <n v="0"/>
    <n v="7810.8088363169554"/>
    <n v="9979.4566480560989"/>
    <n v="18946.094558254914"/>
    <n v="14421.909777090057"/>
    <n v="20696"/>
    <n v="25870.030094616064"/>
    <n v="17246.68672974404"/>
    <n v="9879"/>
    <n v="10865"/>
    <n v="12862"/>
    <n v="8312"/>
    <n v="0"/>
    <n v="0.30000000000000004"/>
    <n v="0.4"/>
    <n v="0.75"/>
    <n v="0.55000000000000004"/>
    <n v="0.8"/>
    <n v="1"/>
    <n v="0.65"/>
    <n v="0.4"/>
    <n v="0.4"/>
    <n v="0.5"/>
    <n v="0.30000000000000004"/>
    <n v="25870.030094616064"/>
    <s v="Shelter"/>
    <n v="1.0000000000000002"/>
    <s v=""/>
    <s v="Flagged"/>
    <s v=""/>
    <n v="20696"/>
    <s v="Overarching Protection"/>
    <n v="0.79999906935968912"/>
    <n v="5174.0300946160642"/>
    <n v="0.25000145412717745"/>
    <s v=""/>
    <n v="18946.094558254914"/>
    <s v="Food Security"/>
    <n v="0.73235688126230203"/>
    <n v="6923.9355363611503"/>
    <n v="0.36545450119398643"/>
    <s v=""/>
    <s v=""/>
    <s v="Flagged"/>
    <s v=""/>
    <s v=""/>
    <n v="4"/>
    <n v="25870.030094616064"/>
    <m/>
    <m/>
    <n v="2"/>
    <s v="Flagged"/>
    <n v="25870.030094616064"/>
    <m/>
  </r>
  <r>
    <s v=""/>
    <x v="3"/>
    <s v="SS03"/>
    <x v="25"/>
    <s v="SS0311"/>
    <m/>
    <m/>
    <m/>
    <n v="23976.103995536083"/>
    <x v="0"/>
    <n v="3750"/>
    <n v="5890.5930862472778"/>
    <n v="12235.778897909482"/>
    <n v="19540.244000728337"/>
    <n v="11494.910930784306"/>
    <n v="16783"/>
    <n v="23976.103995536083"/>
    <n v="19980.086662946735"/>
    <n v="10483"/>
    <n v="9726"/>
    <n v="1927"/>
    <n v="6480"/>
    <n v="0.15000000000000002"/>
    <n v="0.25"/>
    <n v="0.5"/>
    <n v="0.8"/>
    <n v="0.5"/>
    <n v="0.70000000000000007"/>
    <n v="1"/>
    <n v="0.85000000000000009"/>
    <n v="0.45"/>
    <n v="0.4"/>
    <n v="0.1"/>
    <n v="0.25"/>
    <n v="23976.103995536083"/>
    <s v="Shelter"/>
    <n v="1"/>
    <s v=""/>
    <s v="Flagged"/>
    <s v=""/>
    <n v="19980.086662946735"/>
    <s v="WASH"/>
    <n v="0.83333333333333326"/>
    <n v="3996.0173325893484"/>
    <n v="0.20000000000000007"/>
    <s v=""/>
    <n v="19540.244000728337"/>
    <s v="Food Security"/>
    <n v="0.81498829018953112"/>
    <n v="4435.8599948077463"/>
    <n v="0.22701149456692585"/>
    <s v=""/>
    <s v=""/>
    <s v="Flagged"/>
    <s v=""/>
    <s v=""/>
    <n v="4"/>
    <n v="23976.103995536083"/>
    <m/>
    <m/>
    <n v="2"/>
    <s v="Flagged"/>
    <n v="23976.103995536083"/>
    <m/>
  </r>
  <r>
    <s v=""/>
    <x v="4"/>
    <s v="SS04"/>
    <x v="26"/>
    <s v="SS0401"/>
    <m/>
    <m/>
    <m/>
    <n v="48668.970941608946"/>
    <x v="0"/>
    <n v="27592.5"/>
    <n v="18644.644746991911"/>
    <n v="16670.82020771665"/>
    <n v="31631.790952911062"/>
    <n v="23801.97264963109"/>
    <n v="9694"/>
    <n v="39461.327790493742"/>
    <n v="36501.72820620671"/>
    <n v="3994"/>
    <n v="8096"/>
    <n v="4622"/>
    <n v="7203"/>
    <n v="0.55000000000000004"/>
    <n v="0.4"/>
    <n v="0.35000000000000003"/>
    <n v="0.65"/>
    <n v="0.5"/>
    <n v="0.2"/>
    <n v="0.8"/>
    <n v="0.75"/>
    <n v="0.1"/>
    <n v="0.15000000000000002"/>
    <n v="0.1"/>
    <n v="0.15000000000000002"/>
    <n v="39461.327790493742"/>
    <s v="Shelter"/>
    <n v="0.81081081081081086"/>
    <s v=""/>
    <s v=""/>
    <s v=""/>
    <n v="36501.72820620671"/>
    <s v="WASH"/>
    <n v="0.75"/>
    <n v="2959.5995842870325"/>
    <n v="8.1081081081081141E-2"/>
    <s v=""/>
    <n v="31631.790952911062"/>
    <s v="Food Security"/>
    <n v="0.64993753393433362"/>
    <n v="7829.5368375826802"/>
    <n v="0.24752113622773328"/>
    <s v=""/>
    <s v=""/>
    <s v="Flagged"/>
    <s v=""/>
    <s v=""/>
    <n v="4"/>
    <n v="39461.327790493742"/>
    <m/>
    <m/>
    <n v="1"/>
    <s v="Flagged"/>
    <n v="39461.327790493742"/>
    <m/>
  </r>
  <r>
    <s v=""/>
    <x v="4"/>
    <s v="SS04"/>
    <x v="27"/>
    <s v="SS0402"/>
    <m/>
    <m/>
    <m/>
    <n v="5443.7472474147844"/>
    <x v="0"/>
    <n v="0"/>
    <n v="1524.9950226490353"/>
    <n v="1761.9655989273585"/>
    <n v="2820.6659228924295"/>
    <n v="2281.8772120135632"/>
    <n v="1089"/>
    <n v="2721.8736237073922"/>
    <n v="3578.7597645041642"/>
    <n v="883"/>
    <n v="836"/>
    <n v="425"/>
    <n v="459"/>
    <n v="0"/>
    <n v="0.30000000000000004"/>
    <n v="0.30000000000000004"/>
    <n v="0.5"/>
    <n v="0.4"/>
    <n v="0.2"/>
    <n v="0.5"/>
    <n v="0.65"/>
    <n v="0.15000000000000002"/>
    <n v="0.15000000000000002"/>
    <n v="0.1"/>
    <n v="0.1"/>
    <n v="3578.7597645041642"/>
    <s v="WASH"/>
    <n v="0.65740740740740744"/>
    <s v=""/>
    <s v=""/>
    <s v=""/>
    <n v="2820.6659228924295"/>
    <s v="Food Security"/>
    <n v="0.51814784829180915"/>
    <n v="758.09384161173466"/>
    <n v="0.26876413667392179"/>
    <s v=""/>
    <n v="2721.8736237073922"/>
    <s v="Shelter"/>
    <n v="0.5"/>
    <n v="856.886140796772"/>
    <n v="0.31481481481481494"/>
    <s v=""/>
    <s v=""/>
    <s v=""/>
    <s v=""/>
    <s v=""/>
    <n v="4"/>
    <n v="3578.7597645041642"/>
    <m/>
    <m/>
    <n v="0"/>
    <s v=""/>
    <n v="3578.7597645041642"/>
    <m/>
  </r>
  <r>
    <s v=""/>
    <x v="4"/>
    <s v="SS04"/>
    <x v="28"/>
    <s v="SS0403"/>
    <m/>
    <m/>
    <m/>
    <n v="2921.2783873957369"/>
    <x v="0"/>
    <n v="0"/>
    <n v="770.42874910787771"/>
    <n v="936.82857757413524"/>
    <n v="2086.7142353334721"/>
    <n v="1464.6374692423374"/>
    <n v="584"/>
    <n v="0"/>
    <n v="1420.4381149722392"/>
    <n v="198"/>
    <n v="420"/>
    <n v="229"/>
    <n v="216"/>
    <n v="0"/>
    <n v="0.25"/>
    <n v="0.30000000000000004"/>
    <n v="0.70000000000000007"/>
    <n v="0.5"/>
    <n v="0.2"/>
    <n v="0"/>
    <n v="0.5"/>
    <n v="0.05"/>
    <n v="0.15000000000000002"/>
    <n v="0.1"/>
    <n v="0.05"/>
    <n v="2086.7142353334721"/>
    <s v="Food Security"/>
    <n v="0.71431543270127618"/>
    <s v="Flagged"/>
    <s v=""/>
    <s v=""/>
    <n v="1464.6374692423374"/>
    <s v="Health"/>
    <n v="0.50136867323625167"/>
    <n v="622.07676609113469"/>
    <n v="0.42473088334476206"/>
    <s v="Flagged"/>
    <n v="1420.4381149722392"/>
    <s v="WASH"/>
    <n v="0.48623853211009177"/>
    <n v="666.27612036123287"/>
    <n v="0.46906381442337913"/>
    <s v=""/>
    <s v=""/>
    <s v=""/>
    <s v=""/>
    <s v="Flagged"/>
    <n v="4"/>
    <n v="2086.7142353334721"/>
    <m/>
    <m/>
    <n v="3"/>
    <s v="Flagged"/>
    <n v="2086.7142353334721"/>
    <m/>
  </r>
  <r>
    <s v=""/>
    <x v="4"/>
    <s v="SS04"/>
    <x v="29"/>
    <s v="SS0404"/>
    <m/>
    <m/>
    <m/>
    <n v="6808.1234044964567"/>
    <x v="0"/>
    <n v="1961.25"/>
    <n v="974.6032897238814"/>
    <n v="2225.9042651408727"/>
    <n v="5229.8277387173584"/>
    <n v="2473.1027379150541"/>
    <n v="1362"/>
    <n v="6808.1234044964567"/>
    <n v="3656.2144209332823"/>
    <n v="1183"/>
    <n v="1096"/>
    <n v="548"/>
    <n v="512"/>
    <n v="0.30000000000000004"/>
    <n v="0.15000000000000002"/>
    <n v="0.35000000000000003"/>
    <n v="0.75"/>
    <n v="0.35000000000000003"/>
    <n v="0.2"/>
    <n v="1"/>
    <n v="0.55000000000000004"/>
    <n v="0.15000000000000002"/>
    <n v="0.15000000000000002"/>
    <n v="0.1"/>
    <n v="0.1"/>
    <n v="6808.1234044964567"/>
    <s v="Shelter"/>
    <n v="1"/>
    <s v=""/>
    <s v="Flagged"/>
    <s v=""/>
    <n v="5229.8277387173584"/>
    <s v="Food Security"/>
    <n v="0.76817463902950034"/>
    <n v="1578.2956657790983"/>
    <n v="0.30178731396728248"/>
    <s v="Flagged"/>
    <n v="3656.2144209332823"/>
    <s v="WASH"/>
    <n v="0.53703703703703709"/>
    <n v="3151.9089835631744"/>
    <n v="0.86206896551724133"/>
    <s v="Flagged"/>
    <s v=""/>
    <s v="Flagged"/>
    <s v=""/>
    <s v=""/>
    <n v="4"/>
    <n v="6808.1234044964567"/>
    <m/>
    <m/>
    <n v="4"/>
    <s v="Flagged"/>
    <n v="6808.1234044964567"/>
    <m/>
  </r>
  <r>
    <s v=""/>
    <x v="4"/>
    <s v="SS04"/>
    <x v="30"/>
    <s v="SS0405"/>
    <m/>
    <m/>
    <m/>
    <n v="23157.383024277355"/>
    <x v="0"/>
    <n v="0"/>
    <n v="6297.210323174766"/>
    <n v="7424.7877396599824"/>
    <n v="16423.63054500983"/>
    <n v="12362.758698726082"/>
    <n v="4385"/>
    <n v="16898.630855553747"/>
    <n v="4288.4042637550656"/>
    <n v="3429"/>
    <n v="3200"/>
    <n v="1845"/>
    <n v="1776"/>
    <n v="0"/>
    <n v="0.25"/>
    <n v="0.30000000000000004"/>
    <n v="0.70000000000000007"/>
    <n v="0.55000000000000004"/>
    <n v="0.2"/>
    <n v="0.75"/>
    <n v="0.2"/>
    <n v="0.15000000000000002"/>
    <n v="0.15000000000000002"/>
    <n v="0.1"/>
    <n v="0.1"/>
    <n v="16898.630855553747"/>
    <s v="Shelter"/>
    <n v="0.72972972972972983"/>
    <s v=""/>
    <s v=""/>
    <s v=""/>
    <n v="16423.63054500983"/>
    <s v="Food Security"/>
    <n v="0.70921789944018698"/>
    <n v="475.00031054391729"/>
    <n v="2.8921760584065367E-2"/>
    <s v=""/>
    <n v="12362.758698726082"/>
    <s v="Health"/>
    <n v="0.53385819484720776"/>
    <n v="4535.8721568276651"/>
    <n v="0.36689805789827984"/>
    <s v=""/>
    <s v=""/>
    <s v="Flagged"/>
    <s v=""/>
    <s v=""/>
    <n v="4"/>
    <n v="16898.630855553747"/>
    <m/>
    <m/>
    <n v="1"/>
    <s v="Flagged"/>
    <n v="16898.630855553747"/>
    <m/>
  </r>
  <r>
    <s v=""/>
    <x v="4"/>
    <s v="SS04"/>
    <x v="31"/>
    <s v="SS0406"/>
    <m/>
    <m/>
    <m/>
    <n v="9602.9953236523688"/>
    <x v="0"/>
    <n v="0"/>
    <n v="1474.8568307925018"/>
    <n v="3392.5638313927398"/>
    <n v="2414.8464910307239"/>
    <n v="4727.5994284799453"/>
    <n v="1921"/>
    <n v="8322.595947165386"/>
    <n v="5334.9974020290929"/>
    <n v="1606"/>
    <n v="1407"/>
    <n v="715"/>
    <n v="763"/>
    <n v="0"/>
    <n v="0.15000000000000002"/>
    <n v="0.35000000000000003"/>
    <n v="0.25"/>
    <n v="0.5"/>
    <n v="0.2"/>
    <n v="0.85000000000000009"/>
    <n v="0.55000000000000004"/>
    <n v="0.15000000000000002"/>
    <n v="0.15000000000000002"/>
    <n v="0.05"/>
    <n v="0.1"/>
    <n v="8322.595947165386"/>
    <s v="Shelter"/>
    <n v="0.86666666666666659"/>
    <s v=""/>
    <s v=""/>
    <s v=""/>
    <n v="5334.9974020290929"/>
    <s v="WASH"/>
    <n v="0.55555555555555547"/>
    <n v="2987.5985451362931"/>
    <n v="0.56000000000000016"/>
    <s v="Flagged"/>
    <n v="4727.5994284799453"/>
    <s v="Health"/>
    <n v="0.4923046684023446"/>
    <n v="3594.9965186854406"/>
    <n v="0.76042747975399683"/>
    <s v="Flagged"/>
    <s v=""/>
    <s v="Flagged"/>
    <s v=""/>
    <s v=""/>
    <n v="4"/>
    <n v="8322.595947165386"/>
    <m/>
    <m/>
    <n v="3"/>
    <s v="Flagged"/>
    <n v="8322.595947165386"/>
    <m/>
  </r>
  <r>
    <s v=""/>
    <x v="4"/>
    <s v="SS04"/>
    <x v="32"/>
    <s v="SS0407"/>
    <m/>
    <m/>
    <m/>
    <n v="23378.692739825943"/>
    <x v="0"/>
    <n v="0"/>
    <n v="3896.0591450919933"/>
    <n v="7543.5561506952527"/>
    <n v="17522.912022449935"/>
    <n v="9003.6718509253769"/>
    <n v="15391"/>
    <n v="21917.524443586823"/>
    <n v="15585.795159883963"/>
    <n v="7660"/>
    <n v="3213"/>
    <n v="10475"/>
    <n v="7860"/>
    <n v="0"/>
    <n v="0.15000000000000002"/>
    <n v="0.30000000000000004"/>
    <n v="0.75"/>
    <n v="0.4"/>
    <n v="0.65"/>
    <n v="0.95000000000000007"/>
    <n v="0.65"/>
    <n v="0.35000000000000003"/>
    <n v="0.15000000000000002"/>
    <n v="0.45"/>
    <n v="0.35000000000000003"/>
    <n v="21917.524443586823"/>
    <s v="Shelter"/>
    <n v="0.9375"/>
    <s v=""/>
    <s v="Flagged"/>
    <s v=""/>
    <n v="17522.912022449935"/>
    <s v="Food Security"/>
    <n v="0.74952488650485571"/>
    <n v="4394.6124211368879"/>
    <n v="0.25079235777173425"/>
    <s v=""/>
    <n v="15585.795159883963"/>
    <s v="WASH"/>
    <n v="0.66666666666666674"/>
    <n v="6331.7292837028599"/>
    <n v="0.40625"/>
    <s v=""/>
    <s v=""/>
    <s v="Flagged"/>
    <s v=""/>
    <s v=""/>
    <n v="4"/>
    <n v="21917.524443586823"/>
    <m/>
    <m/>
    <n v="2"/>
    <s v="Flagged"/>
    <n v="21917.524443586823"/>
    <m/>
  </r>
  <r>
    <s v=""/>
    <x v="4"/>
    <s v="SS04"/>
    <x v="33"/>
    <s v="SS0408"/>
    <m/>
    <m/>
    <m/>
    <n v="11657.898587687116"/>
    <x v="0"/>
    <n v="0"/>
    <n v="2415.563218963121"/>
    <n v="3755.1502060352823"/>
    <n v="7422.1695295511654"/>
    <n v="4653.255551786312"/>
    <n v="2079"/>
    <n v="10362.576522388546"/>
    <n v="7556.0453809083147"/>
    <n v="1610"/>
    <n v="1645"/>
    <n v="857"/>
    <n v="934"/>
    <n v="0"/>
    <n v="0.2"/>
    <n v="0.30000000000000004"/>
    <n v="0.65"/>
    <n v="0.4"/>
    <n v="0.2"/>
    <n v="0.9"/>
    <n v="0.65"/>
    <n v="0.15000000000000002"/>
    <n v="0.15000000000000002"/>
    <n v="0.05"/>
    <n v="0.1"/>
    <n v="10362.576522388546"/>
    <s v="Shelter"/>
    <n v="0.88888888888888884"/>
    <s v=""/>
    <s v=""/>
    <s v=""/>
    <n v="7556.0453809083147"/>
    <s v="WASH"/>
    <n v="0.64814814814814803"/>
    <n v="2806.5311414802318"/>
    <n v="0.3714285714285715"/>
    <s v="Flagged"/>
    <n v="7422.1695295511654"/>
    <s v="Food Security"/>
    <n v="0.63666444460156324"/>
    <n v="2940.406992837381"/>
    <n v="0.39616543129744353"/>
    <s v=""/>
    <s v=""/>
    <s v="Flagged"/>
    <s v=""/>
    <s v=""/>
    <n v="4"/>
    <n v="10362.576522388546"/>
    <m/>
    <m/>
    <n v="2"/>
    <s v="Flagged"/>
    <n v="10362.576522388546"/>
    <m/>
  </r>
  <r>
    <s v=""/>
    <x v="5"/>
    <s v="SS05"/>
    <x v="34"/>
    <s v="SS0501"/>
    <m/>
    <m/>
    <m/>
    <n v="8794.7895188948787"/>
    <x v="0"/>
    <n v="0"/>
    <n v="1526.1228870978489"/>
    <n v="6096.439632573115"/>
    <n v="5317.2943643502422"/>
    <n v="7245.0982575978587"/>
    <n v="6157"/>
    <n v="6156.3526632264156"/>
    <n v="5753.6006198377709"/>
    <n v="3671"/>
    <n v="3469"/>
    <n v="702"/>
    <n v="2387"/>
    <n v="0"/>
    <n v="0.15000000000000002"/>
    <n v="0.70000000000000007"/>
    <n v="0.60000000000000009"/>
    <n v="0.8"/>
    <n v="0.70000000000000007"/>
    <n v="0.70000000000000007"/>
    <n v="0.65"/>
    <n v="0.4"/>
    <n v="0.4"/>
    <n v="0.1"/>
    <n v="0.25"/>
    <n v="7245.0982575978587"/>
    <s v="Health"/>
    <n v="0.82379438894272161"/>
    <s v=""/>
    <s v=""/>
    <s v=""/>
    <n v="6157"/>
    <s v="Overarching Protection"/>
    <n v="0.70007360457827827"/>
    <n v="1088.0982575978587"/>
    <n v="0.17672539509466603"/>
    <s v=""/>
    <n v="6156.3526632264156"/>
    <s v="Shelter"/>
    <n v="0.70000000000000007"/>
    <n v="1088.7455943714431"/>
    <n v="0.1768491270610307"/>
    <s v=""/>
    <s v=""/>
    <s v="Flagged"/>
    <s v=""/>
    <s v=""/>
    <n v="4"/>
    <n v="7245.0982575978587"/>
    <m/>
    <m/>
    <n v="1"/>
    <s v="Flagged"/>
    <n v="7245.0982575978587"/>
    <m/>
  </r>
  <r>
    <s v=""/>
    <x v="5"/>
    <s v="SS05"/>
    <x v="35"/>
    <s v="SS0502"/>
    <m/>
    <m/>
    <m/>
    <n v="56514.282244133567"/>
    <x v="0"/>
    <n v="31645"/>
    <n v="20725.79920737167"/>
    <n v="21802.567492248902"/>
    <n v="43545.091047850299"/>
    <n v="23873.32943540845"/>
    <n v="39123"/>
    <n v="47590.974521375632"/>
    <n v="23024.33721057294"/>
    <n v="24108"/>
    <n v="21216"/>
    <n v="10745"/>
    <n v="14032"/>
    <n v="0.55000000000000004"/>
    <n v="0.35000000000000003"/>
    <n v="0.4"/>
    <n v="0.75"/>
    <n v="0.4"/>
    <n v="0.70000000000000007"/>
    <n v="0.85000000000000009"/>
    <n v="0.4"/>
    <n v="0.45"/>
    <n v="0.4"/>
    <n v="0.2"/>
    <n v="0.25"/>
    <n v="47590.974521375632"/>
    <s v="Shelter"/>
    <n v="0.84210526315789469"/>
    <s v=""/>
    <s v=""/>
    <s v=""/>
    <n v="43545.091047850299"/>
    <s v="Food Security"/>
    <n v="0.77051480296151997"/>
    <n v="4045.8834735253331"/>
    <n v="9.2912504628350462E-2"/>
    <s v=""/>
    <n v="39123"/>
    <s v="Overarching Protection"/>
    <n v="0.69226748436783236"/>
    <n v="8467.9745213756323"/>
    <n v="0.21644491785843703"/>
    <s v=""/>
    <s v=""/>
    <s v="Flagged"/>
    <s v=""/>
    <s v=""/>
    <n v="4"/>
    <n v="47590.974521375632"/>
    <m/>
    <m/>
    <n v="1"/>
    <s v="Flagged"/>
    <n v="47590.974521375632"/>
    <m/>
  </r>
  <r>
    <s v=""/>
    <x v="5"/>
    <s v="SS05"/>
    <x v="36"/>
    <s v="SS0503"/>
    <m/>
    <m/>
    <m/>
    <n v="0"/>
    <x v="0"/>
    <n v="0"/>
    <n v="0"/>
    <n v="0"/>
    <n v="0"/>
    <n v="0"/>
    <n v="0"/>
    <n v="0"/>
    <n v="0"/>
    <n v="0"/>
    <n v="0"/>
    <n v="0"/>
    <n v="0"/>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5"/>
    <s v="SS05"/>
    <x v="37"/>
    <s v="SS0504"/>
    <m/>
    <m/>
    <m/>
    <n v="8245.4682123487128"/>
    <x v="0"/>
    <n v="0"/>
    <n v="1504.2826069903681"/>
    <n v="3824.0659036693"/>
    <n v="6262.5878943591415"/>
    <n v="3888.5009814634523"/>
    <n v="5772"/>
    <n v="6413.1419429378875"/>
    <n v="4722.4045216178984"/>
    <n v="3359"/>
    <n v="3067"/>
    <n v="642"/>
    <n v="2290"/>
    <n v="0"/>
    <n v="0.2"/>
    <n v="0.45"/>
    <n v="0.75"/>
    <n v="0.45"/>
    <n v="0.70000000000000007"/>
    <n v="0.8"/>
    <n v="0.55000000000000004"/>
    <n v="0.4"/>
    <n v="0.35000000000000003"/>
    <n v="0.1"/>
    <n v="0.30000000000000004"/>
    <n v="6413.1419429378875"/>
    <s v="Shelter"/>
    <n v="0.77777777777777779"/>
    <s v=""/>
    <s v=""/>
    <s v=""/>
    <n v="6262.5878943591415"/>
    <s v="Food Security"/>
    <n v="0.75951877238215071"/>
    <n v="150.55404857874601"/>
    <n v="2.404022923404453E-2"/>
    <s v=""/>
    <n v="5772"/>
    <s v="Overarching Protection"/>
    <n v="0.70002089042750093"/>
    <n v="641.14194293788751"/>
    <n v="0.11107795269194171"/>
    <s v=""/>
    <s v=""/>
    <s v="Flagged"/>
    <s v=""/>
    <s v=""/>
    <n v="4"/>
    <n v="6413.1419429378875"/>
    <m/>
    <m/>
    <n v="1"/>
    <s v="Flagged"/>
    <n v="6413.1419429378875"/>
    <m/>
  </r>
  <r>
    <s v=""/>
    <x v="5"/>
    <s v="SS05"/>
    <x v="38"/>
    <s v="SS0505"/>
    <m/>
    <m/>
    <m/>
    <n v="736.57326854984808"/>
    <x v="0"/>
    <n v="0"/>
    <n v="115.4004071302418"/>
    <n v="254.73760012449753"/>
    <n v="498.34516109062099"/>
    <n v="313.3875472339538"/>
    <n v="469"/>
    <n v="633.7956031707995"/>
    <n v="283.81722274397816"/>
    <n v="278"/>
    <n v="237"/>
    <n v="51"/>
    <n v="56"/>
    <n v="0"/>
    <n v="0.15000000000000002"/>
    <n v="0.35000000000000003"/>
    <n v="0.70000000000000007"/>
    <n v="0.45"/>
    <n v="0.65"/>
    <n v="0.85000000000000009"/>
    <n v="0.4"/>
    <n v="0.4"/>
    <n v="0.30000000000000004"/>
    <n v="0.05"/>
    <n v="0.1"/>
    <n v="633.7956031707995"/>
    <s v="Shelter"/>
    <n v="0.86046511627906974"/>
    <s v=""/>
    <s v=""/>
    <s v=""/>
    <n v="498.34516109062099"/>
    <s v="Food Security"/>
    <n v="0.67657242309614873"/>
    <n v="135.4504420801785"/>
    <n v="0.27180045610104292"/>
    <s v=""/>
    <n v="469"/>
    <s v="Overarching Protection"/>
    <n v="0.6367323116726169"/>
    <n v="164.7956031707995"/>
    <n v="0.351376552602984"/>
    <s v=""/>
    <s v=""/>
    <s v="Flagged"/>
    <s v=""/>
    <s v=""/>
    <n v="4"/>
    <n v="633.7956031707995"/>
    <m/>
    <m/>
    <n v="1"/>
    <s v="Flagged"/>
    <n v="633.7956031707995"/>
    <m/>
  </r>
  <r>
    <s v=""/>
    <x v="6"/>
    <s v="SS06"/>
    <x v="39"/>
    <s v="SS0601"/>
    <m/>
    <m/>
    <m/>
    <n v="8191.9832367247782"/>
    <x v="0"/>
    <n v="0"/>
    <n v="652.26536606779484"/>
    <n v="3213.6343218737725"/>
    <n v="5106.1027347013696"/>
    <n v="4152.3577038046233"/>
    <n v="1638"/>
    <n v="8191.9832367247782"/>
    <n v="2123.8475058175354"/>
    <n v="790"/>
    <n v="1297"/>
    <n v="760"/>
    <n v="1084"/>
    <n v="0"/>
    <n v="0.1"/>
    <n v="0.4"/>
    <n v="0.60000000000000009"/>
    <n v="0.5"/>
    <n v="0.2"/>
    <n v="1"/>
    <n v="0.25"/>
    <n v="0.1"/>
    <n v="0.15000000000000002"/>
    <n v="0.1"/>
    <n v="0.15000000000000002"/>
    <n v="8191.9832367247782"/>
    <s v="Shelter"/>
    <n v="1"/>
    <s v=""/>
    <s v="Flagged"/>
    <s v=""/>
    <n v="5106.1027347013696"/>
    <s v="Food Security"/>
    <n v="0.62330483194968445"/>
    <n v="3085.8805020234086"/>
    <n v="0.60435143246366474"/>
    <s v="Flagged"/>
    <n v="4152.3577038046233"/>
    <s v="Health"/>
    <n v="0.5068806397441763"/>
    <n v="4039.6255329201549"/>
    <n v="0.97285104537569655"/>
    <s v="Flagged"/>
    <s v=""/>
    <s v="Flagged"/>
    <s v=""/>
    <s v=""/>
    <n v="4"/>
    <n v="8191.9832367247782"/>
    <m/>
    <m/>
    <n v="4"/>
    <s v="Flagged"/>
    <n v="8191.9832367247782"/>
    <m/>
  </r>
  <r>
    <s v=""/>
    <x v="6"/>
    <s v="SS06"/>
    <x v="40"/>
    <s v="SS0602"/>
    <m/>
    <m/>
    <m/>
    <n v="25939.727484978604"/>
    <x v="0"/>
    <n v="22557.5"/>
    <n v="5909.7676997474728"/>
    <n v="8966.1074964812524"/>
    <n v="21363.392178563096"/>
    <n v="13327.318954058459"/>
    <n v="18094"/>
    <n v="22234.052129981661"/>
    <n v="13450.229066285201"/>
    <n v="8942"/>
    <n v="10001"/>
    <n v="2070"/>
    <n v="9234"/>
    <n v="0.85000000000000009"/>
    <n v="0.25"/>
    <n v="0.35000000000000003"/>
    <n v="0.8"/>
    <n v="0.5"/>
    <n v="0.70000000000000007"/>
    <n v="0.85000000000000009"/>
    <n v="0.5"/>
    <n v="0.35000000000000003"/>
    <n v="0.4"/>
    <n v="0.1"/>
    <n v="0.35000000000000003"/>
    <n v="22557.5"/>
    <s v="CCCM"/>
    <n v="0.86961206562647142"/>
    <s v=""/>
    <s v=""/>
    <s v=""/>
    <n v="22234.052129981661"/>
    <s v="Shelter"/>
    <n v="0.8571428571428571"/>
    <n v="323.44787001833902"/>
    <n v="1.4547409897550051E-2"/>
    <s v=""/>
    <n v="21363.392178563096"/>
    <s v="Food Security"/>
    <n v="0.82357812706144995"/>
    <n v="1194.1078214369045"/>
    <n v="5.589504754002135E-2"/>
    <s v=""/>
    <s v=""/>
    <s v=""/>
    <s v=""/>
    <s v="Flagged"/>
    <n v="4"/>
    <n v="22557.5"/>
    <m/>
    <m/>
    <n v="1"/>
    <s v="Flagged"/>
    <n v="22557.5"/>
    <m/>
  </r>
  <r>
    <s v=""/>
    <x v="6"/>
    <s v="SS06"/>
    <x v="41"/>
    <s v="SS0603"/>
    <m/>
    <m/>
    <m/>
    <n v="31198.282244133567"/>
    <x v="0"/>
    <n v="0"/>
    <n v="7478.939574753982"/>
    <n v="12005.797664351909"/>
    <n v="25721.288553470346"/>
    <n v="15994.252409673876"/>
    <n v="20386"/>
    <n v="7799.5705610333916"/>
    <n v="18776.743943228539"/>
    <n v="11513"/>
    <n v="11792"/>
    <n v="2378"/>
    <n v="8678"/>
    <n v="0"/>
    <n v="0.25"/>
    <n v="0.4"/>
    <n v="0.8"/>
    <n v="0.5"/>
    <n v="0.65"/>
    <n v="0.25"/>
    <n v="0.60000000000000009"/>
    <n v="0.35000000000000003"/>
    <n v="0.4"/>
    <n v="0.1"/>
    <n v="0.30000000000000004"/>
    <n v="25721.288553470346"/>
    <s v="Food Security"/>
    <n v="0.82444566505923256"/>
    <s v=""/>
    <s v=""/>
    <s v=""/>
    <n v="20386"/>
    <s v="Overarching Protection"/>
    <n v="0.65343341150884438"/>
    <n v="5335.2885534703455"/>
    <n v="0.26171335982882105"/>
    <s v=""/>
    <n v="18776.743943228539"/>
    <s v="WASH"/>
    <n v="0.60185185185185197"/>
    <n v="6944.5446102418064"/>
    <n v="0.36984818194457081"/>
    <s v=""/>
    <s v=""/>
    <s v=""/>
    <s v=""/>
    <s v=""/>
    <n v="4"/>
    <n v="25721.288553470346"/>
    <m/>
    <m/>
    <n v="0"/>
    <s v=""/>
    <n v="25721.288553470346"/>
    <m/>
  </r>
  <r>
    <s v=""/>
    <x v="6"/>
    <s v="SS06"/>
    <x v="42"/>
    <s v="SS0604"/>
    <m/>
    <m/>
    <m/>
    <n v="44969.201203905293"/>
    <x v="0"/>
    <n v="25145"/>
    <n v="8773.086432071088"/>
    <n v="15288.695997555973"/>
    <n v="32430.489674210403"/>
    <n v="24942.84097150544"/>
    <n v="31478"/>
    <n v="38545.029603347393"/>
    <n v="16238.878212521355"/>
    <n v="18773"/>
    <n v="17100"/>
    <n v="3710"/>
    <n v="11710"/>
    <n v="0.55000000000000004"/>
    <n v="0.2"/>
    <n v="0.35000000000000003"/>
    <n v="0.70000000000000007"/>
    <n v="0.55000000000000004"/>
    <n v="0.70000000000000007"/>
    <n v="0.85000000000000009"/>
    <n v="0.35000000000000003"/>
    <n v="0.4"/>
    <n v="0.4"/>
    <n v="0.1"/>
    <n v="0.25"/>
    <n v="38545.029603347393"/>
    <s v="Shelter"/>
    <n v="0.8571428571428571"/>
    <s v=""/>
    <s v=""/>
    <s v=""/>
    <n v="32430.489674210403"/>
    <s v="Food Security"/>
    <n v="0.72117113059580029"/>
    <n v="6114.5399291369904"/>
    <n v="0.18854294186003109"/>
    <s v=""/>
    <n v="31478"/>
    <s v="Overarching Protection"/>
    <n v="0.69999019678531293"/>
    <n v="7067.0296033473933"/>
    <n v="0.22450694463903023"/>
    <s v=""/>
    <s v=""/>
    <s v="Flagged"/>
    <s v=""/>
    <s v=""/>
    <n v="4"/>
    <n v="38545.029603347393"/>
    <m/>
    <m/>
    <n v="1"/>
    <s v="Flagged"/>
    <n v="38545.029603347393"/>
    <m/>
  </r>
  <r>
    <s v=""/>
    <x v="6"/>
    <s v="SS06"/>
    <x v="43"/>
    <s v="SS0605"/>
    <m/>
    <m/>
    <m/>
    <n v="30389.775329136301"/>
    <x v="0"/>
    <n v="15678.75"/>
    <n v="1377.7508543217234"/>
    <n v="12808.60290556908"/>
    <n v="22768.814394256126"/>
    <n v="14585.685611122632"/>
    <n v="21273"/>
    <n v="30389.775329136304"/>
    <n v="12381.019578537012"/>
    <n v="12988"/>
    <n v="10654"/>
    <n v="2404"/>
    <n v="6916"/>
    <n v="0.5"/>
    <n v="0.05"/>
    <n v="0.4"/>
    <n v="0.75"/>
    <n v="0.5"/>
    <n v="0.70000000000000007"/>
    <n v="1"/>
    <n v="0.4"/>
    <n v="0.45"/>
    <n v="0.35000000000000003"/>
    <n v="0.1"/>
    <n v="0.25"/>
    <n v="30389.775329136304"/>
    <s v="Shelter"/>
    <n v="1.0000000000000002"/>
    <s v=""/>
    <s v="Flagged"/>
    <s v=""/>
    <n v="22768.814394256126"/>
    <s v="Food Security"/>
    <n v="0.74922615082403876"/>
    <n v="7620.9609348801787"/>
    <n v="0.33471048614646853"/>
    <s v="Flagged"/>
    <n v="21273"/>
    <s v="Overarching Protection"/>
    <n v="0.70000517508283255"/>
    <n v="9116.7753291363042"/>
    <n v="0.42856086725597253"/>
    <s v=""/>
    <s v=""/>
    <s v="Flagged"/>
    <s v=""/>
    <s v=""/>
    <n v="4"/>
    <n v="30389.775329136304"/>
    <m/>
    <m/>
    <n v="3"/>
    <s v="Flagged"/>
    <n v="30389.775329136304"/>
    <m/>
  </r>
  <r>
    <s v=""/>
    <x v="6"/>
    <s v="SS06"/>
    <x v="44"/>
    <s v="SS0606"/>
    <m/>
    <m/>
    <m/>
    <n v="44141.695035855759"/>
    <x v="0"/>
    <n v="0"/>
    <n v="13507.755956227185"/>
    <n v="16137.025442343989"/>
    <n v="29153.471897626488"/>
    <n v="23834.92627879652"/>
    <n v="30899"/>
    <n v="16815.883823183147"/>
    <n v="18801.092330086714"/>
    <n v="19917"/>
    <n v="17178"/>
    <n v="3501"/>
    <n v="10377"/>
    <n v="0"/>
    <n v="0.30000000000000004"/>
    <n v="0.35000000000000003"/>
    <n v="0.65"/>
    <n v="0.55000000000000004"/>
    <n v="0.70000000000000007"/>
    <n v="0.4"/>
    <n v="0.45"/>
    <n v="0.45"/>
    <n v="0.4"/>
    <n v="0.1"/>
    <n v="0.25"/>
    <n v="30899"/>
    <s v="Overarching Protection"/>
    <n v="0.69999577440107641"/>
    <s v=""/>
    <s v=""/>
    <s v=""/>
    <n v="29153.471897626488"/>
    <s v="Food Security"/>
    <n v="0.66045202554966409"/>
    <n v="1745.5281023735115"/>
    <n v="5.9873764212475242E-2"/>
    <s v=""/>
    <n v="23834.92627879652"/>
    <s v="Health"/>
    <n v="0.53996400136958267"/>
    <n v="7064.0737212034801"/>
    <n v="0.29637489281800966"/>
    <s v=""/>
    <s v=""/>
    <s v=""/>
    <s v=""/>
    <s v=""/>
    <n v="4"/>
    <n v="30899"/>
    <m/>
    <m/>
    <n v="0"/>
    <s v=""/>
    <n v="30899"/>
    <m/>
  </r>
  <r>
    <s v=""/>
    <x v="6"/>
    <s v="SS06"/>
    <x v="45"/>
    <s v="SS0607"/>
    <m/>
    <m/>
    <m/>
    <n v="63061.040191389133"/>
    <x v="0"/>
    <n v="34478.75"/>
    <n v="12479.729405043756"/>
    <n v="24607.146779216342"/>
    <n v="46221.661749142266"/>
    <n v="40518.916515767763"/>
    <n v="43485"/>
    <n v="54052.320164047829"/>
    <n v="33282.215656566485"/>
    <n v="25115"/>
    <n v="25029"/>
    <n v="5054"/>
    <n v="19426"/>
    <n v="0.55000000000000004"/>
    <n v="0.2"/>
    <n v="0.4"/>
    <n v="0.75"/>
    <n v="0.65"/>
    <n v="0.70000000000000007"/>
    <n v="0.85000000000000009"/>
    <n v="0.55000000000000004"/>
    <n v="0.4"/>
    <n v="0.4"/>
    <n v="0.1"/>
    <n v="0.30000000000000004"/>
    <n v="54052.320164047829"/>
    <s v="Shelter"/>
    <n v="0.85714285714285721"/>
    <s v=""/>
    <s v=""/>
    <s v=""/>
    <n v="46221.661749142266"/>
    <s v="Food Security"/>
    <n v="0.73296700480772825"/>
    <n v="7830.6584149055634"/>
    <n v="0.16941533728070426"/>
    <s v=""/>
    <n v="43485"/>
    <s v="Overarching Protection"/>
    <n v="0.68956997645493634"/>
    <n v="10567.320164047829"/>
    <n v="0.24301069711504725"/>
    <s v=""/>
    <s v=""/>
    <s v="Flagged"/>
    <s v=""/>
    <s v=""/>
    <n v="4"/>
    <n v="54052.320164047829"/>
    <m/>
    <m/>
    <n v="1"/>
    <s v="Flagged"/>
    <n v="54052.320164047829"/>
    <m/>
  </r>
  <r>
    <s v=""/>
    <x v="6"/>
    <s v="SS06"/>
    <x v="46"/>
    <s v="SS0608"/>
    <m/>
    <m/>
    <m/>
    <n v="12256.01658411525"/>
    <x v="0"/>
    <n v="0"/>
    <n v="1850.3643598033841"/>
    <n v="4697.5558725250112"/>
    <n v="7754.778001379178"/>
    <n v="10954.255548004925"/>
    <n v="2451"/>
    <n v="5252.5785360493928"/>
    <n v="5172.2638795348767"/>
    <n v="1767"/>
    <n v="1850"/>
    <n v="993"/>
    <n v="1216"/>
    <n v="0"/>
    <n v="0.15000000000000002"/>
    <n v="0.4"/>
    <n v="0.65"/>
    <n v="0.9"/>
    <n v="0.2"/>
    <n v="0.45"/>
    <n v="0.4"/>
    <n v="0.15000000000000002"/>
    <n v="0.15000000000000002"/>
    <n v="0.1"/>
    <n v="0.1"/>
    <n v="10954.255548004925"/>
    <s v="Health"/>
    <n v="0.89378595996700028"/>
    <s v=""/>
    <s v=""/>
    <s v=""/>
    <n v="7754.778001379178"/>
    <s v="Food Security"/>
    <n v="0.63273233584148159"/>
    <n v="3199.477546625747"/>
    <n v="0.41258144927639756"/>
    <s v="Flagged"/>
    <n v="5252.5785360493928"/>
    <s v="Shelter"/>
    <n v="0.42857142857142855"/>
    <n v="5701.6770119555322"/>
    <n v="1.0855005732563341"/>
    <s v="Flagged"/>
    <s v=""/>
    <s v="Flagged"/>
    <s v=""/>
    <s v=""/>
    <n v="4"/>
    <n v="10954.255548004925"/>
    <m/>
    <m/>
    <n v="3"/>
    <s v="Flagged"/>
    <n v="10954.255548004925"/>
    <m/>
  </r>
  <r>
    <s v=""/>
    <x v="6"/>
    <s v="SS06"/>
    <x v="47"/>
    <s v="SS0609"/>
    <m/>
    <m/>
    <m/>
    <n v="233351.6448103383"/>
    <x v="0"/>
    <n v="233351.6448103383"/>
    <n v="64255.662244645791"/>
    <n v="74302.744858180435"/>
    <n v="193493.98589746177"/>
    <n v="147561.08000448596"/>
    <n v="162104"/>
    <n v="143193.05476998031"/>
    <n v="110193.83227154864"/>
    <n v="98262"/>
    <n v="92999"/>
    <n v="47155"/>
    <n v="62408"/>
    <n v="1"/>
    <n v="0.30000000000000004"/>
    <n v="0.30000000000000004"/>
    <n v="0.85000000000000009"/>
    <n v="0.65"/>
    <n v="0.70000000000000007"/>
    <n v="0.60000000000000009"/>
    <n v="0.45"/>
    <n v="0.4"/>
    <n v="0.4"/>
    <n v="0.2"/>
    <n v="0.25"/>
    <n v="233351.6448103383"/>
    <s v="CCCM"/>
    <n v="1"/>
    <s v=""/>
    <s v="Flagged"/>
    <s v=""/>
    <n v="193493.98589746177"/>
    <s v="Food Security"/>
    <n v="0.82919486620601401"/>
    <n v="39857.658912876534"/>
    <n v="0.20598913567266269"/>
    <s v=""/>
    <n v="162104"/>
    <s v="Overarching Protection"/>
    <n v="0.69467691188443781"/>
    <n v="71247.644810338301"/>
    <n v="0.43951811682832193"/>
    <s v=""/>
    <s v=""/>
    <s v=""/>
    <s v=""/>
    <s v=""/>
    <n v="4"/>
    <n v="233351.6448103383"/>
    <m/>
    <m/>
    <n v="1"/>
    <s v="Flagged"/>
    <n v="233351.6448103383"/>
    <m/>
  </r>
  <r>
    <s v=""/>
    <x v="7"/>
    <s v="SS07"/>
    <x v="48"/>
    <s v="SS0701"/>
    <m/>
    <m/>
    <m/>
    <n v="6074.719927136859"/>
    <x v="0"/>
    <n v="740"/>
    <n v="486.8037560810393"/>
    <n v="3347.4854039009592"/>
    <n v="4897.2706090857473"/>
    <n v="3001.1641404185989"/>
    <n v="1215"/>
    <n v="3037.3599635684295"/>
    <n v="5455.9984530766233"/>
    <n v="981"/>
    <n v="927"/>
    <n v="493"/>
    <n v="496"/>
    <n v="0.1"/>
    <n v="0.1"/>
    <n v="0.55000000000000004"/>
    <n v="0.8"/>
    <n v="0.5"/>
    <n v="0.2"/>
    <n v="0.5"/>
    <n v="0.9"/>
    <n v="0.15000000000000002"/>
    <n v="0.15000000000000002"/>
    <n v="0.1"/>
    <n v="0.1"/>
    <n v="5455.9984530766233"/>
    <s v="WASH"/>
    <n v="0.89814814814814814"/>
    <s v=""/>
    <s v=""/>
    <s v=""/>
    <n v="4897.2706090857473"/>
    <s v="Food Security"/>
    <n v="0.80617224626418815"/>
    <n v="558.72784399087595"/>
    <n v="0.11408964065703993"/>
    <s v=""/>
    <n v="3347.4854039009592"/>
    <s v="Nutrition"/>
    <n v="0.55105180881626226"/>
    <n v="2108.513049175664"/>
    <n v="0.62987968423059559"/>
    <s v="Flagged"/>
    <s v=""/>
    <s v=""/>
    <s v=""/>
    <s v=""/>
    <n v="4"/>
    <n v="5455.9984530766233"/>
    <m/>
    <m/>
    <n v="1"/>
    <s v="Flagged"/>
    <n v="5455.9984530766233"/>
    <m/>
  </r>
  <r>
    <s v=""/>
    <x v="7"/>
    <s v="SS07"/>
    <x v="49"/>
    <s v="SS0702"/>
    <m/>
    <m/>
    <m/>
    <n v="30713.015967447398"/>
    <x v="0"/>
    <n v="19468.75"/>
    <n v="10474.612669666001"/>
    <n v="9891.9663615882655"/>
    <n v="21266.865942258526"/>
    <n v="13521.010083917387"/>
    <n v="24497"/>
    <n v="24570.41277395792"/>
    <n v="29304.162023986508"/>
    <n v="10955"/>
    <n v="16220"/>
    <n v="16201"/>
    <n v="10867"/>
    <n v="0.65"/>
    <n v="0.35000000000000003"/>
    <n v="0.30000000000000004"/>
    <n v="0.70000000000000007"/>
    <n v="0.45"/>
    <n v="0.8"/>
    <n v="0.8"/>
    <n v="0.95000000000000007"/>
    <n v="0.35000000000000003"/>
    <n v="0.55000000000000004"/>
    <n v="0.55000000000000004"/>
    <n v="0.35000000000000003"/>
    <n v="29304.162023986508"/>
    <s v="WASH"/>
    <n v="0.95412844036697242"/>
    <s v=""/>
    <s v="Flagged"/>
    <s v=""/>
    <n v="24570.41277395792"/>
    <s v="Shelter"/>
    <n v="0.8"/>
    <n v="4733.749250028588"/>
    <n v="0.19266055045871552"/>
    <s v=""/>
    <n v="24497"/>
    <s v="Overarching Protection"/>
    <n v="0.79760971784614942"/>
    <n v="4807.1620239865078"/>
    <n v="0.19623472359825725"/>
    <s v=""/>
    <s v=""/>
    <s v=""/>
    <s v=""/>
    <s v="Flagged"/>
    <n v="4"/>
    <n v="29304.162023986508"/>
    <m/>
    <m/>
    <n v="2"/>
    <s v="Flagged"/>
    <n v="29304.162023986508"/>
    <m/>
  </r>
  <r>
    <s v=""/>
    <x v="7"/>
    <s v="SS07"/>
    <x v="50"/>
    <s v="SS0703"/>
    <m/>
    <m/>
    <m/>
    <n v="4270.8268474169781"/>
    <x v="0"/>
    <n v="0"/>
    <n v="1471.4770882493167"/>
    <n v="1455.4663953559398"/>
    <n v="3884.6441218386626"/>
    <n v="1854.771206867475"/>
    <n v="3417"/>
    <n v="4270.8268474169781"/>
    <n v="1449.7302142608091"/>
    <n v="1834"/>
    <n v="1940"/>
    <n v="356"/>
    <n v="1152"/>
    <n v="0"/>
    <n v="0.35000000000000003"/>
    <n v="0.35000000000000003"/>
    <n v="0.9"/>
    <n v="0.45"/>
    <n v="0.8"/>
    <n v="1"/>
    <n v="0.35000000000000003"/>
    <n v="0.45"/>
    <n v="0.45"/>
    <n v="0.1"/>
    <n v="0.25"/>
    <n v="4270.8268474169781"/>
    <s v="Shelter"/>
    <n v="1"/>
    <s v=""/>
    <s v="Flagged"/>
    <s v=""/>
    <n v="3884.6441218386626"/>
    <s v="Food Security"/>
    <n v="0.90957659034763227"/>
    <n v="386.18272557831551"/>
    <n v="9.9412639476361919E-2"/>
    <s v=""/>
    <n v="3417"/>
    <s v="Overarching Protection"/>
    <n v="0.80007926382373062"/>
    <n v="853.82684741697813"/>
    <n v="0.2498761625452087"/>
    <s v=""/>
    <s v=""/>
    <s v="Flagged"/>
    <s v=""/>
    <s v=""/>
    <n v="4"/>
    <n v="4270.8268474169781"/>
    <m/>
    <m/>
    <n v="2"/>
    <s v="Flagged"/>
    <n v="4270.8268474169781"/>
    <m/>
  </r>
  <r>
    <s v=""/>
    <x v="7"/>
    <s v="SS07"/>
    <x v="51"/>
    <s v="SS0704"/>
    <m/>
    <m/>
    <m/>
    <n v="17587.64076058444"/>
    <x v="0"/>
    <n v="15476.25"/>
    <n v="0"/>
    <n v="6587.4605130774107"/>
    <n v="15813.857369323312"/>
    <n v="10860.326796665742"/>
    <n v="14010"/>
    <n v="10992.275475365275"/>
    <n v="13190.730570438327"/>
    <n v="7213"/>
    <n v="7958"/>
    <n v="8330"/>
    <n v="5228"/>
    <n v="0.9"/>
    <n v="0"/>
    <n v="0.35000000000000003"/>
    <n v="0.9"/>
    <n v="0.60000000000000009"/>
    <n v="0.8"/>
    <n v="0.65"/>
    <n v="0.75"/>
    <n v="0.4"/>
    <n v="0.45"/>
    <n v="0.45"/>
    <n v="0.30000000000000004"/>
    <n v="15813.857369323312"/>
    <s v="Food Security"/>
    <n v="0.89914603013518768"/>
    <s v=""/>
    <s v=""/>
    <s v=""/>
    <n v="15476.25"/>
    <s v="CCCM"/>
    <n v="0.87995031344304775"/>
    <n v="337.60736932331201"/>
    <n v="2.1814546115713561E-2"/>
    <s v=""/>
    <n v="14010"/>
    <s v="Overarching Protection"/>
    <n v="0.79658211073981733"/>
    <n v="1803.857369323312"/>
    <n v="0.1287549871037339"/>
    <s v=""/>
    <s v=""/>
    <s v=""/>
    <s v=""/>
    <s v=""/>
    <n v="4"/>
    <n v="15813.857369323312"/>
    <m/>
    <m/>
    <n v="0"/>
    <s v=""/>
    <n v="15813.857369323312"/>
    <m/>
  </r>
  <r>
    <s v=""/>
    <x v="7"/>
    <s v="SS07"/>
    <x v="52"/>
    <s v="SS0705"/>
    <m/>
    <m/>
    <m/>
    <n v="10736.997624544605"/>
    <x v="0"/>
    <n v="7217.5"/>
    <n v="3698.0957753325883"/>
    <n v="3331.5582463381697"/>
    <n v="6994.220324453735"/>
    <n v="6107.5659290461826"/>
    <n v="7487"/>
    <n v="10736.997624544605"/>
    <n v="5368.4988122723025"/>
    <n v="4631"/>
    <n v="4533"/>
    <n v="6173"/>
    <n v="2775"/>
    <n v="0.65"/>
    <n v="0.35000000000000003"/>
    <n v="0.30000000000000004"/>
    <n v="0.65"/>
    <n v="0.55000000000000004"/>
    <n v="0.70000000000000007"/>
    <n v="1"/>
    <n v="0.5"/>
    <n v="0.45"/>
    <n v="0.4"/>
    <n v="0.55000000000000004"/>
    <n v="0.25"/>
    <n v="10736.997624544605"/>
    <s v="Shelter"/>
    <n v="1"/>
    <s v=""/>
    <s v="Flagged"/>
    <s v=""/>
    <n v="7487"/>
    <s v="Overarching Protection"/>
    <n v="0.69730852718872149"/>
    <n v="3249.9976245446051"/>
    <n v="0.43408543135362698"/>
    <s v="Flagged"/>
    <n v="7217.5"/>
    <s v="CCCM"/>
    <n v="0.67220840055891506"/>
    <n v="3519.4976245446051"/>
    <n v="0.48763389325176376"/>
    <s v=""/>
    <s v=""/>
    <s v="Flagged"/>
    <s v=""/>
    <s v=""/>
    <n v="4"/>
    <n v="10736.997624544605"/>
    <m/>
    <m/>
    <n v="3"/>
    <s v="Flagged"/>
    <n v="10736.997624544605"/>
    <m/>
  </r>
  <r>
    <s v=""/>
    <x v="7"/>
    <s v="SS07"/>
    <x v="53"/>
    <s v="SS0706"/>
    <m/>
    <m/>
    <m/>
    <n v="541.05925656197849"/>
    <x v="0"/>
    <n v="0"/>
    <n v="101.68949018639236"/>
    <n v="172.35776823736074"/>
    <n v="323.57340367304914"/>
    <n v="237.26650978335931"/>
    <n v="379"/>
    <n v="0"/>
    <n v="435.8532900082605"/>
    <n v="137"/>
    <n v="218"/>
    <n v="304"/>
    <n v="68"/>
    <n v="0"/>
    <n v="0.2"/>
    <n v="0.30000000000000004"/>
    <n v="0.60000000000000009"/>
    <n v="0.45"/>
    <n v="0.70000000000000007"/>
    <n v="0"/>
    <n v="0.8"/>
    <n v="0.25"/>
    <n v="0.4"/>
    <n v="0.55000000000000004"/>
    <n v="0.15000000000000002"/>
    <n v="435.8532900082605"/>
    <s v="WASH"/>
    <n v="0.80555555555555569"/>
    <s v="Flagged"/>
    <s v=""/>
    <s v=""/>
    <n v="379"/>
    <s v="Overarching Protection"/>
    <n v="0.70047780423951667"/>
    <n v="56.853290008260501"/>
    <n v="0.1500086807605818"/>
    <s v=""/>
    <n v="323.57340367304914"/>
    <s v="Food Security"/>
    <n v="0.59803690584486602"/>
    <n v="112.27988633521136"/>
    <n v="0.34699973811402379"/>
    <s v=""/>
    <s v=""/>
    <s v=""/>
    <s v=""/>
    <s v=""/>
    <n v="4"/>
    <n v="435.8532900082605"/>
    <m/>
    <m/>
    <n v="1"/>
    <s v="Flagged"/>
    <n v="435.8532900082605"/>
    <m/>
  </r>
  <r>
    <s v=""/>
    <x v="7"/>
    <s v="SS07"/>
    <x v="54"/>
    <s v="SS0707"/>
    <m/>
    <m/>
    <m/>
    <n v="107560.86765914821"/>
    <x v="0"/>
    <n v="74185"/>
    <n v="3013.7694631152058"/>
    <n v="39329.93079403638"/>
    <n v="87059.249524592815"/>
    <n v="72678.61042533537"/>
    <n v="75082"/>
    <n v="85703.579043920239"/>
    <n v="85273.480666712072"/>
    <n v="44972"/>
    <n v="15480"/>
    <n v="20935"/>
    <n v="28261"/>
    <n v="0.70000000000000007"/>
    <n v="0.05"/>
    <n v="0.35000000000000003"/>
    <n v="0.8"/>
    <n v="0.70000000000000007"/>
    <n v="0.70000000000000007"/>
    <n v="0.8"/>
    <n v="0.8"/>
    <n v="0.4"/>
    <n v="0.15000000000000002"/>
    <n v="0.2"/>
    <n v="0.25"/>
    <n v="87059.249524592815"/>
    <s v="Food Security"/>
    <n v="0.80939519566239104"/>
    <s v=""/>
    <s v=""/>
    <s v=""/>
    <n v="85703.579043920239"/>
    <s v="Shelter"/>
    <n v="0.79679144385026746"/>
    <n v="1355.6704806725756"/>
    <n v="1.5818131468906795E-2"/>
    <s v=""/>
    <n v="85273.480666712072"/>
    <s v="WASH"/>
    <n v="0.79279279279279258"/>
    <n v="1785.7688578807429"/>
    <n v="2.0941667255970794E-2"/>
    <s v=""/>
    <s v=""/>
    <s v=""/>
    <s v=""/>
    <s v="Flagged"/>
    <n v="4"/>
    <n v="87059.249524592815"/>
    <m/>
    <m/>
    <n v="1"/>
    <s v="Flagged"/>
    <n v="87059.249524592815"/>
    <m/>
  </r>
  <r>
    <s v=""/>
    <x v="7"/>
    <s v="SS07"/>
    <x v="55"/>
    <s v="SS0708"/>
    <m/>
    <m/>
    <m/>
    <n v="19743.531183340554"/>
    <x v="0"/>
    <n v="0"/>
    <n v="2123.7721623295765"/>
    <n v="7457.1688528865989"/>
    <n v="13885.140815532421"/>
    <n v="9737.7592085402703"/>
    <n v="13821"/>
    <n v="11957.349871600618"/>
    <n v="16635.753126703614"/>
    <n v="8183"/>
    <n v="7019"/>
    <n v="8837"/>
    <n v="5266"/>
    <n v="0"/>
    <n v="0.1"/>
    <n v="0.4"/>
    <n v="0.70000000000000007"/>
    <n v="0.5"/>
    <n v="0.70000000000000007"/>
    <n v="0.60000000000000009"/>
    <n v="0.85000000000000009"/>
    <n v="0.4"/>
    <n v="0.35000000000000003"/>
    <n v="0.45"/>
    <n v="0.25"/>
    <n v="16635.753126703614"/>
    <s v="WASH"/>
    <n v="0.84259259259259256"/>
    <s v=""/>
    <s v=""/>
    <s v=""/>
    <n v="13885.140815532421"/>
    <s v="Food Security"/>
    <n v="0.70327545192364571"/>
    <n v="2750.6123111711931"/>
    <n v="0.19809754526178508"/>
    <s v=""/>
    <n v="13821"/>
    <s v="Overarching Protection"/>
    <n v="0.70002675163103845"/>
    <n v="2814.7531267036138"/>
    <n v="0.20365770397971303"/>
    <s v=""/>
    <s v=""/>
    <s v=""/>
    <s v=""/>
    <s v=""/>
    <n v="4"/>
    <n v="16635.753126703614"/>
    <m/>
    <m/>
    <n v="0"/>
    <s v=""/>
    <n v="16635.753126703614"/>
    <m/>
  </r>
  <r>
    <s v=""/>
    <x v="7"/>
    <s v="SS07"/>
    <x v="56"/>
    <s v="SS0709"/>
    <m/>
    <m/>
    <m/>
    <n v="33846.254411291047"/>
    <x v="0"/>
    <n v="27668.75"/>
    <n v="7214.4408204062447"/>
    <n v="12061.434048358844"/>
    <n v="22661.952052378263"/>
    <n v="16478.699802361254"/>
    <n v="21793"/>
    <n v="0"/>
    <n v="3133.912445489912"/>
    <n v="5344"/>
    <n v="13013"/>
    <n v="5922"/>
    <n v="2394"/>
    <n v="0.8"/>
    <n v="0.2"/>
    <n v="0.35000000000000003"/>
    <n v="0.65"/>
    <n v="0.5"/>
    <n v="0.65"/>
    <n v="0"/>
    <n v="0.1"/>
    <n v="0.15000000000000002"/>
    <n v="0.4"/>
    <n v="0.15000000000000002"/>
    <n v="0.05"/>
    <n v="27668.75"/>
    <s v="CCCM"/>
    <n v="0.81748336651306852"/>
    <s v=""/>
    <s v=""/>
    <s v=""/>
    <n v="22661.952052378263"/>
    <s v="Food Security"/>
    <n v="0.66955568486237815"/>
    <n v="5006.797947621737"/>
    <n v="0.22093409852997625"/>
    <s v=""/>
    <n v="21793"/>
    <s v="Overarching Protection"/>
    <n v="0.64388217777887691"/>
    <n v="5875.75"/>
    <n v="0.2696163905841325"/>
    <s v=""/>
    <s v=""/>
    <s v=""/>
    <s v=""/>
    <s v=""/>
    <n v="4"/>
    <n v="27668.75"/>
    <m/>
    <m/>
    <n v="0"/>
    <s v=""/>
    <n v="27668.75"/>
    <m/>
  </r>
  <r>
    <s v=""/>
    <x v="7"/>
    <s v="SS07"/>
    <x v="57"/>
    <s v="SS0710"/>
    <m/>
    <m/>
    <m/>
    <n v="17038.14092740557"/>
    <x v="0"/>
    <n v="2480"/>
    <n v="1409.2553047593842"/>
    <n v="8248.3502247827291"/>
    <n v="14303.487592208576"/>
    <n v="10357.715611792308"/>
    <n v="13630"/>
    <n v="14074.985983508948"/>
    <n v="16263.67997615986"/>
    <n v="7190"/>
    <n v="6871"/>
    <n v="3514"/>
    <n v="4922"/>
    <n v="0.15000000000000002"/>
    <n v="0.1"/>
    <n v="0.5"/>
    <n v="0.85000000000000009"/>
    <n v="0.60000000000000009"/>
    <n v="0.8"/>
    <n v="0.85000000000000009"/>
    <n v="0.95000000000000007"/>
    <n v="0.4"/>
    <n v="0.4"/>
    <n v="0.2"/>
    <n v="0.30000000000000004"/>
    <n v="16263.67997615986"/>
    <s v="WASH"/>
    <n v="0.95454545454545436"/>
    <s v=""/>
    <s v="Flagged"/>
    <s v=""/>
    <n v="14303.487592208576"/>
    <s v="Food Security"/>
    <n v="0.83949813850885879"/>
    <n v="1960.1923839512838"/>
    <n v="0.13704296741020305"/>
    <s v=""/>
    <n v="14074.985983508948"/>
    <s v="Shelter"/>
    <n v="0.82608695652173914"/>
    <n v="2188.6939926509112"/>
    <n v="0.15550239234449748"/>
    <s v=""/>
    <s v=""/>
    <s v=""/>
    <s v=""/>
    <s v=""/>
    <n v="4"/>
    <n v="16263.67997615986"/>
    <m/>
    <m/>
    <n v="1"/>
    <s v="Flagged"/>
    <n v="16263.67997615986"/>
    <m/>
  </r>
  <r>
    <s v=""/>
    <x v="7"/>
    <s v="SS07"/>
    <x v="58"/>
    <s v="SS0711"/>
    <m/>
    <m/>
    <m/>
    <n v="119449.90934019189"/>
    <x v="0"/>
    <n v="14442.5"/>
    <n v="21877.250895656147"/>
    <n v="35482.086558697258"/>
    <n v="79879.706711881663"/>
    <n v="50475.166102858719"/>
    <n v="83615"/>
    <n v="39816.636446730634"/>
    <n v="57512.919311944243"/>
    <n v="51784"/>
    <n v="18126"/>
    <n v="9834"/>
    <n v="29585"/>
    <n v="0.1"/>
    <n v="0.2"/>
    <n v="0.30000000000000004"/>
    <n v="0.65"/>
    <n v="0.4"/>
    <n v="0.70000000000000007"/>
    <n v="0.35000000000000003"/>
    <n v="0.5"/>
    <n v="0.45"/>
    <n v="0.15000000000000002"/>
    <n v="0.1"/>
    <n v="0.25"/>
    <n v="83615"/>
    <s v="Overarching Protection"/>
    <n v="0.70000053128433515"/>
    <s v=""/>
    <s v=""/>
    <s v=""/>
    <n v="79879.706711881663"/>
    <s v="Food Security"/>
    <n v="0.66872973912759726"/>
    <n v="3735.2932881183369"/>
    <n v="4.6761479753439465E-2"/>
    <s v=""/>
    <n v="57512.919311944243"/>
    <s v="WASH"/>
    <n v="0.48148148148148145"/>
    <n v="26102.080688055757"/>
    <n v="0.45384725728285014"/>
    <s v=""/>
    <s v=""/>
    <s v=""/>
    <s v=""/>
    <s v=""/>
    <n v="4"/>
    <n v="83615"/>
    <m/>
    <m/>
    <n v="0"/>
    <s v=""/>
    <n v="83615"/>
    <m/>
  </r>
  <r>
    <s v=""/>
    <x v="7"/>
    <s v="SS07"/>
    <x v="59"/>
    <s v="SS0712"/>
    <m/>
    <m/>
    <m/>
    <n v="18966"/>
    <x v="0"/>
    <n v="18966"/>
    <n v="6161.2947599999998"/>
    <n v="6832.5707043785615"/>
    <n v="16512.268942576724"/>
    <n v="12227.112267970875"/>
    <n v="15173"/>
    <n v="12644"/>
    <n v="14224.500000000002"/>
    <n v="7687"/>
    <n v="7114"/>
    <n v="1515"/>
    <n v="5640"/>
    <n v="1"/>
    <n v="0.30000000000000004"/>
    <n v="0.35000000000000003"/>
    <n v="0.85000000000000009"/>
    <n v="0.65"/>
    <n v="0.8"/>
    <n v="0.65"/>
    <n v="0.75"/>
    <n v="0.4"/>
    <n v="0.4"/>
    <n v="0.1"/>
    <n v="0.30000000000000004"/>
    <n v="18966"/>
    <s v="CCCM"/>
    <n v="1"/>
    <s v=""/>
    <s v="Flagged"/>
    <s v=""/>
    <n v="16512.268942576724"/>
    <s v="Food Security"/>
    <n v="0.87062474652413391"/>
    <n v="2453.7310574232761"/>
    <n v="0.14860047798133633"/>
    <s v=""/>
    <n v="15173"/>
    <s v="Overarching Protection"/>
    <n v="0.80001054518612258"/>
    <n v="3793"/>
    <n v="0.24998352336387003"/>
    <s v=""/>
    <s v=""/>
    <s v=""/>
    <s v=""/>
    <s v=""/>
    <n v="4"/>
    <n v="18966"/>
    <m/>
    <m/>
    <n v="1"/>
    <s v="Flagged"/>
    <n v="18966"/>
    <m/>
  </r>
  <r>
    <s v=""/>
    <x v="8"/>
    <s v="SS08"/>
    <x v="60"/>
    <s v="SS0801"/>
    <m/>
    <m/>
    <m/>
    <n v="18326.432795999659"/>
    <x v="0"/>
    <n v="0"/>
    <n v="6898.0693044142718"/>
    <n v="6544.1632097958354"/>
    <n v="10733.781411342512"/>
    <n v="8819.012139698023"/>
    <n v="12072"/>
    <n v="14399.340053999733"/>
    <n v="6108.8109319998857"/>
    <n v="7478"/>
    <n v="7587"/>
    <n v="1489"/>
    <n v="4513"/>
    <n v="0"/>
    <n v="0.4"/>
    <n v="0.35000000000000003"/>
    <n v="0.60000000000000009"/>
    <n v="0.5"/>
    <n v="0.65"/>
    <n v="0.8"/>
    <n v="0.35000000000000003"/>
    <n v="0.4"/>
    <n v="0.4"/>
    <n v="0.1"/>
    <n v="0.25"/>
    <n v="14399.340053999733"/>
    <s v="Shelter"/>
    <n v="0.78571428571428581"/>
    <s v=""/>
    <s v=""/>
    <s v=""/>
    <n v="12072"/>
    <s v="Overarching Protection"/>
    <n v="0.65872066508410232"/>
    <n v="2327.3400539997328"/>
    <n v="0.19278827485087249"/>
    <s v=""/>
    <n v="10733.781411342512"/>
    <s v="Food Security"/>
    <n v="0.58569943921031431"/>
    <n v="3665.5586426572208"/>
    <n v="0.34149741849445364"/>
    <s v=""/>
    <s v=""/>
    <s v="Flagged"/>
    <s v=""/>
    <s v=""/>
    <n v="4"/>
    <n v="14399.340053999733"/>
    <m/>
    <m/>
    <n v="1"/>
    <s v="Flagged"/>
    <n v="14399.340053999733"/>
    <m/>
  </r>
  <r>
    <s v=""/>
    <x v="8"/>
    <s v="SS08"/>
    <x v="61"/>
    <s v="SS0802"/>
    <m/>
    <m/>
    <m/>
    <n v="24686.538616861621"/>
    <x v="0"/>
    <n v="2611.25"/>
    <n v="5617.8884378467201"/>
    <n v="8915.6976319139521"/>
    <n v="13123.758275597456"/>
    <n v="12514.74824793882"/>
    <n v="17195"/>
    <n v="15709.615483457397"/>
    <n v="12343.26930843081"/>
    <n v="10319"/>
    <n v="11713"/>
    <n v="2036"/>
    <n v="6715"/>
    <n v="0.1"/>
    <n v="0.25"/>
    <n v="0.35000000000000003"/>
    <n v="0.55000000000000004"/>
    <n v="0.5"/>
    <n v="0.70000000000000007"/>
    <n v="0.65"/>
    <n v="0.5"/>
    <n v="0.4"/>
    <n v="0.45"/>
    <n v="0.1"/>
    <n v="0.25"/>
    <n v="17195"/>
    <s v="Overarching Protection"/>
    <n v="0.69653345359058627"/>
    <s v=""/>
    <s v=""/>
    <s v=""/>
    <n v="15709.615483457397"/>
    <s v="Shelter"/>
    <n v="0.63636363636363646"/>
    <n v="1485.3845165426028"/>
    <n v="9.4552569928064018E-2"/>
    <s v=""/>
    <n v="13123.758275597456"/>
    <s v="Food Security"/>
    <n v="0.53161597416632356"/>
    <n v="4071.2417244025437"/>
    <n v="0.31021919475404247"/>
    <s v=""/>
    <s v=""/>
    <s v=""/>
    <s v=""/>
    <s v="Flagged"/>
    <n v="4"/>
    <n v="17195"/>
    <m/>
    <m/>
    <n v="1"/>
    <s v="Flagged"/>
    <n v="17195"/>
    <m/>
  </r>
  <r>
    <s v=""/>
    <x v="8"/>
    <s v="SS08"/>
    <x v="62"/>
    <s v="SS0803"/>
    <m/>
    <m/>
    <m/>
    <n v="23538.621025019514"/>
    <x v="0"/>
    <n v="240"/>
    <n v="7700.4762670911396"/>
    <n v="10047.548765193676"/>
    <n v="17357.362182742232"/>
    <n v="10068.816557931883"/>
    <n v="18831"/>
    <n v="23538.621025019514"/>
    <n v="11551.360317833653"/>
    <n v="10552"/>
    <n v="10734"/>
    <n v="1899"/>
    <n v="5840"/>
    <n v="0"/>
    <n v="0.35000000000000003"/>
    <n v="0.45"/>
    <n v="0.75"/>
    <n v="0.45"/>
    <n v="0.8"/>
    <n v="1"/>
    <n v="0.5"/>
    <n v="0.45"/>
    <n v="0.45"/>
    <n v="0.1"/>
    <n v="0.25"/>
    <n v="23538.621025019514"/>
    <s v="Shelter"/>
    <n v="1"/>
    <s v=""/>
    <s v="Flagged"/>
    <s v=""/>
    <n v="18831"/>
    <s v="Overarching Protection"/>
    <n v="0.80000438343368874"/>
    <n v="4707.6210250195145"/>
    <n v="0.24999315092238938"/>
    <s v=""/>
    <n v="17357.362182742232"/>
    <s v="Food Security"/>
    <n v="0.7373992794349703"/>
    <n v="6181.2588422772824"/>
    <n v="0.35611740869376302"/>
    <s v=""/>
    <s v=""/>
    <s v="Flagged"/>
    <s v=""/>
    <s v=""/>
    <n v="4"/>
    <n v="23538.621025019514"/>
    <m/>
    <m/>
    <n v="2"/>
    <s v="Flagged"/>
    <n v="23538.621025019514"/>
    <m/>
  </r>
  <r>
    <s v=""/>
    <x v="8"/>
    <s v="SS08"/>
    <x v="63"/>
    <s v="SS0804"/>
    <m/>
    <m/>
    <m/>
    <n v="35756.212335130236"/>
    <x v="0"/>
    <n v="0"/>
    <n v="9480.6166758104409"/>
    <n v="13420.801446190691"/>
    <n v="22205.011671083026"/>
    <n v="16120.24674715752"/>
    <n v="25029"/>
    <n v="17878.106167565114"/>
    <n v="21519.942609106154"/>
    <n v="14365"/>
    <n v="14340"/>
    <n v="2783"/>
    <n v="10649"/>
    <n v="0"/>
    <n v="0.25"/>
    <n v="0.4"/>
    <n v="0.60000000000000009"/>
    <n v="0.45"/>
    <n v="0.70000000000000007"/>
    <n v="0.5"/>
    <n v="0.60000000000000009"/>
    <n v="0.4"/>
    <n v="0.4"/>
    <n v="0.1"/>
    <n v="0.30000000000000004"/>
    <n v="25029"/>
    <s v="Overarching Protection"/>
    <n v="0.69999024967779311"/>
    <s v=""/>
    <s v=""/>
    <s v=""/>
    <n v="22205.011671083026"/>
    <s v="Food Security"/>
    <n v="0.6210112934491876"/>
    <n v="2823.9883289169738"/>
    <n v="0.12717797093502886"/>
    <s v=""/>
    <n v="21519.942609106154"/>
    <s v="WASH"/>
    <n v="0.60185185185185164"/>
    <n v="3509.0573908938459"/>
    <n v="0.16306072254156428"/>
    <s v=""/>
    <s v=""/>
    <s v=""/>
    <s v=""/>
    <s v=""/>
    <n v="4"/>
    <n v="25029"/>
    <m/>
    <m/>
    <n v="0"/>
    <s v=""/>
    <n v="25029"/>
    <m/>
  </r>
  <r>
    <s v=""/>
    <x v="8"/>
    <s v="SS08"/>
    <x v="64"/>
    <s v="SS0805"/>
    <m/>
    <m/>
    <m/>
    <n v="7457.5791677040434"/>
    <x v="0"/>
    <n v="0"/>
    <n v="1158.2925523798729"/>
    <n v="3325.3650088040599"/>
    <n v="4228.2661319429981"/>
    <n v="4251.9555195741968"/>
    <n v="5221"/>
    <n v="4971.7194451360283"/>
    <n v="5731.2876936984776"/>
    <n v="2973"/>
    <n v="1171"/>
    <n v="3707"/>
    <n v="2370"/>
    <n v="0"/>
    <n v="0.15000000000000002"/>
    <n v="0.45"/>
    <n v="0.55000000000000004"/>
    <n v="0.55000000000000004"/>
    <n v="0.70000000000000007"/>
    <n v="0.65"/>
    <n v="0.75"/>
    <n v="0.4"/>
    <n v="0.15000000000000002"/>
    <n v="0.5"/>
    <n v="0.30000000000000004"/>
    <n v="5731.2876936984776"/>
    <s v="WASH"/>
    <n v="0.76851851851851849"/>
    <s v=""/>
    <s v=""/>
    <s v=""/>
    <n v="5221"/>
    <s v="Overarching Protection"/>
    <n v="0.70009313781209026"/>
    <n v="510.2876936984776"/>
    <n v="9.7737539494058154E-2"/>
    <s v=""/>
    <n v="4971.7194451360283"/>
    <s v="Shelter"/>
    <n v="0.66666666666666663"/>
    <n v="759.5682485624493"/>
    <n v="0.15277777777777787"/>
    <s v=""/>
    <s v=""/>
    <s v=""/>
    <s v=""/>
    <s v=""/>
    <n v="4"/>
    <n v="5731.2876936984776"/>
    <m/>
    <m/>
    <n v="0"/>
    <s v=""/>
    <n v="5731.2876936984776"/>
    <m/>
  </r>
  <r>
    <s v=""/>
    <x v="8"/>
    <s v="SS08"/>
    <x v="65"/>
    <s v="SS0806"/>
    <m/>
    <m/>
    <m/>
    <n v="150879.3340223525"/>
    <x v="0"/>
    <n v="84325"/>
    <n v="18528.283976612929"/>
    <n v="62421.428794820094"/>
    <n v="88035.172558781574"/>
    <n v="91148.735693234499"/>
    <n v="116376"/>
    <n v="85279.623577851424"/>
    <n v="68454.512658289575"/>
    <n v="61907"/>
    <n v="67106"/>
    <n v="12205"/>
    <n v="40457"/>
    <n v="0.55000000000000004"/>
    <n v="0.1"/>
    <n v="0.4"/>
    <n v="0.60000000000000009"/>
    <n v="0.60000000000000009"/>
    <n v="0.75"/>
    <n v="0.55000000000000004"/>
    <n v="0.45"/>
    <n v="0.4"/>
    <n v="0.45"/>
    <n v="0.1"/>
    <n v="0.25"/>
    <n v="116376"/>
    <s v="Overarching Protection"/>
    <n v="0.77131835684507399"/>
    <s v=""/>
    <s v=""/>
    <s v=""/>
    <n v="91148.735693234499"/>
    <s v="Health"/>
    <n v="0.60411676843517204"/>
    <n v="25227.264306765501"/>
    <n v="0.27677031518757522"/>
    <s v=""/>
    <n v="88035.172558781574"/>
    <s v="Food Security"/>
    <n v="0.58348065445291086"/>
    <n v="28340.827441218426"/>
    <n v="0.32192618719858929"/>
    <s v=""/>
    <s v=""/>
    <s v=""/>
    <s v=""/>
    <s v="Flagged"/>
    <n v="4"/>
    <n v="116376"/>
    <m/>
    <m/>
    <n v="1"/>
    <s v="Flagged"/>
    <n v="116376"/>
    <m/>
  </r>
  <r>
    <s v=""/>
    <x v="9"/>
    <s v="SS09"/>
    <x v="66"/>
    <s v="SS0901"/>
    <m/>
    <m/>
    <m/>
    <n v="47398.331065600592"/>
    <x v="0"/>
    <n v="29770"/>
    <n v="9690.8068186849396"/>
    <n v="14544.814203475513"/>
    <n v="14505.466379567835"/>
    <n v="24636.291496195918"/>
    <n v="33053"/>
    <n v="22751.198911488282"/>
    <n v="33793.25455603005"/>
    <n v="18751"/>
    <n v="18071"/>
    <n v="9919"/>
    <n v="13110"/>
    <n v="0.65"/>
    <n v="0.2"/>
    <n v="0.30000000000000004"/>
    <n v="0.30000000000000004"/>
    <n v="0.5"/>
    <n v="0.70000000000000007"/>
    <n v="0.5"/>
    <n v="0.70000000000000007"/>
    <n v="0.4"/>
    <n v="0.4"/>
    <n v="0.2"/>
    <n v="0.30000000000000004"/>
    <n v="33793.25455603005"/>
    <s v="WASH"/>
    <n v="0.71296296296296291"/>
    <s v=""/>
    <s v=""/>
    <s v=""/>
    <n v="33053"/>
    <s v="Overarching Protection"/>
    <n v="0.6973452283426127"/>
    <n v="740.25455603004957"/>
    <n v="2.2395986930991124E-2"/>
    <s v=""/>
    <n v="29770"/>
    <s v="CCCM"/>
    <n v="0.62808118620880349"/>
    <n v="4023.2545560300496"/>
    <n v="0.13514459375310883"/>
    <s v=""/>
    <s v=""/>
    <s v=""/>
    <s v=""/>
    <s v=""/>
    <n v="4"/>
    <n v="33793.25455603005"/>
    <m/>
    <m/>
    <n v="0"/>
    <s v=""/>
    <n v="33793.25455603005"/>
    <m/>
  </r>
  <r>
    <s v=""/>
    <x v="9"/>
    <s v="SS09"/>
    <x v="67"/>
    <s v="SS0902"/>
    <m/>
    <m/>
    <m/>
    <n v="7607.0241213008612"/>
    <x v="0"/>
    <n v="5708.75"/>
    <n v="2002.2181943831749"/>
    <n v="2396.4767092317202"/>
    <n v="3957.0969391456388"/>
    <n v="3945.0872702433403"/>
    <n v="5112"/>
    <n v="6684.9605914462118"/>
    <n v="1972.1914388557791"/>
    <n v="2984"/>
    <n v="3074"/>
    <n v="1548"/>
    <n v="2037"/>
    <n v="0.75"/>
    <n v="0.25"/>
    <n v="0.30000000000000004"/>
    <n v="0.5"/>
    <n v="0.5"/>
    <n v="0.65"/>
    <n v="0.9"/>
    <n v="0.25"/>
    <n v="0.4"/>
    <n v="0.4"/>
    <n v="0.2"/>
    <n v="0.25"/>
    <n v="6684.9605914462118"/>
    <s v="Shelter"/>
    <n v="0.87878787878787878"/>
    <s v=""/>
    <s v=""/>
    <s v=""/>
    <n v="5708.75"/>
    <s v="CCCM"/>
    <n v="0.75045772288464341"/>
    <n v="976.21059144621177"/>
    <n v="0.17100251218676799"/>
    <s v=""/>
    <n v="5112"/>
    <s v="Overarching Protection"/>
    <n v="0.67201048905387295"/>
    <n v="1572.9605914462118"/>
    <n v="0.30769964621404766"/>
    <s v=""/>
    <s v=""/>
    <s v="Flagged"/>
    <s v=""/>
    <s v=""/>
    <n v="4"/>
    <n v="6684.9605914462118"/>
    <m/>
    <m/>
    <n v="1"/>
    <s v="Flagged"/>
    <n v="6684.9605914462118"/>
    <m/>
  </r>
  <r>
    <s v=""/>
    <x v="9"/>
    <s v="SS09"/>
    <x v="68"/>
    <s v="SS0903"/>
    <m/>
    <m/>
    <m/>
    <n v="17868.652727011824"/>
    <x v="0"/>
    <n v="12495"/>
    <n v="2435.5974311469831"/>
    <n v="5600.7481603773604"/>
    <n v="8857.7260476905867"/>
    <n v="8138.121867898999"/>
    <n v="12461"/>
    <n v="11809.741744864135"/>
    <n v="7776.1729460144043"/>
    <n v="7452"/>
    <n v="2704"/>
    <n v="1381"/>
    <n v="4924"/>
    <n v="0.70000000000000007"/>
    <n v="0.15000000000000002"/>
    <n v="0.30000000000000004"/>
    <n v="0.5"/>
    <n v="0.45"/>
    <n v="0.70000000000000007"/>
    <n v="0.65"/>
    <n v="0.45"/>
    <n v="0.4"/>
    <n v="0.15000000000000002"/>
    <n v="0.1"/>
    <n v="0.30000000000000004"/>
    <n v="12495"/>
    <s v="CCCM"/>
    <n v="0.69926928408606104"/>
    <s v=""/>
    <s v=""/>
    <s v=""/>
    <n v="12461"/>
    <s v="Overarching Protection"/>
    <n v="0.69736651052392207"/>
    <n v="34"/>
    <n v="2.7285129604365621E-3"/>
    <s v=""/>
    <n v="11809.741744864135"/>
    <s v="Shelter"/>
    <n v="0.66091954022988497"/>
    <n v="685.2582551358646"/>
    <n v="5.8024829834561982E-2"/>
    <s v=""/>
    <s v=""/>
    <s v=""/>
    <s v=""/>
    <s v=""/>
    <n v="4"/>
    <n v="12495"/>
    <m/>
    <m/>
    <n v="0"/>
    <s v=""/>
    <n v="12495"/>
    <m/>
  </r>
  <r>
    <s v=""/>
    <x v="10"/>
    <s v="SS10"/>
    <x v="69"/>
    <s v="SS1001"/>
    <m/>
    <m/>
    <m/>
    <n v="41205.344743342968"/>
    <x v="0"/>
    <n v="28443.75"/>
    <n v="9063.5482324180903"/>
    <n v="15443.460454234011"/>
    <n v="7366.4824054815472"/>
    <n v="20365.728284970235"/>
    <n v="27390"/>
    <n v="32680.101003340977"/>
    <n v="30522.477587661459"/>
    <n v="6382"/>
    <n v="6374"/>
    <n v="3351"/>
    <n v="10152"/>
    <n v="0.70000000000000007"/>
    <n v="0.2"/>
    <n v="0.35000000000000003"/>
    <n v="0.2"/>
    <n v="0.5"/>
    <n v="0.65"/>
    <n v="0.8"/>
    <n v="0.75"/>
    <n v="0.15000000000000002"/>
    <n v="0.15000000000000002"/>
    <n v="0.1"/>
    <n v="0.25"/>
    <n v="32680.101003340977"/>
    <s v="Shelter"/>
    <n v="0.7931034482758621"/>
    <s v=""/>
    <s v=""/>
    <s v=""/>
    <n v="30522.477587661459"/>
    <s v="WASH"/>
    <n v="0.7407407407407407"/>
    <n v="2157.6234156795181"/>
    <n v="7.0689655172413837E-2"/>
    <s v=""/>
    <n v="28443.75"/>
    <s v="CCCM"/>
    <n v="0.69029273209988862"/>
    <n v="4236.3510033409766"/>
    <n v="0.14893785113921254"/>
    <s v=""/>
    <s v=""/>
    <s v="Flagged"/>
    <s v=""/>
    <s v=""/>
    <n v="4"/>
    <n v="32680.101003340977"/>
    <m/>
    <m/>
    <n v="1"/>
    <s v="Flagged"/>
    <n v="32680.101003340977"/>
    <m/>
  </r>
  <r>
    <s v=""/>
    <x v="10"/>
    <s v="SS10"/>
    <x v="70"/>
    <s v="SS1002"/>
    <m/>
    <m/>
    <m/>
    <n v="7434.8763775539119"/>
    <x v="0"/>
    <n v="0"/>
    <n v="1065.1352596011284"/>
    <n v="2509.5581547841798"/>
    <n v="1873.3688115038503"/>
    <n v="3232.081327090078"/>
    <n v="5205"/>
    <n v="4956.5842517026076"/>
    <n v="6333.4132105088875"/>
    <n v="1089"/>
    <n v="3151"/>
    <n v="627"/>
    <n v="2305"/>
    <n v="0"/>
    <n v="0.15000000000000002"/>
    <n v="0.35000000000000003"/>
    <n v="0.25"/>
    <n v="0.45"/>
    <n v="0.70000000000000007"/>
    <n v="0.65"/>
    <n v="0.85000000000000009"/>
    <n v="0.15000000000000002"/>
    <n v="0.4"/>
    <n v="0.1"/>
    <n v="0.30000000000000004"/>
    <n v="6333.4132105088875"/>
    <s v="WASH"/>
    <n v="0.85185185185185175"/>
    <s v=""/>
    <s v=""/>
    <s v=""/>
    <n v="5205"/>
    <s v="Overarching Protection"/>
    <n v="0.70007888977334343"/>
    <n v="1128.4132105088875"/>
    <n v="0.21679408463187078"/>
    <s v=""/>
    <n v="4956.5842517026076"/>
    <s v="Shelter"/>
    <n v="0.66666666666666663"/>
    <n v="1376.8289588062798"/>
    <n v="0.27777777777777779"/>
    <s v=""/>
    <s v=""/>
    <s v=""/>
    <s v=""/>
    <s v=""/>
    <n v="4"/>
    <n v="6333.4132105088875"/>
    <m/>
    <m/>
    <n v="0"/>
    <s v=""/>
    <n v="6333.4132105088875"/>
    <m/>
  </r>
  <r>
    <s v=""/>
    <x v="10"/>
    <s v="SS10"/>
    <x v="71"/>
    <s v="SS1003"/>
    <m/>
    <m/>
    <m/>
    <n v="11522.074781291758"/>
    <x v="0"/>
    <n v="0"/>
    <n v="1799.3171552409522"/>
    <n v="5074.6842863832189"/>
    <n v="2922.2520778946996"/>
    <n v="4525.3940897146904"/>
    <n v="7305"/>
    <n v="5761.037390645879"/>
    <n v="8321.4984531551581"/>
    <n v="4142"/>
    <n v="4327"/>
    <n v="5365"/>
    <n v="3014"/>
    <n v="0"/>
    <n v="0.15000000000000002"/>
    <n v="0.45"/>
    <n v="0.25"/>
    <n v="0.4"/>
    <n v="0.65"/>
    <n v="0.5"/>
    <n v="0.70000000000000007"/>
    <n v="0.35000000000000003"/>
    <n v="0.4"/>
    <n v="0.45"/>
    <n v="0.25"/>
    <n v="8321.4984531551581"/>
    <s v="WASH"/>
    <n v="0.72222222222222221"/>
    <s v=""/>
    <s v=""/>
    <s v=""/>
    <n v="7305"/>
    <s v="Overarching Protection"/>
    <n v="0.6340003982495438"/>
    <n v="1016.4984531551581"/>
    <n v="0.13915105450447066"/>
    <s v=""/>
    <n v="5761.037390645879"/>
    <s v="Shelter"/>
    <n v="0.5"/>
    <n v="2560.4610625092791"/>
    <n v="0.44444444444444436"/>
    <s v=""/>
    <s v=""/>
    <s v=""/>
    <s v=""/>
    <s v=""/>
    <n v="4"/>
    <n v="8321.4984531551581"/>
    <m/>
    <m/>
    <n v="0"/>
    <s v=""/>
    <n v="8321.4984531551581"/>
    <m/>
  </r>
  <r>
    <s v=""/>
    <x v="10"/>
    <s v="SS10"/>
    <x v="72"/>
    <s v="SS1004"/>
    <m/>
    <m/>
    <m/>
    <n v="17357.293062226148"/>
    <x v="0"/>
    <n v="0"/>
    <n v="272.84276110374532"/>
    <n v="7034.7446622852367"/>
    <n v="7466.511357740781"/>
    <n v="8370.1757209202042"/>
    <n v="13014"/>
    <n v="7546.649157489629"/>
    <n v="10767.950325640297"/>
    <n v="7144"/>
    <n v="6110"/>
    <n v="7100"/>
    <n v="4131"/>
    <n v="0"/>
    <n v="0"/>
    <n v="0.4"/>
    <n v="0.45"/>
    <n v="0.5"/>
    <n v="0.75"/>
    <n v="0.45"/>
    <n v="0.60000000000000009"/>
    <n v="0.4"/>
    <n v="0.35000000000000003"/>
    <n v="0.4"/>
    <n v="0.25"/>
    <n v="13014"/>
    <s v="Overarching Protection"/>
    <n v="0.74977128941388616"/>
    <s v=""/>
    <s v=""/>
    <s v=""/>
    <n v="10767.950325640297"/>
    <s v="WASH"/>
    <n v="0.62037037037037046"/>
    <n v="2246.0496743597032"/>
    <n v="0.20858655607014476"/>
    <s v=""/>
    <n v="8370.1757209202042"/>
    <s v="Health"/>
    <n v="0.48222817295951637"/>
    <n v="4643.8242790797958"/>
    <n v="0.55480606786702691"/>
    <s v="Flagged"/>
    <s v=""/>
    <s v=""/>
    <s v=""/>
    <s v=""/>
    <n v="4"/>
    <n v="13014"/>
    <m/>
    <m/>
    <n v="1"/>
    <s v="Flagged"/>
    <n v="13014"/>
    <m/>
  </r>
  <r>
    <s v=""/>
    <x v="10"/>
    <s v="SS10"/>
    <x v="73"/>
    <s v="SS1005"/>
    <m/>
    <m/>
    <m/>
    <n v="1326.2143950586142"/>
    <x v="0"/>
    <n v="0"/>
    <n v="108.99890870107737"/>
    <n v="549.3738376210955"/>
    <n v="509.88966782520589"/>
    <n v="657.96969478899121"/>
    <n v="928"/>
    <n v="1326.2143950586142"/>
    <n v="502.35393752220233"/>
    <n v="564"/>
    <n v="203"/>
    <n v="592"/>
    <n v="364"/>
    <n v="0"/>
    <n v="0.1"/>
    <n v="0.4"/>
    <n v="0.4"/>
    <n v="0.5"/>
    <n v="0.70000000000000007"/>
    <n v="1"/>
    <n v="0.4"/>
    <n v="0.45"/>
    <n v="0.15000000000000002"/>
    <n v="0.45"/>
    <n v="0.25"/>
    <n v="1326.2143950586142"/>
    <s v="Shelter"/>
    <n v="1"/>
    <s v=""/>
    <s v="Flagged"/>
    <s v=""/>
    <n v="928"/>
    <s v="Overarching Protection"/>
    <n v="0.69973603322182731"/>
    <n v="398.21439505861417"/>
    <n v="0.42911033950281702"/>
    <s v="Flagged"/>
    <n v="657.96969478899121"/>
    <s v="Health"/>
    <n v="0.49612618988343221"/>
    <n v="668.24470026962297"/>
    <n v="1.0156162290786461"/>
    <s v="Flagged"/>
    <s v=""/>
    <s v="Flagged"/>
    <s v=""/>
    <s v=""/>
    <n v="4"/>
    <n v="1326.2143950586142"/>
    <m/>
    <m/>
    <n v="4"/>
    <s v="Flagged"/>
    <n v="1326.2143950586142"/>
    <m/>
  </r>
  <r>
    <s v=""/>
    <x v="10"/>
    <s v="SS10"/>
    <x v="74"/>
    <s v="SS1006"/>
    <m/>
    <m/>
    <m/>
    <n v="0"/>
    <x v="0"/>
    <n v="0"/>
    <n v="0"/>
    <n v="0"/>
    <n v="0"/>
    <n v="0"/>
    <n v="0"/>
    <n v="0"/>
    <n v="0"/>
    <n v="0"/>
    <n v="0"/>
    <n v="0"/>
    <n v="0"/>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10"/>
    <s v="SS10"/>
    <x v="75"/>
    <s v="SS1007"/>
    <m/>
    <m/>
    <m/>
    <n v="36534.526328235108"/>
    <x v="0"/>
    <n v="4387.5"/>
    <n v="1916.1336092422125"/>
    <n v="12211.82251672217"/>
    <n v="20297.572470561903"/>
    <n v="19755.537132872738"/>
    <n v="24688"/>
    <n v="9786.0338379201185"/>
    <n v="24356.350885490076"/>
    <n v="14123"/>
    <n v="14027"/>
    <n v="2807"/>
    <n v="11442"/>
    <n v="0.1"/>
    <n v="0.05"/>
    <n v="0.35000000000000003"/>
    <n v="0.55000000000000004"/>
    <n v="0.55000000000000004"/>
    <n v="0.70000000000000007"/>
    <n v="0.25"/>
    <n v="0.65"/>
    <n v="0.4"/>
    <n v="0.4"/>
    <n v="0.1"/>
    <n v="0.30000000000000004"/>
    <n v="24688"/>
    <s v="Overarching Protection"/>
    <n v="0.67574435694600166"/>
    <s v=""/>
    <s v=""/>
    <s v=""/>
    <n v="24356.350885490076"/>
    <s v="WASH"/>
    <n v="0.66666666666666674"/>
    <n v="331.6491145099244"/>
    <n v="1.361653541900233E-2"/>
    <s v=""/>
    <n v="20297.572470561903"/>
    <s v="Food Security"/>
    <n v="0.55557234513466947"/>
    <n v="4390.4275294380968"/>
    <n v="0.21630308431245401"/>
    <s v=""/>
    <s v=""/>
    <s v=""/>
    <s v=""/>
    <s v=""/>
    <n v="4"/>
    <n v="24688"/>
    <m/>
    <m/>
    <n v="0"/>
    <s v=""/>
    <n v="24688"/>
    <m/>
  </r>
  <r>
    <s v=""/>
    <x v="10"/>
    <s v="SS10"/>
    <x v="76"/>
    <s v="SS1008"/>
    <m/>
    <m/>
    <m/>
    <n v="2761.8509896481692"/>
    <x v="0"/>
    <n v="0"/>
    <n v="529.06790875977435"/>
    <n v="1135.9991627354789"/>
    <n v="536.39969440630443"/>
    <n v="1199.984685202463"/>
    <n v="1933"/>
    <n v="2761.8509896481692"/>
    <n v="2173.6790196305033"/>
    <n v="1150"/>
    <n v="419"/>
    <n v="217"/>
    <n v="733"/>
    <n v="0"/>
    <n v="0.2"/>
    <n v="0.4"/>
    <n v="0.2"/>
    <n v="0.45"/>
    <n v="0.70000000000000007"/>
    <n v="1"/>
    <n v="0.8"/>
    <n v="0.4"/>
    <n v="0.15000000000000002"/>
    <n v="0.1"/>
    <n v="0.25"/>
    <n v="2761.8509896481692"/>
    <s v="Shelter"/>
    <n v="1"/>
    <s v=""/>
    <s v="Flagged"/>
    <s v=""/>
    <n v="2173.6790196305033"/>
    <s v="WASH"/>
    <n v="0.78703703703703698"/>
    <n v="588.1719700176659"/>
    <n v="0.2705882352941178"/>
    <s v=""/>
    <n v="1933"/>
    <s v="Overarching Protection"/>
    <n v="0.69989293674610731"/>
    <n v="828.85098964816916"/>
    <n v="0.42878995843154122"/>
    <s v=""/>
    <s v=""/>
    <s v="Flagged"/>
    <s v=""/>
    <s v=""/>
    <n v="4"/>
    <n v="2761.8509896481692"/>
    <m/>
    <m/>
    <n v="2"/>
    <s v="Flagged"/>
    <n v="2761.8509896481692"/>
    <m/>
  </r>
  <r>
    <s v=""/>
    <x v="10"/>
    <s v="SS10"/>
    <x v="77"/>
    <s v="SS1009"/>
    <m/>
    <m/>
    <m/>
    <n v="24855.8360229996"/>
    <x v="0"/>
    <n v="24855.8360229996"/>
    <n v="5005.1948441154063"/>
    <n v="8189.1338242402062"/>
    <n v="10683.7141002236"/>
    <n v="15120.438459041348"/>
    <n v="19885"/>
    <n v="24124.782022323139"/>
    <n v="19102.170276934878"/>
    <n v="10134"/>
    <n v="10946"/>
    <n v="1979"/>
    <n v="7525"/>
    <n v="1"/>
    <n v="0.2"/>
    <n v="0.35000000000000003"/>
    <n v="0.45"/>
    <n v="0.60000000000000009"/>
    <n v="0.8"/>
    <n v="0.95000000000000007"/>
    <n v="0.75"/>
    <n v="0.4"/>
    <n v="0.45"/>
    <n v="0.1"/>
    <n v="0.30000000000000004"/>
    <n v="24855.8360229996"/>
    <s v="CCCM"/>
    <n v="1"/>
    <s v=""/>
    <s v="Flagged"/>
    <s v=""/>
    <n v="24124.782022323139"/>
    <s v="Shelter"/>
    <n v="0.97058823529411753"/>
    <n v="731.05400067646042"/>
    <n v="3.0303030303030373E-2"/>
    <s v=""/>
    <n v="19885"/>
    <s v="Overarching Protection"/>
    <n v="0.80001332409821235"/>
    <n v="4970.8360229995997"/>
    <n v="0.24997918144327883"/>
    <s v=""/>
    <s v=""/>
    <s v=""/>
    <s v=""/>
    <s v="Flagged"/>
    <n v="4"/>
    <n v="24855.8360229996"/>
    <m/>
    <m/>
    <n v="2"/>
    <s v="Flagged"/>
    <n v="24855.8360229996"/>
    <m/>
  </r>
  <r>
    <s v=""/>
    <x v="10"/>
    <s v="SS10"/>
    <x v="78"/>
    <s v="SS1010"/>
    <m/>
    <m/>
    <m/>
    <n v="10973.797642312536"/>
    <x v="0"/>
    <n v="0"/>
    <n v="2032.0839522128661"/>
    <n v="3636.2835444713837"/>
    <n v="2782.9095656369154"/>
    <n v="5371.2361664480359"/>
    <n v="8779"/>
    <n v="8779.0381138500288"/>
    <n v="8230.3482317344024"/>
    <n v="4504"/>
    <n v="4994"/>
    <n v="2285"/>
    <n v="3237"/>
    <n v="0"/>
    <n v="0.2"/>
    <n v="0.35000000000000003"/>
    <n v="0.25"/>
    <n v="0.5"/>
    <n v="0.8"/>
    <n v="0.8"/>
    <n v="0.75"/>
    <n v="0.4"/>
    <n v="0.45"/>
    <n v="0.2"/>
    <n v="0.30000000000000004"/>
    <n v="8779.0381138500288"/>
    <s v="Shelter"/>
    <n v="0.79999999999999993"/>
    <s v=""/>
    <s v=""/>
    <s v=""/>
    <n v="8779"/>
    <s v="Overarching Protection"/>
    <n v="0.79999652683134215"/>
    <n v="3.8113850028821616E-2"/>
    <n v="4.3414796706711034E-6"/>
    <s v=""/>
    <n v="8230.3482317344024"/>
    <s v="WASH"/>
    <n v="0.75"/>
    <n v="548.68988211562646"/>
    <n v="6.6666666666666624E-2"/>
    <s v=""/>
    <s v=""/>
    <s v="Flagged"/>
    <s v=""/>
    <s v=""/>
    <n v="4"/>
    <n v="8779.0381138500288"/>
    <m/>
    <m/>
    <n v="1"/>
    <s v="Flagged"/>
    <n v="8779.0381138500288"/>
    <m/>
  </r>
  <r>
    <s v=""/>
    <x v="0"/>
    <s v="SS00"/>
    <x v="0"/>
    <s v="SS0001"/>
    <m/>
    <m/>
    <m/>
    <n v="14516.802522734295"/>
    <x v="1"/>
    <m/>
    <n v="1280.3819825051648"/>
    <n v="7035.6908697905883"/>
    <n v="8960.7014556909598"/>
    <n v="10162.535731393538"/>
    <n v="2555"/>
    <n v="4573.7870962039569"/>
    <n v="5645.423203285558"/>
    <n v="1192"/>
    <n v="2252"/>
    <n v="0"/>
    <n v="347"/>
    <s v=""/>
    <n v="0.1"/>
    <n v="0.5"/>
    <n v="0.60000000000000009"/>
    <n v="0.70000000000000007"/>
    <n v="0.2"/>
    <n v="0.30000000000000004"/>
    <n v="0.4"/>
    <n v="0.1"/>
    <n v="0.15000000000000002"/>
    <n v="0"/>
    <n v="0"/>
    <n v="10162.535731393538"/>
    <s v="Health"/>
    <n v="0.70005331514831315"/>
    <s v=""/>
    <s v=""/>
    <s v=""/>
    <n v="8960.7014556909598"/>
    <s v="Food Security"/>
    <n v="0.61726412835456668"/>
    <n v="1201.8342757025785"/>
    <n v="0.13412278956568641"/>
    <s v=""/>
    <n v="7035.6908697905883"/>
    <s v="Nutrition"/>
    <n v="0.4846584403674446"/>
    <n v="3126.84486160295"/>
    <n v="0.44442612949764493"/>
    <s v=""/>
    <s v=""/>
    <s v="Flagged"/>
    <s v=""/>
    <s v=""/>
    <n v="4"/>
    <n v="10162.535731393538"/>
    <m/>
    <m/>
    <n v="1"/>
    <s v="Flagged"/>
    <n v="10162.535731393538"/>
    <m/>
  </r>
  <r>
    <s v=""/>
    <x v="1"/>
    <s v="SS01"/>
    <x v="1"/>
    <s v="SS0101"/>
    <m/>
    <m/>
    <m/>
    <n v="310546.09109739598"/>
    <x v="1"/>
    <m/>
    <n v="34506.328912287157"/>
    <n v="121870.66637679518"/>
    <n v="218524.29063527889"/>
    <n v="172216.93776355864"/>
    <n v="109312"/>
    <n v="115937.20734302783"/>
    <n v="121395.29015625475"/>
    <n v="42905"/>
    <n v="46382"/>
    <n v="100226"/>
    <n v="3513"/>
    <s v=""/>
    <n v="0.1"/>
    <n v="0.4"/>
    <n v="0.70000000000000007"/>
    <n v="0.55000000000000004"/>
    <n v="0.35000000000000003"/>
    <n v="0.35000000000000003"/>
    <n v="0.4"/>
    <n v="0.15000000000000002"/>
    <n v="0.15000000000000002"/>
    <n v="0.30000000000000004"/>
    <n v="0"/>
    <n v="218524.29063527889"/>
    <s v="Food Security"/>
    <n v="0.70367747944617831"/>
    <s v=""/>
    <s v=""/>
    <s v=""/>
    <n v="172216.93776355864"/>
    <s v="Health"/>
    <n v="0.55456160196698967"/>
    <n v="46307.352871720243"/>
    <n v="0.2688896543689383"/>
    <s v=""/>
    <n v="121870.66637679518"/>
    <s v="Nutrition"/>
    <n v="0.39243986599906394"/>
    <n v="96653.624258483702"/>
    <n v="0.79308357894469561"/>
    <s v="Flagged"/>
    <s v=""/>
    <s v=""/>
    <s v=""/>
    <s v="Flagged"/>
    <n v="4"/>
    <n v="218524.29063527889"/>
    <m/>
    <m/>
    <n v="2"/>
    <s v="Flagged"/>
    <n v="218524.29063527889"/>
    <m/>
  </r>
  <r>
    <s v=""/>
    <x v="1"/>
    <s v="SS01"/>
    <x v="2"/>
    <s v="SS0102"/>
    <m/>
    <m/>
    <m/>
    <n v="165087.87496325735"/>
    <x v="1"/>
    <m/>
    <n v="12328.366291356146"/>
    <n v="72634.349974065291"/>
    <n v="114316.81637306442"/>
    <n v="87461.53402342253"/>
    <n v="53008"/>
    <n v="98446.897913869063"/>
    <n v="134516.04626635785"/>
    <n v="20045"/>
    <n v="21866"/>
    <n v="16493"/>
    <n v="3500"/>
    <s v=""/>
    <n v="0.05"/>
    <n v="0.45"/>
    <n v="0.70000000000000007"/>
    <n v="0.55000000000000004"/>
    <n v="0.30000000000000004"/>
    <n v="0.60000000000000009"/>
    <n v="0.8"/>
    <n v="0.1"/>
    <n v="0.15000000000000002"/>
    <n v="0.1"/>
    <n v="0"/>
    <n v="134516.04626635785"/>
    <s v="WASH"/>
    <n v="0.81481481481481488"/>
    <s v=""/>
    <s v=""/>
    <s v=""/>
    <n v="114316.81637306442"/>
    <s v="Food Security"/>
    <n v="0.69246040267043996"/>
    <n v="20199.229893293435"/>
    <n v="0.17669517516455982"/>
    <s v=""/>
    <n v="98446.897913869063"/>
    <s v="Shelter"/>
    <n v="0.59633027522935778"/>
    <n v="36069.148352488788"/>
    <n v="0.36638176638176645"/>
    <s v=""/>
    <s v=""/>
    <s v=""/>
    <s v=""/>
    <s v=""/>
    <n v="4"/>
    <n v="134516.04626635785"/>
    <m/>
    <m/>
    <n v="0"/>
    <s v=""/>
    <n v="134516.04626635785"/>
    <m/>
  </r>
  <r>
    <s v=""/>
    <x v="1"/>
    <s v="SS01"/>
    <x v="3"/>
    <s v="SS0103"/>
    <m/>
    <m/>
    <m/>
    <n v="81323.353354623177"/>
    <x v="1"/>
    <m/>
    <n v="10737.772930237736"/>
    <n v="43190.130773320248"/>
    <n v="51309.967154464714"/>
    <n v="37036.600003788044"/>
    <n v="16640"/>
    <n v="42131.375834322847"/>
    <n v="48191.616802739656"/>
    <n v="6987"/>
    <n v="3382"/>
    <n v="12805"/>
    <n v="909"/>
    <s v=""/>
    <n v="0.15000000000000002"/>
    <n v="0.55000000000000004"/>
    <n v="0.65"/>
    <n v="0.45"/>
    <n v="0.2"/>
    <n v="0.5"/>
    <n v="0.60000000000000009"/>
    <n v="0.1"/>
    <n v="0.05"/>
    <n v="0.15000000000000002"/>
    <n v="0"/>
    <n v="51309.967154464714"/>
    <s v="Food Security"/>
    <n v="0.63093767088919206"/>
    <s v=""/>
    <s v=""/>
    <s v=""/>
    <n v="48191.616802739656"/>
    <s v="WASH"/>
    <n v="0.59259259259259256"/>
    <n v="3118.3503517250574"/>
    <n v="6.4707319625511753E-2"/>
    <s v=""/>
    <n v="43190.130773320248"/>
    <s v="Nutrition"/>
    <n v="0.53109136541606861"/>
    <n v="8119.8363811444651"/>
    <n v="0.18800212538741176"/>
    <s v=""/>
    <s v=""/>
    <s v=""/>
    <s v=""/>
    <s v=""/>
    <n v="4"/>
    <n v="51309.967154464714"/>
    <m/>
    <m/>
    <n v="0"/>
    <s v=""/>
    <n v="51309.967154464714"/>
    <m/>
  </r>
  <r>
    <s v=""/>
    <x v="1"/>
    <s v="SS01"/>
    <x v="4"/>
    <s v="SS0104"/>
    <m/>
    <m/>
    <m/>
    <n v="76038.235545987191"/>
    <x v="1"/>
    <m/>
    <n v="13457.17088869327"/>
    <n v="33058.440464696396"/>
    <n v="51659.39705423377"/>
    <n v="49372.875595759877"/>
    <n v="26850"/>
    <n v="44275.428292600132"/>
    <n v="42947.521928752023"/>
    <n v="24945"/>
    <n v="6951"/>
    <n v="19293"/>
    <n v="2239"/>
    <s v=""/>
    <n v="0.2"/>
    <n v="0.45"/>
    <n v="0.70000000000000007"/>
    <n v="0.65"/>
    <n v="0.35000000000000003"/>
    <n v="0.60000000000000009"/>
    <n v="0.55000000000000004"/>
    <n v="0.35000000000000003"/>
    <n v="0.1"/>
    <n v="0.25"/>
    <n v="0.05"/>
    <n v="51659.39705423377"/>
    <s v="Food Security"/>
    <n v="0.67938710943641856"/>
    <s v=""/>
    <s v=""/>
    <s v=""/>
    <n v="49372.875595759877"/>
    <s v="Health"/>
    <n v="0.64931642931008882"/>
    <n v="2286.5214584738933"/>
    <n v="4.6311287946741733E-2"/>
    <s v=""/>
    <n v="44275.428292600132"/>
    <s v="Shelter"/>
    <n v="0.58227848101265822"/>
    <n v="7383.9687616336378"/>
    <n v="0.16677351403211021"/>
    <s v=""/>
    <s v=""/>
    <s v=""/>
    <s v=""/>
    <s v="Flagged"/>
    <n v="4"/>
    <n v="51659.39705423377"/>
    <m/>
    <m/>
    <n v="1"/>
    <s v="Flagged"/>
    <n v="51659.39705423377"/>
    <m/>
  </r>
  <r>
    <s v=""/>
    <x v="1"/>
    <s v="SS01"/>
    <x v="5"/>
    <s v="SS0105"/>
    <m/>
    <m/>
    <m/>
    <n v="198861.49864411939"/>
    <x v="1"/>
    <m/>
    <n v="52758.949897778082"/>
    <n v="76543.726766279651"/>
    <n v="128069.22419123921"/>
    <n v="101701.93188031472"/>
    <n v="70441"/>
    <n v="151270.7126438173"/>
    <n v="71811.096732598671"/>
    <n v="29430"/>
    <n v="32307"/>
    <n v="67565"/>
    <n v="1998"/>
    <s v=""/>
    <n v="0.25"/>
    <n v="0.4"/>
    <n v="0.65"/>
    <n v="0.5"/>
    <n v="0.35000000000000003"/>
    <n v="0.75"/>
    <n v="0.35000000000000003"/>
    <n v="0.15000000000000002"/>
    <n v="0.15000000000000002"/>
    <n v="0.35000000000000003"/>
    <n v="0"/>
    <n v="151270.7126438173"/>
    <s v="Shelter"/>
    <n v="0.76068376068376065"/>
    <s v=""/>
    <s v=""/>
    <s v=""/>
    <n v="128069.22419123921"/>
    <s v="Food Security"/>
    <n v="0.64401216456902322"/>
    <n v="23201.488452578094"/>
    <n v="0.18116365269717338"/>
    <s v=""/>
    <n v="101701.93188031472"/>
    <s v="Health"/>
    <n v="0.51142092649276227"/>
    <n v="49568.780763502582"/>
    <n v="0.48739271562546438"/>
    <s v=""/>
    <s v=""/>
    <s v="Flagged"/>
    <s v=""/>
    <s v=""/>
    <n v="4"/>
    <n v="151270.7126438173"/>
    <m/>
    <m/>
    <n v="1"/>
    <s v="Flagged"/>
    <n v="151270.7126438173"/>
    <m/>
  </r>
  <r>
    <s v=""/>
    <x v="1"/>
    <s v="SS01"/>
    <x v="6"/>
    <s v="SS0106"/>
    <m/>
    <m/>
    <m/>
    <n v="194205.26881302349"/>
    <x v="1"/>
    <m/>
    <n v="34025.73412238578"/>
    <n v="87344.841219222537"/>
    <n v="95436.106026903348"/>
    <n v="89654.848775627062"/>
    <n v="63216"/>
    <n v="87999.262430901275"/>
    <n v="158241.33014394506"/>
    <n v="15060"/>
    <n v="28402"/>
    <n v="57137"/>
    <n v="4172"/>
    <s v=""/>
    <n v="0.2"/>
    <n v="0.45"/>
    <n v="0.5"/>
    <n v="0.45"/>
    <n v="0.35000000000000003"/>
    <n v="0.45"/>
    <n v="0.8"/>
    <n v="0.1"/>
    <n v="0.15000000000000002"/>
    <n v="0.30000000000000004"/>
    <n v="0"/>
    <n v="158241.33014394506"/>
    <s v="WASH"/>
    <n v="0.81481481481481477"/>
    <s v=""/>
    <s v=""/>
    <s v=""/>
    <n v="95436.106026903348"/>
    <s v="Food Security"/>
    <n v="0.49141872725804936"/>
    <n v="62805.224117041711"/>
    <n v="0.65808661660333223"/>
    <s v="Flagged"/>
    <n v="89654.848775627062"/>
    <s v="Health"/>
    <n v="0.46164993011566929"/>
    <n v="68586.481368317996"/>
    <n v="0.76500582294176411"/>
    <s v="Flagged"/>
    <s v=""/>
    <s v=""/>
    <s v=""/>
    <s v=""/>
    <n v="4"/>
    <n v="158241.33014394506"/>
    <m/>
    <m/>
    <n v="2"/>
    <s v="Flagged"/>
    <n v="158241.33014394506"/>
    <m/>
  </r>
  <r>
    <s v=""/>
    <x v="2"/>
    <s v="SS02"/>
    <x v="7"/>
    <s v="SS0201"/>
    <m/>
    <m/>
    <m/>
    <n v="80977.342990929319"/>
    <x v="1"/>
    <m/>
    <n v="26470.35974093292"/>
    <n v="42094.260145199667"/>
    <n v="52040.353809790613"/>
    <n v="35482.701808864054"/>
    <n v="13243"/>
    <n v="46442.887891856524"/>
    <n v="60733.007243196989"/>
    <n v="11283"/>
    <n v="6684"/>
    <n v="7767"/>
    <n v="1494"/>
    <s v=""/>
    <n v="0.35000000000000003"/>
    <n v="0.5"/>
    <n v="0.65"/>
    <n v="0.45"/>
    <n v="0.15000000000000002"/>
    <n v="0.55000000000000004"/>
    <n v="0.75"/>
    <n v="0.15000000000000002"/>
    <n v="0.1"/>
    <n v="0.1"/>
    <n v="0"/>
    <n v="60733.007243196989"/>
    <s v="WASH"/>
    <n v="0.75"/>
    <s v=""/>
    <s v=""/>
    <s v=""/>
    <n v="52040.353809790613"/>
    <s v="Food Security"/>
    <n v="0.64265326432876313"/>
    <n v="8692.6534334063763"/>
    <n v="0.16703678582160184"/>
    <s v=""/>
    <n v="46442.887891856524"/>
    <s v="Shelter"/>
    <n v="0.57352941176470595"/>
    <n v="14290.119351340465"/>
    <n v="0.3076923076923076"/>
    <s v=""/>
    <s v=""/>
    <s v=""/>
    <s v=""/>
    <s v=""/>
    <n v="4"/>
    <n v="60733.007243196989"/>
    <m/>
    <m/>
    <n v="0"/>
    <s v=""/>
    <n v="60733.007243196989"/>
    <m/>
  </r>
  <r>
    <s v=""/>
    <x v="2"/>
    <s v="SS02"/>
    <x v="8"/>
    <s v="SS0202"/>
    <m/>
    <m/>
    <m/>
    <n v="79454.880620653479"/>
    <x v="1"/>
    <m/>
    <n v="10528.407321281551"/>
    <n v="42184.060293550596"/>
    <n v="35471.478825328893"/>
    <n v="44732.491459357952"/>
    <n v="14557"/>
    <n v="19014.843225455534"/>
    <n v="38634.024521969128"/>
    <n v="12161"/>
    <n v="13839"/>
    <n v="9559"/>
    <n v="858"/>
    <s v=""/>
    <n v="0.15000000000000002"/>
    <n v="0.55000000000000004"/>
    <n v="0.45"/>
    <n v="0.55000000000000004"/>
    <n v="0.2"/>
    <n v="0.25"/>
    <n v="0.5"/>
    <n v="0.15000000000000002"/>
    <n v="0.15000000000000002"/>
    <n v="0.1"/>
    <n v="0"/>
    <n v="44732.491459357952"/>
    <s v="Health"/>
    <n v="0.56299236887570381"/>
    <s v=""/>
    <s v=""/>
    <s v=""/>
    <n v="42184.060293550596"/>
    <s v="Nutrition"/>
    <n v="0.53091842771689068"/>
    <n v="2548.4311658073566"/>
    <n v="6.0412182897362755E-2"/>
    <s v=""/>
    <n v="38634.024521969128"/>
    <s v="WASH"/>
    <n v="0.48623853211009183"/>
    <n v="6098.4669373888246"/>
    <n v="0.15785223032927748"/>
    <s v=""/>
    <s v=""/>
    <s v="Flagged"/>
    <s v=""/>
    <s v=""/>
    <n v="4"/>
    <n v="44732.491459357952"/>
    <m/>
    <m/>
    <n v="1"/>
    <s v="Flagged"/>
    <n v="44732.491459357952"/>
    <m/>
  </r>
  <r>
    <s v=""/>
    <x v="2"/>
    <s v="SS02"/>
    <x v="9"/>
    <s v="SS0203"/>
    <m/>
    <m/>
    <m/>
    <n v="135919.18209910189"/>
    <x v="1"/>
    <m/>
    <n v="46429.992605053216"/>
    <n v="69154.097960808984"/>
    <n v="96916.824518761714"/>
    <n v="52722.460475722546"/>
    <n v="45226"/>
    <n v="70224.910751202638"/>
    <n v="108231.94130113669"/>
    <n v="17043"/>
    <n v="18652"/>
    <n v="32263"/>
    <n v="1549"/>
    <s v=""/>
    <n v="0.35000000000000003"/>
    <n v="0.5"/>
    <n v="0.70000000000000007"/>
    <n v="0.4"/>
    <n v="0.35000000000000003"/>
    <n v="0.5"/>
    <n v="0.8"/>
    <n v="0.15000000000000002"/>
    <n v="0.15000000000000002"/>
    <n v="0.25"/>
    <n v="0"/>
    <n v="108231.94130113669"/>
    <s v="WASH"/>
    <n v="0.79629629629629628"/>
    <s v=""/>
    <s v=""/>
    <s v=""/>
    <n v="96916.824518761714"/>
    <s v="Food Security"/>
    <n v="0.71304743761699041"/>
    <n v="11315.116782374971"/>
    <n v="0.11675079985915682"/>
    <s v=""/>
    <n v="70224.910751202638"/>
    <s v="Shelter"/>
    <n v="0.51666666666666661"/>
    <n v="38007.030549934047"/>
    <n v="0.54121863799283154"/>
    <s v="Flagged"/>
    <s v=""/>
    <s v=""/>
    <s v=""/>
    <s v=""/>
    <n v="4"/>
    <n v="108231.94130113669"/>
    <m/>
    <m/>
    <n v="1"/>
    <s v="Flagged"/>
    <n v="108231.94130113669"/>
    <m/>
  </r>
  <r>
    <s v=""/>
    <x v="2"/>
    <s v="SS02"/>
    <x v="10"/>
    <s v="SS0204"/>
    <m/>
    <m/>
    <m/>
    <n v="121484.03458105327"/>
    <x v="1"/>
    <m/>
    <n v="46042.449106219196"/>
    <n v="59858.47932407858"/>
    <n v="86176.646757728115"/>
    <n v="43235.42634040417"/>
    <n v="20486"/>
    <n v="89929.739884675801"/>
    <n v="62413.815931550314"/>
    <n v="17639"/>
    <n v="17795"/>
    <n v="13306"/>
    <n v="1039"/>
    <s v=""/>
    <n v="0.4"/>
    <n v="0.5"/>
    <n v="0.70000000000000007"/>
    <n v="0.35000000000000003"/>
    <n v="0.15000000000000002"/>
    <n v="0.75"/>
    <n v="0.5"/>
    <n v="0.15000000000000002"/>
    <n v="0.15000000000000002"/>
    <n v="0.1"/>
    <n v="0"/>
    <n v="89929.739884675801"/>
    <s v="Shelter"/>
    <n v="0.74025974025974028"/>
    <s v=""/>
    <s v=""/>
    <s v=""/>
    <n v="86176.646757728115"/>
    <s v="Food Security"/>
    <n v="0.70936602537868199"/>
    <n v="3753.093126947686"/>
    <n v="4.3551162271362312E-2"/>
    <s v=""/>
    <n v="62413.815931550314"/>
    <s v="WASH"/>
    <n v="0.51376146788990829"/>
    <n v="27515.923953125486"/>
    <n v="0.44086270871985139"/>
    <s v=""/>
    <s v=""/>
    <s v="Flagged"/>
    <s v=""/>
    <s v=""/>
    <n v="4"/>
    <n v="89929.739884675801"/>
    <m/>
    <m/>
    <n v="1"/>
    <s v="Flagged"/>
    <n v="89929.739884675801"/>
    <m/>
  </r>
  <r>
    <s v=""/>
    <x v="2"/>
    <s v="SS02"/>
    <x v="11"/>
    <s v="SS0205"/>
    <m/>
    <m/>
    <m/>
    <n v="79271.088602523028"/>
    <x v="1"/>
    <m/>
    <n v="19686.721186953062"/>
    <n v="37294.758549978993"/>
    <n v="35027.358509100399"/>
    <n v="38688.219690455218"/>
    <n v="14100"/>
    <n v="42994.488733571816"/>
    <n v="78537.097041388552"/>
    <n v="11205"/>
    <n v="7111"/>
    <n v="8209"/>
    <n v="899"/>
    <s v=""/>
    <n v="0.25"/>
    <n v="0.45"/>
    <n v="0.45"/>
    <n v="0.5"/>
    <n v="0.2"/>
    <n v="0.55000000000000004"/>
    <n v="1"/>
    <n v="0.15000000000000002"/>
    <n v="0.1"/>
    <n v="0.1"/>
    <n v="0"/>
    <n v="78537.097041388552"/>
    <s v="WASH"/>
    <n v="0.9907407407407407"/>
    <s v=""/>
    <s v="Flagged"/>
    <s v=""/>
    <n v="42994.488733571816"/>
    <s v="Shelter"/>
    <n v="0.5423728813559322"/>
    <n v="35542.608307816736"/>
    <n v="0.82667824074074048"/>
    <s v="Flagged"/>
    <n v="38688.219690455218"/>
    <s v="Health"/>
    <n v="0.48804955719031029"/>
    <n v="39848.877350933333"/>
    <n v="1.0300002861275228"/>
    <s v="Flagged"/>
    <s v=""/>
    <s v=""/>
    <s v=""/>
    <s v="Flagged"/>
    <n v="4"/>
    <n v="78537.097041388552"/>
    <m/>
    <m/>
    <n v="4"/>
    <s v="Flagged"/>
    <n v="78537.097041388552"/>
    <m/>
  </r>
  <r>
    <s v=""/>
    <x v="2"/>
    <s v="SS02"/>
    <x v="12"/>
    <s v="SS0206"/>
    <m/>
    <m/>
    <m/>
    <n v="107170.91979145796"/>
    <x v="1"/>
    <m/>
    <n v="5729.3573720513423"/>
    <n v="45780.758584537936"/>
    <n v="73504.163352942982"/>
    <n v="44407.930448946878"/>
    <n v="18196"/>
    <n v="26792.729947864493"/>
    <n v="31342.438806935817"/>
    <n v="14801"/>
    <n v="15473"/>
    <n v="10898"/>
    <n v="1114"/>
    <s v=""/>
    <n v="0.05"/>
    <n v="0.45"/>
    <n v="0.70000000000000007"/>
    <n v="0.4"/>
    <n v="0.15000000000000002"/>
    <n v="0.25"/>
    <n v="0.30000000000000004"/>
    <n v="0.15000000000000002"/>
    <n v="0.15000000000000002"/>
    <n v="0.1"/>
    <n v="0"/>
    <n v="73504.163352942982"/>
    <s v="Food Security"/>
    <n v="0.68585921904909897"/>
    <s v=""/>
    <s v=""/>
    <s v=""/>
    <n v="45780.758584537936"/>
    <s v="Nutrition"/>
    <n v="0.42717519522667086"/>
    <n v="27723.404768405046"/>
    <n v="0.60556892514595406"/>
    <s v="Flagged"/>
    <n v="44407.930448946878"/>
    <s v="Health"/>
    <n v="0.41436548772147802"/>
    <n v="29096.232903996104"/>
    <n v="0.65520353256376784"/>
    <s v="Flagged"/>
    <s v=""/>
    <s v=""/>
    <s v=""/>
    <s v=""/>
    <n v="4"/>
    <n v="73504.163352942982"/>
    <m/>
    <m/>
    <n v="2"/>
    <s v="Flagged"/>
    <n v="73504.163352942982"/>
    <m/>
  </r>
  <r>
    <s v=""/>
    <x v="2"/>
    <s v="SS02"/>
    <x v="13"/>
    <s v="SS0207"/>
    <m/>
    <m/>
    <m/>
    <n v="159337.28264572358"/>
    <x v="1"/>
    <m/>
    <n v="10479.4059411418"/>
    <n v="67879.22486518354"/>
    <n v="38586.597027883196"/>
    <n v="83224.483891593016"/>
    <n v="54019"/>
    <n v="10448.346402998268"/>
    <n v="55097.938858801615"/>
    <n v="18904"/>
    <n v="23617"/>
    <n v="51358"/>
    <n v="2034"/>
    <s v=""/>
    <n v="0.05"/>
    <n v="0.45"/>
    <n v="0.25"/>
    <n v="0.5"/>
    <n v="0.35000000000000003"/>
    <n v="0.05"/>
    <n v="0.35000000000000003"/>
    <n v="0.1"/>
    <n v="0.15000000000000002"/>
    <n v="0.30000000000000004"/>
    <n v="0"/>
    <n v="83224.483891593016"/>
    <s v="Health"/>
    <n v="0.52231645042320329"/>
    <s v=""/>
    <s v=""/>
    <s v=""/>
    <n v="67879.22486518354"/>
    <s v="Nutrition"/>
    <n v="0.42600968045946108"/>
    <n v="15345.259026409476"/>
    <n v="0.22606709279440126"/>
    <s v=""/>
    <n v="55097.938858801615"/>
    <s v="WASH"/>
    <n v="0.34579439252336452"/>
    <n v="28126.5450327914"/>
    <n v="0.5104827079806149"/>
    <s v="Flagged"/>
    <s v=""/>
    <s v="Flagged"/>
    <s v=""/>
    <s v=""/>
    <n v="4"/>
    <n v="83224.483891593016"/>
    <m/>
    <m/>
    <n v="2"/>
    <s v="Flagged"/>
    <n v="83224.483891593016"/>
    <m/>
  </r>
  <r>
    <s v=""/>
    <x v="2"/>
    <s v="SS02"/>
    <x v="14"/>
    <s v="SS0208"/>
    <m/>
    <m/>
    <m/>
    <n v="47474.399116158442"/>
    <x v="1"/>
    <m/>
    <n v="5311.3408243175745"/>
    <n v="30283.540237307421"/>
    <n v="26656.881066419981"/>
    <n v="37597.565887588869"/>
    <n v="15714"/>
    <n v="26110.919513887144"/>
    <n v="32800.493934800375"/>
    <n v="3757"/>
    <n v="10269"/>
    <n v="15593"/>
    <n v="469"/>
    <s v=""/>
    <n v="0.1"/>
    <n v="0.65"/>
    <n v="0.55000000000000004"/>
    <n v="0.8"/>
    <n v="0.35000000000000003"/>
    <n v="0.55000000000000004"/>
    <n v="0.70000000000000007"/>
    <n v="0.1"/>
    <n v="0.2"/>
    <n v="0.35000000000000003"/>
    <n v="0"/>
    <n v="37597.565887588869"/>
    <s v="Health"/>
    <n v="0.7919545394476013"/>
    <s v=""/>
    <s v=""/>
    <s v=""/>
    <n v="32800.493934800375"/>
    <s v="WASH"/>
    <n v="0.69090909090909081"/>
    <n v="4797.0719527884939"/>
    <n v="0.14624999130573882"/>
    <s v=""/>
    <n v="30283.540237307421"/>
    <s v="Nutrition"/>
    <n v="0.63789201761587078"/>
    <n v="7314.0256502814482"/>
    <n v="0.24151818423365931"/>
    <s v=""/>
    <s v=""/>
    <s v="Flagged"/>
    <s v=""/>
    <s v=""/>
    <n v="4"/>
    <n v="37597.565887588869"/>
    <m/>
    <m/>
    <n v="1"/>
    <s v="Flagged"/>
    <n v="37597.565887588869"/>
    <m/>
  </r>
  <r>
    <s v=""/>
    <x v="3"/>
    <s v="SS03"/>
    <x v="15"/>
    <s v="SS0301"/>
    <m/>
    <m/>
    <m/>
    <n v="146807.46329287597"/>
    <x v="1"/>
    <m/>
    <n v="28955.129600180513"/>
    <n v="85498.20173389159"/>
    <n v="126136.8235023275"/>
    <n v="78587.456294377014"/>
    <n v="57549"/>
    <n v="101635.93612583721"/>
    <n v="73403.731646437984"/>
    <n v="22813"/>
    <n v="23860"/>
    <n v="51289"/>
    <n v="3684"/>
    <s v=""/>
    <n v="0.2"/>
    <n v="0.60000000000000009"/>
    <n v="0.85000000000000009"/>
    <n v="0.55000000000000004"/>
    <n v="0.4"/>
    <n v="0.70000000000000007"/>
    <n v="0.5"/>
    <n v="0.15000000000000002"/>
    <n v="0.15000000000000002"/>
    <n v="0.35000000000000003"/>
    <n v="0.05"/>
    <n v="126136.8235023275"/>
    <s v="Food Security"/>
    <n v="0.85919898534510308"/>
    <s v=""/>
    <s v=""/>
    <s v=""/>
    <n v="101635.93612583721"/>
    <s v="Shelter"/>
    <n v="0.69230769230769229"/>
    <n v="24500.887376490296"/>
    <n v="0.24106520105403786"/>
    <s v=""/>
    <n v="85498.20173389159"/>
    <s v="Nutrition"/>
    <n v="0.58238321006422911"/>
    <n v="40638.621768435914"/>
    <n v="0.4753155147627709"/>
    <s v=""/>
    <s v=""/>
    <s v=""/>
    <s v=""/>
    <s v="Flagged"/>
    <n v="4"/>
    <n v="126136.8235023275"/>
    <m/>
    <m/>
    <n v="1"/>
    <s v="Flagged"/>
    <n v="126136.8235023275"/>
    <m/>
  </r>
  <r>
    <s v=""/>
    <x v="3"/>
    <s v="SS03"/>
    <x v="16"/>
    <s v="SS0302"/>
    <m/>
    <m/>
    <m/>
    <n v="126785.47631993188"/>
    <x v="1"/>
    <m/>
    <n v="17472.052920697173"/>
    <n v="55020.705877044304"/>
    <n v="93800.145733472207"/>
    <n v="56927.12951178303"/>
    <n v="44328"/>
    <n v="55823.455991611794"/>
    <n v="108231.50417555163"/>
    <n v="36633"/>
    <n v="30353"/>
    <n v="4739"/>
    <n v="3024"/>
    <s v=""/>
    <n v="0.15000000000000002"/>
    <n v="0.45"/>
    <n v="0.75"/>
    <n v="0.45"/>
    <n v="0.35000000000000003"/>
    <n v="0.45"/>
    <n v="0.85000000000000009"/>
    <n v="0.30000000000000004"/>
    <n v="0.25"/>
    <n v="0.05"/>
    <n v="0"/>
    <n v="108231.50417555163"/>
    <s v="WASH"/>
    <n v="0.85365853658536606"/>
    <s v=""/>
    <s v=""/>
    <s v=""/>
    <n v="93800.145733472207"/>
    <s v="Food Security"/>
    <n v="0.73983352396591451"/>
    <n v="14431.358442079421"/>
    <n v="0.1538521963823522"/>
    <s v=""/>
    <n v="56927.12951178303"/>
    <s v="Health"/>
    <n v="0.44900355438293638"/>
    <n v="51304.374663768598"/>
    <n v="0.90122890621332652"/>
    <s v="Flagged"/>
    <s v=""/>
    <s v=""/>
    <s v=""/>
    <s v=""/>
    <n v="4"/>
    <n v="108231.50417555163"/>
    <m/>
    <m/>
    <n v="1"/>
    <s v="Flagged"/>
    <n v="108231.50417555163"/>
    <m/>
  </r>
  <r>
    <s v=""/>
    <x v="3"/>
    <s v="SS03"/>
    <x v="17"/>
    <s v="SS0303"/>
    <m/>
    <m/>
    <m/>
    <n v="191777.77641387403"/>
    <x v="1"/>
    <m/>
    <n v="38783.219724177747"/>
    <n v="96420.643217037126"/>
    <n v="45820.494914653173"/>
    <n v="106537.69719115124"/>
    <n v="65882"/>
    <n v="157119.14212221006"/>
    <n v="90561.72775099607"/>
    <n v="27469"/>
    <n v="15259"/>
    <n v="19520"/>
    <n v="3717"/>
    <s v=""/>
    <n v="0.2"/>
    <n v="0.5"/>
    <n v="0.25"/>
    <n v="0.55000000000000004"/>
    <n v="0.35000000000000003"/>
    <n v="0.8"/>
    <n v="0.45"/>
    <n v="0.15000000000000002"/>
    <n v="0.1"/>
    <n v="0.1"/>
    <n v="0"/>
    <n v="157119.14212221006"/>
    <s v="Shelter"/>
    <n v="0.81927710843373502"/>
    <s v=""/>
    <s v=""/>
    <s v=""/>
    <n v="106537.69719115124"/>
    <s v="Health"/>
    <n v="0.55552681433344553"/>
    <n v="50581.444931058824"/>
    <n v="0.47477509148996322"/>
    <s v="Flagged"/>
    <n v="96420.643217037126"/>
    <s v="Nutrition"/>
    <n v="0.50277276658455217"/>
    <n v="60698.498905172935"/>
    <n v="0.6295176725646211"/>
    <s v="Flagged"/>
    <s v=""/>
    <s v="Flagged"/>
    <s v=""/>
    <s v="Flagged"/>
    <n v="4"/>
    <n v="157119.14212221006"/>
    <m/>
    <m/>
    <n v="4"/>
    <s v="Flagged"/>
    <n v="157119.14212221006"/>
    <m/>
  </r>
  <r>
    <s v=""/>
    <x v="3"/>
    <s v="SS03"/>
    <x v="18"/>
    <s v="SS0304"/>
    <m/>
    <m/>
    <m/>
    <n v="32762.733973342118"/>
    <x v="1"/>
    <m/>
    <n v="4590.8780980145648"/>
    <n v="16245.83624605341"/>
    <n v="28785.298326178607"/>
    <n v="24135.055253750837"/>
    <n v="11168"/>
    <n v="25482.126423710535"/>
    <n v="31549.299381736855"/>
    <n v="4440"/>
    <n v="6210"/>
    <n v="7925"/>
    <n v="631"/>
    <s v=""/>
    <n v="0.15000000000000002"/>
    <n v="0.5"/>
    <n v="0.9"/>
    <n v="0.75"/>
    <n v="0.35000000000000003"/>
    <n v="0.8"/>
    <n v="0.95000000000000007"/>
    <n v="0.15000000000000002"/>
    <n v="0.2"/>
    <n v="0.25"/>
    <n v="0"/>
    <n v="31549.299381736855"/>
    <s v="WASH"/>
    <n v="0.96296296296296302"/>
    <s v=""/>
    <s v="Flagged"/>
    <s v=""/>
    <n v="28785.298326178607"/>
    <s v="Food Security"/>
    <n v="0.8785987869510582"/>
    <n v="2764.0010555582485"/>
    <n v="9.602127531346602E-2"/>
    <s v=""/>
    <n v="25482.126423710535"/>
    <s v="Shelter"/>
    <n v="0.77777777777777779"/>
    <n v="6067.17295802632"/>
    <n v="0.23809523809523817"/>
    <s v=""/>
    <s v=""/>
    <s v=""/>
    <s v=""/>
    <s v=""/>
    <n v="4"/>
    <n v="31549.299381736855"/>
    <m/>
    <m/>
    <n v="1"/>
    <s v="Flagged"/>
    <n v="31549.299381736855"/>
    <m/>
  </r>
  <r>
    <s v=""/>
    <x v="3"/>
    <s v="SS03"/>
    <x v="19"/>
    <s v="SS0305"/>
    <m/>
    <m/>
    <m/>
    <n v="95901.718428606313"/>
    <x v="1"/>
    <m/>
    <n v="10794.697426323926"/>
    <n v="47590.815393860707"/>
    <n v="66895.029767823638"/>
    <n v="63790.367415290682"/>
    <n v="32952"/>
    <n v="90800.563193042151"/>
    <n v="45286.922591286311"/>
    <n v="13326"/>
    <n v="20357"/>
    <n v="10103"/>
    <n v="1978"/>
    <s v=""/>
    <n v="0.1"/>
    <n v="0.5"/>
    <n v="0.70000000000000007"/>
    <n v="0.65"/>
    <n v="0.35000000000000003"/>
    <n v="0.95000000000000007"/>
    <n v="0.45"/>
    <n v="0.15000000000000002"/>
    <n v="0.2"/>
    <n v="0.1"/>
    <n v="0"/>
    <n v="90800.563193042151"/>
    <s v="Shelter"/>
    <n v="0.94680851063829796"/>
    <s v=""/>
    <s v="Flagged"/>
    <s v=""/>
    <n v="66895.029767823638"/>
    <s v="Food Security"/>
    <n v="0.6975373420198242"/>
    <n v="23905.533425218513"/>
    <n v="0.35735888762122986"/>
    <s v="Flagged"/>
    <n v="63790.367415290682"/>
    <s v="Health"/>
    <n v="0.66516396640774678"/>
    <n v="27010.195777751469"/>
    <n v="0.42342122913179941"/>
    <s v=""/>
    <s v=""/>
    <s v="Flagged"/>
    <s v=""/>
    <s v=""/>
    <n v="4"/>
    <n v="90800.563193042151"/>
    <m/>
    <m/>
    <n v="3"/>
    <s v="Flagged"/>
    <n v="90800.563193042151"/>
    <m/>
  </r>
  <r>
    <s v=""/>
    <x v="3"/>
    <s v="SS03"/>
    <x v="20"/>
    <s v="SS0306"/>
    <m/>
    <m/>
    <m/>
    <n v="57313.644275077953"/>
    <x v="1"/>
    <m/>
    <n v="13139.840713792923"/>
    <n v="25342.82396965627"/>
    <n v="49721.189721641669"/>
    <n v="37328.895143262234"/>
    <n v="20380"/>
    <n v="30861.193071195819"/>
    <n v="45107.960772052087"/>
    <n v="18114"/>
    <n v="8849"/>
    <n v="15142"/>
    <n v="1252"/>
    <s v=""/>
    <n v="0.25"/>
    <n v="0.45"/>
    <n v="0.85000000000000009"/>
    <n v="0.65"/>
    <n v="0.35000000000000003"/>
    <n v="0.55000000000000004"/>
    <n v="0.8"/>
    <n v="0.30000000000000004"/>
    <n v="0.15000000000000002"/>
    <n v="0.25"/>
    <n v="0"/>
    <n v="49721.189721641669"/>
    <s v="Food Security"/>
    <n v="0.86752797436861373"/>
    <s v=""/>
    <s v=""/>
    <s v=""/>
    <n v="45107.960772052087"/>
    <s v="WASH"/>
    <n v="0.78703703703703698"/>
    <n v="4613.228949589582"/>
    <n v="0.10227083802129754"/>
    <s v=""/>
    <n v="37328.895143262234"/>
    <s v="Health"/>
    <n v="0.65130904892561836"/>
    <n v="12392.294578379435"/>
    <n v="0.33197592724938207"/>
    <s v=""/>
    <s v=""/>
    <s v=""/>
    <s v=""/>
    <s v=""/>
    <n v="4"/>
    <n v="49721.189721641669"/>
    <m/>
    <m/>
    <n v="0"/>
    <s v=""/>
    <n v="49721.189721641669"/>
    <m/>
  </r>
  <r>
    <s v=""/>
    <x v="3"/>
    <s v="SS03"/>
    <x v="21"/>
    <s v="SS0307"/>
    <m/>
    <m/>
    <m/>
    <n v="65001.764922770279"/>
    <x v="1"/>
    <m/>
    <n v="22593.352452915449"/>
    <n v="35489.870692616212"/>
    <n v="48712.090327487043"/>
    <n v="45826.429946831784"/>
    <n v="22360"/>
    <n v="47896.037311514949"/>
    <n v="44538.246335972239"/>
    <n v="9414"/>
    <n v="8789"/>
    <n v="2186"/>
    <n v="1194"/>
    <s v=""/>
    <n v="0.35000000000000003"/>
    <n v="0.55000000000000004"/>
    <n v="0.75"/>
    <n v="0.70000000000000007"/>
    <n v="0.35000000000000003"/>
    <n v="0.75"/>
    <n v="0.70000000000000007"/>
    <n v="0.15000000000000002"/>
    <n v="0.15000000000000002"/>
    <n v="0.05"/>
    <n v="0"/>
    <n v="48712.090327487043"/>
    <s v="Food Security"/>
    <n v="0.74939642616416213"/>
    <s v=""/>
    <s v=""/>
    <s v=""/>
    <n v="47896.037311514949"/>
    <s v="Shelter"/>
    <n v="0.73684210526315796"/>
    <n v="816.05301597209473"/>
    <n v="1.7038006937077087E-2"/>
    <s v=""/>
    <n v="45826.429946831784"/>
    <s v="Health"/>
    <n v="0.70500285648057337"/>
    <n v="2885.6603806552594"/>
    <n v="6.296934725230019E-2"/>
    <s v=""/>
    <s v=""/>
    <s v=""/>
    <s v=""/>
    <s v="Flagged"/>
    <n v="4"/>
    <n v="48712.090327487043"/>
    <m/>
    <m/>
    <n v="1"/>
    <s v="Flagged"/>
    <n v="48712.090327487043"/>
    <m/>
  </r>
  <r>
    <s v=""/>
    <x v="3"/>
    <s v="SS03"/>
    <x v="22"/>
    <s v="SS0308"/>
    <m/>
    <m/>
    <m/>
    <n v="146214.98577625639"/>
    <x v="1"/>
    <m/>
    <n v="41898.489034129365"/>
    <n v="88990.012388021394"/>
    <n v="116811.30925544295"/>
    <n v="89058.581669314983"/>
    <n v="48790"/>
    <n v="77309.072939170044"/>
    <n v="119138.13655843114"/>
    <n v="42002"/>
    <n v="32624"/>
    <n v="5156"/>
    <n v="3277"/>
    <s v=""/>
    <n v="0.30000000000000004"/>
    <n v="0.60000000000000009"/>
    <n v="0.8"/>
    <n v="0.60000000000000009"/>
    <n v="0.35000000000000003"/>
    <n v="0.55000000000000004"/>
    <n v="0.8"/>
    <n v="0.30000000000000004"/>
    <n v="0.2"/>
    <n v="0.05"/>
    <n v="0"/>
    <n v="119138.13655843114"/>
    <s v="WASH"/>
    <n v="0.81481481481481488"/>
    <s v=""/>
    <s v=""/>
    <s v=""/>
    <n v="116811.30925544295"/>
    <s v="Food Security"/>
    <n v="0.798901074573792"/>
    <n v="2326.8273029881966"/>
    <n v="1.9919537909637595E-2"/>
    <s v=""/>
    <n v="89058.581669314983"/>
    <s v="Health"/>
    <n v="0.60909339214788649"/>
    <n v="30079.55488911616"/>
    <n v="0.33775021256014492"/>
    <s v=""/>
    <s v=""/>
    <s v=""/>
    <s v=""/>
    <s v=""/>
    <n v="4"/>
    <n v="119138.13655843114"/>
    <m/>
    <m/>
    <n v="0"/>
    <s v=""/>
    <n v="119138.13655843114"/>
    <m/>
  </r>
  <r>
    <s v=""/>
    <x v="3"/>
    <s v="SS03"/>
    <x v="23"/>
    <s v="SS0309"/>
    <m/>
    <m/>
    <m/>
    <n v="50788.148876183637"/>
    <x v="1"/>
    <m/>
    <n v="6521.8077734884937"/>
    <n v="22891.875571757526"/>
    <n v="34279.491171084221"/>
    <n v="32117.106103601607"/>
    <n v="17143"/>
    <n v="38340.073171236669"/>
    <n v="1863.7852798599502"/>
    <n v="6730"/>
    <n v="6948"/>
    <n v="15022"/>
    <n v="549"/>
    <s v=""/>
    <n v="0.15000000000000002"/>
    <n v="0.45"/>
    <n v="0.65"/>
    <n v="0.65"/>
    <n v="0.35000000000000003"/>
    <n v="0.75"/>
    <n v="0.05"/>
    <n v="0.15000000000000002"/>
    <n v="0.15000000000000002"/>
    <n v="0.30000000000000004"/>
    <n v="0"/>
    <n v="38340.073171236669"/>
    <s v="Shelter"/>
    <n v="0.75490196078431371"/>
    <s v=""/>
    <s v=""/>
    <s v=""/>
    <n v="34279.491171084221"/>
    <s v="Food Security"/>
    <n v="0.6749505924040301"/>
    <n v="4060.582000152448"/>
    <n v="0.11845514216902002"/>
    <s v=""/>
    <n v="32117.106103601607"/>
    <s v="Health"/>
    <n v="0.63237402453670555"/>
    <n v="6222.9670676350615"/>
    <n v="0.19375864835272999"/>
    <s v=""/>
    <s v=""/>
    <s v="Flagged"/>
    <s v=""/>
    <s v=""/>
    <n v="4"/>
    <n v="38340.073171236669"/>
    <m/>
    <m/>
    <n v="1"/>
    <s v="Flagged"/>
    <n v="38340.073171236669"/>
    <m/>
  </r>
  <r>
    <s v=""/>
    <x v="3"/>
    <s v="SS03"/>
    <x v="24"/>
    <s v="SS0310"/>
    <m/>
    <m/>
    <m/>
    <n v="77537.996273544151"/>
    <x v="1"/>
    <m/>
    <n v="21646.670109666691"/>
    <n v="39149.946887182959"/>
    <n v="56785.48513022079"/>
    <n v="43225.538681770711"/>
    <n v="12858"/>
    <n v="73931.577842216517"/>
    <n v="51691.997515696101"/>
    <n v="9443"/>
    <n v="11572"/>
    <n v="7991"/>
    <n v="953"/>
    <s v=""/>
    <n v="0.30000000000000004"/>
    <n v="0.5"/>
    <n v="0.75"/>
    <n v="0.55000000000000004"/>
    <n v="0.15000000000000002"/>
    <n v="0.95000000000000007"/>
    <n v="0.65"/>
    <n v="0.1"/>
    <n v="0.15000000000000002"/>
    <n v="0.1"/>
    <n v="0"/>
    <n v="73931.577842216517"/>
    <s v="Shelter"/>
    <n v="0.95348837209302328"/>
    <s v=""/>
    <s v="Flagged"/>
    <s v=""/>
    <n v="56785.48513022079"/>
    <s v="Food Security"/>
    <n v="0.73235688126230203"/>
    <n v="17146.092711995727"/>
    <n v="0.30194498951054505"/>
    <s v="Flagged"/>
    <n v="51691.997515696101"/>
    <s v="WASH"/>
    <n v="0.66666666666666663"/>
    <n v="22239.580326520416"/>
    <n v="0.43023255813953487"/>
    <s v=""/>
    <s v=""/>
    <s v="Flagged"/>
    <s v=""/>
    <s v=""/>
    <n v="4"/>
    <n v="73931.577842216517"/>
    <m/>
    <m/>
    <n v="3"/>
    <s v="Flagged"/>
    <n v="73931.577842216517"/>
    <m/>
  </r>
  <r>
    <s v=""/>
    <x v="3"/>
    <s v="SS03"/>
    <x v="25"/>
    <s v="SS0311"/>
    <m/>
    <m/>
    <m/>
    <n v="136551.06257292113"/>
    <x v="1"/>
    <m/>
    <n v="33504.714917142221"/>
    <n v="91212.578352857352"/>
    <n v="111287.51700986865"/>
    <n v="65466.945842073503"/>
    <n v="47365"/>
    <n v="29586.063557466245"/>
    <n v="113792.55214410093"/>
    <n v="19912"/>
    <n v="20586"/>
    <n v="4760"/>
    <n v="2743"/>
    <s v=""/>
    <n v="0.25"/>
    <n v="0.65"/>
    <n v="0.8"/>
    <n v="0.5"/>
    <n v="0.35000000000000003"/>
    <n v="0.2"/>
    <n v="0.85000000000000009"/>
    <n v="0.15000000000000002"/>
    <n v="0.15000000000000002"/>
    <n v="0.05"/>
    <n v="0"/>
    <n v="113792.55214410093"/>
    <s v="WASH"/>
    <n v="0.83333333333333326"/>
    <s v=""/>
    <s v=""/>
    <s v=""/>
    <n v="111287.51700986865"/>
    <s v="Food Security"/>
    <n v="0.81498829018953101"/>
    <n v="2505.0351342322829"/>
    <n v="2.2509578805771573E-2"/>
    <s v=""/>
    <n v="91212.578352857352"/>
    <s v="Nutrition"/>
    <n v="0.66797413827627983"/>
    <n v="22579.973791243581"/>
    <n v="0.2475532892392602"/>
    <s v=""/>
    <s v=""/>
    <s v=""/>
    <s v=""/>
    <s v=""/>
    <n v="4"/>
    <n v="113792.55214410093"/>
    <m/>
    <m/>
    <n v="0"/>
    <s v=""/>
    <n v="113792.55214410093"/>
    <m/>
  </r>
  <r>
    <s v=""/>
    <x v="4"/>
    <s v="SS04"/>
    <x v="26"/>
    <s v="SS0401"/>
    <m/>
    <m/>
    <m/>
    <n v="73916.557684246116"/>
    <x v="1"/>
    <m/>
    <n v="28316.767999815525"/>
    <n v="33140.051502320777"/>
    <n v="48041.145218213831"/>
    <n v="36149.518888864797"/>
    <n v="12054"/>
    <n v="46197.848552653828"/>
    <n v="55437.418263184583"/>
    <n v="4967"/>
    <n v="6711"/>
    <n v="2874"/>
    <n v="1343"/>
    <s v=""/>
    <n v="0.4"/>
    <n v="0.45"/>
    <n v="0.65"/>
    <n v="0.5"/>
    <n v="0.15000000000000002"/>
    <n v="0.65"/>
    <n v="0.75"/>
    <n v="0.05"/>
    <n v="0.1"/>
    <n v="0.05"/>
    <n v="0"/>
    <n v="55437.418263184583"/>
    <s v="WASH"/>
    <n v="0.75"/>
    <s v=""/>
    <s v=""/>
    <s v=""/>
    <n v="48041.145218213831"/>
    <s v="Food Security"/>
    <n v="0.64993753393433351"/>
    <n v="7396.2730449707524"/>
    <n v="0.15395705101065335"/>
    <s v=""/>
    <n v="46197.848552653828"/>
    <s v="Shelter"/>
    <n v="0.62500000000000011"/>
    <n v="9239.5697105307554"/>
    <n v="0.19999999999999979"/>
    <s v=""/>
    <s v=""/>
    <s v=""/>
    <s v=""/>
    <s v=""/>
    <n v="4"/>
    <n v="55437.418263184583"/>
    <m/>
    <m/>
    <n v="0"/>
    <s v=""/>
    <n v="55437.418263184583"/>
    <m/>
  </r>
  <r>
    <s v=""/>
    <x v="4"/>
    <s v="SS04"/>
    <x v="27"/>
    <s v="SS0402"/>
    <m/>
    <m/>
    <m/>
    <n v="143892.97660154747"/>
    <x v="1"/>
    <m/>
    <n v="40309.746786227704"/>
    <n v="60960.105528764623"/>
    <n v="74557.836210395471"/>
    <n v="60316.192018614078"/>
    <n v="25325"/>
    <n v="45865.886291743263"/>
    <n v="94596.308691758051"/>
    <n v="20531"/>
    <n v="12966"/>
    <n v="4944"/>
    <n v="3204"/>
    <s v=""/>
    <n v="0.30000000000000004"/>
    <n v="0.4"/>
    <n v="0.5"/>
    <n v="0.4"/>
    <n v="0.2"/>
    <n v="0.30000000000000004"/>
    <n v="0.65"/>
    <n v="0.15000000000000002"/>
    <n v="0.1"/>
    <n v="0.05"/>
    <n v="0"/>
    <n v="94596.308691758051"/>
    <s v="WASH"/>
    <n v="0.65740740740740733"/>
    <s v=""/>
    <s v=""/>
    <s v=""/>
    <n v="74557.836210395471"/>
    <s v="Food Security"/>
    <n v="0.51814784829180915"/>
    <n v="20038.47248136258"/>
    <n v="0.26876413667392146"/>
    <s v=""/>
    <n v="60960.105528764623"/>
    <s v="Nutrition"/>
    <n v="0.42364892970119461"/>
    <n v="33636.203162993428"/>
    <n v="0.55177403108532774"/>
    <s v="Flagged"/>
    <s v=""/>
    <s v=""/>
    <s v=""/>
    <s v=""/>
    <n v="4"/>
    <n v="94596.308691758051"/>
    <m/>
    <m/>
    <n v="1"/>
    <s v="Flagged"/>
    <n v="94596.308691758051"/>
    <m/>
  </r>
  <r>
    <s v=""/>
    <x v="4"/>
    <s v="SS04"/>
    <x v="28"/>
    <s v="SS0403"/>
    <m/>
    <m/>
    <m/>
    <n v="170865.34327385121"/>
    <x v="1"/>
    <m/>
    <n v="45062.31698161277"/>
    <n v="71721.243285350851"/>
    <n v="122051.75161431311"/>
    <n v="85666.530459267466"/>
    <n v="31928"/>
    <n v="125533.7215889519"/>
    <n v="83081.313701964347"/>
    <n v="16187"/>
    <n v="15308"/>
    <n v="6258"/>
    <n v="1767"/>
    <s v=""/>
    <n v="0.25"/>
    <n v="0.4"/>
    <n v="0.70000000000000007"/>
    <n v="0.5"/>
    <n v="0.2"/>
    <n v="0.75"/>
    <n v="0.5"/>
    <n v="0.1"/>
    <n v="0.1"/>
    <n v="0.05"/>
    <n v="0"/>
    <n v="125533.7215889519"/>
    <s v="Shelter"/>
    <n v="0.73469387755102034"/>
    <s v=""/>
    <s v=""/>
    <s v=""/>
    <n v="122051.75161431311"/>
    <s v="Food Security"/>
    <n v="0.71431543270127618"/>
    <n v="3481.9699746387923"/>
    <n v="2.8528635833444761E-2"/>
    <s v=""/>
    <n v="85666.530459267466"/>
    <s v="Health"/>
    <n v="0.50136867323625156"/>
    <n v="39867.191129684434"/>
    <n v="0.46537651187636692"/>
    <s v=""/>
    <s v=""/>
    <s v="Flagged"/>
    <s v=""/>
    <s v=""/>
    <n v="4"/>
    <n v="125533.7215889519"/>
    <m/>
    <m/>
    <n v="1"/>
    <s v="Flagged"/>
    <n v="125533.7215889519"/>
    <m/>
  </r>
  <r>
    <s v=""/>
    <x v="4"/>
    <s v="SS04"/>
    <x v="29"/>
    <s v="SS0404"/>
    <m/>
    <m/>
    <m/>
    <n v="131576.89060543224"/>
    <x v="1"/>
    <m/>
    <n v="18835.626620839445"/>
    <n v="56307.380382966548"/>
    <n v="101074.03044545196"/>
    <n v="47796.308772506978"/>
    <n v="21803"/>
    <n v="112657.3377079191"/>
    <n v="70661.663473287685"/>
    <n v="18943"/>
    <n v="11696"/>
    <n v="13164"/>
    <n v="1230"/>
    <s v=""/>
    <n v="0.15000000000000002"/>
    <n v="0.45"/>
    <n v="0.75"/>
    <n v="0.35000000000000003"/>
    <n v="0.15000000000000002"/>
    <n v="0.85000000000000009"/>
    <n v="0.55000000000000004"/>
    <n v="0.15000000000000002"/>
    <n v="0.1"/>
    <n v="0.1"/>
    <n v="0"/>
    <n v="112657.3377079191"/>
    <s v="Shelter"/>
    <n v="0.85620915032679734"/>
    <s v=""/>
    <s v=""/>
    <s v=""/>
    <n v="101074.03044545196"/>
    <s v="Food Security"/>
    <n v="0.76817463902950034"/>
    <n v="11583.307262467133"/>
    <n v="0.11460220999813062"/>
    <s v=""/>
    <n v="70661.663473287685"/>
    <s v="WASH"/>
    <n v="0.53703703703703698"/>
    <n v="41995.674234631413"/>
    <n v="0.59432048681541572"/>
    <s v="Flagged"/>
    <s v=""/>
    <s v="Flagged"/>
    <s v=""/>
    <s v=""/>
    <n v="4"/>
    <n v="112657.3377079191"/>
    <m/>
    <m/>
    <n v="2"/>
    <s v="Flagged"/>
    <n v="112657.3377079191"/>
    <m/>
  </r>
  <r>
    <s v=""/>
    <x v="4"/>
    <s v="SS04"/>
    <x v="30"/>
    <s v="SS0405"/>
    <m/>
    <m/>
    <m/>
    <n v="38561.747092505328"/>
    <x v="1"/>
    <m/>
    <n v="10486.134448612065"/>
    <n v="16182.957998996868"/>
    <n v="27348.681271690366"/>
    <n v="20586.504692959457"/>
    <n v="6436"/>
    <n v="15131.824808451458"/>
    <n v="7141.064276389875"/>
    <n v="5033"/>
    <n v="3131"/>
    <n v="1354"/>
    <n v="782"/>
    <s v=""/>
    <n v="0.25"/>
    <n v="0.4"/>
    <n v="0.70000000000000007"/>
    <n v="0.55000000000000004"/>
    <n v="0.15000000000000002"/>
    <n v="0.4"/>
    <n v="0.2"/>
    <n v="0.15000000000000002"/>
    <n v="0.1"/>
    <n v="0.05"/>
    <n v="0"/>
    <n v="27348.681271690366"/>
    <s v="Food Security"/>
    <n v="0.70921789944018698"/>
    <s v=""/>
    <s v=""/>
    <s v=""/>
    <n v="20586.504692959457"/>
    <s v="Health"/>
    <n v="0.53385819484720776"/>
    <n v="6762.1765787309087"/>
    <n v="0.32847618765722569"/>
    <s v="Flagged"/>
    <n v="16182.957998996868"/>
    <s v="Nutrition"/>
    <n v="0.41966350643231382"/>
    <n v="11165.723272693498"/>
    <n v="0.68996800667625946"/>
    <s v="Flagged"/>
    <s v=""/>
    <s v=""/>
    <s v=""/>
    <s v="Flagged"/>
    <n v="4"/>
    <n v="27348.681271690366"/>
    <m/>
    <m/>
    <n v="3"/>
    <s v="Flagged"/>
    <n v="27348.681271690366"/>
    <m/>
  </r>
  <r>
    <s v=""/>
    <x v="4"/>
    <s v="SS04"/>
    <x v="31"/>
    <s v="SS0406"/>
    <m/>
    <m/>
    <m/>
    <n v="62742.537670413069"/>
    <x v="1"/>
    <m/>
    <n v="9636.1871630350524"/>
    <n v="29012.825895570022"/>
    <n v="15777.743487865606"/>
    <n v="30888.444202554321"/>
    <n v="10952"/>
    <n v="8783.9552738578313"/>
    <n v="34856.965372451705"/>
    <n v="9156"/>
    <n v="5347"/>
    <n v="2037"/>
    <n v="653"/>
    <s v=""/>
    <n v="0.15000000000000002"/>
    <n v="0.45"/>
    <n v="0.25"/>
    <n v="0.5"/>
    <n v="0.15000000000000002"/>
    <n v="0.15000000000000002"/>
    <n v="0.55000000000000004"/>
    <n v="0.15000000000000002"/>
    <n v="0.1"/>
    <n v="0.05"/>
    <n v="0"/>
    <n v="34856.965372451705"/>
    <s v="WASH"/>
    <n v="0.55555555555555558"/>
    <s v=""/>
    <s v=""/>
    <s v=""/>
    <n v="30888.444202554321"/>
    <s v="Health"/>
    <n v="0.4923046684023446"/>
    <n v="3968.5211698973835"/>
    <n v="0.12847915368845952"/>
    <s v=""/>
    <n v="29012.825895570022"/>
    <s v="Nutrition"/>
    <n v="0.46241078178849848"/>
    <n v="5844.1394768816826"/>
    <n v="0.20143296271508754"/>
    <s v=""/>
    <s v=""/>
    <s v=""/>
    <s v=""/>
    <s v="Flagged"/>
    <n v="4"/>
    <n v="34856.965372451705"/>
    <m/>
    <m/>
    <n v="1"/>
    <s v="Flagged"/>
    <n v="34856.965372451705"/>
    <m/>
  </r>
  <r>
    <s v=""/>
    <x v="4"/>
    <s v="SS04"/>
    <x v="32"/>
    <s v="SS0407"/>
    <m/>
    <m/>
    <m/>
    <n v="110327.5657380367"/>
    <x v="1"/>
    <m/>
    <n v="18386.088830243818"/>
    <n v="46595.779523535297"/>
    <n v="82693.25618815895"/>
    <n v="42489.681055796951"/>
    <n v="18457"/>
    <n v="61032.270408275625"/>
    <n v="73551.71049202446"/>
    <n v="12367"/>
    <n v="8991"/>
    <n v="10991"/>
    <n v="3045"/>
    <s v=""/>
    <n v="0.15000000000000002"/>
    <n v="0.4"/>
    <n v="0.75"/>
    <n v="0.4"/>
    <n v="0.15000000000000002"/>
    <n v="0.55000000000000004"/>
    <n v="0.65"/>
    <n v="0.1"/>
    <n v="0.1"/>
    <n v="0.1"/>
    <n v="0.05"/>
    <n v="82693.25618815895"/>
    <s v="Food Security"/>
    <n v="0.74952488650485549"/>
    <s v=""/>
    <s v=""/>
    <s v=""/>
    <n v="73551.71049202446"/>
    <s v="WASH"/>
    <n v="0.66666666666666663"/>
    <n v="9141.5456961344898"/>
    <n v="0.12428732975728346"/>
    <s v=""/>
    <n v="61032.270408275625"/>
    <s v="Shelter"/>
    <n v="0.55319148936170215"/>
    <n v="21660.985779883325"/>
    <n v="0.35491037175877732"/>
    <s v=""/>
    <s v=""/>
    <s v=""/>
    <s v=""/>
    <s v=""/>
    <n v="4"/>
    <n v="82693.25618815895"/>
    <m/>
    <m/>
    <n v="0"/>
    <s v=""/>
    <n v="82693.25618815895"/>
    <m/>
  </r>
  <r>
    <s v=""/>
    <x v="4"/>
    <s v="SS04"/>
    <x v="33"/>
    <s v="SS0408"/>
    <m/>
    <m/>
    <m/>
    <n v="128918.60101552917"/>
    <x v="1"/>
    <m/>
    <n v="26712.449804821703"/>
    <n v="54353.719131979582"/>
    <n v="82077.88951436241"/>
    <n v="51457.918542680673"/>
    <n v="22299"/>
    <n v="90469.193695108203"/>
    <n v="83558.352510065204"/>
    <n v="17271"/>
    <n v="11764"/>
    <n v="13789"/>
    <n v="1503"/>
    <s v=""/>
    <n v="0.2"/>
    <n v="0.4"/>
    <n v="0.65"/>
    <n v="0.4"/>
    <n v="0.15000000000000002"/>
    <n v="0.70000000000000007"/>
    <n v="0.65"/>
    <n v="0.15000000000000002"/>
    <n v="0.1"/>
    <n v="0.1"/>
    <n v="0"/>
    <n v="90469.193695108203"/>
    <s v="Shelter"/>
    <n v="0.70175438596491235"/>
    <s v=""/>
    <s v=""/>
    <s v=""/>
    <n v="83558.352510065204"/>
    <s v="WASH"/>
    <n v="0.64814814814814814"/>
    <n v="6910.8411850429984"/>
    <n v="8.2706766917293367E-2"/>
    <s v=""/>
    <n v="82077.88951436241"/>
    <s v="Food Security"/>
    <n v="0.63666444460156324"/>
    <n v="8391.3041807457921"/>
    <n v="0.10223586681377131"/>
    <s v=""/>
    <s v=""/>
    <s v="Flagged"/>
    <s v=""/>
    <s v=""/>
    <n v="4"/>
    <n v="90469.193695108203"/>
    <m/>
    <m/>
    <n v="1"/>
    <s v="Flagged"/>
    <n v="90469.193695108203"/>
    <m/>
  </r>
  <r>
    <s v=""/>
    <x v="5"/>
    <s v="SS05"/>
    <x v="34"/>
    <s v="SS0501"/>
    <m/>
    <m/>
    <m/>
    <n v="53097.621318074722"/>
    <x v="1"/>
    <m/>
    <n v="9213.8072173159708"/>
    <n v="48176.199306504182"/>
    <n v="32102.608253264854"/>
    <n v="43741.522508035392"/>
    <n v="8953"/>
    <n v="37028.604340236314"/>
    <n v="34736.761609955422"/>
    <n v="7187"/>
    <n v="7567"/>
    <n v="1786"/>
    <n v="561"/>
    <s v=""/>
    <n v="0.15000000000000002"/>
    <n v="0.9"/>
    <n v="0.60000000000000009"/>
    <n v="0.8"/>
    <n v="0.15000000000000002"/>
    <n v="0.70000000000000007"/>
    <n v="0.65"/>
    <n v="0.15000000000000002"/>
    <n v="0.15000000000000002"/>
    <n v="0.05"/>
    <n v="0"/>
    <n v="48176.199306504182"/>
    <s v="Nutrition"/>
    <n v="0.90731370088898389"/>
    <s v=""/>
    <s v="Flagged"/>
    <s v=""/>
    <n v="43741.522508035392"/>
    <s v="Health"/>
    <n v="0.82379438894272161"/>
    <n v="4434.6767984687904"/>
    <n v="0.10138368635097539"/>
    <s v=""/>
    <n v="37028.604340236314"/>
    <s v="Shelter"/>
    <n v="0.69736842105263153"/>
    <n v="11147.594966267869"/>
    <n v="0.30105360882193932"/>
    <s v=""/>
    <s v=""/>
    <s v=""/>
    <s v=""/>
    <s v="Flagged"/>
    <n v="4"/>
    <n v="48176.199306504182"/>
    <m/>
    <m/>
    <n v="2"/>
    <s v="Flagged"/>
    <n v="48176.199306504182"/>
    <m/>
  </r>
  <r>
    <s v=""/>
    <x v="5"/>
    <s v="SS05"/>
    <x v="35"/>
    <s v="SS0502"/>
    <m/>
    <m/>
    <m/>
    <n v="211899.62896361714"/>
    <x v="1"/>
    <m/>
    <n v="77711.137567749509"/>
    <n v="107000.61183552348"/>
    <n v="163271.80085852064"/>
    <n v="89512.764713814802"/>
    <n v="35655"/>
    <n v="175141.5300617652"/>
    <n v="86329.478466658853"/>
    <n v="29576"/>
    <n v="29002"/>
    <n v="20564"/>
    <n v="2066"/>
    <s v=""/>
    <n v="0.35000000000000003"/>
    <n v="0.5"/>
    <n v="0.75"/>
    <n v="0.4"/>
    <n v="0.15000000000000002"/>
    <n v="0.85000000000000009"/>
    <n v="0.4"/>
    <n v="0.15000000000000002"/>
    <n v="0.15000000000000002"/>
    <n v="0.1"/>
    <n v="0"/>
    <n v="175141.5300617652"/>
    <s v="Shelter"/>
    <n v="0.82653061224489799"/>
    <s v=""/>
    <s v=""/>
    <s v=""/>
    <n v="163271.80085852064"/>
    <s v="Food Security"/>
    <n v="0.77051480296151986"/>
    <n v="11869.729203244555"/>
    <n v="7.2699199376933379E-2"/>
    <s v=""/>
    <n v="107000.61183552348"/>
    <s v="Nutrition"/>
    <n v="0.50495893909231582"/>
    <n v="68140.918226241716"/>
    <n v="0.63682737002462064"/>
    <s v="Flagged"/>
    <s v=""/>
    <s v="Flagged"/>
    <s v=""/>
    <s v=""/>
    <n v="4"/>
    <n v="175141.5300617652"/>
    <m/>
    <m/>
    <n v="2"/>
    <s v="Flagged"/>
    <n v="175141.5300617652"/>
    <m/>
  </r>
  <r>
    <s v=""/>
    <x v="5"/>
    <s v="SS05"/>
    <x v="36"/>
    <s v="SS0503"/>
    <m/>
    <m/>
    <m/>
    <n v="109801.05355905752"/>
    <x v="1"/>
    <m/>
    <n v="28724.548536738668"/>
    <n v="79008.885083413552"/>
    <n v="78867.214716435919"/>
    <n v="50227.822636798279"/>
    <n v="18893"/>
    <n v="64754.467483546738"/>
    <n v="27450.263389764379"/>
    <n v="15621"/>
    <n v="16411"/>
    <n v="11827"/>
    <n v="1110"/>
    <s v=""/>
    <n v="0.25"/>
    <n v="0.70000000000000007"/>
    <n v="0.70000000000000007"/>
    <n v="0.45"/>
    <n v="0.15000000000000002"/>
    <n v="0.60000000000000009"/>
    <n v="0.25"/>
    <n v="0.15000000000000002"/>
    <n v="0.15000000000000002"/>
    <n v="0.1"/>
    <n v="0"/>
    <n v="79008.885083413552"/>
    <s v="Nutrition"/>
    <n v="0.71956399799859738"/>
    <s v=""/>
    <s v=""/>
    <s v=""/>
    <n v="78867.214716435919"/>
    <s v="Food Security"/>
    <n v="0.71827375202749266"/>
    <n v="141.67036697763251"/>
    <n v="1.7963150782870036E-3"/>
    <s v=""/>
    <n v="64754.467483546738"/>
    <s v="Shelter"/>
    <n v="0.58974358974358976"/>
    <n v="14254.417599866814"/>
    <n v="0.22013025747588266"/>
    <s v=""/>
    <s v=""/>
    <s v=""/>
    <s v=""/>
    <s v=""/>
    <n v="4"/>
    <n v="79008.885083413552"/>
    <m/>
    <m/>
    <n v="0"/>
    <s v=""/>
    <n v="79008.885083413552"/>
    <m/>
  </r>
  <r>
    <s v=""/>
    <x v="5"/>
    <s v="SS05"/>
    <x v="37"/>
    <s v="SS0504"/>
    <m/>
    <m/>
    <m/>
    <n v="105778.12989801918"/>
    <x v="1"/>
    <m/>
    <n v="19297.897573269878"/>
    <n v="64211.464117899392"/>
    <n v="80340.475365023216"/>
    <n v="49884.172897520948"/>
    <n v="18336"/>
    <n v="41349.632596498406"/>
    <n v="60582.019850683711"/>
    <n v="14367"/>
    <n v="14617"/>
    <n v="3567"/>
    <n v="1175"/>
    <s v=""/>
    <n v="0.2"/>
    <n v="0.60000000000000009"/>
    <n v="0.75"/>
    <n v="0.45"/>
    <n v="0.15000000000000002"/>
    <n v="0.4"/>
    <n v="0.55000000000000004"/>
    <n v="0.15000000000000002"/>
    <n v="0.15000000000000002"/>
    <n v="0.05"/>
    <n v="0"/>
    <n v="80340.475365023216"/>
    <s v="Food Security"/>
    <n v="0.75951877238215082"/>
    <s v=""/>
    <s v=""/>
    <s v=""/>
    <n v="64211.464117899392"/>
    <s v="Nutrition"/>
    <n v="0.60703913162206347"/>
    <n v="16129.011247123824"/>
    <n v="0.25118585082422612"/>
    <s v=""/>
    <n v="60582.019850683711"/>
    <s v="WASH"/>
    <n v="0.57272727272727275"/>
    <n v="19758.455514339505"/>
    <n v="0.32614388828629515"/>
    <s v=""/>
    <s v=""/>
    <s v=""/>
    <s v=""/>
    <s v=""/>
    <n v="4"/>
    <n v="80340.475365023216"/>
    <m/>
    <m/>
    <n v="0"/>
    <s v=""/>
    <n v="80340.475365023216"/>
    <m/>
  </r>
  <r>
    <s v=""/>
    <x v="5"/>
    <s v="SS05"/>
    <x v="38"/>
    <s v="SS0505"/>
    <m/>
    <m/>
    <m/>
    <n v="138670.80517744401"/>
    <x v="1"/>
    <m/>
    <n v="21725.832388760507"/>
    <n v="62772.406451263734"/>
    <n v="93820.84267159726"/>
    <n v="58999.837983633821"/>
    <n v="47766"/>
    <n v="74084.402766031722"/>
    <n v="53432.787316079339"/>
    <n v="18992"/>
    <n v="18097"/>
    <n v="4549"/>
    <n v="1486"/>
    <s v=""/>
    <n v="0.15000000000000002"/>
    <n v="0.45"/>
    <n v="0.70000000000000007"/>
    <n v="0.45"/>
    <n v="0.35000000000000003"/>
    <n v="0.55000000000000004"/>
    <n v="0.4"/>
    <n v="0.15000000000000002"/>
    <n v="0.15000000000000002"/>
    <n v="0.05"/>
    <n v="0"/>
    <n v="93820.84267159726"/>
    <s v="Food Security"/>
    <n v="0.67657242309614873"/>
    <s v=""/>
    <s v=""/>
    <s v=""/>
    <n v="74084.402766031722"/>
    <s v="Shelter"/>
    <n v="0.53424657534246567"/>
    <n v="19736.439905565538"/>
    <n v="0.26640479194920164"/>
    <s v=""/>
    <n v="62772.406451263734"/>
    <s v="Nutrition"/>
    <n v="0.4526721134339689"/>
    <n v="31048.436220333526"/>
    <n v="0.49461918023549756"/>
    <s v=""/>
    <s v=""/>
    <s v=""/>
    <s v=""/>
    <s v="Flagged"/>
    <n v="4"/>
    <n v="93820.84267159726"/>
    <m/>
    <m/>
    <n v="1"/>
    <s v="Flagged"/>
    <n v="93820.84267159726"/>
    <m/>
  </r>
  <r>
    <s v=""/>
    <x v="6"/>
    <s v="SS06"/>
    <x v="39"/>
    <s v="SS0601"/>
    <m/>
    <m/>
    <m/>
    <n v="39195.118555506007"/>
    <x v="1"/>
    <m/>
    <n v="3120.8094076739217"/>
    <n v="20125.469745358765"/>
    <n v="24430.506784487628"/>
    <n v="19867.246768263718"/>
    <n v="6940"/>
    <n v="29105.286056068817"/>
    <n v="10161.697403279335"/>
    <n v="3345"/>
    <n v="3664"/>
    <n v="1609"/>
    <n v="689"/>
    <s v=""/>
    <n v="0.1"/>
    <n v="0.5"/>
    <n v="0.60000000000000009"/>
    <n v="0.5"/>
    <n v="0.2"/>
    <n v="0.75"/>
    <n v="0.25"/>
    <n v="0.1"/>
    <n v="0.1"/>
    <n v="0.05"/>
    <n v="0"/>
    <n v="29105.286056068817"/>
    <s v="Shelter"/>
    <n v="0.74257425742574257"/>
    <s v=""/>
    <s v=""/>
    <s v=""/>
    <n v="24430.506784487628"/>
    <s v="Food Security"/>
    <n v="0.62330483194968445"/>
    <n v="4674.7792715811884"/>
    <n v="0.19135007361163223"/>
    <s v=""/>
    <n v="20125.469745358765"/>
    <s v="Nutrition"/>
    <n v="0.5134687809875651"/>
    <n v="8979.8163107100518"/>
    <n v="0.44619163797560213"/>
    <s v=""/>
    <s v=""/>
    <s v="Flagged"/>
    <s v=""/>
    <s v=""/>
    <n v="4"/>
    <n v="29105.286056068817"/>
    <m/>
    <m/>
    <n v="1"/>
    <s v="Flagged"/>
    <n v="29105.286056068817"/>
    <m/>
  </r>
  <r>
    <s v=""/>
    <x v="6"/>
    <s v="SS06"/>
    <x v="40"/>
    <s v="SS0602"/>
    <m/>
    <m/>
    <m/>
    <n v="37012.158261154211"/>
    <x v="1"/>
    <m/>
    <n v="8432.3652789481548"/>
    <n v="16745.17089455263"/>
    <n v="30482.403979223356"/>
    <n v="19016.114899824621"/>
    <n v="6696"/>
    <n v="18980.59398007908"/>
    <n v="19191.489468746622"/>
    <n v="4455"/>
    <n v="5552"/>
    <n v="1340"/>
    <n v="552"/>
    <s v=""/>
    <n v="0.25"/>
    <n v="0.45"/>
    <n v="0.8"/>
    <n v="0.5"/>
    <n v="0.2"/>
    <n v="0.5"/>
    <n v="0.5"/>
    <n v="0.1"/>
    <n v="0.15000000000000002"/>
    <n v="0.05"/>
    <n v="0"/>
    <n v="30482.403979223356"/>
    <s v="Food Security"/>
    <n v="0.82357812706144995"/>
    <s v=""/>
    <s v=""/>
    <s v=""/>
    <n v="19191.489468746622"/>
    <s v="WASH"/>
    <n v="0.51851851851851838"/>
    <n v="11290.914510476734"/>
    <n v="0.58832924504708251"/>
    <s v="Flagged"/>
    <n v="19016.114899824621"/>
    <s v="Health"/>
    <n v="0.51378022231637377"/>
    <n v="11466.289079398735"/>
    <n v="0.60297748198316181"/>
    <s v="Flagged"/>
    <s v=""/>
    <s v=""/>
    <s v=""/>
    <s v=""/>
    <n v="4"/>
    <n v="30482.403979223356"/>
    <m/>
    <m/>
    <n v="2"/>
    <s v="Flagged"/>
    <n v="30482.403979223356"/>
    <m/>
  </r>
  <r>
    <s v=""/>
    <x v="6"/>
    <s v="SS06"/>
    <x v="41"/>
    <s v="SS0603"/>
    <m/>
    <m/>
    <m/>
    <n v="52356.268586149592"/>
    <x v="1"/>
    <m/>
    <n v="11162.953324028977"/>
    <n v="26371.550552860583"/>
    <n v="43164.898674527911"/>
    <n v="26841.201334186208"/>
    <n v="8646"/>
    <n v="12082.215827572982"/>
    <n v="31510.717204627075"/>
    <n v="6573"/>
    <n v="7502"/>
    <n v="1765"/>
    <n v="595"/>
    <s v=""/>
    <n v="0.2"/>
    <n v="0.5"/>
    <n v="0.8"/>
    <n v="0.5"/>
    <n v="0.15000000000000002"/>
    <n v="0.25"/>
    <n v="0.60000000000000009"/>
    <n v="0.15000000000000002"/>
    <n v="0.15000000000000002"/>
    <n v="0.05"/>
    <n v="0"/>
    <n v="43164.898674527911"/>
    <s v="Food Security"/>
    <n v="0.82444566505923267"/>
    <s v=""/>
    <s v=""/>
    <s v=""/>
    <n v="31510.717204627075"/>
    <s v="WASH"/>
    <n v="0.60185185185185197"/>
    <n v="11654.181469900836"/>
    <n v="0.36984818194457092"/>
    <s v="Flagged"/>
    <n v="26841.201334186208"/>
    <s v="Health"/>
    <n v="0.5126645205821031"/>
    <n v="16323.697340341703"/>
    <n v="0.60815822425768551"/>
    <s v="Flagged"/>
    <s v=""/>
    <s v=""/>
    <s v=""/>
    <s v=""/>
    <n v="4"/>
    <n v="43164.898674527911"/>
    <m/>
    <m/>
    <n v="2"/>
    <s v="Flagged"/>
    <n v="43164.898674527911"/>
    <m/>
  </r>
  <r>
    <s v=""/>
    <x v="6"/>
    <s v="SS06"/>
    <x v="42"/>
    <s v="SS0604"/>
    <m/>
    <m/>
    <m/>
    <n v="27460.602325830623"/>
    <x v="1"/>
    <m/>
    <n v="5357.3163683486218"/>
    <n v="12220.021564894554"/>
    <n v="19803.793626160932"/>
    <n v="15231.434369696173"/>
    <n v="4855"/>
    <n v="25629.895504108583"/>
    <n v="9916.3286176610563"/>
    <n v="3898"/>
    <n v="3956"/>
    <n v="1001"/>
    <n v="292"/>
    <s v=""/>
    <n v="0.2"/>
    <n v="0.45"/>
    <n v="0.70000000000000007"/>
    <n v="0.55000000000000004"/>
    <n v="0.2"/>
    <n v="0.95000000000000007"/>
    <n v="0.35000000000000003"/>
    <n v="0.15000000000000002"/>
    <n v="0.15000000000000002"/>
    <n v="0.05"/>
    <n v="0"/>
    <n v="25629.895504108583"/>
    <s v="Shelter"/>
    <n v="0.93333333333333335"/>
    <s v=""/>
    <s v="Flagged"/>
    <s v=""/>
    <n v="19803.793626160932"/>
    <s v="Food Security"/>
    <n v="0.72117113059580018"/>
    <n v="5826.1018779476508"/>
    <n v="0.29419120335870064"/>
    <s v=""/>
    <n v="15231.434369696173"/>
    <s v="Health"/>
    <n v="0.55466497744548127"/>
    <n v="10398.46113441241"/>
    <n v="0.68269743229834967"/>
    <s v="Flagged"/>
    <s v=""/>
    <s v="Flagged"/>
    <s v=""/>
    <s v=""/>
    <n v="4"/>
    <n v="25629.895504108583"/>
    <m/>
    <m/>
    <n v="3"/>
    <s v="Flagged"/>
    <n v="25629.895504108583"/>
    <m/>
  </r>
  <r>
    <s v=""/>
    <x v="6"/>
    <s v="SS06"/>
    <x v="43"/>
    <s v="SS0605"/>
    <m/>
    <m/>
    <m/>
    <n v="32690.293010704088"/>
    <x v="1"/>
    <m/>
    <n v="4038.5784127181892"/>
    <n v="18034.318157374215"/>
    <n v="24492.422401719799"/>
    <n v="15689.827622136641"/>
    <n v="5532"/>
    <n v="18859.784429252359"/>
    <n v="13318.267522879445"/>
    <n v="4547"/>
    <n v="4156"/>
    <n v="1094"/>
    <n v="290"/>
    <s v=""/>
    <n v="0.1"/>
    <n v="0.55000000000000004"/>
    <n v="0.75"/>
    <n v="0.5"/>
    <n v="0.15000000000000002"/>
    <n v="0.60000000000000009"/>
    <n v="0.4"/>
    <n v="0.15000000000000002"/>
    <n v="0.15000000000000002"/>
    <n v="0.05"/>
    <n v="0"/>
    <n v="24492.422401719799"/>
    <s v="Food Security"/>
    <n v="0.74922615082403865"/>
    <s v=""/>
    <s v=""/>
    <s v=""/>
    <n v="18859.784429252359"/>
    <s v="Shelter"/>
    <n v="0.57692307692307687"/>
    <n v="5632.6379724674407"/>
    <n v="0.29865866142833375"/>
    <s v=""/>
    <n v="18034.318157374215"/>
    <s v="Nutrition"/>
    <n v="0.5516719642576795"/>
    <n v="6458.1042443455844"/>
    <n v="0.3581008268784962"/>
    <s v=""/>
    <s v=""/>
    <s v=""/>
    <s v=""/>
    <s v="Flagged"/>
    <n v="4"/>
    <n v="24492.422401719799"/>
    <m/>
    <m/>
    <n v="1"/>
    <s v="Flagged"/>
    <n v="24492.422401719799"/>
    <m/>
  </r>
  <r>
    <s v=""/>
    <x v="6"/>
    <s v="SS06"/>
    <x v="44"/>
    <s v="SS0606"/>
    <m/>
    <m/>
    <m/>
    <n v="95120.28021781116"/>
    <x v="1"/>
    <m/>
    <n v="29107.661829172175"/>
    <n v="45514.967836092444"/>
    <n v="62822.381740705023"/>
    <n v="51361.527117805272"/>
    <n v="16258"/>
    <n v="16710.319497723583"/>
    <n v="40514.193426104757"/>
    <n v="14108"/>
    <n v="13558"/>
    <n v="3223"/>
    <n v="1764"/>
    <s v=""/>
    <n v="0.30000000000000004"/>
    <n v="0.5"/>
    <n v="0.65"/>
    <n v="0.55000000000000004"/>
    <n v="0.15000000000000002"/>
    <n v="0.2"/>
    <n v="0.45"/>
    <n v="0.15000000000000002"/>
    <n v="0.15000000000000002"/>
    <n v="0.05"/>
    <n v="0"/>
    <n v="62822.381740705023"/>
    <s v="Food Security"/>
    <n v="0.66045202554966409"/>
    <s v=""/>
    <s v=""/>
    <s v=""/>
    <n v="51361.527117805272"/>
    <s v="Health"/>
    <n v="0.53996400136958267"/>
    <n v="11460.854622899751"/>
    <n v="0.22314084619432328"/>
    <s v=""/>
    <n v="45514.967836092444"/>
    <s v="Nutrition"/>
    <n v="0.47849909327295925"/>
    <n v="17307.413904612578"/>
    <n v="0.38025763232305637"/>
    <s v=""/>
    <s v=""/>
    <s v=""/>
    <s v=""/>
    <s v="Flagged"/>
    <n v="4"/>
    <n v="62822.381740705023"/>
    <m/>
    <m/>
    <n v="1"/>
    <s v="Flagged"/>
    <n v="62822.381740705023"/>
    <m/>
  </r>
  <r>
    <s v=""/>
    <x v="6"/>
    <s v="SS06"/>
    <x v="45"/>
    <s v="SS0607"/>
    <m/>
    <m/>
    <m/>
    <n v="46967.678081984632"/>
    <x v="1"/>
    <m/>
    <n v="14267.427932178172"/>
    <n v="23988.652968058013"/>
    <n v="34425.758326525865"/>
    <n v="30178.3703752361"/>
    <n v="16304"/>
    <n v="31957.389210422531"/>
    <n v="24788.496765491887"/>
    <n v="6338"/>
    <n v="7038"/>
    <n v="1658"/>
    <n v="1639"/>
    <s v=""/>
    <n v="0.30000000000000004"/>
    <n v="0.5"/>
    <n v="0.75"/>
    <n v="0.65"/>
    <n v="0.35000000000000003"/>
    <n v="0.70000000000000007"/>
    <n v="0.55000000000000004"/>
    <n v="0.15000000000000002"/>
    <n v="0.15000000000000002"/>
    <n v="0.05"/>
    <n v="0.05"/>
    <n v="34425.758326525865"/>
    <s v="Food Security"/>
    <n v="0.73296700480772836"/>
    <s v=""/>
    <s v=""/>
    <s v=""/>
    <n v="31957.389210422531"/>
    <s v="Shelter"/>
    <n v="0.68041237113402053"/>
    <n v="2468.3691161033348"/>
    <n v="7.7239385853782608E-2"/>
    <s v=""/>
    <n v="30178.3703752361"/>
    <s v="Health"/>
    <n v="0.64253485817540557"/>
    <n v="4247.3879512897656"/>
    <n v="0.14074278691917394"/>
    <s v=""/>
    <s v=""/>
    <s v=""/>
    <s v=""/>
    <s v="Flagged"/>
    <n v="4"/>
    <n v="34425.758326525865"/>
    <m/>
    <m/>
    <n v="1"/>
    <s v="Flagged"/>
    <n v="34425.758326525865"/>
    <m/>
  </r>
  <r>
    <s v=""/>
    <x v="6"/>
    <s v="SS06"/>
    <x v="46"/>
    <s v="SS0608"/>
    <m/>
    <m/>
    <m/>
    <n v="96392.652760116689"/>
    <x v="1"/>
    <m/>
    <n v="11272.060421115288"/>
    <n v="48358.540845692078"/>
    <n v="60990.748338865458"/>
    <n v="86154.399680966613"/>
    <n v="17701"/>
    <n v="16957.966689279787"/>
    <n v="40679.46813729695"/>
    <n v="12757"/>
    <n v="8903"/>
    <n v="3584"/>
    <n v="1317"/>
    <s v=""/>
    <n v="0.1"/>
    <n v="0.5"/>
    <n v="0.65"/>
    <n v="0.9"/>
    <n v="0.2"/>
    <n v="0.2"/>
    <n v="0.4"/>
    <n v="0.15000000000000002"/>
    <n v="0.1"/>
    <n v="0.05"/>
    <n v="0"/>
    <n v="86154.399680966613"/>
    <s v="Health"/>
    <n v="0.89378595996700028"/>
    <s v=""/>
    <s v=""/>
    <s v=""/>
    <n v="60990.748338865458"/>
    <s v="Food Security"/>
    <n v="0.63273233584148147"/>
    <n v="25163.651342101155"/>
    <n v="0.41258144927639767"/>
    <s v="Flagged"/>
    <n v="48358.540845692078"/>
    <s v="Nutrition"/>
    <n v="0.50168285093302101"/>
    <n v="37795.858835274536"/>
    <n v="0.7815756673857851"/>
    <s v="Flagged"/>
    <s v=""/>
    <s v="Flagged"/>
    <s v=""/>
    <s v=""/>
    <n v="4"/>
    <n v="86154.399680966613"/>
    <m/>
    <m/>
    <n v="3"/>
    <s v="Flagged"/>
    <n v="86154.399680966613"/>
    <m/>
  </r>
  <r>
    <s v=""/>
    <x v="6"/>
    <s v="SS06"/>
    <x v="47"/>
    <s v="SS0609"/>
    <m/>
    <m/>
    <m/>
    <n v="128065.73135408323"/>
    <x v="1"/>
    <m/>
    <n v="35264.154172514085"/>
    <n v="53374.468893477038"/>
    <n v="106191.44697572436"/>
    <n v="80983.005907381768"/>
    <n v="21634"/>
    <n v="94863.504706728301"/>
    <n v="60475.484250539295"/>
    <n v="17654"/>
    <n v="18617"/>
    <n v="13216"/>
    <n v="1345"/>
    <s v=""/>
    <n v="0.30000000000000004"/>
    <n v="0.4"/>
    <n v="0.85000000000000009"/>
    <n v="0.65"/>
    <n v="0.15000000000000002"/>
    <n v="0.75"/>
    <n v="0.45"/>
    <n v="0.15000000000000002"/>
    <n v="0.15000000000000002"/>
    <n v="0.1"/>
    <n v="0"/>
    <n v="106191.44697572436"/>
    <s v="Food Security"/>
    <n v="0.8291948662060139"/>
    <s v=""/>
    <s v=""/>
    <s v=""/>
    <n v="94863.504706728301"/>
    <s v="Shelter"/>
    <n v="0.74074074074074059"/>
    <n v="11327.942268996063"/>
    <n v="0.11941306937811898"/>
    <s v=""/>
    <n v="80983.005907381768"/>
    <s v="Health"/>
    <n v="0.63235500278740042"/>
    <n v="25208.441068342596"/>
    <n v="0.31128062963201014"/>
    <s v=""/>
    <s v=""/>
    <s v=""/>
    <s v=""/>
    <s v="Flagged"/>
    <n v="4"/>
    <n v="106191.44697572436"/>
    <m/>
    <m/>
    <n v="1"/>
    <s v="Flagged"/>
    <n v="106191.44697572436"/>
    <m/>
  </r>
  <r>
    <s v=""/>
    <x v="7"/>
    <s v="SS07"/>
    <x v="48"/>
    <s v="SS0701"/>
    <m/>
    <m/>
    <m/>
    <n v="38631.891660273708"/>
    <x v="1"/>
    <m/>
    <n v="3095.8052700876942"/>
    <n v="27864.101802863486"/>
    <n v="31143.958877197612"/>
    <n v="19085.760219071533"/>
    <n v="6506"/>
    <n v="12291.965528268907"/>
    <n v="34697.161954134717"/>
    <n v="5253"/>
    <n v="3310"/>
    <n v="1319"/>
    <n v="398"/>
    <s v=""/>
    <n v="0.1"/>
    <n v="0.70000000000000007"/>
    <n v="0.8"/>
    <n v="0.5"/>
    <n v="0.15000000000000002"/>
    <n v="0.30000000000000004"/>
    <n v="0.9"/>
    <n v="0.15000000000000002"/>
    <n v="0.1"/>
    <n v="0.05"/>
    <n v="0"/>
    <n v="34697.161954134717"/>
    <s v="WASH"/>
    <n v="0.89814814814814814"/>
    <s v=""/>
    <s v=""/>
    <s v=""/>
    <n v="31143.958877197612"/>
    <s v="Food Security"/>
    <n v="0.80617224626418815"/>
    <n v="3553.2030769371049"/>
    <n v="0.11408964065703994"/>
    <s v=""/>
    <n v="27864.101802863486"/>
    <s v="Nutrition"/>
    <n v="0.72127200106840605"/>
    <n v="6833.060151271231"/>
    <n v="0.24522807875217509"/>
    <s v=""/>
    <s v=""/>
    <s v=""/>
    <s v=""/>
    <s v=""/>
    <n v="4"/>
    <n v="34697.161954134717"/>
    <m/>
    <m/>
    <n v="0"/>
    <s v=""/>
    <n v="34697.161954134717"/>
    <m/>
  </r>
  <r>
    <s v=""/>
    <x v="7"/>
    <s v="SS07"/>
    <x v="49"/>
    <s v="SS0702"/>
    <m/>
    <m/>
    <m/>
    <n v="44904.26104030956"/>
    <x v="1"/>
    <m/>
    <n v="15314.508419275495"/>
    <n v="18930.163309395608"/>
    <n v="31093.426343821713"/>
    <n v="19768.52312323873"/>
    <n v="7803"/>
    <n v="26343.83314364828"/>
    <n v="42844.432552221973"/>
    <n v="5368"/>
    <n v="7750"/>
    <n v="5160"/>
    <n v="639"/>
    <s v=""/>
    <n v="0.35000000000000003"/>
    <n v="0.4"/>
    <n v="0.70000000000000007"/>
    <n v="0.45"/>
    <n v="0.15000000000000002"/>
    <n v="0.60000000000000009"/>
    <n v="0.95000000000000007"/>
    <n v="0.1"/>
    <n v="0.15000000000000002"/>
    <n v="0.1"/>
    <n v="0"/>
    <n v="42844.432552221973"/>
    <s v="WASH"/>
    <n v="0.95412844036697264"/>
    <s v=""/>
    <s v="Flagged"/>
    <s v=""/>
    <n v="31093.426343821713"/>
    <s v="Food Security"/>
    <n v="0.69243821462532995"/>
    <n v="11751.00620840026"/>
    <n v="0.37792574155260938"/>
    <s v="Flagged"/>
    <n v="26343.83314364828"/>
    <s v="Shelter"/>
    <n v="0.58666666666666678"/>
    <n v="16500.599408573693"/>
    <n v="0.62635529608006668"/>
    <s v="Flagged"/>
    <s v=""/>
    <s v=""/>
    <s v=""/>
    <s v=""/>
    <n v="4"/>
    <n v="42844.432552221973"/>
    <m/>
    <m/>
    <n v="3"/>
    <s v="Flagged"/>
    <n v="42844.432552221973"/>
    <m/>
  </r>
  <r>
    <s v=""/>
    <x v="7"/>
    <s v="SS07"/>
    <x v="50"/>
    <s v="SS0703"/>
    <m/>
    <m/>
    <m/>
    <n v="45380.431986163101"/>
    <x v="1"/>
    <m/>
    <n v="15635.442107160614"/>
    <n v="20242.562350459291"/>
    <n v="41276.978594476866"/>
    <n v="19708.202090667717"/>
    <n v="15536"/>
    <n v="44682.271494068285"/>
    <n v="15404.366820991147"/>
    <n v="14115"/>
    <n v="9926"/>
    <n v="1619"/>
    <n v="897"/>
    <s v=""/>
    <n v="0.35000000000000003"/>
    <n v="0.45"/>
    <n v="0.9"/>
    <n v="0.45"/>
    <n v="0.35000000000000003"/>
    <n v="1"/>
    <n v="0.35000000000000003"/>
    <n v="0.30000000000000004"/>
    <n v="0.2"/>
    <n v="0.05"/>
    <n v="0"/>
    <n v="44682.271494068285"/>
    <s v="Shelter"/>
    <n v="0.98461538461538467"/>
    <s v=""/>
    <s v="Flagged"/>
    <s v=""/>
    <n v="41276.978594476866"/>
    <s v="Food Security"/>
    <n v="0.90957659034763239"/>
    <n v="3405.292899591419"/>
    <n v="8.2498598869033254E-2"/>
    <s v=""/>
    <n v="20242.562350459291"/>
    <s v="Nutrition"/>
    <n v="0.44606367688680065"/>
    <n v="24439.709143608994"/>
    <n v="1.2073426634674276"/>
    <s v="Flagged"/>
    <s v=""/>
    <s v="Flagged"/>
    <s v=""/>
    <s v=""/>
    <n v="4"/>
    <n v="44682.271494068285"/>
    <m/>
    <m/>
    <n v="3"/>
    <s v="Flagged"/>
    <n v="44682.271494068285"/>
    <m/>
  </r>
  <r>
    <s v=""/>
    <x v="7"/>
    <s v="SS07"/>
    <x v="51"/>
    <s v="SS0704"/>
    <m/>
    <m/>
    <m/>
    <n v="117681.01108725299"/>
    <x v="1"/>
    <m/>
    <n v="28749.294487099272"/>
    <n v="57693.046309471312"/>
    <n v="105812.41394139855"/>
    <n v="72667.747514712275"/>
    <n v="40354"/>
    <n v="39227.003695750995"/>
    <n v="88260.758315439714"/>
    <n v="35161"/>
    <n v="25788"/>
    <n v="27994"/>
    <n v="2581"/>
    <s v=""/>
    <n v="0.25"/>
    <n v="0.5"/>
    <n v="0.9"/>
    <n v="0.60000000000000009"/>
    <n v="0.35000000000000003"/>
    <n v="0.35000000000000003"/>
    <n v="0.75"/>
    <n v="0.30000000000000004"/>
    <n v="0.2"/>
    <n v="0.25"/>
    <n v="0"/>
    <n v="105812.41394139855"/>
    <s v="Food Security"/>
    <n v="0.8991460301351879"/>
    <s v=""/>
    <s v=""/>
    <s v=""/>
    <n v="88260.758315439714"/>
    <s v="WASH"/>
    <n v="0.74999999999999978"/>
    <n v="17551.65562595884"/>
    <n v="0.19886137351358421"/>
    <s v=""/>
    <n v="72667.747514712275"/>
    <s v="Health"/>
    <n v="0.61749764760972148"/>
    <n v="33144.666426686279"/>
    <n v="0.45611247851016473"/>
    <s v=""/>
    <s v=""/>
    <s v=""/>
    <s v=""/>
    <s v=""/>
    <n v="4"/>
    <n v="105812.41394139855"/>
    <m/>
    <m/>
    <n v="0"/>
    <s v=""/>
    <n v="105812.41394139855"/>
    <m/>
  </r>
  <r>
    <s v=""/>
    <x v="7"/>
    <s v="SS07"/>
    <x v="52"/>
    <s v="SS0705"/>
    <m/>
    <m/>
    <m/>
    <n v="54056.787582147139"/>
    <x v="1"/>
    <m/>
    <n v="18618.536091374819"/>
    <n v="21954.392708159565"/>
    <n v="35213.296640527828"/>
    <n v="30749.321701969897"/>
    <n v="17593"/>
    <n v="29939.143891650725"/>
    <n v="27028.393791073569"/>
    <n v="7325"/>
    <n v="7988"/>
    <n v="16318"/>
    <n v="527"/>
    <s v=""/>
    <n v="0.35000000000000003"/>
    <n v="0.4"/>
    <n v="0.65"/>
    <n v="0.55000000000000004"/>
    <n v="0.35000000000000003"/>
    <n v="0.55000000000000004"/>
    <n v="0.5"/>
    <n v="0.15000000000000002"/>
    <n v="0.15000000000000002"/>
    <n v="0.30000000000000004"/>
    <n v="0"/>
    <n v="35213.296640527828"/>
    <s v="Food Security"/>
    <n v="0.65141304571634251"/>
    <s v=""/>
    <s v=""/>
    <s v=""/>
    <n v="30749.321701969897"/>
    <s v="Health"/>
    <n v="0.56883368541354473"/>
    <n v="4463.9749385579307"/>
    <n v="0.14517311899832752"/>
    <s v=""/>
    <n v="29939.143891650725"/>
    <s v="Shelter"/>
    <n v="0.55384615384615388"/>
    <n v="5274.1527488771026"/>
    <n v="0.17616244365450714"/>
    <s v=""/>
    <s v=""/>
    <s v=""/>
    <s v=""/>
    <s v="Flagged"/>
    <n v="4"/>
    <n v="35213.296640527828"/>
    <m/>
    <m/>
    <n v="1"/>
    <s v="Flagged"/>
    <n v="35213.296640527828"/>
    <m/>
  </r>
  <r>
    <s v=""/>
    <x v="7"/>
    <s v="SS07"/>
    <x v="53"/>
    <s v="SS0706"/>
    <m/>
    <m/>
    <m/>
    <n v="75995.604930880276"/>
    <x v="1"/>
    <m/>
    <n v="14283.00916785528"/>
    <n v="31687.001788830639"/>
    <n v="45448.176430672487"/>
    <n v="33325.761868302005"/>
    <n v="28182"/>
    <n v="21566.320318222781"/>
    <n v="61218.681749875781"/>
    <n v="6863"/>
    <n v="15963"/>
    <n v="23091"/>
    <n v="1323"/>
    <s v=""/>
    <n v="0.2"/>
    <n v="0.4"/>
    <n v="0.60000000000000009"/>
    <n v="0.45"/>
    <n v="0.35000000000000003"/>
    <n v="0.30000000000000004"/>
    <n v="0.8"/>
    <n v="0.1"/>
    <n v="0.2"/>
    <n v="0.30000000000000004"/>
    <n v="0"/>
    <n v="61218.681749875781"/>
    <s v="WASH"/>
    <n v="0.80555555555555558"/>
    <s v=""/>
    <s v=""/>
    <s v=""/>
    <n v="45448.176430672487"/>
    <s v="Food Security"/>
    <n v="0.59803690584486602"/>
    <n v="15770.505319203294"/>
    <n v="0.34699973811402363"/>
    <s v="Flagged"/>
    <n v="33325.761868302005"/>
    <s v="Health"/>
    <n v="0.4385222263657555"/>
    <n v="27892.919881573776"/>
    <n v="0.83697771087130923"/>
    <s v="Flagged"/>
    <s v=""/>
    <s v=""/>
    <s v=""/>
    <s v=""/>
    <n v="4"/>
    <n v="61218.681749875781"/>
    <m/>
    <m/>
    <n v="2"/>
    <s v="Flagged"/>
    <n v="61218.681749875781"/>
    <m/>
  </r>
  <r>
    <s v=""/>
    <x v="7"/>
    <s v="SS07"/>
    <x v="54"/>
    <s v="SS0707"/>
    <m/>
    <m/>
    <m/>
    <n v="123133.14998785798"/>
    <x v="1"/>
    <m/>
    <n v="3450.0923561397899"/>
    <n v="58931.909938574638"/>
    <n v="99663.380026948871"/>
    <n v="83200.762816185612"/>
    <n v="21613"/>
    <n v="75081.189016986566"/>
    <n v="97619.073864247752"/>
    <n v="17427"/>
    <n v="10398"/>
    <n v="12655"/>
    <n v="1314"/>
    <s v=""/>
    <n v="0.05"/>
    <n v="0.5"/>
    <n v="0.8"/>
    <n v="0.70000000000000007"/>
    <n v="0.2"/>
    <n v="0.60000000000000009"/>
    <n v="0.8"/>
    <n v="0.15000000000000002"/>
    <n v="0.1"/>
    <n v="0.1"/>
    <n v="0"/>
    <n v="99663.380026948871"/>
    <s v="Food Security"/>
    <n v="0.80939519566239115"/>
    <s v=""/>
    <s v=""/>
    <s v=""/>
    <n v="97619.073864247752"/>
    <s v="WASH"/>
    <n v="0.79279279279279269"/>
    <n v="2044.3061627011193"/>
    <n v="2.0941667255970874E-2"/>
    <s v=""/>
    <n v="83200.762816185612"/>
    <s v="Health"/>
    <n v="0.67569750976394205"/>
    <n v="16462.617210763259"/>
    <n v="0.19786618119276034"/>
    <s v=""/>
    <s v=""/>
    <s v=""/>
    <s v=""/>
    <s v=""/>
    <n v="4"/>
    <n v="99663.380026948871"/>
    <m/>
    <m/>
    <n v="0"/>
    <s v=""/>
    <n v="99663.380026948871"/>
    <m/>
  </r>
  <r>
    <s v=""/>
    <x v="7"/>
    <s v="SS07"/>
    <x v="55"/>
    <s v="SS0708"/>
    <m/>
    <m/>
    <m/>
    <n v="55774.82852003994"/>
    <x v="1"/>
    <m/>
    <n v="5999.5867542436563"/>
    <n v="27573.635613553237"/>
    <n v="39225.067733394935"/>
    <n v="27508.850619592082"/>
    <n v="19633"/>
    <n v="0"/>
    <n v="46995.45736410773"/>
    <n v="7824"/>
    <n v="7478"/>
    <n v="12815"/>
    <n v="1208"/>
    <s v=""/>
    <n v="0.1"/>
    <n v="0.5"/>
    <n v="0.70000000000000007"/>
    <n v="0.5"/>
    <n v="0.35000000000000003"/>
    <n v="0"/>
    <n v="0.85000000000000009"/>
    <n v="0.15000000000000002"/>
    <n v="0.15000000000000002"/>
    <n v="0.25"/>
    <n v="0"/>
    <n v="46995.45736410773"/>
    <s v="WASH"/>
    <n v="0.84259259259259267"/>
    <s v="Flagged"/>
    <s v=""/>
    <s v=""/>
    <n v="39225.067733394935"/>
    <s v="Food Security"/>
    <n v="0.70327545192364571"/>
    <n v="7770.3896307127943"/>
    <n v="0.19809754526178522"/>
    <s v=""/>
    <n v="27573.635613553237"/>
    <s v="Nutrition"/>
    <n v="0.49437418895238749"/>
    <n v="19421.821750554493"/>
    <n v="0.70436202257667124"/>
    <s v="Flagged"/>
    <s v=""/>
    <s v=""/>
    <s v=""/>
    <s v=""/>
    <n v="4"/>
    <n v="46995.45736410773"/>
    <m/>
    <m/>
    <n v="2"/>
    <s v="Flagged"/>
    <n v="46995.45736410773"/>
    <m/>
  </r>
  <r>
    <s v=""/>
    <x v="7"/>
    <s v="SS07"/>
    <x v="56"/>
    <s v="SS0709"/>
    <m/>
    <m/>
    <m/>
    <n v="84237.505871052446"/>
    <x v="1"/>
    <m/>
    <n v="17955.502360184204"/>
    <n v="39291.668651767097"/>
    <n v="56401.700934591106"/>
    <n v="41012.649567676861"/>
    <n v="28577"/>
    <n v="36802.793827158835"/>
    <n v="7799.7690621344855"/>
    <n v="12263"/>
    <n v="12798"/>
    <n v="8153"/>
    <n v="824"/>
    <s v=""/>
    <n v="0.2"/>
    <n v="0.45"/>
    <n v="0.65"/>
    <n v="0.5"/>
    <n v="0.35000000000000003"/>
    <n v="0.45"/>
    <n v="0.1"/>
    <n v="0.15000000000000002"/>
    <n v="0.15000000000000002"/>
    <n v="0.1"/>
    <n v="0"/>
    <n v="56401.700934591106"/>
    <s v="Food Security"/>
    <n v="0.66955568486237793"/>
    <s v=""/>
    <s v=""/>
    <s v=""/>
    <n v="41012.649567676861"/>
    <s v="Health"/>
    <n v="0.48686922937221644"/>
    <n v="15389.051366914246"/>
    <n v="0.3752269489811933"/>
    <s v="Flagged"/>
    <n v="39291.668651767097"/>
    <s v="Nutrition"/>
    <n v="0.46643912643749547"/>
    <n v="17110.03228282401"/>
    <n v="0.43546209336300373"/>
    <s v=""/>
    <s v=""/>
    <s v=""/>
    <s v=""/>
    <s v="Flagged"/>
    <n v="4"/>
    <n v="56401.700934591106"/>
    <m/>
    <m/>
    <n v="2"/>
    <s v="Flagged"/>
    <n v="56401.700934591106"/>
    <m/>
  </r>
  <r>
    <s v=""/>
    <x v="7"/>
    <s v="SS07"/>
    <x v="57"/>
    <s v="SS0710"/>
    <m/>
    <m/>
    <m/>
    <n v="39623.047823684894"/>
    <x v="1"/>
    <m/>
    <n v="3277.2936069830607"/>
    <n v="25107.265017137095"/>
    <n v="33263.474890030957"/>
    <n v="24087.385048567459"/>
    <n v="13541"/>
    <n v="27853.825697837899"/>
    <n v="37822.000195335575"/>
    <n v="12089"/>
    <n v="5851"/>
    <n v="4189"/>
    <n v="838"/>
    <s v=""/>
    <n v="0.1"/>
    <n v="0.65"/>
    <n v="0.85000000000000009"/>
    <n v="0.60000000000000009"/>
    <n v="0.35000000000000003"/>
    <n v="0.70000000000000007"/>
    <n v="0.95000000000000007"/>
    <n v="0.30000000000000004"/>
    <n v="0.15000000000000002"/>
    <n v="0.1"/>
    <n v="0"/>
    <n v="37822.000195335575"/>
    <s v="WASH"/>
    <n v="0.95454545454545436"/>
    <s v=""/>
    <s v="Flagged"/>
    <s v=""/>
    <n v="33263.474890030957"/>
    <s v="Food Security"/>
    <n v="0.83949813850885879"/>
    <n v="4558.5253053046181"/>
    <n v="0.137042967410203"/>
    <s v=""/>
    <n v="27853.825697837899"/>
    <s v="Shelter"/>
    <n v="0.70297029702970304"/>
    <n v="9968.1744974976755"/>
    <n v="0.35787451984635044"/>
    <s v=""/>
    <s v=""/>
    <s v=""/>
    <s v=""/>
    <s v=""/>
    <n v="4"/>
    <n v="37822.000195335575"/>
    <m/>
    <m/>
    <n v="1"/>
    <s v="Flagged"/>
    <n v="37822.000195335575"/>
    <m/>
  </r>
  <r>
    <s v=""/>
    <x v="7"/>
    <s v="SS07"/>
    <x v="58"/>
    <s v="SS0711"/>
    <m/>
    <m/>
    <m/>
    <n v="208923.05518722511"/>
    <x v="1"/>
    <m/>
    <n v="38264.257557540281"/>
    <n v="81229.978090916178"/>
    <n v="139713.06019309364"/>
    <n v="88283.247526447769"/>
    <n v="73541"/>
    <n v="43983.80109204739"/>
    <n v="100592.58212718245"/>
    <n v="67442"/>
    <n v="18599"/>
    <n v="7568"/>
    <n v="4203"/>
    <s v=""/>
    <n v="0.2"/>
    <n v="0.4"/>
    <n v="0.65"/>
    <n v="0.4"/>
    <n v="0.35000000000000003"/>
    <n v="0.2"/>
    <n v="0.5"/>
    <n v="0.30000000000000004"/>
    <n v="0.1"/>
    <n v="0.05"/>
    <n v="0"/>
    <n v="139713.06019309364"/>
    <s v="Food Security"/>
    <n v="0.66872973912759714"/>
    <s v=""/>
    <s v=""/>
    <s v=""/>
    <n v="100592.58212718245"/>
    <s v="WASH"/>
    <n v="0.48148148148148145"/>
    <n v="39120.478065911186"/>
    <n v="0.38890022741885583"/>
    <s v="Flagged"/>
    <n v="88283.247526447769"/>
    <s v="Health"/>
    <n v="0.42256345259422556"/>
    <n v="51429.81266664587"/>
    <n v="0.58255460812356952"/>
    <s v="Flagged"/>
    <s v=""/>
    <s v=""/>
    <s v=""/>
    <s v=""/>
    <n v="4"/>
    <n v="139713.06019309364"/>
    <m/>
    <m/>
    <n v="2"/>
    <s v="Flagged"/>
    <n v="139713.06019309364"/>
    <m/>
  </r>
  <r>
    <s v=""/>
    <x v="7"/>
    <s v="SS07"/>
    <x v="59"/>
    <s v="SS0712"/>
    <m/>
    <m/>
    <m/>
    <n v="68673.985334433135"/>
    <x v="1"/>
    <m/>
    <n v="22309.43087574395"/>
    <n v="32382.269370221249"/>
    <n v="59789.271074592936"/>
    <n v="44273.148190082211"/>
    <n v="11369"/>
    <n v="29801.918163999289"/>
    <n v="51505.489000824855"/>
    <n v="8861"/>
    <n v="9139"/>
    <n v="2270"/>
    <n v="1449"/>
    <s v=""/>
    <n v="0.30000000000000004"/>
    <n v="0.45"/>
    <n v="0.85000000000000009"/>
    <n v="0.65"/>
    <n v="0.15000000000000002"/>
    <n v="0.45"/>
    <n v="0.75"/>
    <n v="0.15000000000000002"/>
    <n v="0.15000000000000002"/>
    <n v="0.05"/>
    <n v="0"/>
    <n v="59789.271074592936"/>
    <s v="Food Security"/>
    <n v="0.87062474652413391"/>
    <s v=""/>
    <s v=""/>
    <s v=""/>
    <n v="51505.489000824855"/>
    <s v="WASH"/>
    <n v="0.75"/>
    <n v="8283.7820737680813"/>
    <n v="0.16083299536551177"/>
    <s v=""/>
    <n v="44273.148190082211"/>
    <s v="Health"/>
    <n v="0.64468587303442337"/>
    <n v="15516.122884510725"/>
    <n v="0.35046350934642928"/>
    <s v=""/>
    <s v=""/>
    <s v=""/>
    <s v=""/>
    <s v=""/>
    <n v="4"/>
    <n v="59789.271074592936"/>
    <m/>
    <m/>
    <n v="0"/>
    <s v=""/>
    <n v="59789.271074592936"/>
    <m/>
  </r>
  <r>
    <s v=""/>
    <x v="8"/>
    <s v="SS08"/>
    <x v="60"/>
    <s v="SS0801"/>
    <m/>
    <m/>
    <m/>
    <n v="66451.811981503241"/>
    <x v="1"/>
    <m/>
    <n v="12506.231014918911"/>
    <n v="31059.156167903904"/>
    <n v="38920.789012075693"/>
    <n v="31977.818219906374"/>
    <n v="11294"/>
    <n v="26271.646597338491"/>
    <n v="22150.603993834415"/>
    <n v="9417"/>
    <n v="10646"/>
    <n v="2437"/>
    <n v="682"/>
    <s v=""/>
    <n v="0.2"/>
    <n v="0.45"/>
    <n v="0.60000000000000009"/>
    <n v="0.5"/>
    <n v="0.15000000000000002"/>
    <n v="0.4"/>
    <n v="0.35000000000000003"/>
    <n v="0.15000000000000002"/>
    <n v="0.15000000000000002"/>
    <n v="0.05"/>
    <n v="0"/>
    <n v="38920.789012075693"/>
    <s v="Food Security"/>
    <n v="0.58569943921031431"/>
    <s v=""/>
    <s v=""/>
    <s v=""/>
    <n v="31977.818219906374"/>
    <s v="Health"/>
    <n v="0.48121815291970294"/>
    <n v="6942.9707921693189"/>
    <n v="0.2171183394821877"/>
    <s v=""/>
    <n v="31059.156167903904"/>
    <s v="Nutrition"/>
    <n v="0.46739366831034151"/>
    <n v="7861.6328441717887"/>
    <n v="0.25311804357054263"/>
    <s v=""/>
    <s v=""/>
    <s v=""/>
    <s v=""/>
    <s v="Flagged"/>
    <n v="4"/>
    <n v="38920.789012075693"/>
    <m/>
    <m/>
    <n v="1"/>
    <s v="Flagged"/>
    <n v="38920.789012075693"/>
    <m/>
  </r>
  <r>
    <s v=""/>
    <x v="8"/>
    <s v="SS08"/>
    <x v="61"/>
    <s v="SS0802"/>
    <m/>
    <m/>
    <m/>
    <n v="175059.60932121321"/>
    <x v="1"/>
    <m/>
    <n v="39838.122727658229"/>
    <n v="82753.758453595903"/>
    <n v="93064.484746472765"/>
    <n v="88745.812972787884"/>
    <n v="60142"/>
    <n v="61424.424323232699"/>
    <n v="87529.804660606605"/>
    <n v="24295"/>
    <n v="40327"/>
    <n v="6232"/>
    <n v="1897"/>
    <s v=""/>
    <n v="0.25"/>
    <n v="0.45"/>
    <n v="0.55000000000000004"/>
    <n v="0.5"/>
    <n v="0.35000000000000003"/>
    <n v="0.35000000000000003"/>
    <n v="0.5"/>
    <n v="0.15000000000000002"/>
    <n v="0.25"/>
    <n v="0.05"/>
    <n v="0"/>
    <n v="93064.484746472765"/>
    <s v="Food Security"/>
    <n v="0.53161597416632345"/>
    <s v=""/>
    <s v=""/>
    <s v=""/>
    <n v="88745.812972787884"/>
    <s v="Health"/>
    <n v="0.50694625286150419"/>
    <n v="4318.6717736848805"/>
    <n v="4.8663386237828642E-2"/>
    <s v=""/>
    <n v="87529.804660606605"/>
    <s v="WASH"/>
    <n v="0.5"/>
    <n v="5534.6800858661591"/>
    <n v="6.3231948332646976E-2"/>
    <s v=""/>
    <s v=""/>
    <s v=""/>
    <s v=""/>
    <s v="Flagged"/>
    <n v="4"/>
    <n v="93064.484746472765"/>
    <m/>
    <m/>
    <n v="1"/>
    <s v="Flagged"/>
    <n v="93064.484746472765"/>
    <m/>
  </r>
  <r>
    <s v=""/>
    <x v="8"/>
    <s v="SS08"/>
    <x v="62"/>
    <s v="SS0803"/>
    <m/>
    <m/>
    <m/>
    <n v="118674.00478882086"/>
    <x v="1"/>
    <m/>
    <n v="38823.275009425401"/>
    <n v="66304.246767566918"/>
    <n v="87510.12561893872"/>
    <n v="50763.66976398851"/>
    <n v="40780"/>
    <n v="70639.288564774324"/>
    <n v="58238.169016736174"/>
    <n v="38672"/>
    <n v="26152"/>
    <n v="4113"/>
    <n v="2168"/>
    <s v=""/>
    <n v="0.35000000000000003"/>
    <n v="0.55000000000000004"/>
    <n v="0.75"/>
    <n v="0.45"/>
    <n v="0.35000000000000003"/>
    <n v="0.60000000000000009"/>
    <n v="0.5"/>
    <n v="0.35000000000000003"/>
    <n v="0.2"/>
    <n v="0.05"/>
    <n v="0"/>
    <n v="87510.12561893872"/>
    <s v="Food Security"/>
    <n v="0.7373992794349703"/>
    <s v=""/>
    <s v=""/>
    <s v=""/>
    <n v="70639.288564774324"/>
    <s v="Shelter"/>
    <n v="0.59523809523809523"/>
    <n v="16870.837054164396"/>
    <n v="0.23883078945075012"/>
    <s v=""/>
    <n v="66304.246767566918"/>
    <s v="Nutrition"/>
    <n v="0.5587091030218001"/>
    <n v="21205.878851371803"/>
    <n v="0.31982685702938674"/>
    <s v=""/>
    <s v=""/>
    <s v=""/>
    <s v=""/>
    <s v="Flagged"/>
    <n v="4"/>
    <n v="87510.12561893872"/>
    <m/>
    <m/>
    <n v="1"/>
    <s v="Flagged"/>
    <n v="87510.12561893872"/>
    <m/>
  </r>
  <r>
    <s v=""/>
    <x v="8"/>
    <s v="SS08"/>
    <x v="63"/>
    <s v="SS0804"/>
    <m/>
    <m/>
    <m/>
    <n v="176910.11306393327"/>
    <x v="1"/>
    <m/>
    <n v="46907.008838449648"/>
    <n v="86913.301038166988"/>
    <n v="109863.17813807524"/>
    <n v="79757.739660143794"/>
    <n v="29494"/>
    <n v="84076.093337314829"/>
    <n v="106473.6791588487"/>
    <n v="22787"/>
    <n v="25348"/>
    <n v="5740"/>
    <n v="2027"/>
    <s v=""/>
    <n v="0.25"/>
    <n v="0.5"/>
    <n v="0.60000000000000009"/>
    <n v="0.45"/>
    <n v="0.15000000000000002"/>
    <n v="0.5"/>
    <n v="0.60000000000000009"/>
    <n v="0.15000000000000002"/>
    <n v="0.15000000000000002"/>
    <n v="0.05"/>
    <n v="0"/>
    <n v="109863.17813807524"/>
    <s v="Food Security"/>
    <n v="0.62101129344918771"/>
    <s v=""/>
    <s v=""/>
    <s v=""/>
    <n v="106473.6791588487"/>
    <s v="WASH"/>
    <n v="0.60185185185185164"/>
    <n v="3389.4989792265405"/>
    <n v="3.1834149115573696E-2"/>
    <s v=""/>
    <n v="86913.301038166988"/>
    <s v="Nutrition"/>
    <n v="0.49128509124154779"/>
    <n v="22949.877099908248"/>
    <n v="0.26405483195063628"/>
    <s v=""/>
    <s v=""/>
    <s v=""/>
    <s v=""/>
    <s v=""/>
    <n v="4"/>
    <n v="109863.17813807524"/>
    <m/>
    <m/>
    <n v="0"/>
    <s v=""/>
    <n v="109863.17813807524"/>
    <m/>
  </r>
  <r>
    <s v=""/>
    <x v="8"/>
    <s v="SS08"/>
    <x v="64"/>
    <s v="SS0805"/>
    <m/>
    <m/>
    <m/>
    <n v="85516.790119838945"/>
    <x v="1"/>
    <m/>
    <n v="13282.254049438088"/>
    <n v="49911.369081728808"/>
    <n v="48485.941515993887"/>
    <n v="48757.59004222045"/>
    <n v="29796"/>
    <n v="44565.087808930155"/>
    <n v="65721.236851357709"/>
    <n v="25125"/>
    <n v="7795"/>
    <n v="21597"/>
    <n v="2029"/>
    <s v=""/>
    <n v="0.15000000000000002"/>
    <n v="0.60000000000000009"/>
    <n v="0.55000000000000004"/>
    <n v="0.55000000000000004"/>
    <n v="0.35000000000000003"/>
    <n v="0.5"/>
    <n v="0.75"/>
    <n v="0.30000000000000004"/>
    <n v="0.1"/>
    <n v="0.25"/>
    <n v="0"/>
    <n v="65721.236851357709"/>
    <s v="WASH"/>
    <n v="0.76851851851851849"/>
    <s v=""/>
    <s v=""/>
    <s v=""/>
    <n v="49911.369081728808"/>
    <s v="Nutrition"/>
    <n v="0.58364408921084987"/>
    <n v="15809.867769628901"/>
    <n v="0.31675884794385378"/>
    <s v="Flagged"/>
    <n v="48757.59004222045"/>
    <s v="Health"/>
    <n v="0.57015224699025779"/>
    <n v="16963.646809137259"/>
    <n v="0.34791807376960182"/>
    <s v=""/>
    <s v=""/>
    <s v=""/>
    <s v=""/>
    <s v=""/>
    <n v="4"/>
    <n v="65721.236851357709"/>
    <m/>
    <m/>
    <n v="1"/>
    <s v="Flagged"/>
    <n v="65721.236851357709"/>
    <m/>
  </r>
  <r>
    <s v=""/>
    <x v="8"/>
    <s v="SS08"/>
    <x v="65"/>
    <s v="SS0806"/>
    <m/>
    <m/>
    <m/>
    <n v="56495.39881084334"/>
    <x v="1"/>
    <m/>
    <n v="6937.7479647691844"/>
    <n v="30593.112727266733"/>
    <n v="32963.972271729072"/>
    <n v="34129.817761062943"/>
    <n v="19172"/>
    <n v="17383.199634105644"/>
    <n v="25632.171682697448"/>
    <n v="17259"/>
    <n v="12437"/>
    <n v="2011"/>
    <n v="1143"/>
    <s v=""/>
    <n v="0.1"/>
    <n v="0.55000000000000004"/>
    <n v="0.60000000000000009"/>
    <n v="0.60000000000000009"/>
    <n v="0.35000000000000003"/>
    <n v="0.30000000000000004"/>
    <n v="0.45"/>
    <n v="0.30000000000000004"/>
    <n v="0.2"/>
    <n v="0.05"/>
    <n v="0"/>
    <n v="34129.817761062943"/>
    <s v="Health"/>
    <n v="0.60411676843517204"/>
    <s v=""/>
    <s v=""/>
    <s v=""/>
    <n v="32963.972271729072"/>
    <s v="Food Security"/>
    <n v="0.58348065445291086"/>
    <n v="1165.8454893338712"/>
    <n v="3.5367263378441094E-2"/>
    <s v=""/>
    <n v="30593.112727266733"/>
    <s v="Nutrition"/>
    <n v="0.54151512107557509"/>
    <n v="3536.70503379621"/>
    <n v="0.11560461550040477"/>
    <s v=""/>
    <s v=""/>
    <s v="Flagged"/>
    <s v=""/>
    <s v=""/>
    <n v="4"/>
    <n v="34129.817761062943"/>
    <m/>
    <m/>
    <n v="1"/>
    <s v="Flagged"/>
    <n v="34129.817761062943"/>
    <m/>
  </r>
  <r>
    <s v=""/>
    <x v="9"/>
    <s v="SS09"/>
    <x v="66"/>
    <s v="SS0901"/>
    <m/>
    <m/>
    <m/>
    <n v="178742.31540837008"/>
    <x v="1"/>
    <m/>
    <n v="36544.688599892135"/>
    <n v="71792.511876647914"/>
    <n v="54701.095765878286"/>
    <n v="92905.123157415932"/>
    <n v="30952"/>
    <n v="70264.220539842034"/>
    <n v="127436.650800412"/>
    <n v="23638"/>
    <n v="25384"/>
    <n v="19506"/>
    <n v="1983"/>
    <s v=""/>
    <n v="0.2"/>
    <n v="0.4"/>
    <n v="0.30000000000000004"/>
    <n v="0.5"/>
    <n v="0.15000000000000002"/>
    <n v="0.4"/>
    <n v="0.70000000000000007"/>
    <n v="0.15000000000000002"/>
    <n v="0.15000000000000002"/>
    <n v="0.1"/>
    <n v="0"/>
    <n v="127436.650800412"/>
    <s v="WASH"/>
    <n v="0.71296296296296291"/>
    <s v=""/>
    <s v=""/>
    <s v=""/>
    <n v="92905.123157415932"/>
    <s v="Health"/>
    <n v="0.51977128608386258"/>
    <n v="34531.527642996065"/>
    <n v="0.37168593581741211"/>
    <s v="Flagged"/>
    <n v="71792.511876647914"/>
    <s v="Nutrition"/>
    <n v="0.40165369746175977"/>
    <n v="55644.138923764083"/>
    <n v="0.77506884031819978"/>
    <s v="Flagged"/>
    <s v=""/>
    <s v=""/>
    <s v=""/>
    <s v="Flagged"/>
    <n v="4"/>
    <n v="127436.650800412"/>
    <m/>
    <m/>
    <n v="3"/>
    <s v="Flagged"/>
    <n v="127436.650800412"/>
    <m/>
  </r>
  <r>
    <s v=""/>
    <x v="9"/>
    <s v="SS09"/>
    <x v="67"/>
    <s v="SS0902"/>
    <m/>
    <m/>
    <m/>
    <n v="37008.275019605207"/>
    <x v="1"/>
    <m/>
    <n v="9740.8185389477185"/>
    <n v="15260.32923411262"/>
    <n v="19251.330016565855"/>
    <n v="19192.902815265665"/>
    <n v="6609"/>
    <n v="0"/>
    <n v="9594.7379680457962"/>
    <n v="5193"/>
    <n v="5963"/>
    <n v="4203"/>
    <n v="425"/>
    <s v=""/>
    <n v="0.25"/>
    <n v="0.4"/>
    <n v="0.5"/>
    <n v="0.5"/>
    <n v="0.2"/>
    <n v="0"/>
    <n v="0.25"/>
    <n v="0.15000000000000002"/>
    <n v="0.15000000000000002"/>
    <n v="0.1"/>
    <n v="0"/>
    <n v="19251.330016565855"/>
    <s v="Food Security"/>
    <n v="0.52018987662536076"/>
    <s v="Flagged"/>
    <s v=""/>
    <s v=""/>
    <n v="19192.902815265665"/>
    <s v="Health"/>
    <n v="0.51861111616518696"/>
    <n v="58.427201300190063"/>
    <n v="3.0442086776846593E-3"/>
    <s v=""/>
    <n v="15260.32923411262"/>
    <s v="Nutrition"/>
    <n v="0.41234910911217637"/>
    <n v="3991.0007824532349"/>
    <n v="0.2615278295262356"/>
    <s v=""/>
    <s v=""/>
    <s v=""/>
    <s v=""/>
    <s v="Flagged"/>
    <n v="4"/>
    <n v="19251.330016565855"/>
    <m/>
    <m/>
    <n v="2"/>
    <s v="Flagged"/>
    <n v="19251.330016565855"/>
    <m/>
  </r>
  <r>
    <s v=""/>
    <x v="9"/>
    <s v="SS09"/>
    <x v="68"/>
    <s v="SS0903"/>
    <m/>
    <m/>
    <m/>
    <n v="225180.53774946873"/>
    <x v="1"/>
    <m/>
    <n v="30693.36830626399"/>
    <n v="92382.929493153322"/>
    <n v="111624.95265472641"/>
    <n v="102556.50979852382"/>
    <n v="35550"/>
    <n v="54353.922905044179"/>
    <n v="97995.234020602133"/>
    <n v="28618"/>
    <n v="17997"/>
    <n v="6897"/>
    <n v="2269"/>
    <s v=""/>
    <n v="0.15000000000000002"/>
    <n v="0.4"/>
    <n v="0.5"/>
    <n v="0.45"/>
    <n v="0.15000000000000002"/>
    <n v="0.25"/>
    <n v="0.45"/>
    <n v="0.15000000000000002"/>
    <n v="0.1"/>
    <n v="0.05"/>
    <n v="0"/>
    <n v="111624.95265472641"/>
    <s v="Food Security"/>
    <n v="0.49571314541809142"/>
    <s v=""/>
    <s v=""/>
    <s v=""/>
    <n v="102556.50979852382"/>
    <s v="Health"/>
    <n v="0.45544126869714691"/>
    <n v="9068.442856202586"/>
    <n v="8.8423863819253282E-2"/>
    <s v=""/>
    <n v="97995.234020602133"/>
    <s v="WASH"/>
    <n v="0.43518518518518517"/>
    <n v="13629.718634124278"/>
    <n v="0.1390855256415717"/>
    <s v=""/>
    <s v=""/>
    <s v=""/>
    <s v=""/>
    <s v="Flagged"/>
    <n v="4"/>
    <n v="111624.95265472641"/>
    <m/>
    <m/>
    <n v="1"/>
    <s v="Flagged"/>
    <n v="111624.95265472641"/>
    <m/>
  </r>
  <r>
    <s v=""/>
    <x v="10"/>
    <s v="SS10"/>
    <x v="69"/>
    <s v="SS1001"/>
    <m/>
    <m/>
    <m/>
    <n v="73520.181474041485"/>
    <x v="1"/>
    <m/>
    <n v="16171.535877120903"/>
    <n v="36066.523335321421"/>
    <n v="13143.564910079635"/>
    <n v="36337.325866056002"/>
    <n v="12761"/>
    <n v="29249.964672468115"/>
    <n v="54459.393684475173"/>
    <n v="10407"/>
    <n v="6929"/>
    <n v="2732"/>
    <n v="764"/>
    <s v=""/>
    <n v="0.2"/>
    <n v="0.5"/>
    <n v="0.2"/>
    <n v="0.5"/>
    <n v="0.15000000000000002"/>
    <n v="0.4"/>
    <n v="0.75"/>
    <n v="0.15000000000000002"/>
    <n v="0.1"/>
    <n v="0.05"/>
    <n v="0"/>
    <n v="54459.393684475173"/>
    <s v="WASH"/>
    <n v="0.7407407407407407"/>
    <s v=""/>
    <s v=""/>
    <s v=""/>
    <n v="36337.325866056002"/>
    <s v="Health"/>
    <n v="0.49424967590546537"/>
    <n v="18122.067818419171"/>
    <n v="0.49871770655934933"/>
    <s v="Flagged"/>
    <n v="36066.523335321421"/>
    <s v="Nutrition"/>
    <n v="0.49056629910599164"/>
    <n v="18392.870349153753"/>
    <n v="0.50997070546971357"/>
    <s v="Flagged"/>
    <s v=""/>
    <s v=""/>
    <s v=""/>
    <s v="Flagged"/>
    <n v="4"/>
    <n v="54459.393684475173"/>
    <m/>
    <m/>
    <n v="3"/>
    <s v="Flagged"/>
    <n v="54459.393684475173"/>
    <m/>
  </r>
  <r>
    <s v=""/>
    <x v="10"/>
    <s v="SS10"/>
    <x v="70"/>
    <s v="SS1002"/>
    <m/>
    <m/>
    <m/>
    <n v="47140.450098552225"/>
    <x v="1"/>
    <m/>
    <n v="6753.435162018789"/>
    <n v="20826.863886890918"/>
    <n v="11877.998300213296"/>
    <n v="20492.844907836869"/>
    <n v="9428"/>
    <n v="17495.424778844124"/>
    <n v="40156.679713581529"/>
    <n v="6902"/>
    <n v="8562"/>
    <n v="1987"/>
    <n v="675"/>
    <s v=""/>
    <n v="0.15000000000000002"/>
    <n v="0.45"/>
    <n v="0.25"/>
    <n v="0.45"/>
    <n v="0.2"/>
    <n v="0.35000000000000003"/>
    <n v="0.85000000000000009"/>
    <n v="0.15000000000000002"/>
    <n v="0.2"/>
    <n v="0.05"/>
    <n v="0"/>
    <n v="40156.679713581529"/>
    <s v="WASH"/>
    <n v="0.85185185185185197"/>
    <s v=""/>
    <s v=""/>
    <s v=""/>
    <n v="20826.863886890918"/>
    <s v="Nutrition"/>
    <n v="0.44180451911999358"/>
    <n v="19329.81582669061"/>
    <n v="0.92811937177240611"/>
    <s v="Flagged"/>
    <n v="20492.844907836869"/>
    <s v="Health"/>
    <n v="0.43471890626827603"/>
    <n v="19663.83480574466"/>
    <n v="0.95954636333703092"/>
    <s v="Flagged"/>
    <s v=""/>
    <s v=""/>
    <s v=""/>
    <s v=""/>
    <n v="4"/>
    <n v="40156.679713581529"/>
    <m/>
    <m/>
    <n v="2"/>
    <s v="Flagged"/>
    <n v="40156.679713581529"/>
    <m/>
  </r>
  <r>
    <s v=""/>
    <x v="10"/>
    <s v="SS10"/>
    <x v="71"/>
    <s v="SS1003"/>
    <m/>
    <m/>
    <m/>
    <n v="80255.412925910496"/>
    <x v="1"/>
    <m/>
    <n v="12532.89394658379"/>
    <n v="46265.718799877228"/>
    <n v="20354.541316277235"/>
    <n v="31521.004525350756"/>
    <n v="24696"/>
    <n v="22224.575887175215"/>
    <n v="57962.24266871313"/>
    <n v="9424"/>
    <n v="10973"/>
    <n v="18515"/>
    <n v="823"/>
    <s v=""/>
    <n v="0.15000000000000002"/>
    <n v="0.60000000000000009"/>
    <n v="0.25"/>
    <n v="0.4"/>
    <n v="0.30000000000000004"/>
    <n v="0.30000000000000004"/>
    <n v="0.70000000000000007"/>
    <n v="0.1"/>
    <n v="0.15000000000000002"/>
    <n v="0.25"/>
    <n v="0"/>
    <n v="57962.24266871313"/>
    <s v="WASH"/>
    <n v="0.7222222222222221"/>
    <s v=""/>
    <s v=""/>
    <s v=""/>
    <n v="46265.718799877228"/>
    <s v="Nutrition"/>
    <n v="0.57648097633723994"/>
    <n v="11696.523868835902"/>
    <n v="0.25281189122834813"/>
    <s v=""/>
    <n v="31521.004525350756"/>
    <s v="Health"/>
    <n v="0.39275861124096451"/>
    <n v="26441.238143362374"/>
    <n v="0.83884503497015839"/>
    <s v="Flagged"/>
    <s v=""/>
    <s v=""/>
    <s v=""/>
    <s v=""/>
    <n v="4"/>
    <n v="57962.24266871313"/>
    <m/>
    <m/>
    <n v="1"/>
    <s v="Flagged"/>
    <n v="57962.24266871313"/>
    <m/>
  </r>
  <r>
    <s v=""/>
    <x v="10"/>
    <s v="SS10"/>
    <x v="72"/>
    <s v="SS1004"/>
    <m/>
    <m/>
    <m/>
    <n v="64180.342035561967"/>
    <x v="1"/>
    <m/>
    <n v="1008.8636325254056"/>
    <n v="34046.698988476506"/>
    <n v="27608.178938631787"/>
    <n v="30949.569079725894"/>
    <n v="21894"/>
    <n v="15281.033817990945"/>
    <n v="39815.582559098635"/>
    <n v="9246"/>
    <n v="8811"/>
    <n v="13935"/>
    <n v="1283"/>
    <s v=""/>
    <n v="0"/>
    <n v="0.55000000000000004"/>
    <n v="0.45"/>
    <n v="0.5"/>
    <n v="0.35000000000000003"/>
    <n v="0.25"/>
    <n v="0.60000000000000009"/>
    <n v="0.15000000000000002"/>
    <n v="0.15000000000000002"/>
    <n v="0.2"/>
    <n v="0"/>
    <n v="39815.582559098635"/>
    <s v="WASH"/>
    <n v="0.62037037037037046"/>
    <s v=""/>
    <s v=""/>
    <s v=""/>
    <n v="34046.698988476506"/>
    <s v="Nutrition"/>
    <n v="0.53048484798680917"/>
    <n v="5768.8835706221289"/>
    <n v="0.16944031997271375"/>
    <s v=""/>
    <n v="30949.569079725894"/>
    <s v="Health"/>
    <n v="0.48222817295951637"/>
    <n v="8866.0134793727411"/>
    <n v="0.28646645956633343"/>
    <s v=""/>
    <s v=""/>
    <s v=""/>
    <s v=""/>
    <s v=""/>
    <n v="4"/>
    <n v="39815.582559098635"/>
    <m/>
    <m/>
    <n v="0"/>
    <s v=""/>
    <n v="39815.582559098635"/>
    <m/>
  </r>
  <r>
    <s v=""/>
    <x v="10"/>
    <s v="SS10"/>
    <x v="73"/>
    <s v="SS1005"/>
    <m/>
    <m/>
    <m/>
    <n v="37549.507730213714"/>
    <x v="1"/>
    <m/>
    <n v="3086.1189413308048"/>
    <n v="20359.407042341969"/>
    <n v="14436.659785096421"/>
    <n v="18629.294202189416"/>
    <n v="12595"/>
    <n v="15461.562006558588"/>
    <n v="14223.298382656711"/>
    <n v="5146"/>
    <n v="3209"/>
    <n v="8199"/>
    <n v="798"/>
    <s v=""/>
    <n v="0.1"/>
    <n v="0.55000000000000004"/>
    <n v="0.4"/>
    <n v="0.5"/>
    <n v="0.35000000000000003"/>
    <n v="0.4"/>
    <n v="0.4"/>
    <n v="0.15000000000000002"/>
    <n v="0.1"/>
    <n v="0.2"/>
    <n v="0"/>
    <n v="20359.407042341969"/>
    <s v="Nutrition"/>
    <n v="0.54220170311207683"/>
    <s v=""/>
    <s v=""/>
    <s v=""/>
    <n v="18629.294202189416"/>
    <s v="Health"/>
    <n v="0.49612618988343227"/>
    <n v="1730.112840152553"/>
    <n v="9.2870552226783809E-2"/>
    <s v=""/>
    <n v="15461.562006558588"/>
    <s v="Shelter"/>
    <n v="0.41176470588235292"/>
    <n v="4897.8450357833808"/>
    <n v="0.31677556470075796"/>
    <s v=""/>
    <s v=""/>
    <s v=""/>
    <s v=""/>
    <s v="Flagged"/>
    <n v="4"/>
    <n v="20359.407042341969"/>
    <m/>
    <m/>
    <n v="1"/>
    <s v="Flagged"/>
    <n v="20359.407042341969"/>
    <m/>
  </r>
  <r>
    <s v=""/>
    <x v="10"/>
    <s v="SS10"/>
    <x v="74"/>
    <s v="SS1006"/>
    <m/>
    <m/>
    <m/>
    <n v="57305.25569680793"/>
    <x v="1"/>
    <m/>
    <n v="4644.4763637148881"/>
    <n v="26042.618213549027"/>
    <n v="33121.614517212045"/>
    <n v="26440.849003206466"/>
    <n v="9671"/>
    <n v="39397.363291555448"/>
    <n v="26530.210970744411"/>
    <n v="7757"/>
    <n v="8489"/>
    <n v="6157"/>
    <n v="605"/>
    <s v=""/>
    <n v="0.1"/>
    <n v="0.45"/>
    <n v="0.60000000000000009"/>
    <n v="0.45"/>
    <n v="0.15000000000000002"/>
    <n v="0.70000000000000007"/>
    <n v="0.45"/>
    <n v="0.15000000000000002"/>
    <n v="0.15000000000000002"/>
    <n v="0.1"/>
    <n v="0"/>
    <n v="39397.363291555448"/>
    <s v="Shelter"/>
    <n v="0.68749999999999989"/>
    <s v=""/>
    <s v=""/>
    <s v=""/>
    <n v="33121.614517212045"/>
    <s v="Food Security"/>
    <n v="0.57798563350720755"/>
    <n v="6275.7487743434031"/>
    <n v="0.18947593182941413"/>
    <s v=""/>
    <n v="26530.210970744411"/>
    <s v="WASH"/>
    <n v="0.46296296296296297"/>
    <n v="12867.152320811037"/>
    <n v="0.48499999999999993"/>
    <s v=""/>
    <s v=""/>
    <s v="Flagged"/>
    <s v=""/>
    <s v=""/>
    <n v="4"/>
    <n v="39397.363291555448"/>
    <m/>
    <m/>
    <n v="1"/>
    <s v="Flagged"/>
    <n v="39397.363291555448"/>
    <m/>
  </r>
  <r>
    <s v=""/>
    <x v="10"/>
    <s v="SS10"/>
    <x v="75"/>
    <s v="SS1007"/>
    <m/>
    <m/>
    <m/>
    <n v="20533.496005228379"/>
    <x v="1"/>
    <m/>
    <n v="1339.5888525842954"/>
    <n v="8983.5200652778312"/>
    <n v="11407.842529438098"/>
    <n v="11103.202465375422"/>
    <n v="6954"/>
    <n v="4297.7084662105908"/>
    <n v="13688.99733681892"/>
    <n v="2678"/>
    <n v="2964"/>
    <n v="692"/>
    <n v="483"/>
    <s v=""/>
    <n v="0.05"/>
    <n v="0.45"/>
    <n v="0.55000000000000004"/>
    <n v="0.55000000000000004"/>
    <n v="0.35000000000000003"/>
    <n v="0.2"/>
    <n v="0.65"/>
    <n v="0.15000000000000002"/>
    <n v="0.15000000000000002"/>
    <n v="0.05"/>
    <n v="0"/>
    <n v="13688.99733681892"/>
    <s v="WASH"/>
    <n v="0.66666666666666674"/>
    <s v=""/>
    <s v=""/>
    <s v=""/>
    <n v="11407.842529438098"/>
    <s v="Food Security"/>
    <n v="0.55557234513466947"/>
    <n v="2281.1548073808226"/>
    <n v="0.19996373560506911"/>
    <s v=""/>
    <n v="11103.202465375422"/>
    <s v="Health"/>
    <n v="0.54073609591607041"/>
    <n v="2585.7948714434988"/>
    <n v="0.232887302515389"/>
    <s v=""/>
    <s v=""/>
    <s v=""/>
    <s v=""/>
    <s v=""/>
    <n v="4"/>
    <n v="13688.99733681892"/>
    <m/>
    <m/>
    <n v="0"/>
    <s v=""/>
    <n v="13688.99733681892"/>
    <m/>
  </r>
  <r>
    <s v=""/>
    <x v="10"/>
    <s v="SS10"/>
    <x v="76"/>
    <s v="SS1008"/>
    <m/>
    <m/>
    <m/>
    <n v="65499.917413585019"/>
    <x v="1"/>
    <m/>
    <n v="12547.347579515104"/>
    <n v="35263.479435482092"/>
    <n v="12721.227834511414"/>
    <n v="28458.77568084903"/>
    <n v="11528"/>
    <n v="46989.071188006637"/>
    <n v="51550.860927358575"/>
    <n v="9232"/>
    <n v="5824"/>
    <n v="2260"/>
    <n v="706"/>
    <s v=""/>
    <n v="0.2"/>
    <n v="0.55000000000000004"/>
    <n v="0.2"/>
    <n v="0.45"/>
    <n v="0.2"/>
    <n v="0.70000000000000007"/>
    <n v="0.8"/>
    <n v="0.15000000000000002"/>
    <n v="0.1"/>
    <n v="0.05"/>
    <n v="0"/>
    <n v="51550.860927358575"/>
    <s v="WASH"/>
    <n v="0.78703703703703698"/>
    <s v=""/>
    <s v=""/>
    <s v=""/>
    <n v="46989.071188006637"/>
    <s v="Shelter"/>
    <n v="0.71739130434782594"/>
    <n v="4561.7897393519379"/>
    <n v="9.7081930415263806E-2"/>
    <s v=""/>
    <n v="35263.479435482092"/>
    <s v="Nutrition"/>
    <n v="0.53837441065487912"/>
    <n v="16287.381491876484"/>
    <n v="0.46187675614018198"/>
    <s v=""/>
    <s v=""/>
    <s v=""/>
    <s v=""/>
    <s v="Flagged"/>
    <n v="4"/>
    <n v="51550.860927358575"/>
    <m/>
    <m/>
    <n v="1"/>
    <s v="Flagged"/>
    <n v="51550.860927358575"/>
    <m/>
  </r>
  <r>
    <s v=""/>
    <x v="10"/>
    <s v="SS10"/>
    <x v="77"/>
    <s v="SS1009"/>
    <m/>
    <m/>
    <m/>
    <n v="76119.104669093867"/>
    <x v="1"/>
    <m/>
    <n v="15328.027988110762"/>
    <n v="32825.390849720112"/>
    <n v="32718.060704017036"/>
    <n v="46305.191128608982"/>
    <n v="26794"/>
    <n v="71842.750474200948"/>
    <n v="58498.941551248063"/>
    <n v="10503"/>
    <n v="16592"/>
    <n v="2666"/>
    <n v="1738"/>
    <s v=""/>
    <n v="0.2"/>
    <n v="0.45"/>
    <n v="0.45"/>
    <n v="0.60000000000000009"/>
    <n v="0.35000000000000003"/>
    <n v="0.95000000000000007"/>
    <n v="0.75"/>
    <n v="0.15000000000000002"/>
    <n v="0.2"/>
    <n v="0.05"/>
    <n v="0"/>
    <n v="71842.750474200948"/>
    <s v="Shelter"/>
    <n v="0.9438202247191011"/>
    <s v=""/>
    <s v="Flagged"/>
    <s v=""/>
    <n v="58498.941551248063"/>
    <s v="WASH"/>
    <n v="0.76851851851851849"/>
    <n v="13343.808922952885"/>
    <n v="0.2281034249356978"/>
    <s v=""/>
    <n v="46305.191128608982"/>
    <s v="Health"/>
    <n v="0.60832548320040825"/>
    <n v="25537.559345591966"/>
    <n v="0.55150532204182956"/>
    <s v="Flagged"/>
    <s v=""/>
    <s v="Flagged"/>
    <s v=""/>
    <s v=""/>
    <n v="4"/>
    <n v="71842.750474200948"/>
    <m/>
    <m/>
    <n v="3"/>
    <s v="Flagged"/>
    <n v="71842.750474200948"/>
    <m/>
  </r>
  <r>
    <s v=""/>
    <x v="10"/>
    <s v="SS10"/>
    <x v="78"/>
    <s v="SS1010"/>
    <m/>
    <m/>
    <m/>
    <n v="122615.70597189905"/>
    <x v="1"/>
    <m/>
    <n v="22705.485969052377"/>
    <n v="53180.637302829513"/>
    <n v="31094.834456471111"/>
    <n v="60015.496545281159"/>
    <n v="43161"/>
    <n v="81743.803981266028"/>
    <n v="91961.779478924291"/>
    <n v="37469"/>
    <n v="27623"/>
    <n v="13479"/>
    <n v="2728"/>
    <s v=""/>
    <n v="0.2"/>
    <n v="0.45"/>
    <n v="0.25"/>
    <n v="0.5"/>
    <n v="0.35000000000000003"/>
    <n v="0.65"/>
    <n v="0.75"/>
    <n v="0.30000000000000004"/>
    <n v="0.25"/>
    <n v="0.1"/>
    <n v="0"/>
    <n v="91961.779478924291"/>
    <s v="WASH"/>
    <n v="0.75"/>
    <s v=""/>
    <s v=""/>
    <s v=""/>
    <n v="81743.803981266028"/>
    <s v="Shelter"/>
    <n v="0.66666666666666663"/>
    <n v="10217.975497658263"/>
    <n v="0.12500000000000011"/>
    <s v=""/>
    <n v="60015.496545281159"/>
    <s v="Health"/>
    <n v="0.48946010684010949"/>
    <n v="31946.282933643131"/>
    <n v="0.5323005685629868"/>
    <s v="Flagged"/>
    <s v=""/>
    <s v=""/>
    <s v=""/>
    <s v="Flagged"/>
    <n v="4"/>
    <n v="91961.779478924291"/>
    <m/>
    <m/>
    <n v="2"/>
    <s v="Flagged"/>
    <n v="91961.779478924291"/>
    <m/>
  </r>
  <r>
    <s v=""/>
    <x v="0"/>
    <s v="SS00"/>
    <x v="0"/>
    <s v="SS0001"/>
    <m/>
    <m/>
    <m/>
    <n v="19107.704392085096"/>
    <x v="2"/>
    <n v="0"/>
    <n v="2193.5644642113693"/>
    <n v="7075.1826001879772"/>
    <n v="11794.500496437133"/>
    <n v="13376.411804553156"/>
    <n v="12835"/>
    <n v="3980.7717483510619"/>
    <n v="7430.7739302553136"/>
    <n v="7415"/>
    <n v="7543"/>
    <n v="0"/>
    <n v="5389"/>
    <n v="0"/>
    <n v="0.1"/>
    <n v="0.35000000000000003"/>
    <n v="0.60000000000000009"/>
    <n v="0.70000000000000007"/>
    <n v="0.65"/>
    <n v="0.2"/>
    <n v="0.4"/>
    <n v="0.4"/>
    <n v="0.4"/>
    <n v="0"/>
    <n v="0.30000000000000004"/>
    <n v="13376.411804553156"/>
    <s v="Health"/>
    <n v="0.70005331514831326"/>
    <s v=""/>
    <s v=""/>
    <s v=""/>
    <n v="12835"/>
    <s v="Overarching Protection"/>
    <n v="0.67171857679128577"/>
    <n v="541.41180455315589"/>
    <n v="4.2182454581469096E-2"/>
    <s v=""/>
    <n v="11794.500496437133"/>
    <s v="Food Security"/>
    <n v="0.61726412835456668"/>
    <n v="1581.9113081160231"/>
    <n v="0.13412278956568655"/>
    <s v=""/>
    <s v=""/>
    <s v="Flagged"/>
    <s v=""/>
    <s v=""/>
    <n v="4"/>
    <n v="13376.411804553156"/>
    <m/>
    <m/>
    <n v="1"/>
    <s v="Flagged"/>
    <n v="13376.411804553156"/>
    <m/>
  </r>
  <r>
    <s v=""/>
    <x v="1"/>
    <s v="SS01"/>
    <x v="1"/>
    <s v="SS0101"/>
    <m/>
    <m/>
    <m/>
    <n v="58949.896431430854"/>
    <x v="2"/>
    <n v="8842.4844647146274"/>
    <n v="6550.2177419784402"/>
    <n v="17674.597144544001"/>
    <n v="41481.714534482526"/>
    <n v="32691.349000802427"/>
    <n v="36350"/>
    <n v="53054.906788287772"/>
    <n v="23044.050423195691"/>
    <n v="8153"/>
    <n v="20565"/>
    <n v="29625"/>
    <n v="15576"/>
    <n v="0.15000000000000002"/>
    <n v="0.1"/>
    <n v="0.30000000000000004"/>
    <n v="0.70000000000000007"/>
    <n v="0.55000000000000004"/>
    <n v="0.60000000000000009"/>
    <n v="0.9"/>
    <n v="0.4"/>
    <n v="0.15000000000000002"/>
    <n v="0.35000000000000003"/>
    <n v="0.5"/>
    <n v="0.25"/>
    <n v="53054.906788287772"/>
    <s v="Shelter"/>
    <n v="0.9"/>
    <s v=""/>
    <s v="Flagged"/>
    <s v=""/>
    <n v="41481.714534482526"/>
    <s v="Food Security"/>
    <n v="0.70367747944617831"/>
    <n v="11573.192253805246"/>
    <n v="0.2789950315140613"/>
    <s v=""/>
    <n v="36350"/>
    <s v="Overarching Protection"/>
    <n v="0.61662534118751966"/>
    <n v="16704.906788287772"/>
    <n v="0.4595572706544091"/>
    <s v=""/>
    <s v=""/>
    <s v="Flagged"/>
    <s v=""/>
    <s v=""/>
    <n v="4"/>
    <n v="53054.906788287772"/>
    <m/>
    <m/>
    <n v="2"/>
    <s v="Flagged"/>
    <n v="53054.906788287772"/>
    <m/>
  </r>
  <r>
    <s v=""/>
    <x v="1"/>
    <s v="SS01"/>
    <x v="2"/>
    <s v="SS0102"/>
    <m/>
    <m/>
    <m/>
    <n v="15480.714285714301"/>
    <x v="2"/>
    <n v="2322.1071428571449"/>
    <n v="1156.0625891428585"/>
    <n v="5203.6877773058141"/>
    <n v="10719.781647911757"/>
    <n v="8201.4928080468017"/>
    <n v="11582"/>
    <n v="12115.341614906843"/>
    <n v="12613.915343915358"/>
    <n v="5694"/>
    <n v="5574"/>
    <n v="3003"/>
    <n v="4142"/>
    <n v="0.15000000000000002"/>
    <n v="0.05"/>
    <n v="0.35000000000000003"/>
    <n v="0.70000000000000007"/>
    <n v="0.55000000000000004"/>
    <n v="0.75"/>
    <n v="0.8"/>
    <n v="0.8"/>
    <n v="0.35000000000000003"/>
    <n v="0.35000000000000003"/>
    <n v="0.2"/>
    <n v="0.25"/>
    <n v="12613.915343915358"/>
    <s v="WASH"/>
    <n v="0.81481481481481488"/>
    <s v=""/>
    <s v=""/>
    <s v=""/>
    <n v="12115.341614906843"/>
    <s v="Shelter"/>
    <n v="0.78260869565217384"/>
    <n v="498.57372900851442"/>
    <n v="4.1152263374485791E-2"/>
    <s v=""/>
    <n v="11582"/>
    <s v="Overarching Protection"/>
    <n v="0.74815669265906815"/>
    <n v="1031.9153439153579"/>
    <n v="8.9096472449953196E-2"/>
    <s v=""/>
    <s v=""/>
    <s v=""/>
    <s v=""/>
    <s v="Flagged"/>
    <n v="4"/>
    <n v="12613.915343915358"/>
    <m/>
    <m/>
    <n v="1"/>
    <s v="Flagged"/>
    <n v="12613.915343915358"/>
    <m/>
  </r>
  <r>
    <s v=""/>
    <x v="1"/>
    <s v="SS01"/>
    <x v="3"/>
    <s v="SS0103"/>
    <m/>
    <m/>
    <m/>
    <n v="7168.4285714285697"/>
    <x v="2"/>
    <n v="1075.2642857142855"/>
    <n v="946.50497171428538"/>
    <n v="2908.6171556660938"/>
    <n v="4522.8316267926803"/>
    <n v="3264.6738077560167"/>
    <n v="5734"/>
    <n v="4262.3088803088795"/>
    <n v="4247.9576719576708"/>
    <n v="1204"/>
    <n v="874"/>
    <n v="3432"/>
    <n v="1827"/>
    <n v="0.15000000000000002"/>
    <n v="0.15000000000000002"/>
    <n v="0.4"/>
    <n v="0.65"/>
    <n v="0.45"/>
    <n v="0.8"/>
    <n v="0.60000000000000009"/>
    <n v="0.60000000000000009"/>
    <n v="0.15000000000000002"/>
    <n v="0.1"/>
    <n v="0.5"/>
    <n v="0.25"/>
    <n v="5734"/>
    <s v="Overarching Protection"/>
    <n v="0.7998963709918494"/>
    <s v=""/>
    <s v=""/>
    <s v=""/>
    <n v="4522.8316267926803"/>
    <s v="Food Security"/>
    <n v="0.63093767088919206"/>
    <n v="1211.1683732073197"/>
    <n v="0.26778984343182533"/>
    <s v=""/>
    <n v="4262.3088803088795"/>
    <s v="Shelter"/>
    <n v="0.59459459459459463"/>
    <n v="1471.6911196911205"/>
    <n v="0.3452802603044739"/>
    <s v=""/>
    <s v=""/>
    <s v=""/>
    <s v=""/>
    <s v=""/>
    <n v="4"/>
    <n v="5734"/>
    <m/>
    <m/>
    <n v="0"/>
    <s v=""/>
    <n v="5734"/>
    <m/>
  </r>
  <r>
    <s v=""/>
    <x v="1"/>
    <s v="SS01"/>
    <x v="4"/>
    <s v="SS0104"/>
    <m/>
    <m/>
    <m/>
    <n v="12810"/>
    <x v="2"/>
    <n v="1921.5"/>
    <n v="2267.1009900000008"/>
    <n v="4254.9339178423834"/>
    <n v="8702.9488718805223"/>
    <n v="8317.7434594622391"/>
    <n v="10248"/>
    <n v="6767.5471698113206"/>
    <n v="7235.2777777777774"/>
    <n v="5626"/>
    <n v="1990"/>
    <n v="6312"/>
    <n v="3087"/>
    <n v="0.15000000000000002"/>
    <n v="0.2"/>
    <n v="0.35000000000000003"/>
    <n v="0.70000000000000007"/>
    <n v="0.65"/>
    <n v="0.8"/>
    <n v="0.55000000000000004"/>
    <n v="0.55000000000000004"/>
    <n v="0.45"/>
    <n v="0.15000000000000002"/>
    <n v="0.5"/>
    <n v="0.25"/>
    <n v="10248"/>
    <s v="Overarching Protection"/>
    <n v="0.8"/>
    <s v=""/>
    <s v=""/>
    <s v=""/>
    <n v="8702.9488718805223"/>
    <s v="Food Security"/>
    <n v="0.67938710943641856"/>
    <n v="1545.0511281194777"/>
    <n v="0.17753190911089714"/>
    <s v=""/>
    <n v="8317.7434594622391"/>
    <s v="Health"/>
    <n v="0.64931642931008893"/>
    <n v="1930.2565405377609"/>
    <n v="0.23206492842020837"/>
    <s v=""/>
    <s v=""/>
    <s v=""/>
    <s v=""/>
    <s v=""/>
    <n v="4"/>
    <n v="10248"/>
    <m/>
    <m/>
    <n v="0"/>
    <s v=""/>
    <n v="10248"/>
    <m/>
  </r>
  <r>
    <s v=""/>
    <x v="1"/>
    <s v="SS01"/>
    <x v="5"/>
    <s v="SS0105"/>
    <m/>
    <m/>
    <m/>
    <n v="1080"/>
    <x v="2"/>
    <n v="162"/>
    <n v="286.52939999999995"/>
    <n v="317.59672063227879"/>
    <n v="695.53313773454511"/>
    <n v="552.33460061218318"/>
    <n v="756"/>
    <n v="1080"/>
    <n v="390"/>
    <n v="181"/>
    <n v="462"/>
    <n v="645"/>
    <n v="286"/>
    <n v="0.15000000000000002"/>
    <n v="0.25"/>
    <n v="0.30000000000000004"/>
    <n v="0.65"/>
    <n v="0.5"/>
    <n v="0.70000000000000007"/>
    <n v="1"/>
    <n v="0.35000000000000003"/>
    <n v="0.15000000000000002"/>
    <n v="0.45"/>
    <n v="0.60000000000000009"/>
    <n v="0.25"/>
    <n v="1080"/>
    <s v="Shelter"/>
    <n v="1"/>
    <s v=""/>
    <s v="Flagged"/>
    <s v=""/>
    <n v="756"/>
    <s v="Overarching Protection"/>
    <n v="0.7"/>
    <n v="324"/>
    <n v="0.42857142857142855"/>
    <s v="Flagged"/>
    <n v="695.53313773454511"/>
    <s v="Food Security"/>
    <n v="0.64401216456902322"/>
    <n v="384.46686226545489"/>
    <n v="0.55276570073673359"/>
    <s v="Flagged"/>
    <s v=""/>
    <s v="Flagged"/>
    <s v=""/>
    <s v=""/>
    <n v="4"/>
    <n v="1080"/>
    <m/>
    <m/>
    <n v="4"/>
    <s v="Flagged"/>
    <n v="1080"/>
    <m/>
  </r>
  <r>
    <s v=""/>
    <x v="1"/>
    <s v="SS01"/>
    <x v="6"/>
    <s v="SS0106"/>
    <m/>
    <m/>
    <m/>
    <n v="29744.714285714301"/>
    <x v="2"/>
    <n v="4461.7071428571453"/>
    <n v="5211.4226664285743"/>
    <n v="10220.671070248991"/>
    <n v="14617.10963694004"/>
    <n v="13731.645271310555"/>
    <n v="12526"/>
    <n v="12747.734693877555"/>
    <n v="24236.433862433874"/>
    <n v="2487"/>
    <n v="6565"/>
    <n v="8805"/>
    <n v="4477"/>
    <n v="0.15000000000000002"/>
    <n v="0.2"/>
    <n v="0.35000000000000003"/>
    <n v="0.5"/>
    <n v="0.45"/>
    <n v="0.4"/>
    <n v="0.45"/>
    <n v="0.8"/>
    <n v="0.1"/>
    <n v="0.2"/>
    <n v="0.30000000000000004"/>
    <n v="0.15000000000000002"/>
    <n v="24236.433862433874"/>
    <s v="WASH"/>
    <n v="0.81481481481481477"/>
    <s v=""/>
    <s v=""/>
    <s v=""/>
    <n v="14617.10963694004"/>
    <s v="Food Security"/>
    <n v="0.49141872725804936"/>
    <n v="9619.3242254938341"/>
    <n v="0.65808661660333234"/>
    <s v="Flagged"/>
    <n v="13731.645271310555"/>
    <s v="Health"/>
    <n v="0.46164993011566924"/>
    <n v="10504.788591123319"/>
    <n v="0.76500582294176434"/>
    <s v="Flagged"/>
    <s v=""/>
    <s v=""/>
    <s v=""/>
    <s v=""/>
    <n v="4"/>
    <n v="24236.433862433874"/>
    <m/>
    <m/>
    <n v="2"/>
    <s v="Flagged"/>
    <n v="24236.433862433874"/>
    <m/>
  </r>
  <r>
    <s v=""/>
    <x v="2"/>
    <s v="SS02"/>
    <x v="7"/>
    <s v="SS0201"/>
    <m/>
    <m/>
    <m/>
    <n v="2130"/>
    <x v="2"/>
    <n v="319.5"/>
    <n v="696.26717999999994"/>
    <n v="845.92589592819127"/>
    <n v="1368.8514530202656"/>
    <n v="933.32470616313424"/>
    <n v="1491"/>
    <n v="0"/>
    <n v="1597.5000000000002"/>
    <n v="363"/>
    <n v="323"/>
    <n v="417"/>
    <n v="561"/>
    <n v="0.15000000000000002"/>
    <n v="0.35000000000000003"/>
    <n v="0.4"/>
    <n v="0.65"/>
    <n v="0.45"/>
    <n v="0.70000000000000007"/>
    <n v="0"/>
    <n v="0.75"/>
    <n v="0.15000000000000002"/>
    <n v="0.15000000000000002"/>
    <n v="0.2"/>
    <n v="0.25"/>
    <n v="1597.5000000000002"/>
    <s v="WASH"/>
    <n v="0.75000000000000011"/>
    <s v=""/>
    <s v=""/>
    <s v=""/>
    <n v="1491"/>
    <s v="Overarching Protection"/>
    <n v="0.7"/>
    <n v="106.50000000000023"/>
    <n v="7.1428571428571577E-2"/>
    <s v=""/>
    <n v="1368.8514530202656"/>
    <s v="Food Security"/>
    <n v="0.64265326432876313"/>
    <n v="228.64854697973465"/>
    <n v="0.16703678582160189"/>
    <s v=""/>
    <s v=""/>
    <s v=""/>
    <s v=""/>
    <s v=""/>
    <n v="4"/>
    <n v="1597.5000000000002"/>
    <m/>
    <m/>
    <n v="0"/>
    <s v=""/>
    <n v="1597.5000000000002"/>
    <m/>
  </r>
  <r>
    <s v=""/>
    <x v="2"/>
    <s v="SS02"/>
    <x v="8"/>
    <s v="SS0202"/>
    <m/>
    <m/>
    <m/>
    <n v="3437.4285714285702"/>
    <x v="2"/>
    <n v="515.61428571428553"/>
    <n v="150.03000742857137"/>
    <n v="1394.2955478144281"/>
    <n v="1534.5901199845798"/>
    <n v="1935.2460542695972"/>
    <n v="2406"/>
    <n v="264.41758241758231"/>
    <n v="1671.4102228047179"/>
    <n v="574"/>
    <n v="1525"/>
    <n v="1805"/>
    <n v="946"/>
    <n v="0.15000000000000002"/>
    <n v="0.05"/>
    <n v="0.4"/>
    <n v="0.45"/>
    <n v="0.55000000000000004"/>
    <n v="0.70000000000000007"/>
    <n v="0.1"/>
    <n v="0.5"/>
    <n v="0.15000000000000002"/>
    <n v="0.45"/>
    <n v="0.55000000000000004"/>
    <n v="0.30000000000000004"/>
    <n v="2406"/>
    <s v="Overarching Protection"/>
    <n v="0.69994181697282043"/>
    <s v=""/>
    <s v=""/>
    <s v=""/>
    <n v="1935.2460542695972"/>
    <s v="Health"/>
    <n v="0.56299236887570381"/>
    <n v="470.75394573040285"/>
    <n v="0.24325276090438813"/>
    <s v=""/>
    <n v="1671.4102228047179"/>
    <s v="WASH"/>
    <n v="0.48623853211009183"/>
    <n v="734.58977719528207"/>
    <n v="0.43950298207617766"/>
    <s v=""/>
    <s v=""/>
    <s v=""/>
    <s v=""/>
    <s v="Flagged"/>
    <n v="4"/>
    <n v="2406"/>
    <m/>
    <m/>
    <n v="1"/>
    <s v="Flagged"/>
    <n v="2406"/>
    <m/>
  </r>
  <r>
    <s v=""/>
    <x v="2"/>
    <s v="SS02"/>
    <x v="9"/>
    <s v="SS0203"/>
    <m/>
    <m/>
    <m/>
    <n v="3548.7142857142862"/>
    <x v="2"/>
    <n v="532.30714285714294"/>
    <n v="1212.2408000000003"/>
    <n v="1379.4360186047193"/>
    <n v="2530.4016282633802"/>
    <n v="1376.5308603151145"/>
    <n v="2090"/>
    <n v="0"/>
    <n v="2825.828042328043"/>
    <n v="1171"/>
    <n v="1149"/>
    <n v="1461"/>
    <n v="955"/>
    <n v="0.15000000000000002"/>
    <n v="0.35000000000000003"/>
    <n v="0.4"/>
    <n v="0.70000000000000007"/>
    <n v="0.4"/>
    <n v="0.60000000000000009"/>
    <n v="0"/>
    <n v="0.8"/>
    <n v="0.35000000000000003"/>
    <n v="0.30000000000000004"/>
    <n v="0.4"/>
    <n v="0.25"/>
    <n v="2825.828042328043"/>
    <s v="WASH"/>
    <n v="0.79629629629629639"/>
    <s v=""/>
    <s v=""/>
    <s v=""/>
    <n v="2530.4016282633802"/>
    <s v="Food Security"/>
    <n v="0.71304743761699041"/>
    <n v="295.42641406466282"/>
    <n v="0.11675079985915697"/>
    <s v=""/>
    <n v="2090"/>
    <s v="Overarching Protection"/>
    <n v="0.58894569461776891"/>
    <n v="735.82804232804301"/>
    <n v="0.35207083364978137"/>
    <s v=""/>
    <s v=""/>
    <s v=""/>
    <s v=""/>
    <s v=""/>
    <n v="4"/>
    <n v="2825.828042328043"/>
    <m/>
    <m/>
    <n v="0"/>
    <s v=""/>
    <n v="2825.828042328043"/>
    <m/>
  </r>
  <r>
    <s v=""/>
    <x v="2"/>
    <s v="SS02"/>
    <x v="10"/>
    <s v="SS0204"/>
    <m/>
    <m/>
    <m/>
    <n v="3"/>
    <x v="2"/>
    <n v="0.44999999999999996"/>
    <n v="1.137"/>
    <n v="1.129330574868685"/>
    <n v="2.128098076136046"/>
    <n v="1.067681687297547"/>
    <n v="2"/>
    <n v="0"/>
    <n v="1.5412844036697249"/>
    <n v="1"/>
    <n v="1"/>
    <n v="1"/>
    <n v="1"/>
    <n v="0.15000000000000002"/>
    <n v="0.4"/>
    <n v="0.4"/>
    <n v="0.70000000000000007"/>
    <n v="0.35000000000000003"/>
    <n v="0.65"/>
    <n v="0"/>
    <n v="0.5"/>
    <n v="0.35000000000000003"/>
    <n v="0.35000000000000003"/>
    <n v="0.35000000000000003"/>
    <n v="0.35000000000000003"/>
    <n v="2.128098076136046"/>
    <s v="Food Security"/>
    <n v="0.70936602537868199"/>
    <s v=""/>
    <s v=""/>
    <s v=""/>
    <n v="2"/>
    <s v="Overarching Protection"/>
    <n v="0.66666666666666663"/>
    <n v="0.12809807613604596"/>
    <n v="6.4049038068022979E-2"/>
    <s v=""/>
    <n v="1.5412844036697249"/>
    <s v="WASH"/>
    <n v="0.51376146788990829"/>
    <n v="0.5868136724663211"/>
    <n v="0.38073029939779163"/>
    <s v=""/>
    <s v=""/>
    <s v=""/>
    <s v=""/>
    <s v=""/>
    <n v="4"/>
    <n v="2.128098076136046"/>
    <m/>
    <m/>
    <n v="0"/>
    <s v=""/>
    <n v="2.128098076136046"/>
    <m/>
  </r>
  <r>
    <s v=""/>
    <x v="2"/>
    <s v="SS02"/>
    <x v="11"/>
    <s v="SS0205"/>
    <m/>
    <m/>
    <m/>
    <n v="9189.5714285714294"/>
    <x v="2"/>
    <n v="1378.4357142857143"/>
    <n v="2282.200657657143"/>
    <n v="3303.0990262308942"/>
    <n v="4060.5776790519863"/>
    <n v="4484.9662664830139"/>
    <n v="5391"/>
    <n v="0"/>
    <n v="9104.4828042328045"/>
    <n v="3183"/>
    <n v="1165"/>
    <n v="3587"/>
    <n v="2292"/>
    <n v="0.15000000000000002"/>
    <n v="0.25"/>
    <n v="0.35000000000000003"/>
    <n v="0.45"/>
    <n v="0.5"/>
    <n v="0.60000000000000009"/>
    <n v="0"/>
    <n v="1"/>
    <n v="0.35000000000000003"/>
    <n v="0.15000000000000002"/>
    <n v="0.4"/>
    <n v="0.25"/>
    <n v="9104.4828042328045"/>
    <s v="WASH"/>
    <n v="0.9907407407407407"/>
    <s v=""/>
    <s v="Flagged"/>
    <s v=""/>
    <n v="5391"/>
    <s v="Overarching Protection"/>
    <n v="0.58664324467175522"/>
    <n v="3713.4828042328045"/>
    <n v="0.68883005086863369"/>
    <s v="Flagged"/>
    <n v="4484.9662664830139"/>
    <s v="Health"/>
    <n v="0.48804955719031035"/>
    <n v="4619.5165377497906"/>
    <n v="1.0300002861275226"/>
    <s v="Flagged"/>
    <s v=""/>
    <s v=""/>
    <s v=""/>
    <s v=""/>
    <n v="4"/>
    <n v="9104.4828042328045"/>
    <m/>
    <m/>
    <n v="3"/>
    <s v="Flagged"/>
    <n v="9104.4828042328045"/>
    <m/>
  </r>
  <r>
    <s v=""/>
    <x v="2"/>
    <s v="SS02"/>
    <x v="12"/>
    <s v="SS0206"/>
    <m/>
    <m/>
    <m/>
    <n v="5555.8571428571404"/>
    <x v="2"/>
    <n v="833.37857142857104"/>
    <n v="297.01612285714276"/>
    <n v="1813.2198107737402"/>
    <n v="3810.5358411483567"/>
    <n v="2302.1554547108562"/>
    <n v="3812"/>
    <n v="3472.4107142857129"/>
    <n v="1624.8261455525599"/>
    <n v="886"/>
    <n v="2161"/>
    <n v="1087"/>
    <n v="1556"/>
    <n v="0.15000000000000002"/>
    <n v="0.05"/>
    <n v="0.35000000000000003"/>
    <n v="0.70000000000000007"/>
    <n v="0.4"/>
    <n v="0.70000000000000007"/>
    <n v="0.65"/>
    <n v="0.30000000000000004"/>
    <n v="0.15000000000000002"/>
    <n v="0.4"/>
    <n v="0.2"/>
    <n v="0.30000000000000004"/>
    <n v="3812"/>
    <s v="Overarching Protection"/>
    <n v="0.68612275333624773"/>
    <s v=""/>
    <s v=""/>
    <s v=""/>
    <n v="3810.5358411483567"/>
    <s v="Food Security"/>
    <n v="0.68585921904909897"/>
    <n v="1.464158851643333"/>
    <n v="3.8423962211101757E-4"/>
    <s v=""/>
    <n v="3472.4107142857129"/>
    <s v="Shelter"/>
    <n v="0.625"/>
    <n v="339.58928571428714"/>
    <n v="9.7796405337996384E-2"/>
    <s v=""/>
    <s v=""/>
    <s v=""/>
    <s v=""/>
    <s v=""/>
    <n v="4"/>
    <n v="3812"/>
    <m/>
    <m/>
    <n v="0"/>
    <s v=""/>
    <n v="3812"/>
    <m/>
  </r>
  <r>
    <s v=""/>
    <x v="2"/>
    <s v="SS02"/>
    <x v="13"/>
    <s v="SS0207"/>
    <m/>
    <m/>
    <m/>
    <n v="33159.142857142899"/>
    <x v="2"/>
    <n v="4973.871428571435"/>
    <n v="2180.8337188285741"/>
    <n v="10792.352511601137"/>
    <n v="8030.1261699276547"/>
    <n v="17319.565796218794"/>
    <n v="21427"/>
    <n v="3789.6163265306172"/>
    <n v="11466.245660881188"/>
    <n v="4285"/>
    <n v="12490"/>
    <n v="20694"/>
    <n v="10758"/>
    <n v="0.15000000000000002"/>
    <n v="0.05"/>
    <n v="0.35000000000000003"/>
    <n v="0.25"/>
    <n v="0.5"/>
    <n v="0.65"/>
    <n v="0.1"/>
    <n v="0.35000000000000003"/>
    <n v="0.15000000000000002"/>
    <n v="0.4"/>
    <n v="0.60000000000000009"/>
    <n v="0.30000000000000004"/>
    <n v="21427"/>
    <s v="Overarching Protection"/>
    <n v="0.64618678752681791"/>
    <s v=""/>
    <s v=""/>
    <s v=""/>
    <n v="17319.565796218794"/>
    <s v="Health"/>
    <n v="0.52231645042320329"/>
    <n v="4107.4342037812057"/>
    <n v="0.23715572619481837"/>
    <s v=""/>
    <n v="11466.245660881188"/>
    <s v="WASH"/>
    <n v="0.34579439252336447"/>
    <n v="9960.7543391188119"/>
    <n v="0.86870233149647358"/>
    <s v="Flagged"/>
    <s v=""/>
    <s v=""/>
    <s v=""/>
    <s v="Flagged"/>
    <n v="4"/>
    <n v="21427"/>
    <m/>
    <m/>
    <n v="2"/>
    <s v="Flagged"/>
    <n v="21427"/>
    <m/>
  </r>
  <r>
    <s v=""/>
    <x v="2"/>
    <s v="SS02"/>
    <x v="14"/>
    <s v="SS0208"/>
    <m/>
    <m/>
    <m/>
    <n v="9209.5714285714294"/>
    <x v="2"/>
    <n v="1381.4357142857143"/>
    <n v="1030.3484322857144"/>
    <n v="4488.2800443609649"/>
    <n v="5171.175513848053"/>
    <n v="7293.5618992240752"/>
    <n v="5385"/>
    <n v="7367.6571428571442"/>
    <n v="6362.976623376624"/>
    <n v="491"/>
    <n v="3575"/>
    <n v="4750"/>
    <n v="2143"/>
    <n v="0.15000000000000002"/>
    <n v="0.1"/>
    <n v="0.5"/>
    <n v="0.55000000000000004"/>
    <n v="0.8"/>
    <n v="0.60000000000000009"/>
    <n v="0.8"/>
    <n v="0.70000000000000007"/>
    <n v="0.05"/>
    <n v="0.4"/>
    <n v="0.5"/>
    <n v="0.25"/>
    <n v="7367.6571428571442"/>
    <s v="Shelter"/>
    <n v="0.8"/>
    <s v=""/>
    <s v=""/>
    <s v=""/>
    <n v="7293.5618992240752"/>
    <s v="Health"/>
    <n v="0.79195453944760141"/>
    <n v="74.095243633069003"/>
    <n v="1.0158992911399246E-2"/>
    <s v=""/>
    <n v="6362.976623376624"/>
    <s v="WASH"/>
    <n v="0.69090909090909092"/>
    <n v="1004.6805194805202"/>
    <n v="0.15789473684210537"/>
    <s v=""/>
    <s v=""/>
    <s v="Flagged"/>
    <s v=""/>
    <s v="Flagged"/>
    <n v="4"/>
    <n v="7367.6571428571442"/>
    <m/>
    <m/>
    <n v="2"/>
    <s v="Flagged"/>
    <n v="7367.6571428571442"/>
    <m/>
  </r>
  <r>
    <s v=""/>
    <x v="3"/>
    <s v="SS03"/>
    <x v="15"/>
    <s v="SS0301"/>
    <m/>
    <m/>
    <m/>
    <n v="6904.2601395402035"/>
    <x v="2"/>
    <n v="1035.6390209310305"/>
    <n v="1361.7410358417935"/>
    <n v="3071.9868399525189"/>
    <n v="5932.133306451582"/>
    <n v="3695.9172905173059"/>
    <n v="5270"/>
    <n v="6904.2601395402035"/>
    <n v="3452.1300697701017"/>
    <n v="2716"/>
    <n v="2549"/>
    <n v="3653"/>
    <n v="1827"/>
    <n v="0.15000000000000002"/>
    <n v="0.2"/>
    <n v="0.45"/>
    <n v="0.85000000000000009"/>
    <n v="0.55000000000000004"/>
    <n v="0.75"/>
    <n v="1"/>
    <n v="0.5"/>
    <n v="0.4"/>
    <n v="0.35000000000000003"/>
    <n v="0.55000000000000004"/>
    <n v="0.25"/>
    <n v="6904.2601395402035"/>
    <s v="Shelter"/>
    <n v="1"/>
    <s v=""/>
    <s v="Flagged"/>
    <s v=""/>
    <n v="5932.133306451582"/>
    <s v="Food Security"/>
    <n v="0.85919898534510297"/>
    <n v="972.12683308862142"/>
    <n v="0.16387474503166846"/>
    <s v=""/>
    <n v="5270"/>
    <s v="Overarching Protection"/>
    <n v="0.76329684766932338"/>
    <n v="1634.2601395402035"/>
    <n v="0.31010628833779952"/>
    <s v=""/>
    <s v=""/>
    <s v="Flagged"/>
    <s v=""/>
    <s v=""/>
    <n v="4"/>
    <n v="6904.2601395402035"/>
    <m/>
    <m/>
    <n v="2"/>
    <s v="Flagged"/>
    <n v="6904.2601395402035"/>
    <m/>
  </r>
  <r>
    <s v=""/>
    <x v="3"/>
    <s v="SS03"/>
    <x v="16"/>
    <s v="SS0302"/>
    <m/>
    <m/>
    <m/>
    <n v="19402.803122498015"/>
    <x v="2"/>
    <n v="2910.4204683747021"/>
    <n v="2673.8614927052067"/>
    <n v="6433.0138549927296"/>
    <n v="14354.844208934554"/>
    <n v="8711.9275669939452"/>
    <n v="13028"/>
    <n v="11906.265552441964"/>
    <n v="16563.368519205622"/>
    <n v="7271"/>
    <n v="9062"/>
    <n v="1592"/>
    <n v="5926"/>
    <n v="0.15000000000000002"/>
    <n v="0.15000000000000002"/>
    <n v="0.35000000000000003"/>
    <n v="0.75"/>
    <n v="0.45"/>
    <n v="0.65"/>
    <n v="0.60000000000000009"/>
    <n v="0.85000000000000009"/>
    <n v="0.35000000000000003"/>
    <n v="0.45"/>
    <n v="0.1"/>
    <n v="0.30000000000000004"/>
    <n v="16563.368519205622"/>
    <s v="WASH"/>
    <n v="0.85365853658536583"/>
    <s v=""/>
    <s v=""/>
    <s v=""/>
    <n v="14354.844208934554"/>
    <s v="Food Security"/>
    <n v="0.7398335239659144"/>
    <n v="2208.5243102710683"/>
    <n v="0.15385219638235206"/>
    <s v=""/>
    <n v="13028"/>
    <s v="Overarching Protection"/>
    <n v="0.6714493734615965"/>
    <n v="3535.3685192056219"/>
    <n v="0.27136694191016442"/>
    <s v=""/>
    <s v=""/>
    <s v=""/>
    <s v=""/>
    <s v=""/>
    <n v="4"/>
    <n v="16563.368519205622"/>
    <m/>
    <m/>
    <n v="0"/>
    <s v=""/>
    <n v="16563.368519205622"/>
    <m/>
  </r>
  <r>
    <s v=""/>
    <x v="3"/>
    <s v="SS03"/>
    <x v="17"/>
    <s v="SS0303"/>
    <m/>
    <m/>
    <m/>
    <n v="16703"/>
    <x v="2"/>
    <n v="2505.4499999999998"/>
    <n v="3377.8476900000001"/>
    <n v="6415.9295294799977"/>
    <n v="3990.7633766061545"/>
    <n v="9278.9643798115412"/>
    <n v="11075"/>
    <n v="16703"/>
    <n v="7887.5277777777774"/>
    <n v="6861"/>
    <n v="2199"/>
    <n v="3125"/>
    <n v="4166"/>
    <n v="0.15000000000000002"/>
    <n v="0.2"/>
    <n v="0.4"/>
    <n v="0.25"/>
    <n v="0.55000000000000004"/>
    <n v="0.65"/>
    <n v="1"/>
    <n v="0.45"/>
    <n v="0.4"/>
    <n v="0.15000000000000002"/>
    <n v="0.2"/>
    <n v="0.25"/>
    <n v="16703"/>
    <s v="Shelter"/>
    <n v="1"/>
    <s v=""/>
    <s v="Flagged"/>
    <s v=""/>
    <n v="11075"/>
    <s v="Overarching Protection"/>
    <n v="0.66305454110040107"/>
    <n v="5628"/>
    <n v="0.50817155756207677"/>
    <s v="Flagged"/>
    <n v="9278.9643798115412"/>
    <s v="Health"/>
    <n v="0.55552681433344553"/>
    <n v="7424.0356201884588"/>
    <n v="0.800093126377455"/>
    <s v="Flagged"/>
    <s v=""/>
    <s v="Flagged"/>
    <s v=""/>
    <s v=""/>
    <n v="4"/>
    <n v="16703"/>
    <m/>
    <m/>
    <n v="4"/>
    <s v="Flagged"/>
    <n v="16703"/>
    <m/>
  </r>
  <r>
    <s v=""/>
    <x v="3"/>
    <s v="SS03"/>
    <x v="18"/>
    <s v="SS0304"/>
    <m/>
    <m/>
    <m/>
    <n v="1206"/>
    <x v="2"/>
    <n v="180.9"/>
    <n v="196.24273199999999"/>
    <n v="456.88047877546308"/>
    <n v="1059.5901370629763"/>
    <n v="888.41415553740876"/>
    <n v="965"/>
    <n v="0"/>
    <n v="1161.3333333333333"/>
    <n v="499"/>
    <n v="477"/>
    <n v="587"/>
    <n v="318"/>
    <n v="0.15000000000000002"/>
    <n v="0.15000000000000002"/>
    <n v="0.4"/>
    <n v="0.9"/>
    <n v="0.75"/>
    <n v="0.8"/>
    <n v="0"/>
    <n v="0.95000000000000007"/>
    <n v="0.4"/>
    <n v="0.4"/>
    <n v="0.5"/>
    <n v="0.25"/>
    <n v="1161.3333333333333"/>
    <s v="WASH"/>
    <n v="0.96296296296296291"/>
    <s v=""/>
    <s v="Flagged"/>
    <s v=""/>
    <n v="1059.5901370629763"/>
    <s v="Food Security"/>
    <n v="0.87859878695105831"/>
    <n v="101.74319627035698"/>
    <n v="9.602127531346577E-2"/>
    <s v=""/>
    <n v="965"/>
    <s v="Overarching Protection"/>
    <n v="0.80016583747927028"/>
    <n v="196.33333333333326"/>
    <n v="0.20345423143350597"/>
    <s v=""/>
    <s v=""/>
    <s v=""/>
    <s v=""/>
    <s v=""/>
    <n v="4"/>
    <n v="1161.3333333333333"/>
    <m/>
    <m/>
    <n v="1"/>
    <s v="Flagged"/>
    <n v="1161.3333333333333"/>
    <m/>
  </r>
  <r>
    <s v=""/>
    <x v="3"/>
    <s v="SS03"/>
    <x v="19"/>
    <s v="SS0305"/>
    <m/>
    <m/>
    <m/>
    <n v="9262.1428571428605"/>
    <x v="2"/>
    <n v="1389.3214285714291"/>
    <n v="887.40590714285759"/>
    <n v="3511.5721042289201"/>
    <n v="6460.6905099793312"/>
    <n v="6160.8436802923252"/>
    <n v="6483"/>
    <n v="9262.1428571428605"/>
    <n v="4373.7896825396838"/>
    <n v="3895"/>
    <n v="4069"/>
    <n v="1893"/>
    <n v="2594"/>
    <n v="0.15000000000000002"/>
    <n v="0.1"/>
    <n v="0.4"/>
    <n v="0.70000000000000007"/>
    <n v="0.65"/>
    <n v="0.70000000000000007"/>
    <n v="1"/>
    <n v="0.45"/>
    <n v="0.4"/>
    <n v="0.45"/>
    <n v="0.2"/>
    <n v="0.30000000000000004"/>
    <n v="9262.1428571428605"/>
    <s v="Shelter"/>
    <n v="1"/>
    <s v=""/>
    <s v="Flagged"/>
    <s v=""/>
    <n v="6483"/>
    <s v="Overarching Protection"/>
    <n v="0.69994601681190693"/>
    <n v="2779.1428571428605"/>
    <n v="0.42868160683986745"/>
    <s v="Flagged"/>
    <n v="6460.6905099793312"/>
    <s v="Food Security"/>
    <n v="0.6975373420198242"/>
    <n v="2801.4523471635293"/>
    <n v="0.43361500490332133"/>
    <s v=""/>
    <s v=""/>
    <s v="Flagged"/>
    <s v=""/>
    <s v=""/>
    <n v="4"/>
    <n v="9262.1428571428605"/>
    <m/>
    <m/>
    <n v="3"/>
    <s v="Flagged"/>
    <n v="9262.1428571428605"/>
    <m/>
  </r>
  <r>
    <s v=""/>
    <x v="3"/>
    <s v="SS03"/>
    <x v="20"/>
    <s v="SS0306"/>
    <m/>
    <m/>
    <m/>
    <n v="33686.173990621071"/>
    <x v="2"/>
    <n v="5052.9260985931605"/>
    <n v="12598.62907249228"/>
    <n v="11379.993898109744"/>
    <n v="29223.698286312181"/>
    <n v="21940.109943774314"/>
    <n v="25587"/>
    <n v="33686.173990621071"/>
    <n v="26512.26656669251"/>
    <n v="13439"/>
    <n v="12962"/>
    <n v="16295"/>
    <n v="8514"/>
    <n v="0.15000000000000002"/>
    <n v="0.35000000000000003"/>
    <n v="0.35000000000000003"/>
    <n v="0.85000000000000009"/>
    <n v="0.65"/>
    <n v="0.75"/>
    <n v="1"/>
    <n v="0.8"/>
    <n v="0.4"/>
    <n v="0.4"/>
    <n v="0.5"/>
    <n v="0.25"/>
    <n v="33686.173990621071"/>
    <s v="Shelter"/>
    <n v="1"/>
    <s v=""/>
    <s v="Flagged"/>
    <s v=""/>
    <n v="29223.698286312181"/>
    <s v="Food Security"/>
    <n v="0.86752797436861373"/>
    <n v="4462.4757043088903"/>
    <n v="0.15270058089803878"/>
    <s v=""/>
    <n v="26512.26656669251"/>
    <s v="WASH"/>
    <n v="0.78703703703703698"/>
    <n v="7173.9074239285619"/>
    <n v="0.27058823529411768"/>
    <s v=""/>
    <s v=""/>
    <s v="Flagged"/>
    <s v=""/>
    <s v=""/>
    <n v="4"/>
    <n v="33686.173990621071"/>
    <m/>
    <m/>
    <n v="2"/>
    <s v="Flagged"/>
    <n v="33686.173990621071"/>
    <m/>
  </r>
  <r>
    <s v=""/>
    <x v="3"/>
    <s v="SS03"/>
    <x v="21"/>
    <s v="SS0307"/>
    <m/>
    <m/>
    <m/>
    <n v="13146.5714285714"/>
    <x v="2"/>
    <n v="1971.9857142857099"/>
    <n v="4569.4931850857047"/>
    <n v="5483.8445101092939"/>
    <n v="9851.9936448832923"/>
    <n v="9268.3704100687301"/>
    <n v="8751"/>
    <n v="9465.5314285714085"/>
    <n v="9007.8359788359612"/>
    <n v="5474"/>
    <n v="4586"/>
    <n v="978"/>
    <n v="3116"/>
    <n v="0.15000000000000002"/>
    <n v="0.35000000000000003"/>
    <n v="0.4"/>
    <n v="0.75"/>
    <n v="0.70000000000000007"/>
    <n v="0.65"/>
    <n v="0.70000000000000007"/>
    <n v="0.70000000000000007"/>
    <n v="0.4"/>
    <n v="0.35000000000000003"/>
    <n v="0.05"/>
    <n v="0.25"/>
    <n v="9851.9936448832923"/>
    <s v="Food Security"/>
    <n v="0.74939642616416224"/>
    <s v=""/>
    <s v=""/>
    <s v=""/>
    <n v="9465.5314285714085"/>
    <s v="Shelter"/>
    <n v="0.72"/>
    <n v="386.46221631188382"/>
    <n v="4.0828369672447531E-2"/>
    <s v=""/>
    <n v="9268.3704100687301"/>
    <s v="Health"/>
    <n v="0.70500285648057348"/>
    <n v="583.62323481456224"/>
    <n v="6.2969347252300245E-2"/>
    <s v=""/>
    <s v=""/>
    <s v=""/>
    <s v=""/>
    <s v="Flagged"/>
    <n v="4"/>
    <n v="9851.9936448832923"/>
    <m/>
    <m/>
    <n v="1"/>
    <s v="Flagged"/>
    <n v="9851.9936448832923"/>
    <m/>
  </r>
  <r>
    <s v=""/>
    <x v="3"/>
    <s v="SS03"/>
    <x v="22"/>
    <s v="SS0308"/>
    <m/>
    <m/>
    <m/>
    <n v="4238"/>
    <x v="2"/>
    <n v="635.69999999999993"/>
    <n v="1214.4158519999999"/>
    <n v="1970.6236557123259"/>
    <n v="3385.7427540437307"/>
    <n v="2581.3377959227432"/>
    <n v="2967"/>
    <n v="2421.7142857142858"/>
    <n v="3453.1851851851857"/>
    <n v="1724"/>
    <n v="2015"/>
    <n v="358"/>
    <n v="1328"/>
    <n v="0.15000000000000002"/>
    <n v="0.30000000000000004"/>
    <n v="0.45"/>
    <n v="0.8"/>
    <n v="0.60000000000000009"/>
    <n v="0.70000000000000007"/>
    <n v="0.55000000000000004"/>
    <n v="0.8"/>
    <n v="0.4"/>
    <n v="0.5"/>
    <n v="0.1"/>
    <n v="0.30000000000000004"/>
    <n v="3453.1851851851857"/>
    <s v="WASH"/>
    <n v="0.81481481481481488"/>
    <s v=""/>
    <s v=""/>
    <s v=""/>
    <n v="3385.7427540437307"/>
    <s v="Food Security"/>
    <n v="0.798901074573792"/>
    <n v="67.442431141455017"/>
    <n v="1.9919537909637634E-2"/>
    <s v=""/>
    <n v="2967"/>
    <s v="Overarching Protection"/>
    <n v="0.70009438414346392"/>
    <n v="486.18518518518567"/>
    <n v="0.16386423497984012"/>
    <s v=""/>
    <s v=""/>
    <s v=""/>
    <s v=""/>
    <s v=""/>
    <n v="4"/>
    <n v="3453.1851851851857"/>
    <m/>
    <m/>
    <n v="0"/>
    <s v=""/>
    <n v="3453.1851851851857"/>
    <m/>
  </r>
  <r>
    <s v=""/>
    <x v="3"/>
    <s v="SS03"/>
    <x v="23"/>
    <s v="SS0309"/>
    <m/>
    <m/>
    <m/>
    <n v="2811.1428571428601"/>
    <x v="2"/>
    <n v="421.67142857142898"/>
    <n v="360.98447657142896"/>
    <n v="968.04437881706997"/>
    <n v="1897.3825367609311"/>
    <n v="1777.6937221190433"/>
    <n v="1968"/>
    <n v="2409.5510204081656"/>
    <n v="103.16120576671047"/>
    <n v="1148"/>
    <n v="1063"/>
    <n v="1532"/>
    <n v="840"/>
    <n v="0.15000000000000002"/>
    <n v="0.15000000000000002"/>
    <n v="0.35000000000000003"/>
    <n v="0.65"/>
    <n v="0.65"/>
    <n v="0.70000000000000007"/>
    <n v="0.85000000000000009"/>
    <n v="0.05"/>
    <n v="0.4"/>
    <n v="0.4"/>
    <n v="0.55000000000000004"/>
    <n v="0.30000000000000004"/>
    <n v="2409.5510204081656"/>
    <s v="Shelter"/>
    <n v="0.8571428571428571"/>
    <s v=""/>
    <s v=""/>
    <s v=""/>
    <n v="1968"/>
    <s v="Overarching Protection"/>
    <n v="0.7000711454416092"/>
    <n v="441.55102040816564"/>
    <n v="0.22436535589845816"/>
    <s v=""/>
    <n v="1897.3825367609311"/>
    <s v="Food Security"/>
    <n v="0.6749505924040301"/>
    <n v="512.16848364723455"/>
    <n v="0.26993422450359961"/>
    <s v=""/>
    <s v=""/>
    <s v="Flagged"/>
    <s v=""/>
    <s v=""/>
    <n v="4"/>
    <n v="2409.5510204081656"/>
    <m/>
    <m/>
    <n v="1"/>
    <s v="Flagged"/>
    <n v="2409.5510204081656"/>
    <m/>
  </r>
  <r>
    <s v=""/>
    <x v="3"/>
    <s v="SS03"/>
    <x v="24"/>
    <s v="SS0310"/>
    <m/>
    <m/>
    <m/>
    <n v="5169"/>
    <x v="2"/>
    <n v="775.35"/>
    <n v="1679.9250000000002"/>
    <n v="1993.9602399046814"/>
    <n v="3785.552719244839"/>
    <n v="2881.5912221645549"/>
    <n v="3546"/>
    <n v="5169"/>
    <n v="3446"/>
    <n v="1935"/>
    <n v="2128"/>
    <n v="2519"/>
    <n v="1753"/>
    <n v="0.15000000000000002"/>
    <n v="0.35000000000000003"/>
    <n v="0.4"/>
    <n v="0.75"/>
    <n v="0.55000000000000004"/>
    <n v="0.70000000000000007"/>
    <n v="1"/>
    <n v="0.65"/>
    <n v="0.35000000000000003"/>
    <n v="0.4"/>
    <n v="0.5"/>
    <n v="0.35000000000000003"/>
    <n v="5169"/>
    <s v="Shelter"/>
    <n v="1"/>
    <s v=""/>
    <s v="Flagged"/>
    <s v=""/>
    <n v="3785.552719244839"/>
    <s v="Food Security"/>
    <n v="0.73235688126230203"/>
    <n v="1383.447280755161"/>
    <n v="0.36545450119398631"/>
    <s v="Flagged"/>
    <n v="3546"/>
    <s v="Overarching Protection"/>
    <n v="0.68601276842716197"/>
    <n v="1623"/>
    <n v="0.45769881556683589"/>
    <s v=""/>
    <s v=""/>
    <s v="Flagged"/>
    <s v=""/>
    <s v=""/>
    <n v="4"/>
    <n v="5169"/>
    <m/>
    <m/>
    <n v="3"/>
    <s v="Flagged"/>
    <n v="5169"/>
    <m/>
  </r>
  <r>
    <s v=""/>
    <x v="3"/>
    <s v="SS03"/>
    <x v="25"/>
    <s v="SS0311"/>
    <m/>
    <m/>
    <m/>
    <n v="5651"/>
    <x v="2"/>
    <n v="847.65"/>
    <n v="1011.709832"/>
    <n v="2883.8874975250328"/>
    <n v="4605.4988278610399"/>
    <n v="2709.270100011081"/>
    <n v="3697"/>
    <n v="2825.5"/>
    <n v="4709.166666666667"/>
    <n v="2309"/>
    <n v="2142"/>
    <n v="425"/>
    <n v="1325"/>
    <n v="0.15000000000000002"/>
    <n v="0.2"/>
    <n v="0.5"/>
    <n v="0.8"/>
    <n v="0.5"/>
    <n v="0.65"/>
    <n v="0.5"/>
    <n v="0.85000000000000009"/>
    <n v="0.4"/>
    <n v="0.4"/>
    <n v="0.1"/>
    <n v="0.25"/>
    <n v="4709.166666666667"/>
    <s v="WASH"/>
    <n v="0.83333333333333337"/>
    <s v=""/>
    <s v=""/>
    <s v=""/>
    <n v="4605.4988278610399"/>
    <s v="Food Security"/>
    <n v="0.81498829018953101"/>
    <n v="103.66783880562707"/>
    <n v="2.2509578805771657E-2"/>
    <s v=""/>
    <n v="3697"/>
    <s v="Overarching Protection"/>
    <n v="0.65422049194832776"/>
    <n v="1012.166666666667"/>
    <n v="0.2737805427824363"/>
    <s v=""/>
    <s v=""/>
    <s v=""/>
    <s v=""/>
    <s v=""/>
    <n v="4"/>
    <n v="4709.166666666667"/>
    <m/>
    <m/>
    <n v="0"/>
    <s v=""/>
    <n v="4709.166666666667"/>
    <m/>
  </r>
  <r>
    <s v=""/>
    <x v="4"/>
    <s v="SS04"/>
    <x v="26"/>
    <s v="SS0401"/>
    <m/>
    <m/>
    <m/>
    <n v="3073.7142857142899"/>
    <x v="2"/>
    <n v="461.05714285714345"/>
    <n v="1177.512279428573"/>
    <n v="1052.8543594749599"/>
    <n v="1997.7222828758775"/>
    <n v="1503.2260174378218"/>
    <n v="615"/>
    <n v="2195.5102040816355"/>
    <n v="2305.2857142857174"/>
    <n v="253"/>
    <n v="514"/>
    <n v="293"/>
    <n v="457"/>
    <n v="0.15000000000000002"/>
    <n v="0.4"/>
    <n v="0.35000000000000003"/>
    <n v="0.65"/>
    <n v="0.5"/>
    <n v="0.2"/>
    <n v="0.70000000000000007"/>
    <n v="0.75"/>
    <n v="0.1"/>
    <n v="0.15000000000000002"/>
    <n v="0.1"/>
    <n v="0.15000000000000002"/>
    <n v="2305.2857142857174"/>
    <s v="WASH"/>
    <n v="0.75"/>
    <s v=""/>
    <s v=""/>
    <s v=""/>
    <n v="2195.5102040816355"/>
    <s v="Shelter"/>
    <n v="0.71428571428571419"/>
    <n v="109.77551020408191"/>
    <n v="5.0000000000000065E-2"/>
    <s v=""/>
    <n v="1997.7222828758775"/>
    <s v="Food Security"/>
    <n v="0.64993753393433362"/>
    <n v="307.56343140983995"/>
    <n v="0.15395705101065316"/>
    <s v=""/>
    <s v=""/>
    <s v=""/>
    <s v=""/>
    <s v="Flagged"/>
    <n v="4"/>
    <n v="2305.2857142857174"/>
    <m/>
    <m/>
    <n v="1"/>
    <s v="Flagged"/>
    <n v="2305.2857142857174"/>
    <m/>
  </r>
  <r>
    <s v=""/>
    <x v="4"/>
    <s v="SS04"/>
    <x v="27"/>
    <s v="SS0402"/>
    <m/>
    <m/>
    <m/>
    <n v="1148"/>
    <x v="2"/>
    <n v="172.2"/>
    <n v="321.59727599999997"/>
    <n v="371.57061407088617"/>
    <n v="594.83372983899699"/>
    <n v="481.21173161292643"/>
    <n v="230"/>
    <n v="765.33333333333337"/>
    <n v="754.7037037037037"/>
    <n v="186"/>
    <n v="176"/>
    <n v="90"/>
    <n v="97"/>
    <n v="0.15000000000000002"/>
    <n v="0.30000000000000004"/>
    <n v="0.30000000000000004"/>
    <n v="0.5"/>
    <n v="0.4"/>
    <n v="0.2"/>
    <n v="0.65"/>
    <n v="0.65"/>
    <n v="0.15000000000000002"/>
    <n v="0.15000000000000002"/>
    <n v="0.1"/>
    <n v="0.1"/>
    <n v="765.33333333333337"/>
    <s v="Shelter"/>
    <n v="0.66666666666666674"/>
    <s v=""/>
    <s v=""/>
    <s v=""/>
    <n v="754.7037037037037"/>
    <s v="WASH"/>
    <n v="0.65740740740740744"/>
    <n v="10.629629629629676"/>
    <n v="1.4084507042253582E-2"/>
    <s v=""/>
    <n v="594.83372983899699"/>
    <s v="Food Security"/>
    <n v="0.51814784829180927"/>
    <n v="170.49960349433638"/>
    <n v="0.28663405409186415"/>
    <s v=""/>
    <s v=""/>
    <s v="Flagged"/>
    <s v=""/>
    <s v=""/>
    <n v="4"/>
    <n v="765.33333333333337"/>
    <m/>
    <m/>
    <n v="1"/>
    <s v="Flagged"/>
    <n v="765.33333333333337"/>
    <m/>
  </r>
  <r>
    <s v=""/>
    <x v="4"/>
    <s v="SS04"/>
    <x v="28"/>
    <s v="SS0403"/>
    <m/>
    <m/>
    <m/>
    <n v="2881"/>
    <x v="2"/>
    <n v="432.15"/>
    <n v="759.80612999999994"/>
    <n v="923.91164896721557"/>
    <n v="2057.9427616123767"/>
    <n v="1444.4431475936408"/>
    <n v="576"/>
    <n v="2016.6999999999998"/>
    <n v="1400.8532110091742"/>
    <n v="195"/>
    <n v="414"/>
    <n v="226"/>
    <n v="213"/>
    <n v="0.15000000000000002"/>
    <n v="0.25"/>
    <n v="0.30000000000000004"/>
    <n v="0.70000000000000007"/>
    <n v="0.5"/>
    <n v="0.2"/>
    <n v="0.70000000000000007"/>
    <n v="0.5"/>
    <n v="0.05"/>
    <n v="0.15000000000000002"/>
    <n v="0.1"/>
    <n v="0.05"/>
    <n v="2057.9427616123767"/>
    <s v="Food Security"/>
    <n v="0.71431543270127618"/>
    <s v=""/>
    <s v=""/>
    <s v=""/>
    <n v="2016.6999999999998"/>
    <s v="Shelter"/>
    <n v="0.7"/>
    <n v="41.242761612376853"/>
    <n v="2.0450618144680348E-2"/>
    <s v=""/>
    <n v="1444.4431475936408"/>
    <s v="Health"/>
    <n v="0.50136867323625156"/>
    <n v="613.49961401873588"/>
    <n v="0.42473088334476228"/>
    <s v=""/>
    <s v=""/>
    <s v=""/>
    <s v=""/>
    <s v="Flagged"/>
    <n v="4"/>
    <n v="2057.9427616123767"/>
    <m/>
    <m/>
    <n v="1"/>
    <s v="Flagged"/>
    <n v="2057.9427616123767"/>
    <m/>
  </r>
  <r>
    <s v=""/>
    <x v="4"/>
    <s v="SS04"/>
    <x v="29"/>
    <s v="SS0404"/>
    <m/>
    <m/>
    <m/>
    <n v="6622"/>
    <x v="2"/>
    <n v="993.3"/>
    <n v="947.95916600000021"/>
    <n v="2165.0515374071806"/>
    <n v="5086.8524596533507"/>
    <n v="2405.4919920601465"/>
    <n v="897"/>
    <n v="6376.7407407407409"/>
    <n v="3556.2592592592591"/>
    <n v="780"/>
    <n v="722"/>
    <n v="361"/>
    <n v="337"/>
    <n v="0.15000000000000002"/>
    <n v="0.15000000000000002"/>
    <n v="0.35000000000000003"/>
    <n v="0.75"/>
    <n v="0.35000000000000003"/>
    <n v="0.15000000000000002"/>
    <n v="0.95000000000000007"/>
    <n v="0.55000000000000004"/>
    <n v="0.1"/>
    <n v="0.1"/>
    <n v="0.05"/>
    <n v="0.05"/>
    <n v="6376.7407407407409"/>
    <s v="Shelter"/>
    <n v="0.96296296296296302"/>
    <s v=""/>
    <s v="Flagged"/>
    <s v=""/>
    <n v="5086.8524596533507"/>
    <s v="Food Security"/>
    <n v="0.76817463902950023"/>
    <n v="1289.8882810873902"/>
    <n v="0.25357296900553139"/>
    <s v=""/>
    <n v="3556.2592592592591"/>
    <s v="WASH"/>
    <n v="0.53703703703703698"/>
    <n v="2820.4814814814818"/>
    <n v="0.79310344827586221"/>
    <s v="Flagged"/>
    <s v=""/>
    <s v="Flagged"/>
    <s v=""/>
    <s v=""/>
    <n v="4"/>
    <n v="6376.7407407407409"/>
    <m/>
    <m/>
    <n v="3"/>
    <s v="Flagged"/>
    <n v="6376.7407407407409"/>
    <m/>
  </r>
  <r>
    <s v=""/>
    <x v="4"/>
    <s v="SS04"/>
    <x v="30"/>
    <s v="SS0405"/>
    <m/>
    <m/>
    <m/>
    <n v="3719.2857142857101"/>
    <x v="2"/>
    <n v="557.89285714285654"/>
    <n v="1011.3890835714274"/>
    <n v="1192.4882419904961"/>
    <n v="2637.7840017036069"/>
    <n v="1985.571157549577"/>
    <n v="710"/>
    <n v="1969.033613445376"/>
    <n v="688.75661375661298"/>
    <n v="556"/>
    <n v="518"/>
    <n v="299"/>
    <n v="288"/>
    <n v="0.15000000000000002"/>
    <n v="0.25"/>
    <n v="0.30000000000000004"/>
    <n v="0.70000000000000007"/>
    <n v="0.55000000000000004"/>
    <n v="0.2"/>
    <n v="0.55000000000000004"/>
    <n v="0.2"/>
    <n v="0.15000000000000002"/>
    <n v="0.15000000000000002"/>
    <n v="0.1"/>
    <n v="0.1"/>
    <n v="2637.7840017036069"/>
    <s v="Food Security"/>
    <n v="0.70921789944018698"/>
    <s v=""/>
    <s v=""/>
    <s v=""/>
    <n v="1985.571157549577"/>
    <s v="Health"/>
    <n v="0.53385819484720776"/>
    <n v="652.21284415402988"/>
    <n v="0.3284761876572258"/>
    <s v="Flagged"/>
    <n v="1969.033613445376"/>
    <s v="Shelter"/>
    <n v="0.52941176470588236"/>
    <n v="668.75038825823094"/>
    <n v="0.33963381005368659"/>
    <s v=""/>
    <s v=""/>
    <s v=""/>
    <s v=""/>
    <s v="Flagged"/>
    <n v="4"/>
    <n v="2637.7840017036069"/>
    <m/>
    <m/>
    <n v="2"/>
    <s v="Flagged"/>
    <n v="2637.7840017036069"/>
    <m/>
  </r>
  <r>
    <s v=""/>
    <x v="4"/>
    <s v="SS04"/>
    <x v="31"/>
    <s v="SS0406"/>
    <m/>
    <m/>
    <m/>
    <n v="2968"/>
    <x v="2"/>
    <n v="445.2"/>
    <n v="455.83434400000004"/>
    <n v="1048.5404930660732"/>
    <n v="746.35716709411224"/>
    <n v="1461.1602558181589"/>
    <n v="594"/>
    <n v="1826.4615384615383"/>
    <n v="1648.8888888888889"/>
    <n v="496"/>
    <n v="435"/>
    <n v="221"/>
    <n v="236"/>
    <n v="0.15000000000000002"/>
    <n v="0.15000000000000002"/>
    <n v="0.35000000000000003"/>
    <n v="0.25"/>
    <n v="0.5"/>
    <n v="0.2"/>
    <n v="0.60000000000000009"/>
    <n v="0.55000000000000004"/>
    <n v="0.15000000000000002"/>
    <n v="0.15000000000000002"/>
    <n v="0.05"/>
    <n v="0.1"/>
    <n v="1826.4615384615383"/>
    <s v="Shelter"/>
    <n v="0.61538461538461531"/>
    <s v=""/>
    <s v=""/>
    <s v=""/>
    <n v="1648.8888888888889"/>
    <s v="WASH"/>
    <n v="0.55555555555555558"/>
    <n v="177.57264957264942"/>
    <n v="0.1076923076923076"/>
    <s v=""/>
    <n v="1461.1602558181589"/>
    <s v="Health"/>
    <n v="0.49230466840234466"/>
    <n v="365.30128264337941"/>
    <n v="0.25000767793183193"/>
    <s v=""/>
    <s v=""/>
    <s v="Flagged"/>
    <s v=""/>
    <s v=""/>
    <n v="4"/>
    <n v="1826.4615384615383"/>
    <m/>
    <m/>
    <n v="1"/>
    <s v="Flagged"/>
    <n v="1826.4615384615383"/>
    <m/>
  </r>
  <r>
    <s v=""/>
    <x v="4"/>
    <s v="SS04"/>
    <x v="32"/>
    <s v="SS0407"/>
    <m/>
    <m/>
    <m/>
    <n v="3047.871016813448"/>
    <x v="2"/>
    <n v="457.18065252201717"/>
    <n v="507.92770495196112"/>
    <n v="983.45046112189311"/>
    <n v="2284.4551779585386"/>
    <n v="1173.8051731432633"/>
    <n v="2062"/>
    <n v="2216.6334667734168"/>
    <n v="2031.9140112089651"/>
    <n v="395"/>
    <n v="430"/>
    <n v="1403"/>
    <n v="1134"/>
    <n v="0.15000000000000002"/>
    <n v="0.15000000000000002"/>
    <n v="0.30000000000000004"/>
    <n v="0.75"/>
    <n v="0.4"/>
    <n v="0.70000000000000007"/>
    <n v="0.75"/>
    <n v="0.65"/>
    <n v="0.15000000000000002"/>
    <n v="0.15000000000000002"/>
    <n v="0.45"/>
    <n v="0.35000000000000003"/>
    <n v="2284.4551779585386"/>
    <s v="Food Security"/>
    <n v="0.7495248865048556"/>
    <s v=""/>
    <s v=""/>
    <s v=""/>
    <n v="2216.6334667734168"/>
    <s v="Shelter"/>
    <n v="0.72727272727272729"/>
    <n v="67.821711185121785"/>
    <n v="3.0596718944176478E-2"/>
    <s v=""/>
    <n v="2062"/>
    <s v="Overarching Protection"/>
    <n v="0.67653781561787441"/>
    <n v="222.45517795853857"/>
    <n v="0.10788320948522724"/>
    <s v=""/>
    <s v=""/>
    <s v=""/>
    <s v=""/>
    <s v="Flagged"/>
    <n v="4"/>
    <n v="2284.4551779585386"/>
    <m/>
    <m/>
    <n v="1"/>
    <s v="Flagged"/>
    <n v="2284.4551779585386"/>
    <m/>
  </r>
  <r>
    <s v=""/>
    <x v="4"/>
    <s v="SS04"/>
    <x v="33"/>
    <s v="SS0408"/>
    <m/>
    <m/>
    <m/>
    <n v="5119.8571428571404"/>
    <x v="2"/>
    <n v="767.97857142857106"/>
    <n v="1060.8548794285709"/>
    <n v="1649.1679405392335"/>
    <n v="3259.6310042964874"/>
    <n v="2043.5933195983814"/>
    <n v="1018"/>
    <n v="4188.9740259740229"/>
    <n v="3318.4259259259243"/>
    <n v="788"/>
    <n v="805"/>
    <n v="420"/>
    <n v="457"/>
    <n v="0.15000000000000002"/>
    <n v="0.2"/>
    <n v="0.30000000000000004"/>
    <n v="0.65"/>
    <n v="0.4"/>
    <n v="0.2"/>
    <n v="0.8"/>
    <n v="0.65"/>
    <n v="0.15000000000000002"/>
    <n v="0.15000000000000002"/>
    <n v="0.1"/>
    <n v="0.1"/>
    <n v="4188.9740259740229"/>
    <s v="Shelter"/>
    <n v="0.81818181818181801"/>
    <s v=""/>
    <s v=""/>
    <s v=""/>
    <n v="3318.4259259259243"/>
    <s v="WASH"/>
    <n v="0.64814814814814814"/>
    <n v="870.5481000480986"/>
    <n v="0.26233766233766204"/>
    <s v=""/>
    <n v="3259.6310042964874"/>
    <s v="Food Security"/>
    <n v="0.63666444460156313"/>
    <n v="929.34302167753549"/>
    <n v="0.2851068174442376"/>
    <s v=""/>
    <s v=""/>
    <s v="Flagged"/>
    <s v=""/>
    <s v=""/>
    <n v="4"/>
    <n v="4188.9740259740229"/>
    <m/>
    <m/>
    <n v="1"/>
    <s v="Flagged"/>
    <n v="4188.9740259740229"/>
    <m/>
  </r>
  <r>
    <s v=""/>
    <x v="5"/>
    <s v="SS05"/>
    <x v="34"/>
    <s v="SS0501"/>
    <m/>
    <m/>
    <m/>
    <n v="16513.487018186021"/>
    <x v="2"/>
    <n v="2477.0230527279032"/>
    <n v="2865.5160456203439"/>
    <n v="11446.945548084152"/>
    <n v="9983.9878224402255"/>
    <n v="13603.717947460118"/>
    <n v="10867"/>
    <n v="8615.7323573144458"/>
    <n v="10803.21580628992"/>
    <n v="6480"/>
    <n v="6123"/>
    <n v="1239"/>
    <n v="4539"/>
    <n v="0.15000000000000002"/>
    <n v="0.15000000000000002"/>
    <n v="0.70000000000000007"/>
    <n v="0.60000000000000009"/>
    <n v="0.8"/>
    <n v="0.65"/>
    <n v="0.5"/>
    <n v="0.65"/>
    <n v="0.4"/>
    <n v="0.35000000000000003"/>
    <n v="0.1"/>
    <n v="0.25"/>
    <n v="13603.717947460118"/>
    <s v="Health"/>
    <n v="0.82379438894272161"/>
    <s v=""/>
    <s v=""/>
    <s v=""/>
    <n v="11446.945548084152"/>
    <s v="Nutrition"/>
    <n v="0.69318766747918392"/>
    <n v="2156.7723993759664"/>
    <n v="0.188414664009382"/>
    <s v=""/>
    <n v="10867"/>
    <s v="Overarching Protection"/>
    <n v="0.65806815895591031"/>
    <n v="2736.717947460118"/>
    <n v="0.25183748481274665"/>
    <s v=""/>
    <s v=""/>
    <s v="Flagged"/>
    <s v=""/>
    <s v=""/>
    <n v="4"/>
    <n v="13603.717947460118"/>
    <m/>
    <m/>
    <n v="1"/>
    <s v="Flagged"/>
    <n v="13603.717947460118"/>
    <m/>
  </r>
  <r>
    <s v=""/>
    <x v="5"/>
    <s v="SS05"/>
    <x v="35"/>
    <s v="SS0502"/>
    <m/>
    <m/>
    <m/>
    <n v="84624.371794578474"/>
    <x v="2"/>
    <n v="12693.655769186771"/>
    <n v="31034.769764707813"/>
    <n v="32647.120414096447"/>
    <n v="65204.331159042034"/>
    <n v="35747.875154623791"/>
    <n v="56110"/>
    <n v="84624.371794578474"/>
    <n v="34476.59591630975"/>
    <n v="34575"/>
    <n v="30427"/>
    <n v="15410"/>
    <n v="21673"/>
    <n v="0.15000000000000002"/>
    <n v="0.35000000000000003"/>
    <n v="0.4"/>
    <n v="0.75"/>
    <n v="0.4"/>
    <n v="0.65"/>
    <n v="1"/>
    <n v="0.4"/>
    <n v="0.4"/>
    <n v="0.35000000000000003"/>
    <n v="0.2"/>
    <n v="0.25"/>
    <n v="84624.371794578474"/>
    <s v="Shelter"/>
    <n v="1"/>
    <s v=""/>
    <s v="Flagged"/>
    <s v=""/>
    <n v="65204.331159042034"/>
    <s v="Food Security"/>
    <n v="0.77051480296151986"/>
    <n v="19420.040635536439"/>
    <n v="0.29783359924616631"/>
    <s v=""/>
    <n v="56110"/>
    <s v="Overarching Protection"/>
    <n v="0.66304775811162631"/>
    <n v="28514.371794578474"/>
    <n v="0.50818698618033276"/>
    <s v="Flagged"/>
    <s v=""/>
    <s v="Flagged"/>
    <s v=""/>
    <s v=""/>
    <n v="4"/>
    <n v="84624.371794578474"/>
    <m/>
    <m/>
    <n v="3"/>
    <s v="Flagged"/>
    <n v="84624.371794578474"/>
    <m/>
  </r>
  <r>
    <s v=""/>
    <x v="5"/>
    <s v="SS05"/>
    <x v="36"/>
    <s v="SS0503"/>
    <m/>
    <m/>
    <m/>
    <n v="62262.159201647075"/>
    <x v="2"/>
    <n v="9339.3238802470605"/>
    <n v="16288.117062810563"/>
    <n v="34228.428664160019"/>
    <n v="44721.274699100119"/>
    <n v="28481.445195627231"/>
    <n v="40492"/>
    <n v="48677.688103105895"/>
    <n v="15565.539800411769"/>
    <n v="24870"/>
    <n v="23448"/>
    <n v="28970"/>
    <n v="15856"/>
    <n v="0.15000000000000002"/>
    <n v="0.25"/>
    <n v="0.55000000000000004"/>
    <n v="0.70000000000000007"/>
    <n v="0.45"/>
    <n v="0.65"/>
    <n v="0.8"/>
    <n v="0.25"/>
    <n v="0.4"/>
    <n v="0.4"/>
    <n v="0.45"/>
    <n v="0.25"/>
    <n v="48677.688103105895"/>
    <s v="Shelter"/>
    <n v="0.78181818181818186"/>
    <s v=""/>
    <s v=""/>
    <s v=""/>
    <n v="44721.274699100119"/>
    <s v="Food Security"/>
    <n v="0.71827375202749266"/>
    <n v="3956.4134040057761"/>
    <n v="8.8468261037411511E-2"/>
    <s v=""/>
    <n v="40492"/>
    <s v="Overarching Protection"/>
    <n v="0.65034686427850108"/>
    <n v="8185.6881031058947"/>
    <n v="0.20215568761992234"/>
    <s v=""/>
    <s v=""/>
    <s v="Flagged"/>
    <s v=""/>
    <s v=""/>
    <n v="4"/>
    <n v="48677.688103105895"/>
    <m/>
    <m/>
    <n v="1"/>
    <s v="Flagged"/>
    <n v="48677.688103105895"/>
    <m/>
  </r>
  <r>
    <s v=""/>
    <x v="5"/>
    <s v="SS05"/>
    <x v="37"/>
    <s v="SS0504"/>
    <m/>
    <m/>
    <m/>
    <n v="8876.9955392885731"/>
    <x v="2"/>
    <n v="1331.549330893286"/>
    <n v="1619.496873698959"/>
    <n v="4116.9543189771584"/>
    <n v="6742.2447544422866"/>
    <n v="4186.3245334297198"/>
    <n v="6115"/>
    <n v="5743.9382901279005"/>
    <n v="5084.0974452289101"/>
    <n v="3559"/>
    <n v="3249"/>
    <n v="680"/>
    <n v="2612"/>
    <n v="0.15000000000000002"/>
    <n v="0.2"/>
    <n v="0.45"/>
    <n v="0.75"/>
    <n v="0.45"/>
    <n v="0.70000000000000007"/>
    <n v="0.65"/>
    <n v="0.55000000000000004"/>
    <n v="0.4"/>
    <n v="0.35000000000000003"/>
    <n v="0.1"/>
    <n v="0.30000000000000004"/>
    <n v="6742.2447544422866"/>
    <s v="Food Security"/>
    <n v="0.75951877238215093"/>
    <s v=""/>
    <s v=""/>
    <s v=""/>
    <n v="6115"/>
    <s v="Overarching Protection"/>
    <n v="0.688859194863364"/>
    <n v="627.24475444228665"/>
    <n v="0.10257477586954811"/>
    <s v=""/>
    <n v="5743.9382901279005"/>
    <s v="Shelter"/>
    <n v="0.6470588235294118"/>
    <n v="998.30646431438618"/>
    <n v="0.17380173913605135"/>
    <s v=""/>
    <s v=""/>
    <s v=""/>
    <s v=""/>
    <s v=""/>
    <n v="4"/>
    <n v="6742.2447544422866"/>
    <m/>
    <m/>
    <n v="0"/>
    <s v=""/>
    <n v="6742.2447544422866"/>
    <m/>
  </r>
  <r>
    <s v=""/>
    <x v="5"/>
    <s v="SS05"/>
    <x v="38"/>
    <s v="SS0505"/>
    <m/>
    <m/>
    <m/>
    <n v="46727.292920050364"/>
    <x v="2"/>
    <n v="7009.0939380075542"/>
    <n v="7320.8584363701311"/>
    <n v="16160.236825051841"/>
    <n v="31614.397795641988"/>
    <n v="19880.916593575854"/>
    <n v="31590"/>
    <n v="32349.664329265637"/>
    <n v="18005.011950845092"/>
    <n v="18661"/>
    <n v="15958"/>
    <n v="3438"/>
    <n v="3745"/>
    <n v="0.15000000000000002"/>
    <n v="0.15000000000000002"/>
    <n v="0.35000000000000003"/>
    <n v="0.70000000000000007"/>
    <n v="0.45"/>
    <n v="0.70000000000000007"/>
    <n v="0.70000000000000007"/>
    <n v="0.4"/>
    <n v="0.4"/>
    <n v="0.35000000000000003"/>
    <n v="0.05"/>
    <n v="0.1"/>
    <n v="32349.664329265637"/>
    <s v="Shelter"/>
    <n v="0.69230769230769229"/>
    <s v=""/>
    <s v=""/>
    <s v=""/>
    <n v="31614.397795641988"/>
    <s v="Food Security"/>
    <n v="0.67657242309614873"/>
    <n v="735.26653362364959"/>
    <n v="2.3257331623916154E-2"/>
    <s v=""/>
    <n v="31590"/>
    <s v="Overarching Protection"/>
    <n v="0.67605029150843332"/>
    <n v="759.66432926563721"/>
    <n v="2.4047620426262652E-2"/>
    <s v=""/>
    <s v=""/>
    <s v="Flagged"/>
    <s v=""/>
    <s v=""/>
    <n v="4"/>
    <n v="32349.664329265637"/>
    <m/>
    <m/>
    <n v="1"/>
    <s v="Flagged"/>
    <n v="32349.664329265637"/>
    <m/>
  </r>
  <r>
    <s v=""/>
    <x v="6"/>
    <s v="SS06"/>
    <x v="39"/>
    <s v="SS0601"/>
    <m/>
    <m/>
    <m/>
    <n v="1708.2679972549467"/>
    <x v="2"/>
    <n v="256.24019958824198"/>
    <n v="136.01639778463226"/>
    <n v="670.13670661903291"/>
    <n v="1064.7716969540184"/>
    <n v="865.88797530309"/>
    <n v="328"/>
    <n v="1087.0796346167842"/>
    <n v="442.88429558461581"/>
    <n v="158"/>
    <n v="260"/>
    <n v="152"/>
    <n v="217"/>
    <n v="0.15000000000000002"/>
    <n v="0.1"/>
    <n v="0.4"/>
    <n v="0.60000000000000009"/>
    <n v="0.5"/>
    <n v="0.2"/>
    <n v="0.65"/>
    <n v="0.25"/>
    <n v="0.1"/>
    <n v="0.15000000000000002"/>
    <n v="0.1"/>
    <n v="0.15000000000000002"/>
    <n v="1087.0796346167842"/>
    <s v="Shelter"/>
    <n v="0.63636363636363635"/>
    <s v=""/>
    <s v=""/>
    <s v=""/>
    <n v="1064.7716969540184"/>
    <s v="Food Security"/>
    <n v="0.62330483194968433"/>
    <n v="22.30793766276588"/>
    <n v="2.0950911567786758E-2"/>
    <s v=""/>
    <n v="865.88797530309"/>
    <s v="Health"/>
    <n v="0.50688063974417619"/>
    <n v="221.19165931369423"/>
    <n v="0.25545066523907978"/>
    <s v=""/>
    <s v=""/>
    <s v="Flagged"/>
    <s v=""/>
    <s v=""/>
    <n v="4"/>
    <n v="1087.0796346167842"/>
    <m/>
    <m/>
    <n v="1"/>
    <s v="Flagged"/>
    <n v="1087.0796346167842"/>
    <m/>
  </r>
  <r>
    <s v=""/>
    <x v="6"/>
    <s v="SS06"/>
    <x v="40"/>
    <s v="SS0602"/>
    <m/>
    <m/>
    <m/>
    <n v="1810"/>
    <x v="2"/>
    <n v="271.5"/>
    <n v="412.36668899999995"/>
    <n v="625.62933932243084"/>
    <n v="1490.6764099812244"/>
    <n v="929.94220239263655"/>
    <n v="1267"/>
    <n v="1086"/>
    <n v="938.51851851851836"/>
    <n v="626"/>
    <n v="700"/>
    <n v="145"/>
    <n v="697"/>
    <n v="0.15000000000000002"/>
    <n v="0.25"/>
    <n v="0.35000000000000003"/>
    <n v="0.8"/>
    <n v="0.5"/>
    <n v="0.70000000000000007"/>
    <n v="0.60000000000000009"/>
    <n v="0.5"/>
    <n v="0.35000000000000003"/>
    <n v="0.4"/>
    <n v="0.1"/>
    <n v="0.4"/>
    <n v="1490.6764099812244"/>
    <s v="Food Security"/>
    <n v="0.82357812706144995"/>
    <s v=""/>
    <s v=""/>
    <s v=""/>
    <n v="1267"/>
    <s v="Overarching Protection"/>
    <n v="0.7"/>
    <n v="223.67640998122442"/>
    <n v="0.17654018151635709"/>
    <s v=""/>
    <n v="1086"/>
    <s v="Shelter"/>
    <n v="0.6"/>
    <n v="404.67640998122442"/>
    <n v="0.37263021176908329"/>
    <s v=""/>
    <s v=""/>
    <s v=""/>
    <s v=""/>
    <s v=""/>
    <n v="4"/>
    <n v="1490.6764099812244"/>
    <m/>
    <m/>
    <n v="0"/>
    <s v=""/>
    <n v="1490.6764099812244"/>
    <m/>
  </r>
  <r>
    <s v=""/>
    <x v="6"/>
    <s v="SS06"/>
    <x v="41"/>
    <s v="SS0603"/>
    <m/>
    <m/>
    <m/>
    <n v="7417"/>
    <x v="2"/>
    <n v="1112.55"/>
    <n v="2667.0360114"/>
    <n v="2854.2276968868132"/>
    <n v="6114.9134977443282"/>
    <n v="3802.4327491574586"/>
    <n v="4825"/>
    <n v="285.26923076923077"/>
    <n v="4463.9351851851852"/>
    <n v="2725"/>
    <n v="2791"/>
    <n v="563"/>
    <n v="2212"/>
    <n v="0.15000000000000002"/>
    <n v="0.35000000000000003"/>
    <n v="0.4"/>
    <n v="0.8"/>
    <n v="0.5"/>
    <n v="0.65"/>
    <n v="0.05"/>
    <n v="0.60000000000000009"/>
    <n v="0.35000000000000003"/>
    <n v="0.4"/>
    <n v="0.1"/>
    <n v="0.30000000000000004"/>
    <n v="6114.9134977443282"/>
    <s v="Food Security"/>
    <n v="0.82444566505923256"/>
    <s v=""/>
    <s v=""/>
    <s v=""/>
    <n v="4825"/>
    <s v="Overarching Protection"/>
    <n v="0.65053256033436702"/>
    <n v="1289.9134977443282"/>
    <n v="0.26733958502473121"/>
    <s v=""/>
    <n v="4463.9351851851852"/>
    <s v="WASH"/>
    <n v="0.60185185185185186"/>
    <n v="1650.978312559143"/>
    <n v="0.36984818194457109"/>
    <s v=""/>
    <s v=""/>
    <s v=""/>
    <s v=""/>
    <s v=""/>
    <n v="4"/>
    <n v="6114.9134977443282"/>
    <m/>
    <m/>
    <n v="0"/>
    <s v=""/>
    <n v="6114.9134977443282"/>
    <m/>
  </r>
  <r>
    <s v=""/>
    <x v="6"/>
    <s v="SS06"/>
    <x v="42"/>
    <s v="SS0604"/>
    <m/>
    <m/>
    <m/>
    <n v="5041.023996339929"/>
    <x v="2"/>
    <n v="756.1535994509893"/>
    <n v="983.45841246995303"/>
    <n v="1713.8548458301896"/>
    <n v="3635.4409748010257"/>
    <n v="2796.0794612320165"/>
    <n v="3474"/>
    <n v="4602.6740836147183"/>
    <n v="1820.3697764560852"/>
    <n v="2072"/>
    <n v="1887"/>
    <n v="410"/>
    <n v="1392"/>
    <n v="0.15000000000000002"/>
    <n v="0.2"/>
    <n v="0.35000000000000003"/>
    <n v="0.70000000000000007"/>
    <n v="0.55000000000000004"/>
    <n v="0.70000000000000007"/>
    <n v="0.9"/>
    <n v="0.35000000000000003"/>
    <n v="0.4"/>
    <n v="0.35000000000000003"/>
    <n v="0.1"/>
    <n v="0.30000000000000004"/>
    <n v="4602.6740836147183"/>
    <s v="Shelter"/>
    <n v="0.91304347826086962"/>
    <s v=""/>
    <s v="Flagged"/>
    <s v=""/>
    <n v="3635.4409748010257"/>
    <s v="Food Security"/>
    <n v="0.72117113059580018"/>
    <n v="967.23310881369252"/>
    <n v="0.26605661198133768"/>
    <s v=""/>
    <n v="3474"/>
    <s v="Overarching Protection"/>
    <n v="0.68914569788247826"/>
    <n v="1128.6740836147183"/>
    <n v="0.32489179148379915"/>
    <s v=""/>
    <s v=""/>
    <s v="Flagged"/>
    <s v=""/>
    <s v=""/>
    <n v="4"/>
    <n v="4602.6740836147183"/>
    <m/>
    <m/>
    <n v="2"/>
    <s v="Flagged"/>
    <n v="4602.6740836147183"/>
    <m/>
  </r>
  <r>
    <s v=""/>
    <x v="6"/>
    <s v="SS06"/>
    <x v="43"/>
    <s v="SS0605"/>
    <m/>
    <m/>
    <m/>
    <n v="3069.1428571428601"/>
    <x v="2"/>
    <n v="460.37142857142902"/>
    <n v="597.15391828571489"/>
    <n v="1293.574292400795"/>
    <n v="2299.4820891862373"/>
    <n v="1473.0465205838257"/>
    <n v="2142"/>
    <n v="3069.1428571428601"/>
    <n v="1250.3915343915355"/>
    <n v="503"/>
    <n v="1073"/>
    <n v="242"/>
    <n v="750"/>
    <n v="0.15000000000000002"/>
    <n v="0.2"/>
    <n v="0.4"/>
    <n v="0.75"/>
    <n v="0.5"/>
    <n v="0.70000000000000007"/>
    <n v="1"/>
    <n v="0.4"/>
    <n v="0.15000000000000002"/>
    <n v="0.35000000000000003"/>
    <n v="0.1"/>
    <n v="0.25"/>
    <n v="3069.1428571428601"/>
    <s v="Shelter"/>
    <n v="1"/>
    <s v=""/>
    <s v="Flagged"/>
    <s v=""/>
    <n v="2299.4820891862373"/>
    <s v="Food Security"/>
    <n v="0.74922615082403865"/>
    <n v="769.66076795662275"/>
    <n v="0.33471048614646859"/>
    <s v="Flagged"/>
    <n v="2142"/>
    <s v="Overarching Protection"/>
    <n v="0.69791472723887482"/>
    <n v="927.14285714286007"/>
    <n v="0.4328398025877031"/>
    <s v=""/>
    <s v=""/>
    <s v="Flagged"/>
    <s v=""/>
    <s v=""/>
    <n v="4"/>
    <n v="3069.1428571428601"/>
    <m/>
    <m/>
    <n v="3"/>
    <s v="Flagged"/>
    <n v="3069.1428571428601"/>
    <m/>
  </r>
  <r>
    <s v=""/>
    <x v="6"/>
    <s v="SS06"/>
    <x v="44"/>
    <s v="SS0606"/>
    <m/>
    <m/>
    <m/>
    <n v="7050.3021159784967"/>
    <x v="2"/>
    <n v="1057.5453173967744"/>
    <n v="2157.4559002084634"/>
    <n v="2577.4022617242485"/>
    <n v="4656.3863132350816"/>
    <n v="3806.9093414081844"/>
    <n v="4717"/>
    <n v="2769.7615455629812"/>
    <n v="3002.9064568056565"/>
    <n v="3041"/>
    <n v="2622"/>
    <n v="534"/>
    <n v="1706"/>
    <n v="0.15000000000000002"/>
    <n v="0.30000000000000004"/>
    <n v="0.35000000000000003"/>
    <n v="0.65"/>
    <n v="0.55000000000000004"/>
    <n v="0.65"/>
    <n v="0.4"/>
    <n v="0.45"/>
    <n v="0.45"/>
    <n v="0.35000000000000003"/>
    <n v="0.1"/>
    <n v="0.25"/>
    <n v="4717"/>
    <s v="Overarching Protection"/>
    <n v="0.66904934319191756"/>
    <s v=""/>
    <s v=""/>
    <s v=""/>
    <n v="4656.3863132350816"/>
    <s v="Food Security"/>
    <n v="0.6604520255496642"/>
    <n v="60.613686764918384"/>
    <n v="1.3017323453733434E-2"/>
    <s v=""/>
    <n v="3806.9093414081844"/>
    <s v="Health"/>
    <n v="0.53996400136958267"/>
    <n v="910.09065859181555"/>
    <n v="0.23906286621870826"/>
    <s v=""/>
    <s v=""/>
    <s v=""/>
    <s v=""/>
    <s v=""/>
    <n v="4"/>
    <n v="4717"/>
    <m/>
    <m/>
    <n v="0"/>
    <s v=""/>
    <n v="4717"/>
    <m/>
  </r>
  <r>
    <s v=""/>
    <x v="6"/>
    <s v="SS06"/>
    <x v="45"/>
    <s v="SS0607"/>
    <m/>
    <m/>
    <m/>
    <n v="3636"/>
    <x v="2"/>
    <n v="545.4"/>
    <n v="688.46932800000013"/>
    <n v="1418.8092270233087"/>
    <n v="2665.0680294809003"/>
    <n v="2336.2567443257749"/>
    <n v="2445"/>
    <n v="3636"/>
    <n v="1919"/>
    <n v="1412"/>
    <n v="1408"/>
    <n v="284"/>
    <n v="1015"/>
    <n v="0.15000000000000002"/>
    <n v="0.2"/>
    <n v="0.4"/>
    <n v="0.75"/>
    <n v="0.65"/>
    <n v="0.65"/>
    <n v="1"/>
    <n v="0.55000000000000004"/>
    <n v="0.4"/>
    <n v="0.4"/>
    <n v="0.1"/>
    <n v="0.30000000000000004"/>
    <n v="3636"/>
    <s v="Shelter"/>
    <n v="1"/>
    <s v=""/>
    <s v="Flagged"/>
    <s v=""/>
    <n v="2665.0680294809003"/>
    <s v="Food Security"/>
    <n v="0.73296700480772836"/>
    <n v="970.93197051909965"/>
    <n v="0.36431789349415478"/>
    <s v="Flagged"/>
    <n v="2445"/>
    <s v="Overarching Protection"/>
    <n v="0.67244224422442245"/>
    <n v="1191"/>
    <n v="0.48711656441717793"/>
    <s v=""/>
    <s v=""/>
    <s v="Flagged"/>
    <s v=""/>
    <s v=""/>
    <n v="4"/>
    <n v="3636"/>
    <m/>
    <m/>
    <n v="3"/>
    <s v="Flagged"/>
    <n v="3636"/>
    <m/>
  </r>
  <r>
    <s v=""/>
    <x v="6"/>
    <s v="SS06"/>
    <x v="46"/>
    <s v="SS0608"/>
    <m/>
    <m/>
    <m/>
    <n v="3515.9389111289033"/>
    <x v="2"/>
    <n v="527.3908366693355"/>
    <n v="188.39455467502003"/>
    <n v="1347.609100074098"/>
    <n v="2224.6482399145461"/>
    <n v="3142.4968348686766"/>
    <n v="703"/>
    <n v="878.98472778222583"/>
    <n v="1483.7907331369684"/>
    <n v="507"/>
    <n v="531"/>
    <n v="285"/>
    <n v="349"/>
    <n v="0.15000000000000002"/>
    <n v="0.05"/>
    <n v="0.4"/>
    <n v="0.65"/>
    <n v="0.9"/>
    <n v="0.2"/>
    <n v="0.25"/>
    <n v="0.4"/>
    <n v="0.15000000000000002"/>
    <n v="0.15000000000000002"/>
    <n v="0.1"/>
    <n v="0.1"/>
    <n v="3142.4968348686766"/>
    <s v="Health"/>
    <n v="0.89378595996700028"/>
    <s v=""/>
    <s v=""/>
    <s v=""/>
    <n v="2224.6482399145461"/>
    <s v="Food Security"/>
    <n v="0.63273233584148147"/>
    <n v="917.84859495413048"/>
    <n v="0.41258144927639756"/>
    <s v="Flagged"/>
    <n v="1483.7907331369684"/>
    <s v="WASH"/>
    <n v="0.42201834862385318"/>
    <n v="1658.7061017317083"/>
    <n v="1.1178841225305007"/>
    <s v="Flagged"/>
    <s v=""/>
    <s v="Flagged"/>
    <s v=""/>
    <s v=""/>
    <n v="4"/>
    <n v="3142.4968348686766"/>
    <m/>
    <m/>
    <n v="3"/>
    <s v="Flagged"/>
    <n v="3142.4968348686766"/>
    <m/>
  </r>
  <r>
    <s v=""/>
    <x v="6"/>
    <s v="SS06"/>
    <x v="47"/>
    <s v="SS0609"/>
    <m/>
    <m/>
    <m/>
    <n v="13224.062358458195"/>
    <x v="2"/>
    <n v="1983.6093537687293"/>
    <n v="3641.3751662125778"/>
    <n v="4210.7443991140663"/>
    <n v="10965.324618021728"/>
    <n v="8362.3019895435882"/>
    <n v="7772"/>
    <n v="13224.062358458195"/>
    <n v="6244.6961137163698"/>
    <n v="4711"/>
    <n v="4459"/>
    <n v="2261"/>
    <n v="3222"/>
    <n v="0.15000000000000002"/>
    <n v="0.30000000000000004"/>
    <n v="0.30000000000000004"/>
    <n v="0.85000000000000009"/>
    <n v="0.65"/>
    <n v="0.60000000000000009"/>
    <n v="1"/>
    <n v="0.45"/>
    <n v="0.35000000000000003"/>
    <n v="0.35000000000000003"/>
    <n v="0.15000000000000002"/>
    <n v="0.25"/>
    <n v="13224.062358458195"/>
    <s v="Shelter"/>
    <n v="1"/>
    <s v=""/>
    <s v="Flagged"/>
    <s v=""/>
    <n v="10965.324618021728"/>
    <s v="Food Security"/>
    <n v="0.8291948662060139"/>
    <n v="2258.737740436467"/>
    <n v="0.20598913567266278"/>
    <s v=""/>
    <n v="8362.3019895435882"/>
    <s v="Health"/>
    <n v="0.63235500278740031"/>
    <n v="4861.7603689146072"/>
    <n v="0.58139019315421314"/>
    <s v="Flagged"/>
    <s v=""/>
    <s v="Flagged"/>
    <s v=""/>
    <s v=""/>
    <n v="4"/>
    <n v="13224.062358458195"/>
    <m/>
    <m/>
    <n v="3"/>
    <s v="Flagged"/>
    <n v="13224.062358458195"/>
    <m/>
  </r>
  <r>
    <s v=""/>
    <x v="7"/>
    <s v="SS07"/>
    <x v="48"/>
    <s v="SS0701"/>
    <m/>
    <m/>
    <m/>
    <n v="4961"/>
    <x v="2"/>
    <n v="744.15"/>
    <n v="397.55469600000004"/>
    <n v="2733.7680235374769"/>
    <n v="3999.4205137166382"/>
    <n v="2450.9402045196935"/>
    <n v="940"/>
    <n v="1954.3333333333333"/>
    <n v="4455.7129629629626"/>
    <n v="759"/>
    <n v="717"/>
    <n v="381"/>
    <n v="384"/>
    <n v="0.15000000000000002"/>
    <n v="0.1"/>
    <n v="0.55000000000000004"/>
    <n v="0.8"/>
    <n v="0.5"/>
    <n v="0.2"/>
    <n v="0.4"/>
    <n v="0.9"/>
    <n v="0.15000000000000002"/>
    <n v="0.15000000000000002"/>
    <n v="0.1"/>
    <n v="0.1"/>
    <n v="4455.7129629629626"/>
    <s v="WASH"/>
    <n v="0.89814814814814803"/>
    <s v=""/>
    <s v=""/>
    <s v=""/>
    <n v="3999.4205137166382"/>
    <s v="Food Security"/>
    <n v="0.80617224626418826"/>
    <n v="456.2924492463244"/>
    <n v="0.11408964065703971"/>
    <s v=""/>
    <n v="2733.7680235374769"/>
    <s v="Nutrition"/>
    <n v="0.55105180881626226"/>
    <n v="1721.9449394254857"/>
    <n v="0.6298796842305957"/>
    <s v="Flagged"/>
    <s v=""/>
    <s v=""/>
    <s v=""/>
    <s v=""/>
    <n v="4"/>
    <n v="4455.7129629629626"/>
    <m/>
    <m/>
    <n v="1"/>
    <s v="Flagged"/>
    <n v="4455.7129629629626"/>
    <m/>
  </r>
  <r>
    <s v=""/>
    <x v="7"/>
    <s v="SS07"/>
    <x v="49"/>
    <s v="SS0702"/>
    <m/>
    <m/>
    <m/>
    <n v="14416.589191353083"/>
    <x v="2"/>
    <n v="2162.4883787029626"/>
    <n v="4916.7489105325858"/>
    <n v="4643.2566401440918"/>
    <n v="9982.5972806473583"/>
    <n v="6346.7178879007397"/>
    <n v="9757"/>
    <n v="8148.506934243047"/>
    <n v="13755.277760557072"/>
    <n v="4987"/>
    <n v="7384"/>
    <n v="7375"/>
    <n v="5328"/>
    <n v="0.15000000000000002"/>
    <n v="0.35000000000000003"/>
    <n v="0.30000000000000004"/>
    <n v="0.70000000000000007"/>
    <n v="0.45"/>
    <n v="0.70000000000000007"/>
    <n v="0.55000000000000004"/>
    <n v="0.95000000000000007"/>
    <n v="0.35000000000000003"/>
    <n v="0.5"/>
    <n v="0.5"/>
    <n v="0.35000000000000003"/>
    <n v="13755.277760557072"/>
    <s v="WASH"/>
    <n v="0.95412844036697264"/>
    <s v=""/>
    <s v="Flagged"/>
    <s v=""/>
    <n v="9982.5972806473583"/>
    <s v="Food Security"/>
    <n v="0.69243821462532995"/>
    <n v="3772.6804799097135"/>
    <n v="0.37792574155260927"/>
    <s v="Flagged"/>
    <n v="9757"/>
    <s v="Overarching Protection"/>
    <n v="0.67678976424272008"/>
    <n v="3998.2777605570718"/>
    <n v="0.40978556529231031"/>
    <s v=""/>
    <s v=""/>
    <s v=""/>
    <s v=""/>
    <s v=""/>
    <n v="4"/>
    <n v="13755.277760557072"/>
    <m/>
    <m/>
    <n v="2"/>
    <s v="Flagged"/>
    <n v="13755.277760557072"/>
    <m/>
  </r>
  <r>
    <s v=""/>
    <x v="7"/>
    <s v="SS07"/>
    <x v="50"/>
    <s v="SS0703"/>
    <m/>
    <m/>
    <m/>
    <n v="16232.649182202906"/>
    <x v="2"/>
    <n v="2434.8973773304356"/>
    <n v="5592.8212982099622"/>
    <n v="5531.9675173877868"/>
    <n v="14764.837695457401"/>
    <n v="7049.6537064105569"/>
    <n v="12298"/>
    <n v="15434.32217324211"/>
    <n v="5510.1653187294278"/>
    <n v="6601"/>
    <n v="6983"/>
    <n v="1281"/>
    <n v="3847"/>
    <n v="0.15000000000000002"/>
    <n v="0.35000000000000003"/>
    <n v="0.35000000000000003"/>
    <n v="0.9"/>
    <n v="0.45"/>
    <n v="0.75"/>
    <n v="0.95000000000000007"/>
    <n v="0.35000000000000003"/>
    <n v="0.4"/>
    <n v="0.45"/>
    <n v="0.1"/>
    <n v="0.25"/>
    <n v="15434.32217324211"/>
    <s v="Shelter"/>
    <n v="0.95081967213114771"/>
    <s v=""/>
    <s v="Flagged"/>
    <s v=""/>
    <n v="14764.837695457401"/>
    <s v="Food Security"/>
    <n v="0.90957659034763239"/>
    <n v="669.48447778470836"/>
    <n v="4.534316540375409E-2"/>
    <s v=""/>
    <n v="12298"/>
    <s v="Overarching Protection"/>
    <n v="0.75760893135565555"/>
    <n v="3136.3221732421098"/>
    <n v="0.25502701034656933"/>
    <s v=""/>
    <s v=""/>
    <s v="Flagged"/>
    <s v=""/>
    <s v=""/>
    <n v="4"/>
    <n v="15434.32217324211"/>
    <m/>
    <m/>
    <n v="2"/>
    <s v="Flagged"/>
    <n v="15434.32217324211"/>
    <m/>
  </r>
  <r>
    <s v=""/>
    <x v="7"/>
    <s v="SS07"/>
    <x v="51"/>
    <s v="SS0704"/>
    <m/>
    <m/>
    <m/>
    <n v="158050.00862404195"/>
    <x v="2"/>
    <n v="23707.501293606292"/>
    <n v="42577.170848234979"/>
    <n v="59197.71759471752"/>
    <n v="142110.0378171395"/>
    <n v="97595.508530042076"/>
    <n v="119302"/>
    <n v="68248.867360381744"/>
    <n v="118537.50646803142"/>
    <n v="61424"/>
    <n v="67766"/>
    <n v="70937"/>
    <n v="41337"/>
    <n v="0.15000000000000002"/>
    <n v="0.25"/>
    <n v="0.35000000000000003"/>
    <n v="0.9"/>
    <n v="0.60000000000000009"/>
    <n v="0.75"/>
    <n v="0.45"/>
    <n v="0.75"/>
    <n v="0.4"/>
    <n v="0.45"/>
    <n v="0.45"/>
    <n v="0.25"/>
    <n v="142110.0378171395"/>
    <s v="Food Security"/>
    <n v="0.89914603013518768"/>
    <s v=""/>
    <s v=""/>
    <s v=""/>
    <n v="119302"/>
    <s v="Overarching Protection"/>
    <n v="0.75483703568651528"/>
    <n v="22808.037817139499"/>
    <n v="0.19117900636317495"/>
    <s v=""/>
    <n v="118537.50646803142"/>
    <s v="WASH"/>
    <n v="0.74999999999999978"/>
    <n v="23572.531349108074"/>
    <n v="0.19886137351358399"/>
    <s v=""/>
    <s v=""/>
    <s v=""/>
    <s v=""/>
    <s v=""/>
    <n v="4"/>
    <n v="142110.0378171395"/>
    <m/>
    <m/>
    <n v="0"/>
    <s v=""/>
    <n v="142110.0378171395"/>
    <m/>
  </r>
  <r>
    <s v=""/>
    <x v="7"/>
    <s v="SS07"/>
    <x v="52"/>
    <s v="SS0705"/>
    <m/>
    <m/>
    <m/>
    <n v="25766.491604712341"/>
    <x v="2"/>
    <n v="3864.973740706851"/>
    <n v="8874.6367541988493"/>
    <n v="7995.02529353717"/>
    <n v="16784.628773650235"/>
    <n v="14656.848379685682"/>
    <n v="17004"/>
    <n v="19563.447329503815"/>
    <n v="12883.24580235617"/>
    <n v="10519"/>
    <n v="10295"/>
    <n v="14020"/>
    <n v="6787"/>
    <n v="0.15000000000000002"/>
    <n v="0.35000000000000003"/>
    <n v="0.30000000000000004"/>
    <n v="0.65"/>
    <n v="0.55000000000000004"/>
    <n v="0.65"/>
    <n v="0.75"/>
    <n v="0.5"/>
    <n v="0.4"/>
    <n v="0.4"/>
    <n v="0.55000000000000004"/>
    <n v="0.25"/>
    <n v="19563.447329503815"/>
    <s v="Shelter"/>
    <n v="0.7592592592592593"/>
    <s v=""/>
    <s v=""/>
    <s v=""/>
    <n v="17004"/>
    <s v="Overarching Protection"/>
    <n v="0.65992686396196054"/>
    <n v="2559.4473295038151"/>
    <n v="0.15052030872170166"/>
    <s v=""/>
    <n v="16784.628773650235"/>
    <s v="Food Security"/>
    <n v="0.65141304571634251"/>
    <n v="2778.8185558535806"/>
    <n v="0.16555734376538478"/>
    <s v=""/>
    <s v=""/>
    <s v="Flagged"/>
    <s v=""/>
    <s v=""/>
    <n v="4"/>
    <n v="19563.447329503815"/>
    <m/>
    <m/>
    <n v="1"/>
    <s v="Flagged"/>
    <n v="19563.447329503815"/>
    <m/>
  </r>
  <r>
    <s v=""/>
    <x v="7"/>
    <s v="SS07"/>
    <x v="53"/>
    <s v="SS0706"/>
    <m/>
    <m/>
    <m/>
    <n v="43189.075569026623"/>
    <x v="2"/>
    <n v="6478.3613353539931"/>
    <n v="8117.179445635823"/>
    <n v="13758.146796365621"/>
    <n v="25828.661119600776"/>
    <n v="18939.369573208412"/>
    <n v="28413"/>
    <n v="17275.630227610647"/>
    <n v="34791.199763938115"/>
    <n v="10279"/>
    <n v="16350"/>
    <n v="22805"/>
    <n v="17786"/>
    <n v="0.15000000000000002"/>
    <n v="0.2"/>
    <n v="0.30000000000000004"/>
    <n v="0.60000000000000009"/>
    <n v="0.45"/>
    <n v="0.65"/>
    <n v="0.4"/>
    <n v="0.8"/>
    <n v="0.25"/>
    <n v="0.4"/>
    <n v="0.55000000000000004"/>
    <n v="0.4"/>
    <n v="34791.199763938115"/>
    <s v="WASH"/>
    <n v="0.80555555555555558"/>
    <s v=""/>
    <s v=""/>
    <s v=""/>
    <n v="28413"/>
    <s v="Overarching Protection"/>
    <n v="0.65787469691471245"/>
    <n v="6378.1997639381152"/>
    <n v="0.22448174300278448"/>
    <s v=""/>
    <n v="25828.661119600776"/>
    <s v="Food Security"/>
    <n v="0.59803690584486602"/>
    <n v="8962.5386443373391"/>
    <n v="0.34699973811402385"/>
    <s v=""/>
    <s v=""/>
    <s v=""/>
    <s v=""/>
    <s v=""/>
    <n v="4"/>
    <n v="34791.199763938115"/>
    <m/>
    <m/>
    <n v="0"/>
    <s v=""/>
    <n v="34791.199763938115"/>
    <m/>
  </r>
  <r>
    <s v=""/>
    <x v="7"/>
    <s v="SS07"/>
    <x v="54"/>
    <s v="SS0707"/>
    <m/>
    <m/>
    <m/>
    <n v="12690.76710511266"/>
    <x v="2"/>
    <n v="1903.6150657668989"/>
    <n v="355.58514167157261"/>
    <n v="4640.4143331105124"/>
    <n v="10271.8459241485"/>
    <n v="8575.119729918777"/>
    <n v="8299"/>
    <n v="12690.76710511266"/>
    <n v="10061.14869594517"/>
    <n v="4971"/>
    <n v="1711"/>
    <n v="2314"/>
    <n v="3364"/>
    <n v="0.15000000000000002"/>
    <n v="0.05"/>
    <n v="0.35000000000000003"/>
    <n v="0.8"/>
    <n v="0.70000000000000007"/>
    <n v="0.65"/>
    <n v="1"/>
    <n v="0.8"/>
    <n v="0.4"/>
    <n v="0.15000000000000002"/>
    <n v="0.2"/>
    <n v="0.25"/>
    <n v="12690.76710511266"/>
    <s v="Shelter"/>
    <n v="1"/>
    <s v=""/>
    <s v="Flagged"/>
    <s v=""/>
    <n v="10271.8459241485"/>
    <s v="Food Security"/>
    <n v="0.80939519566239126"/>
    <n v="2418.9211809641602"/>
    <n v="0.23549040735486698"/>
    <s v=""/>
    <n v="10061.14869594517"/>
    <s v="WASH"/>
    <n v="0.79279279279279269"/>
    <n v="2629.6184091674895"/>
    <n v="0.26136363636363652"/>
    <s v=""/>
    <s v=""/>
    <s v="Flagged"/>
    <s v=""/>
    <s v=""/>
    <n v="4"/>
    <n v="12690.76710511266"/>
    <m/>
    <m/>
    <n v="2"/>
    <s v="Flagged"/>
    <n v="12690.76710511266"/>
    <m/>
  </r>
  <r>
    <s v=""/>
    <x v="7"/>
    <s v="SS07"/>
    <x v="55"/>
    <s v="SS0708"/>
    <m/>
    <m/>
    <m/>
    <n v="24576.329269129605"/>
    <x v="2"/>
    <n v="3686.4493903694406"/>
    <n v="2643.6265868217333"/>
    <n v="9282.5257772875138"/>
    <n v="17283.929073371444"/>
    <n v="12121.356328320824"/>
    <n v="15865"/>
    <n v="12934.91014164716"/>
    <n v="20707.832995285127"/>
    <n v="3613"/>
    <n v="8057"/>
    <n v="10144"/>
    <n v="6510"/>
    <n v="0.15000000000000002"/>
    <n v="0.1"/>
    <n v="0.4"/>
    <n v="0.70000000000000007"/>
    <n v="0.5"/>
    <n v="0.65"/>
    <n v="0.55000000000000004"/>
    <n v="0.85000000000000009"/>
    <n v="0.15000000000000002"/>
    <n v="0.35000000000000003"/>
    <n v="0.4"/>
    <n v="0.25"/>
    <n v="20707.832995285127"/>
    <s v="WASH"/>
    <n v="0.84259259259259245"/>
    <s v=""/>
    <s v=""/>
    <s v=""/>
    <n v="17283.929073371444"/>
    <s v="Food Security"/>
    <n v="0.70327545192364571"/>
    <n v="3423.903921913683"/>
    <n v="0.19809754526178511"/>
    <s v=""/>
    <n v="15865"/>
    <s v="Overarching Protection"/>
    <n v="0.64553985366431721"/>
    <n v="4842.8329952851273"/>
    <n v="0.30525263128176028"/>
    <s v=""/>
    <s v=""/>
    <s v=""/>
    <s v=""/>
    <s v=""/>
    <n v="4"/>
    <n v="20707.832995285127"/>
    <m/>
    <m/>
    <n v="0"/>
    <s v=""/>
    <n v="20707.832995285127"/>
    <m/>
  </r>
  <r>
    <s v=""/>
    <x v="7"/>
    <s v="SS07"/>
    <x v="56"/>
    <s v="SS0709"/>
    <m/>
    <m/>
    <m/>
    <n v="1622.427953791605"/>
    <x v="2"/>
    <n v="243.36419306874075"/>
    <n v="345.82587236292812"/>
    <n v="578.16760239038786"/>
    <n v="1086.3058597408046"/>
    <n v="789.91024757446075"/>
    <n v="1135"/>
    <n v="0"/>
    <n v="150.22481053625972"/>
    <n v="279"/>
    <n v="678"/>
    <n v="309"/>
    <n v="125"/>
    <n v="0.15000000000000002"/>
    <n v="0.2"/>
    <n v="0.35000000000000003"/>
    <n v="0.65"/>
    <n v="0.5"/>
    <n v="0.70000000000000007"/>
    <n v="0"/>
    <n v="0.1"/>
    <n v="0.15000000000000002"/>
    <n v="0.4"/>
    <n v="0.2"/>
    <n v="0.1"/>
    <n v="1135"/>
    <s v="Overarching Protection"/>
    <n v="0.69956881434858875"/>
    <s v=""/>
    <s v=""/>
    <s v=""/>
    <n v="1086.3058597408046"/>
    <s v="Food Security"/>
    <n v="0.66955568486237804"/>
    <n v="48.694140259195365"/>
    <n v="4.4825441953165852E-2"/>
    <s v=""/>
    <n v="789.91024757446075"/>
    <s v="Health"/>
    <n v="0.48686922937221649"/>
    <n v="345.08975242553925"/>
    <n v="0.43687210475517907"/>
    <s v=""/>
    <s v=""/>
    <s v=""/>
    <s v=""/>
    <s v=""/>
    <n v="4"/>
    <n v="1135"/>
    <m/>
    <m/>
    <n v="0"/>
    <s v=""/>
    <n v="1135"/>
    <m/>
  </r>
  <r>
    <s v=""/>
    <x v="7"/>
    <s v="SS07"/>
    <x v="57"/>
    <s v="SS0710"/>
    <m/>
    <m/>
    <m/>
    <n v="4756.8792176598463"/>
    <x v="2"/>
    <n v="713.53188264897688"/>
    <n v="393.45004247523769"/>
    <n v="2302.8572149639735"/>
    <n v="3993.3912483369177"/>
    <n v="2891.7710180994654"/>
    <n v="3620"/>
    <n v="3567.6594132448845"/>
    <n v="4540.6574350389437"/>
    <n v="1910"/>
    <n v="1825"/>
    <n v="933"/>
    <n v="1214"/>
    <n v="0.15000000000000002"/>
    <n v="0.1"/>
    <n v="0.5"/>
    <n v="0.85000000000000009"/>
    <n v="0.60000000000000009"/>
    <n v="0.75"/>
    <n v="0.75"/>
    <n v="0.95000000000000007"/>
    <n v="0.4"/>
    <n v="0.4"/>
    <n v="0.2"/>
    <n v="0.25"/>
    <n v="4540.6574350389437"/>
    <s v="WASH"/>
    <n v="0.95454545454545447"/>
    <s v=""/>
    <s v="Flagged"/>
    <s v=""/>
    <n v="3993.3912483369177"/>
    <s v="Food Security"/>
    <n v="0.83949813850885879"/>
    <n v="547.26618670202606"/>
    <n v="0.137042967410203"/>
    <s v=""/>
    <n v="3620"/>
    <s v="Overarching Protection"/>
    <n v="0.7610031355349115"/>
    <n v="920.65743503894373"/>
    <n v="0.25432525829805075"/>
    <s v=""/>
    <s v=""/>
    <s v=""/>
    <s v=""/>
    <s v=""/>
    <n v="4"/>
    <n v="4540.6574350389437"/>
    <m/>
    <m/>
    <n v="1"/>
    <s v="Flagged"/>
    <n v="4540.6574350389437"/>
    <m/>
  </r>
  <r>
    <s v=""/>
    <x v="7"/>
    <s v="SS07"/>
    <x v="58"/>
    <s v="SS0711"/>
    <m/>
    <m/>
    <m/>
    <n v="235020.19206222118"/>
    <x v="2"/>
    <n v="35253.028809333176"/>
    <n v="43043.948176195809"/>
    <n v="69811.746562686749"/>
    <n v="157164.99172748698"/>
    <n v="99310.943787170196"/>
    <n v="155152"/>
    <n v="52226.709347160257"/>
    <n v="113157.87025218057"/>
    <n v="96088"/>
    <n v="33634"/>
    <n v="18248"/>
    <n v="59121"/>
    <n v="0.15000000000000002"/>
    <n v="0.2"/>
    <n v="0.30000000000000004"/>
    <n v="0.65"/>
    <n v="0.4"/>
    <n v="0.65"/>
    <n v="0.2"/>
    <n v="0.5"/>
    <n v="0.4"/>
    <n v="0.15000000000000002"/>
    <n v="0.1"/>
    <n v="0.25"/>
    <n v="157164.99172748698"/>
    <s v="Food Security"/>
    <n v="0.66872973912759726"/>
    <s v=""/>
    <s v=""/>
    <s v=""/>
    <n v="155152"/>
    <s v="Overarching Protection"/>
    <n v="0.66016455283520403"/>
    <n v="2012.9917274869804"/>
    <n v="1.2974320198817807E-2"/>
    <s v=""/>
    <n v="113157.87025218057"/>
    <s v="WASH"/>
    <n v="0.48148148148148151"/>
    <n v="44007.121475306412"/>
    <n v="0.38890022741885588"/>
    <s v=""/>
    <s v=""/>
    <s v=""/>
    <s v=""/>
    <s v=""/>
    <n v="4"/>
    <n v="157164.99172748698"/>
    <m/>
    <m/>
    <n v="0"/>
    <s v=""/>
    <n v="157164.99172748698"/>
    <m/>
  </r>
  <r>
    <s v=""/>
    <x v="7"/>
    <s v="SS07"/>
    <x v="59"/>
    <s v="SS0712"/>
    <m/>
    <m/>
    <m/>
    <n v="44257.266075717678"/>
    <x v="2"/>
    <n v="6638.5899113576515"/>
    <n v="14377.415457357643"/>
    <n v="15943.841592578076"/>
    <n v="38531.47105902285"/>
    <n v="28532.03421814082"/>
    <n v="29257"/>
    <n v="25289.86632898153"/>
    <n v="33192.949556788255"/>
    <n v="16939"/>
    <n v="15678"/>
    <n v="3339"/>
    <n v="11541"/>
    <n v="0.15000000000000002"/>
    <n v="0.30000000000000004"/>
    <n v="0.35000000000000003"/>
    <n v="0.85000000000000009"/>
    <n v="0.65"/>
    <n v="0.65"/>
    <n v="0.55000000000000004"/>
    <n v="0.75"/>
    <n v="0.4"/>
    <n v="0.35000000000000003"/>
    <n v="0.1"/>
    <n v="0.25"/>
    <n v="38531.47105902285"/>
    <s v="Food Security"/>
    <n v="0.8706247465241338"/>
    <s v=""/>
    <s v=""/>
    <s v=""/>
    <n v="33192.949556788255"/>
    <s v="WASH"/>
    <n v="0.74999999999999989"/>
    <n v="5338.5215022345947"/>
    <n v="0.16083299536551188"/>
    <s v=""/>
    <n v="29257"/>
    <s v="Overarching Protection"/>
    <n v="0.66106659073666174"/>
    <n v="9274.4710590228497"/>
    <n v="0.31700007037710121"/>
    <s v=""/>
    <s v=""/>
    <s v=""/>
    <s v=""/>
    <s v=""/>
    <n v="4"/>
    <n v="38531.47105902285"/>
    <m/>
    <m/>
    <n v="0"/>
    <s v=""/>
    <n v="38531.47105902285"/>
    <m/>
  </r>
  <r>
    <s v=""/>
    <x v="8"/>
    <s v="SS08"/>
    <x v="60"/>
    <s v="SS0801"/>
    <m/>
    <m/>
    <m/>
    <n v="34983.329520759507"/>
    <x v="2"/>
    <n v="5247.4994281139261"/>
    <n v="7413.4293053986139"/>
    <n v="12492.153849814778"/>
    <n v="20489.716482018473"/>
    <n v="16834.613214961206"/>
    <n v="23078"/>
    <n v="24660.379826109162"/>
    <n v="11661.109840253168"/>
    <n v="14294"/>
    <n v="14503"/>
    <n v="2846"/>
    <n v="9291"/>
    <n v="0.15000000000000002"/>
    <n v="0.2"/>
    <n v="0.35000000000000003"/>
    <n v="0.60000000000000009"/>
    <n v="0.5"/>
    <n v="0.65"/>
    <n v="0.70000000000000007"/>
    <n v="0.35000000000000003"/>
    <n v="0.4"/>
    <n v="0.4"/>
    <n v="0.1"/>
    <n v="0.25"/>
    <n v="24660.379826109162"/>
    <s v="Shelter"/>
    <n v="0.70491803278688525"/>
    <s v=""/>
    <s v=""/>
    <s v=""/>
    <n v="23078"/>
    <s v="Overarching Protection"/>
    <n v="0.65968563644879064"/>
    <n v="1582.3798261091615"/>
    <n v="6.8566592690404785E-2"/>
    <s v=""/>
    <n v="20489.716482018473"/>
    <s v="Food Security"/>
    <n v="0.5856994392103142"/>
    <n v="4170.663344090688"/>
    <n v="0.20354909975210303"/>
    <s v=""/>
    <s v=""/>
    <s v="Flagged"/>
    <s v=""/>
    <s v=""/>
    <n v="4"/>
    <n v="24660.379826109162"/>
    <m/>
    <m/>
    <n v="1"/>
    <s v="Flagged"/>
    <n v="24660.379826109162"/>
    <m/>
  </r>
  <r>
    <s v=""/>
    <x v="8"/>
    <s v="SS08"/>
    <x v="61"/>
    <s v="SS0802"/>
    <m/>
    <m/>
    <m/>
    <n v="98408.747432231496"/>
    <x v="2"/>
    <n v="14761.312114834724"/>
    <n v="22394.770403530743"/>
    <n v="35540.933869193272"/>
    <n v="52315.662132673438"/>
    <n v="49887.945759563932"/>
    <n v="65097"/>
    <n v="57990.869022564992"/>
    <n v="49204.373716115748"/>
    <n v="39068"/>
    <n v="44342"/>
    <n v="7709"/>
    <n v="27376"/>
    <n v="0.15000000000000002"/>
    <n v="0.25"/>
    <n v="0.35000000000000003"/>
    <n v="0.55000000000000004"/>
    <n v="0.5"/>
    <n v="0.65"/>
    <n v="0.60000000000000009"/>
    <n v="0.5"/>
    <n v="0.4"/>
    <n v="0.45"/>
    <n v="0.1"/>
    <n v="0.30000000000000004"/>
    <n v="65097"/>
    <s v="Overarching Protection"/>
    <n v="0.66149607325129911"/>
    <s v=""/>
    <s v=""/>
    <s v=""/>
    <n v="57990.869022564992"/>
    <s v="Shelter"/>
    <n v="0.5892857142857143"/>
    <n v="7106.1309774350084"/>
    <n v="0.12253879097190148"/>
    <s v=""/>
    <n v="52315.662132673438"/>
    <s v="Food Security"/>
    <n v="0.53161597416632356"/>
    <n v="12781.337867326562"/>
    <n v="0.24431188187799027"/>
    <s v=""/>
    <s v=""/>
    <s v=""/>
    <s v=""/>
    <s v="Flagged"/>
    <n v="4"/>
    <n v="65097"/>
    <m/>
    <m/>
    <n v="1"/>
    <s v="Flagged"/>
    <n v="65097"/>
    <m/>
  </r>
  <r>
    <s v=""/>
    <x v="8"/>
    <s v="SS08"/>
    <x v="62"/>
    <s v="SS0803"/>
    <m/>
    <m/>
    <m/>
    <n v="17868.834713485074"/>
    <x v="2"/>
    <n v="2680.3252070227609"/>
    <n v="5845.6498996058772"/>
    <n v="7627.3791897194624"/>
    <n v="13176.465842066476"/>
    <n v="7643.5241742857106"/>
    <n v="13713"/>
    <n v="12183.296395558005"/>
    <n v="8768.9651834695287"/>
    <n v="7684"/>
    <n v="7817"/>
    <n v="1383"/>
    <n v="3949"/>
    <n v="0.15000000000000002"/>
    <n v="0.35000000000000003"/>
    <n v="0.45"/>
    <n v="0.75"/>
    <n v="0.45"/>
    <n v="0.75"/>
    <n v="0.70000000000000007"/>
    <n v="0.5"/>
    <n v="0.45"/>
    <n v="0.45"/>
    <n v="0.1"/>
    <n v="0.2"/>
    <n v="13713"/>
    <s v="Overarching Protection"/>
    <n v="0.76742553277137937"/>
    <s v=""/>
    <s v=""/>
    <s v=""/>
    <n v="13176.465842066476"/>
    <s v="Food Security"/>
    <n v="0.7373992794349703"/>
    <n v="536.5341579335236"/>
    <n v="4.0719124867353546E-2"/>
    <s v=""/>
    <n v="12183.296395558005"/>
    <s v="Shelter"/>
    <n v="0.68181818181818188"/>
    <n v="1529.7036044419947"/>
    <n v="0.12555744806468963"/>
    <s v=""/>
    <s v=""/>
    <s v=""/>
    <s v=""/>
    <s v=""/>
    <n v="4"/>
    <n v="13713"/>
    <m/>
    <m/>
    <n v="0"/>
    <s v=""/>
    <n v="13713"/>
    <m/>
  </r>
  <r>
    <s v=""/>
    <x v="8"/>
    <s v="SS08"/>
    <x v="63"/>
    <s v="SS0804"/>
    <m/>
    <m/>
    <m/>
    <n v="13129.238762438523"/>
    <x v="2"/>
    <n v="1969.3858143657783"/>
    <n v="3481.1651409055244"/>
    <n v="4927.9522371892199"/>
    <n v="8153.4055458651592"/>
    <n v="5919.1551518143524"/>
    <n v="8907"/>
    <n v="8951.7537016626302"/>
    <n v="7901.8566625787389"/>
    <n v="5112"/>
    <n v="5103"/>
    <n v="991"/>
    <n v="4081"/>
    <n v="0.15000000000000002"/>
    <n v="0.25"/>
    <n v="0.4"/>
    <n v="0.60000000000000009"/>
    <n v="0.45"/>
    <n v="0.70000000000000007"/>
    <n v="0.70000000000000007"/>
    <n v="0.60000000000000009"/>
    <n v="0.4"/>
    <n v="0.4"/>
    <n v="0.1"/>
    <n v="0.30000000000000004"/>
    <n v="8951.7537016626302"/>
    <s v="Shelter"/>
    <n v="0.68181818181818188"/>
    <s v=""/>
    <s v=""/>
    <s v=""/>
    <n v="8907"/>
    <s v="Overarching Protection"/>
    <n v="0.67840947682984198"/>
    <n v="44.753701662630192"/>
    <n v="5.0245539084574145E-3"/>
    <s v=""/>
    <n v="8153.4055458651592"/>
    <s v="Food Security"/>
    <n v="0.62101129344918771"/>
    <n v="798.34815579747101"/>
    <n v="9.7915913946208369E-2"/>
    <s v=""/>
    <s v=""/>
    <s v="Flagged"/>
    <s v=""/>
    <s v=""/>
    <n v="4"/>
    <n v="8951.7537016626302"/>
    <m/>
    <m/>
    <n v="1"/>
    <s v="Flagged"/>
    <n v="8951.7537016626302"/>
    <m/>
  </r>
  <r>
    <s v=""/>
    <x v="8"/>
    <s v="SS08"/>
    <x v="64"/>
    <s v="SS0805"/>
    <m/>
    <m/>
    <m/>
    <n v="8647.438167676999"/>
    <x v="2"/>
    <n v="1297.1157251515499"/>
    <n v="1343.0984776081723"/>
    <n v="3855.9279964630709"/>
    <n v="4902.8872654551633"/>
    <n v="4930.3563020103575"/>
    <n v="6053"/>
    <n v="5228.6835432465577"/>
    <n v="6645.7163696036187"/>
    <n v="3447"/>
    <n v="1357"/>
    <n v="4298"/>
    <n v="2551"/>
    <n v="0.15000000000000002"/>
    <n v="0.15000000000000002"/>
    <n v="0.45"/>
    <n v="0.55000000000000004"/>
    <n v="0.55000000000000004"/>
    <n v="0.70000000000000007"/>
    <n v="0.60000000000000009"/>
    <n v="0.75"/>
    <n v="0.4"/>
    <n v="0.15000000000000002"/>
    <n v="0.5"/>
    <n v="0.30000000000000004"/>
    <n v="6645.7163696036187"/>
    <s v="WASH"/>
    <n v="0.76851851851851838"/>
    <s v=""/>
    <s v=""/>
    <s v=""/>
    <n v="6053"/>
    <s v="Overarching Protection"/>
    <n v="0.69997609495784863"/>
    <n v="592.71636960361866"/>
    <n v="9.7921091955000608E-2"/>
    <s v=""/>
    <n v="5228.6835432465577"/>
    <s v="Shelter"/>
    <n v="0.60465116279069775"/>
    <n v="1417.0328263570609"/>
    <n v="0.27101139601139579"/>
    <s v=""/>
    <s v=""/>
    <s v=""/>
    <s v=""/>
    <s v=""/>
    <n v="4"/>
    <n v="6645.7163696036187"/>
    <m/>
    <m/>
    <n v="0"/>
    <s v=""/>
    <n v="6645.7163696036187"/>
    <m/>
  </r>
  <r>
    <s v=""/>
    <x v="8"/>
    <s v="SS08"/>
    <x v="65"/>
    <s v="SS0806"/>
    <m/>
    <m/>
    <m/>
    <n v="79307.299107857689"/>
    <x v="2"/>
    <n v="11896.094866178653"/>
    <n v="9739.0949450431381"/>
    <n v="32810.821682426264"/>
    <n v="46274.274786345559"/>
    <n v="47910.869250360593"/>
    <n v="33234"/>
    <n v="45123.11845791903"/>
    <n v="35982.015335972479"/>
    <n v="17679"/>
    <n v="19164"/>
    <n v="3485"/>
    <n v="10728"/>
    <n v="0.15000000000000002"/>
    <n v="0.1"/>
    <n v="0.4"/>
    <n v="0.60000000000000009"/>
    <n v="0.60000000000000009"/>
    <n v="0.4"/>
    <n v="0.55000000000000004"/>
    <n v="0.45"/>
    <n v="0.2"/>
    <n v="0.25"/>
    <n v="0.05"/>
    <n v="0.15000000000000002"/>
    <n v="47910.869250360593"/>
    <s v="Health"/>
    <n v="0.60411676843517204"/>
    <s v=""/>
    <s v=""/>
    <s v=""/>
    <n v="46274.274786345559"/>
    <s v="Food Security"/>
    <n v="0.58348065445291086"/>
    <n v="1636.5944640150337"/>
    <n v="3.5367263378440969E-2"/>
    <s v=""/>
    <n v="45123.11845791903"/>
    <s v="Shelter"/>
    <n v="0.56896551724137934"/>
    <n v="2787.7507924415622"/>
    <n v="6.1780986946666068E-2"/>
    <s v=""/>
    <s v=""/>
    <s v="Flagged"/>
    <s v=""/>
    <s v=""/>
    <n v="4"/>
    <n v="47910.869250360593"/>
    <m/>
    <m/>
    <n v="1"/>
    <s v="Flagged"/>
    <n v="47910.869250360593"/>
    <m/>
  </r>
  <r>
    <s v=""/>
    <x v="9"/>
    <s v="SS09"/>
    <x v="66"/>
    <s v="SS0901"/>
    <m/>
    <m/>
    <m/>
    <n v="20202.24984559073"/>
    <x v="2"/>
    <n v="3030.3374768386093"/>
    <n v="4130.4429112803145"/>
    <n v="6199.331577511226"/>
    <n v="6182.5606374466261"/>
    <n v="10500.549384030208"/>
    <n v="13430"/>
    <n v="11223.472136439294"/>
    <n v="14403.455908430427"/>
    <n v="7619"/>
    <n v="7343"/>
    <n v="4030"/>
    <n v="5737"/>
    <n v="0.15000000000000002"/>
    <n v="0.2"/>
    <n v="0.30000000000000004"/>
    <n v="0.30000000000000004"/>
    <n v="0.5"/>
    <n v="0.65"/>
    <n v="0.55000000000000004"/>
    <n v="0.70000000000000007"/>
    <n v="0.4"/>
    <n v="0.35000000000000003"/>
    <n v="0.2"/>
    <n v="0.30000000000000004"/>
    <n v="14403.455908430427"/>
    <s v="WASH"/>
    <n v="0.71296296296296291"/>
    <s v=""/>
    <s v=""/>
    <s v=""/>
    <n v="13430"/>
    <s v="Overarching Protection"/>
    <n v="0.66477744323764931"/>
    <n v="973.45590843042737"/>
    <n v="7.2483686405839715E-2"/>
    <s v=""/>
    <n v="11223.472136439294"/>
    <s v="Shelter"/>
    <n v="0.55555555555555547"/>
    <n v="3179.9837719911338"/>
    <n v="0.28333333333333338"/>
    <s v=""/>
    <s v=""/>
    <s v=""/>
    <s v=""/>
    <s v=""/>
    <n v="4"/>
    <n v="14403.455908430427"/>
    <m/>
    <m/>
    <n v="0"/>
    <s v=""/>
    <n v="14403.455908430427"/>
    <m/>
  </r>
  <r>
    <s v=""/>
    <x v="9"/>
    <s v="SS09"/>
    <x v="67"/>
    <s v="SS0902"/>
    <m/>
    <m/>
    <m/>
    <n v="28676.523493080207"/>
    <x v="2"/>
    <n v="4301.4785239620305"/>
    <n v="7547.8473807814153"/>
    <n v="9034.1005309117991"/>
    <n v="14917.237217909655"/>
    <n v="14871.963856483533"/>
    <n v="19279"/>
    <n v="20899.83915597371"/>
    <n v="7434.6542389467213"/>
    <n v="11253"/>
    <n v="11596"/>
    <n v="5838"/>
    <n v="8274"/>
    <n v="0.15000000000000002"/>
    <n v="0.25"/>
    <n v="0.30000000000000004"/>
    <n v="0.5"/>
    <n v="0.5"/>
    <n v="0.65"/>
    <n v="0.75"/>
    <n v="0.25"/>
    <n v="0.4"/>
    <n v="0.4"/>
    <n v="0.2"/>
    <n v="0.30000000000000004"/>
    <n v="20899.83915597371"/>
    <s v="Shelter"/>
    <n v="0.72881355932203384"/>
    <s v=""/>
    <s v=""/>
    <s v=""/>
    <n v="19279"/>
    <s v="Overarching Protection"/>
    <n v="0.67229209303045823"/>
    <n v="1620.8391559737101"/>
    <n v="8.4072781574444228E-2"/>
    <s v=""/>
    <n v="14917.237217909655"/>
    <s v="Food Security"/>
    <n v="0.52018987662536087"/>
    <n v="5982.6019380640555"/>
    <n v="0.40105294637812261"/>
    <s v=""/>
    <s v=""/>
    <s v="Flagged"/>
    <s v=""/>
    <s v=""/>
    <n v="4"/>
    <n v="20899.83915597371"/>
    <m/>
    <m/>
    <n v="1"/>
    <s v="Flagged"/>
    <n v="20899.83915597371"/>
    <m/>
  </r>
  <r>
    <s v=""/>
    <x v="9"/>
    <s v="SS09"/>
    <x v="68"/>
    <s v="SS0903"/>
    <m/>
    <m/>
    <m/>
    <n v="47646.035148118463"/>
    <x v="2"/>
    <n v="7146.9052722177694"/>
    <n v="6494.4214084853766"/>
    <n v="14934.166989641053"/>
    <n v="23618.765949974742"/>
    <n v="21699.970696247929"/>
    <n v="31618"/>
    <n v="27488.097200837576"/>
    <n v="20734.848629273776"/>
    <n v="18907"/>
    <n v="6860"/>
    <n v="3505"/>
    <n v="13453"/>
    <n v="0.15000000000000002"/>
    <n v="0.15000000000000002"/>
    <n v="0.30000000000000004"/>
    <n v="0.5"/>
    <n v="0.45"/>
    <n v="0.65"/>
    <n v="0.60000000000000009"/>
    <n v="0.45"/>
    <n v="0.4"/>
    <n v="0.15000000000000002"/>
    <n v="0.05"/>
    <n v="0.30000000000000004"/>
    <n v="31618"/>
    <s v="Overarching Protection"/>
    <n v="0.66360191150655679"/>
    <s v=""/>
    <s v=""/>
    <s v=""/>
    <n v="27488.097200837576"/>
    <s v="Shelter"/>
    <n v="0.57692307692307698"/>
    <n v="4129.9027991624243"/>
    <n v="0.15024331327803164"/>
    <s v=""/>
    <n v="23618.765949974742"/>
    <s v="Food Security"/>
    <n v="0.49571314541809142"/>
    <n v="7999.2340500252576"/>
    <n v="0.33868128703116313"/>
    <s v=""/>
    <s v=""/>
    <s v=""/>
    <s v=""/>
    <s v="Flagged"/>
    <n v="4"/>
    <n v="31618"/>
    <m/>
    <m/>
    <n v="1"/>
    <s v="Flagged"/>
    <n v="31618"/>
    <m/>
  </r>
  <r>
    <s v=""/>
    <x v="10"/>
    <s v="SS10"/>
    <x v="69"/>
    <s v="SS1001"/>
    <m/>
    <m/>
    <m/>
    <n v="3661"/>
    <x v="2"/>
    <n v="549.15"/>
    <n v="805.27539049999984"/>
    <n v="1372.115900864655"/>
    <n v="654.49499948243829"/>
    <n v="1809.4480634899089"/>
    <n v="1902"/>
    <n v="1464.4"/>
    <n v="2711.8518518518522"/>
    <n v="443"/>
    <n v="443"/>
    <n v="233"/>
    <n v="759"/>
    <n v="0.15000000000000002"/>
    <n v="0.2"/>
    <n v="0.35000000000000003"/>
    <n v="0.2"/>
    <n v="0.5"/>
    <n v="0.5"/>
    <n v="0.4"/>
    <n v="0.75"/>
    <n v="0.1"/>
    <n v="0.1"/>
    <n v="0.05"/>
    <n v="0.2"/>
    <n v="2711.8518518518522"/>
    <s v="WASH"/>
    <n v="0.74074074074074081"/>
    <s v=""/>
    <s v=""/>
    <s v=""/>
    <n v="1902"/>
    <s v="Overarching Protection"/>
    <n v="0.51953018301010656"/>
    <n v="809.85185185185219"/>
    <n v="0.42578961716711472"/>
    <s v="Flagged"/>
    <n v="1809.4480634899089"/>
    <s v="Health"/>
    <n v="0.49424967590546542"/>
    <n v="902.40378836194327"/>
    <n v="0.49871770655934933"/>
    <s v=""/>
    <s v=""/>
    <s v=""/>
    <s v=""/>
    <s v=""/>
    <n v="4"/>
    <n v="2711.8518518518522"/>
    <m/>
    <m/>
    <n v="1"/>
    <s v="Flagged"/>
    <n v="2711.8518518518522"/>
    <m/>
  </r>
  <r>
    <s v=""/>
    <x v="10"/>
    <s v="SS10"/>
    <x v="70"/>
    <s v="SS1002"/>
    <m/>
    <m/>
    <m/>
    <n v="1463.1428571428601"/>
    <x v="2"/>
    <n v="219.47142857142902"/>
    <n v="209.6127720000004"/>
    <n v="493.86726857254502"/>
    <n v="368.66869819399255"/>
    <n v="636.05586257138452"/>
    <n v="765"/>
    <n v="585.257142857144"/>
    <n v="1246.3809523809548"/>
    <n v="160"/>
    <n v="463"/>
    <n v="92"/>
    <n v="365"/>
    <n v="0.15000000000000002"/>
    <n v="0.15000000000000002"/>
    <n v="0.35000000000000003"/>
    <n v="0.25"/>
    <n v="0.45"/>
    <n v="0.5"/>
    <n v="0.4"/>
    <n v="0.85000000000000009"/>
    <n v="0.1"/>
    <n v="0.30000000000000004"/>
    <n v="0.05"/>
    <n v="0.25"/>
    <n v="1246.3809523809548"/>
    <s v="WASH"/>
    <n v="0.85185185185185175"/>
    <s v=""/>
    <s v=""/>
    <s v=""/>
    <n v="765"/>
    <s v="Overarching Protection"/>
    <n v="0.52284710017574587"/>
    <n v="481.3809523809548"/>
    <n v="0.62925614690320886"/>
    <s v="Flagged"/>
    <n v="636.05586257138452"/>
    <s v="Health"/>
    <n v="0.43471890626827597"/>
    <n v="610.32508980957027"/>
    <n v="0.95954636333703081"/>
    <s v="Flagged"/>
    <s v=""/>
    <s v=""/>
    <s v=""/>
    <s v=""/>
    <n v="4"/>
    <n v="1246.3809523809548"/>
    <m/>
    <m/>
    <n v="2"/>
    <s v="Flagged"/>
    <n v="1246.3809523809548"/>
    <m/>
  </r>
  <r>
    <s v=""/>
    <x v="10"/>
    <s v="SS10"/>
    <x v="71"/>
    <s v="SS1003"/>
    <m/>
    <m/>
    <m/>
    <n v="688"/>
    <x v="2"/>
    <n v="103.2"/>
    <n v="107.43986879999999"/>
    <n v="303.0168485540961"/>
    <n v="174.49196153942614"/>
    <n v="270.21792453378356"/>
    <n v="482"/>
    <n v="516"/>
    <n v="496.88888888888886"/>
    <n v="105"/>
    <n v="286"/>
    <n v="353"/>
    <n v="214"/>
    <n v="0.15000000000000002"/>
    <n v="0.15000000000000002"/>
    <n v="0.45"/>
    <n v="0.25"/>
    <n v="0.4"/>
    <n v="0.70000000000000007"/>
    <n v="0.75"/>
    <n v="0.70000000000000007"/>
    <n v="0.15000000000000002"/>
    <n v="0.4"/>
    <n v="0.5"/>
    <n v="0.30000000000000004"/>
    <n v="516"/>
    <s v="Shelter"/>
    <n v="0.75"/>
    <s v=""/>
    <s v=""/>
    <s v=""/>
    <n v="496.88888888888886"/>
    <s v="WASH"/>
    <n v="0.72222222222222221"/>
    <n v="19.111111111111143"/>
    <n v="3.8461538461538526E-2"/>
    <s v=""/>
    <n v="482"/>
    <s v="Overarching Protection"/>
    <n v="0.70058139534883723"/>
    <n v="34"/>
    <n v="7.0539419087136929E-2"/>
    <s v=""/>
    <s v=""/>
    <s v="Flagged"/>
    <s v=""/>
    <s v=""/>
    <n v="4"/>
    <n v="516"/>
    <m/>
    <m/>
    <n v="1"/>
    <s v="Flagged"/>
    <n v="516"/>
    <m/>
  </r>
  <r>
    <s v=""/>
    <x v="10"/>
    <s v="SS10"/>
    <x v="72"/>
    <s v="SS1004"/>
    <m/>
    <m/>
    <m/>
    <n v="5019"/>
    <x v="2"/>
    <n v="752.85"/>
    <n v="78.894664800000015"/>
    <n v="2034.152637362987"/>
    <n v="2159.001427823719"/>
    <n v="2420.3032000838125"/>
    <n v="2794"/>
    <n v="1892.4098360655737"/>
    <n v="3113.6388888888891"/>
    <n v="1753"/>
    <n v="1499"/>
    <n v="1742"/>
    <n v="1091"/>
    <n v="0.15000000000000002"/>
    <n v="0"/>
    <n v="0.4"/>
    <n v="0.45"/>
    <n v="0.5"/>
    <n v="0.55000000000000004"/>
    <n v="0.4"/>
    <n v="0.60000000000000009"/>
    <n v="0.35000000000000003"/>
    <n v="0.30000000000000004"/>
    <n v="0.35000000000000003"/>
    <n v="0.2"/>
    <n v="3113.6388888888891"/>
    <s v="WASH"/>
    <n v="0.62037037037037046"/>
    <s v=""/>
    <s v=""/>
    <s v=""/>
    <n v="2794"/>
    <s v="Overarching Protection"/>
    <n v="0.5566845985256027"/>
    <n v="319.63888888888914"/>
    <n v="0.11440189294520012"/>
    <s v=""/>
    <n v="2420.3032000838125"/>
    <s v="Health"/>
    <n v="0.48222817295951631"/>
    <n v="693.33568880507664"/>
    <n v="0.28646645956633332"/>
    <s v=""/>
    <s v=""/>
    <s v=""/>
    <s v=""/>
    <s v=""/>
    <n v="4"/>
    <n v="3113.6388888888891"/>
    <m/>
    <m/>
    <n v="0"/>
    <s v=""/>
    <n v="3113.6388888888891"/>
    <m/>
  </r>
  <r>
    <s v=""/>
    <x v="10"/>
    <s v="SS10"/>
    <x v="73"/>
    <s v="SS1005"/>
    <m/>
    <m/>
    <m/>
    <n v="2319"/>
    <x v="2"/>
    <n v="347.84999999999997"/>
    <n v="190.59397199999998"/>
    <n v="960.62743263091625"/>
    <n v="891.58596384741622"/>
    <n v="1150.5166343396793"/>
    <n v="1623"/>
    <n v="1578.2083333333333"/>
    <n v="878.40909090909099"/>
    <n v="985"/>
    <n v="355"/>
    <n v="1035"/>
    <n v="686"/>
    <n v="0.15000000000000002"/>
    <n v="0.1"/>
    <n v="0.4"/>
    <n v="0.4"/>
    <n v="0.5"/>
    <n v="0.70000000000000007"/>
    <n v="0.70000000000000007"/>
    <n v="0.4"/>
    <n v="0.4"/>
    <n v="0.15000000000000002"/>
    <n v="0.45"/>
    <n v="0.30000000000000004"/>
    <n v="1623"/>
    <s v="Overarching Protection"/>
    <n v="0.69987063389391979"/>
    <s v=""/>
    <s v=""/>
    <s v=""/>
    <n v="1578.2083333333333"/>
    <s v="Shelter"/>
    <n v="0.68055555555555547"/>
    <n v="44.791666666666742"/>
    <n v="2.8381339599229134E-2"/>
    <s v=""/>
    <n v="1150.5166343396793"/>
    <s v="Health"/>
    <n v="0.49612618988343221"/>
    <n v="472.48336566032071"/>
    <n v="0.41067060793214433"/>
    <s v=""/>
    <s v=""/>
    <s v=""/>
    <s v=""/>
    <s v="Flagged"/>
    <n v="4"/>
    <n v="1623"/>
    <m/>
    <m/>
    <n v="1"/>
    <s v="Flagged"/>
    <n v="1623"/>
    <m/>
  </r>
  <r>
    <s v=""/>
    <x v="10"/>
    <s v="SS10"/>
    <x v="74"/>
    <s v="SS1006"/>
    <m/>
    <m/>
    <m/>
    <n v="4934"/>
    <x v="2"/>
    <n v="740.1"/>
    <n v="399.89083199999999"/>
    <n v="1713.0999138081784"/>
    <n v="2851.7811157245615"/>
    <n v="2276.5651665888586"/>
    <n v="2682"/>
    <n v="3981.8245614035086"/>
    <n v="2284.2592592592591"/>
    <n v="1598"/>
    <n v="1569"/>
    <n v="813"/>
    <n v="1118"/>
    <n v="0.15000000000000002"/>
    <n v="0.1"/>
    <n v="0.35000000000000003"/>
    <n v="0.60000000000000009"/>
    <n v="0.45"/>
    <n v="0.55000000000000004"/>
    <n v="0.8"/>
    <n v="0.45"/>
    <n v="0.30000000000000004"/>
    <n v="0.30000000000000004"/>
    <n v="0.15000000000000002"/>
    <n v="0.25"/>
    <n v="3981.8245614035086"/>
    <s v="Shelter"/>
    <n v="0.80701754385964908"/>
    <s v=""/>
    <s v=""/>
    <s v=""/>
    <n v="2851.7811157245615"/>
    <s v="Food Security"/>
    <n v="0.57798563350720744"/>
    <n v="1130.0434456789471"/>
    <n v="0.39625882906929666"/>
    <s v="Flagged"/>
    <n v="2682"/>
    <s v="Overarching Protection"/>
    <n v="0.5435751925415484"/>
    <n v="1299.8245614035086"/>
    <n v="0.48464748747334402"/>
    <s v=""/>
    <s v=""/>
    <s v="Flagged"/>
    <s v=""/>
    <s v=""/>
    <n v="4"/>
    <n v="3981.8245614035086"/>
    <m/>
    <m/>
    <n v="2"/>
    <s v="Flagged"/>
    <n v="3981.8245614035086"/>
    <m/>
  </r>
  <r>
    <s v=""/>
    <x v="10"/>
    <s v="SS10"/>
    <x v="75"/>
    <s v="SS1007"/>
    <m/>
    <m/>
    <m/>
    <n v="0"/>
    <x v="2"/>
    <n v="0"/>
    <n v="0"/>
    <n v="0"/>
    <n v="0"/>
    <n v="0"/>
    <n v="0"/>
    <n v="0"/>
    <n v="0"/>
    <n v="0"/>
    <n v="0"/>
    <n v="0"/>
    <n v="0"/>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10"/>
    <s v="SS10"/>
    <x v="76"/>
    <s v="SS1008"/>
    <m/>
    <m/>
    <m/>
    <n v="375"/>
    <x v="2"/>
    <n v="56.25"/>
    <n v="71.836050000000014"/>
    <n v="154.24426865262288"/>
    <n v="72.83154889829467"/>
    <n v="162.93212727173531"/>
    <n v="263"/>
    <n v="375"/>
    <n v="295.13888888888886"/>
    <n v="60"/>
    <n v="57"/>
    <n v="29"/>
    <n v="107"/>
    <n v="0.15000000000000002"/>
    <n v="0.2"/>
    <n v="0.4"/>
    <n v="0.2"/>
    <n v="0.45"/>
    <n v="0.70000000000000007"/>
    <n v="1"/>
    <n v="0.8"/>
    <n v="0.15000000000000002"/>
    <n v="0.15000000000000002"/>
    <n v="0.1"/>
    <n v="0.30000000000000004"/>
    <n v="375"/>
    <s v="Shelter"/>
    <n v="1"/>
    <s v=""/>
    <s v="Flagged"/>
    <s v=""/>
    <n v="295.13888888888886"/>
    <s v="WASH"/>
    <n v="0.78703703703703698"/>
    <n v="79.861111111111143"/>
    <n v="0.2705882352941178"/>
    <s v=""/>
    <n v="263"/>
    <s v="Overarching Protection"/>
    <n v="0.70133333333333336"/>
    <n v="112"/>
    <n v="0.42585551330798477"/>
    <s v=""/>
    <s v=""/>
    <s v="Flagged"/>
    <s v=""/>
    <s v=""/>
    <n v="4"/>
    <n v="375"/>
    <m/>
    <m/>
    <n v="2"/>
    <s v="Flagged"/>
    <n v="375"/>
    <m/>
  </r>
  <r>
    <s v=""/>
    <x v="10"/>
    <s v="SS10"/>
    <x v="77"/>
    <s v="SS1009"/>
    <m/>
    <m/>
    <m/>
    <n v="2118.1428571428601"/>
    <x v="2"/>
    <n v="317.72142857142899"/>
    <n v="426.52830900000049"/>
    <n v="697.85443144825274"/>
    <n v="910.43538781819404"/>
    <n v="1288.5202770589237"/>
    <n v="1551"/>
    <n v="2118.1428571428601"/>
    <n v="1627.8320105820128"/>
    <n v="790"/>
    <n v="854"/>
    <n v="154"/>
    <n v="545"/>
    <n v="0.15000000000000002"/>
    <n v="0.2"/>
    <n v="0.35000000000000003"/>
    <n v="0.45"/>
    <n v="0.60000000000000009"/>
    <n v="0.75"/>
    <n v="1"/>
    <n v="0.75"/>
    <n v="0.35000000000000003"/>
    <n v="0.4"/>
    <n v="0.05"/>
    <n v="0.25"/>
    <n v="2118.1428571428601"/>
    <s v="Shelter"/>
    <n v="1"/>
    <s v=""/>
    <s v="Flagged"/>
    <s v=""/>
    <n v="1627.8320105820128"/>
    <s v="WASH"/>
    <n v="0.76851851851851849"/>
    <n v="490.31084656084727"/>
    <n v="0.30120481927710846"/>
    <s v="Flagged"/>
    <n v="1551"/>
    <s v="Overarching Protection"/>
    <n v="0.73224522829972249"/>
    <n v="567.14285714286007"/>
    <n v="0.36566270608823986"/>
    <s v=""/>
    <s v=""/>
    <s v="Flagged"/>
    <s v=""/>
    <s v=""/>
    <n v="4"/>
    <n v="2118.1428571428601"/>
    <m/>
    <m/>
    <n v="3"/>
    <s v="Flagged"/>
    <n v="2118.1428571428601"/>
    <m/>
  </r>
  <r>
    <s v=""/>
    <x v="10"/>
    <s v="SS10"/>
    <x v="78"/>
    <s v="SS1010"/>
    <m/>
    <m/>
    <m/>
    <n v="7750"/>
    <x v="2"/>
    <n v="1162.5"/>
    <n v="1435.114"/>
    <n v="2568.044207503222"/>
    <n v="1965.3678550191587"/>
    <n v="3793.3158280108482"/>
    <n v="5936"/>
    <n v="5904.7619047619046"/>
    <n v="5812.5"/>
    <n v="3045"/>
    <n v="3377"/>
    <n v="1545"/>
    <n v="2033"/>
    <n v="0.15000000000000002"/>
    <n v="0.2"/>
    <n v="0.35000000000000003"/>
    <n v="0.25"/>
    <n v="0.5"/>
    <n v="0.75"/>
    <n v="0.75"/>
    <n v="0.75"/>
    <n v="0.4"/>
    <n v="0.45"/>
    <n v="0.2"/>
    <n v="0.25"/>
    <n v="5936"/>
    <s v="Overarching Protection"/>
    <n v="0.76593548387096777"/>
    <s v=""/>
    <s v=""/>
    <s v=""/>
    <n v="5904.7619047619046"/>
    <s v="Shelter"/>
    <n v="0.76190476190476186"/>
    <n v="31.238095238095411"/>
    <n v="5.2903225806451909E-3"/>
    <s v=""/>
    <n v="5812.5"/>
    <s v="WASH"/>
    <n v="0.75"/>
    <n v="123.5"/>
    <n v="2.1247311827956989E-2"/>
    <s v=""/>
    <s v=""/>
    <s v=""/>
    <s v=""/>
    <s v="Flagged"/>
    <n v="4"/>
    <n v="5936"/>
    <m/>
    <m/>
    <n v="1"/>
    <s v="Flagged"/>
    <n v="5936"/>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s v=""/>
    <x v="0"/>
    <s v="SS00"/>
    <x v="0"/>
    <s v="SS0001"/>
    <m/>
    <m/>
    <m/>
    <n v="122221.68957757292"/>
    <x v="0"/>
    <n v="20000"/>
    <n v="26008.775542107513"/>
    <n v="25054.493905922202"/>
    <n v="42248.116222548866"/>
    <n v="59893.189280265571"/>
    <n v="34946.362374556891"/>
    <n v="32934.791785736008"/>
    <n v="13202.960293873615"/>
    <m/>
    <m/>
    <m/>
    <m/>
    <n v="0.15000000000000002"/>
    <n v="0.2"/>
    <n v="0.2"/>
    <n v="0.35000000000000003"/>
    <n v="0.5"/>
    <n v="0.30000000000000004"/>
    <n v="0.25"/>
    <n v="0.1"/>
    <n v="0"/>
    <n v="0"/>
    <n v="0"/>
    <n v="0"/>
    <n v="59893.189280265571"/>
    <s v="Health"/>
    <n v="0.49003732060381922"/>
    <s v=""/>
    <s v=""/>
    <s v=""/>
    <n v="42248.116222548866"/>
    <s v="Food Security"/>
    <n v="0.34566791187855733"/>
    <n v="17645.073057716705"/>
    <n v="0.41765348695710824"/>
    <s v="Flagged"/>
    <n v="34946.362374556891"/>
    <s v="Overarching Protection"/>
    <n v="0.28592602913067056"/>
    <n v="24946.82690570868"/>
    <n v="0.71386047675942121"/>
    <s v="Flagged"/>
    <s v=""/>
    <s v="Flagged"/>
    <s v=""/>
    <s v=""/>
    <n v="4"/>
    <n v="59893.189280265571"/>
    <m/>
    <m/>
    <n v="3"/>
    <s v="Flagged"/>
    <n v="59893.189280265571"/>
    <m/>
  </r>
  <r>
    <s v=""/>
    <x v="1"/>
    <s v="SS01"/>
    <x v="1"/>
    <s v="SS0101"/>
    <m/>
    <m/>
    <m/>
    <n v="185655.53028576757"/>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2"/>
    <s v="SS0102"/>
    <m/>
    <m/>
    <m/>
    <n v="16311.747528959717"/>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3"/>
    <s v="SS0103"/>
    <m/>
    <m/>
    <m/>
    <n v="7434.876377553911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4"/>
    <s v="SS0104"/>
    <m/>
    <m/>
    <m/>
    <n v="10995.85232476560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5"/>
    <s v="SS0105"/>
    <m/>
    <m/>
    <m/>
    <n v="13333.613326350463"/>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6"/>
    <s v="SS0106"/>
    <m/>
    <m/>
    <m/>
    <n v="38535.006634969555"/>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7"/>
    <s v="SS0201"/>
    <m/>
    <m/>
    <m/>
    <n v="4566.583589414553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8"/>
    <s v="SS0202"/>
    <m/>
    <m/>
    <m/>
    <n v="6185.6711628854973"/>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9"/>
    <s v="SS0203"/>
    <m/>
    <m/>
    <m/>
    <n v="2159.7729564411493"/>
    <x v="0"/>
    <n v="0"/>
    <n v="368.88922096014835"/>
    <n v="478.28693723217754"/>
    <n v="873.61167017554192"/>
    <n v="586.43658534256826"/>
    <n v="895.56303760137621"/>
    <n v="0"/>
    <n v="1210.2431450016591"/>
    <m/>
    <m/>
    <m/>
    <m/>
    <n v="0"/>
    <n v="0.15000000000000002"/>
    <n v="0.2"/>
    <n v="0.4"/>
    <n v="0.25"/>
    <n v="0.4"/>
    <n v="0"/>
    <n v="0.55000000000000004"/>
    <n v="0"/>
    <n v="0"/>
    <n v="0"/>
    <n v="0"/>
    <n v="1210.2431450016591"/>
    <s v="WASH"/>
    <n v="0.56035665294924553"/>
    <s v="Flagged"/>
    <s v=""/>
    <s v=""/>
    <n v="895.56303760137621"/>
    <s v="Overarching Protection"/>
    <n v="0.4146561030549597"/>
    <n v="314.68010740028285"/>
    <n v="0.35137683690374683"/>
    <s v="Flagged"/>
    <n v="873.61167017554192"/>
    <s v="Food Security"/>
    <n v="0.40449236461182003"/>
    <n v="336.63147482611714"/>
    <n v="0.3853330791225294"/>
    <s v=""/>
    <s v=""/>
    <s v=""/>
    <s v=""/>
    <s v=""/>
    <n v="4"/>
    <n v="1210.2431450016591"/>
    <m/>
    <m/>
    <n v="2"/>
    <s v="Flagged"/>
    <n v="1210.2431450016591"/>
    <m/>
  </r>
  <r>
    <s v=""/>
    <x v="2"/>
    <s v="SS02"/>
    <x v="10"/>
    <s v="SS0204"/>
    <m/>
    <m/>
    <m/>
    <n v="8023.4115031633137"/>
    <x v="0"/>
    <n v="0"/>
    <n v="760.218239924724"/>
    <n v="1351.0165948221675"/>
    <n v="1614.3264406624412"/>
    <n v="999.41911201766129"/>
    <n v="1324.6200040741494"/>
    <n v="0"/>
    <n v="935.98588867808735"/>
    <m/>
    <m/>
    <m/>
    <m/>
    <n v="0"/>
    <n v="0.1"/>
    <n v="0.15000000000000002"/>
    <n v="0.2"/>
    <n v="0.1"/>
    <n v="0.15000000000000002"/>
    <n v="0"/>
    <n v="0.1"/>
    <n v="0"/>
    <n v="0"/>
    <n v="0"/>
    <n v="0"/>
    <n v="1614.3264406624412"/>
    <s v="Food Security"/>
    <n v="0.20120199992558976"/>
    <s v="Flagged"/>
    <s v=""/>
    <s v=""/>
    <n v="1351.0165948221675"/>
    <s v="Nutrition"/>
    <n v="0.168384308132459"/>
    <n v="263.30984584027374"/>
    <n v="0.19489756591400928"/>
    <s v=""/>
    <n v="1324.6200040741494"/>
    <s v="Overarching Protection"/>
    <n v="0.16509436211166587"/>
    <n v="289.70643658829181"/>
    <n v="0.21870909068052596"/>
    <s v=""/>
    <s v=""/>
    <s v=""/>
    <s v=""/>
    <s v=""/>
    <n v="4"/>
    <n v="1614.3264406624412"/>
    <m/>
    <m/>
    <n v="1"/>
    <s v="Flagged"/>
    <n v="1614.3264406624412"/>
    <m/>
  </r>
  <r>
    <s v=""/>
    <x v="2"/>
    <s v="SS02"/>
    <x v="11"/>
    <s v="SS0205"/>
    <m/>
    <m/>
    <m/>
    <n v="4829.7886557975189"/>
    <x v="0"/>
    <n v="0"/>
    <n v="299.86563933590378"/>
    <n v="883.45527172155948"/>
    <n v="548.77606010673321"/>
    <n v="1060.7292966531436"/>
    <n v="875.99711437565577"/>
    <n v="0"/>
    <n v="2159.9267040298187"/>
    <m/>
    <m/>
    <m/>
    <m/>
    <n v="0"/>
    <n v="0.05"/>
    <n v="0.2"/>
    <n v="0.1"/>
    <n v="0.2"/>
    <n v="0.2"/>
    <n v="0"/>
    <n v="0.45"/>
    <n v="0"/>
    <n v="0"/>
    <n v="0"/>
    <n v="0"/>
    <n v="2159.9267040298187"/>
    <s v="WASH"/>
    <n v="0.44720936213991763"/>
    <s v="Flagged"/>
    <s v=""/>
    <s v=""/>
    <n v="1060.7292966531436"/>
    <s v="Health"/>
    <n v="0.21962230073563968"/>
    <n v="1099.1974073766751"/>
    <n v="1.0362657191093974"/>
    <s v="Flagged"/>
    <n v="883.45527172155948"/>
    <s v="Nutrition"/>
    <n v="0.18291799800827493"/>
    <n v="1276.4714323082592"/>
    <n v="1.4448625450169563"/>
    <s v="Flagged"/>
    <s v=""/>
    <s v=""/>
    <s v=""/>
    <s v="Flagged"/>
    <n v="4"/>
    <n v="2159.9267040298187"/>
    <m/>
    <m/>
    <n v="4"/>
    <s v="Flagged"/>
    <n v="2159.9267040298187"/>
    <m/>
  </r>
  <r>
    <s v=""/>
    <x v="2"/>
    <s v="SS02"/>
    <x v="12"/>
    <s v="SS0206"/>
    <m/>
    <m/>
    <m/>
    <n v="21293.088674698796"/>
    <x v="0"/>
    <n v="5705"/>
    <n v="284.58213013734945"/>
    <n v="3284.7197676507953"/>
    <n v="4142.2428044604585"/>
    <n v="3088.0923758258859"/>
    <n v="3718.2104752129162"/>
    <n v="0"/>
    <n v="587.4739666390733"/>
    <m/>
    <m/>
    <m/>
    <m/>
    <n v="0.25"/>
    <n v="0"/>
    <n v="0.15000000000000002"/>
    <n v="0.2"/>
    <n v="0.15000000000000002"/>
    <n v="0.15000000000000002"/>
    <n v="0"/>
    <n v="0.05"/>
    <n v="0"/>
    <n v="0"/>
    <n v="0"/>
    <n v="0"/>
    <n v="5705"/>
    <s v="CCCM"/>
    <n v="0.26792731139935011"/>
    <s v=""/>
    <s v=""/>
    <s v=""/>
    <n v="4142.2428044604585"/>
    <s v="Food Security"/>
    <n v="0.1945346148575626"/>
    <n v="1562.7571955395415"/>
    <n v="0.37727319940220067"/>
    <s v="Flagged"/>
    <n v="3718.2104752129162"/>
    <s v="Overarching Protection"/>
    <n v="0.17462053213684428"/>
    <n v="1986.7895247870838"/>
    <n v="0.53434025266504426"/>
    <s v="Flagged"/>
    <s v=""/>
    <s v=""/>
    <s v=""/>
    <s v=""/>
    <n v="4"/>
    <n v="5705"/>
    <m/>
    <m/>
    <n v="2"/>
    <s v="Flagged"/>
    <n v="5705"/>
    <m/>
  </r>
  <r>
    <s v=""/>
    <x v="2"/>
    <s v="SS02"/>
    <x v="13"/>
    <s v="SS0207"/>
    <m/>
    <m/>
    <m/>
    <n v="40940.594481869215"/>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14"/>
    <s v="SS0208"/>
    <m/>
    <m/>
    <m/>
    <n v="2501.5236312386551"/>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5"/>
    <s v="SS0301"/>
    <m/>
    <m/>
    <m/>
    <n v="45687.987079478589"/>
    <x v="0"/>
    <n v="24153"/>
    <n v="9011.1330676597208"/>
    <n v="11920.360453089319"/>
    <n v="22207.155096992403"/>
    <n v="22011.499596320162"/>
    <n v="22309.228032502619"/>
    <n v="17583.372305162666"/>
    <n v="7826.1829719477209"/>
    <m/>
    <m/>
    <m/>
    <m/>
    <n v="0.55000000000000004"/>
    <n v="0.2"/>
    <n v="0.25"/>
    <n v="0.5"/>
    <n v="0.5"/>
    <n v="0.5"/>
    <n v="0.4"/>
    <n v="0.15000000000000002"/>
    <n v="0"/>
    <n v="0"/>
    <n v="0"/>
    <n v="0"/>
    <n v="24153"/>
    <s v="CCCM"/>
    <n v="0.52865099874029386"/>
    <s v=""/>
    <s v=""/>
    <s v=""/>
    <n v="22309.228032502619"/>
    <s v="Overarching Protection"/>
    <n v="0.48829527100184122"/>
    <n v="1843.7719674973814"/>
    <n v="8.2646157222973596E-2"/>
    <s v=""/>
    <n v="22207.155096992403"/>
    <s v="Food Security"/>
    <n v="0.48606114028094405"/>
    <n v="1945.8449030075972"/>
    <n v="8.762243045130666E-2"/>
    <s v=""/>
    <s v=""/>
    <s v=""/>
    <s v=""/>
    <s v=""/>
    <n v="4"/>
    <n v="24153"/>
    <m/>
    <m/>
    <n v="0"/>
    <s v=""/>
    <n v="24153"/>
    <m/>
  </r>
  <r>
    <s v=""/>
    <x v="3"/>
    <s v="SS03"/>
    <x v="16"/>
    <s v="SS0302"/>
    <m/>
    <m/>
    <m/>
    <n v="21857.689382345037"/>
    <x v="0"/>
    <n v="0"/>
    <n v="3012.1644584022056"/>
    <n v="3864.8899374194034"/>
    <n v="9379.209789665756"/>
    <n v="8832.762200943982"/>
    <n v="8063.9039922417978"/>
    <n v="6005.7536807046472"/>
    <n v="15131.99644182275"/>
    <m/>
    <m/>
    <m/>
    <m/>
    <n v="0"/>
    <n v="0.15000000000000002"/>
    <n v="0.2"/>
    <n v="0.45"/>
    <n v="0.4"/>
    <n v="0.35000000000000003"/>
    <n v="0.25"/>
    <n v="0.70000000000000007"/>
    <n v="0"/>
    <n v="0"/>
    <n v="0"/>
    <n v="0"/>
    <n v="15131.99644182275"/>
    <s v="WASH"/>
    <n v="0.69229625223081515"/>
    <s v=""/>
    <s v=""/>
    <s v=""/>
    <n v="9379.209789665756"/>
    <s v="Food Security"/>
    <n v="0.42910344390023042"/>
    <n v="5752.786652156994"/>
    <n v="0.61335515263722495"/>
    <s v="Flagged"/>
    <n v="8832.762200943982"/>
    <s v="Health"/>
    <n v="0.40410319894464275"/>
    <n v="6299.2342408787681"/>
    <n v="0.71316696833585658"/>
    <s v="Flagged"/>
    <s v=""/>
    <s v=""/>
    <s v=""/>
    <s v=""/>
    <n v="4"/>
    <n v="15131.99644182275"/>
    <m/>
    <m/>
    <n v="2"/>
    <s v="Flagged"/>
    <n v="15131.99644182275"/>
    <m/>
  </r>
  <r>
    <s v=""/>
    <x v="3"/>
    <s v="SS03"/>
    <x v="17"/>
    <s v="SS0303"/>
    <m/>
    <m/>
    <m/>
    <n v="95901.175542296638"/>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8"/>
    <s v="SS0304"/>
    <m/>
    <m/>
    <m/>
    <n v="69039.732902168529"/>
    <x v="0"/>
    <n v="2352"/>
    <n v="11234.283417306668"/>
    <n v="14939.685153799473"/>
    <n v="35485.061963873144"/>
    <n v="45773.041794633064"/>
    <n v="29638.87191086794"/>
    <n v="29891.77967121945"/>
    <n v="63712.59301774195"/>
    <m/>
    <m/>
    <m/>
    <m/>
    <n v="0.05"/>
    <n v="0.15000000000000002"/>
    <n v="0.2"/>
    <n v="0.5"/>
    <n v="0.65"/>
    <n v="0.45"/>
    <n v="0.45"/>
    <n v="0.9"/>
    <n v="0"/>
    <n v="0"/>
    <n v="0"/>
    <n v="0"/>
    <n v="63712.59301774195"/>
    <s v="WASH"/>
    <n v="0.92283950617283961"/>
    <s v=""/>
    <s v="Flagged"/>
    <s v=""/>
    <n v="45773.041794633064"/>
    <s v="Health"/>
    <n v="0.66299563846075282"/>
    <n v="17939.551223108887"/>
    <n v="0.39192394736616165"/>
    <s v="Flagged"/>
    <n v="35485.061963873144"/>
    <s v="Food Security"/>
    <n v="0.51398029036636905"/>
    <n v="28227.531053868806"/>
    <n v="0.79547644816308538"/>
    <s v="Flagged"/>
    <s v=""/>
    <s v=""/>
    <s v=""/>
    <s v="Flagged"/>
    <n v="4"/>
    <n v="63712.59301774195"/>
    <m/>
    <m/>
    <n v="4"/>
    <s v="Flagged"/>
    <n v="63712.59301774195"/>
    <m/>
  </r>
  <r>
    <s v=""/>
    <x v="3"/>
    <s v="SS03"/>
    <x v="19"/>
    <s v="SS0305"/>
    <m/>
    <m/>
    <m/>
    <n v="77068.443303189997"/>
    <x v="0"/>
    <n v="0"/>
    <n v="8003.5578370362809"/>
    <n v="16714.952361157229"/>
    <n v="31179.707915281349"/>
    <n v="46136.836289178369"/>
    <n v="28428.954734801839"/>
    <n v="33367.929306552462"/>
    <n v="9435.3341081065919"/>
    <m/>
    <m/>
    <m/>
    <m/>
    <n v="0"/>
    <n v="0.1"/>
    <n v="0.2"/>
    <n v="0.4"/>
    <n v="0.60000000000000009"/>
    <n v="0.35000000000000003"/>
    <n v="0.45"/>
    <n v="0.1"/>
    <n v="0"/>
    <n v="0"/>
    <n v="0"/>
    <n v="0"/>
    <n v="46136.836289178369"/>
    <s v="Health"/>
    <n v="0.59864756976697209"/>
    <s v=""/>
    <s v=""/>
    <s v=""/>
    <n v="33367.929306552462"/>
    <s v="Shelter"/>
    <n v="0.43296488"/>
    <n v="12768.906982625907"/>
    <n v="0.38267004420074929"/>
    <s v="Flagged"/>
    <n v="31179.707915281349"/>
    <s v="Food Security"/>
    <n v="0.40457165837149806"/>
    <n v="14957.12837389702"/>
    <n v="0.47970713563248124"/>
    <s v=""/>
    <s v=""/>
    <s v="Flagged"/>
    <s v=""/>
    <s v="Flagged"/>
    <n v="4"/>
    <n v="46136.836289178369"/>
    <m/>
    <m/>
    <n v="3"/>
    <s v="Flagged"/>
    <n v="46136.836289178369"/>
    <m/>
  </r>
  <r>
    <s v=""/>
    <x v="3"/>
    <s v="SS03"/>
    <x v="20"/>
    <s v="SS0306"/>
    <m/>
    <m/>
    <m/>
    <n v="118740.98784317059"/>
    <x v="0"/>
    <n v="42741"/>
    <n v="44409.129453345799"/>
    <n v="22116.382554343534"/>
    <n v="63351.844124740099"/>
    <n v="69603.371874561461"/>
    <n v="52282.008132735325"/>
    <n v="32369.685866451735"/>
    <n v="68792.200390108468"/>
    <m/>
    <m/>
    <m/>
    <m/>
    <n v="0.35000000000000003"/>
    <n v="0.35000000000000003"/>
    <n v="0.2"/>
    <n v="0.55000000000000004"/>
    <n v="0.60000000000000009"/>
    <n v="0.45"/>
    <n v="0.25"/>
    <n v="0.60000000000000009"/>
    <n v="0"/>
    <n v="0"/>
    <n v="0"/>
    <n v="0"/>
    <n v="69603.371874561461"/>
    <s v="Health"/>
    <n v="0.58617814403305646"/>
    <s v=""/>
    <s v=""/>
    <s v=""/>
    <n v="68792.200390108468"/>
    <s v="WASH"/>
    <n v="0.57934670781892994"/>
    <n v="811.17148445299244"/>
    <n v="1.1791619978035033E-2"/>
    <s v=""/>
    <n v="63351.844124740099"/>
    <s v="Food Security"/>
    <n v="0.53352970423669754"/>
    <n v="6251.5277498213618"/>
    <n v="9.8679491279086873E-2"/>
    <s v=""/>
    <s v=""/>
    <s v="Flagged"/>
    <s v=""/>
    <s v=""/>
    <n v="4"/>
    <n v="69603.371874561461"/>
    <m/>
    <m/>
    <n v="1"/>
    <s v="Flagged"/>
    <n v="69603.371874561461"/>
    <m/>
  </r>
  <r>
    <s v=""/>
    <x v="3"/>
    <s v="SS03"/>
    <x v="21"/>
    <s v="SS0307"/>
    <m/>
    <m/>
    <m/>
    <n v="53158.210520699089"/>
    <x v="0"/>
    <n v="7474"/>
    <n v="9238.3813538554514"/>
    <n v="12757.597978669774"/>
    <n v="23534.221579122648"/>
    <n v="33729.021236239671"/>
    <n v="15900.265419630574"/>
    <n v="20359.987673058156"/>
    <n v="19897.869267264428"/>
    <m/>
    <m/>
    <m/>
    <m/>
    <n v="0.15000000000000002"/>
    <n v="0.15000000000000002"/>
    <n v="0.25"/>
    <n v="0.45"/>
    <n v="0.65"/>
    <n v="0.30000000000000004"/>
    <n v="0.4"/>
    <n v="0.35000000000000003"/>
    <n v="0"/>
    <n v="0"/>
    <n v="0"/>
    <n v="0"/>
    <n v="33729.021236239671"/>
    <s v="Health"/>
    <n v="0.63450257083251604"/>
    <s v=""/>
    <s v=""/>
    <s v=""/>
    <n v="23534.221579122648"/>
    <s v="Food Security"/>
    <n v="0.44272035022621276"/>
    <n v="10194.799657117022"/>
    <n v="0.433190433889723"/>
    <s v="Flagged"/>
    <n v="20359.987673058156"/>
    <s v="Shelter"/>
    <n v="0.3830073938461539"/>
    <n v="13369.033563181514"/>
    <n v="0.65663269437399563"/>
    <s v="Flagged"/>
    <s v=""/>
    <s v="Flagged"/>
    <s v=""/>
    <s v=""/>
    <n v="4"/>
    <n v="33729.021236239671"/>
    <m/>
    <m/>
    <n v="3"/>
    <s v="Flagged"/>
    <n v="33729.021236239671"/>
    <m/>
  </r>
  <r>
    <s v=""/>
    <x v="3"/>
    <s v="SS03"/>
    <x v="22"/>
    <s v="SS0308"/>
    <m/>
    <m/>
    <m/>
    <n v="46710.303757716349"/>
    <x v="0"/>
    <n v="3188"/>
    <n v="13385.024382988649"/>
    <n v="13024.941434108723"/>
    <n v="22734.610921261999"/>
    <n v="25605.843627641058"/>
    <n v="16335.046445688795"/>
    <n v="14156.744742856245"/>
    <n v="30659.643824509294"/>
    <m/>
    <m/>
    <m/>
    <m/>
    <n v="0.05"/>
    <n v="0.30000000000000004"/>
    <n v="0.30000000000000004"/>
    <n v="0.5"/>
    <n v="0.55000000000000004"/>
    <n v="0.35000000000000003"/>
    <n v="0.30000000000000004"/>
    <n v="0.65"/>
    <n v="0"/>
    <n v="0"/>
    <n v="0"/>
    <n v="0"/>
    <n v="30659.643824509294"/>
    <s v="WASH"/>
    <n v="0.65637860082304533"/>
    <s v=""/>
    <s v=""/>
    <s v=""/>
    <n v="25605.843627641058"/>
    <s v="Health"/>
    <n v="0.5481840529330978"/>
    <n v="5053.8001968682365"/>
    <n v="0.19736901741494461"/>
    <s v=""/>
    <n v="22734.610921261999"/>
    <s v="Food Security"/>
    <n v="0.48671511620187946"/>
    <n v="7925.0329032472946"/>
    <n v="0.34858889517372815"/>
    <s v=""/>
    <s v=""/>
    <s v=""/>
    <s v=""/>
    <s v="Flagged"/>
    <n v="4"/>
    <n v="30659.643824509294"/>
    <m/>
    <m/>
    <n v="1"/>
    <s v="Flagged"/>
    <n v="30659.643824509294"/>
    <m/>
  </r>
  <r>
    <s v=""/>
    <x v="3"/>
    <s v="SS03"/>
    <x v="23"/>
    <s v="SS0309"/>
    <m/>
    <m/>
    <m/>
    <n v="15457.341069804937"/>
    <x v="0"/>
    <n v="0"/>
    <n v="496.22702036394787"/>
    <n v="2278.7109388988106"/>
    <n v="2845.3476851061778"/>
    <n v="4398.6694414270742"/>
    <n v="2308.1654471952156"/>
    <n v="5964.2889999999998"/>
    <n v="9.1070943092866408"/>
    <m/>
    <m/>
    <m/>
    <m/>
    <n v="0"/>
    <n v="0.05"/>
    <n v="0.15000000000000002"/>
    <n v="0.2"/>
    <n v="0.30000000000000004"/>
    <n v="0.15000000000000002"/>
    <n v="0.4"/>
    <n v="0"/>
    <n v="0"/>
    <n v="0"/>
    <n v="0"/>
    <n v="0"/>
    <n v="5964.2889999999998"/>
    <s v="Shelter"/>
    <n v="0.38585478401915507"/>
    <s v=""/>
    <s v=""/>
    <s v=""/>
    <n v="4398.6694414270742"/>
    <s v="Health"/>
    <n v="0.28456831104151747"/>
    <n v="1565.6195585729256"/>
    <n v="0.35593026014361895"/>
    <s v="Flagged"/>
    <n v="2845.3476851061778"/>
    <s v="Food Security"/>
    <n v="0.18407743429200818"/>
    <n v="3118.941314893822"/>
    <n v="1.096154726967026"/>
    <s v="Flagged"/>
    <s v=""/>
    <s v="Flagged"/>
    <s v=""/>
    <s v="Flagged"/>
    <n v="4"/>
    <n v="5964.2889999999998"/>
    <m/>
    <m/>
    <n v="4"/>
    <s v="Flagged"/>
    <n v="5964.2889999999998"/>
    <m/>
  </r>
  <r>
    <s v=""/>
    <x v="3"/>
    <s v="SS03"/>
    <x v="24"/>
    <s v="SS0310"/>
    <m/>
    <m/>
    <m/>
    <n v="25870.030094616061"/>
    <x v="0"/>
    <n v="0"/>
    <n v="7810.8088363169554"/>
    <n v="5675.826298061118"/>
    <n v="10988.73484378785"/>
    <n v="12979.718799381051"/>
    <n v="14611.599137466308"/>
    <n v="11200.814475511832"/>
    <n v="8623.3433648720202"/>
    <m/>
    <m/>
    <m/>
    <m/>
    <n v="0"/>
    <n v="0.30000000000000004"/>
    <n v="0.2"/>
    <n v="0.4"/>
    <n v="0.5"/>
    <n v="0.55000000000000004"/>
    <n v="0.45"/>
    <n v="0.35000000000000003"/>
    <n v="0"/>
    <n v="0"/>
    <n v="0"/>
    <n v="0"/>
    <n v="14611.599137466308"/>
    <s v="Overarching Protection"/>
    <n v="0.56480796829483393"/>
    <s v=""/>
    <s v=""/>
    <s v=""/>
    <n v="12979.718799381051"/>
    <s v="Health"/>
    <n v="0.50172801314530846"/>
    <n v="1631.8803380852569"/>
    <n v="0.12572540001121399"/>
    <s v=""/>
    <n v="11200.814475511832"/>
    <s v="Shelter"/>
    <n v="0.43296488"/>
    <n v="3410.7846619544762"/>
    <n v="0.30451220037716203"/>
    <s v=""/>
    <s v=""/>
    <s v=""/>
    <s v=""/>
    <s v="Flagged"/>
    <n v="4"/>
    <n v="14611.599137466308"/>
    <m/>
    <m/>
    <n v="1"/>
    <s v="Flagged"/>
    <n v="14611.599137466308"/>
    <m/>
  </r>
  <r>
    <s v=""/>
    <x v="3"/>
    <s v="SS03"/>
    <x v="25"/>
    <s v="SS0311"/>
    <m/>
    <m/>
    <m/>
    <n v="23976.103995536083"/>
    <x v="0"/>
    <n v="3000"/>
    <n v="5890.5930862472778"/>
    <n v="7402.0200482744513"/>
    <n v="11543.774917353358"/>
    <n v="8046.4376515490139"/>
    <n v="7263.6042302306732"/>
    <n v="10380.810989294801"/>
    <n v="13782.559781384551"/>
    <m/>
    <m/>
    <m/>
    <m/>
    <n v="0.15000000000000002"/>
    <n v="0.25"/>
    <n v="0.30000000000000004"/>
    <n v="0.5"/>
    <n v="0.35000000000000003"/>
    <n v="0.30000000000000004"/>
    <n v="0.45"/>
    <n v="0.55000000000000004"/>
    <n v="0"/>
    <n v="0"/>
    <n v="0"/>
    <n v="0"/>
    <n v="13782.559781384551"/>
    <s v="WASH"/>
    <n v="0.57484567901234551"/>
    <s v=""/>
    <s v=""/>
    <s v=""/>
    <n v="11543.774917353358"/>
    <s v="Food Security"/>
    <n v="0.48147000528119999"/>
    <n v="2238.7848640311931"/>
    <n v="0.19393871416062569"/>
    <s v=""/>
    <n v="10380.810989294801"/>
    <s v="Shelter"/>
    <n v="0.43296488000000005"/>
    <n v="3401.7487920897493"/>
    <n v="0.32769586071818457"/>
    <s v=""/>
    <s v=""/>
    <s v=""/>
    <s v=""/>
    <s v=""/>
    <n v="4"/>
    <n v="13782.559781384551"/>
    <m/>
    <m/>
    <n v="0"/>
    <s v=""/>
    <n v="13782.559781384551"/>
    <m/>
  </r>
  <r>
    <s v=""/>
    <x v="4"/>
    <s v="SS04"/>
    <x v="26"/>
    <s v="SS0401"/>
    <m/>
    <m/>
    <m/>
    <n v="48668.970941608946"/>
    <x v="0"/>
    <n v="11037"/>
    <n v="4661.1611867479778"/>
    <n v="8578.5652164320036"/>
    <n v="8971.9261611893198"/>
    <n v="8330.6904273708806"/>
    <n v="1980.5878459956177"/>
    <n v="8542.6845257258938"/>
    <n v="12167.242735402238"/>
    <m/>
    <m/>
    <m/>
    <m/>
    <n v="0.25"/>
    <n v="0.1"/>
    <n v="0.2"/>
    <n v="0.2"/>
    <n v="0.15000000000000002"/>
    <n v="0.05"/>
    <n v="0.2"/>
    <n v="0.25"/>
    <n v="0"/>
    <n v="0"/>
    <n v="0"/>
    <n v="0"/>
    <n v="12167.242735402238"/>
    <s v="WASH"/>
    <n v="0.25000000000000006"/>
    <s v=""/>
    <s v=""/>
    <s v=""/>
    <n v="11037"/>
    <s v="CCCM"/>
    <n v="0.22677693377247987"/>
    <n v="1130.2427354022384"/>
    <n v="0.10240488678103093"/>
    <s v=""/>
    <n v="8971.9261611893198"/>
    <s v="Food Security"/>
    <n v="0.1843459187159201"/>
    <n v="3195.3165742129186"/>
    <n v="0.35614610695696441"/>
    <s v=""/>
    <s v=""/>
    <s v=""/>
    <s v=""/>
    <s v=""/>
    <n v="4"/>
    <n v="12167.242735402238"/>
    <m/>
    <m/>
    <n v="0"/>
    <s v=""/>
    <n v="12167.242735402238"/>
    <m/>
  </r>
  <r>
    <s v=""/>
    <x v="4"/>
    <s v="SS04"/>
    <x v="27"/>
    <s v="SS0402"/>
    <m/>
    <m/>
    <m/>
    <n v="5443.7472474147844"/>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8"/>
    <s v="SS0403"/>
    <m/>
    <m/>
    <m/>
    <n v="2921.278387395736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9"/>
    <s v="SS0404"/>
    <m/>
    <m/>
    <m/>
    <n v="6808.1234044964567"/>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0"/>
    <s v="SS0405"/>
    <m/>
    <m/>
    <m/>
    <n v="23157.383024277355"/>
    <x v="0"/>
    <n v="0"/>
    <n v="1574.3025807936915"/>
    <n v="3094.1469526218193"/>
    <n v="4598.6165526027526"/>
    <n v="5563.2414144267368"/>
    <n v="1354.5546786922209"/>
    <n v="0"/>
    <n v="268.0252664846916"/>
    <m/>
    <m/>
    <m/>
    <m/>
    <n v="0"/>
    <n v="0.05"/>
    <n v="0.15000000000000002"/>
    <n v="0.2"/>
    <n v="0.25"/>
    <n v="0.05"/>
    <n v="0"/>
    <n v="0"/>
    <n v="0"/>
    <n v="0"/>
    <n v="0"/>
    <n v="0"/>
    <n v="5563.2414144267368"/>
    <s v="Health"/>
    <n v="0.2402361876812435"/>
    <s v="Flagged"/>
    <s v=""/>
    <s v=""/>
    <n v="4598.6165526027526"/>
    <s v="Food Security"/>
    <n v="0.19858101184325236"/>
    <n v="964.62486182398425"/>
    <n v="0.2097641433656868"/>
    <s v=""/>
    <n v="3094.1469526218193"/>
    <s v="Nutrition"/>
    <n v="0.13361384355814424"/>
    <n v="2469.0944618049175"/>
    <n v="0.79798875089392096"/>
    <s v="Flagged"/>
    <s v=""/>
    <s v="Flagged"/>
    <s v=""/>
    <s v=""/>
    <n v="4"/>
    <n v="5563.2414144267368"/>
    <m/>
    <m/>
    <n v="3"/>
    <s v="Flagged"/>
    <n v="5563.2414144267368"/>
    <m/>
  </r>
  <r>
    <s v=""/>
    <x v="4"/>
    <s v="SS04"/>
    <x v="31"/>
    <s v="SS0406"/>
    <m/>
    <m/>
    <m/>
    <n v="9602.9953236523688"/>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2"/>
    <s v="SS0407"/>
    <m/>
    <m/>
    <m/>
    <n v="23378.692739825943"/>
    <x v="0"/>
    <n v="0"/>
    <n v="974.01478627299832"/>
    <n v="3168.0394872437519"/>
    <n v="4906.4153662859817"/>
    <n v="3151.2851478238817"/>
    <n v="3372.647702589808"/>
    <n v="0"/>
    <n v="3319.197117382696"/>
    <m/>
    <m/>
    <m/>
    <m/>
    <n v="0"/>
    <n v="0.05"/>
    <n v="0.15000000000000002"/>
    <n v="0.2"/>
    <n v="0.15000000000000002"/>
    <n v="0.15000000000000002"/>
    <n v="0"/>
    <n v="0.15000000000000002"/>
    <n v="0"/>
    <n v="0"/>
    <n v="0"/>
    <n v="0"/>
    <n v="4906.4153662859817"/>
    <s v="Food Security"/>
    <n v="0.20986696822135961"/>
    <s v="Flagged"/>
    <s v=""/>
    <s v=""/>
    <n v="3372.647702589808"/>
    <s v="Overarching Protection"/>
    <n v="0.14426160350892733"/>
    <n v="1533.7676636961737"/>
    <n v="0.45476664002540657"/>
    <s v="Flagged"/>
    <n v="3319.197117382696"/>
    <s v="WASH"/>
    <n v="0.14197530864197533"/>
    <n v="1587.2182489032857"/>
    <n v="0.4781934283417501"/>
    <s v=""/>
    <s v=""/>
    <s v=""/>
    <s v=""/>
    <s v=""/>
    <n v="4"/>
    <n v="4906.4153662859817"/>
    <m/>
    <m/>
    <n v="2"/>
    <s v="Flagged"/>
    <n v="4906.4153662859817"/>
    <m/>
  </r>
  <r>
    <s v=""/>
    <x v="4"/>
    <s v="SS04"/>
    <x v="33"/>
    <s v="SS0408"/>
    <m/>
    <m/>
    <m/>
    <n v="11657.898587687116"/>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4"/>
    <s v="SS0501"/>
    <m/>
    <m/>
    <m/>
    <n v="8794.7895188948787"/>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5"/>
    <s v="SS0502"/>
    <m/>
    <m/>
    <m/>
    <n v="56514.282244133567"/>
    <x v="0"/>
    <n v="25316"/>
    <n v="20725.79920737167"/>
    <n v="12364.891220805526"/>
    <n v="24921.190568923557"/>
    <n v="21485.996491867601"/>
    <n v="23438.887965283298"/>
    <n v="20605.220572730457"/>
    <n v="6075.8667639011928"/>
    <m/>
    <m/>
    <m/>
    <m/>
    <n v="0.45"/>
    <n v="0.35000000000000003"/>
    <n v="0.2"/>
    <n v="0.45"/>
    <n v="0.4"/>
    <n v="0.4"/>
    <n v="0.35000000000000003"/>
    <n v="0.1"/>
    <n v="0"/>
    <n v="0"/>
    <n v="0"/>
    <n v="0"/>
    <n v="25316"/>
    <s v="CCCM"/>
    <n v="0.4479575603674576"/>
    <s v=""/>
    <s v=""/>
    <s v=""/>
    <n v="24921.190568923557"/>
    <s v="Food Security"/>
    <n v="0.44097154877182376"/>
    <n v="394.80943107644271"/>
    <n v="1.5842318206448998E-2"/>
    <s v=""/>
    <n v="23438.887965283298"/>
    <s v="Overarching Protection"/>
    <n v="0.41474273466007539"/>
    <n v="1877.1120347167016"/>
    <n v="8.0085370837430572E-2"/>
    <s v=""/>
    <s v=""/>
    <s v=""/>
    <s v=""/>
    <s v=""/>
    <n v="4"/>
    <n v="25316"/>
    <m/>
    <m/>
    <n v="0"/>
    <s v=""/>
    <n v="25316"/>
    <m/>
  </r>
  <r>
    <s v=""/>
    <x v="5"/>
    <s v="SS05"/>
    <x v="36"/>
    <s v="SS0503"/>
    <m/>
    <m/>
    <m/>
    <n v="0"/>
    <x v="0"/>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5"/>
    <s v="SS05"/>
    <x v="37"/>
    <s v="SS0504"/>
    <m/>
    <m/>
    <m/>
    <n v="8245.4682123487128"/>
    <x v="0"/>
    <n v="0"/>
    <n v="752.14130349518405"/>
    <n v="2283.1942873618427"/>
    <n v="3507.0492208411197"/>
    <n v="2721.9506870244163"/>
    <n v="3770.9075869371013"/>
    <n v="5964.2889999999998"/>
    <n v="1931.8927588436857"/>
    <m/>
    <m/>
    <m/>
    <m/>
    <n v="0"/>
    <n v="0.1"/>
    <n v="0.30000000000000004"/>
    <n v="0.45"/>
    <n v="0.35000000000000003"/>
    <n v="0.45"/>
    <n v="0.70000000000000007"/>
    <n v="0.25"/>
    <n v="0"/>
    <n v="0"/>
    <n v="0"/>
    <n v="0"/>
    <n v="5964.2889999999998"/>
    <s v="Shelter"/>
    <n v="0.72334145816821704"/>
    <s v=""/>
    <s v=""/>
    <s v=""/>
    <n v="3770.9075869371013"/>
    <s v="Overarching Protection"/>
    <n v="0.45733092285646715"/>
    <n v="2193.3814130628984"/>
    <n v="0.58165875521878285"/>
    <s v="Flagged"/>
    <n v="3507.0492208411197"/>
    <s v="Food Security"/>
    <n v="0.4253305125340045"/>
    <n v="2457.2397791588801"/>
    <n v="0.7006573402381685"/>
    <s v="Flagged"/>
    <s v=""/>
    <s v="Flagged"/>
    <s v=""/>
    <s v=""/>
    <n v="4"/>
    <n v="5964.2889999999998"/>
    <m/>
    <m/>
    <n v="3"/>
    <s v="Flagged"/>
    <n v="5964.2889999999998"/>
    <m/>
  </r>
  <r>
    <s v=""/>
    <x v="5"/>
    <s v="SS05"/>
    <x v="38"/>
    <s v="SS0505"/>
    <m/>
    <m/>
    <m/>
    <n v="736.57326854984808"/>
    <x v="0"/>
    <n v="0"/>
    <n v="28.850101782560451"/>
    <n v="130.21598848688026"/>
    <n v="135.91231666107845"/>
    <n v="109.68564153188382"/>
    <n v="67.402041966802386"/>
    <n v="737"/>
    <n v="29.293061980456461"/>
    <m/>
    <m/>
    <m/>
    <m/>
    <n v="0"/>
    <n v="0.05"/>
    <n v="0.2"/>
    <n v="0.2"/>
    <n v="0.15000000000000002"/>
    <n v="0.1"/>
    <n v="1"/>
    <n v="0.05"/>
    <n v="0"/>
    <n v="0"/>
    <n v="0"/>
    <n v="0"/>
    <n v="737"/>
    <s v="Shelter"/>
    <n v="1.0005793469141122"/>
    <s v=""/>
    <s v="Flagged"/>
    <s v=""/>
    <n v="135.91231666107845"/>
    <s v="Food Security"/>
    <n v="0.18451975175349511"/>
    <n v="601.08768333892158"/>
    <n v="4.4226137711848494"/>
    <s v="Flagged"/>
    <n v="130.21598848688026"/>
    <s v="Nutrition"/>
    <n v="0.17678619907459731"/>
    <n v="606.78401151311971"/>
    <n v="4.6598272498177549"/>
    <s v="Flagged"/>
    <s v=""/>
    <s v="Flagged"/>
    <s v=""/>
    <s v=""/>
    <n v="4"/>
    <n v="737"/>
    <m/>
    <m/>
    <n v="4"/>
    <s v="Flagged"/>
    <n v="737"/>
    <m/>
  </r>
  <r>
    <s v=""/>
    <x v="6"/>
    <s v="SS06"/>
    <x v="39"/>
    <s v="SS0601"/>
    <m/>
    <m/>
    <m/>
    <n v="8191.9832367247782"/>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6"/>
    <s v="SS06"/>
    <x v="40"/>
    <s v="SS0602"/>
    <m/>
    <m/>
    <m/>
    <n v="25939.727484978604"/>
    <x v="0"/>
    <n v="9023"/>
    <n v="1477.4419249368682"/>
    <n v="5043.5488413919347"/>
    <n v="5859.6732832630205"/>
    <n v="4664.5616339204607"/>
    <n v="3476.8644893886481"/>
    <n v="6945.4569592522621"/>
    <n v="2148.3004758649972"/>
    <m/>
    <m/>
    <m/>
    <m/>
    <n v="0.35000000000000003"/>
    <n v="0.05"/>
    <n v="0.2"/>
    <n v="0.25"/>
    <n v="0.2"/>
    <n v="0.15000000000000002"/>
    <n v="0.25"/>
    <n v="0.1"/>
    <n v="0"/>
    <n v="0"/>
    <n v="0"/>
    <n v="0"/>
    <n v="9023"/>
    <s v="CCCM"/>
    <n v="0.3478448262505886"/>
    <s v=""/>
    <s v=""/>
    <s v=""/>
    <n v="6945.4569592522621"/>
    <s v="Shelter"/>
    <n v="0.26775365945052026"/>
    <n v="2077.5430407477379"/>
    <n v="0.29912258515693158"/>
    <s v=""/>
    <n v="5859.6732832630205"/>
    <s v="Food Security"/>
    <n v="0.22589571485114057"/>
    <n v="3163.3267167369795"/>
    <n v="0.53984694432919778"/>
    <s v="Flagged"/>
    <s v=""/>
    <s v=""/>
    <s v=""/>
    <s v="Flagged"/>
    <n v="4"/>
    <n v="9023"/>
    <m/>
    <m/>
    <n v="2"/>
    <s v="Flagged"/>
    <n v="9023"/>
    <m/>
  </r>
  <r>
    <s v=""/>
    <x v="6"/>
    <s v="SS06"/>
    <x v="41"/>
    <s v="SS0603"/>
    <m/>
    <m/>
    <m/>
    <n v="31198.282244133567"/>
    <x v="0"/>
    <n v="0"/>
    <n v="1869.7348936884955"/>
    <n v="6484.1456911756313"/>
    <n v="6614.0456280352337"/>
    <n v="5597.9883433858558"/>
    <n v="4187.147236908173"/>
    <n v="0"/>
    <n v="3607.56885946289"/>
    <m/>
    <m/>
    <m/>
    <m/>
    <n v="0"/>
    <n v="0.05"/>
    <n v="0.2"/>
    <n v="0.2"/>
    <n v="0.2"/>
    <n v="0.15000000000000002"/>
    <n v="0"/>
    <n v="0.1"/>
    <n v="0"/>
    <n v="0"/>
    <n v="0"/>
    <n v="0"/>
    <n v="6614.0456280352337"/>
    <s v="Food Security"/>
    <n v="0.21200031387237417"/>
    <s v="Flagged"/>
    <s v=""/>
    <s v=""/>
    <n v="6484.1456911756313"/>
    <s v="Nutrition"/>
    <n v="0.20783662512043882"/>
    <n v="129.89993685960235"/>
    <n v="2.0033469796396627E-2"/>
    <s v=""/>
    <n v="5597.9883433858558"/>
    <s v="Health"/>
    <n v="0.17943258220373609"/>
    <n v="1016.0572846493778"/>
    <n v="0.18150400149544282"/>
    <s v=""/>
    <s v=""/>
    <s v=""/>
    <s v=""/>
    <s v=""/>
    <n v="4"/>
    <n v="6614.0456280352337"/>
    <m/>
    <m/>
    <n v="1"/>
    <s v="Flagged"/>
    <n v="6614.0456280352337"/>
    <m/>
  </r>
  <r>
    <s v=""/>
    <x v="6"/>
    <s v="SS06"/>
    <x v="42"/>
    <s v="SS0604"/>
    <m/>
    <m/>
    <m/>
    <n v="44969.201203905293"/>
    <x v="0"/>
    <n v="20116"/>
    <n v="4386.543216035544"/>
    <n v="8463.0890299679504"/>
    <n v="17961.501973408838"/>
    <n v="22448.556874354894"/>
    <n v="15499.002687969452"/>
    <n v="16688.644116809752"/>
    <n v="4886.6994621013337"/>
    <m/>
    <m/>
    <m/>
    <m/>
    <n v="0.45"/>
    <n v="0.1"/>
    <n v="0.2"/>
    <n v="0.4"/>
    <n v="0.5"/>
    <n v="0.35000000000000003"/>
    <n v="0.35000000000000003"/>
    <n v="0.1"/>
    <n v="0"/>
    <n v="0"/>
    <n v="0"/>
    <n v="0"/>
    <n v="22448.556874354894"/>
    <s v="Health"/>
    <n v="0.49919847970093312"/>
    <s v=""/>
    <s v=""/>
    <s v=""/>
    <n v="20116"/>
    <s v="CCCM"/>
    <n v="0.44732838168032774"/>
    <n v="2332.5568743548938"/>
    <n v="0.11595530296057337"/>
    <s v=""/>
    <n v="17961.501973408838"/>
    <s v="Food Security"/>
    <n v="0.3994178569453663"/>
    <n v="4487.0549009460556"/>
    <n v="0.2498151272420831"/>
    <s v=""/>
    <s v=""/>
    <s v="Flagged"/>
    <s v=""/>
    <s v=""/>
    <n v="4"/>
    <n v="22448.556874354894"/>
    <m/>
    <m/>
    <n v="1"/>
    <s v="Flagged"/>
    <n v="22448.556874354894"/>
    <m/>
  </r>
  <r>
    <s v=""/>
    <x v="6"/>
    <s v="SS06"/>
    <x v="43"/>
    <s v="SS0605"/>
    <m/>
    <m/>
    <m/>
    <n v="30389.775329136301"/>
    <x v="0"/>
    <n v="12543"/>
    <n v="1377.7508543217234"/>
    <n v="7305.5912793264833"/>
    <n v="12610.420279895701"/>
    <n v="13127.117050010369"/>
    <n v="11322.524303036585"/>
    <n v="13157.705428606459"/>
    <n v="2923.2962893767944"/>
    <m/>
    <m/>
    <m/>
    <m/>
    <n v="0.4"/>
    <n v="0.05"/>
    <n v="0.25"/>
    <n v="0.4"/>
    <n v="0.45"/>
    <n v="0.35000000000000003"/>
    <n v="0.45"/>
    <n v="0.1"/>
    <n v="0"/>
    <n v="0"/>
    <n v="0"/>
    <n v="0"/>
    <n v="13157.705428606459"/>
    <s v="Shelter"/>
    <n v="0.43296488"/>
    <s v=""/>
    <s v=""/>
    <s v=""/>
    <n v="13127.117050010369"/>
    <s v="Health"/>
    <n v="0.43195834479976236"/>
    <n v="30.588378596090479"/>
    <n v="2.33016727736623E-3"/>
    <s v=""/>
    <n v="12610.420279895701"/>
    <s v="Food Security"/>
    <n v="0.41495602199485226"/>
    <n v="547.28514871075822"/>
    <n v="4.3399437652627125E-2"/>
    <s v=""/>
    <s v=""/>
    <s v="Flagged"/>
    <s v=""/>
    <s v="Flagged"/>
    <n v="4"/>
    <n v="13157.705428606459"/>
    <m/>
    <m/>
    <n v="2"/>
    <s v="Flagged"/>
    <n v="13157.705428606459"/>
    <m/>
  </r>
  <r>
    <s v=""/>
    <x v="6"/>
    <s v="SS06"/>
    <x v="44"/>
    <s v="SS0606"/>
    <m/>
    <m/>
    <m/>
    <n v="44141.695035855759"/>
    <x v="0"/>
    <n v="0"/>
    <n v="3376.9389890567963"/>
    <n v="9091.9053198224992"/>
    <n v="7950.9468811708621"/>
    <n v="8342.224197578782"/>
    <n v="5954.1659405482515"/>
    <n v="5964.2889999999998"/>
    <n v="2480.6996824419971"/>
    <m/>
    <m/>
    <m/>
    <m/>
    <n v="0"/>
    <n v="0.1"/>
    <n v="0.2"/>
    <n v="0.2"/>
    <n v="0.2"/>
    <n v="0.15000000000000002"/>
    <n v="0.15000000000000002"/>
    <n v="0.05"/>
    <n v="0"/>
    <n v="0"/>
    <n v="0"/>
    <n v="0"/>
    <n v="9091.9053198224992"/>
    <s v="Nutrition"/>
    <n v="0.20597091508237858"/>
    <s v=""/>
    <s v=""/>
    <s v=""/>
    <n v="8342.224197578782"/>
    <s v="Health"/>
    <n v="0.18898740047935395"/>
    <n v="749.68112224371725"/>
    <n v="8.9865856453642437E-2"/>
    <s v=""/>
    <n v="7950.9468811708621"/>
    <s v="Food Security"/>
    <n v="0.18012327969536296"/>
    <n v="1140.9584386516372"/>
    <n v="0.14349969326969253"/>
    <s v=""/>
    <s v=""/>
    <s v=""/>
    <s v=""/>
    <s v="Flagged"/>
    <n v="4"/>
    <n v="9091.9053198224992"/>
    <m/>
    <m/>
    <n v="1"/>
    <s v="Flagged"/>
    <n v="9091.9053198224992"/>
    <m/>
  </r>
  <r>
    <s v=""/>
    <x v="6"/>
    <s v="SS06"/>
    <x v="45"/>
    <s v="SS0607"/>
    <m/>
    <m/>
    <m/>
    <n v="63061.040191389133"/>
    <x v="0"/>
    <n v="27583"/>
    <n v="12479.729405043756"/>
    <n v="13869.297777122936"/>
    <n v="25599.689584140335"/>
    <n v="36467.024864190993"/>
    <n v="18519.240929395506"/>
    <n v="23402.756313548547"/>
    <n v="16332.939164796517"/>
    <m/>
    <m/>
    <m/>
    <m/>
    <n v="0.45"/>
    <n v="0.2"/>
    <n v="0.2"/>
    <n v="0.4"/>
    <n v="0.60000000000000009"/>
    <n v="0.30000000000000004"/>
    <n v="0.35000000000000003"/>
    <n v="0.25"/>
    <n v="0"/>
    <n v="0"/>
    <n v="0"/>
    <n v="0"/>
    <n v="36467.024864190993"/>
    <s v="Health"/>
    <n v="0.57828137235786503"/>
    <s v=""/>
    <s v=""/>
    <s v=""/>
    <n v="27583"/>
    <s v="CCCM"/>
    <n v="0.43740160194449834"/>
    <n v="8884.024864190993"/>
    <n v="0.32208334351560719"/>
    <s v="Flagged"/>
    <n v="25599.689584140335"/>
    <s v="Food Security"/>
    <n v="0.40595095650889573"/>
    <n v="10867.335280050658"/>
    <n v="0.4245104318289567"/>
    <s v=""/>
    <s v=""/>
    <s v="Flagged"/>
    <s v=""/>
    <s v=""/>
    <n v="4"/>
    <n v="36467.024864190993"/>
    <m/>
    <m/>
    <n v="2"/>
    <s v="Flagged"/>
    <n v="36467.024864190993"/>
    <m/>
  </r>
  <r>
    <s v=""/>
    <x v="6"/>
    <s v="SS06"/>
    <x v="46"/>
    <s v="SS0608"/>
    <m/>
    <m/>
    <m/>
    <n v="12256.01658411525"/>
    <x v="0"/>
    <n v="0"/>
    <n v="925.18217990169205"/>
    <n v="2637.8329751267838"/>
    <n v="4094.5227847282067"/>
    <n v="7667.9788836034468"/>
    <n v="1761.4762886597939"/>
    <n v="0"/>
    <n v="1684.5446580136527"/>
    <m/>
    <m/>
    <m/>
    <m/>
    <n v="0"/>
    <n v="0.1"/>
    <n v="0.2"/>
    <n v="0.35000000000000003"/>
    <n v="0.65"/>
    <n v="0.15000000000000002"/>
    <n v="0"/>
    <n v="0.15000000000000002"/>
    <n v="0"/>
    <n v="0"/>
    <n v="0"/>
    <n v="0"/>
    <n v="7667.9788836034468"/>
    <s v="Health"/>
    <n v="0.6256501719769002"/>
    <s v="Flagged"/>
    <s v=""/>
    <s v=""/>
    <n v="4094.5227847282067"/>
    <s v="Food Security"/>
    <n v="0.3340826733243023"/>
    <n v="3573.4560988752401"/>
    <n v="0.87274055775279924"/>
    <s v="Flagged"/>
    <n v="2637.8329751267838"/>
    <s v="Nutrition"/>
    <n v="0.21522759511810879"/>
    <n v="5030.145908476663"/>
    <n v="1.9069235830729183"/>
    <s v="Flagged"/>
    <s v=""/>
    <s v="Flagged"/>
    <s v=""/>
    <s v=""/>
    <n v="4"/>
    <n v="7667.9788836034468"/>
    <m/>
    <m/>
    <n v="4"/>
    <s v="Flagged"/>
    <n v="7667.9788836034468"/>
    <m/>
  </r>
  <r>
    <s v=""/>
    <x v="6"/>
    <s v="SS06"/>
    <x v="47"/>
    <s v="SS0609"/>
    <m/>
    <m/>
    <m/>
    <n v="233351.6448103383"/>
    <x v="0"/>
    <n v="204648"/>
    <n v="64255.662244645791"/>
    <n v="41134.902441791375"/>
    <n v="108356.63210257863"/>
    <n v="132804.97200403735"/>
    <n v="85771.815696308287"/>
    <n v="61997.563775317954"/>
    <n v="38261.747316509944"/>
    <m/>
    <m/>
    <m/>
    <m/>
    <n v="0.9"/>
    <n v="0.30000000000000004"/>
    <n v="0.2"/>
    <n v="0.45"/>
    <n v="0.55000000000000004"/>
    <n v="0.35000000000000003"/>
    <n v="0.25"/>
    <n v="0.15000000000000002"/>
    <n v="0"/>
    <n v="0"/>
    <n v="0"/>
    <n v="0"/>
    <n v="204648"/>
    <s v="CCCM"/>
    <n v="0.87699403261687814"/>
    <s v=""/>
    <s v=""/>
    <s v=""/>
    <n v="132804.97200403735"/>
    <s v="Health"/>
    <n v="0.56911950250866039"/>
    <n v="71843.02799596265"/>
    <n v="0.54096640292788567"/>
    <s v="Flagged"/>
    <n v="108356.63210257863"/>
    <s v="Food Security"/>
    <n v="0.46434912507536802"/>
    <n v="96291.367897421369"/>
    <n v="0.88865227747448472"/>
    <s v="Flagged"/>
    <s v=""/>
    <s v=""/>
    <s v=""/>
    <s v="Flagged"/>
    <n v="4"/>
    <n v="204648"/>
    <m/>
    <m/>
    <n v="3"/>
    <s v="Flagged"/>
    <n v="204648"/>
    <m/>
  </r>
  <r>
    <s v=""/>
    <x v="7"/>
    <s v="SS07"/>
    <x v="48"/>
    <s v="SS0701"/>
    <m/>
    <m/>
    <m/>
    <n v="6074.719927136859"/>
    <x v="0"/>
    <n v="592"/>
    <n v="486.8037560810393"/>
    <n v="2019.3172490671554"/>
    <n v="2712.3344911859526"/>
    <n v="2701.0477263767389"/>
    <n v="978.62140630412193"/>
    <n v="5964.2889999999998"/>
    <n v="4900.2949069299302"/>
    <m/>
    <m/>
    <m/>
    <m/>
    <n v="0.1"/>
    <n v="0.1"/>
    <n v="0.35000000000000003"/>
    <n v="0.45"/>
    <n v="0.45"/>
    <n v="0.15000000000000002"/>
    <n v="1"/>
    <n v="0.8"/>
    <n v="0"/>
    <n v="0"/>
    <n v="0"/>
    <n v="0"/>
    <n v="5964.2889999999998"/>
    <s v="Shelter"/>
    <n v="0.98182123151990186"/>
    <s v=""/>
    <s v="Flagged"/>
    <s v=""/>
    <n v="4900.2949069299302"/>
    <s v="WASH"/>
    <n v="0.80667009602194784"/>
    <n v="1063.9940930700695"/>
    <n v="0.21712858374408928"/>
    <s v=""/>
    <n v="2712.3344911859526"/>
    <s v="Food Security"/>
    <n v="0.44649539793093507"/>
    <n v="3251.9545088140471"/>
    <n v="1.1989503947177802"/>
    <s v="Flagged"/>
    <s v=""/>
    <s v="Flagged"/>
    <s v=""/>
    <s v=""/>
    <n v="4"/>
    <n v="5964.2889999999998"/>
    <m/>
    <m/>
    <n v="3"/>
    <s v="Flagged"/>
    <n v="5964.2889999999998"/>
    <m/>
  </r>
  <r>
    <s v=""/>
    <x v="7"/>
    <s v="SS07"/>
    <x v="49"/>
    <s v="SS0702"/>
    <m/>
    <m/>
    <m/>
    <n v="30713.015967447398"/>
    <x v="0"/>
    <n v="15575"/>
    <n v="10474.612669666001"/>
    <n v="5444.4795536661668"/>
    <n v="11909.444927664776"/>
    <n v="9464.7070587421695"/>
    <n v="16634.218465415983"/>
    <n v="10638.125818227158"/>
    <n v="27959.934408207315"/>
    <m/>
    <m/>
    <m/>
    <m/>
    <n v="0.5"/>
    <n v="0.35000000000000003"/>
    <n v="0.2"/>
    <n v="0.4"/>
    <n v="0.30000000000000004"/>
    <n v="0.55000000000000004"/>
    <n v="0.35000000000000003"/>
    <n v="0.9"/>
    <n v="0"/>
    <n v="0"/>
    <n v="0"/>
    <n v="0"/>
    <n v="27959.934408207315"/>
    <s v="WASH"/>
    <n v="0.91036108071711153"/>
    <s v=""/>
    <s v="Flagged"/>
    <s v=""/>
    <n v="16634.218465415983"/>
    <s v="Overarching Protection"/>
    <n v="0.54160159598284074"/>
    <n v="11325.715942791332"/>
    <n v="0.68086853412070436"/>
    <s v="Flagged"/>
    <n v="15575"/>
    <s v="CCCM"/>
    <n v="0.50711398764966231"/>
    <n v="12384.934408207315"/>
    <n v="0.79518037933915342"/>
    <s v="Flagged"/>
    <s v=""/>
    <s v=""/>
    <s v=""/>
    <s v=""/>
    <n v="4"/>
    <n v="27959.934408207315"/>
    <m/>
    <m/>
    <n v="3"/>
    <s v="Flagged"/>
    <n v="27959.934408207315"/>
    <m/>
  </r>
  <r>
    <s v=""/>
    <x v="7"/>
    <s v="SS07"/>
    <x v="50"/>
    <s v="SS0703"/>
    <m/>
    <m/>
    <m/>
    <n v="4270.8268474169781"/>
    <x v="0"/>
    <n v="0"/>
    <n v="1471.4770882493167"/>
    <n v="803.22324479776319"/>
    <n v="2237.5550141790695"/>
    <n v="1298.3398448072323"/>
    <n v="1737.3112220408948"/>
    <n v="1849.1180334926703"/>
    <n v="359.10748426643897"/>
    <m/>
    <m/>
    <m/>
    <m/>
    <n v="0"/>
    <n v="0.35000000000000003"/>
    <n v="0.2"/>
    <n v="0.5"/>
    <n v="0.30000000000000004"/>
    <n v="0.4"/>
    <n v="0.45"/>
    <n v="0.1"/>
    <n v="0"/>
    <n v="0"/>
    <n v="0"/>
    <n v="0"/>
    <n v="2237.5550141790695"/>
    <s v="Food Security"/>
    <n v="0.52391611604023614"/>
    <s v=""/>
    <s v=""/>
    <s v=""/>
    <n v="1849.1180334926703"/>
    <s v="Shelter"/>
    <n v="0.43296488"/>
    <n v="388.43698068639924"/>
    <n v="0.21006608212711422"/>
    <s v=""/>
    <n v="1737.3112220408948"/>
    <s v="Overarching Protection"/>
    <n v="0.40678568439074769"/>
    <n v="500.24379213817474"/>
    <n v="0.28794138079101145"/>
    <s v=""/>
    <s v=""/>
    <s v=""/>
    <s v=""/>
    <s v="Flagged"/>
    <n v="4"/>
    <n v="2237.5550141790695"/>
    <m/>
    <m/>
    <n v="1"/>
    <s v="Flagged"/>
    <n v="2237.5550141790695"/>
    <m/>
  </r>
  <r>
    <s v=""/>
    <x v="7"/>
    <s v="SS07"/>
    <x v="51"/>
    <s v="SS0704"/>
    <m/>
    <m/>
    <m/>
    <n v="17587.64076058444"/>
    <x v="0"/>
    <n v="12381"/>
    <n v="0"/>
    <n v="3729.8510731024817"/>
    <n v="9488.3144215939865"/>
    <n v="9774.2941169991682"/>
    <n v="8174.8260453974863"/>
    <n v="4759.2692321184695"/>
    <n v="13190.730570438327"/>
    <m/>
    <m/>
    <m/>
    <m/>
    <n v="0.70000000000000007"/>
    <n v="0"/>
    <n v="0.2"/>
    <n v="0.55000000000000004"/>
    <n v="0.55000000000000004"/>
    <n v="0.45"/>
    <n v="0.25"/>
    <n v="0.75"/>
    <n v="0"/>
    <n v="0"/>
    <n v="0"/>
    <n v="0"/>
    <n v="13190.730570438327"/>
    <s v="WASH"/>
    <n v="0.74999999999999989"/>
    <s v=""/>
    <s v=""/>
    <s v=""/>
    <n v="12381"/>
    <s v="CCCM"/>
    <n v="0.70396025075443813"/>
    <n v="809.73057043832705"/>
    <n v="6.5401063762081171E-2"/>
    <s v=""/>
    <n v="9774.2941169991682"/>
    <s v="Health"/>
    <n v="0.55574788284874921"/>
    <n v="3416.4364534391589"/>
    <n v="0.34953280641487877"/>
    <s v=""/>
    <s v=""/>
    <s v=""/>
    <s v=""/>
    <s v=""/>
    <n v="4"/>
    <n v="13190.730570438327"/>
    <m/>
    <m/>
    <n v="0"/>
    <s v=""/>
    <n v="13190.730570438327"/>
    <m/>
  </r>
  <r>
    <s v=""/>
    <x v="7"/>
    <s v="SS07"/>
    <x v="52"/>
    <s v="SS0705"/>
    <m/>
    <m/>
    <m/>
    <n v="10736.997624544605"/>
    <x v="0"/>
    <n v="5774"/>
    <n v="3698.0957753325883"/>
    <n v="1790.4208974488868"/>
    <n v="3967.6304385992098"/>
    <n v="4275.2961503323277"/>
    <n v="5163.5464309476283"/>
    <n v="0"/>
    <n v="1789.4996040907672"/>
    <m/>
    <m/>
    <m/>
    <m/>
    <n v="0.55000000000000004"/>
    <n v="0.35000000000000003"/>
    <n v="0.15000000000000002"/>
    <n v="0.35000000000000003"/>
    <n v="0.4"/>
    <n v="0.5"/>
    <n v="0"/>
    <n v="0.15000000000000002"/>
    <n v="0"/>
    <n v="0"/>
    <n v="0"/>
    <n v="0"/>
    <n v="5774"/>
    <s v="CCCM"/>
    <n v="0.53776672044713214"/>
    <s v=""/>
    <s v=""/>
    <s v=""/>
    <n v="5163.5464309476283"/>
    <s v="Overarching Protection"/>
    <n v="0.48091157430675441"/>
    <n v="610.45356905237168"/>
    <n v="0.11822370094197827"/>
    <s v=""/>
    <n v="4275.2961503323277"/>
    <s v="Health"/>
    <n v="0.39818357978948127"/>
    <n v="1498.7038496676723"/>
    <n v="0.35054971561471243"/>
    <s v=""/>
    <s v=""/>
    <s v=""/>
    <s v=""/>
    <s v=""/>
    <n v="4"/>
    <n v="5774"/>
    <m/>
    <m/>
    <n v="0"/>
    <s v=""/>
    <n v="5774"/>
    <m/>
  </r>
  <r>
    <s v=""/>
    <x v="7"/>
    <s v="SS07"/>
    <x v="53"/>
    <s v="SS0706"/>
    <m/>
    <m/>
    <m/>
    <n v="541.0592565619784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4"/>
    <s v="SS0707"/>
    <m/>
    <m/>
    <m/>
    <n v="107560.86765914821"/>
    <x v="0"/>
    <n v="59348"/>
    <n v="3013.7694631152058"/>
    <n v="22315.110124894109"/>
    <n v="49250.661159626798"/>
    <n v="65410.749382801841"/>
    <n v="37333.618816313312"/>
    <n v="37106.63981632144"/>
    <n v="67220.086111146898"/>
    <m/>
    <m/>
    <m/>
    <m/>
    <n v="0.55000000000000004"/>
    <n v="0.05"/>
    <n v="0.2"/>
    <n v="0.45"/>
    <n v="0.60000000000000009"/>
    <n v="0.35000000000000003"/>
    <n v="0.35000000000000003"/>
    <n v="0.60000000000000009"/>
    <n v="0"/>
    <n v="0"/>
    <n v="0"/>
    <n v="0"/>
    <n v="67220.086111146898"/>
    <s v="WASH"/>
    <n v="0.62494927359792207"/>
    <s v=""/>
    <s v=""/>
    <s v=""/>
    <n v="65410.749382801841"/>
    <s v="Health"/>
    <n v="0.60812775878754788"/>
    <n v="1809.3367283450571"/>
    <n v="2.7661152722105609E-2"/>
    <s v=""/>
    <n v="59348"/>
    <s v="CCCM"/>
    <n v="0.55176200500789063"/>
    <n v="7872.0861111468985"/>
    <n v="0.13264282050190232"/>
    <s v=""/>
    <s v=""/>
    <s v=""/>
    <s v=""/>
    <s v="Flagged"/>
    <n v="4"/>
    <n v="67220.086111146898"/>
    <m/>
    <m/>
    <n v="1"/>
    <s v="Flagged"/>
    <n v="67220.086111146898"/>
    <m/>
  </r>
  <r>
    <s v=""/>
    <x v="7"/>
    <s v="SS07"/>
    <x v="55"/>
    <s v="SS0708"/>
    <m/>
    <m/>
    <m/>
    <n v="19743.531183340554"/>
    <x v="0"/>
    <n v="0"/>
    <n v="530.94304058239413"/>
    <n v="4281.7518927834572"/>
    <n v="3748.988020193754"/>
    <n v="3408.215722989094"/>
    <n v="2488.2227741843913"/>
    <n v="5964.2889999999998"/>
    <n v="6546.4769248602197"/>
    <m/>
    <m/>
    <m/>
    <m/>
    <n v="0"/>
    <n v="0.05"/>
    <n v="0.2"/>
    <n v="0.2"/>
    <n v="0.15000000000000002"/>
    <n v="0.15000000000000002"/>
    <n v="0.30000000000000004"/>
    <n v="0.35000000000000003"/>
    <n v="0"/>
    <n v="0"/>
    <n v="0"/>
    <n v="0"/>
    <n v="6546.4769248602197"/>
    <s v="WASH"/>
    <n v="0.33157578875171473"/>
    <s v=""/>
    <s v=""/>
    <s v=""/>
    <n v="5964.2889999999998"/>
    <s v="Shelter"/>
    <n v="0.30208826094050606"/>
    <n v="582.18792486021994"/>
    <n v="9.7612292908713844E-2"/>
    <s v=""/>
    <n v="4281.7518927834572"/>
    <s v="Nutrition"/>
    <n v="0.21686859625173677"/>
    <n v="2264.7250320767625"/>
    <n v="0.52892486271653705"/>
    <s v="Flagged"/>
    <s v=""/>
    <s v=""/>
    <s v=""/>
    <s v="Flagged"/>
    <n v="4"/>
    <n v="6546.4769248602197"/>
    <m/>
    <m/>
    <n v="2"/>
    <s v="Flagged"/>
    <n v="6546.4769248602197"/>
    <m/>
  </r>
  <r>
    <s v=""/>
    <x v="7"/>
    <s v="SS07"/>
    <x v="56"/>
    <s v="SS0709"/>
    <m/>
    <m/>
    <m/>
    <n v="33846.254411291047"/>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7"/>
    <s v="SS0710"/>
    <m/>
    <m/>
    <m/>
    <n v="17038.14092740557"/>
    <x v="0"/>
    <n v="1984"/>
    <n v="1409.2553047593842"/>
    <n v="4777.6809424247476"/>
    <n v="8336.8899108872847"/>
    <n v="9321.9440506130777"/>
    <n v="6283.1418271572857"/>
    <n v="5964.2889999999998"/>
    <n v="15524.42179542532"/>
    <m/>
    <m/>
    <m/>
    <m/>
    <n v="0.1"/>
    <n v="0.1"/>
    <n v="0.30000000000000004"/>
    <n v="0.5"/>
    <n v="0.55000000000000004"/>
    <n v="0.35000000000000003"/>
    <n v="0.35000000000000003"/>
    <n v="0.9"/>
    <n v="0"/>
    <n v="0"/>
    <n v="0"/>
    <n v="0"/>
    <n v="15524.42179542532"/>
    <s v="WASH"/>
    <n v="0.91115702479338823"/>
    <s v=""/>
    <s v="Flagged"/>
    <s v=""/>
    <n v="9321.9440506130777"/>
    <s v="Health"/>
    <n v="0.54712213558574829"/>
    <n v="6202.4777448122422"/>
    <n v="0.66536311644182444"/>
    <s v="Flagged"/>
    <n v="8336.8899108872847"/>
    <s v="Food Security"/>
    <n v="0.48930748644516342"/>
    <n v="7187.5318845380352"/>
    <n v="0.86213587577205697"/>
    <s v="Flagged"/>
    <s v=""/>
    <s v=""/>
    <s v=""/>
    <s v="Flagged"/>
    <n v="4"/>
    <n v="15524.42179542532"/>
    <m/>
    <m/>
    <n v="4"/>
    <s v="Flagged"/>
    <n v="15524.42179542532"/>
    <m/>
  </r>
  <r>
    <s v=""/>
    <x v="7"/>
    <s v="SS07"/>
    <x v="58"/>
    <s v="SS0711"/>
    <m/>
    <m/>
    <m/>
    <n v="119449.90934019189"/>
    <x v="0"/>
    <n v="11554"/>
    <n v="21877.250895656147"/>
    <n v="19541.698900197116"/>
    <n v="43135.041624416102"/>
    <n v="35332.616272001105"/>
    <n v="28640.415903531131"/>
    <n v="17239.205221162356"/>
    <n v="23697.452864643696"/>
    <m/>
    <m/>
    <m/>
    <m/>
    <n v="0.1"/>
    <n v="0.2"/>
    <n v="0.15000000000000002"/>
    <n v="0.35000000000000003"/>
    <n v="0.30000000000000004"/>
    <n v="0.25"/>
    <n v="0.15000000000000002"/>
    <n v="0.2"/>
    <n v="0"/>
    <n v="0"/>
    <n v="0"/>
    <n v="0"/>
    <n v="43135.041624416102"/>
    <s v="Food Security"/>
    <n v="0.36111405912890254"/>
    <s v=""/>
    <s v=""/>
    <s v=""/>
    <n v="35332.616272001105"/>
    <s v="Health"/>
    <n v="0.29579441681595792"/>
    <n v="7802.4253524149972"/>
    <n v="0.22082784055246801"/>
    <s v=""/>
    <n v="28640.415903531131"/>
    <s v="Overarching Protection"/>
    <n v="0.23976925609850044"/>
    <n v="14494.625720884971"/>
    <n v="0.5060899174686182"/>
    <s v="Flagged"/>
    <s v=""/>
    <s v=""/>
    <s v=""/>
    <s v="Flagged"/>
    <n v="4"/>
    <n v="43135.041624416102"/>
    <m/>
    <m/>
    <n v="2"/>
    <s v="Flagged"/>
    <n v="43135.041624416102"/>
    <m/>
  </r>
  <r>
    <s v=""/>
    <x v="7"/>
    <s v="SS07"/>
    <x v="59"/>
    <s v="SS0712"/>
    <m/>
    <m/>
    <m/>
    <n v="18966"/>
    <x v="0"/>
    <n v="18966"/>
    <n v="6161.2947599999998"/>
    <n v="3813.6559315961349"/>
    <n v="9775.2632140054211"/>
    <n v="11004.401041173787"/>
    <n v="7491.4631086578611"/>
    <n v="5474.4079427200004"/>
    <n v="14224.500000000002"/>
    <m/>
    <m/>
    <m/>
    <m/>
    <n v="1"/>
    <n v="0.30000000000000004"/>
    <n v="0.2"/>
    <n v="0.5"/>
    <n v="0.60000000000000009"/>
    <n v="0.4"/>
    <n v="0.30000000000000004"/>
    <n v="0.75"/>
    <n v="0"/>
    <n v="0"/>
    <n v="0"/>
    <n v="0"/>
    <n v="18966"/>
    <s v="CCCM"/>
    <n v="1"/>
    <s v=""/>
    <s v="Flagged"/>
    <s v=""/>
    <n v="14224.500000000002"/>
    <s v="WASH"/>
    <n v="0.75000000000000011"/>
    <n v="4741.4999999999982"/>
    <n v="0.33333333333333315"/>
    <s v="Flagged"/>
    <n v="11004.401041173787"/>
    <s v="Health"/>
    <n v="0.58021728573098108"/>
    <n v="7961.5989588262128"/>
    <n v="0.72349225814629037"/>
    <s v="Flagged"/>
    <s v=""/>
    <s v=""/>
    <s v=""/>
    <s v=""/>
    <n v="4"/>
    <n v="18966"/>
    <m/>
    <m/>
    <n v="3"/>
    <s v="Flagged"/>
    <n v="18966"/>
    <m/>
  </r>
  <r>
    <s v=""/>
    <x v="8"/>
    <s v="SS08"/>
    <x v="60"/>
    <s v="SS0801"/>
    <m/>
    <m/>
    <m/>
    <n v="18326.432795999659"/>
    <x v="0"/>
    <n v="0"/>
    <n v="1724.5173261035679"/>
    <n v="3279.7964753861993"/>
    <n v="2962.5236695305334"/>
    <n v="3086.6542488943078"/>
    <n v="2548.833692188442"/>
    <n v="3117.204269279594"/>
    <n v="509.06757766665714"/>
    <m/>
    <m/>
    <m/>
    <m/>
    <n v="0"/>
    <n v="0.1"/>
    <n v="0.2"/>
    <n v="0.15000000000000002"/>
    <n v="0.15000000000000002"/>
    <n v="0.15000000000000002"/>
    <n v="0.15000000000000002"/>
    <n v="0.05"/>
    <n v="0"/>
    <n v="0"/>
    <n v="0"/>
    <n v="0"/>
    <n v="3279.7964753861993"/>
    <s v="Nutrition"/>
    <n v="0.17896535086206858"/>
    <s v=""/>
    <s v=""/>
    <s v=""/>
    <n v="3117.204269279594"/>
    <s v="Shelter"/>
    <n v="0.17009334571428572"/>
    <n v="162.59220610660532"/>
    <n v="5.2159625119524627E-2"/>
    <s v=""/>
    <n v="3086.6542488943078"/>
    <s v="Health"/>
    <n v="0.16842635352189603"/>
    <n v="193.14222649189151"/>
    <n v="6.2573327272103227E-2"/>
    <s v=""/>
    <s v=""/>
    <s v=""/>
    <s v=""/>
    <s v="Flagged"/>
    <n v="4"/>
    <n v="3279.7964753861993"/>
    <m/>
    <m/>
    <n v="1"/>
    <s v="Flagged"/>
    <n v="3279.7964753861993"/>
    <m/>
  </r>
  <r>
    <s v=""/>
    <x v="8"/>
    <s v="SS08"/>
    <x v="61"/>
    <s v="SS0802"/>
    <m/>
    <m/>
    <m/>
    <n v="24686.538616861621"/>
    <x v="0"/>
    <n v="1044.5"/>
    <n v="1404.47210946168"/>
    <n v="4403.5343260166583"/>
    <n v="3674.6523171672875"/>
    <n v="4380.1618867785864"/>
    <n v="2799.7980819186428"/>
    <n v="3400.8558913206371"/>
    <n v="2328.3894377267211"/>
    <m/>
    <m/>
    <m/>
    <m/>
    <n v="0.05"/>
    <n v="0.05"/>
    <n v="0.2"/>
    <n v="0.15000000000000002"/>
    <n v="0.2"/>
    <n v="0.1"/>
    <n v="0.15000000000000002"/>
    <n v="0.1"/>
    <n v="0"/>
    <n v="0"/>
    <n v="0"/>
    <n v="0"/>
    <n v="4403.5343260166583"/>
    <s v="Nutrition"/>
    <n v="0.17837795708665763"/>
    <s v=""/>
    <s v=""/>
    <s v=""/>
    <n v="4380.1618867785864"/>
    <s v="Health"/>
    <n v="0.17743118850152645"/>
    <n v="23.37243923807182"/>
    <n v="5.3359761219376311E-3"/>
    <s v=""/>
    <n v="3674.6523171672875"/>
    <s v="Food Security"/>
    <n v="0.1488524727665706"/>
    <n v="728.88200884937078"/>
    <n v="0.19835400629446506"/>
    <s v=""/>
    <s v=""/>
    <s v=""/>
    <s v=""/>
    <s v="Flagged"/>
    <n v="4"/>
    <n v="4403.5343260166583"/>
    <m/>
    <m/>
    <n v="1"/>
    <s v="Flagged"/>
    <n v="4403.5343260166583"/>
    <m/>
  </r>
  <r>
    <s v=""/>
    <x v="8"/>
    <s v="SS08"/>
    <x v="62"/>
    <s v="SS0803"/>
    <m/>
    <m/>
    <m/>
    <n v="23538.621025019514"/>
    <x v="0"/>
    <n v="192"/>
    <n v="7700.4762670911396"/>
    <n v="5891.1816534653799"/>
    <n v="9720.1228223356502"/>
    <n v="7048.1715905523179"/>
    <n v="8913.418757841906"/>
    <n v="10191.39622746305"/>
    <n v="3529.5823193380597"/>
    <m/>
    <m/>
    <m/>
    <m/>
    <n v="0"/>
    <n v="0.35000000000000003"/>
    <n v="0.25"/>
    <n v="0.4"/>
    <n v="0.30000000000000004"/>
    <n v="0.4"/>
    <n v="0.45"/>
    <n v="0.15000000000000002"/>
    <n v="0"/>
    <n v="0"/>
    <n v="0"/>
    <n v="0"/>
    <n v="10191.39622746305"/>
    <s v="Shelter"/>
    <n v="0.43296487999999994"/>
    <s v=""/>
    <s v=""/>
    <s v=""/>
    <n v="9720.1228223356502"/>
    <s v="Food Security"/>
    <n v="0.41294359648358336"/>
    <n v="471.27340512740011"/>
    <n v="4.8484305573225021E-2"/>
    <s v=""/>
    <n v="8913.418757841906"/>
    <s v="Overarching Protection"/>
    <n v="0.37867208739066383"/>
    <n v="1277.9774696211443"/>
    <n v="0.14337680124102742"/>
    <s v=""/>
    <s v=""/>
    <s v="Flagged"/>
    <s v=""/>
    <s v=""/>
    <n v="4"/>
    <n v="10191.39622746305"/>
    <m/>
    <m/>
    <n v="1"/>
    <s v="Flagged"/>
    <n v="10191.39622746305"/>
    <m/>
  </r>
  <r>
    <s v=""/>
    <x v="8"/>
    <s v="SS08"/>
    <x v="63"/>
    <s v="SS0804"/>
    <m/>
    <m/>
    <m/>
    <n v="35756.212335130236"/>
    <x v="0"/>
    <n v="0"/>
    <n v="2370.1541689526102"/>
    <n v="6740.0184613508673"/>
    <n v="6395.0433612719116"/>
    <n v="7254.1110362208838"/>
    <n v="5503.3810972725842"/>
    <n v="5964.2889999999998"/>
    <n v="4333.8773310005454"/>
    <m/>
    <m/>
    <m/>
    <m/>
    <n v="0"/>
    <n v="0.05"/>
    <n v="0.2"/>
    <n v="0.2"/>
    <n v="0.2"/>
    <n v="0.15000000000000002"/>
    <n v="0.15000000000000002"/>
    <n v="0.1"/>
    <n v="0"/>
    <n v="0"/>
    <n v="0"/>
    <n v="0"/>
    <n v="7254.1110362208838"/>
    <s v="Health"/>
    <n v="0.2028769425640134"/>
    <s v=""/>
    <s v=""/>
    <s v=""/>
    <n v="6740.0184613508673"/>
    <s v="Nutrition"/>
    <n v="0.18849922911798028"/>
    <n v="514.09257487001651"/>
    <n v="7.6274653818526716E-2"/>
    <s v=""/>
    <n v="6395.0433612719116"/>
    <s v="Food Security"/>
    <n v="0.17885125251336603"/>
    <n v="859.06767494897213"/>
    <n v="0.13433336201462628"/>
    <s v=""/>
    <s v=""/>
    <s v="Flagged"/>
    <s v=""/>
    <s v=""/>
    <n v="4"/>
    <n v="7254.1110362208838"/>
    <m/>
    <m/>
    <n v="1"/>
    <s v="Flagged"/>
    <n v="7254.1110362208838"/>
    <m/>
  </r>
  <r>
    <s v=""/>
    <x v="8"/>
    <s v="SS08"/>
    <x v="64"/>
    <s v="SS0805"/>
    <m/>
    <m/>
    <m/>
    <n v="7457.5791677040434"/>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8"/>
    <s v="SS08"/>
    <x v="65"/>
    <s v="SS0806"/>
    <m/>
    <m/>
    <m/>
    <n v="150879.3340223525"/>
    <x v="0"/>
    <n v="67460"/>
    <n v="18528.283976612929"/>
    <n v="35940.485923085216"/>
    <n v="49939.952433345177"/>
    <n v="82033.862123911051"/>
    <n v="48223.966062731808"/>
    <n v="36923.08198882961"/>
    <n v="19332.061445165113"/>
    <m/>
    <m/>
    <m/>
    <m/>
    <n v="0.45"/>
    <n v="0.1"/>
    <n v="0.25"/>
    <n v="0.35000000000000003"/>
    <n v="0.55000000000000004"/>
    <n v="0.30000000000000004"/>
    <n v="0.25"/>
    <n v="0.15000000000000002"/>
    <n v="0"/>
    <n v="0"/>
    <n v="0"/>
    <n v="0"/>
    <n v="82033.862123911051"/>
    <s v="Health"/>
    <n v="0.54370509159165481"/>
    <s v=""/>
    <s v=""/>
    <s v=""/>
    <n v="67460"/>
    <s v="CCCM"/>
    <n v="0.44711225985399644"/>
    <n v="14573.862123911051"/>
    <n v="0.21603709048193079"/>
    <s v=""/>
    <n v="49939.952433345177"/>
    <s v="Food Security"/>
    <n v="0.33099266216237849"/>
    <n v="32093.909690565873"/>
    <n v="0.6426499851677191"/>
    <s v="Flagged"/>
    <s v=""/>
    <s v="Flagged"/>
    <s v=""/>
    <s v=""/>
    <n v="4"/>
    <n v="82033.862123911051"/>
    <m/>
    <m/>
    <n v="2"/>
    <s v="Flagged"/>
    <n v="82033.862123911051"/>
    <m/>
  </r>
  <r>
    <s v=""/>
    <x v="9"/>
    <s v="SS09"/>
    <x v="66"/>
    <s v="SS0901"/>
    <m/>
    <m/>
    <m/>
    <n v="47398.331065600592"/>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9"/>
    <s v="SS09"/>
    <x v="67"/>
    <s v="SS0902"/>
    <m/>
    <m/>
    <m/>
    <n v="7607.0241213008612"/>
    <x v="0"/>
    <n v="2283.5"/>
    <n v="500.55454859579373"/>
    <n v="1072.4000200532541"/>
    <n v="1002.4645579168952"/>
    <n v="1380.7805445851691"/>
    <n v="1146.2423225806451"/>
    <n v="5964.2889999999998"/>
    <n v="150.65351269037203"/>
    <m/>
    <m/>
    <m/>
    <m/>
    <n v="0.30000000000000004"/>
    <n v="0.05"/>
    <n v="0.15000000000000002"/>
    <n v="0.15000000000000002"/>
    <n v="0.2"/>
    <n v="0.15000000000000002"/>
    <n v="0.8"/>
    <n v="0"/>
    <n v="0"/>
    <n v="0"/>
    <n v="0"/>
    <n v="0"/>
    <n v="5964.2889999999998"/>
    <s v="Shelter"/>
    <n v="0.78405022843283156"/>
    <s v=""/>
    <s v=""/>
    <s v=""/>
    <n v="2283.5"/>
    <s v="CCCM"/>
    <n v="0.30018308915385739"/>
    <n v="3680.7889999999998"/>
    <n v="1.6119067221370702"/>
    <s v="Flagged"/>
    <n v="1380.7805445851691"/>
    <s v="Health"/>
    <n v="0.18151389065781542"/>
    <n v="4583.5084554148307"/>
    <n v="3.3195053865651505"/>
    <s v="Flagged"/>
    <s v=""/>
    <s v="Flagged"/>
    <s v=""/>
    <s v=""/>
    <n v="4"/>
    <n v="5964.2889999999998"/>
    <m/>
    <m/>
    <n v="3"/>
    <s v="Flagged"/>
    <n v="5964.2889999999998"/>
    <m/>
  </r>
  <r>
    <s v=""/>
    <x v="9"/>
    <s v="SS09"/>
    <x v="68"/>
    <s v="SS0903"/>
    <m/>
    <m/>
    <m/>
    <n v="17868.652727011824"/>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69"/>
    <s v="SS1001"/>
    <m/>
    <m/>
    <m/>
    <n v="41205.344743342968"/>
    <x v="0"/>
    <n v="11377.5"/>
    <n v="2265.8870581045226"/>
    <n v="7235.0903774809867"/>
    <n v="2062.6150735348333"/>
    <n v="5091.4320712425588"/>
    <n v="5039.9215275961287"/>
    <n v="5964.2889999999998"/>
    <n v="9043.6970630108026"/>
    <m/>
    <m/>
    <m/>
    <m/>
    <n v="0.30000000000000004"/>
    <n v="0.05"/>
    <n v="0.2"/>
    <n v="0.05"/>
    <n v="0.1"/>
    <n v="0.1"/>
    <n v="0.15000000000000002"/>
    <n v="0.2"/>
    <n v="0"/>
    <n v="0"/>
    <n v="0"/>
    <n v="0"/>
    <n v="11377.5"/>
    <s v="CCCM"/>
    <n v="0.27611709283995545"/>
    <s v=""/>
    <s v=""/>
    <s v=""/>
    <n v="9043.6970630108026"/>
    <s v="WASH"/>
    <n v="0.21947873799725653"/>
    <n v="2333.8029369891974"/>
    <n v="0.25805850425204691"/>
    <s v=""/>
    <n v="7235.0903774809867"/>
    <s v="Nutrition"/>
    <n v="0.17558621151082274"/>
    <n v="4142.4096225190133"/>
    <n v="0.57254428160457338"/>
    <s v="Flagged"/>
    <s v=""/>
    <s v=""/>
    <s v=""/>
    <s v=""/>
    <n v="4"/>
    <n v="11377.5"/>
    <m/>
    <m/>
    <n v="1"/>
    <s v="Flagged"/>
    <n v="11377.5"/>
    <m/>
  </r>
  <r>
    <s v=""/>
    <x v="10"/>
    <s v="SS10"/>
    <x v="70"/>
    <s v="SS1002"/>
    <m/>
    <m/>
    <m/>
    <n v="7434.8763775539119"/>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1"/>
    <s v="SS1003"/>
    <m/>
    <m/>
    <m/>
    <n v="11522.074781291758"/>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2"/>
    <s v="SS1004"/>
    <m/>
    <m/>
    <m/>
    <n v="17357.293062226148"/>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3"/>
    <s v="SS1005"/>
    <m/>
    <m/>
    <m/>
    <n v="1326.2143950586142"/>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4"/>
    <s v="SS1006"/>
    <m/>
    <m/>
    <m/>
    <n v="0"/>
    <x v="0"/>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10"/>
    <s v="SS10"/>
    <x v="75"/>
    <s v="SS1007"/>
    <m/>
    <m/>
    <m/>
    <n v="36534.526328235108"/>
    <x v="0"/>
    <n v="3510"/>
    <n v="1916.1336092422125"/>
    <n v="6836.870387112871"/>
    <n v="10717.118264456685"/>
    <n v="13828.875993010917"/>
    <n v="11971.050628910942"/>
    <n v="8755.4569592522621"/>
    <n v="10035.718651891744"/>
    <m/>
    <m/>
    <m/>
    <m/>
    <n v="0.1"/>
    <n v="0.05"/>
    <n v="0.2"/>
    <n v="0.30000000000000004"/>
    <n v="0.4"/>
    <n v="0.35000000000000003"/>
    <n v="0.25"/>
    <n v="0.25"/>
    <n v="0"/>
    <n v="0"/>
    <n v="0"/>
    <n v="0"/>
    <n v="13828.875993010917"/>
    <s v="Health"/>
    <n v="0.37851526714124928"/>
    <s v=""/>
    <s v=""/>
    <s v=""/>
    <n v="11971.050628910942"/>
    <s v="Overarching Protection"/>
    <n v="0.32766404363259288"/>
    <n v="1857.8253640999756"/>
    <n v="0.15519317574459127"/>
    <s v=""/>
    <n v="10717.118264456685"/>
    <s v="Food Security"/>
    <n v="0.29334219823110547"/>
    <n v="3111.757728554232"/>
    <n v="0.29035396006353448"/>
    <s v=""/>
    <s v=""/>
    <s v="Flagged"/>
    <s v=""/>
    <s v=""/>
    <n v="4"/>
    <n v="13828.875993010917"/>
    <m/>
    <m/>
    <n v="1"/>
    <s v="Flagged"/>
    <n v="13828.875993010917"/>
    <m/>
  </r>
  <r>
    <s v=""/>
    <x v="10"/>
    <s v="SS10"/>
    <x v="76"/>
    <s v="SS1008"/>
    <m/>
    <m/>
    <m/>
    <n v="2761.8509896481692"/>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7"/>
    <s v="SS1009"/>
    <m/>
    <m/>
    <m/>
    <n v="24855.8360229996"/>
    <x v="0"/>
    <n v="22574"/>
    <n v="5005.1948441154063"/>
    <n v="4559.3211983314986"/>
    <n v="5860.7803064083755"/>
    <n v="10584.306921328942"/>
    <n v="9538.4506531204643"/>
    <n v="10445.183353321296"/>
    <n v="13530.703946162206"/>
    <m/>
    <m/>
    <m/>
    <m/>
    <n v="0.9"/>
    <n v="0.2"/>
    <n v="0.2"/>
    <n v="0.25"/>
    <n v="0.45"/>
    <n v="0.4"/>
    <n v="0.4"/>
    <n v="0.55000000000000004"/>
    <n v="0"/>
    <n v="0"/>
    <n v="0"/>
    <n v="0"/>
    <n v="22574"/>
    <s v="CCCM"/>
    <n v="0.90819717265240363"/>
    <s v=""/>
    <s v="Flagged"/>
    <s v=""/>
    <n v="13530.703946162206"/>
    <s v="WASH"/>
    <n v="0.54436728395061729"/>
    <n v="9043.2960538377938"/>
    <n v="0.66835370057762566"/>
    <s v="Flagged"/>
    <n v="10584.306921328942"/>
    <s v="Health"/>
    <n v="0.42582783824028581"/>
    <n v="11989.693078671058"/>
    <n v="1.1327801780303683"/>
    <s v="Flagged"/>
    <s v=""/>
    <s v=""/>
    <s v=""/>
    <s v=""/>
    <n v="4"/>
    <n v="22574"/>
    <m/>
    <m/>
    <n v="3"/>
    <s v="Flagged"/>
    <n v="22574"/>
    <m/>
  </r>
  <r>
    <s v=""/>
    <x v="10"/>
    <s v="SS10"/>
    <x v="78"/>
    <s v="SS1010"/>
    <m/>
    <m/>
    <m/>
    <n v="10973.797642312536"/>
    <x v="0"/>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0"/>
    <s v="SS00"/>
    <x v="0"/>
    <s v="SS0001"/>
    <m/>
    <m/>
    <m/>
    <n v="14516.802522734295"/>
    <x v="1"/>
    <n v="0"/>
    <n v="384.11459475154942"/>
    <n v="3895.0672639218305"/>
    <n v="5017.9928151869372"/>
    <n v="7113.7750119754764"/>
    <n v="1053.4830495781116"/>
    <n v="137.21361288611871"/>
    <n v="1568.1731120237662"/>
    <m/>
    <m/>
    <m/>
    <m/>
    <n v="0"/>
    <n v="0.05"/>
    <n v="0.25"/>
    <n v="0.35000000000000003"/>
    <n v="0.5"/>
    <n v="0.05"/>
    <n v="0"/>
    <n v="0.1"/>
    <n v="0"/>
    <n v="0"/>
    <n v="0"/>
    <n v="0"/>
    <n v="7113.7750119754764"/>
    <s v="Health"/>
    <n v="0.49003732060381916"/>
    <s v=""/>
    <s v=""/>
    <s v=""/>
    <n v="5017.9928151869372"/>
    <s v="Food Security"/>
    <n v="0.34566791187855733"/>
    <n v="2095.7821967885393"/>
    <n v="0.41765348695710802"/>
    <s v="Flagged"/>
    <n v="3895.0672639218305"/>
    <s v="Nutrition"/>
    <n v="0.26831440724098105"/>
    <n v="3218.7077480536459"/>
    <n v="0.82635485601674108"/>
    <s v="Flagged"/>
    <s v=""/>
    <s v="Flagged"/>
    <s v=""/>
    <s v=""/>
    <n v="4"/>
    <n v="7113.7750119754764"/>
    <m/>
    <m/>
    <n v="3"/>
    <s v="Flagged"/>
    <n v="7113.7750119754764"/>
    <m/>
  </r>
  <r>
    <s v=""/>
    <x v="1"/>
    <s v="SS01"/>
    <x v="1"/>
    <s v="SS0101"/>
    <m/>
    <m/>
    <m/>
    <n v="310546.09109739598"/>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2"/>
    <s v="SS0102"/>
    <m/>
    <m/>
    <m/>
    <n v="165087.87496325735"/>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3"/>
    <s v="SS0103"/>
    <m/>
    <m/>
    <m/>
    <n v="81323.353354623177"/>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4"/>
    <s v="SS0104"/>
    <m/>
    <m/>
    <m/>
    <n v="76038.235545987191"/>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5"/>
    <s v="SS0105"/>
    <m/>
    <m/>
    <m/>
    <n v="198861.4986441193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6"/>
    <s v="SS0106"/>
    <m/>
    <m/>
    <m/>
    <n v="194205.2688130234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7"/>
    <s v="SS0201"/>
    <m/>
    <m/>
    <m/>
    <n v="80977.34299092931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8"/>
    <s v="SS0202"/>
    <m/>
    <m/>
    <m/>
    <n v="79454.88062065347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9"/>
    <s v="SS0203"/>
    <m/>
    <m/>
    <m/>
    <n v="135919.18209910189"/>
    <x v="1"/>
    <n v="0"/>
    <n v="9285.9985210106443"/>
    <n v="39397.422947361774"/>
    <n v="54978.271363370288"/>
    <n v="36905.722333005782"/>
    <n v="26787.52244613746"/>
    <n v="0"/>
    <n v="76163.217952651743"/>
    <m/>
    <m/>
    <m/>
    <m/>
    <n v="0"/>
    <n v="0.05"/>
    <n v="0.30000000000000004"/>
    <n v="0.4"/>
    <n v="0.25"/>
    <n v="0.2"/>
    <n v="0"/>
    <n v="0.55000000000000004"/>
    <n v="0"/>
    <n v="0"/>
    <n v="0"/>
    <n v="0"/>
    <n v="76163.217952651743"/>
    <s v="WASH"/>
    <n v="0.56035665294924553"/>
    <s v="Flagged"/>
    <s v=""/>
    <s v=""/>
    <n v="54978.271363370288"/>
    <s v="Food Security"/>
    <n v="0.40449236461182003"/>
    <n v="21184.946589281455"/>
    <n v="0.3853330791225294"/>
    <s v="Flagged"/>
    <n v="39397.422947361774"/>
    <s v="Nutrition"/>
    <n v="0.28985918204419581"/>
    <n v="36765.795005289969"/>
    <n v="0.93320304362069872"/>
    <s v="Flagged"/>
    <s v=""/>
    <s v=""/>
    <s v=""/>
    <s v=""/>
    <n v="4"/>
    <n v="76163.217952651743"/>
    <m/>
    <m/>
    <n v="3"/>
    <s v="Flagged"/>
    <n v="76163.217952651743"/>
    <m/>
  </r>
  <r>
    <s v=""/>
    <x v="2"/>
    <s v="SS02"/>
    <x v="10"/>
    <s v="SS0204"/>
    <m/>
    <m/>
    <m/>
    <n v="121484.03458105327"/>
    <x v="1"/>
    <n v="0"/>
    <n v="4604.2449106219201"/>
    <n v="26774.875801139246"/>
    <n v="24442.83071673743"/>
    <n v="15132.399219141458"/>
    <n v="6688.7269912405791"/>
    <n v="0"/>
    <n v="14171.944443173124"/>
    <m/>
    <m/>
    <m/>
    <m/>
    <n v="0"/>
    <n v="0.05"/>
    <n v="0.2"/>
    <n v="0.2"/>
    <n v="0.1"/>
    <n v="0.05"/>
    <n v="0"/>
    <n v="0.1"/>
    <n v="0"/>
    <n v="0"/>
    <n v="0"/>
    <n v="0"/>
    <n v="26774.875801139246"/>
    <s v="Nutrition"/>
    <n v="0.22039830907389926"/>
    <s v="Flagged"/>
    <s v=""/>
    <s v=""/>
    <n v="24442.83071673743"/>
    <s v="Food Security"/>
    <n v="0.20120199992558979"/>
    <n v="2332.045084401816"/>
    <n v="9.540814283858412E-2"/>
    <s v=""/>
    <n v="15132.399219141458"/>
    <s v="Health"/>
    <n v="0.12456286351804714"/>
    <n v="11642.476581997787"/>
    <n v="0.76937413647340502"/>
    <s v="Flagged"/>
    <s v=""/>
    <s v=""/>
    <s v=""/>
    <s v=""/>
    <n v="4"/>
    <n v="26774.875801139246"/>
    <m/>
    <m/>
    <n v="2"/>
    <s v="Flagged"/>
    <n v="26774.875801139246"/>
    <m/>
  </r>
  <r>
    <s v=""/>
    <x v="2"/>
    <s v="SS02"/>
    <x v="11"/>
    <s v="SS0205"/>
    <m/>
    <m/>
    <m/>
    <n v="79271.088602523028"/>
    <x v="1"/>
    <n v="0"/>
    <n v="1968.6721186953064"/>
    <n v="18979.200035484413"/>
    <n v="9007.0350451972445"/>
    <n v="17409.698860704852"/>
    <n v="3653.2266526757608"/>
    <n v="0"/>
    <n v="35450.772970071223"/>
    <m/>
    <m/>
    <m/>
    <m/>
    <n v="0"/>
    <n v="0"/>
    <n v="0.25"/>
    <n v="0.1"/>
    <n v="0.2"/>
    <n v="0.05"/>
    <n v="0"/>
    <n v="0.45"/>
    <n v="0"/>
    <n v="0"/>
    <n v="0"/>
    <n v="0"/>
    <n v="35450.772970071223"/>
    <s v="WASH"/>
    <n v="0.44720936213991769"/>
    <s v="Flagged"/>
    <s v=""/>
    <s v=""/>
    <n v="18979.200035484413"/>
    <s v="Nutrition"/>
    <n v="0.23942146336161638"/>
    <n v="16471.572934586809"/>
    <n v="0.86787498439295518"/>
    <s v="Flagged"/>
    <n v="17409.698860704852"/>
    <s v="Health"/>
    <n v="0.21962230073563968"/>
    <n v="18041.074109366371"/>
    <n v="1.0362657191093976"/>
    <s v="Flagged"/>
    <s v=""/>
    <s v=""/>
    <s v=""/>
    <s v=""/>
    <n v="4"/>
    <n v="35450.772970071223"/>
    <m/>
    <m/>
    <n v="3"/>
    <s v="Flagged"/>
    <n v="35450.772970071223"/>
    <m/>
  </r>
  <r>
    <s v=""/>
    <x v="2"/>
    <s v="SS02"/>
    <x v="12"/>
    <s v="SS0206"/>
    <m/>
    <m/>
    <m/>
    <n v="107170.91979145796"/>
    <x v="1"/>
    <n v="0"/>
    <n v="572.93573720513427"/>
    <n v="21639.302641081067"/>
    <n v="20848.453605562008"/>
    <n v="15542.775657131408"/>
    <n v="4819.1863955391564"/>
    <n v="0"/>
    <n v="2956.8338497109266"/>
    <m/>
    <m/>
    <m/>
    <m/>
    <n v="0"/>
    <n v="0"/>
    <n v="0.2"/>
    <n v="0.2"/>
    <n v="0.15000000000000002"/>
    <n v="0.05"/>
    <n v="0"/>
    <n v="0.05"/>
    <n v="0"/>
    <n v="0"/>
    <n v="0"/>
    <n v="0"/>
    <n v="21639.302641081067"/>
    <s v="Nutrition"/>
    <n v="0.20191393974399596"/>
    <s v="Flagged"/>
    <s v=""/>
    <s v=""/>
    <n v="20848.453605562008"/>
    <s v="Food Security"/>
    <n v="0.19453461485756263"/>
    <n v="790.84903551905882"/>
    <n v="3.7933222793467711E-2"/>
    <s v=""/>
    <n v="15542.775657131408"/>
    <s v="Health"/>
    <n v="0.1450279207025173"/>
    <n v="6096.5269839496596"/>
    <n v="0.3922418439561291"/>
    <s v=""/>
    <s v=""/>
    <s v=""/>
    <s v=""/>
    <s v=""/>
    <n v="4"/>
    <n v="21639.302641081067"/>
    <m/>
    <m/>
    <n v="1"/>
    <s v="Flagged"/>
    <n v="21639.302641081067"/>
    <m/>
  </r>
  <r>
    <s v=""/>
    <x v="2"/>
    <s v="SS02"/>
    <x v="13"/>
    <s v="SS0207"/>
    <m/>
    <m/>
    <m/>
    <n v="159337.28264572358"/>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14"/>
    <s v="SS0208"/>
    <m/>
    <m/>
    <m/>
    <n v="47474.399116158442"/>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5"/>
    <s v="SS0301"/>
    <m/>
    <m/>
    <m/>
    <n v="146807.46329287597"/>
    <x v="1"/>
    <n v="0"/>
    <n v="8686.5388800541532"/>
    <n v="50135.129326768183"/>
    <n v="71357.403009888134"/>
    <n v="70728.71066493931"/>
    <n v="35297.439420517789"/>
    <n v="3049.0780837751163"/>
    <n v="25147.574730724125"/>
    <m/>
    <m/>
    <m/>
    <m/>
    <n v="0"/>
    <n v="0.05"/>
    <n v="0.35000000000000003"/>
    <n v="0.5"/>
    <n v="0.5"/>
    <n v="0.25"/>
    <n v="0"/>
    <n v="0.15000000000000002"/>
    <n v="0"/>
    <n v="0"/>
    <n v="0"/>
    <n v="0"/>
    <n v="71357.403009888134"/>
    <s v="Food Security"/>
    <n v="0.4860611402809441"/>
    <s v=""/>
    <s v=""/>
    <s v=""/>
    <n v="70728.71066493931"/>
    <s v="Health"/>
    <n v="0.48177871259745086"/>
    <n v="628.69234494882403"/>
    <n v="8.8887856011840329E-3"/>
    <s v=""/>
    <n v="50135.129326768183"/>
    <s v="Nutrition"/>
    <n v="0.34150259259469856"/>
    <n v="21222.273683119951"/>
    <n v="0.42330146482316822"/>
    <s v=""/>
    <s v=""/>
    <s v=""/>
    <s v=""/>
    <s v="Flagged"/>
    <n v="4"/>
    <n v="71357.403009888134"/>
    <m/>
    <m/>
    <n v="1"/>
    <s v="Flagged"/>
    <n v="71357.403009888134"/>
    <m/>
  </r>
  <r>
    <s v=""/>
    <x v="3"/>
    <s v="SS03"/>
    <x v="16"/>
    <s v="SS0302"/>
    <m/>
    <m/>
    <m/>
    <n v="126785.47631993188"/>
    <x v="1"/>
    <n v="0"/>
    <n v="5241.6158762091518"/>
    <n v="29343.305071128358"/>
    <n v="54404.084525413884"/>
    <n v="51234.416560604725"/>
    <n v="21166.315500242446"/>
    <n v="1674.7036797483538"/>
    <n v="87773.110093587602"/>
    <m/>
    <m/>
    <m/>
    <m/>
    <n v="0"/>
    <n v="0.05"/>
    <n v="0.25"/>
    <n v="0.45"/>
    <n v="0.4"/>
    <n v="0.15000000000000002"/>
    <n v="0"/>
    <n v="0.70000000000000007"/>
    <n v="0"/>
    <n v="0"/>
    <n v="0"/>
    <n v="0"/>
    <n v="87773.110093587602"/>
    <s v="WASH"/>
    <n v="0.69229625223081515"/>
    <s v=""/>
    <s v=""/>
    <s v=""/>
    <n v="54404.084525413884"/>
    <s v="Food Security"/>
    <n v="0.42910344390023042"/>
    <n v="33369.025568173718"/>
    <n v="0.61335515263722495"/>
    <s v="Flagged"/>
    <n v="51234.416560604725"/>
    <s v="Health"/>
    <n v="0.40410319894464275"/>
    <n v="36538.693532982878"/>
    <n v="0.71316696833585658"/>
    <s v="Flagged"/>
    <s v=""/>
    <s v=""/>
    <s v=""/>
    <s v=""/>
    <n v="4"/>
    <n v="87773.110093587602"/>
    <m/>
    <m/>
    <n v="2"/>
    <s v="Flagged"/>
    <n v="87773.110093587602"/>
    <m/>
  </r>
  <r>
    <s v=""/>
    <x v="3"/>
    <s v="SS03"/>
    <x v="17"/>
    <s v="SS0303"/>
    <m/>
    <m/>
    <m/>
    <n v="191777.77641387403"/>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8"/>
    <s v="SS0304"/>
    <m/>
    <m/>
    <m/>
    <n v="32762.733973342118"/>
    <x v="1"/>
    <n v="0"/>
    <n v="1377.2634294043694"/>
    <n v="9279.5970762729612"/>
    <n v="16839.399520814484"/>
    <n v="21721.54972837575"/>
    <n v="6210.4942305634941"/>
    <n v="764.46379271131605"/>
    <n v="30234.745240831155"/>
    <m/>
    <m/>
    <m/>
    <m/>
    <n v="0"/>
    <n v="0.05"/>
    <n v="0.30000000000000004"/>
    <n v="0.5"/>
    <n v="0.65"/>
    <n v="0.2"/>
    <n v="0"/>
    <n v="0.9"/>
    <n v="0"/>
    <n v="0"/>
    <n v="0"/>
    <n v="0"/>
    <n v="30234.745240831155"/>
    <s v="WASH"/>
    <n v="0.92283950617283961"/>
    <s v=""/>
    <s v="Flagged"/>
    <s v=""/>
    <n v="21721.54972837575"/>
    <s v="Health"/>
    <n v="0.66299563846075271"/>
    <n v="8513.1955124554042"/>
    <n v="0.39192394736616182"/>
    <s v="Flagged"/>
    <n v="16839.399520814484"/>
    <s v="Food Security"/>
    <n v="0.51398029036636905"/>
    <n v="13395.34572001667"/>
    <n v="0.79547644816308549"/>
    <s v="Flagged"/>
    <s v=""/>
    <s v=""/>
    <s v=""/>
    <s v="Flagged"/>
    <n v="4"/>
    <n v="30234.745240831155"/>
    <m/>
    <m/>
    <n v="4"/>
    <s v="Flagged"/>
    <n v="30234.745240831155"/>
    <m/>
  </r>
  <r>
    <s v=""/>
    <x v="3"/>
    <s v="SS03"/>
    <x v="19"/>
    <s v="SS0305"/>
    <m/>
    <m/>
    <m/>
    <n v="95901.718428606313"/>
    <x v="1"/>
    <n v="0"/>
    <n v="3238.409227897178"/>
    <n v="27224.60497860179"/>
    <n v="38799.117265337714"/>
    <n v="57411.330673761615"/>
    <n v="17364.701498131351"/>
    <n v="2724.0168957912642"/>
    <n v="11741.0540051483"/>
    <m/>
    <m/>
    <m/>
    <m/>
    <n v="0"/>
    <n v="0.05"/>
    <n v="0.30000000000000004"/>
    <n v="0.4"/>
    <n v="0.60000000000000009"/>
    <n v="0.2"/>
    <n v="0.05"/>
    <n v="0.1"/>
    <n v="0"/>
    <n v="0"/>
    <n v="0"/>
    <n v="0"/>
    <n v="57411.330673761615"/>
    <s v="Health"/>
    <n v="0.59864756976697209"/>
    <s v=""/>
    <s v=""/>
    <s v=""/>
    <n v="38799.117265337714"/>
    <s v="Food Security"/>
    <n v="0.40457165837149806"/>
    <n v="18612.213408423901"/>
    <n v="0.47970713563248119"/>
    <s v="Flagged"/>
    <n v="27224.60497860179"/>
    <s v="Nutrition"/>
    <n v="0.2838802622590027"/>
    <n v="30186.725695159825"/>
    <n v="1.1088030742369348"/>
    <s v="Flagged"/>
    <s v=""/>
    <s v="Flagged"/>
    <s v=""/>
    <s v=""/>
    <n v="4"/>
    <n v="57411.330673761615"/>
    <m/>
    <m/>
    <n v="3"/>
    <s v="Flagged"/>
    <n v="57411.330673761615"/>
    <m/>
  </r>
  <r>
    <s v=""/>
    <x v="3"/>
    <s v="SS03"/>
    <x v="20"/>
    <s v="SS0306"/>
    <m/>
    <m/>
    <m/>
    <n v="57313.644275077953"/>
    <x v="1"/>
    <n v="0"/>
    <n v="5255.9362855171694"/>
    <n v="13972.628139294504"/>
    <n v="30578.531678809632"/>
    <n v="33596.005628936007"/>
    <n v="11222.363744748494"/>
    <n v="925.8357921358745"/>
    <n v="33204.471123871677"/>
    <m/>
    <m/>
    <m/>
    <m/>
    <n v="0"/>
    <n v="0.1"/>
    <n v="0.25"/>
    <n v="0.55000000000000004"/>
    <n v="0.60000000000000009"/>
    <n v="0.2"/>
    <n v="0"/>
    <n v="0.60000000000000009"/>
    <n v="0"/>
    <n v="0"/>
    <n v="0"/>
    <n v="0"/>
    <n v="33596.005628936007"/>
    <s v="Health"/>
    <n v="0.58617814403305646"/>
    <s v=""/>
    <s v=""/>
    <s v=""/>
    <n v="33204.471123871677"/>
    <s v="WASH"/>
    <n v="0.57934670781893005"/>
    <n v="391.53450506433001"/>
    <n v="1.1791619978034953E-2"/>
    <s v=""/>
    <n v="30578.531678809632"/>
    <s v="Food Security"/>
    <n v="0.53352970423669754"/>
    <n v="3017.4739501263757"/>
    <n v="9.8679491279086845E-2"/>
    <s v=""/>
    <s v=""/>
    <s v="Flagged"/>
    <s v=""/>
    <s v=""/>
    <n v="4"/>
    <n v="33596.005628936007"/>
    <m/>
    <m/>
    <n v="1"/>
    <s v="Flagged"/>
    <n v="33596.005628936007"/>
    <m/>
  </r>
  <r>
    <s v=""/>
    <x v="3"/>
    <s v="SS03"/>
    <x v="21"/>
    <s v="SS0307"/>
    <m/>
    <m/>
    <m/>
    <n v="65001.764922770279"/>
    <x v="1"/>
    <n v="0"/>
    <n v="4518.6704905830802"/>
    <n v="20418.80632528372"/>
    <n v="28777.60413193081"/>
    <n v="41243.786952148606"/>
    <n v="9554.431076373643"/>
    <n v="1436.8811193454485"/>
    <n v="24331.079016873722"/>
    <m/>
    <m/>
    <m/>
    <m/>
    <n v="0"/>
    <n v="0.05"/>
    <n v="0.30000000000000004"/>
    <n v="0.45"/>
    <n v="0.65"/>
    <n v="0.15000000000000002"/>
    <n v="0"/>
    <n v="0.35000000000000003"/>
    <n v="0"/>
    <n v="0"/>
    <n v="0"/>
    <n v="0"/>
    <n v="41243.786952148606"/>
    <s v="Health"/>
    <n v="0.63450257083251604"/>
    <s v=""/>
    <s v=""/>
    <s v=""/>
    <n v="28777.60413193081"/>
    <s v="Food Security"/>
    <n v="0.44272035022621276"/>
    <n v="12466.182820217797"/>
    <n v="0.43319043388972311"/>
    <s v="Flagged"/>
    <n v="24331.079016873722"/>
    <s v="WASH"/>
    <n v="0.37431412894375865"/>
    <n v="16912.707935274884"/>
    <n v="0.69510718877472877"/>
    <s v="Flagged"/>
    <s v=""/>
    <s v="Flagged"/>
    <s v=""/>
    <s v=""/>
    <n v="4"/>
    <n v="41243.786952148606"/>
    <m/>
    <m/>
    <n v="3"/>
    <s v="Flagged"/>
    <n v="41243.786952148606"/>
    <m/>
  </r>
  <r>
    <s v=""/>
    <x v="3"/>
    <s v="SS03"/>
    <x v="22"/>
    <s v="SS0308"/>
    <m/>
    <m/>
    <m/>
    <n v="146214.98577625639"/>
    <x v="1"/>
    <n v="0"/>
    <n v="12569.546710238808"/>
    <n v="53365.626885617348"/>
    <n v="71165.043792546785"/>
    <n v="80152.72350238348"/>
    <n v="24496.293717078726"/>
    <n v="2319.2721881751013"/>
    <n v="95972.387783180646"/>
    <m/>
    <m/>
    <m/>
    <m/>
    <n v="0"/>
    <n v="0.1"/>
    <n v="0.35000000000000003"/>
    <n v="0.5"/>
    <n v="0.55000000000000004"/>
    <n v="0.15000000000000002"/>
    <n v="0"/>
    <n v="0.65"/>
    <n v="0"/>
    <n v="0"/>
    <n v="0"/>
    <n v="0"/>
    <n v="95972.387783180646"/>
    <s v="WASH"/>
    <n v="0.65637860082304533"/>
    <s v=""/>
    <s v=""/>
    <s v=""/>
    <n v="80152.72350238348"/>
    <s v="Health"/>
    <n v="0.5481840529330978"/>
    <n v="15819.664280797166"/>
    <n v="0.19736901741494461"/>
    <s v=""/>
    <n v="71165.043792546785"/>
    <s v="Food Security"/>
    <n v="0.48671511620187946"/>
    <n v="24807.343990633861"/>
    <n v="0.3485888951737281"/>
    <s v=""/>
    <s v=""/>
    <s v=""/>
    <s v=""/>
    <s v="Flagged"/>
    <n v="4"/>
    <n v="95972.387783180646"/>
    <m/>
    <m/>
    <n v="1"/>
    <s v="Flagged"/>
    <n v="95972.387783180646"/>
    <m/>
  </r>
  <r>
    <s v=""/>
    <x v="3"/>
    <s v="SS03"/>
    <x v="23"/>
    <s v="SS0309"/>
    <m/>
    <m/>
    <m/>
    <n v="50788.148876183637"/>
    <x v="1"/>
    <n v="0"/>
    <n v="652.18077734884946"/>
    <n v="9799.9412631667383"/>
    <n v="9348.9521375684235"/>
    <n v="14452.697746620723"/>
    <n v="3657.0129631485752"/>
    <n v="524.56444217331159"/>
    <n v="29.923158162889109"/>
    <m/>
    <m/>
    <m/>
    <m/>
    <n v="0"/>
    <n v="0"/>
    <n v="0.2"/>
    <n v="0.2"/>
    <n v="0.30000000000000004"/>
    <n v="0.05"/>
    <n v="0"/>
    <n v="0"/>
    <n v="0"/>
    <n v="0"/>
    <n v="0"/>
    <n v="0"/>
    <n v="14452.697746620723"/>
    <s v="Health"/>
    <n v="0.28456831104151747"/>
    <s v=""/>
    <s v=""/>
    <s v=""/>
    <n v="9799.9412631667383"/>
    <s v="Nutrition"/>
    <n v="0.19295724455439403"/>
    <n v="4652.7564834539844"/>
    <n v="0.47477391532349855"/>
    <s v="Flagged"/>
    <n v="9348.9521375684235"/>
    <s v="Food Security"/>
    <n v="0.18407743429200821"/>
    <n v="5103.7456090522992"/>
    <n v="0.54591632665901491"/>
    <s v="Flagged"/>
    <s v=""/>
    <s v="Flagged"/>
    <s v=""/>
    <s v=""/>
    <n v="4"/>
    <n v="14452.697746620723"/>
    <m/>
    <m/>
    <n v="3"/>
    <s v="Flagged"/>
    <n v="14452.697746620723"/>
    <m/>
  </r>
  <r>
    <s v=""/>
    <x v="3"/>
    <s v="SS03"/>
    <x v="24"/>
    <s v="SS0310"/>
    <m/>
    <m/>
    <m/>
    <n v="77537.996273544151"/>
    <x v="1"/>
    <n v="0"/>
    <n v="6494.001032900007"/>
    <n v="22266.572815189596"/>
    <n v="32935.581375528054"/>
    <n v="38902.984813593641"/>
    <n v="9077.8866307277622"/>
    <n v="2217.9473352664954"/>
    <n v="25845.99875784805"/>
    <m/>
    <m/>
    <m/>
    <m/>
    <n v="0"/>
    <n v="0.1"/>
    <n v="0.30000000000000004"/>
    <n v="0.4"/>
    <n v="0.5"/>
    <n v="0.1"/>
    <n v="0.05"/>
    <n v="0.35000000000000003"/>
    <n v="0"/>
    <n v="0"/>
    <n v="0"/>
    <n v="0"/>
    <n v="38902.984813593641"/>
    <s v="Health"/>
    <n v="0.50172801314530846"/>
    <s v=""/>
    <s v=""/>
    <s v=""/>
    <n v="32935.581375528054"/>
    <s v="Food Security"/>
    <n v="0.42476699113213512"/>
    <n v="5967.4034380655867"/>
    <n v="0.1811840929730639"/>
    <s v=""/>
    <n v="25845.99875784805"/>
    <s v="WASH"/>
    <n v="0.33333333333333331"/>
    <n v="13056.98605574559"/>
    <n v="0.50518403943592549"/>
    <s v="Flagged"/>
    <s v=""/>
    <s v="Flagged"/>
    <s v=""/>
    <s v=""/>
    <n v="4"/>
    <n v="38902.984813593641"/>
    <m/>
    <m/>
    <n v="2"/>
    <s v="Flagged"/>
    <n v="38902.984813593641"/>
    <m/>
  </r>
  <r>
    <s v=""/>
    <x v="3"/>
    <s v="SS03"/>
    <x v="25"/>
    <s v="SS0311"/>
    <m/>
    <m/>
    <m/>
    <n v="136551.06257292113"/>
    <x v="1"/>
    <n v="0"/>
    <n v="10051.414475142667"/>
    <n v="55178.941958325748"/>
    <n v="65745.240818137798"/>
    <n v="45826.862089451446"/>
    <n v="20499.351389195963"/>
    <n v="887.58190672398734"/>
    <n v="78495.78828458814"/>
    <m/>
    <m/>
    <m/>
    <m/>
    <n v="0"/>
    <n v="0.05"/>
    <n v="0.4"/>
    <n v="0.5"/>
    <n v="0.35000000000000003"/>
    <n v="0.15000000000000002"/>
    <n v="0"/>
    <n v="0.55000000000000004"/>
    <n v="0"/>
    <n v="0"/>
    <n v="0"/>
    <n v="0"/>
    <n v="78495.78828458814"/>
    <s v="WASH"/>
    <n v="0.57484567901234562"/>
    <s v=""/>
    <s v=""/>
    <s v=""/>
    <n v="65745.240818137798"/>
    <s v="Food Security"/>
    <n v="0.48147000528119993"/>
    <n v="12750.547466450342"/>
    <n v="0.19393871416062591"/>
    <s v=""/>
    <n v="55178.941958325748"/>
    <s v="Nutrition"/>
    <n v="0.40409016904470468"/>
    <n v="23316.846326262392"/>
    <n v="0.42256784017121224"/>
    <s v=""/>
    <s v=""/>
    <s v=""/>
    <s v=""/>
    <s v=""/>
    <n v="4"/>
    <n v="78495.78828458814"/>
    <m/>
    <m/>
    <n v="0"/>
    <s v=""/>
    <n v="78495.78828458814"/>
    <m/>
  </r>
  <r>
    <s v=""/>
    <x v="4"/>
    <s v="SS04"/>
    <x v="26"/>
    <s v="SS0401"/>
    <m/>
    <m/>
    <m/>
    <n v="73916.557684246116"/>
    <x v="1"/>
    <n v="0"/>
    <n v="2831.6767999815529"/>
    <n v="17053.395666577886"/>
    <n v="13626.215734620651"/>
    <n v="12652.331611102678"/>
    <n v="2462.7610785672764"/>
    <n v="692.96772828980738"/>
    <n v="18479.139421061529"/>
    <m/>
    <m/>
    <m/>
    <m/>
    <n v="0"/>
    <n v="0.05"/>
    <n v="0.25"/>
    <n v="0.2"/>
    <n v="0.15000000000000002"/>
    <n v="0.05"/>
    <n v="0"/>
    <n v="0.25"/>
    <n v="0"/>
    <n v="0"/>
    <n v="0"/>
    <n v="0"/>
    <n v="18479.139421061529"/>
    <s v="WASH"/>
    <n v="0.25"/>
    <s v=""/>
    <s v=""/>
    <s v=""/>
    <n v="17053.395666577886"/>
    <s v="Nutrition"/>
    <n v="0.23071144275178398"/>
    <n v="1425.743754483643"/>
    <n v="8.3604683920979347E-2"/>
    <s v=""/>
    <n v="13626.215734620651"/>
    <s v="Food Security"/>
    <n v="0.18434591871592007"/>
    <n v="4852.9236864408776"/>
    <n v="0.35614610695696441"/>
    <s v=""/>
    <s v=""/>
    <s v=""/>
    <s v=""/>
    <s v=""/>
    <n v="4"/>
    <n v="18479.139421061529"/>
    <m/>
    <m/>
    <n v="0"/>
    <s v=""/>
    <n v="18479.139421061529"/>
    <m/>
  </r>
  <r>
    <s v=""/>
    <x v="4"/>
    <s v="SS04"/>
    <x v="27"/>
    <s v="SS0402"/>
    <m/>
    <m/>
    <m/>
    <n v="143892.97660154747"/>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8"/>
    <s v="SS0403"/>
    <m/>
    <m/>
    <m/>
    <n v="170865.34327385121"/>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9"/>
    <s v="SS0404"/>
    <m/>
    <m/>
    <m/>
    <n v="131576.89060543224"/>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0"/>
    <s v="SS0405"/>
    <m/>
    <m/>
    <m/>
    <n v="38561.747092505328"/>
    <x v="1"/>
    <n v="0"/>
    <n v="1048.6134448612065"/>
    <n v="6743.9571247993836"/>
    <n v="7657.630756073303"/>
    <n v="9263.9271118317556"/>
    <n v="1988.1217587373169"/>
    <n v="0"/>
    <n v="446.31651727436719"/>
    <m/>
    <m/>
    <m/>
    <m/>
    <n v="0"/>
    <n v="0.05"/>
    <n v="0.15000000000000002"/>
    <n v="0.2"/>
    <n v="0.25"/>
    <n v="0.05"/>
    <n v="0"/>
    <n v="0"/>
    <n v="0"/>
    <n v="0"/>
    <n v="0"/>
    <n v="0"/>
    <n v="9263.9271118317556"/>
    <s v="Health"/>
    <n v="0.2402361876812435"/>
    <s v="Flagged"/>
    <s v=""/>
    <s v=""/>
    <n v="7657.630756073303"/>
    <s v="Food Security"/>
    <n v="0.19858101184325236"/>
    <n v="1606.2963557584526"/>
    <n v="0.20976414336568674"/>
    <s v=""/>
    <n v="6743.9571247993836"/>
    <s v="Nutrition"/>
    <n v="0.17488722978814686"/>
    <n v="2519.969987032372"/>
    <n v="0.37366340568295575"/>
    <s v=""/>
    <s v=""/>
    <s v="Flagged"/>
    <s v=""/>
    <s v=""/>
    <n v="4"/>
    <n v="9263.9271118317556"/>
    <m/>
    <m/>
    <n v="2"/>
    <s v="Flagged"/>
    <n v="9263.9271118317556"/>
    <m/>
  </r>
  <r>
    <s v=""/>
    <x v="4"/>
    <s v="SS04"/>
    <x v="31"/>
    <s v="SS0406"/>
    <m/>
    <m/>
    <m/>
    <n v="62742.53767041306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2"/>
    <s v="SS0407"/>
    <m/>
    <m/>
    <m/>
    <n v="110327.5657380367"/>
    <x v="1"/>
    <n v="0"/>
    <n v="1838.6088830243818"/>
    <n v="19568.657874424189"/>
    <n v="23154.111732684509"/>
    <n v="14871.388369528931"/>
    <n v="4044.503842940685"/>
    <n v="0"/>
    <n v="15663.790197375582"/>
    <m/>
    <m/>
    <m/>
    <m/>
    <n v="0"/>
    <n v="0"/>
    <n v="0.2"/>
    <n v="0.2"/>
    <n v="0.15000000000000002"/>
    <n v="0.05"/>
    <n v="0"/>
    <n v="0.15000000000000002"/>
    <n v="0"/>
    <n v="0"/>
    <n v="0"/>
    <n v="0"/>
    <n v="23154.111732684509"/>
    <s v="Food Security"/>
    <n v="0.20986696822135958"/>
    <s v="Flagged"/>
    <s v=""/>
    <s v=""/>
    <n v="19568.657874424189"/>
    <s v="Nutrition"/>
    <n v="0.17736870874943692"/>
    <n v="3585.45385826032"/>
    <n v="0.18322431110344212"/>
    <s v=""/>
    <n v="15663.790197375582"/>
    <s v="WASH"/>
    <n v="0.1419753086419753"/>
    <n v="7490.3215353089272"/>
    <n v="0.47819342834175005"/>
    <s v=""/>
    <s v=""/>
    <s v=""/>
    <s v=""/>
    <s v=""/>
    <n v="4"/>
    <n v="23154.111732684509"/>
    <m/>
    <m/>
    <n v="1"/>
    <s v="Flagged"/>
    <n v="23154.111732684509"/>
    <m/>
  </r>
  <r>
    <s v=""/>
    <x v="4"/>
    <s v="SS04"/>
    <x v="33"/>
    <s v="SS0408"/>
    <m/>
    <m/>
    <m/>
    <n v="128918.60101552917"/>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4"/>
    <s v="SS0501"/>
    <m/>
    <m/>
    <m/>
    <n v="53097.621318074722"/>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5"/>
    <s v="SS0502"/>
    <m/>
    <m/>
    <m/>
    <n v="211899.62896361714"/>
    <x v="1"/>
    <n v="0"/>
    <n v="23313.34127032485"/>
    <n v="60683.262481643316"/>
    <n v="93441.707568261045"/>
    <n v="80561.488242433319"/>
    <n v="21361.182690544585"/>
    <n v="5254.2459018529553"/>
    <n v="22781.390150923864"/>
    <m/>
    <m/>
    <m/>
    <m/>
    <n v="0"/>
    <n v="0.1"/>
    <n v="0.30000000000000004"/>
    <n v="0.45"/>
    <n v="0.4"/>
    <n v="0.1"/>
    <n v="0"/>
    <n v="0.1"/>
    <n v="0"/>
    <n v="0"/>
    <n v="0"/>
    <n v="0"/>
    <n v="93441.707568261045"/>
    <s v="Food Security"/>
    <n v="0.44097154877182371"/>
    <s v=""/>
    <s v=""/>
    <s v=""/>
    <n v="80561.488242433319"/>
    <s v="Health"/>
    <n v="0.38018701890349044"/>
    <n v="12880.219325827726"/>
    <n v="0.15988060308751176"/>
    <s v=""/>
    <n v="60683.262481643316"/>
    <s v="Nutrition"/>
    <n v="0.28637738904234961"/>
    <n v="32758.445086617729"/>
    <n v="0.53982669597777733"/>
    <s v="Flagged"/>
    <s v=""/>
    <s v=""/>
    <s v=""/>
    <s v="Flagged"/>
    <n v="4"/>
    <n v="93441.707568261045"/>
    <m/>
    <m/>
    <n v="2"/>
    <s v="Flagged"/>
    <n v="93441.707568261045"/>
    <m/>
  </r>
  <r>
    <s v=""/>
    <x v="5"/>
    <s v="SS05"/>
    <x v="36"/>
    <s v="SS0503"/>
    <m/>
    <m/>
    <m/>
    <n v="109801.05355905752"/>
    <x v="1"/>
    <n v="0"/>
    <n v="5744.9097073477342"/>
    <n v="51087.260668412309"/>
    <n v="44165.640241204113"/>
    <n v="45205.040373118449"/>
    <n v="13750.197187842048"/>
    <n v="1942.6340245064021"/>
    <n v="4447.9593455636723"/>
    <m/>
    <m/>
    <m/>
    <m/>
    <n v="0"/>
    <n v="0.05"/>
    <n v="0.45"/>
    <n v="0.4"/>
    <n v="0.4"/>
    <n v="0.15000000000000002"/>
    <n v="0"/>
    <n v="0.05"/>
    <n v="0"/>
    <n v="0"/>
    <n v="0"/>
    <n v="0"/>
    <n v="51087.260668412309"/>
    <s v="Nutrition"/>
    <n v="0.46527113367755213"/>
    <s v=""/>
    <s v=""/>
    <s v=""/>
    <n v="45205.040373118449"/>
    <s v="Health"/>
    <n v="0.41169951387401305"/>
    <n v="5882.2202952938605"/>
    <n v="0.13012310677620303"/>
    <s v=""/>
    <n v="44165.640241204113"/>
    <s v="Food Security"/>
    <n v="0.4022333011353959"/>
    <n v="6921.6204272081959"/>
    <n v="0.15671957633596592"/>
    <s v=""/>
    <s v=""/>
    <s v=""/>
    <s v=""/>
    <s v="Flagged"/>
    <n v="4"/>
    <n v="51087.260668412309"/>
    <m/>
    <m/>
    <n v="1"/>
    <s v="Flagged"/>
    <n v="51087.260668412309"/>
    <m/>
  </r>
  <r>
    <s v=""/>
    <x v="5"/>
    <s v="SS05"/>
    <x v="37"/>
    <s v="SS0504"/>
    <m/>
    <m/>
    <m/>
    <n v="105778.12989801918"/>
    <x v="1"/>
    <n v="0"/>
    <n v="3859.5795146539758"/>
    <n v="38338.054769520058"/>
    <n v="44990.666204413006"/>
    <n v="34918.92102826466"/>
    <n v="11979.099361413493"/>
    <n v="524.56444217331159"/>
    <n v="24783.553575279697"/>
    <m/>
    <m/>
    <m/>
    <m/>
    <n v="0"/>
    <n v="0.05"/>
    <n v="0.35000000000000003"/>
    <n v="0.45"/>
    <n v="0.35000000000000003"/>
    <n v="0.1"/>
    <n v="0"/>
    <n v="0.25"/>
    <n v="0"/>
    <n v="0"/>
    <n v="0"/>
    <n v="0"/>
    <n v="44990.666204413006"/>
    <s v="Food Security"/>
    <n v="0.42533051253400456"/>
    <s v=""/>
    <s v=""/>
    <s v=""/>
    <n v="38338.054769520058"/>
    <s v="Nutrition"/>
    <n v="0.36243838689984237"/>
    <n v="6652.6114348929477"/>
    <n v="0.17352501254659325"/>
    <s v=""/>
    <n v="34918.92102826466"/>
    <s v="Health"/>
    <n v="0.33011475114874911"/>
    <n v="10071.745176148346"/>
    <n v="0.28843231347256992"/>
    <s v=""/>
    <s v=""/>
    <s v=""/>
    <s v=""/>
    <s v=""/>
    <n v="4"/>
    <n v="44990.666204413006"/>
    <m/>
    <m/>
    <n v="0"/>
    <s v=""/>
    <n v="44990.666204413006"/>
    <m/>
  </r>
  <r>
    <s v=""/>
    <x v="5"/>
    <s v="SS05"/>
    <x v="38"/>
    <s v="SS0505"/>
    <m/>
    <m/>
    <m/>
    <n v="138670.80517744401"/>
    <x v="1"/>
    <n v="0"/>
    <n v="2172.5832388760509"/>
    <n v="32087.807028709831"/>
    <n v="25587.502546799253"/>
    <n v="20649.943294271838"/>
    <n v="6864.6608455997493"/>
    <n v="524.56444217331159"/>
    <n v="5514.8519018889228"/>
    <m/>
    <m/>
    <m/>
    <m/>
    <n v="0"/>
    <n v="0"/>
    <n v="0.25"/>
    <n v="0.2"/>
    <n v="0.15000000000000002"/>
    <n v="0.05"/>
    <n v="0"/>
    <n v="0.05"/>
    <n v="0"/>
    <n v="0"/>
    <n v="0"/>
    <n v="0"/>
    <n v="32087.807028709831"/>
    <s v="Nutrition"/>
    <n v="0.23139554852695979"/>
    <s v=""/>
    <s v=""/>
    <s v=""/>
    <n v="25587.502546799253"/>
    <s v="Food Security"/>
    <n v="0.18451975175349511"/>
    <n v="6500.304481910578"/>
    <n v="0.25404216257610895"/>
    <s v=""/>
    <n v="20649.943294271838"/>
    <s v="Health"/>
    <n v="0.14891341596991553"/>
    <n v="11437.863734437993"/>
    <n v="0.5538932272811995"/>
    <s v="Flagged"/>
    <s v=""/>
    <s v=""/>
    <s v=""/>
    <s v=""/>
    <n v="4"/>
    <n v="32087.807028709831"/>
    <m/>
    <m/>
    <n v="1"/>
    <s v="Flagged"/>
    <n v="32087.807028709831"/>
    <m/>
  </r>
  <r>
    <s v=""/>
    <x v="6"/>
    <s v="SS06"/>
    <x v="39"/>
    <s v="SS0601"/>
    <m/>
    <m/>
    <m/>
    <n v="39195.118555506007"/>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6"/>
    <s v="SS06"/>
    <x v="40"/>
    <s v="SS0602"/>
    <m/>
    <m/>
    <m/>
    <n v="37012.158261154211"/>
    <x v="1"/>
    <n v="0"/>
    <n v="843.23652789481548"/>
    <n v="9419.3703674950648"/>
    <n v="8360.8879485869766"/>
    <n v="6655.6402149386158"/>
    <n v="1286.6742909774725"/>
    <n v="524.56444217331159"/>
    <n v="3065.3073457025857"/>
    <m/>
    <m/>
    <m/>
    <m/>
    <n v="0"/>
    <n v="0"/>
    <n v="0.25"/>
    <n v="0.25"/>
    <n v="0.2"/>
    <n v="0.05"/>
    <n v="0"/>
    <n v="0.1"/>
    <n v="0"/>
    <n v="0"/>
    <n v="0"/>
    <n v="0"/>
    <n v="9419.3703674950648"/>
    <s v="Nutrition"/>
    <n v="0.25449395036714417"/>
    <s v=""/>
    <s v=""/>
    <s v=""/>
    <n v="8360.8879485869766"/>
    <s v="Food Security"/>
    <n v="0.22589571485114052"/>
    <n v="1058.4824189080882"/>
    <n v="0.12659928292508404"/>
    <s v=""/>
    <n v="6655.6402149386158"/>
    <s v="Health"/>
    <n v="0.17982307781073079"/>
    <n v="2763.730152556449"/>
    <n v="0.41524632692032293"/>
    <s v=""/>
    <s v=""/>
    <s v=""/>
    <s v=""/>
    <s v=""/>
    <n v="4"/>
    <n v="9419.3703674950648"/>
    <m/>
    <m/>
    <n v="0"/>
    <s v=""/>
    <n v="9419.3703674950648"/>
    <m/>
  </r>
  <r>
    <s v=""/>
    <x v="6"/>
    <s v="SS06"/>
    <x v="41"/>
    <s v="SS0603"/>
    <m/>
    <m/>
    <m/>
    <n v="52356.268586149592"/>
    <x v="1"/>
    <n v="0"/>
    <n v="1116.2953324028977"/>
    <n v="14242.866710529557"/>
    <n v="11099.545373450037"/>
    <n v="9394.4204669651717"/>
    <n v="1775.83022713176"/>
    <n v="0"/>
    <n v="6054.1424258889974"/>
    <m/>
    <m/>
    <m/>
    <m/>
    <n v="0"/>
    <n v="0"/>
    <n v="0.25"/>
    <n v="0.2"/>
    <n v="0.2"/>
    <n v="0.05"/>
    <n v="0"/>
    <n v="0.1"/>
    <n v="0"/>
    <n v="0"/>
    <n v="0"/>
    <n v="0"/>
    <n v="14242.866710529557"/>
    <s v="Nutrition"/>
    <n v="0.27203746743512941"/>
    <s v="Flagged"/>
    <s v=""/>
    <s v=""/>
    <n v="11099.545373450037"/>
    <s v="Food Security"/>
    <n v="0.21200031387237417"/>
    <n v="3143.3213370795202"/>
    <n v="0.28319370130224453"/>
    <s v=""/>
    <n v="9394.4204669651717"/>
    <s v="Health"/>
    <n v="0.17943258220373609"/>
    <n v="4848.4462435643854"/>
    <n v="0.51609849278234998"/>
    <s v="Flagged"/>
    <s v=""/>
    <s v=""/>
    <s v=""/>
    <s v=""/>
    <n v="4"/>
    <n v="14242.866710529557"/>
    <m/>
    <m/>
    <n v="2"/>
    <s v="Flagged"/>
    <n v="14242.866710529557"/>
    <m/>
  </r>
  <r>
    <s v=""/>
    <x v="6"/>
    <s v="SS06"/>
    <x v="42"/>
    <s v="SS0604"/>
    <m/>
    <m/>
    <m/>
    <n v="27460.602325830623"/>
    <x v="1"/>
    <n v="0"/>
    <n v="1071.4632736697245"/>
    <n v="6764.4180032334552"/>
    <n v="10968.254931412208"/>
    <n v="13708.290932726555"/>
    <n v="2390.4840857135678"/>
    <n v="768.8968651232575"/>
    <n v="2984.080371055411"/>
    <m/>
    <m/>
    <m/>
    <m/>
    <n v="0"/>
    <n v="0.05"/>
    <n v="0.25"/>
    <n v="0.4"/>
    <n v="0.5"/>
    <n v="0.1"/>
    <n v="0.05"/>
    <n v="0.1"/>
    <n v="0"/>
    <n v="0"/>
    <n v="0"/>
    <n v="0"/>
    <n v="13708.290932726555"/>
    <s v="Health"/>
    <n v="0.49919847970093312"/>
    <s v=""/>
    <s v=""/>
    <s v=""/>
    <n v="10968.254931412208"/>
    <s v="Food Security"/>
    <n v="0.39941785694536625"/>
    <n v="2740.0360013143472"/>
    <n v="0.24981512724208318"/>
    <s v=""/>
    <n v="6764.4180032334552"/>
    <s v="Nutrition"/>
    <n v="0.24633174185223727"/>
    <n v="6943.8729294930999"/>
    <n v="1.0265292485138948"/>
    <s v="Flagged"/>
    <s v=""/>
    <s v="Flagged"/>
    <s v=""/>
    <s v=""/>
    <n v="4"/>
    <n v="13708.290932726555"/>
    <m/>
    <m/>
    <n v="2"/>
    <s v="Flagged"/>
    <n v="13708.290932726555"/>
    <m/>
  </r>
  <r>
    <s v=""/>
    <x v="6"/>
    <s v="SS06"/>
    <x v="43"/>
    <s v="SS0605"/>
    <m/>
    <m/>
    <m/>
    <n v="32690.293010704088"/>
    <x v="1"/>
    <n v="0"/>
    <n v="1211.5735238154566"/>
    <n v="10286.161451833896"/>
    <n v="13565.03394556789"/>
    <n v="14120.844859922978"/>
    <n v="2944.3992123536118"/>
    <n v="565.79353287757078"/>
    <n v="3144.5909429020912"/>
    <m/>
    <m/>
    <m/>
    <m/>
    <n v="0"/>
    <n v="0.05"/>
    <n v="0.30000000000000004"/>
    <n v="0.4"/>
    <n v="0.45"/>
    <n v="0.1"/>
    <n v="0"/>
    <n v="0.1"/>
    <n v="0"/>
    <n v="0"/>
    <n v="0"/>
    <n v="0"/>
    <n v="14120.844859922978"/>
    <s v="Health"/>
    <n v="0.43195834479976236"/>
    <s v=""/>
    <s v=""/>
    <s v=""/>
    <n v="13565.03394556789"/>
    <s v="Food Security"/>
    <n v="0.41495602199485221"/>
    <n v="555.81091435508824"/>
    <n v="4.0973794579901412E-2"/>
    <s v=""/>
    <n v="10286.161451833896"/>
    <s v="Nutrition"/>
    <n v="0.31465491754588437"/>
    <n v="3834.6834080890821"/>
    <n v="0.37280023515530231"/>
    <s v=""/>
    <s v=""/>
    <s v="Flagged"/>
    <s v=""/>
    <s v=""/>
    <n v="4"/>
    <n v="14120.844859922978"/>
    <m/>
    <m/>
    <n v="1"/>
    <s v="Flagged"/>
    <n v="14120.844859922978"/>
    <m/>
  </r>
  <r>
    <s v=""/>
    <x v="6"/>
    <s v="SS06"/>
    <x v="44"/>
    <s v="SS0606"/>
    <m/>
    <m/>
    <m/>
    <n v="95120.28021781116"/>
    <x v="1"/>
    <n v="0"/>
    <n v="2910.7661829172175"/>
    <n v="25643.993664077014"/>
    <n v="17133.376838374101"/>
    <n v="17976.534491231843"/>
    <n v="3132.8790530901802"/>
    <n v="524.56444217331159"/>
    <n v="5345.6227437221551"/>
    <m/>
    <m/>
    <m/>
    <m/>
    <n v="0"/>
    <n v="0.05"/>
    <n v="0.25"/>
    <n v="0.2"/>
    <n v="0.2"/>
    <n v="0.05"/>
    <n v="0"/>
    <n v="0.05"/>
    <n v="0"/>
    <n v="0"/>
    <n v="0"/>
    <n v="0"/>
    <n v="25643.993664077014"/>
    <s v="Nutrition"/>
    <n v="0.26959543858950075"/>
    <s v=""/>
    <s v=""/>
    <s v=""/>
    <n v="17976.534491231843"/>
    <s v="Health"/>
    <n v="0.18898740047935392"/>
    <n v="7667.4591728451705"/>
    <n v="0.42652599012256881"/>
    <s v="Flagged"/>
    <n v="17133.376838374101"/>
    <s v="Food Security"/>
    <n v="0.18012327969536296"/>
    <n v="8510.616825702913"/>
    <n v="0.49672734721163941"/>
    <s v=""/>
    <s v=""/>
    <s v=""/>
    <s v=""/>
    <s v="Flagged"/>
    <n v="4"/>
    <n v="25643.993664077014"/>
    <m/>
    <m/>
    <n v="2"/>
    <s v="Flagged"/>
    <n v="25643.993664077014"/>
    <m/>
  </r>
  <r>
    <s v=""/>
    <x v="6"/>
    <s v="SS06"/>
    <x v="45"/>
    <s v="SS0607"/>
    <m/>
    <m/>
    <m/>
    <n v="46967.678081984632"/>
    <x v="1"/>
    <n v="0"/>
    <n v="4280.2283796534512"/>
    <n v="13520.696823211947"/>
    <n v="19066.573842383557"/>
    <n v="27160.533337712492"/>
    <n v="6943.4909534980879"/>
    <n v="958.72167631267587"/>
    <n v="12164.725264546945"/>
    <m/>
    <m/>
    <m/>
    <m/>
    <n v="0"/>
    <n v="0.1"/>
    <n v="0.30000000000000004"/>
    <n v="0.4"/>
    <n v="0.60000000000000009"/>
    <n v="0.15000000000000002"/>
    <n v="0"/>
    <n v="0.25"/>
    <n v="0"/>
    <n v="0"/>
    <n v="0"/>
    <n v="0"/>
    <n v="27160.533337712492"/>
    <s v="Health"/>
    <n v="0.57828137235786503"/>
    <s v=""/>
    <s v=""/>
    <s v=""/>
    <n v="19066.573842383557"/>
    <s v="Food Security"/>
    <n v="0.40595095650889573"/>
    <n v="8093.9594953289343"/>
    <n v="0.4245104318289567"/>
    <s v="Flagged"/>
    <n v="13520.696823211947"/>
    <s v="Nutrition"/>
    <n v="0.28787237043336134"/>
    <n v="13639.836514500545"/>
    <n v="1.0088116531896538"/>
    <s v="Flagged"/>
    <s v=""/>
    <s v="Flagged"/>
    <s v=""/>
    <s v=""/>
    <n v="4"/>
    <n v="27160.533337712492"/>
    <m/>
    <m/>
    <n v="3"/>
    <s v="Flagged"/>
    <n v="27160.533337712492"/>
    <m/>
  </r>
  <r>
    <s v=""/>
    <x v="6"/>
    <s v="SS06"/>
    <x v="46"/>
    <s v="SS0608"/>
    <m/>
    <m/>
    <m/>
    <n v="96392.652760116689"/>
    <x v="1"/>
    <n v="0"/>
    <n v="2254.4120842230577"/>
    <n v="27154.919948448758"/>
    <n v="32203.115122920968"/>
    <n v="60308.079776676626"/>
    <n v="12721.294078158715"/>
    <n v="0"/>
    <n v="13248.817604349008"/>
    <m/>
    <m/>
    <m/>
    <m/>
    <n v="0"/>
    <n v="0"/>
    <n v="0.30000000000000004"/>
    <n v="0.35000000000000003"/>
    <n v="0.65"/>
    <n v="0.15000000000000002"/>
    <n v="0"/>
    <n v="0.15000000000000002"/>
    <n v="0"/>
    <n v="0"/>
    <n v="0"/>
    <n v="0"/>
    <n v="60308.079776676626"/>
    <s v="Health"/>
    <n v="0.6256501719769002"/>
    <s v="Flagged"/>
    <s v=""/>
    <s v=""/>
    <n v="32203.115122920968"/>
    <s v="Food Security"/>
    <n v="0.3340826733243023"/>
    <n v="28104.964653755658"/>
    <n v="0.87274055775279946"/>
    <s v="Flagged"/>
    <n v="27154.919948448758"/>
    <s v="Nutrition"/>
    <n v="0.28171151193469746"/>
    <n v="33153.159828227872"/>
    <n v="1.2208896174677093"/>
    <s v="Flagged"/>
    <s v=""/>
    <s v="Flagged"/>
    <s v=""/>
    <s v=""/>
    <n v="4"/>
    <n v="60308.079776676626"/>
    <m/>
    <m/>
    <n v="4"/>
    <s v="Flagged"/>
    <n v="60308.079776676626"/>
    <m/>
  </r>
  <r>
    <s v=""/>
    <x v="6"/>
    <s v="SS06"/>
    <x v="47"/>
    <s v="SS0609"/>
    <m/>
    <m/>
    <m/>
    <n v="128065.73135408323"/>
    <x v="1"/>
    <n v="0"/>
    <n v="10579.246251754224"/>
    <n v="29548.754558209097"/>
    <n v="59467.210306405665"/>
    <n v="72884.705316643594"/>
    <n v="11446.894961098636"/>
    <n v="2845.9051412018489"/>
    <n v="20998.432031437256"/>
    <m/>
    <m/>
    <m/>
    <m/>
    <n v="0"/>
    <n v="0.1"/>
    <n v="0.25"/>
    <n v="0.45"/>
    <n v="0.55000000000000004"/>
    <n v="0.1"/>
    <n v="0"/>
    <n v="0.15000000000000002"/>
    <n v="0"/>
    <n v="0"/>
    <n v="0"/>
    <n v="0"/>
    <n v="72884.705316643594"/>
    <s v="Health"/>
    <n v="0.56911950250866039"/>
    <s v=""/>
    <s v=""/>
    <s v=""/>
    <n v="59467.210306405665"/>
    <s v="Food Security"/>
    <n v="0.46434912507536796"/>
    <n v="13417.49501023793"/>
    <n v="0.22562845879441951"/>
    <s v=""/>
    <n v="29548.754558209097"/>
    <s v="Nutrition"/>
    <n v="0.23073115849009651"/>
    <n v="43335.950758434497"/>
    <n v="1.466591448822844"/>
    <s v="Flagged"/>
    <s v=""/>
    <s v="Flagged"/>
    <s v=""/>
    <s v=""/>
    <n v="4"/>
    <n v="72884.705316643594"/>
    <m/>
    <m/>
    <n v="2"/>
    <s v="Flagged"/>
    <n v="72884.705316643594"/>
    <m/>
  </r>
  <r>
    <s v=""/>
    <x v="7"/>
    <s v="SS07"/>
    <x v="48"/>
    <s v="SS0701"/>
    <m/>
    <m/>
    <m/>
    <n v="38631.891660273708"/>
    <x v="1"/>
    <n v="0"/>
    <n v="928.74158102630827"/>
    <n v="16808.57557577873"/>
    <n v="17248.961839678679"/>
    <n v="17177.184197164377"/>
    <n v="5240.2558596005074"/>
    <n v="524.56444217331159"/>
    <n v="31163.191755102478"/>
    <m/>
    <m/>
    <m/>
    <m/>
    <n v="0"/>
    <n v="0"/>
    <n v="0.45"/>
    <n v="0.45"/>
    <n v="0.45"/>
    <n v="0.15000000000000002"/>
    <n v="0"/>
    <n v="0.8"/>
    <n v="0"/>
    <n v="0"/>
    <n v="0"/>
    <n v="0"/>
    <n v="31163.191755102478"/>
    <s v="WASH"/>
    <n v="0.80667009602194784"/>
    <s v=""/>
    <s v=""/>
    <s v=""/>
    <n v="17248.961839678679"/>
    <s v="Food Security"/>
    <n v="0.44649539793093501"/>
    <n v="13914.229915423799"/>
    <n v="0.80667057210458759"/>
    <s v="Flagged"/>
    <n v="17177.184197164377"/>
    <s v="Health"/>
    <n v="0.44463740860062961"/>
    <n v="13986.007557938101"/>
    <n v="0.81422003731245551"/>
    <s v="Flagged"/>
    <s v=""/>
    <s v=""/>
    <s v=""/>
    <s v=""/>
    <n v="4"/>
    <n v="31163.191755102478"/>
    <m/>
    <m/>
    <n v="2"/>
    <s v="Flagged"/>
    <n v="31163.191755102478"/>
    <m/>
  </r>
  <r>
    <s v=""/>
    <x v="7"/>
    <s v="SS07"/>
    <x v="49"/>
    <s v="SS0702"/>
    <m/>
    <m/>
    <m/>
    <n v="44904.26104030956"/>
    <x v="1"/>
    <n v="0"/>
    <n v="4594.3525257826486"/>
    <n v="10419.049491088002"/>
    <n v="17412.318752540163"/>
    <n v="13837.966186267111"/>
    <n v="5298.4776374919757"/>
    <n v="790.31499430944837"/>
    <n v="40879.091609459501"/>
    <m/>
    <m/>
    <m/>
    <m/>
    <n v="0"/>
    <n v="0.1"/>
    <n v="0.25"/>
    <n v="0.4"/>
    <n v="0.30000000000000004"/>
    <n v="0.1"/>
    <n v="0"/>
    <n v="0.9"/>
    <n v="0"/>
    <n v="0"/>
    <n v="0"/>
    <n v="0"/>
    <n v="40879.091609459501"/>
    <s v="WASH"/>
    <n v="0.91036108071711164"/>
    <s v=""/>
    <s v="Flagged"/>
    <s v=""/>
    <n v="17412.318752540163"/>
    <s v="Food Security"/>
    <n v="0.38776540019018485"/>
    <n v="23466.772856919339"/>
    <n v="1.3477109620162411"/>
    <s v="Flagged"/>
    <n v="13837.966186267111"/>
    <s v="Health"/>
    <n v="0.30816599284074792"/>
    <n v="27041.125423192389"/>
    <n v="1.9541257045437921"/>
    <s v="Flagged"/>
    <s v=""/>
    <s v=""/>
    <s v=""/>
    <s v=""/>
    <n v="4"/>
    <n v="40879.091609459501"/>
    <m/>
    <m/>
    <n v="3"/>
    <s v="Flagged"/>
    <n v="40879.091609459501"/>
    <m/>
  </r>
  <r>
    <s v=""/>
    <x v="7"/>
    <s v="SS07"/>
    <x v="50"/>
    <s v="SS0703"/>
    <m/>
    <m/>
    <m/>
    <n v="45380.431986163101"/>
    <x v="1"/>
    <n v="0"/>
    <n v="4690.6326321481838"/>
    <n v="11171.193416788352"/>
    <n v="23775.539670418675"/>
    <n v="13795.741463467401"/>
    <n v="7898.9953601484749"/>
    <n v="1340.4681448220485"/>
    <n v="3815.7605886858805"/>
    <m/>
    <m/>
    <m/>
    <m/>
    <n v="0"/>
    <n v="0.1"/>
    <n v="0.25"/>
    <n v="0.5"/>
    <n v="0.30000000000000004"/>
    <n v="0.15000000000000002"/>
    <n v="0.05"/>
    <n v="0.1"/>
    <n v="0"/>
    <n v="0"/>
    <n v="0"/>
    <n v="0"/>
    <n v="23775.539670418675"/>
    <s v="Food Security"/>
    <n v="0.52391611604023625"/>
    <s v=""/>
    <s v=""/>
    <s v=""/>
    <n v="13795.741463467401"/>
    <s v="Health"/>
    <n v="0.30400198631149755"/>
    <n v="9979.7982069512746"/>
    <n v="0.72339701591094963"/>
    <s v="Flagged"/>
    <n v="11171.193416788352"/>
    <s v="Nutrition"/>
    <n v="0.24616763058127231"/>
    <n v="12604.346253630323"/>
    <n v="1.1282900387964094"/>
    <s v="Flagged"/>
    <s v=""/>
    <s v=""/>
    <s v=""/>
    <s v="Flagged"/>
    <n v="4"/>
    <n v="23775.539670418675"/>
    <m/>
    <m/>
    <n v="3"/>
    <s v="Flagged"/>
    <n v="23775.539670418675"/>
    <m/>
  </r>
  <r>
    <s v=""/>
    <x v="7"/>
    <s v="SS07"/>
    <x v="51"/>
    <s v="SS0704"/>
    <m/>
    <m/>
    <m/>
    <n v="117681.01108725299"/>
    <x v="1"/>
    <n v="0"/>
    <n v="11499.717794839709"/>
    <n v="32666.073710915625"/>
    <n v="63487.448364839125"/>
    <n v="65400.972763241043"/>
    <n v="23546.533207421144"/>
    <n v="1176.8101108725298"/>
    <n v="88260.758315439714"/>
    <m/>
    <m/>
    <m/>
    <m/>
    <n v="0"/>
    <n v="0.1"/>
    <n v="0.30000000000000004"/>
    <n v="0.55000000000000004"/>
    <n v="0.55000000000000004"/>
    <n v="0.2"/>
    <n v="0"/>
    <n v="0.75"/>
    <n v="0"/>
    <n v="0"/>
    <n v="0"/>
    <n v="0"/>
    <n v="88260.758315439714"/>
    <s v="WASH"/>
    <n v="0.74999999999999978"/>
    <s v=""/>
    <s v=""/>
    <s v=""/>
    <n v="65400.972763241043"/>
    <s v="Health"/>
    <n v="0.55574788284874932"/>
    <n v="22859.785552198671"/>
    <n v="0.34953280641487849"/>
    <s v="Flagged"/>
    <n v="63487.448364839125"/>
    <s v="Food Security"/>
    <n v="0.53948761808111267"/>
    <n v="24773.309950600589"/>
    <n v="0.3902079952597472"/>
    <s v=""/>
    <s v=""/>
    <s v=""/>
    <s v=""/>
    <s v="Flagged"/>
    <n v="4"/>
    <n v="88260.758315439714"/>
    <m/>
    <m/>
    <n v="2"/>
    <s v="Flagged"/>
    <n v="88260.758315439714"/>
    <m/>
  </r>
  <r>
    <s v=""/>
    <x v="7"/>
    <s v="SS07"/>
    <x v="52"/>
    <s v="SS0705"/>
    <m/>
    <m/>
    <m/>
    <n v="54056.787582147139"/>
    <x v="1"/>
    <n v="0"/>
    <n v="5585.5608274124452"/>
    <n v="11798.564091950871"/>
    <n v="19975.542821535786"/>
    <n v="21524.525191378929"/>
    <n v="12133.334093717327"/>
    <n v="0"/>
    <n v="9009.4645970245219"/>
    <m/>
    <m/>
    <m/>
    <m/>
    <n v="0"/>
    <n v="0.1"/>
    <n v="0.2"/>
    <n v="0.35000000000000003"/>
    <n v="0.4"/>
    <n v="0.2"/>
    <n v="0"/>
    <n v="0.15000000000000002"/>
    <n v="0"/>
    <n v="0"/>
    <n v="0"/>
    <n v="0"/>
    <n v="21524.525191378929"/>
    <s v="Health"/>
    <n v="0.39818357978948132"/>
    <s v="Flagged"/>
    <s v=""/>
    <s v=""/>
    <n v="19975.542821535786"/>
    <s v="Food Security"/>
    <n v="0.36952885502454336"/>
    <n v="1548.9823698431428"/>
    <n v="7.7543943795768747E-2"/>
    <s v=""/>
    <n v="12133.334093717327"/>
    <s v="Overarching Protection"/>
    <n v="0.22445532996719356"/>
    <n v="9391.1910976616018"/>
    <n v="0.77399921778502623"/>
    <s v="Flagged"/>
    <s v=""/>
    <s v="Flagged"/>
    <s v=""/>
    <s v=""/>
    <n v="4"/>
    <n v="21524.525191378929"/>
    <m/>
    <m/>
    <n v="3"/>
    <s v="Flagged"/>
    <n v="21524.525191378929"/>
    <m/>
  </r>
  <r>
    <s v=""/>
    <x v="7"/>
    <s v="SS07"/>
    <x v="53"/>
    <s v="SS0706"/>
    <m/>
    <m/>
    <m/>
    <n v="75995.604930880276"/>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4"/>
    <s v="SS0707"/>
    <m/>
    <m/>
    <m/>
    <n v="123133.14998785798"/>
    <x v="1"/>
    <n v="0"/>
    <n v="1035.0277068419368"/>
    <n v="33436.927896884066"/>
    <n v="56380.997843816796"/>
    <n v="74880.686534567067"/>
    <n v="10746.803541154733"/>
    <n v="2252.435670509597"/>
    <n v="76951.972640735839"/>
    <m/>
    <m/>
    <m/>
    <m/>
    <n v="0"/>
    <n v="0"/>
    <n v="0.25"/>
    <n v="0.45"/>
    <n v="0.60000000000000009"/>
    <n v="0.1"/>
    <n v="0"/>
    <n v="0.60000000000000009"/>
    <n v="0"/>
    <n v="0"/>
    <n v="0"/>
    <n v="0"/>
    <n v="76951.972640735839"/>
    <s v="WASH"/>
    <n v="0.62494927359792218"/>
    <s v=""/>
    <s v=""/>
    <s v=""/>
    <n v="74880.686534567067"/>
    <s v="Health"/>
    <n v="0.60812775878754799"/>
    <n v="2071.2861061687727"/>
    <n v="2.7661152722105557E-2"/>
    <s v=""/>
    <n v="56380.997843816796"/>
    <s v="Food Security"/>
    <n v="0.4578864249747242"/>
    <n v="20570.974796919043"/>
    <n v="0.36485652229681181"/>
    <s v=""/>
    <s v=""/>
    <s v=""/>
    <s v=""/>
    <s v="Flagged"/>
    <n v="4"/>
    <n v="76951.972640735839"/>
    <m/>
    <m/>
    <n v="1"/>
    <s v="Flagged"/>
    <n v="76951.972640735839"/>
    <m/>
  </r>
  <r>
    <s v=""/>
    <x v="7"/>
    <s v="SS07"/>
    <x v="55"/>
    <s v="SS0708"/>
    <m/>
    <m/>
    <m/>
    <n v="55774.82852003994"/>
    <x v="1"/>
    <n v="0"/>
    <n v="599.95867542436565"/>
    <n v="15832.210428432456"/>
    <n v="10590.768288016634"/>
    <n v="9628.0977168572281"/>
    <n v="3534.5689693627205"/>
    <n v="0"/>
    <n v="18493.582759023877"/>
    <m/>
    <m/>
    <m/>
    <m/>
    <n v="0"/>
    <n v="0"/>
    <n v="0.30000000000000004"/>
    <n v="0.2"/>
    <n v="0.15000000000000002"/>
    <n v="0.05"/>
    <n v="0"/>
    <n v="0.35000000000000003"/>
    <n v="0"/>
    <n v="0"/>
    <n v="0"/>
    <n v="0"/>
    <n v="18493.582759023877"/>
    <s v="WASH"/>
    <n v="0.33157578875171473"/>
    <s v="Flagged"/>
    <s v=""/>
    <s v=""/>
    <n v="15832.210428432456"/>
    <s v="Nutrition"/>
    <n v="0.28385941917766594"/>
    <n v="2661.3723305914209"/>
    <n v="0.1680985951154341"/>
    <s v=""/>
    <n v="10590.768288016634"/>
    <s v="Food Security"/>
    <n v="0.18988437201938438"/>
    <n v="7902.8144710072429"/>
    <n v="0.74619841130404219"/>
    <s v="Flagged"/>
    <s v=""/>
    <s v=""/>
    <s v=""/>
    <s v=""/>
    <n v="4"/>
    <n v="18493.582759023877"/>
    <m/>
    <m/>
    <n v="2"/>
    <s v="Flagged"/>
    <n v="18493.582759023877"/>
    <m/>
  </r>
  <r>
    <s v=""/>
    <x v="7"/>
    <s v="SS07"/>
    <x v="56"/>
    <s v="SS0709"/>
    <m/>
    <m/>
    <m/>
    <n v="84237.505871052446"/>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7"/>
    <s v="SS0710"/>
    <m/>
    <m/>
    <m/>
    <n v="39623.047823684894"/>
    <x v="1"/>
    <n v="0"/>
    <n v="983.18808209491817"/>
    <n v="14542.847759831051"/>
    <n v="19387.85393590376"/>
    <n v="21678.646543710714"/>
    <n v="6242.1147088434927"/>
    <n v="524.56444217331159"/>
    <n v="36102.818368274864"/>
    <m/>
    <m/>
    <m/>
    <m/>
    <n v="0"/>
    <n v="0"/>
    <n v="0.35000000000000003"/>
    <n v="0.5"/>
    <n v="0.55000000000000004"/>
    <n v="0.15000000000000002"/>
    <n v="0"/>
    <n v="0.9"/>
    <n v="0"/>
    <n v="0"/>
    <n v="0"/>
    <n v="0"/>
    <n v="36102.818368274864"/>
    <s v="WASH"/>
    <n v="0.91115702479338823"/>
    <s v=""/>
    <s v="Flagged"/>
    <s v=""/>
    <n v="21678.646543710714"/>
    <s v="Health"/>
    <n v="0.54712213558574829"/>
    <n v="14424.17182456415"/>
    <n v="0.66536311644182455"/>
    <s v="Flagged"/>
    <n v="19387.85393590376"/>
    <s v="Food Security"/>
    <n v="0.48930748644516348"/>
    <n v="16714.964432371104"/>
    <n v="0.86213587577205664"/>
    <s v="Flagged"/>
    <s v=""/>
    <s v=""/>
    <s v=""/>
    <s v="Flagged"/>
    <n v="4"/>
    <n v="36102.818368274864"/>
    <m/>
    <m/>
    <n v="4"/>
    <s v="Flagged"/>
    <n v="36102.818368274864"/>
    <m/>
  </r>
  <r>
    <s v=""/>
    <x v="7"/>
    <s v="SS07"/>
    <x v="58"/>
    <s v="SS0711"/>
    <m/>
    <m/>
    <m/>
    <n v="208923.05518722511"/>
    <x v="1"/>
    <n v="0"/>
    <n v="11479.277267262083"/>
    <n v="44737.272451447789"/>
    <n v="75445.052504270585"/>
    <n v="61798.27326851344"/>
    <n v="25189.796399707979"/>
    <n v="1319.5140327614217"/>
    <n v="41447.869487589072"/>
    <m/>
    <m/>
    <m/>
    <m/>
    <n v="0"/>
    <n v="0.05"/>
    <n v="0.2"/>
    <n v="0.35000000000000003"/>
    <n v="0.30000000000000004"/>
    <n v="0.1"/>
    <n v="0"/>
    <n v="0.2"/>
    <n v="0"/>
    <n v="0"/>
    <n v="0"/>
    <n v="0"/>
    <n v="75445.052504270585"/>
    <s v="Food Security"/>
    <n v="0.3611140591289026"/>
    <s v=""/>
    <s v=""/>
    <s v=""/>
    <n v="61798.27326851344"/>
    <s v="Health"/>
    <n v="0.29579441681595792"/>
    <n v="13646.779235757145"/>
    <n v="0.22082784055246824"/>
    <s v=""/>
    <n v="44737.272451447789"/>
    <s v="Nutrition"/>
    <n v="0.21413276965223754"/>
    <n v="30707.780052822796"/>
    <n v="0.68640259832892492"/>
    <s v="Flagged"/>
    <s v=""/>
    <s v=""/>
    <s v=""/>
    <s v="Flagged"/>
    <n v="4"/>
    <n v="75445.052504270585"/>
    <m/>
    <m/>
    <n v="2"/>
    <s v="Flagged"/>
    <n v="75445.052504270585"/>
    <m/>
  </r>
  <r>
    <s v=""/>
    <x v="7"/>
    <s v="SS07"/>
    <x v="59"/>
    <s v="SS0712"/>
    <m/>
    <m/>
    <m/>
    <n v="68673.985334433135"/>
    <x v="1"/>
    <n v="0"/>
    <n v="8923.7723502975805"/>
    <n v="18074.431865468745"/>
    <n v="35395.248476159017"/>
    <n v="39845.83337107399"/>
    <n v="5613.2896646893314"/>
    <n v="894.05754491997868"/>
    <n v="51505.489000824855"/>
    <m/>
    <m/>
    <m/>
    <m/>
    <n v="0"/>
    <n v="0.15000000000000002"/>
    <n v="0.25"/>
    <n v="0.5"/>
    <n v="0.60000000000000009"/>
    <n v="0.1"/>
    <n v="0"/>
    <n v="0.75"/>
    <n v="0"/>
    <n v="0"/>
    <n v="0"/>
    <n v="0"/>
    <n v="51505.489000824855"/>
    <s v="WASH"/>
    <n v="0.75"/>
    <s v=""/>
    <s v=""/>
    <s v=""/>
    <n v="39845.83337107399"/>
    <s v="Health"/>
    <n v="0.58021728573098097"/>
    <n v="11659.655629750865"/>
    <n v="0.29261919360971805"/>
    <s v=""/>
    <n v="35395.248476159017"/>
    <s v="Food Security"/>
    <n v="0.51540984994228722"/>
    <n v="16110.240524665838"/>
    <n v="0.45515263257770672"/>
    <s v=""/>
    <s v=""/>
    <s v=""/>
    <s v=""/>
    <s v="Flagged"/>
    <n v="4"/>
    <n v="51505.489000824855"/>
    <m/>
    <m/>
    <n v="1"/>
    <s v="Flagged"/>
    <n v="51505.489000824855"/>
    <m/>
  </r>
  <r>
    <s v=""/>
    <x v="8"/>
    <s v="SS08"/>
    <x v="60"/>
    <s v="SS0801"/>
    <m/>
    <m/>
    <m/>
    <n v="66451.811981503241"/>
    <x v="1"/>
    <n v="0"/>
    <n v="1250.6231014918912"/>
    <n v="15566.193516609866"/>
    <n v="10742.137767332892"/>
    <n v="11192.23637696723"/>
    <n v="2384.5698906209632"/>
    <n v="394.07469896007734"/>
    <n v="1845.8836661528676"/>
    <m/>
    <m/>
    <m/>
    <m/>
    <n v="0"/>
    <n v="0"/>
    <n v="0.25"/>
    <n v="0.15000000000000002"/>
    <n v="0.15000000000000002"/>
    <n v="0.05"/>
    <n v="0"/>
    <n v="0.05"/>
    <n v="0"/>
    <n v="0"/>
    <n v="0"/>
    <n v="0"/>
    <n v="15566.193516609866"/>
    <s v="Nutrition"/>
    <n v="0.23424784144249811"/>
    <s v=""/>
    <s v=""/>
    <s v=""/>
    <n v="11192.23637696723"/>
    <s v="Health"/>
    <n v="0.16842635352189603"/>
    <n v="4373.9571396426363"/>
    <n v="0.39080278438756949"/>
    <s v="Flagged"/>
    <n v="10742.137767332892"/>
    <s v="Food Security"/>
    <n v="0.16165304522204677"/>
    <n v="4824.0557492769749"/>
    <n v="0.44907781428265131"/>
    <s v=""/>
    <s v=""/>
    <s v=""/>
    <s v=""/>
    <s v="Flagged"/>
    <n v="4"/>
    <n v="15566.193516609866"/>
    <m/>
    <m/>
    <n v="2"/>
    <s v="Flagged"/>
    <n v="15566.193516609866"/>
    <m/>
  </r>
  <r>
    <s v=""/>
    <x v="8"/>
    <s v="SS08"/>
    <x v="61"/>
    <s v="SS0802"/>
    <m/>
    <m/>
    <m/>
    <n v="175059.60932121321"/>
    <x v="1"/>
    <n v="0"/>
    <n v="3983.8122727658229"/>
    <n v="40872.742773699501"/>
    <n v="26058.055729012372"/>
    <n v="31061.034540475757"/>
    <n v="9792.6988219104987"/>
    <n v="921.36636484849043"/>
    <n v="16511.304060978062"/>
    <m/>
    <m/>
    <m/>
    <m/>
    <n v="0"/>
    <n v="0"/>
    <n v="0.25"/>
    <n v="0.15000000000000002"/>
    <n v="0.2"/>
    <n v="0.05"/>
    <n v="0"/>
    <n v="0.1"/>
    <n v="0"/>
    <n v="0"/>
    <n v="0"/>
    <n v="0"/>
    <n v="40872.742773699501"/>
    <s v="Nutrition"/>
    <n v="0.23347900142232672"/>
    <s v=""/>
    <s v=""/>
    <s v=""/>
    <n v="31061.034540475757"/>
    <s v="Health"/>
    <n v="0.17743118850152645"/>
    <n v="9811.7082332237442"/>
    <n v="0.3158847854999185"/>
    <s v="Flagged"/>
    <n v="26058.055729012372"/>
    <s v="Food Security"/>
    <n v="0.14885247276657057"/>
    <n v="14814.687044687129"/>
    <n v="0.56852618624930007"/>
    <s v="Flagged"/>
    <s v=""/>
    <s v=""/>
    <s v=""/>
    <s v="Flagged"/>
    <n v="4"/>
    <n v="40872.742773699501"/>
    <m/>
    <m/>
    <n v="3"/>
    <s v="Flagged"/>
    <n v="40872.742773699501"/>
    <m/>
  </r>
  <r>
    <s v=""/>
    <x v="8"/>
    <s v="SS08"/>
    <x v="62"/>
    <s v="SS0803"/>
    <m/>
    <m/>
    <m/>
    <n v="118674.00478882086"/>
    <x v="1"/>
    <n v="0"/>
    <n v="11646.982502827619"/>
    <n v="38876.18475235159"/>
    <n v="49005.670346605686"/>
    <n v="35534.568834791949"/>
    <n v="19302.703889585948"/>
    <n v="2119.1786569432297"/>
    <n v="17794.996088447162"/>
    <m/>
    <m/>
    <m/>
    <m/>
    <n v="0"/>
    <n v="0.1"/>
    <n v="0.35000000000000003"/>
    <n v="0.4"/>
    <n v="0.30000000000000004"/>
    <n v="0.15000000000000002"/>
    <n v="0"/>
    <n v="0.15000000000000002"/>
    <n v="0"/>
    <n v="0"/>
    <n v="0"/>
    <n v="0"/>
    <n v="49005.670346605686"/>
    <s v="Food Security"/>
    <n v="0.41294359648358336"/>
    <s v=""/>
    <s v=""/>
    <s v=""/>
    <n v="38876.18475235159"/>
    <s v="Nutrition"/>
    <n v="0.32758804105019756"/>
    <n v="10129.485594254096"/>
    <n v="0.26055760509372955"/>
    <s v=""/>
    <n v="35534.568834791949"/>
    <s v="Health"/>
    <n v="0.29943009758561145"/>
    <n v="13471.101511813737"/>
    <n v="0.37909849348232871"/>
    <s v=""/>
    <s v=""/>
    <s v=""/>
    <s v=""/>
    <s v=""/>
    <n v="4"/>
    <n v="49005.670346605686"/>
    <m/>
    <m/>
    <n v="0"/>
    <s v=""/>
    <n v="49005.670346605686"/>
    <m/>
  </r>
  <r>
    <s v=""/>
    <x v="8"/>
    <s v="SS08"/>
    <x v="63"/>
    <s v="SS0804"/>
    <m/>
    <m/>
    <m/>
    <n v="176910.11306393327"/>
    <x v="1"/>
    <n v="0"/>
    <n v="4690.7008838449647"/>
    <n v="43648.455413254131"/>
    <n v="31640.595303765669"/>
    <n v="35890.982847064704"/>
    <n v="6485.1461138262648"/>
    <n v="524.56444217331159"/>
    <n v="21442.615941712585"/>
    <m/>
    <m/>
    <m/>
    <m/>
    <n v="0"/>
    <n v="0.05"/>
    <n v="0.25"/>
    <n v="0.2"/>
    <n v="0.2"/>
    <n v="0.05"/>
    <n v="0"/>
    <n v="0.1"/>
    <n v="0"/>
    <n v="0"/>
    <n v="0"/>
    <n v="0"/>
    <n v="43648.455413254131"/>
    <s v="Nutrition"/>
    <n v="0.24672673968322029"/>
    <s v=""/>
    <s v=""/>
    <s v=""/>
    <n v="35890.982847064704"/>
    <s v="Health"/>
    <n v="0.2028769425640134"/>
    <n v="7757.4725661894263"/>
    <n v="0.21613987555717942"/>
    <s v=""/>
    <n v="31640.595303765669"/>
    <s v="Food Security"/>
    <n v="0.17885125251336606"/>
    <n v="12007.860109488462"/>
    <n v="0.37950803372082448"/>
    <s v=""/>
    <s v=""/>
    <s v=""/>
    <s v=""/>
    <s v="Flagged"/>
    <n v="4"/>
    <n v="43648.455413254131"/>
    <m/>
    <m/>
    <n v="1"/>
    <s v="Flagged"/>
    <n v="43648.455413254131"/>
    <m/>
  </r>
  <r>
    <s v=""/>
    <x v="8"/>
    <s v="SS08"/>
    <x v="64"/>
    <s v="SS0805"/>
    <m/>
    <m/>
    <m/>
    <n v="85516.790119838945"/>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8"/>
    <s v="SS08"/>
    <x v="65"/>
    <s v="SS0806"/>
    <m/>
    <m/>
    <m/>
    <n v="56495.39881084334"/>
    <x v="1"/>
    <n v="0"/>
    <n v="2081.3243894307552"/>
    <n v="17614.645459844574"/>
    <n v="18699.56245232631"/>
    <n v="30716.835984956648"/>
    <n v="7944.5064047114029"/>
    <n v="521.49598902316927"/>
    <n v="7238.7151511321499"/>
    <m/>
    <m/>
    <m/>
    <m/>
    <n v="0"/>
    <n v="0.05"/>
    <n v="0.30000000000000004"/>
    <n v="0.35000000000000003"/>
    <n v="0.55000000000000004"/>
    <n v="0.15000000000000002"/>
    <n v="0"/>
    <n v="0.15000000000000002"/>
    <n v="0"/>
    <n v="0"/>
    <n v="0"/>
    <n v="0"/>
    <n v="30716.835984956648"/>
    <s v="Health"/>
    <n v="0.54370509159165481"/>
    <s v=""/>
    <s v=""/>
    <s v=""/>
    <n v="18699.56245232631"/>
    <s v="Food Security"/>
    <n v="0.33099266216237849"/>
    <n v="12017.273532630337"/>
    <n v="0.64264998516771898"/>
    <s v="Flagged"/>
    <n v="17614.645459844574"/>
    <s v="Nutrition"/>
    <n v="0.31178902761305477"/>
    <n v="13102.190525112073"/>
    <n v="0.74382368665782295"/>
    <s v="Flagged"/>
    <s v=""/>
    <s v="Flagged"/>
    <s v=""/>
    <s v=""/>
    <n v="4"/>
    <n v="30716.835984956648"/>
    <m/>
    <m/>
    <n v="3"/>
    <s v="Flagged"/>
    <n v="30716.835984956648"/>
    <m/>
  </r>
  <r>
    <s v=""/>
    <x v="9"/>
    <s v="SS09"/>
    <x v="66"/>
    <s v="SS0901"/>
    <m/>
    <m/>
    <m/>
    <n v="178742.31540837008"/>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9"/>
    <s v="SS09"/>
    <x v="67"/>
    <s v="SS0902"/>
    <m/>
    <m/>
    <m/>
    <n v="37008.275019605207"/>
    <x v="1"/>
    <n v="0"/>
    <n v="974.08185389477194"/>
    <n v="6828.848915426388"/>
    <n v="4877.0036041966832"/>
    <n v="6717.5159853429823"/>
    <n v="1481.9083548387098"/>
    <n v="0"/>
    <n v="732.9313725590539"/>
    <m/>
    <m/>
    <m/>
    <m/>
    <n v="0"/>
    <n v="0.05"/>
    <n v="0.2"/>
    <n v="0.15000000000000002"/>
    <n v="0.2"/>
    <n v="0.05"/>
    <n v="0"/>
    <n v="0"/>
    <n v="0"/>
    <n v="0"/>
    <n v="0"/>
    <n v="0"/>
    <n v="6828.848915426388"/>
    <s v="Nutrition"/>
    <n v="0.1845222159586955"/>
    <s v="Flagged"/>
    <s v=""/>
    <s v=""/>
    <n v="6717.5159853429823"/>
    <s v="Health"/>
    <n v="0.18151389065781545"/>
    <n v="111.3329300834057"/>
    <n v="1.6573526631916347E-2"/>
    <s v=""/>
    <n v="4877.0036041966832"/>
    <s v="Food Security"/>
    <n v="0.13178143541175807"/>
    <n v="1951.8453112297047"/>
    <n v="0.40021403911822684"/>
    <s v=""/>
    <s v=""/>
    <s v=""/>
    <s v=""/>
    <s v="Flagged"/>
    <n v="4"/>
    <n v="6828.848915426388"/>
    <m/>
    <m/>
    <n v="2"/>
    <s v="Flagged"/>
    <n v="6828.848915426388"/>
    <m/>
  </r>
  <r>
    <s v=""/>
    <x v="9"/>
    <s v="SS09"/>
    <x v="68"/>
    <s v="SS0903"/>
    <m/>
    <m/>
    <m/>
    <n v="225180.53774946873"/>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69"/>
    <s v="SS1001"/>
    <m/>
    <m/>
    <m/>
    <n v="73520.181474041485"/>
    <x v="1"/>
    <n v="0"/>
    <n v="1617.1535877120905"/>
    <n v="16896.767191904608"/>
    <n v="3680.1981748222975"/>
    <n v="9084.3314665140006"/>
    <n v="2348.0992557011391"/>
    <n v="524.56444217331159"/>
    <n v="16136.116647251903"/>
    <m/>
    <m/>
    <m/>
    <m/>
    <n v="0"/>
    <n v="0"/>
    <n v="0.25"/>
    <n v="0.05"/>
    <n v="0.1"/>
    <n v="0.05"/>
    <n v="0"/>
    <n v="0.2"/>
    <n v="0"/>
    <n v="0"/>
    <n v="0"/>
    <n v="0"/>
    <n v="16896.767191904608"/>
    <s v="Nutrition"/>
    <n v="0.22982488417646957"/>
    <s v=""/>
    <s v=""/>
    <s v=""/>
    <n v="16136.116647251903"/>
    <s v="WASH"/>
    <n v="0.21947873799725651"/>
    <n v="760.65054465270441"/>
    <n v="4.7139628529039461E-2"/>
    <s v=""/>
    <n v="9084.3314665140006"/>
    <s v="Health"/>
    <n v="0.12356241897636634"/>
    <n v="7812.4357253906073"/>
    <n v="0.85999016594542343"/>
    <s v="Flagged"/>
    <s v=""/>
    <s v=""/>
    <s v=""/>
    <s v=""/>
    <n v="4"/>
    <n v="16896.767191904608"/>
    <m/>
    <m/>
    <n v="1"/>
    <s v="Flagged"/>
    <n v="16896.767191904608"/>
    <m/>
  </r>
  <r>
    <s v=""/>
    <x v="10"/>
    <s v="SS10"/>
    <x v="70"/>
    <s v="SS1002"/>
    <m/>
    <m/>
    <m/>
    <n v="47140.450098552225"/>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1"/>
    <s v="SS1003"/>
    <m/>
    <m/>
    <m/>
    <n v="80255.412925910496"/>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2"/>
    <s v="SS1004"/>
    <m/>
    <m/>
    <m/>
    <n v="64180.342035561967"/>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3"/>
    <s v="SS1005"/>
    <m/>
    <m/>
    <m/>
    <n v="37549.507730213714"/>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4"/>
    <s v="SS1006"/>
    <m/>
    <m/>
    <m/>
    <n v="57305.25569680793"/>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5"/>
    <s v="SS1007"/>
    <m/>
    <m/>
    <m/>
    <n v="20533.496005228379"/>
    <x v="1"/>
    <n v="0"/>
    <n v="401.87665577528861"/>
    <n v="5029.4837009159291"/>
    <n v="6023.3408555433152"/>
    <n v="7772.2417257627949"/>
    <n v="3371.9493710890588"/>
    <n v="524.56444217331159"/>
    <n v="5640.373902670759"/>
    <m/>
    <m/>
    <m/>
    <m/>
    <n v="0"/>
    <n v="0"/>
    <n v="0.25"/>
    <n v="0.30000000000000004"/>
    <n v="0.4"/>
    <n v="0.15000000000000002"/>
    <n v="0.05"/>
    <n v="0.25"/>
    <n v="0"/>
    <n v="0"/>
    <n v="0"/>
    <n v="0"/>
    <n v="7772.2417257627949"/>
    <s v="Health"/>
    <n v="0.37851526714124928"/>
    <s v=""/>
    <s v=""/>
    <s v=""/>
    <n v="6023.3408555433152"/>
    <s v="Food Security"/>
    <n v="0.29334219823110547"/>
    <n v="1748.9008702194797"/>
    <n v="0.29035396006353453"/>
    <s v=""/>
    <n v="5640.373902670759"/>
    <s v="WASH"/>
    <n v="0.27469135802469141"/>
    <n v="2131.8678230920359"/>
    <n v="0.37796569161533433"/>
    <s v=""/>
    <s v=""/>
    <s v="Flagged"/>
    <s v=""/>
    <s v=""/>
    <n v="4"/>
    <n v="7772.2417257627949"/>
    <m/>
    <m/>
    <n v="1"/>
    <s v="Flagged"/>
    <n v="7772.2417257627949"/>
    <m/>
  </r>
  <r>
    <s v=""/>
    <x v="10"/>
    <s v="SS10"/>
    <x v="76"/>
    <s v="SS1008"/>
    <m/>
    <m/>
    <m/>
    <n v="65499.917413585019"/>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7"/>
    <s v="SS1009"/>
    <m/>
    <m/>
    <m/>
    <n v="76119.104669093867"/>
    <x v="1"/>
    <n v="0"/>
    <n v="4598.4083964332285"/>
    <n v="18275.620298405785"/>
    <n v="17948.193300489344"/>
    <n v="32413.633790026284"/>
    <n v="12852.564586357039"/>
    <n v="2155.2825142260285"/>
    <n v="41436.750265467381"/>
    <m/>
    <m/>
    <m/>
    <m/>
    <n v="0"/>
    <n v="0.05"/>
    <n v="0.25"/>
    <n v="0.25"/>
    <n v="0.45"/>
    <n v="0.15000000000000002"/>
    <n v="0.05"/>
    <n v="0.55000000000000004"/>
    <n v="0"/>
    <n v="0"/>
    <n v="0"/>
    <n v="0"/>
    <n v="41436.750265467381"/>
    <s v="WASH"/>
    <n v="0.54436728395061729"/>
    <s v=""/>
    <s v=""/>
    <s v=""/>
    <n v="32413.633790026284"/>
    <s v="Health"/>
    <n v="0.42582783824028575"/>
    <n v="9023.1164754410966"/>
    <n v="0.2783741105330042"/>
    <s v=""/>
    <n v="18275.620298405785"/>
    <s v="Nutrition"/>
    <n v="0.24009242328655653"/>
    <n v="23161.129967061595"/>
    <n v="1.26732387677599"/>
    <s v="Flagged"/>
    <s v=""/>
    <s v=""/>
    <s v=""/>
    <s v="Flagged"/>
    <n v="4"/>
    <n v="41436.750265467381"/>
    <m/>
    <m/>
    <n v="2"/>
    <s v="Flagged"/>
    <n v="41436.750265467381"/>
    <m/>
  </r>
  <r>
    <s v=""/>
    <x v="10"/>
    <s v="SS10"/>
    <x v="78"/>
    <s v="SS1010"/>
    <m/>
    <m/>
    <m/>
    <n v="122615.70597189905"/>
    <x v="1"/>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0"/>
    <s v="SS00"/>
    <x v="0"/>
    <s v="SS0001"/>
    <m/>
    <m/>
    <m/>
    <n v="19107.704392085096"/>
    <x v="2"/>
    <n v="5000"/>
    <n v="2193.5644642113693"/>
    <n v="3916.9304965614242"/>
    <n v="6604.9202780047945"/>
    <n v="9363.4882631872078"/>
    <n v="5292.1545758649963"/>
    <n v="1775.4640074820572"/>
    <n v="2064.1038695153652"/>
    <m/>
    <m/>
    <m/>
    <m/>
    <n v="0.25"/>
    <n v="0.1"/>
    <n v="0.2"/>
    <n v="0.35000000000000003"/>
    <n v="0.5"/>
    <n v="0.30000000000000004"/>
    <n v="0.1"/>
    <n v="0.1"/>
    <n v="0"/>
    <n v="0"/>
    <n v="0"/>
    <n v="0"/>
    <n v="9363.4882631872078"/>
    <s v="Health"/>
    <n v="0.49003732060381916"/>
    <s v=""/>
    <s v=""/>
    <s v=""/>
    <n v="6604.9202780047945"/>
    <s v="Food Security"/>
    <n v="0.34566791187855739"/>
    <n v="2758.5679851824134"/>
    <n v="0.41765348695710797"/>
    <s v="Flagged"/>
    <n v="5292.1545758649963"/>
    <s v="Overarching Protection"/>
    <n v="0.27696443629602852"/>
    <n v="4071.3336873222115"/>
    <n v="0.76931496027905744"/>
    <s v="Flagged"/>
    <s v=""/>
    <s v="Flagged"/>
    <s v=""/>
    <s v=""/>
    <n v="4"/>
    <n v="9363.4882631872078"/>
    <m/>
    <m/>
    <n v="3"/>
    <s v="Flagged"/>
    <n v="9363.4882631872078"/>
    <m/>
  </r>
  <r>
    <s v=""/>
    <x v="1"/>
    <s v="SS01"/>
    <x v="1"/>
    <s v="SS0101"/>
    <m/>
    <m/>
    <m/>
    <n v="58949.896431430854"/>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2"/>
    <s v="SS0102"/>
    <m/>
    <m/>
    <m/>
    <n v="15480.714285714301"/>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3"/>
    <s v="SS0103"/>
    <m/>
    <m/>
    <m/>
    <n v="7168.4285714285697"/>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4"/>
    <s v="SS0104"/>
    <m/>
    <m/>
    <m/>
    <n v="12810"/>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5"/>
    <s v="SS0105"/>
    <m/>
    <m/>
    <m/>
    <n v="1080"/>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
    <s v="SS01"/>
    <x v="6"/>
    <s v="SS0106"/>
    <m/>
    <m/>
    <m/>
    <n v="29744.714285714301"/>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7"/>
    <s v="SS0201"/>
    <m/>
    <m/>
    <m/>
    <n v="2130"/>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8"/>
    <s v="SS0202"/>
    <m/>
    <m/>
    <m/>
    <n v="3437.4285714285702"/>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9"/>
    <s v="SS0203"/>
    <m/>
    <m/>
    <m/>
    <n v="3548.7142857142862"/>
    <x v="2"/>
    <n v="0"/>
    <n v="606.12040000000013"/>
    <n v="785.87134900659157"/>
    <n v="1435.4278327603176"/>
    <n v="963.57160222058019"/>
    <n v="1237.9145162611615"/>
    <n v="0"/>
    <n v="1988.54565941603"/>
    <m/>
    <m/>
    <m/>
    <m/>
    <n v="0"/>
    <n v="0.15000000000000002"/>
    <n v="0.2"/>
    <n v="0.4"/>
    <n v="0.25"/>
    <n v="0.35000000000000003"/>
    <n v="0"/>
    <n v="0.55000000000000004"/>
    <n v="0"/>
    <n v="0"/>
    <n v="0"/>
    <n v="0"/>
    <n v="1988.54565941603"/>
    <s v="WASH"/>
    <n v="0.56035665294924553"/>
    <s v="Flagged"/>
    <s v=""/>
    <s v=""/>
    <n v="1435.4278327603176"/>
    <s v="Food Security"/>
    <n v="0.40449236461182003"/>
    <n v="553.11782665571241"/>
    <n v="0.3853330791225294"/>
    <s v="Flagged"/>
    <n v="1237.9145162611615"/>
    <s v="Overarching Protection"/>
    <n v="0.34883465294586086"/>
    <n v="750.6311431548686"/>
    <n v="0.60636751027201685"/>
    <s v="Flagged"/>
    <s v=""/>
    <s v=""/>
    <s v=""/>
    <s v=""/>
    <n v="4"/>
    <n v="1988.54565941603"/>
    <m/>
    <m/>
    <n v="3"/>
    <s v="Flagged"/>
    <n v="1988.54565941603"/>
    <m/>
  </r>
  <r>
    <s v=""/>
    <x v="2"/>
    <s v="SS02"/>
    <x v="10"/>
    <s v="SS0204"/>
    <m/>
    <m/>
    <m/>
    <n v="3"/>
    <x v="2"/>
    <n v="0"/>
    <n v="0.28425"/>
    <n v="0.50515292439737713"/>
    <n v="0.60360599977676932"/>
    <n v="0.37368859055414139"/>
    <n v="0.65300468527194944"/>
    <n v="0"/>
    <n v="0.3499705412002358"/>
    <m/>
    <m/>
    <m/>
    <m/>
    <n v="0"/>
    <n v="0.1"/>
    <n v="0.15000000000000002"/>
    <n v="0.2"/>
    <n v="0.1"/>
    <n v="0.2"/>
    <n v="0"/>
    <n v="0.1"/>
    <n v="0"/>
    <n v="0"/>
    <n v="0"/>
    <n v="0"/>
    <n v="0.65300468527194944"/>
    <s v="Overarching Protection"/>
    <n v="0.21766822842398315"/>
    <s v="Flagged"/>
    <s v=""/>
    <s v=""/>
    <n v="0.60360599977676932"/>
    <s v="Food Security"/>
    <n v="0.20120199992558976"/>
    <n v="4.9398685495180117E-2"/>
    <n v="8.1839288399136456E-2"/>
    <s v=""/>
    <n v="0.50515292439737713"/>
    <s v="Nutrition"/>
    <n v="0.16838430813245905"/>
    <n v="0.1478517608745723"/>
    <n v="0.29268713241827166"/>
    <s v=""/>
    <s v=""/>
    <s v=""/>
    <s v=""/>
    <s v=""/>
    <n v="4"/>
    <n v="0.65300468527194944"/>
    <m/>
    <m/>
    <n v="1"/>
    <s v="Flagged"/>
    <n v="0.65300468527194944"/>
    <m/>
  </r>
  <r>
    <s v=""/>
    <x v="2"/>
    <s v="SS02"/>
    <x v="11"/>
    <s v="SS0205"/>
    <m/>
    <m/>
    <m/>
    <n v="9189.5714285714294"/>
    <x v="2"/>
    <n v="0"/>
    <n v="570.55016441428575"/>
    <n v="1680.938008268329"/>
    <n v="1044.1485460419394"/>
    <n v="2018.2348199173564"/>
    <n v="1396.7762329485834"/>
    <n v="0"/>
    <n v="4109.6623769106409"/>
    <m/>
    <m/>
    <m/>
    <m/>
    <n v="0"/>
    <n v="0.05"/>
    <n v="0.2"/>
    <n v="0.1"/>
    <n v="0.2"/>
    <n v="0.15000000000000002"/>
    <n v="0"/>
    <n v="0.45"/>
    <n v="0"/>
    <n v="0"/>
    <n v="0"/>
    <n v="0"/>
    <n v="4109.6623769106409"/>
    <s v="WASH"/>
    <n v="0.44720936213991769"/>
    <s v="Flagged"/>
    <s v=""/>
    <s v=""/>
    <n v="2018.2348199173564"/>
    <s v="Health"/>
    <n v="0.21962230073563968"/>
    <n v="2091.4275569932843"/>
    <n v="1.0362657191093974"/>
    <s v="Flagged"/>
    <n v="1680.938008268329"/>
    <s v="Nutrition"/>
    <n v="0.18291799800827493"/>
    <n v="2428.7243686423117"/>
    <n v="1.4448625450169565"/>
    <s v="Flagged"/>
    <s v=""/>
    <s v=""/>
    <s v=""/>
    <s v="Flagged"/>
    <n v="4"/>
    <n v="4109.6623769106409"/>
    <m/>
    <m/>
    <n v="4"/>
    <s v="Flagged"/>
    <n v="4109.6623769106409"/>
    <m/>
  </r>
  <r>
    <s v=""/>
    <x v="2"/>
    <s v="SS02"/>
    <x v="12"/>
    <s v="SS0206"/>
    <m/>
    <m/>
    <m/>
    <n v="5555.8571428571404"/>
    <x v="2"/>
    <n v="0"/>
    <n v="74.25403071428569"/>
    <n v="857.05902333799702"/>
    <n v="1080.806529489352"/>
    <n v="805.75440914879971"/>
    <n v="1009.6031292479264"/>
    <n v="0"/>
    <n v="153.28548542948681"/>
    <m/>
    <m/>
    <m/>
    <m/>
    <n v="0"/>
    <n v="0"/>
    <n v="0.15000000000000002"/>
    <n v="0.2"/>
    <n v="0.15000000000000002"/>
    <n v="0.2"/>
    <n v="0"/>
    <n v="0.05"/>
    <n v="0"/>
    <n v="0"/>
    <n v="0"/>
    <n v="0"/>
    <n v="1080.806529489352"/>
    <s v="Food Security"/>
    <n v="0.1945346148575626"/>
    <s v="Flagged"/>
    <s v=""/>
    <s v=""/>
    <n v="1009.6031292479264"/>
    <s v="Overarching Protection"/>
    <n v="0.18171869853527778"/>
    <n v="71.203400241425584"/>
    <n v="7.05261287120479E-2"/>
    <s v=""/>
    <n v="857.05902333799702"/>
    <s v="Nutrition"/>
    <n v="0.1542622499644129"/>
    <n v="223.74750615135497"/>
    <n v="0.26106429085819916"/>
    <s v=""/>
    <s v=""/>
    <s v=""/>
    <s v=""/>
    <s v=""/>
    <n v="4"/>
    <n v="1080.806529489352"/>
    <m/>
    <m/>
    <n v="1"/>
    <s v="Flagged"/>
    <n v="1080.806529489352"/>
    <m/>
  </r>
  <r>
    <s v=""/>
    <x v="2"/>
    <s v="SS02"/>
    <x v="13"/>
    <s v="SS0207"/>
    <m/>
    <m/>
    <m/>
    <n v="33159.142857142899"/>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2"/>
    <s v="SS02"/>
    <x v="14"/>
    <s v="SS0208"/>
    <m/>
    <m/>
    <m/>
    <n v="9209.5714285714294"/>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5"/>
    <s v="SS0301"/>
    <m/>
    <m/>
    <m/>
    <n v="6904.2601395402035"/>
    <x v="2"/>
    <n v="16657"/>
    <n v="1361.7410358417935"/>
    <n v="1801.3765715273275"/>
    <n v="3355.8925562211812"/>
    <n v="3326.3255614655754"/>
    <n v="3232.3325469795955"/>
    <n v="3079.3690648363263"/>
    <n v="1182.6741905693866"/>
    <m/>
    <m/>
    <m/>
    <m/>
    <n v="2.4000000000000004"/>
    <n v="0.2"/>
    <n v="0.25"/>
    <n v="0.5"/>
    <n v="0.5"/>
    <n v="0.45"/>
    <n v="0.45"/>
    <n v="0.15000000000000002"/>
    <n v="0"/>
    <n v="0"/>
    <n v="0"/>
    <n v="0"/>
    <n v="16657"/>
    <s v="CCCM"/>
    <n v="2.4125684234588083"/>
    <s v=""/>
    <s v="Flagged"/>
    <s v=""/>
    <n v="3355.8925562211812"/>
    <s v="Food Security"/>
    <n v="0.48606114028094405"/>
    <n v="13301.107443778819"/>
    <n v="3.9635081341090963"/>
    <s v="Flagged"/>
    <n v="3326.3255614655754"/>
    <s v="Health"/>
    <n v="0.48177871259745081"/>
    <n v="13330.674438534425"/>
    <n v="4.0076276937429247"/>
    <s v="Flagged"/>
    <s v=""/>
    <s v=""/>
    <s v=""/>
    <s v=""/>
    <n v="4"/>
    <n v="16657"/>
    <m/>
    <m/>
    <n v="3"/>
    <s v="Flagged"/>
    <n v="16657"/>
    <m/>
  </r>
  <r>
    <s v=""/>
    <x v="3"/>
    <s v="SS03"/>
    <x v="16"/>
    <s v="SS0302"/>
    <m/>
    <m/>
    <m/>
    <n v="19402.803122498015"/>
    <x v="2"/>
    <n v="0"/>
    <n v="2673.8614927052067"/>
    <n v="3430.8154551067632"/>
    <n v="8325.8096411820425"/>
    <n v="7840.7348102945498"/>
    <n v="6220.7805075157594"/>
    <n v="5310.3134990446406"/>
    <n v="13432.487884477732"/>
    <m/>
    <m/>
    <m/>
    <m/>
    <n v="0"/>
    <n v="0.15000000000000002"/>
    <n v="0.2"/>
    <n v="0.45"/>
    <n v="0.4"/>
    <n v="0.30000000000000004"/>
    <n v="0.25"/>
    <n v="0.70000000000000007"/>
    <n v="0"/>
    <n v="0"/>
    <n v="0"/>
    <n v="0"/>
    <n v="13432.487884477732"/>
    <s v="WASH"/>
    <n v="0.69229625223081503"/>
    <s v=""/>
    <s v=""/>
    <s v=""/>
    <n v="8325.8096411820425"/>
    <s v="Food Security"/>
    <n v="0.42910344390023042"/>
    <n v="5106.6782432956898"/>
    <n v="0.61335515263722484"/>
    <s v="Flagged"/>
    <n v="7840.7348102945498"/>
    <s v="Health"/>
    <n v="0.40410319894464269"/>
    <n v="5591.7530741831824"/>
    <n v="0.71316696833585669"/>
    <s v="Flagged"/>
    <s v=""/>
    <s v=""/>
    <s v=""/>
    <s v=""/>
    <n v="4"/>
    <n v="13432.487884477732"/>
    <m/>
    <m/>
    <n v="2"/>
    <s v="Flagged"/>
    <n v="13432.487884477732"/>
    <m/>
  </r>
  <r>
    <s v=""/>
    <x v="3"/>
    <s v="SS03"/>
    <x v="17"/>
    <s v="SS0303"/>
    <m/>
    <m/>
    <m/>
    <n v="16703"/>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3"/>
    <s v="SS03"/>
    <x v="18"/>
    <s v="SS0304"/>
    <m/>
    <m/>
    <m/>
    <n v="1206"/>
    <x v="2"/>
    <n v="0"/>
    <n v="196.24273199999999"/>
    <n v="260.96943800482529"/>
    <n v="619.86023018184108"/>
    <n v="799.57273998366782"/>
    <n v="536.63385856856837"/>
    <n v="0"/>
    <n v="1112.9444444444446"/>
    <m/>
    <m/>
    <m/>
    <m/>
    <n v="0"/>
    <n v="0.15000000000000002"/>
    <n v="0.2"/>
    <n v="0.5"/>
    <n v="0.65"/>
    <n v="0.45"/>
    <n v="0"/>
    <n v="0.9"/>
    <n v="0"/>
    <n v="0"/>
    <n v="0"/>
    <n v="0"/>
    <n v="1112.9444444444446"/>
    <s v="WASH"/>
    <n v="0.92283950617283961"/>
    <s v="Flagged"/>
    <s v="Flagged"/>
    <s v=""/>
    <n v="799.57273998366782"/>
    <s v="Health"/>
    <n v="0.66299563846075271"/>
    <n v="313.37170446077675"/>
    <n v="0.39192394736616176"/>
    <s v="Flagged"/>
    <n v="619.86023018184108"/>
    <s v="Food Security"/>
    <n v="0.51398029036636905"/>
    <n v="493.0842142626035"/>
    <n v="0.79547644816308538"/>
    <s v="Flagged"/>
    <s v=""/>
    <s v=""/>
    <s v=""/>
    <s v="Flagged"/>
    <n v="4"/>
    <n v="1112.9444444444446"/>
    <m/>
    <m/>
    <n v="5"/>
    <s v="Flagged"/>
    <n v="1112.9444444444446"/>
    <m/>
  </r>
  <r>
    <s v=""/>
    <x v="3"/>
    <s v="SS03"/>
    <x v="19"/>
    <s v="SS0305"/>
    <m/>
    <m/>
    <m/>
    <n v="9262.1428571428605"/>
    <x v="2"/>
    <n v="0"/>
    <n v="887.40590714285759"/>
    <n v="2008.8154111316726"/>
    <n v="3747.2004957880122"/>
    <n v="5544.7593122630933"/>
    <n v="3416.3437670668109"/>
    <n v="4131.0083357142876"/>
    <n v="1133.9454732510289"/>
    <m/>
    <m/>
    <m/>
    <m/>
    <n v="0"/>
    <n v="0.1"/>
    <n v="0.2"/>
    <n v="0.4"/>
    <n v="0.60000000000000009"/>
    <n v="0.35000000000000003"/>
    <n v="0.45"/>
    <n v="0.1"/>
    <n v="0"/>
    <n v="0"/>
    <n v="0"/>
    <n v="0"/>
    <n v="5544.7593122630933"/>
    <s v="Health"/>
    <n v="0.5986475697669722"/>
    <s v=""/>
    <s v=""/>
    <s v=""/>
    <n v="4131.0083357142876"/>
    <s v="Shelter"/>
    <n v="0.44601000000000002"/>
    <n v="1413.7509765488057"/>
    <n v="0.34222903021674872"/>
    <s v="Flagged"/>
    <n v="3747.2004957880122"/>
    <s v="Food Security"/>
    <n v="0.40457165837149806"/>
    <n v="1797.5588164750811"/>
    <n v="0.4797071356324813"/>
    <s v=""/>
    <s v=""/>
    <s v="Flagged"/>
    <s v=""/>
    <s v="Flagged"/>
    <n v="4"/>
    <n v="5544.7593122630933"/>
    <m/>
    <m/>
    <n v="3"/>
    <s v="Flagged"/>
    <n v="5544.7593122630933"/>
    <m/>
  </r>
  <r>
    <s v=""/>
    <x v="3"/>
    <s v="SS03"/>
    <x v="20"/>
    <s v="SS0306"/>
    <m/>
    <m/>
    <m/>
    <n v="33686.173990621071"/>
    <x v="2"/>
    <n v="0"/>
    <n v="12598.62907249228"/>
    <n v="6274.2977324118883"/>
    <n v="17972.574446081995"/>
    <n v="19746.098949396881"/>
    <n v="14089.62812251618"/>
    <n v="15024.370461556904"/>
    <n v="19515.974000481987"/>
    <m/>
    <m/>
    <m/>
    <m/>
    <n v="0"/>
    <n v="0.35000000000000003"/>
    <n v="0.2"/>
    <n v="0.55000000000000004"/>
    <n v="0.60000000000000009"/>
    <n v="0.4"/>
    <n v="0.45"/>
    <n v="0.60000000000000009"/>
    <n v="0"/>
    <n v="0"/>
    <n v="0"/>
    <n v="0"/>
    <n v="19746.098949396881"/>
    <s v="Health"/>
    <n v="0.58617814403305657"/>
    <s v=""/>
    <s v=""/>
    <s v=""/>
    <n v="19515.974000481987"/>
    <s v="WASH"/>
    <n v="0.57934670781893005"/>
    <n v="230.12494891489405"/>
    <n v="1.179161997803495E-2"/>
    <s v=""/>
    <n v="17972.574446081995"/>
    <s v="Food Security"/>
    <n v="0.53352970423669754"/>
    <n v="1773.5245033148858"/>
    <n v="9.8679491279086762E-2"/>
    <s v=""/>
    <s v=""/>
    <s v="Flagged"/>
    <s v=""/>
    <s v=""/>
    <n v="4"/>
    <n v="19746.098949396881"/>
    <m/>
    <m/>
    <n v="1"/>
    <s v="Flagged"/>
    <n v="19746.098949396881"/>
    <m/>
  </r>
  <r>
    <s v=""/>
    <x v="3"/>
    <s v="SS03"/>
    <x v="21"/>
    <s v="SS0307"/>
    <m/>
    <m/>
    <m/>
    <n v="13146.5714285714"/>
    <x v="2"/>
    <n v="0"/>
    <n v="2284.7465925428523"/>
    <n v="3155.0850083313644"/>
    <n v="5820.2547071310528"/>
    <n v="8341.5333690618572"/>
    <n v="3739.3035039957849"/>
    <n v="4221.7216724571344"/>
    <n v="4920.9474328826082"/>
    <m/>
    <m/>
    <m/>
    <m/>
    <n v="0"/>
    <n v="0.15000000000000002"/>
    <n v="0.25"/>
    <n v="0.45"/>
    <n v="0.65"/>
    <n v="0.30000000000000004"/>
    <n v="0.30000000000000004"/>
    <n v="0.35000000000000003"/>
    <n v="0"/>
    <n v="0"/>
    <n v="0"/>
    <n v="0"/>
    <n v="8341.5333690618572"/>
    <s v="Health"/>
    <n v="0.63450257083251604"/>
    <s v=""/>
    <s v=""/>
    <s v=""/>
    <n v="5820.2547071310528"/>
    <s v="Food Security"/>
    <n v="0.44272035022621276"/>
    <n v="2521.2786619308044"/>
    <n v="0.43319043388972317"/>
    <s v="Flagged"/>
    <n v="4920.9474328826082"/>
    <s v="WASH"/>
    <n v="0.37431412894375865"/>
    <n v="3420.5859361792491"/>
    <n v="0.69510718877472899"/>
    <s v="Flagged"/>
    <s v=""/>
    <s v="Flagged"/>
    <s v=""/>
    <s v=""/>
    <n v="4"/>
    <n v="8341.5333690618572"/>
    <m/>
    <m/>
    <n v="3"/>
    <s v="Flagged"/>
    <n v="8341.5333690618572"/>
    <m/>
  </r>
  <r>
    <s v=""/>
    <x v="3"/>
    <s v="SS03"/>
    <x v="22"/>
    <s v="SS0308"/>
    <m/>
    <m/>
    <m/>
    <n v="4238"/>
    <x v="2"/>
    <n v="0"/>
    <n v="1214.4158519999999"/>
    <n v="1181.7457253986281"/>
    <n v="2062.6986624635656"/>
    <n v="2323.2040163304687"/>
    <n v="1489.6598372324775"/>
    <n v="1080.1087885714287"/>
    <n v="2781.7325102880664"/>
    <m/>
    <m/>
    <m/>
    <m/>
    <n v="0"/>
    <n v="0.30000000000000004"/>
    <n v="0.30000000000000004"/>
    <n v="0.5"/>
    <n v="0.55000000000000004"/>
    <n v="0.35000000000000003"/>
    <n v="0.25"/>
    <n v="0.65"/>
    <n v="0"/>
    <n v="0"/>
    <n v="0"/>
    <n v="0"/>
    <n v="2781.7325102880664"/>
    <s v="WASH"/>
    <n v="0.65637860082304533"/>
    <s v=""/>
    <s v=""/>
    <s v=""/>
    <n v="2323.2040163304687"/>
    <s v="Health"/>
    <n v="0.5481840529330978"/>
    <n v="458.52849395759768"/>
    <n v="0.19736901741494467"/>
    <s v=""/>
    <n v="2062.6986624635656"/>
    <s v="Food Security"/>
    <n v="0.48671511620187957"/>
    <n v="719.03384782450075"/>
    <n v="0.34858889517372799"/>
    <s v=""/>
    <s v=""/>
    <s v=""/>
    <s v=""/>
    <s v="Flagged"/>
    <n v="4"/>
    <n v="2781.7325102880664"/>
    <m/>
    <m/>
    <n v="1"/>
    <s v="Flagged"/>
    <n v="2781.7325102880664"/>
    <m/>
  </r>
  <r>
    <s v=""/>
    <x v="3"/>
    <s v="SS03"/>
    <x v="23"/>
    <s v="SS0309"/>
    <m/>
    <m/>
    <m/>
    <n v="2811.1428571428601"/>
    <x v="2"/>
    <n v="0"/>
    <n v="90.246119142857239"/>
    <n v="414.41681013897232"/>
    <n v="517.46796457116295"/>
    <n v="799.9621749535695"/>
    <n v="419.82158965620926"/>
    <n v="2791.1679592522619"/>
    <n v="1.6562578907499388"/>
    <m/>
    <m/>
    <m/>
    <m/>
    <n v="0"/>
    <n v="0.05"/>
    <n v="0.15000000000000002"/>
    <n v="0.2"/>
    <n v="0.30000000000000004"/>
    <n v="0.15000000000000002"/>
    <n v="1"/>
    <n v="0"/>
    <n v="0"/>
    <n v="0"/>
    <n v="0"/>
    <n v="0"/>
    <n v="2791.1679592522619"/>
    <s v="Shelter"/>
    <n v="0.99289438534230168"/>
    <s v=""/>
    <s v="Flagged"/>
    <s v=""/>
    <n v="799.9621749535695"/>
    <s v="Health"/>
    <n v="0.28456831104151747"/>
    <n v="1991.2057842986924"/>
    <n v="2.4891249194554277"/>
    <s v="Flagged"/>
    <n v="517.46796457116295"/>
    <s v="Food Security"/>
    <n v="0.18407743429200818"/>
    <n v="2273.6999946810988"/>
    <n v="4.3938951787389655"/>
    <s v="Flagged"/>
    <s v=""/>
    <s v="Flagged"/>
    <s v=""/>
    <s v="Flagged"/>
    <n v="4"/>
    <n v="2791.1679592522619"/>
    <m/>
    <m/>
    <n v="5"/>
    <s v="Flagged"/>
    <n v="2791.1679592522619"/>
    <m/>
  </r>
  <r>
    <s v=""/>
    <x v="3"/>
    <s v="SS03"/>
    <x v="24"/>
    <s v="SS0310"/>
    <m/>
    <m/>
    <m/>
    <n v="5169"/>
    <x v="2"/>
    <n v="0"/>
    <n v="1679.9250000000002"/>
    <n v="1134.0669503428085"/>
    <n v="2195.6205771620066"/>
    <n v="2593.4320999480992"/>
    <n v="2503.5142318059297"/>
    <n v="2305.42569"/>
    <n v="1723"/>
    <m/>
    <m/>
    <m/>
    <m/>
    <n v="0"/>
    <n v="0.35000000000000003"/>
    <n v="0.2"/>
    <n v="0.4"/>
    <n v="0.5"/>
    <n v="0.5"/>
    <n v="0.45"/>
    <n v="0.35000000000000003"/>
    <n v="0"/>
    <n v="0"/>
    <n v="0"/>
    <n v="0"/>
    <n v="2593.4320999480992"/>
    <s v="Health"/>
    <n v="0.50172801314530846"/>
    <s v=""/>
    <s v=""/>
    <s v=""/>
    <n v="2503.5142318059297"/>
    <s v="Overarching Protection"/>
    <n v="0.48433241087365636"/>
    <n v="89.917868142169482"/>
    <n v="3.5916659470038852E-2"/>
    <s v=""/>
    <n v="2305.42569"/>
    <s v="Shelter"/>
    <n v="0.44601000000000002"/>
    <n v="288.00640994809919"/>
    <n v="0.1249254795751405"/>
    <s v=""/>
    <s v=""/>
    <s v="Flagged"/>
    <s v=""/>
    <s v=""/>
    <n v="4"/>
    <n v="2593.4320999480992"/>
    <m/>
    <m/>
    <n v="1"/>
    <s v="Flagged"/>
    <n v="2593.4320999480992"/>
    <m/>
  </r>
  <r>
    <s v=""/>
    <x v="3"/>
    <s v="SS03"/>
    <x v="25"/>
    <s v="SS0311"/>
    <m/>
    <m/>
    <m/>
    <n v="5651"/>
    <x v="2"/>
    <n v="0"/>
    <n v="1011.709832"/>
    <n v="1744.6043485875227"/>
    <n v="2720.786999844061"/>
    <n v="1896.4890700077565"/>
    <n v="1600.0443805733657"/>
    <n v="1260.2012549999999"/>
    <n v="3248.4529320987654"/>
    <m/>
    <m/>
    <m/>
    <m/>
    <n v="0"/>
    <n v="0.2"/>
    <n v="0.30000000000000004"/>
    <n v="0.5"/>
    <n v="0.35000000000000003"/>
    <n v="0.30000000000000004"/>
    <n v="0.2"/>
    <n v="0.55000000000000004"/>
    <n v="0"/>
    <n v="0"/>
    <n v="0"/>
    <n v="0"/>
    <n v="3248.4529320987654"/>
    <s v="WASH"/>
    <n v="0.57484567901234562"/>
    <s v=""/>
    <s v=""/>
    <s v=""/>
    <n v="2720.786999844061"/>
    <s v="Food Security"/>
    <n v="0.48147000528119999"/>
    <n v="527.66593225470433"/>
    <n v="0.19393871416062591"/>
    <s v=""/>
    <n v="1896.4890700077565"/>
    <s v="Health"/>
    <n v="0.33560238365028427"/>
    <n v="1351.9638620910089"/>
    <n v="0.71287722321831226"/>
    <s v="Flagged"/>
    <s v=""/>
    <s v=""/>
    <s v=""/>
    <s v=""/>
    <n v="4"/>
    <n v="3248.4529320987654"/>
    <m/>
    <m/>
    <n v="1"/>
    <s v="Flagged"/>
    <n v="3248.4529320987654"/>
    <m/>
  </r>
  <r>
    <s v=""/>
    <x v="4"/>
    <s v="SS04"/>
    <x v="26"/>
    <s v="SS0401"/>
    <m/>
    <m/>
    <m/>
    <n v="3073.7142857142899"/>
    <x v="2"/>
    <n v="0"/>
    <n v="294.37806985714326"/>
    <n v="541.78376790242942"/>
    <n v="566.62668387024894"/>
    <n v="526.12910610323752"/>
    <n v="125.65107543710594"/>
    <n v="489.60975306122515"/>
    <n v="768.42857142857258"/>
    <m/>
    <m/>
    <m/>
    <m/>
    <n v="0"/>
    <n v="0.1"/>
    <n v="0.2"/>
    <n v="0.2"/>
    <n v="0.15000000000000002"/>
    <n v="0.05"/>
    <n v="0.15000000000000002"/>
    <n v="0.25"/>
    <n v="0"/>
    <n v="0"/>
    <n v="0"/>
    <n v="0"/>
    <n v="768.42857142857258"/>
    <s v="WASH"/>
    <n v="0.25000000000000006"/>
    <s v=""/>
    <s v=""/>
    <s v=""/>
    <n v="566.62668387024894"/>
    <s v="Food Security"/>
    <n v="0.18434591871592013"/>
    <n v="201.80188755832364"/>
    <n v="0.35614610695696425"/>
    <s v="Flagged"/>
    <n v="541.78376790242942"/>
    <s v="Nutrition"/>
    <n v="0.17626354226236293"/>
    <n v="226.64480352614316"/>
    <n v="0.41833073811646559"/>
    <s v=""/>
    <s v=""/>
    <s v=""/>
    <s v=""/>
    <s v=""/>
    <n v="4"/>
    <n v="768.42857142857258"/>
    <m/>
    <m/>
    <n v="1"/>
    <s v="Flagged"/>
    <n v="768.42857142857258"/>
    <m/>
  </r>
  <r>
    <s v=""/>
    <x v="4"/>
    <s v="SS04"/>
    <x v="27"/>
    <s v="SS0402"/>
    <m/>
    <m/>
    <m/>
    <n v="1148"/>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8"/>
    <s v="SS0403"/>
    <m/>
    <m/>
    <m/>
    <n v="2881"/>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29"/>
    <s v="SS0404"/>
    <m/>
    <m/>
    <m/>
    <n v="6622"/>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0"/>
    <s v="SS0405"/>
    <m/>
    <m/>
    <m/>
    <n v="3719.2857142857101"/>
    <x v="2"/>
    <n v="0"/>
    <n v="252.84727089285684"/>
    <n v="496.94805957661163"/>
    <n v="738.57952047700996"/>
    <n v="893.50702089730964"/>
    <n v="219.32356257046223"/>
    <n v="0"/>
    <n v="43.047288359788311"/>
    <m/>
    <m/>
    <m/>
    <m/>
    <n v="0"/>
    <n v="0.05"/>
    <n v="0.15000000000000002"/>
    <n v="0.2"/>
    <n v="0.25"/>
    <n v="0.05"/>
    <n v="0"/>
    <n v="0"/>
    <n v="0"/>
    <n v="0"/>
    <n v="0"/>
    <n v="0"/>
    <n v="893.50702089730964"/>
    <s v="Health"/>
    <n v="0.2402361876812435"/>
    <s v="Flagged"/>
    <s v=""/>
    <s v=""/>
    <n v="738.57952047700996"/>
    <s v="Food Security"/>
    <n v="0.19858101184325239"/>
    <n v="154.92750042029968"/>
    <n v="0.20976414336568674"/>
    <s v=""/>
    <n v="496.94805957661163"/>
    <s v="Nutrition"/>
    <n v="0.13361384355814424"/>
    <n v="396.55896132069802"/>
    <n v="0.79798875089392074"/>
    <s v="Flagged"/>
    <s v=""/>
    <s v="Flagged"/>
    <s v=""/>
    <s v=""/>
    <n v="4"/>
    <n v="893.50702089730964"/>
    <m/>
    <m/>
    <n v="3"/>
    <s v="Flagged"/>
    <n v="893.50702089730964"/>
    <m/>
  </r>
  <r>
    <s v=""/>
    <x v="4"/>
    <s v="SS04"/>
    <x v="31"/>
    <s v="SS0406"/>
    <m/>
    <m/>
    <m/>
    <n v="2968"/>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4"/>
    <s v="SS04"/>
    <x v="32"/>
    <s v="SS0407"/>
    <m/>
    <m/>
    <m/>
    <n v="3047.871016813448"/>
    <x v="2"/>
    <n v="0"/>
    <n v="126.98192623799028"/>
    <n v="413.01606726889457"/>
    <n v="639.64744982839079"/>
    <n v="410.83181060014215"/>
    <n v="451.84845446950709"/>
    <n v="0"/>
    <n v="432.72242831302043"/>
    <m/>
    <m/>
    <m/>
    <m/>
    <n v="0"/>
    <n v="0.05"/>
    <n v="0.15000000000000002"/>
    <n v="0.2"/>
    <n v="0.15000000000000002"/>
    <n v="0.15000000000000002"/>
    <n v="0"/>
    <n v="0.15000000000000002"/>
    <n v="0"/>
    <n v="0"/>
    <n v="0"/>
    <n v="0"/>
    <n v="639.64744982839079"/>
    <s v="Food Security"/>
    <n v="0.20986696822135958"/>
    <s v="Flagged"/>
    <s v=""/>
    <s v=""/>
    <n v="451.84845446950709"/>
    <s v="Overarching Protection"/>
    <n v="0.14825051715669879"/>
    <n v="187.7989953588837"/>
    <n v="0.41562385242496669"/>
    <s v="Flagged"/>
    <n v="432.72242831302043"/>
    <s v="WASH"/>
    <n v="0.14197530864197533"/>
    <n v="206.92502151537036"/>
    <n v="0.47819342834174994"/>
    <s v=""/>
    <s v=""/>
    <s v=""/>
    <s v=""/>
    <s v=""/>
    <n v="4"/>
    <n v="639.64744982839079"/>
    <m/>
    <m/>
    <n v="2"/>
    <s v="Flagged"/>
    <n v="639.64744982839079"/>
    <m/>
  </r>
  <r>
    <s v=""/>
    <x v="4"/>
    <s v="SS04"/>
    <x v="33"/>
    <s v="SS0408"/>
    <m/>
    <m/>
    <m/>
    <n v="5119.8571428571404"/>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4"/>
    <s v="SS0501"/>
    <m/>
    <m/>
    <m/>
    <n v="16513.487018186021"/>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5"/>
    <s v="SS05"/>
    <x v="35"/>
    <s v="SS0502"/>
    <m/>
    <m/>
    <m/>
    <n v="84624.371794578474"/>
    <x v="2"/>
    <n v="6817"/>
    <n v="31034.769764707813"/>
    <n v="18515.163075924651"/>
    <n v="37316.940294097905"/>
    <n v="32173.087639161407"/>
    <n v="33615.929344172117"/>
    <n v="37743.316064099949"/>
    <n v="9097.9905890261853"/>
    <m/>
    <m/>
    <m/>
    <m/>
    <n v="0.1"/>
    <n v="0.35000000000000003"/>
    <n v="0.2"/>
    <n v="0.45"/>
    <n v="0.4"/>
    <n v="0.4"/>
    <n v="0.45"/>
    <n v="0.1"/>
    <n v="0"/>
    <n v="0"/>
    <n v="0"/>
    <n v="0"/>
    <n v="37743.316064099949"/>
    <s v="Shelter"/>
    <n v="0.44601000000000002"/>
    <s v=""/>
    <s v=""/>
    <s v=""/>
    <n v="37316.940294097905"/>
    <s v="Food Security"/>
    <n v="0.44097154877182371"/>
    <n v="426.37577000204328"/>
    <n v="1.1425796612523438E-2"/>
    <s v=""/>
    <n v="33615.929344172117"/>
    <s v="Overarching Protection"/>
    <n v="0.39723697359636706"/>
    <n v="4127.386719927832"/>
    <n v="0.12278068167237458"/>
    <s v=""/>
    <s v=""/>
    <s v="Flagged"/>
    <s v=""/>
    <s v=""/>
    <n v="4"/>
    <n v="37743.316064099949"/>
    <m/>
    <m/>
    <n v="1"/>
    <s v="Flagged"/>
    <n v="37743.316064099949"/>
    <m/>
  </r>
  <r>
    <s v=""/>
    <x v="5"/>
    <s v="SS05"/>
    <x v="36"/>
    <s v="SS0503"/>
    <m/>
    <m/>
    <m/>
    <n v="62262.159201647075"/>
    <x v="2"/>
    <n v="0"/>
    <n v="8144.0585314052814"/>
    <n v="22132.152043279402"/>
    <n v="25043.913831496066"/>
    <n v="25633.300676064508"/>
    <n v="29469.802812157952"/>
    <n v="21710.735670866259"/>
    <n v="2522.1939491407957"/>
    <m/>
    <m/>
    <m/>
    <m/>
    <n v="0"/>
    <n v="0.15000000000000002"/>
    <n v="0.35000000000000003"/>
    <n v="0.4"/>
    <n v="0.4"/>
    <n v="0.45"/>
    <n v="0.35000000000000003"/>
    <n v="0.05"/>
    <n v="0"/>
    <n v="0"/>
    <n v="0"/>
    <n v="0"/>
    <n v="29469.802812157952"/>
    <s v="Overarching Protection"/>
    <n v="0.47331803442143333"/>
    <s v=""/>
    <s v=""/>
    <s v=""/>
    <n v="25633.300676064508"/>
    <s v="Health"/>
    <n v="0.41169951387401305"/>
    <n v="3836.5021360934443"/>
    <n v="0.14966867453303967"/>
    <s v=""/>
    <n v="25043.913831496066"/>
    <s v="Food Security"/>
    <n v="0.40223330113539585"/>
    <n v="4425.8889806618863"/>
    <n v="0.17672513211955473"/>
    <s v=""/>
    <s v=""/>
    <s v=""/>
    <s v=""/>
    <s v="Flagged"/>
    <n v="4"/>
    <n v="29469.802812157952"/>
    <m/>
    <m/>
    <n v="1"/>
    <s v="Flagged"/>
    <n v="29469.802812157952"/>
    <m/>
  </r>
  <r>
    <s v=""/>
    <x v="5"/>
    <s v="SS05"/>
    <x v="37"/>
    <s v="SS0504"/>
    <m/>
    <m/>
    <m/>
    <n v="8876.9955392885731"/>
    <x v="2"/>
    <n v="0"/>
    <n v="809.7484368494795"/>
    <n v="2458.0660530455111"/>
    <n v="3775.6570624876808"/>
    <n v="2930.4271734008034"/>
    <n v="3994.993051649406"/>
    <n v="2791.1679592522619"/>
    <n v="2079.8580457754633"/>
    <m/>
    <m/>
    <m/>
    <m/>
    <n v="0"/>
    <n v="0.1"/>
    <n v="0.30000000000000004"/>
    <n v="0.45"/>
    <n v="0.35000000000000003"/>
    <n v="0.45"/>
    <n v="0.30000000000000004"/>
    <n v="0.25"/>
    <n v="0"/>
    <n v="0"/>
    <n v="0"/>
    <n v="0"/>
    <n v="3994.993051649406"/>
    <s v="Overarching Protection"/>
    <n v="0.45003887114373559"/>
    <s v=""/>
    <s v=""/>
    <s v=""/>
    <n v="3775.6570624876808"/>
    <s v="Food Security"/>
    <n v="0.42533051253400456"/>
    <n v="219.33598916172514"/>
    <n v="5.809213748274332E-2"/>
    <s v=""/>
    <n v="2930.4271734008034"/>
    <s v="Health"/>
    <n v="0.33011475114874911"/>
    <n v="1064.5658782486025"/>
    <n v="0.36328010056402743"/>
    <s v=""/>
    <s v=""/>
    <s v=""/>
    <s v=""/>
    <s v=""/>
    <n v="4"/>
    <n v="3994.993051649406"/>
    <m/>
    <m/>
    <n v="0"/>
    <s v=""/>
    <n v="3994.993051649406"/>
    <m/>
  </r>
  <r>
    <s v=""/>
    <x v="5"/>
    <s v="SS05"/>
    <x v="38"/>
    <s v="SS0505"/>
    <m/>
    <m/>
    <m/>
    <n v="46727.292920050364"/>
    <x v="2"/>
    <n v="0"/>
    <n v="1830.2146090925328"/>
    <n v="8260.7405083810445"/>
    <n v="8622.1084897205419"/>
    <n v="6958.3208077515483"/>
    <n v="4539.9371124334475"/>
    <n v="8018.4569592522603"/>
    <n v="1858.3154536422687"/>
    <m/>
    <m/>
    <m/>
    <m/>
    <n v="0"/>
    <n v="0.05"/>
    <n v="0.2"/>
    <n v="0.2"/>
    <n v="0.15000000000000002"/>
    <n v="0.1"/>
    <n v="0.15000000000000002"/>
    <n v="0.05"/>
    <n v="0"/>
    <n v="0"/>
    <n v="0"/>
    <n v="0"/>
    <n v="8622.1084897205419"/>
    <s v="Food Security"/>
    <n v="0.18451975175349508"/>
    <s v=""/>
    <s v=""/>
    <s v=""/>
    <n v="8260.7405083810445"/>
    <s v="Nutrition"/>
    <n v="0.17678619907459731"/>
    <n v="361.36798133949742"/>
    <n v="4.374522852677272E-2"/>
    <s v=""/>
    <n v="8018.4569592522603"/>
    <s v="Shelter"/>
    <n v="0.17160114481640759"/>
    <n v="603.65153046828163"/>
    <n v="7.5282754965934687E-2"/>
    <s v=""/>
    <s v=""/>
    <s v=""/>
    <s v=""/>
    <s v=""/>
    <n v="4"/>
    <n v="8622.1084897205419"/>
    <m/>
    <m/>
    <n v="0"/>
    <s v=""/>
    <n v="8622.1084897205419"/>
    <m/>
  </r>
  <r>
    <s v=""/>
    <x v="6"/>
    <s v="SS06"/>
    <x v="39"/>
    <s v="SS0601"/>
    <m/>
    <m/>
    <m/>
    <n v="1708.2679972549467"/>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6"/>
    <s v="SS06"/>
    <x v="40"/>
    <s v="SS0602"/>
    <m/>
    <m/>
    <m/>
    <n v="1810"/>
    <x v="2"/>
    <n v="994"/>
    <n v="103.09167224999999"/>
    <n v="351.92441432570166"/>
    <n v="408.87124388056441"/>
    <n v="325.47977083742273"/>
    <n v="243.46121963387958"/>
    <n v="1810"/>
    <n v="149.90226337448559"/>
    <m/>
    <m/>
    <m/>
    <m/>
    <n v="0.55000000000000004"/>
    <n v="0.05"/>
    <n v="0.2"/>
    <n v="0.25"/>
    <n v="0.2"/>
    <n v="0.15000000000000002"/>
    <n v="1"/>
    <n v="0.1"/>
    <n v="0"/>
    <n v="0"/>
    <n v="0"/>
    <n v="0"/>
    <n v="1810"/>
    <s v="Shelter"/>
    <n v="1"/>
    <s v=""/>
    <s v="Flagged"/>
    <s v=""/>
    <n v="994"/>
    <s v="CCCM"/>
    <n v="0.54917127071823202"/>
    <n v="816"/>
    <n v="0.82092555331991957"/>
    <s v="Flagged"/>
    <n v="408.87124388056441"/>
    <s v="Food Security"/>
    <n v="0.22589571485114054"/>
    <n v="1401.1287561194356"/>
    <n v="3.4268214678572995"/>
    <s v="Flagged"/>
    <s v=""/>
    <s v="Flagged"/>
    <s v=""/>
    <s v=""/>
    <n v="4"/>
    <n v="1810"/>
    <m/>
    <m/>
    <n v="4"/>
    <s v="Flagged"/>
    <n v="1810"/>
    <m/>
  </r>
  <r>
    <s v=""/>
    <x v="6"/>
    <s v="SS06"/>
    <x v="41"/>
    <s v="SS0603"/>
    <m/>
    <m/>
    <m/>
    <n v="7417"/>
    <x v="2"/>
    <n v="0"/>
    <n v="666.75900285"/>
    <n v="1541.5242485182951"/>
    <n v="1572.4063279913989"/>
    <n v="1330.8514622051105"/>
    <n v="991.02253596006744"/>
    <n v="0"/>
    <n v="857.65421382030172"/>
    <m/>
    <m/>
    <m/>
    <m/>
    <n v="0"/>
    <n v="0.1"/>
    <n v="0.2"/>
    <n v="0.2"/>
    <n v="0.2"/>
    <n v="0.15000000000000002"/>
    <n v="0"/>
    <n v="0.1"/>
    <n v="0"/>
    <n v="0"/>
    <n v="0"/>
    <n v="0"/>
    <n v="1572.4063279913989"/>
    <s v="Food Security"/>
    <n v="0.21200031387237414"/>
    <s v="Flagged"/>
    <s v=""/>
    <s v=""/>
    <n v="1541.5242485182951"/>
    <s v="Nutrition"/>
    <n v="0.20783662512043885"/>
    <n v="30.882079473103886"/>
    <n v="2.0033469796396378E-2"/>
    <s v=""/>
    <n v="1330.8514622051105"/>
    <s v="Health"/>
    <n v="0.17943258220373606"/>
    <n v="241.55486578628847"/>
    <n v="0.18150400149544271"/>
    <s v=""/>
    <s v=""/>
    <s v=""/>
    <s v=""/>
    <s v=""/>
    <n v="4"/>
    <n v="1572.4063279913989"/>
    <m/>
    <m/>
    <n v="1"/>
    <s v="Flagged"/>
    <n v="1572.4063279913989"/>
    <m/>
  </r>
  <r>
    <s v=""/>
    <x v="6"/>
    <s v="SS06"/>
    <x v="42"/>
    <s v="SS0604"/>
    <m/>
    <m/>
    <m/>
    <n v="5041.023996339929"/>
    <x v="2"/>
    <n v="413"/>
    <n v="491.72920623497652"/>
    <n v="948.70786540732831"/>
    <n v="2013.4750014282604"/>
    <n v="2516.4715151088149"/>
    <n v="1710.5132263169794"/>
    <n v="2052.8386680330004"/>
    <n v="547.79646050761835"/>
    <m/>
    <m/>
    <m/>
    <m/>
    <n v="0.1"/>
    <n v="0.1"/>
    <n v="0.2"/>
    <n v="0.4"/>
    <n v="0.5"/>
    <n v="0.35000000000000003"/>
    <n v="0.4"/>
    <n v="0.1"/>
    <n v="0"/>
    <n v="0"/>
    <n v="0"/>
    <n v="0"/>
    <n v="2516.4715151088149"/>
    <s v="Health"/>
    <n v="0.49919847970093312"/>
    <s v=""/>
    <s v=""/>
    <s v=""/>
    <n v="2052.8386680330004"/>
    <s v="Shelter"/>
    <n v="0.40722652173913049"/>
    <n v="463.63284707581442"/>
    <n v="0.22584962680971932"/>
    <s v=""/>
    <n v="2013.4750014282604"/>
    <s v="Food Security"/>
    <n v="0.3994178569453663"/>
    <n v="502.99651368055447"/>
    <n v="0.24981512724208318"/>
    <s v=""/>
    <s v=""/>
    <s v="Flagged"/>
    <s v=""/>
    <s v="Flagged"/>
    <n v="4"/>
    <n v="2516.4715151088149"/>
    <m/>
    <m/>
    <n v="2"/>
    <s v="Flagged"/>
    <n v="2516.4715151088149"/>
    <m/>
  </r>
  <r>
    <s v=""/>
    <x v="6"/>
    <s v="SS06"/>
    <x v="43"/>
    <s v="SS0605"/>
    <m/>
    <m/>
    <m/>
    <n v="3069.1428571428601"/>
    <x v="2"/>
    <n v="672"/>
    <n v="597.15391828571489"/>
    <n v="737.81076198523169"/>
    <n v="1273.5593109339161"/>
    <n v="1325.7418685254431"/>
    <n v="1140.0764846098041"/>
    <n v="1368.8684057142871"/>
    <n v="295.23133450911257"/>
    <m/>
    <m/>
    <m/>
    <m/>
    <n v="0.2"/>
    <n v="0.2"/>
    <n v="0.25"/>
    <n v="0.4"/>
    <n v="0.45"/>
    <n v="0.35000000000000003"/>
    <n v="0.45"/>
    <n v="0.1"/>
    <n v="0"/>
    <n v="0"/>
    <n v="0"/>
    <n v="0"/>
    <n v="1368.8684057142871"/>
    <s v="Shelter"/>
    <n v="0.44601000000000002"/>
    <s v=""/>
    <s v=""/>
    <s v=""/>
    <n v="1325.7418685254431"/>
    <s v="Health"/>
    <n v="0.43195834479976231"/>
    <n v="43.12653718884394"/>
    <n v="3.2530116316543164E-2"/>
    <s v=""/>
    <n v="1273.5593109339161"/>
    <s v="Food Security"/>
    <n v="0.41495602199485215"/>
    <n v="95.30909478037097"/>
    <n v="7.4836793200058885E-2"/>
    <s v=""/>
    <s v=""/>
    <s v="Flagged"/>
    <s v=""/>
    <s v="Flagged"/>
    <n v="4"/>
    <n v="1368.8684057142871"/>
    <m/>
    <m/>
    <n v="2"/>
    <s v="Flagged"/>
    <n v="1368.8684057142871"/>
    <m/>
  </r>
  <r>
    <s v=""/>
    <x v="6"/>
    <s v="SS06"/>
    <x v="44"/>
    <s v="SS0606"/>
    <m/>
    <m/>
    <m/>
    <n v="7050.3021159784967"/>
    <x v="2"/>
    <n v="0"/>
    <n v="539.36397505211585"/>
    <n v="1452.1571784353212"/>
    <n v="1269.9235399732042"/>
    <n v="1332.4182694928645"/>
    <n v="908.95500636156851"/>
    <n v="2791.1679592522619"/>
    <n v="396.2168241618574"/>
    <m/>
    <m/>
    <m/>
    <m/>
    <n v="0"/>
    <n v="0.1"/>
    <n v="0.2"/>
    <n v="0.2"/>
    <n v="0.2"/>
    <n v="0.15000000000000002"/>
    <n v="0.4"/>
    <n v="0.05"/>
    <n v="0"/>
    <n v="0"/>
    <n v="0"/>
    <n v="0"/>
    <n v="2791.1679592522619"/>
    <s v="Shelter"/>
    <n v="0.39589338348018888"/>
    <s v=""/>
    <s v=""/>
    <s v=""/>
    <n v="1452.1571784353212"/>
    <s v="Nutrition"/>
    <n v="0.20597091508237861"/>
    <n v="1339.0107808169407"/>
    <n v="0.92208391811946"/>
    <s v="Flagged"/>
    <n v="1332.4182694928645"/>
    <s v="Health"/>
    <n v="0.18898740047935392"/>
    <n v="1458.7496897593974"/>
    <n v="1.0948136355970384"/>
    <s v="Flagged"/>
    <s v=""/>
    <s v="Flagged"/>
    <s v=""/>
    <s v=""/>
    <n v="4"/>
    <n v="2791.1679592522619"/>
    <m/>
    <m/>
    <n v="3"/>
    <s v="Flagged"/>
    <n v="2791.1679592522619"/>
    <m/>
  </r>
  <r>
    <s v=""/>
    <x v="6"/>
    <s v="SS06"/>
    <x v="45"/>
    <s v="SS0607"/>
    <m/>
    <m/>
    <m/>
    <n v="3636"/>
    <x v="2"/>
    <n v="3219"/>
    <n v="688.46932800000013"/>
    <n v="799.68180931631616"/>
    <n v="1476.0376778663449"/>
    <n v="2102.6310698931975"/>
    <n v="1041.2681171064048"/>
    <n v="1621.69236"/>
    <n v="941.73148148148152"/>
    <m/>
    <m/>
    <m/>
    <m/>
    <n v="0.9"/>
    <n v="0.2"/>
    <n v="0.2"/>
    <n v="0.4"/>
    <n v="0.60000000000000009"/>
    <n v="0.30000000000000004"/>
    <n v="0.45"/>
    <n v="0.25"/>
    <n v="0"/>
    <n v="0"/>
    <n v="0"/>
    <n v="0"/>
    <n v="3219"/>
    <s v="CCCM"/>
    <n v="0.88531353135313529"/>
    <s v=""/>
    <s v=""/>
    <s v=""/>
    <n v="2102.6310698931975"/>
    <s v="Health"/>
    <n v="0.57828137235786514"/>
    <n v="1116.3689301068025"/>
    <n v="0.53093904398716418"/>
    <s v="Flagged"/>
    <n v="1621.69236"/>
    <s v="Shelter"/>
    <n v="0.44601000000000002"/>
    <n v="1597.30764"/>
    <n v="0.98496341192604497"/>
    <s v="Flagged"/>
    <s v=""/>
    <s v=""/>
    <s v=""/>
    <s v="Flagged"/>
    <n v="4"/>
    <n v="3219"/>
    <m/>
    <m/>
    <n v="3"/>
    <s v="Flagged"/>
    <n v="3219"/>
    <m/>
  </r>
  <r>
    <s v=""/>
    <x v="6"/>
    <s v="SS06"/>
    <x v="46"/>
    <s v="SS0608"/>
    <m/>
    <m/>
    <m/>
    <n v="3515.9389111289033"/>
    <x v="2"/>
    <n v="0"/>
    <n v="94.197277337510016"/>
    <n v="756.72707642445596"/>
    <n v="1174.6142706748806"/>
    <n v="2199.7477844080736"/>
    <n v="505.22963318149124"/>
    <n v="0"/>
    <n v="483.25294519598515"/>
    <m/>
    <m/>
    <m/>
    <m/>
    <n v="0"/>
    <n v="0.05"/>
    <n v="0.2"/>
    <n v="0.35000000000000003"/>
    <n v="0.65"/>
    <n v="0.15000000000000002"/>
    <n v="0"/>
    <n v="0.15000000000000002"/>
    <n v="0"/>
    <n v="0"/>
    <n v="0"/>
    <n v="0"/>
    <n v="2199.7477844080736"/>
    <s v="Health"/>
    <n v="0.6256501719769002"/>
    <s v="Flagged"/>
    <s v=""/>
    <s v=""/>
    <n v="1174.6142706748806"/>
    <s v="Food Security"/>
    <n v="0.3340826733243023"/>
    <n v="1025.133513733193"/>
    <n v="0.87274055775279946"/>
    <s v="Flagged"/>
    <n v="756.72707642445596"/>
    <s v="Nutrition"/>
    <n v="0.21522759511810882"/>
    <n v="1443.0207079836177"/>
    <n v="1.9069235830729185"/>
    <s v="Flagged"/>
    <s v=""/>
    <s v="Flagged"/>
    <s v=""/>
    <s v=""/>
    <n v="4"/>
    <n v="2199.7477844080736"/>
    <m/>
    <m/>
    <n v="4"/>
    <s v="Flagged"/>
    <n v="2199.7477844080736"/>
    <m/>
  </r>
  <r>
    <s v=""/>
    <x v="6"/>
    <s v="SS06"/>
    <x v="47"/>
    <s v="SS0609"/>
    <m/>
    <m/>
    <m/>
    <n v="13224.062358458195"/>
    <x v="2"/>
    <n v="21065"/>
    <n v="3641.3751662125778"/>
    <n v="2331.1192661250252"/>
    <n v="6140.5817860921698"/>
    <n v="7526.0717905892307"/>
    <n v="4112.2893425930761"/>
    <n v="5898.0640524959399"/>
    <n v="2168.2972617070727"/>
    <m/>
    <m/>
    <m/>
    <m/>
    <n v="1.6"/>
    <n v="0.30000000000000004"/>
    <n v="0.2"/>
    <n v="0.45"/>
    <n v="0.55000000000000004"/>
    <n v="0.30000000000000004"/>
    <n v="0.45"/>
    <n v="0.15000000000000002"/>
    <n v="0"/>
    <n v="0"/>
    <n v="0"/>
    <n v="0"/>
    <n v="21065"/>
    <s v="CCCM"/>
    <n v="1.5929295725474775"/>
    <s v=""/>
    <s v="Flagged"/>
    <s v=""/>
    <n v="7526.0717905892307"/>
    <s v="Health"/>
    <n v="0.56911950250866039"/>
    <n v="13538.928209410769"/>
    <n v="1.7989368937910146"/>
    <s v="Flagged"/>
    <n v="6140.5817860921698"/>
    <s v="Food Security"/>
    <n v="0.46434912507536796"/>
    <n v="14924.418213907829"/>
    <n v="2.4304567113999211"/>
    <s v="Flagged"/>
    <s v=""/>
    <s v=""/>
    <s v=""/>
    <s v="Flagged"/>
    <n v="4"/>
    <n v="21065"/>
    <m/>
    <m/>
    <n v="4"/>
    <s v="Flagged"/>
    <n v="21065"/>
    <m/>
  </r>
  <r>
    <s v=""/>
    <x v="7"/>
    <s v="SS07"/>
    <x v="48"/>
    <s v="SS0701"/>
    <m/>
    <m/>
    <m/>
    <n v="4961"/>
    <x v="2"/>
    <n v="0"/>
    <n v="397.55469600000004"/>
    <n v="1649.102015036234"/>
    <n v="2215.0636691353689"/>
    <n v="2205.8461840677242"/>
    <n v="757.12273409536999"/>
    <n v="2791.1679592522619"/>
    <n v="4001.8903463648835"/>
    <m/>
    <m/>
    <m/>
    <m/>
    <n v="0"/>
    <n v="0.1"/>
    <n v="0.35000000000000003"/>
    <n v="0.45"/>
    <n v="0.45"/>
    <n v="0.15000000000000002"/>
    <n v="0.55000000000000004"/>
    <n v="0.8"/>
    <n v="0"/>
    <n v="0"/>
    <n v="0"/>
    <n v="0"/>
    <n v="4001.8903463648835"/>
    <s v="WASH"/>
    <n v="0.80667009602194795"/>
    <s v=""/>
    <s v=""/>
    <s v=""/>
    <n v="2791.1679592522619"/>
    <s v="Shelter"/>
    <n v="0.56262204379203018"/>
    <n v="1210.7223871126216"/>
    <n v="0.43376909049821827"/>
    <s v="Flagged"/>
    <n v="2215.0636691353689"/>
    <s v="Food Security"/>
    <n v="0.44649539793093507"/>
    <n v="1786.8266772295146"/>
    <n v="0.80667057210458748"/>
    <s v="Flagged"/>
    <s v=""/>
    <s v=""/>
    <s v=""/>
    <s v="Flagged"/>
    <n v="4"/>
    <n v="4001.8903463648835"/>
    <m/>
    <m/>
    <n v="3"/>
    <s v="Flagged"/>
    <n v="4001.8903463648835"/>
    <m/>
  </r>
  <r>
    <s v=""/>
    <x v="7"/>
    <s v="SS07"/>
    <x v="49"/>
    <s v="SS0702"/>
    <m/>
    <m/>
    <m/>
    <n v="14416.589191353083"/>
    <x v="2"/>
    <n v="5999"/>
    <n v="4916.7489105325858"/>
    <n v="2555.6208862431035"/>
    <n v="5590.2544771625207"/>
    <n v="4442.7025215305175"/>
    <n v="6625.3038970920416"/>
    <n v="3634.3155777417414"/>
    <n v="13124.301716494821"/>
    <m/>
    <m/>
    <m/>
    <m/>
    <n v="0.4"/>
    <n v="0.35000000000000003"/>
    <n v="0.2"/>
    <n v="0.4"/>
    <n v="0.30000000000000004"/>
    <n v="0.45"/>
    <n v="0.25"/>
    <n v="0.9"/>
    <n v="0"/>
    <n v="0"/>
    <n v="0"/>
    <n v="0"/>
    <n v="13124.301716494821"/>
    <s v="WASH"/>
    <n v="0.91036108071711153"/>
    <s v=""/>
    <s v="Flagged"/>
    <s v=""/>
    <n v="6625.3038970920416"/>
    <s v="Overarching Protection"/>
    <n v="0.45956112150756356"/>
    <n v="6498.9978194027799"/>
    <n v="0.9809358061681217"/>
    <s v="Flagged"/>
    <n v="5999"/>
    <s v="CCCM"/>
    <n v="0.41611784315794587"/>
    <n v="7125.3017164948214"/>
    <n v="1.1877482441231575"/>
    <s v="Flagged"/>
    <s v=""/>
    <s v=""/>
    <s v=""/>
    <s v=""/>
    <n v="4"/>
    <n v="13124.301716494821"/>
    <m/>
    <m/>
    <n v="3"/>
    <s v="Flagged"/>
    <n v="13124.301716494821"/>
    <m/>
  </r>
  <r>
    <s v=""/>
    <x v="7"/>
    <s v="SS07"/>
    <x v="50"/>
    <s v="SS0703"/>
    <m/>
    <m/>
    <m/>
    <n v="16232.649182202906"/>
    <x v="2"/>
    <n v="0"/>
    <n v="5592.8212982099622"/>
    <n v="3052.9079294512967"/>
    <n v="8504.5465125834617"/>
    <n v="4934.7575944873897"/>
    <n v="6252.6934178106303"/>
    <n v="6883.8620324877138"/>
    <n v="1364.9033358320601"/>
    <m/>
    <m/>
    <m/>
    <m/>
    <n v="0"/>
    <n v="0.35000000000000003"/>
    <n v="0.2"/>
    <n v="0.5"/>
    <n v="0.30000000000000004"/>
    <n v="0.4"/>
    <n v="0.4"/>
    <n v="0.1"/>
    <n v="0"/>
    <n v="0"/>
    <n v="0"/>
    <n v="0"/>
    <n v="8504.5465125834617"/>
    <s v="Food Security"/>
    <n v="0.52391611604023614"/>
    <s v=""/>
    <s v=""/>
    <s v=""/>
    <n v="6883.8620324877138"/>
    <s v="Shelter"/>
    <n v="0.42407508196721322"/>
    <n v="1620.6844800957479"/>
    <n v="0.23543244656082385"/>
    <s v=""/>
    <n v="6252.6934178106303"/>
    <s v="Overarching Protection"/>
    <n v="0.38519241977248769"/>
    <n v="2251.8530947728314"/>
    <n v="0.36014129340781176"/>
    <s v=""/>
    <s v=""/>
    <s v=""/>
    <s v=""/>
    <s v="Flagged"/>
    <n v="4"/>
    <n v="8504.5465125834617"/>
    <m/>
    <m/>
    <n v="1"/>
    <s v="Flagged"/>
    <n v="8504.5465125834617"/>
    <m/>
  </r>
  <r>
    <s v=""/>
    <x v="7"/>
    <s v="SS07"/>
    <x v="51"/>
    <s v="SS0704"/>
    <m/>
    <m/>
    <m/>
    <n v="158050.00862404195"/>
    <x v="2"/>
    <n v="0"/>
    <n v="42577.170848234979"/>
    <n v="33518.025657618113"/>
    <n v="85266.022690283688"/>
    <n v="87835.957677037863"/>
    <n v="69612.640747181373"/>
    <n v="30439.677331403862"/>
    <n v="118537.50646803142"/>
    <m/>
    <m/>
    <m/>
    <m/>
    <n v="0"/>
    <n v="0.25"/>
    <n v="0.2"/>
    <n v="0.55000000000000004"/>
    <n v="0.55000000000000004"/>
    <n v="0.45"/>
    <n v="0.2"/>
    <n v="0.75"/>
    <n v="0"/>
    <n v="0"/>
    <n v="0"/>
    <n v="0"/>
    <n v="118537.50646803142"/>
    <s v="WASH"/>
    <n v="0.74999999999999978"/>
    <s v=""/>
    <s v=""/>
    <s v=""/>
    <n v="87835.957677037863"/>
    <s v="Health"/>
    <n v="0.55574788284874921"/>
    <n v="30701.548790993562"/>
    <n v="0.34953280641487877"/>
    <s v="Flagged"/>
    <n v="85266.022690283688"/>
    <s v="Food Security"/>
    <n v="0.53948761808111256"/>
    <n v="33271.483777747737"/>
    <n v="0.39020799525974748"/>
    <s v=""/>
    <s v=""/>
    <s v=""/>
    <s v=""/>
    <s v="Flagged"/>
    <n v="4"/>
    <n v="118537.50646803142"/>
    <m/>
    <m/>
    <n v="2"/>
    <s v="Flagged"/>
    <n v="118537.50646803142"/>
    <m/>
  </r>
  <r>
    <s v=""/>
    <x v="7"/>
    <s v="SS07"/>
    <x v="52"/>
    <s v="SS0705"/>
    <m/>
    <m/>
    <m/>
    <n v="25766.491604712341"/>
    <x v="2"/>
    <n v="0"/>
    <n v="8874.6367541988493"/>
    <n v="4296.6261739277361"/>
    <n v="9521.46214068886"/>
    <n v="10259.793865779977"/>
    <n v="11727.119475335045"/>
    <n v="0"/>
    <n v="4294.4152674520565"/>
    <m/>
    <m/>
    <m/>
    <m/>
    <n v="0"/>
    <n v="0.35000000000000003"/>
    <n v="0.15000000000000002"/>
    <n v="0.35000000000000003"/>
    <n v="0.4"/>
    <n v="0.45"/>
    <n v="0"/>
    <n v="0.15000000000000002"/>
    <n v="0"/>
    <n v="0"/>
    <n v="0"/>
    <n v="0"/>
    <n v="11727.119475335045"/>
    <s v="Overarching Protection"/>
    <n v="0.45513062683280925"/>
    <s v="Flagged"/>
    <s v=""/>
    <s v=""/>
    <n v="10259.793865779977"/>
    <s v="Health"/>
    <n v="0.39818357978948132"/>
    <n v="1467.3256095550678"/>
    <n v="0.14301706532809738"/>
    <s v=""/>
    <n v="9521.46214068886"/>
    <s v="Food Security"/>
    <n v="0.36952885502454336"/>
    <n v="2205.6573346461846"/>
    <n v="0.23165111639950389"/>
    <s v=""/>
    <s v=""/>
    <s v=""/>
    <s v=""/>
    <s v="Flagged"/>
    <n v="4"/>
    <n v="11727.119475335045"/>
    <m/>
    <m/>
    <n v="2"/>
    <s v="Flagged"/>
    <n v="11727.119475335045"/>
    <m/>
  </r>
  <r>
    <s v=""/>
    <x v="7"/>
    <s v="SS07"/>
    <x v="53"/>
    <s v="SS0706"/>
    <m/>
    <m/>
    <m/>
    <n v="43189.075569026623"/>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4"/>
    <s v="SS0707"/>
    <m/>
    <m/>
    <m/>
    <n v="12690.76710511266"/>
    <x v="2"/>
    <n v="9357"/>
    <n v="355.58514167157261"/>
    <n v="2632.8893740184176"/>
    <n v="5810.9299799468654"/>
    <n v="7717.6077569269"/>
    <n v="4126.5776425319546"/>
    <n v="5660.2090365512977"/>
    <n v="7931.0856837405618"/>
    <m/>
    <m/>
    <m/>
    <m/>
    <n v="0.75"/>
    <n v="0.05"/>
    <n v="0.2"/>
    <n v="0.45"/>
    <n v="0.60000000000000009"/>
    <n v="0.35000000000000003"/>
    <n v="0.45"/>
    <n v="0.60000000000000009"/>
    <n v="0"/>
    <n v="0"/>
    <n v="0"/>
    <n v="0"/>
    <n v="9357"/>
    <s v="CCCM"/>
    <n v="0.73730767592688673"/>
    <s v=""/>
    <s v=""/>
    <s v=""/>
    <n v="7931.0856837405618"/>
    <s v="WASH"/>
    <n v="0.62494927359792207"/>
    <n v="1425.9143162594382"/>
    <n v="0.17978803572664595"/>
    <s v=""/>
    <n v="7717.6077569269"/>
    <s v="Health"/>
    <n v="0.60812775878754799"/>
    <n v="1639.3922430731"/>
    <n v="0.21242233276259365"/>
    <s v=""/>
    <s v=""/>
    <s v=""/>
    <s v=""/>
    <s v=""/>
    <n v="4"/>
    <n v="9357"/>
    <m/>
    <m/>
    <n v="0"/>
    <s v=""/>
    <n v="9357"/>
    <m/>
  </r>
  <r>
    <s v=""/>
    <x v="7"/>
    <s v="SS07"/>
    <x v="55"/>
    <s v="SS0708"/>
    <m/>
    <m/>
    <m/>
    <n v="24576.329269129605"/>
    <x v="2"/>
    <n v="0"/>
    <n v="660.90664670543333"/>
    <n v="5329.8340296166089"/>
    <n v="4666.6608498102905"/>
    <n v="4242.4747149122877"/>
    <n v="2856.2082564528882"/>
    <n v="2791.1679592522619"/>
    <n v="8148.9157620335"/>
    <m/>
    <m/>
    <m/>
    <m/>
    <n v="0"/>
    <n v="0.05"/>
    <n v="0.2"/>
    <n v="0.2"/>
    <n v="0.15000000000000002"/>
    <n v="0.1"/>
    <n v="0.1"/>
    <n v="0.35000000000000003"/>
    <n v="0"/>
    <n v="0"/>
    <n v="0"/>
    <n v="0"/>
    <n v="8148.9157620335"/>
    <s v="WASH"/>
    <n v="0.33157578875171467"/>
    <s v=""/>
    <s v=""/>
    <s v=""/>
    <n v="5329.8340296166089"/>
    <s v="Nutrition"/>
    <n v="0.21686859625173677"/>
    <n v="2819.0817324168911"/>
    <n v="0.52892486271653683"/>
    <s v="Flagged"/>
    <n v="4666.6608498102905"/>
    <s v="Food Security"/>
    <n v="0.18988437201938438"/>
    <n v="3482.2549122232094"/>
    <n v="0.74619841130404196"/>
    <s v="Flagged"/>
    <s v=""/>
    <s v=""/>
    <s v=""/>
    <s v=""/>
    <n v="4"/>
    <n v="8148.9157620335"/>
    <m/>
    <m/>
    <n v="2"/>
    <s v="Flagged"/>
    <n v="8148.9157620335"/>
    <m/>
  </r>
  <r>
    <s v=""/>
    <x v="7"/>
    <s v="SS07"/>
    <x v="56"/>
    <s v="SS0709"/>
    <m/>
    <m/>
    <m/>
    <n v="1622.427953791605"/>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7"/>
    <s v="SS07"/>
    <x v="57"/>
    <s v="SS0710"/>
    <m/>
    <m/>
    <m/>
    <n v="4756.8792176598463"/>
    <x v="2"/>
    <n v="0"/>
    <n v="393.45004247523769"/>
    <n v="1333.8809251820439"/>
    <n v="2327.5766133163752"/>
    <n v="2602.5939162895193"/>
    <n v="1668.7434639992207"/>
    <n v="2791.1679592522619"/>
    <n v="4334.263915264446"/>
    <m/>
    <m/>
    <m/>
    <m/>
    <n v="0"/>
    <n v="0.1"/>
    <n v="0.30000000000000004"/>
    <n v="0.5"/>
    <n v="0.55000000000000004"/>
    <n v="0.35000000000000003"/>
    <n v="0.60000000000000009"/>
    <n v="0.9"/>
    <n v="0"/>
    <n v="0"/>
    <n v="0"/>
    <n v="0"/>
    <n v="4334.263915264446"/>
    <s v="WASH"/>
    <n v="0.91115702479338834"/>
    <s v=""/>
    <s v="Flagged"/>
    <s v=""/>
    <n v="2791.1679592522619"/>
    <s v="Shelter"/>
    <n v="0.58676452176672689"/>
    <n v="1543.0959560121842"/>
    <n v="0.55284955206549835"/>
    <s v="Flagged"/>
    <n v="2602.5939162895193"/>
    <s v="Health"/>
    <n v="0.5471221355857484"/>
    <n v="1731.6699989749268"/>
    <n v="0.66536311644182422"/>
    <s v="Flagged"/>
    <s v=""/>
    <s v=""/>
    <s v=""/>
    <s v="Flagged"/>
    <n v="4"/>
    <n v="4334.263915264446"/>
    <m/>
    <m/>
    <n v="4"/>
    <s v="Flagged"/>
    <n v="4334.263915264446"/>
    <m/>
  </r>
  <r>
    <s v=""/>
    <x v="7"/>
    <s v="SS07"/>
    <x v="58"/>
    <s v="SS0711"/>
    <m/>
    <m/>
    <m/>
    <n v="235020.19206222118"/>
    <x v="2"/>
    <n v="10519"/>
    <n v="43043.948176195809"/>
    <n v="38448.70083296996"/>
    <n v="84869.09553284297"/>
    <n v="69517.660651019134"/>
    <n v="53143.78769676089"/>
    <n v="23293.634635926948"/>
    <n v="46625.233576129962"/>
    <m/>
    <m/>
    <m/>
    <m/>
    <n v="0.05"/>
    <n v="0.2"/>
    <n v="0.15000000000000002"/>
    <n v="0.35000000000000003"/>
    <n v="0.30000000000000004"/>
    <n v="0.25"/>
    <n v="0.1"/>
    <n v="0.2"/>
    <n v="0"/>
    <n v="0"/>
    <n v="0"/>
    <n v="0"/>
    <n v="84869.09553284297"/>
    <s v="Food Security"/>
    <n v="0.36111405912890254"/>
    <s v=""/>
    <s v=""/>
    <s v=""/>
    <n v="69517.660651019134"/>
    <s v="Health"/>
    <n v="0.29579441681595792"/>
    <n v="15351.434881823836"/>
    <n v="0.22082784055246804"/>
    <s v=""/>
    <n v="53143.78769676089"/>
    <s v="Overarching Protection"/>
    <n v="0.22612434799938877"/>
    <n v="31725.30783608208"/>
    <n v="0.59697114584882582"/>
    <s v="Flagged"/>
    <s v=""/>
    <s v=""/>
    <s v=""/>
    <s v="Flagged"/>
    <n v="4"/>
    <n v="84869.09553284297"/>
    <m/>
    <m/>
    <n v="2"/>
    <s v="Flagged"/>
    <n v="84869.09553284297"/>
    <m/>
  </r>
  <r>
    <s v=""/>
    <x v="7"/>
    <s v="SS07"/>
    <x v="59"/>
    <s v="SS0712"/>
    <m/>
    <m/>
    <m/>
    <n v="44257.266075717678"/>
    <x v="2"/>
    <n v="0"/>
    <n v="14377.415457357643"/>
    <n v="8899.1872448533759"/>
    <n v="22810.630866941527"/>
    <n v="25678.83079632674"/>
    <n v="14445.247226652808"/>
    <n v="11279.533281389053"/>
    <n v="33192.949556788255"/>
    <m/>
    <m/>
    <m/>
    <m/>
    <n v="0"/>
    <n v="0.30000000000000004"/>
    <n v="0.2"/>
    <n v="0.5"/>
    <n v="0.60000000000000009"/>
    <n v="0.35000000000000003"/>
    <n v="0.25"/>
    <n v="0.75"/>
    <n v="0"/>
    <n v="0"/>
    <n v="0"/>
    <n v="0"/>
    <n v="33192.949556788255"/>
    <s v="WASH"/>
    <n v="0.74999999999999989"/>
    <s v=""/>
    <s v=""/>
    <s v=""/>
    <n v="25678.83079632674"/>
    <s v="Health"/>
    <n v="0.58021728573098108"/>
    <n v="7514.1187604615152"/>
    <n v="0.29261919360971766"/>
    <s v=""/>
    <n v="22810.630866941527"/>
    <s v="Food Security"/>
    <n v="0.51540984994228722"/>
    <n v="10382.318689846728"/>
    <n v="0.45515263257770655"/>
    <s v=""/>
    <s v=""/>
    <s v=""/>
    <s v=""/>
    <s v="Flagged"/>
    <n v="4"/>
    <n v="33192.949556788255"/>
    <m/>
    <m/>
    <n v="1"/>
    <s v="Flagged"/>
    <n v="33192.949556788255"/>
    <m/>
  </r>
  <r>
    <s v=""/>
    <x v="8"/>
    <s v="SS08"/>
    <x v="60"/>
    <s v="SS0801"/>
    <m/>
    <m/>
    <m/>
    <n v="34983.329520759507"/>
    <x v="2"/>
    <n v="0"/>
    <n v="1853.3573263496535"/>
    <n v="6260.8038420060857"/>
    <n v="5655.1617490371"/>
    <n v="5892.1146252364215"/>
    <n v="4872.5964171905953"/>
    <n v="5499.388003121474"/>
    <n v="971.75915335443062"/>
    <m/>
    <m/>
    <m/>
    <m/>
    <n v="0"/>
    <n v="0.05"/>
    <n v="0.2"/>
    <n v="0.15000000000000002"/>
    <n v="0.15000000000000002"/>
    <n v="0.15000000000000002"/>
    <n v="0.15000000000000002"/>
    <n v="0.05"/>
    <n v="0"/>
    <n v="0"/>
    <n v="0"/>
    <n v="0"/>
    <n v="6260.8038420060857"/>
    <s v="Nutrition"/>
    <n v="0.17896535086206855"/>
    <s v=""/>
    <s v=""/>
    <s v=""/>
    <n v="5892.1146252364215"/>
    <s v="Health"/>
    <n v="0.168426353521896"/>
    <n v="368.6892167696642"/>
    <n v="6.2573327272103185E-2"/>
    <s v=""/>
    <n v="5655.1617490371"/>
    <s v="Food Security"/>
    <n v="0.16165304522204677"/>
    <n v="605.64209296898571"/>
    <n v="0.10709545011194559"/>
    <s v=""/>
    <s v=""/>
    <s v=""/>
    <s v=""/>
    <s v="Flagged"/>
    <n v="4"/>
    <n v="6260.8038420060857"/>
    <m/>
    <m/>
    <n v="1"/>
    <s v="Flagged"/>
    <n v="6260.8038420060857"/>
    <m/>
  </r>
  <r>
    <s v=""/>
    <x v="8"/>
    <s v="SS08"/>
    <x v="61"/>
    <s v="SS0802"/>
    <m/>
    <m/>
    <m/>
    <n v="98408.747432231496"/>
    <x v="2"/>
    <n v="0"/>
    <n v="5598.6926008826858"/>
    <n v="17553.951326418319"/>
    <n v="14648.385397148562"/>
    <n v="17460.781015847377"/>
    <n v="10599.503096170858"/>
    <n v="12932.253746377106"/>
    <n v="9281.7341328127422"/>
    <m/>
    <m/>
    <m/>
    <m/>
    <n v="0"/>
    <n v="0.05"/>
    <n v="0.2"/>
    <n v="0.15000000000000002"/>
    <n v="0.2"/>
    <n v="0.1"/>
    <n v="0.15000000000000002"/>
    <n v="0.1"/>
    <n v="0"/>
    <n v="0"/>
    <n v="0"/>
    <n v="0"/>
    <n v="17553.951326418319"/>
    <s v="Nutrition"/>
    <n v="0.17837795708665763"/>
    <s v=""/>
    <s v=""/>
    <s v=""/>
    <n v="17460.781015847377"/>
    <s v="Health"/>
    <n v="0.17743118850152648"/>
    <n v="93.170310570942092"/>
    <n v="5.3359761219375504E-3"/>
    <s v=""/>
    <n v="14648.385397148562"/>
    <s v="Food Security"/>
    <n v="0.1488524727665706"/>
    <n v="2905.5659292697565"/>
    <n v="0.19835400629446509"/>
    <s v=""/>
    <s v=""/>
    <s v=""/>
    <s v=""/>
    <s v="Flagged"/>
    <n v="4"/>
    <n v="17553.951326418319"/>
    <m/>
    <m/>
    <n v="1"/>
    <s v="Flagged"/>
    <n v="17553.951326418319"/>
    <m/>
  </r>
  <r>
    <s v=""/>
    <x v="8"/>
    <s v="SS08"/>
    <x v="62"/>
    <s v="SS0803"/>
    <m/>
    <m/>
    <m/>
    <n v="17868.834713485074"/>
    <x v="2"/>
    <n v="0"/>
    <n v="5845.6498996058772"/>
    <n v="4472.1630515652214"/>
    <n v="7378.8208715572273"/>
    <n v="5350.4669219999969"/>
    <n v="6490.8773525721463"/>
    <n v="5433.872025382826"/>
    <n v="2679.4060282823557"/>
    <m/>
    <m/>
    <m/>
    <m/>
    <n v="0"/>
    <n v="0.35000000000000003"/>
    <n v="0.25"/>
    <n v="0.4"/>
    <n v="0.30000000000000004"/>
    <n v="0.35000000000000003"/>
    <n v="0.30000000000000004"/>
    <n v="0.15000000000000002"/>
    <n v="0"/>
    <n v="0"/>
    <n v="0"/>
    <n v="0"/>
    <n v="7378.8208715572273"/>
    <s v="Food Security"/>
    <n v="0.41294359648358336"/>
    <s v=""/>
    <s v=""/>
    <s v=""/>
    <n v="6490.8773525721463"/>
    <s v="Overarching Protection"/>
    <n v="0.36325129515433235"/>
    <n v="887.94351898508103"/>
    <n v="0.13679869003120429"/>
    <s v=""/>
    <n v="5845.6498996058772"/>
    <s v="Education"/>
    <n v="0.32714220000000005"/>
    <n v="1533.1709719513501"/>
    <n v="0.26227553792688113"/>
    <s v=""/>
    <s v=""/>
    <s v=""/>
    <s v=""/>
    <s v=""/>
    <n v="4"/>
    <n v="7378.8208715572273"/>
    <m/>
    <m/>
    <n v="0"/>
    <s v=""/>
    <n v="7378.8208715572273"/>
    <m/>
  </r>
  <r>
    <s v=""/>
    <x v="8"/>
    <s v="SS08"/>
    <x v="63"/>
    <s v="SS0804"/>
    <m/>
    <m/>
    <m/>
    <n v="13129.238762438523"/>
    <x v="2"/>
    <n v="0"/>
    <n v="870.29128522638109"/>
    <n v="2474.8513856255672"/>
    <n v="2348.180797209166"/>
    <n v="2663.6198183164583"/>
    <n v="1958.472788901151"/>
    <n v="2791.1679592522619"/>
    <n v="1591.3461334359961"/>
    <m/>
    <m/>
    <m/>
    <m/>
    <n v="0"/>
    <n v="0.05"/>
    <n v="0.2"/>
    <n v="0.2"/>
    <n v="0.2"/>
    <n v="0.15000000000000002"/>
    <n v="0.2"/>
    <n v="0.1"/>
    <n v="0"/>
    <n v="0"/>
    <n v="0"/>
    <n v="0"/>
    <n v="2791.1679592522619"/>
    <s v="Shelter"/>
    <n v="0.21259175872690519"/>
    <s v=""/>
    <s v=""/>
    <s v=""/>
    <n v="2663.6198183164583"/>
    <s v="Health"/>
    <n v="0.2028769425640134"/>
    <n v="127.54814093580353"/>
    <n v="4.7885265028708324E-2"/>
    <s v=""/>
    <n v="2474.8513856255672"/>
    <s v="Nutrition"/>
    <n v="0.18849922911798031"/>
    <n v="316.31657362669466"/>
    <n v="0.12781235086030809"/>
    <s v=""/>
    <s v=""/>
    <s v="Flagged"/>
    <s v=""/>
    <s v="Flagged"/>
    <n v="4"/>
    <n v="2791.1679592522619"/>
    <m/>
    <m/>
    <n v="2"/>
    <s v="Flagged"/>
    <n v="2791.1679592522619"/>
    <m/>
  </r>
  <r>
    <s v=""/>
    <x v="8"/>
    <s v="SS08"/>
    <x v="64"/>
    <s v="SS0805"/>
    <m/>
    <m/>
    <m/>
    <n v="8647.438167676999"/>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8"/>
    <s v="SS08"/>
    <x v="65"/>
    <s v="SS0806"/>
    <m/>
    <m/>
    <m/>
    <n v="79307.299107857689"/>
    <x v="2"/>
    <n v="367"/>
    <n v="9739.0949450431381"/>
    <n v="18891.539292992871"/>
    <n v="26250.134060617846"/>
    <n v="43119.782325324537"/>
    <n v="13771.527532556789"/>
    <n v="20125.362063416469"/>
    <n v="10161.587664325563"/>
    <m/>
    <m/>
    <m/>
    <m/>
    <n v="0"/>
    <n v="0.1"/>
    <n v="0.25"/>
    <n v="0.35000000000000003"/>
    <n v="0.55000000000000004"/>
    <n v="0.15000000000000002"/>
    <n v="0.25"/>
    <n v="0.15000000000000002"/>
    <n v="0"/>
    <n v="0"/>
    <n v="0"/>
    <n v="0"/>
    <n v="43119.782325324537"/>
    <s v="Health"/>
    <n v="0.54370509159165492"/>
    <s v=""/>
    <s v=""/>
    <s v=""/>
    <n v="26250.134060617846"/>
    <s v="Food Security"/>
    <n v="0.33099266216237855"/>
    <n v="16869.648264706691"/>
    <n v="0.64264998516771887"/>
    <s v="Flagged"/>
    <n v="20125.362063416469"/>
    <s v="Shelter"/>
    <n v="0.2537643103448276"/>
    <n v="22994.420261908068"/>
    <n v="1.1425593333153952"/>
    <s v="Flagged"/>
    <s v=""/>
    <s v="Flagged"/>
    <s v=""/>
    <s v=""/>
    <n v="4"/>
    <n v="43119.782325324537"/>
    <m/>
    <m/>
    <n v="3"/>
    <s v="Flagged"/>
    <n v="43119.782325324537"/>
    <m/>
  </r>
  <r>
    <s v=""/>
    <x v="9"/>
    <s v="SS09"/>
    <x v="66"/>
    <s v="SS0901"/>
    <m/>
    <m/>
    <m/>
    <n v="20202.24984559073"/>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9"/>
    <s v="SS09"/>
    <x v="67"/>
    <s v="SS0902"/>
    <m/>
    <m/>
    <m/>
    <n v="28676.523493080207"/>
    <x v="2"/>
    <n v="1412.5"/>
    <n v="1886.9618451953538"/>
    <n v="4042.6721249541497"/>
    <n v="3779.0334285371127"/>
    <n v="5205.1873497692368"/>
    <n v="4322.8493225806451"/>
    <n v="2791.1679592522619"/>
    <n v="567.92497658620789"/>
    <m/>
    <m/>
    <m/>
    <m/>
    <n v="0.05"/>
    <n v="0.05"/>
    <n v="0.15000000000000002"/>
    <n v="0.15000000000000002"/>
    <n v="0.2"/>
    <n v="0.15000000000000002"/>
    <n v="0.1"/>
    <n v="0"/>
    <n v="0"/>
    <n v="0"/>
    <n v="0"/>
    <n v="0"/>
    <n v="5205.1873497692368"/>
    <s v="Health"/>
    <n v="0.18151389065781545"/>
    <s v=""/>
    <s v=""/>
    <s v=""/>
    <n v="4322.8493225806451"/>
    <s v="Overarching Protection"/>
    <n v="0.15074523673079726"/>
    <n v="882.3380271885917"/>
    <n v="0.20411028961376232"/>
    <s v=""/>
    <n v="4042.6721249541497"/>
    <s v="Nutrition"/>
    <n v="0.14097497299244335"/>
    <n v="1162.5152248150871"/>
    <n v="0.28756109545447539"/>
    <s v=""/>
    <s v=""/>
    <s v="Flagged"/>
    <s v=""/>
    <s v=""/>
    <n v="4"/>
    <n v="5205.1873497692368"/>
    <m/>
    <m/>
    <n v="1"/>
    <s v="Flagged"/>
    <n v="5205.1873497692368"/>
    <m/>
  </r>
  <r>
    <s v=""/>
    <x v="9"/>
    <s v="SS09"/>
    <x v="68"/>
    <s v="SS0903"/>
    <m/>
    <m/>
    <m/>
    <n v="47646.035148118463"/>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69"/>
    <s v="SS1001"/>
    <m/>
    <m/>
    <m/>
    <n v="3661"/>
    <x v="2"/>
    <n v="0"/>
    <n v="201.31884762499996"/>
    <n v="642.82112034112208"/>
    <n v="183.25859985508271"/>
    <n v="452.36201587247723"/>
    <n v="349.97921670273229"/>
    <n v="2791.1679592522619"/>
    <n v="803.51165980795611"/>
    <m/>
    <m/>
    <m/>
    <m/>
    <n v="0"/>
    <n v="0.05"/>
    <n v="0.2"/>
    <n v="0.05"/>
    <n v="0.1"/>
    <n v="0.1"/>
    <n v="0.75"/>
    <n v="0.2"/>
    <n v="0"/>
    <n v="0"/>
    <n v="0"/>
    <n v="0"/>
    <n v="2791.1679592522619"/>
    <s v="Shelter"/>
    <n v="0.76240588889709415"/>
    <s v=""/>
    <s v=""/>
    <s v=""/>
    <n v="803.51165980795611"/>
    <s v="WASH"/>
    <n v="0.21947873799725651"/>
    <n v="1987.6562994443057"/>
    <n v="2.4737118312873854"/>
    <s v="Flagged"/>
    <n v="642.82112034112208"/>
    <s v="Nutrition"/>
    <n v="0.17558621151082274"/>
    <n v="2148.3468389111399"/>
    <n v="3.342060132951278"/>
    <s v="Flagged"/>
    <s v=""/>
    <s v="Flagged"/>
    <s v=""/>
    <s v=""/>
    <n v="4"/>
    <n v="2791.1679592522619"/>
    <m/>
    <m/>
    <n v="3"/>
    <s v="Flagged"/>
    <n v="2791.1679592522619"/>
    <m/>
  </r>
  <r>
    <s v=""/>
    <x v="10"/>
    <s v="SS10"/>
    <x v="70"/>
    <s v="SS1002"/>
    <m/>
    <m/>
    <m/>
    <n v="1463.1428571428601"/>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1"/>
    <s v="SS1003"/>
    <m/>
    <m/>
    <m/>
    <n v="688"/>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2"/>
    <s v="SS1004"/>
    <m/>
    <m/>
    <m/>
    <n v="5019"/>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3"/>
    <s v="SS1005"/>
    <m/>
    <m/>
    <m/>
    <n v="2319"/>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4"/>
    <s v="SS1006"/>
    <m/>
    <m/>
    <m/>
    <n v="4934"/>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5"/>
    <s v="SS1007"/>
    <m/>
    <m/>
    <m/>
    <n v="0"/>
    <x v="2"/>
    <n v="0"/>
    <n v="0"/>
    <n v="0"/>
    <n v="0"/>
    <n v="0"/>
    <n v="0"/>
    <n v="0"/>
    <n v="0"/>
    <m/>
    <m/>
    <m/>
    <m/>
    <s v=""/>
    <s v=""/>
    <s v=""/>
    <s v=""/>
    <s v=""/>
    <s v=""/>
    <s v=""/>
    <s v=""/>
    <s v=""/>
    <s v=""/>
    <s v=""/>
    <s v=""/>
    <n v="0"/>
    <s v="CCCM_x000a_Education_x000a_Nutrition_x000a_Food Security_x000a_Health_x000a_Overarching Protection_x000a_Shelter_x000a_WASH"/>
    <e v="#DIV/0!"/>
    <s v=""/>
    <s v=""/>
    <s v=""/>
    <n v="0"/>
    <s v="CCCM_x000a_Education_x000a_Nutrition_x000a_Food Security_x000a_Health_x000a_Overarching Protection_x000a_Shelter_x000a_WASH"/>
    <s v=""/>
    <n v="0"/>
    <s v=""/>
    <s v=""/>
    <n v="0"/>
    <s v="CCCM_x000a_Education_x000a_Nutrition_x000a_Food Security_x000a_Health_x000a_Overarching Protection_x000a_Shelter_x000a_WASH"/>
    <s v=""/>
    <n v="0"/>
    <s v=""/>
    <s v=""/>
    <s v=""/>
    <s v="Flagged"/>
    <s v=""/>
    <s v="Flagged"/>
    <n v="4"/>
    <n v="0"/>
    <m/>
    <m/>
    <n v="2"/>
    <s v="Flagged"/>
    <n v="0"/>
    <m/>
  </r>
  <r>
    <s v=""/>
    <x v="10"/>
    <s v="SS10"/>
    <x v="76"/>
    <s v="SS1008"/>
    <m/>
    <m/>
    <m/>
    <n v="375"/>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r>
    <s v=""/>
    <x v="10"/>
    <s v="SS10"/>
    <x v="77"/>
    <s v="SS1009"/>
    <m/>
    <m/>
    <m/>
    <n v="2118.1428571428601"/>
    <x v="2"/>
    <n v="0"/>
    <n v="426.52830900000049"/>
    <n v="388.53223929904436"/>
    <n v="499.4388413174093"/>
    <n v="901.96419394124655"/>
    <n v="743.98476052249646"/>
    <n v="944.71289571428701"/>
    <n v="1153.047674162259"/>
    <m/>
    <m/>
    <m/>
    <m/>
    <n v="0"/>
    <n v="0.2"/>
    <n v="0.2"/>
    <n v="0.25"/>
    <n v="0.45"/>
    <n v="0.35000000000000003"/>
    <n v="0.45"/>
    <n v="0.55000000000000004"/>
    <n v="0"/>
    <n v="0"/>
    <n v="0"/>
    <n v="0"/>
    <n v="1153.047674162259"/>
    <s v="WASH"/>
    <n v="0.54436728395061729"/>
    <s v=""/>
    <s v=""/>
    <s v=""/>
    <n v="944.71289571428701"/>
    <s v="Shelter"/>
    <n v="0.44601000000000002"/>
    <n v="208.33477844797198"/>
    <n v="0.22052708224169243"/>
    <s v=""/>
    <n v="901.96419394124655"/>
    <s v="Health"/>
    <n v="0.42582783824028575"/>
    <n v="251.08348022101245"/>
    <n v="0.27837411053300404"/>
    <s v=""/>
    <s v=""/>
    <s v=""/>
    <s v=""/>
    <s v="Flagged"/>
    <n v="4"/>
    <n v="1153.047674162259"/>
    <m/>
    <m/>
    <n v="1"/>
    <s v="Flagged"/>
    <n v="1153.047674162259"/>
    <m/>
  </r>
  <r>
    <s v=""/>
    <x v="10"/>
    <s v="SS10"/>
    <x v="78"/>
    <s v="SS1010"/>
    <m/>
    <m/>
    <m/>
    <n v="7750"/>
    <x v="2"/>
    <n v="0"/>
    <n v="0"/>
    <n v="0"/>
    <n v="0"/>
    <n v="0"/>
    <n v="0"/>
    <n v="0"/>
    <n v="0"/>
    <m/>
    <m/>
    <m/>
    <m/>
    <n v="0"/>
    <n v="0"/>
    <n v="0"/>
    <n v="0"/>
    <n v="0"/>
    <n v="0"/>
    <n v="0"/>
    <n v="0"/>
    <n v="0"/>
    <n v="0"/>
    <n v="0"/>
    <n v="0"/>
    <n v="0"/>
    <s v="CCCM_x000a_Education_x000a_Nutrition_x000a_Food Security_x000a_Health_x000a_Overarching Protection_x000a_Shelter_x000a_WASH"/>
    <n v="0"/>
    <s v=""/>
    <s v=""/>
    <s v=""/>
    <n v="0"/>
    <s v="CCCM_x000a_Education_x000a_Nutrition_x000a_Food Security_x000a_Health_x000a_Overarching Protection_x000a_Shelter_x000a_WASH"/>
    <n v="0"/>
    <n v="0"/>
    <s v=""/>
    <s v=""/>
    <n v="0"/>
    <s v="CCCM_x000a_Education_x000a_Nutrition_x000a_Food Security_x000a_Health_x000a_Overarching Protection_x000a_Shelter_x000a_WASH"/>
    <n v="0"/>
    <n v="0"/>
    <s v=""/>
    <s v=""/>
    <s v=""/>
    <s v="Flagged"/>
    <s v=""/>
    <s v="Flagged"/>
    <n v="4"/>
    <n v="0"/>
    <m/>
    <m/>
    <n v="2"/>
    <s v="Flagged"/>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BD62E5-B317-4B8B-B825-D7AA93D9A3A3}"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M92:W173" firstHeaderRow="1" firstDataRow="2" firstDataCol="2"/>
  <pivotFields count="64">
    <pivotField compact="0" outline="0" showAll="0"/>
    <pivotField axis="axisRow" compact="0" outline="0" showAll="0" defaultSubtotal="0">
      <items count="11">
        <item x="0"/>
        <item x="1"/>
        <item x="2"/>
        <item x="3"/>
        <item x="4"/>
        <item x="5"/>
        <item x="6"/>
        <item x="7"/>
        <item x="8"/>
        <item x="9"/>
        <item x="10"/>
      </items>
    </pivotField>
    <pivotField compact="0" outline="0" showAll="0"/>
    <pivotField axis="axisRow" compact="0" outline="0" showAll="0">
      <items count="80">
        <item x="39"/>
        <item x="0"/>
        <item x="15"/>
        <item x="34"/>
        <item x="35"/>
        <item x="36"/>
        <item x="37"/>
        <item x="38"/>
        <item x="26"/>
        <item x="16"/>
        <item x="48"/>
        <item x="17"/>
        <item x="7"/>
        <item x="18"/>
        <item x="27"/>
        <item x="19"/>
        <item x="69"/>
        <item x="20"/>
        <item x="49"/>
        <item x="60"/>
        <item x="61"/>
        <item x="40"/>
        <item x="70"/>
        <item x="8"/>
        <item x="1"/>
        <item x="66"/>
        <item x="2"/>
        <item x="9"/>
        <item x="10"/>
        <item x="11"/>
        <item x="41"/>
        <item x="12"/>
        <item x="3"/>
        <item x="42"/>
        <item x="50"/>
        <item x="51"/>
        <item x="52"/>
        <item x="13"/>
        <item x="53"/>
        <item x="54"/>
        <item x="55"/>
        <item x="71"/>
        <item x="43"/>
        <item x="44"/>
        <item x="56"/>
        <item x="4"/>
        <item x="72"/>
        <item x="73"/>
        <item x="74"/>
        <item x="75"/>
        <item x="21"/>
        <item x="76"/>
        <item x="45"/>
        <item x="57"/>
        <item x="46"/>
        <item x="22"/>
        <item x="23"/>
        <item x="67"/>
        <item x="58"/>
        <item x="47"/>
        <item x="28"/>
        <item x="29"/>
        <item x="30"/>
        <item x="77"/>
        <item x="5"/>
        <item x="62"/>
        <item x="63"/>
        <item x="64"/>
        <item x="14"/>
        <item x="65"/>
        <item x="24"/>
        <item x="59"/>
        <item x="25"/>
        <item x="68"/>
        <item x="31"/>
        <item x="78"/>
        <item x="6"/>
        <item x="32"/>
        <item x="33"/>
        <item t="default"/>
      </items>
    </pivotField>
    <pivotField compact="0" outline="0" showAll="0"/>
    <pivotField compact="0" outline="0" showAll="0"/>
    <pivotField compact="0" outline="0" showAll="0"/>
    <pivotField compact="0" outline="0" showAll="0"/>
    <pivotField compact="0" numFmtId="168" outline="0" showAll="0"/>
    <pivotField compact="0"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168" outline="0" showAll="0"/>
    <pivotField compact="0" outline="0" showAll="0"/>
    <pivotField compact="0" outline="0" showAll="0"/>
    <pivotField compact="0" numFmtId="168" outline="0" showAll="0"/>
    <pivotField compact="0" outline="0" showAll="0"/>
    <pivotField dataField="1" compact="0" numFmtId="167" outline="0" showAll="0"/>
    <pivotField compact="0" outline="0" showAll="0"/>
  </pivotFields>
  <rowFields count="2">
    <field x="1"/>
    <field x="3"/>
  </rowFields>
  <rowItems count="80">
    <i>
      <x/>
      <x v="1"/>
    </i>
    <i>
      <x v="1"/>
      <x v="24"/>
    </i>
    <i r="1">
      <x v="26"/>
    </i>
    <i r="1">
      <x v="32"/>
    </i>
    <i r="1">
      <x v="45"/>
    </i>
    <i r="1">
      <x v="64"/>
    </i>
    <i r="1">
      <x v="76"/>
    </i>
    <i>
      <x v="2"/>
      <x v="12"/>
    </i>
    <i r="1">
      <x v="23"/>
    </i>
    <i r="1">
      <x v="27"/>
    </i>
    <i r="1">
      <x v="28"/>
    </i>
    <i r="1">
      <x v="29"/>
    </i>
    <i r="1">
      <x v="31"/>
    </i>
    <i r="1">
      <x v="37"/>
    </i>
    <i r="1">
      <x v="68"/>
    </i>
    <i>
      <x v="3"/>
      <x v="2"/>
    </i>
    <i r="1">
      <x v="9"/>
    </i>
    <i r="1">
      <x v="11"/>
    </i>
    <i r="1">
      <x v="13"/>
    </i>
    <i r="1">
      <x v="15"/>
    </i>
    <i r="1">
      <x v="17"/>
    </i>
    <i r="1">
      <x v="50"/>
    </i>
    <i r="1">
      <x v="55"/>
    </i>
    <i r="1">
      <x v="56"/>
    </i>
    <i r="1">
      <x v="70"/>
    </i>
    <i r="1">
      <x v="72"/>
    </i>
    <i>
      <x v="4"/>
      <x v="8"/>
    </i>
    <i r="1">
      <x v="14"/>
    </i>
    <i r="1">
      <x v="60"/>
    </i>
    <i r="1">
      <x v="61"/>
    </i>
    <i r="1">
      <x v="62"/>
    </i>
    <i r="1">
      <x v="74"/>
    </i>
    <i r="1">
      <x v="77"/>
    </i>
    <i r="1">
      <x v="78"/>
    </i>
    <i>
      <x v="5"/>
      <x v="3"/>
    </i>
    <i r="1">
      <x v="4"/>
    </i>
    <i r="1">
      <x v="5"/>
    </i>
    <i r="1">
      <x v="6"/>
    </i>
    <i r="1">
      <x v="7"/>
    </i>
    <i>
      <x v="6"/>
      <x/>
    </i>
    <i r="1">
      <x v="21"/>
    </i>
    <i r="1">
      <x v="30"/>
    </i>
    <i r="1">
      <x v="33"/>
    </i>
    <i r="1">
      <x v="42"/>
    </i>
    <i r="1">
      <x v="43"/>
    </i>
    <i r="1">
      <x v="52"/>
    </i>
    <i r="1">
      <x v="54"/>
    </i>
    <i r="1">
      <x v="59"/>
    </i>
    <i>
      <x v="7"/>
      <x v="10"/>
    </i>
    <i r="1">
      <x v="18"/>
    </i>
    <i r="1">
      <x v="34"/>
    </i>
    <i r="1">
      <x v="35"/>
    </i>
    <i r="1">
      <x v="36"/>
    </i>
    <i r="1">
      <x v="38"/>
    </i>
    <i r="1">
      <x v="39"/>
    </i>
    <i r="1">
      <x v="40"/>
    </i>
    <i r="1">
      <x v="44"/>
    </i>
    <i r="1">
      <x v="53"/>
    </i>
    <i r="1">
      <x v="58"/>
    </i>
    <i r="1">
      <x v="71"/>
    </i>
    <i>
      <x v="8"/>
      <x v="19"/>
    </i>
    <i r="1">
      <x v="20"/>
    </i>
    <i r="1">
      <x v="65"/>
    </i>
    <i r="1">
      <x v="66"/>
    </i>
    <i r="1">
      <x v="67"/>
    </i>
    <i r="1">
      <x v="69"/>
    </i>
    <i>
      <x v="9"/>
      <x v="25"/>
    </i>
    <i r="1">
      <x v="57"/>
    </i>
    <i r="1">
      <x v="73"/>
    </i>
    <i>
      <x v="10"/>
      <x v="16"/>
    </i>
    <i r="1">
      <x v="22"/>
    </i>
    <i r="1">
      <x v="41"/>
    </i>
    <i r="1">
      <x v="46"/>
    </i>
    <i r="1">
      <x v="47"/>
    </i>
    <i r="1">
      <x v="48"/>
    </i>
    <i r="1">
      <x v="49"/>
    </i>
    <i r="1">
      <x v="51"/>
    </i>
    <i r="1">
      <x v="63"/>
    </i>
    <i r="1">
      <x v="75"/>
    </i>
    <i t="grand">
      <x/>
    </i>
  </rowItems>
  <colFields count="1">
    <field x="-2"/>
  </colFields>
  <colItems count="9">
    <i>
      <x/>
    </i>
    <i i="1">
      <x v="1"/>
    </i>
    <i i="2">
      <x v="2"/>
    </i>
    <i i="3">
      <x v="3"/>
    </i>
    <i i="4">
      <x v="4"/>
    </i>
    <i i="5">
      <x v="5"/>
    </i>
    <i i="6">
      <x v="6"/>
    </i>
    <i i="7">
      <x v="7"/>
    </i>
    <i i="8">
      <x v="8"/>
    </i>
  </colItems>
  <dataFields count="9">
    <dataField name="Sum of Final Target" fld="62" baseField="0" baseItem="0" numFmtId="167"/>
    <dataField name="Sum of CCCM" fld="10" baseField="0" baseItem="0" numFmtId="168"/>
    <dataField name="Sum of Education" fld="11" baseField="0" baseItem="0" numFmtId="168"/>
    <dataField name="Sum of Nutrition" fld="12" baseField="0" baseItem="0" numFmtId="168"/>
    <dataField name="Sum of Food Security" fld="13" baseField="0" baseItem="0" numFmtId="168"/>
    <dataField name="Sum of Health" fld="14" baseField="0" baseItem="0" numFmtId="168"/>
    <dataField name="Sum of Overarching Protection" fld="15" baseField="0" baseItem="0" numFmtId="168"/>
    <dataField name="Sum of Shelter" fld="16" baseField="0" baseItem="0" numFmtId="168"/>
    <dataField name="Sum of WASH" fld="17"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D25DDB-11F1-4705-8352-DBDD2979DBE2}" name="PivotTable14"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M4:W85" firstHeaderRow="1" firstDataRow="2" firstDataCol="2"/>
  <pivotFields count="64">
    <pivotField compact="0" outline="0" showAll="0"/>
    <pivotField axis="axisRow" compact="0" outline="0" showAll="0" defaultSubtotal="0">
      <items count="11">
        <item x="0"/>
        <item x="1"/>
        <item x="2"/>
        <item x="3"/>
        <item x="4"/>
        <item x="5"/>
        <item x="6"/>
        <item x="7"/>
        <item x="8"/>
        <item x="9"/>
        <item x="10"/>
      </items>
    </pivotField>
    <pivotField compact="0" outline="0" showAll="0"/>
    <pivotField axis="axisRow" compact="0" outline="0" showAll="0">
      <items count="80">
        <item x="39"/>
        <item x="0"/>
        <item x="15"/>
        <item x="34"/>
        <item x="35"/>
        <item x="36"/>
        <item x="37"/>
        <item x="38"/>
        <item x="26"/>
        <item x="16"/>
        <item x="48"/>
        <item x="17"/>
        <item x="7"/>
        <item x="18"/>
        <item x="27"/>
        <item x="19"/>
        <item x="69"/>
        <item x="20"/>
        <item x="49"/>
        <item x="60"/>
        <item x="61"/>
        <item x="40"/>
        <item x="70"/>
        <item x="8"/>
        <item x="1"/>
        <item x="66"/>
        <item x="2"/>
        <item x="9"/>
        <item x="10"/>
        <item x="11"/>
        <item x="41"/>
        <item x="12"/>
        <item x="3"/>
        <item x="42"/>
        <item x="50"/>
        <item x="51"/>
        <item x="52"/>
        <item x="13"/>
        <item x="53"/>
        <item x="54"/>
        <item x="55"/>
        <item x="71"/>
        <item x="43"/>
        <item x="44"/>
        <item x="56"/>
        <item x="4"/>
        <item x="72"/>
        <item x="73"/>
        <item x="74"/>
        <item x="75"/>
        <item x="21"/>
        <item x="76"/>
        <item x="45"/>
        <item x="57"/>
        <item x="46"/>
        <item x="22"/>
        <item x="23"/>
        <item x="67"/>
        <item x="58"/>
        <item x="47"/>
        <item x="28"/>
        <item x="29"/>
        <item x="30"/>
        <item x="77"/>
        <item x="5"/>
        <item x="62"/>
        <item x="63"/>
        <item x="64"/>
        <item x="14"/>
        <item x="65"/>
        <item x="24"/>
        <item x="59"/>
        <item x="25"/>
        <item x="68"/>
        <item x="31"/>
        <item x="78"/>
        <item x="6"/>
        <item x="32"/>
        <item x="33"/>
        <item t="default"/>
      </items>
    </pivotField>
    <pivotField compact="0" outline="0" showAll="0"/>
    <pivotField compact="0" outline="0" showAll="0"/>
    <pivotField compact="0" outline="0" showAll="0"/>
    <pivotField compact="0" outline="0" showAll="0"/>
    <pivotField compact="0" numFmtId="168" outline="0" showAll="0"/>
    <pivotField compact="0" outline="0" showAll="0"/>
    <pivotField dataField="1" compact="0"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dataField="1" compact="0" numFmtId="168" outline="0" showAll="0"/>
    <pivotField compact="0" numFmtId="168" outline="0" showAll="0"/>
    <pivotField compact="0" numFmtId="168" outline="0" showAll="0"/>
    <pivotField compact="0" numFmtId="168"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168" outline="0" showAll="0"/>
    <pivotField compact="0" outline="0" showAll="0"/>
    <pivotField compact="0" outline="0" showAll="0"/>
    <pivotField compact="0" numFmtId="168" outline="0" showAll="0"/>
    <pivotField compact="0" outline="0" showAll="0"/>
    <pivotField dataField="1" compact="0" numFmtId="167" outline="0" showAll="0"/>
    <pivotField compact="0" outline="0" showAll="0"/>
  </pivotFields>
  <rowFields count="2">
    <field x="1"/>
    <field x="3"/>
  </rowFields>
  <rowItems count="80">
    <i>
      <x/>
      <x v="1"/>
    </i>
    <i>
      <x v="1"/>
      <x v="24"/>
    </i>
    <i r="1">
      <x v="26"/>
    </i>
    <i r="1">
      <x v="32"/>
    </i>
    <i r="1">
      <x v="45"/>
    </i>
    <i r="1">
      <x v="64"/>
    </i>
    <i r="1">
      <x v="76"/>
    </i>
    <i>
      <x v="2"/>
      <x v="12"/>
    </i>
    <i r="1">
      <x v="23"/>
    </i>
    <i r="1">
      <x v="27"/>
    </i>
    <i r="1">
      <x v="28"/>
    </i>
    <i r="1">
      <x v="29"/>
    </i>
    <i r="1">
      <x v="31"/>
    </i>
    <i r="1">
      <x v="37"/>
    </i>
    <i r="1">
      <x v="68"/>
    </i>
    <i>
      <x v="3"/>
      <x v="2"/>
    </i>
    <i r="1">
      <x v="9"/>
    </i>
    <i r="1">
      <x v="11"/>
    </i>
    <i r="1">
      <x v="13"/>
    </i>
    <i r="1">
      <x v="15"/>
    </i>
    <i r="1">
      <x v="17"/>
    </i>
    <i r="1">
      <x v="50"/>
    </i>
    <i r="1">
      <x v="55"/>
    </i>
    <i r="1">
      <x v="56"/>
    </i>
    <i r="1">
      <x v="70"/>
    </i>
    <i r="1">
      <x v="72"/>
    </i>
    <i>
      <x v="4"/>
      <x v="8"/>
    </i>
    <i r="1">
      <x v="14"/>
    </i>
    <i r="1">
      <x v="60"/>
    </i>
    <i r="1">
      <x v="61"/>
    </i>
    <i r="1">
      <x v="62"/>
    </i>
    <i r="1">
      <x v="74"/>
    </i>
    <i r="1">
      <x v="77"/>
    </i>
    <i r="1">
      <x v="78"/>
    </i>
    <i>
      <x v="5"/>
      <x v="3"/>
    </i>
    <i r="1">
      <x v="4"/>
    </i>
    <i r="1">
      <x v="5"/>
    </i>
    <i r="1">
      <x v="6"/>
    </i>
    <i r="1">
      <x v="7"/>
    </i>
    <i>
      <x v="6"/>
      <x/>
    </i>
    <i r="1">
      <x v="21"/>
    </i>
    <i r="1">
      <x v="30"/>
    </i>
    <i r="1">
      <x v="33"/>
    </i>
    <i r="1">
      <x v="42"/>
    </i>
    <i r="1">
      <x v="43"/>
    </i>
    <i r="1">
      <x v="52"/>
    </i>
    <i r="1">
      <x v="54"/>
    </i>
    <i r="1">
      <x v="59"/>
    </i>
    <i>
      <x v="7"/>
      <x v="10"/>
    </i>
    <i r="1">
      <x v="18"/>
    </i>
    <i r="1">
      <x v="34"/>
    </i>
    <i r="1">
      <x v="35"/>
    </i>
    <i r="1">
      <x v="36"/>
    </i>
    <i r="1">
      <x v="38"/>
    </i>
    <i r="1">
      <x v="39"/>
    </i>
    <i r="1">
      <x v="40"/>
    </i>
    <i r="1">
      <x v="44"/>
    </i>
    <i r="1">
      <x v="53"/>
    </i>
    <i r="1">
      <x v="58"/>
    </i>
    <i r="1">
      <x v="71"/>
    </i>
    <i>
      <x v="8"/>
      <x v="19"/>
    </i>
    <i r="1">
      <x v="20"/>
    </i>
    <i r="1">
      <x v="65"/>
    </i>
    <i r="1">
      <x v="66"/>
    </i>
    <i r="1">
      <x v="67"/>
    </i>
    <i r="1">
      <x v="69"/>
    </i>
    <i>
      <x v="9"/>
      <x v="25"/>
    </i>
    <i r="1">
      <x v="57"/>
    </i>
    <i r="1">
      <x v="73"/>
    </i>
    <i>
      <x v="10"/>
      <x v="16"/>
    </i>
    <i r="1">
      <x v="22"/>
    </i>
    <i r="1">
      <x v="41"/>
    </i>
    <i r="1">
      <x v="46"/>
    </i>
    <i r="1">
      <x v="47"/>
    </i>
    <i r="1">
      <x v="48"/>
    </i>
    <i r="1">
      <x v="49"/>
    </i>
    <i r="1">
      <x v="51"/>
    </i>
    <i r="1">
      <x v="63"/>
    </i>
    <i r="1">
      <x v="75"/>
    </i>
    <i t="grand">
      <x/>
    </i>
  </rowItems>
  <colFields count="1">
    <field x="-2"/>
  </colFields>
  <colItems count="9">
    <i>
      <x/>
    </i>
    <i i="1">
      <x v="1"/>
    </i>
    <i i="2">
      <x v="2"/>
    </i>
    <i i="3">
      <x v="3"/>
    </i>
    <i i="4">
      <x v="4"/>
    </i>
    <i i="5">
      <x v="5"/>
    </i>
    <i i="6">
      <x v="6"/>
    </i>
    <i i="7">
      <x v="7"/>
    </i>
    <i i="8">
      <x v="8"/>
    </i>
  </colItems>
  <dataFields count="9">
    <dataField name="Sum of Final PiN" fld="62" baseField="0" baseItem="0" numFmtId="167"/>
    <dataField name="Sum of CCCM" fld="10" baseField="0" baseItem="0"/>
    <dataField name="Sum of Education" fld="11" baseField="0" baseItem="0" numFmtId="168"/>
    <dataField name="Sum of Nutrition" fld="12" baseField="0" baseItem="0" numFmtId="168"/>
    <dataField name="Sum of Food Security" fld="13" baseField="0" baseItem="0" numFmtId="168"/>
    <dataField name="Sum of Health" fld="14" baseField="0" baseItem="0" numFmtId="168"/>
    <dataField name="Sum of Overarching Protection" fld="15" baseField="0" baseItem="0" numFmtId="168"/>
    <dataField name="Sum of Shelter" fld="16" baseField="0" baseItem="0" numFmtId="168"/>
    <dataField name="Sum of WASH" fld="17" baseField="0" baseItem="0" numFmtId="168"/>
  </dataFields>
  <formats count="3">
    <format dxfId="820">
      <pivotArea field="1" type="button" dataOnly="0" labelOnly="1" outline="0" axis="axisRow" fieldPosition="0"/>
    </format>
    <format dxfId="819">
      <pivotArea field="3" type="button" dataOnly="0" labelOnly="1" outline="0" axis="axisRow" fieldPosition="1"/>
    </format>
    <format dxfId="8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52922-D788-48CA-AD15-DC5C4D6368AF}"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84" firstHeaderRow="1" firstDataRow="2" firstDataCol="2"/>
  <pivotFields count="64">
    <pivotField compact="0" outline="0" showAll="0"/>
    <pivotField axis="axisRow" compact="0" outline="0" showAll="0" defaultSubtotal="0">
      <items count="11">
        <item x="0"/>
        <item x="1"/>
        <item x="2"/>
        <item x="3"/>
        <item x="4"/>
        <item x="5"/>
        <item x="6"/>
        <item x="7"/>
        <item x="8"/>
        <item x="9"/>
        <item x="10"/>
      </items>
    </pivotField>
    <pivotField compact="0" outline="0" showAll="0"/>
    <pivotField axis="axisRow" compact="0" outline="0" showAll="0">
      <items count="80">
        <item x="39"/>
        <item x="0"/>
        <item x="15"/>
        <item x="34"/>
        <item x="35"/>
        <item x="36"/>
        <item x="37"/>
        <item x="38"/>
        <item x="26"/>
        <item x="16"/>
        <item x="48"/>
        <item x="17"/>
        <item x="7"/>
        <item x="18"/>
        <item x="27"/>
        <item x="19"/>
        <item x="69"/>
        <item x="20"/>
        <item x="49"/>
        <item x="60"/>
        <item x="61"/>
        <item x="40"/>
        <item x="70"/>
        <item x="8"/>
        <item x="1"/>
        <item x="66"/>
        <item x="2"/>
        <item x="9"/>
        <item x="10"/>
        <item x="11"/>
        <item x="41"/>
        <item x="12"/>
        <item x="3"/>
        <item x="42"/>
        <item x="50"/>
        <item x="51"/>
        <item x="52"/>
        <item x="13"/>
        <item x="53"/>
        <item x="54"/>
        <item x="55"/>
        <item x="71"/>
        <item x="43"/>
        <item x="44"/>
        <item x="56"/>
        <item x="4"/>
        <item x="72"/>
        <item x="73"/>
        <item x="74"/>
        <item x="75"/>
        <item x="21"/>
        <item x="76"/>
        <item x="45"/>
        <item x="57"/>
        <item x="46"/>
        <item x="22"/>
        <item x="23"/>
        <item x="67"/>
        <item x="58"/>
        <item x="47"/>
        <item x="28"/>
        <item x="29"/>
        <item x="30"/>
        <item x="77"/>
        <item x="5"/>
        <item x="62"/>
        <item x="63"/>
        <item x="64"/>
        <item x="14"/>
        <item x="65"/>
        <item x="24"/>
        <item x="59"/>
        <item x="25"/>
        <item x="68"/>
        <item x="31"/>
        <item x="78"/>
        <item x="6"/>
        <item x="32"/>
        <item x="33"/>
        <item t="default"/>
      </items>
    </pivotField>
    <pivotField compact="0" outline="0" showAll="0"/>
    <pivotField compact="0" outline="0" showAll="0"/>
    <pivotField compact="0" outline="0" showAll="0"/>
    <pivotField compact="0" outline="0" showAll="0"/>
    <pivotField compact="0" numFmtId="168" outline="0" showAll="0"/>
    <pivotField axis="axisCol" compact="0" outline="0" showAll="0">
      <items count="4">
        <item x="0"/>
        <item x="1"/>
        <item x="2"/>
        <item t="default"/>
      </items>
    </pivotField>
    <pivotField compact="0"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168" outline="0" showAll="0"/>
    <pivotField compact="0" outline="0" showAll="0"/>
    <pivotField compact="0" outline="0" showAll="0"/>
    <pivotField compact="0" numFmtId="168" outline="0" showAll="0"/>
    <pivotField compact="0" outline="0" showAll="0"/>
    <pivotField dataField="1" compact="0" numFmtId="167" outline="0" showAll="0"/>
    <pivotField compact="0" outline="0" showAll="0"/>
  </pivotFields>
  <rowFields count="2">
    <field x="1"/>
    <field x="3"/>
  </rowFields>
  <rowItems count="80">
    <i>
      <x/>
      <x v="1"/>
    </i>
    <i>
      <x v="1"/>
      <x v="24"/>
    </i>
    <i r="1">
      <x v="26"/>
    </i>
    <i r="1">
      <x v="32"/>
    </i>
    <i r="1">
      <x v="45"/>
    </i>
    <i r="1">
      <x v="64"/>
    </i>
    <i r="1">
      <x v="76"/>
    </i>
    <i>
      <x v="2"/>
      <x v="12"/>
    </i>
    <i r="1">
      <x v="23"/>
    </i>
    <i r="1">
      <x v="27"/>
    </i>
    <i r="1">
      <x v="28"/>
    </i>
    <i r="1">
      <x v="29"/>
    </i>
    <i r="1">
      <x v="31"/>
    </i>
    <i r="1">
      <x v="37"/>
    </i>
    <i r="1">
      <x v="68"/>
    </i>
    <i>
      <x v="3"/>
      <x v="2"/>
    </i>
    <i r="1">
      <x v="9"/>
    </i>
    <i r="1">
      <x v="11"/>
    </i>
    <i r="1">
      <x v="13"/>
    </i>
    <i r="1">
      <x v="15"/>
    </i>
    <i r="1">
      <x v="17"/>
    </i>
    <i r="1">
      <x v="50"/>
    </i>
    <i r="1">
      <x v="55"/>
    </i>
    <i r="1">
      <x v="56"/>
    </i>
    <i r="1">
      <x v="70"/>
    </i>
    <i r="1">
      <x v="72"/>
    </i>
    <i>
      <x v="4"/>
      <x v="8"/>
    </i>
    <i r="1">
      <x v="14"/>
    </i>
    <i r="1">
      <x v="60"/>
    </i>
    <i r="1">
      <x v="61"/>
    </i>
    <i r="1">
      <x v="62"/>
    </i>
    <i r="1">
      <x v="74"/>
    </i>
    <i r="1">
      <x v="77"/>
    </i>
    <i r="1">
      <x v="78"/>
    </i>
    <i>
      <x v="5"/>
      <x v="3"/>
    </i>
    <i r="1">
      <x v="4"/>
    </i>
    <i r="1">
      <x v="5"/>
    </i>
    <i r="1">
      <x v="6"/>
    </i>
    <i r="1">
      <x v="7"/>
    </i>
    <i>
      <x v="6"/>
      <x/>
    </i>
    <i r="1">
      <x v="21"/>
    </i>
    <i r="1">
      <x v="30"/>
    </i>
    <i r="1">
      <x v="33"/>
    </i>
    <i r="1">
      <x v="42"/>
    </i>
    <i r="1">
      <x v="43"/>
    </i>
    <i r="1">
      <x v="52"/>
    </i>
    <i r="1">
      <x v="54"/>
    </i>
    <i r="1">
      <x v="59"/>
    </i>
    <i>
      <x v="7"/>
      <x v="10"/>
    </i>
    <i r="1">
      <x v="18"/>
    </i>
    <i r="1">
      <x v="34"/>
    </i>
    <i r="1">
      <x v="35"/>
    </i>
    <i r="1">
      <x v="36"/>
    </i>
    <i r="1">
      <x v="38"/>
    </i>
    <i r="1">
      <x v="39"/>
    </i>
    <i r="1">
      <x v="40"/>
    </i>
    <i r="1">
      <x v="44"/>
    </i>
    <i r="1">
      <x v="53"/>
    </i>
    <i r="1">
      <x v="58"/>
    </i>
    <i r="1">
      <x v="71"/>
    </i>
    <i>
      <x v="8"/>
      <x v="19"/>
    </i>
    <i r="1">
      <x v="20"/>
    </i>
    <i r="1">
      <x v="65"/>
    </i>
    <i r="1">
      <x v="66"/>
    </i>
    <i r="1">
      <x v="67"/>
    </i>
    <i r="1">
      <x v="69"/>
    </i>
    <i>
      <x v="9"/>
      <x v="25"/>
    </i>
    <i r="1">
      <x v="57"/>
    </i>
    <i r="1">
      <x v="73"/>
    </i>
    <i>
      <x v="10"/>
      <x v="16"/>
    </i>
    <i r="1">
      <x v="22"/>
    </i>
    <i r="1">
      <x v="41"/>
    </i>
    <i r="1">
      <x v="46"/>
    </i>
    <i r="1">
      <x v="47"/>
    </i>
    <i r="1">
      <x v="48"/>
    </i>
    <i r="1">
      <x v="49"/>
    </i>
    <i r="1">
      <x v="51"/>
    </i>
    <i r="1">
      <x v="63"/>
    </i>
    <i r="1">
      <x v="75"/>
    </i>
    <i t="grand">
      <x/>
    </i>
  </rowItems>
  <colFields count="1">
    <field x="9"/>
  </colFields>
  <colItems count="4">
    <i>
      <x/>
    </i>
    <i>
      <x v="1"/>
    </i>
    <i>
      <x v="2"/>
    </i>
    <i t="grand">
      <x/>
    </i>
  </colItems>
  <dataFields count="1">
    <dataField name="Sum of Final PiN" fld="62" baseField="0" baseItem="0" numFmtId="167"/>
  </dataFields>
  <formats count="4">
    <format dxfId="824">
      <pivotArea field="1" type="button" dataOnly="0" labelOnly="1" outline="0" axis="axisRow" fieldPosition="0"/>
    </format>
    <format dxfId="823">
      <pivotArea field="3" type="button" dataOnly="0" labelOnly="1" outline="0" axis="axisRow" fieldPosition="1"/>
    </format>
    <format dxfId="822">
      <pivotArea dataOnly="0" labelOnly="1" outline="0" fieldPosition="0">
        <references count="1">
          <reference field="9" count="0"/>
        </references>
      </pivotArea>
    </format>
    <format dxfId="82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C7FC32-DCCD-4DC3-9C53-EF6AF0C8F95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8:F112" firstHeaderRow="1" firstDataRow="1" firstDataCol="1"/>
  <pivotFields count="64">
    <pivotField showAll="0"/>
    <pivotField showAll="0"/>
    <pivotField showAll="0"/>
    <pivotField showAll="0"/>
    <pivotField showAll="0"/>
    <pivotField showAll="0"/>
    <pivotField showAll="0"/>
    <pivotField showAll="0"/>
    <pivotField numFmtId="168" showAll="0"/>
    <pivotField axis="axisRow" showAll="0">
      <items count="4">
        <item x="0"/>
        <item x="1"/>
        <item x="2"/>
        <item t="default"/>
      </items>
    </pivotField>
    <pivotField numFmtId="168" showAll="0"/>
    <pivotField numFmtId="168" showAll="0"/>
    <pivotField numFmtId="168" showAll="0"/>
    <pivotField numFmtId="168" showAll="0"/>
    <pivotField numFmtId="168" showAll="0"/>
    <pivotField numFmtId="168"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numFmtId="168" showAll="0"/>
    <pivotField showAll="0"/>
    <pivotField showAll="0"/>
    <pivotField numFmtId="168" showAll="0"/>
    <pivotField showAll="0"/>
    <pivotField showAll="0"/>
    <pivotField numFmtId="168" showAll="0"/>
    <pivotField showAll="0"/>
    <pivotField showAll="0"/>
    <pivotField numFmtId="168" showAll="0"/>
    <pivotField showAll="0"/>
    <pivotField showAll="0"/>
    <pivotField showAll="0"/>
    <pivotField showAll="0"/>
    <pivotField showAll="0"/>
    <pivotField showAll="0"/>
    <pivotField numFmtId="9" showAll="0"/>
    <pivotField numFmtId="168" showAll="0"/>
    <pivotField showAll="0"/>
    <pivotField showAll="0"/>
    <pivotField numFmtId="168" showAll="0"/>
    <pivotField showAll="0"/>
    <pivotField dataField="1" numFmtId="167" showAll="0"/>
    <pivotField showAll="0"/>
  </pivotFields>
  <rowFields count="1">
    <field x="9"/>
  </rowFields>
  <rowItems count="4">
    <i>
      <x/>
    </i>
    <i>
      <x v="1"/>
    </i>
    <i>
      <x v="2"/>
    </i>
    <i t="grand">
      <x/>
    </i>
  </rowItems>
  <colItems count="1">
    <i/>
  </colItems>
  <dataFields count="1">
    <dataField name="Sum of Final Target" fld="62"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F36351-B20B-4B49-9C69-DABE558CAAD3}"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2:B105" firstHeaderRow="2" firstDataRow="2" firstDataCol="1"/>
  <pivotFields count="64">
    <pivotField compact="0" outline="0" showAll="0"/>
    <pivotField axis="axisRow" compact="0" outline="0" showAll="0" defaultSubtotal="0">
      <items count="11">
        <item x="0"/>
        <item x="1"/>
        <item x="2"/>
        <item x="3"/>
        <item x="4"/>
        <item x="5"/>
        <item x="6"/>
        <item x="7"/>
        <item x="8"/>
        <item x="9"/>
        <item x="10"/>
      </items>
    </pivotField>
    <pivotField compact="0" outline="0" showAll="0"/>
    <pivotField compact="0" outline="0" showAll="0">
      <items count="80">
        <item x="39"/>
        <item x="0"/>
        <item x="15"/>
        <item x="34"/>
        <item x="35"/>
        <item x="36"/>
        <item x="37"/>
        <item x="38"/>
        <item x="26"/>
        <item x="16"/>
        <item x="48"/>
        <item x="17"/>
        <item x="7"/>
        <item x="18"/>
        <item x="27"/>
        <item x="19"/>
        <item x="69"/>
        <item x="20"/>
        <item x="49"/>
        <item x="60"/>
        <item x="61"/>
        <item x="40"/>
        <item x="70"/>
        <item x="8"/>
        <item x="1"/>
        <item x="66"/>
        <item x="2"/>
        <item x="9"/>
        <item x="10"/>
        <item x="11"/>
        <item x="41"/>
        <item x="12"/>
        <item x="3"/>
        <item x="42"/>
        <item x="50"/>
        <item x="51"/>
        <item x="52"/>
        <item x="13"/>
        <item x="53"/>
        <item x="54"/>
        <item x="55"/>
        <item x="71"/>
        <item x="43"/>
        <item x="44"/>
        <item x="56"/>
        <item x="4"/>
        <item x="72"/>
        <item x="73"/>
        <item x="74"/>
        <item x="75"/>
        <item x="21"/>
        <item x="76"/>
        <item x="45"/>
        <item x="57"/>
        <item x="46"/>
        <item x="22"/>
        <item x="23"/>
        <item x="67"/>
        <item x="58"/>
        <item x="47"/>
        <item x="28"/>
        <item x="29"/>
        <item x="30"/>
        <item x="77"/>
        <item x="5"/>
        <item x="62"/>
        <item x="63"/>
        <item x="64"/>
        <item x="14"/>
        <item x="65"/>
        <item x="24"/>
        <item x="59"/>
        <item x="25"/>
        <item x="68"/>
        <item x="31"/>
        <item x="78"/>
        <item x="6"/>
        <item x="32"/>
        <item x="33"/>
        <item t="default"/>
      </items>
    </pivotField>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168" outline="0" showAll="0"/>
    <pivotField compact="0" outline="0" showAll="0"/>
    <pivotField compact="0" outline="0" showAll="0"/>
    <pivotField compact="0" numFmtId="168" outline="0" showAll="0"/>
    <pivotField compact="0" outline="0" showAll="0"/>
    <pivotField dataField="1" compact="0" numFmtId="167" outline="0" showAll="0"/>
    <pivotField compact="0" outline="0" showAll="0"/>
  </pivotFields>
  <rowFields count="1">
    <field x="1"/>
  </rowFields>
  <rowItems count="12">
    <i>
      <x/>
    </i>
    <i>
      <x v="1"/>
    </i>
    <i>
      <x v="2"/>
    </i>
    <i>
      <x v="3"/>
    </i>
    <i>
      <x v="4"/>
    </i>
    <i>
      <x v="5"/>
    </i>
    <i>
      <x v="6"/>
    </i>
    <i>
      <x v="7"/>
    </i>
    <i>
      <x v="8"/>
    </i>
    <i>
      <x v="9"/>
    </i>
    <i>
      <x v="10"/>
    </i>
    <i t="grand">
      <x/>
    </i>
  </rowItems>
  <colItems count="1">
    <i/>
  </colItems>
  <dataFields count="1">
    <dataField name="Sum of Final PiN" fld="62" baseField="0" baseItem="0" numFmtId="167"/>
  </dataFields>
  <formats count="3">
    <format dxfId="827">
      <pivotArea field="1" type="button" dataOnly="0" labelOnly="1" outline="0" axis="axisRow" fieldPosition="0"/>
    </format>
    <format dxfId="826">
      <pivotArea field="3" type="button" dataOnly="0" labelOnly="1" outline="0"/>
    </format>
    <format dxfId="8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95C78-A6E7-4D3E-A707-136D9125845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B136" firstHeaderRow="1" firstDataRow="1" firstDataCol="1"/>
  <pivotFields count="64">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numFmtId="168" showAll="0"/>
    <pivotField showAll="0"/>
    <pivotField dataField="1" showAll="0"/>
    <pivotField numFmtId="167" showAll="0"/>
  </pivotFields>
  <rowFields count="1">
    <field x="1"/>
  </rowFields>
  <rowItems count="12">
    <i>
      <x/>
    </i>
    <i>
      <x v="1"/>
    </i>
    <i>
      <x v="2"/>
    </i>
    <i>
      <x v="3"/>
    </i>
    <i>
      <x v="4"/>
    </i>
    <i>
      <x v="5"/>
    </i>
    <i>
      <x v="6"/>
    </i>
    <i>
      <x v="7"/>
    </i>
    <i>
      <x v="8"/>
    </i>
    <i>
      <x v="9"/>
    </i>
    <i>
      <x v="10"/>
    </i>
    <i t="grand">
      <x/>
    </i>
  </rowItems>
  <colItems count="1">
    <i/>
  </colItems>
  <dataFields count="1">
    <dataField name="Sum of Final Target" fld="62" baseField="1" baseItem="0" numFmtId="168"/>
  </dataFields>
  <formats count="1">
    <format dxfId="8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FCC05-3757-4702-A8B9-EF6D6DC44BB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I91:J96" firstHeaderRow="2" firstDataRow="2" firstDataCol="1"/>
  <pivotFields count="64">
    <pivotField compact="0" outline="0" showAll="0"/>
    <pivotField compact="0" outline="0" showAll="0" defaultSubtotal="0">
      <items count="11">
        <item x="0"/>
        <item x="1"/>
        <item x="2"/>
        <item x="3"/>
        <item x="4"/>
        <item x="5"/>
        <item x="6"/>
        <item x="7"/>
        <item x="8"/>
        <item x="9"/>
        <item x="10"/>
      </items>
    </pivotField>
    <pivotField compact="0" outline="0" showAll="0"/>
    <pivotField compact="0" outline="0" showAll="0">
      <items count="80">
        <item x="39"/>
        <item x="0"/>
        <item x="15"/>
        <item x="34"/>
        <item x="35"/>
        <item x="36"/>
        <item x="37"/>
        <item x="38"/>
        <item x="26"/>
        <item x="16"/>
        <item x="48"/>
        <item x="17"/>
        <item x="7"/>
        <item x="18"/>
        <item x="27"/>
        <item x="19"/>
        <item x="69"/>
        <item x="20"/>
        <item x="49"/>
        <item x="60"/>
        <item x="61"/>
        <item x="40"/>
        <item x="70"/>
        <item x="8"/>
        <item x="1"/>
        <item x="66"/>
        <item x="2"/>
        <item x="9"/>
        <item x="10"/>
        <item x="11"/>
        <item x="41"/>
        <item x="12"/>
        <item x="3"/>
        <item x="42"/>
        <item x="50"/>
        <item x="51"/>
        <item x="52"/>
        <item x="13"/>
        <item x="53"/>
        <item x="54"/>
        <item x="55"/>
        <item x="71"/>
        <item x="43"/>
        <item x="44"/>
        <item x="56"/>
        <item x="4"/>
        <item x="72"/>
        <item x="73"/>
        <item x="74"/>
        <item x="75"/>
        <item x="21"/>
        <item x="76"/>
        <item x="45"/>
        <item x="57"/>
        <item x="46"/>
        <item x="22"/>
        <item x="23"/>
        <item x="67"/>
        <item x="58"/>
        <item x="47"/>
        <item x="28"/>
        <item x="29"/>
        <item x="30"/>
        <item x="77"/>
        <item x="5"/>
        <item x="62"/>
        <item x="63"/>
        <item x="64"/>
        <item x="14"/>
        <item x="65"/>
        <item x="24"/>
        <item x="59"/>
        <item x="25"/>
        <item x="68"/>
        <item x="31"/>
        <item x="78"/>
        <item x="6"/>
        <item x="32"/>
        <item x="33"/>
        <item t="default"/>
      </items>
    </pivotField>
    <pivotField compact="0" outline="0" showAll="0"/>
    <pivotField compact="0" outline="0" showAll="0"/>
    <pivotField compact="0" outline="0" showAll="0"/>
    <pivotField compact="0" outline="0" showAll="0"/>
    <pivotField compact="0" numFmtId="168" outline="0" showAll="0"/>
    <pivotField axis="axisRow" compact="0" outline="0" showAll="0">
      <items count="4">
        <item x="0"/>
        <item x="1"/>
        <item x="2"/>
        <item t="default"/>
      </items>
    </pivotField>
    <pivotField compact="0"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pivotField compact="0" outline="0" showAll="0"/>
    <pivotField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numFmtId="168" outline="0" showAll="0"/>
    <pivotField compact="0" outline="0" showAll="0"/>
    <pivotField compact="0" outline="0" showAll="0"/>
    <pivotField compact="0" numFmtId="168" outline="0" showAll="0"/>
    <pivotField compact="0" outline="0" showAll="0"/>
    <pivotField dataField="1" compact="0" numFmtId="167" outline="0" showAll="0"/>
    <pivotField compact="0" outline="0" showAll="0"/>
  </pivotFields>
  <rowFields count="1">
    <field x="9"/>
  </rowFields>
  <rowItems count="4">
    <i>
      <x/>
    </i>
    <i>
      <x v="1"/>
    </i>
    <i>
      <x v="2"/>
    </i>
    <i t="grand">
      <x/>
    </i>
  </rowItems>
  <colItems count="1">
    <i/>
  </colItems>
  <dataFields count="1">
    <dataField name="Sum of Final PiN" fld="62" baseField="0" baseItem="0" numFmtId="167"/>
  </dataFields>
  <formats count="3">
    <format dxfId="831">
      <pivotArea field="1" type="button" dataOnly="0" labelOnly="1" outline="0"/>
    </format>
    <format dxfId="830">
      <pivotArea field="3" type="button" dataOnly="0" labelOnly="1" outline="0"/>
    </format>
    <format dxfId="8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16DA09-0AF6-4314-B34A-903D01558BA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B121" firstHeaderRow="1" firstDataRow="1" firstDataCol="1"/>
  <pivotFields count="64">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numFmtId="168" showAll="0"/>
    <pivotField showAll="0"/>
    <pivotField numFmtId="168" showAll="0"/>
    <pivotField numFmtId="168" showAll="0"/>
    <pivotField numFmtId="168" showAll="0"/>
    <pivotField numFmtId="168" showAll="0"/>
    <pivotField numFmtId="168" showAll="0"/>
    <pivotField numFmtId="168"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numFmtId="168" showAll="0"/>
    <pivotField showAll="0"/>
    <pivotField showAll="0"/>
    <pivotField numFmtId="168" showAll="0"/>
    <pivotField showAll="0"/>
    <pivotField showAll="0"/>
    <pivotField numFmtId="168" showAll="0"/>
    <pivotField showAll="0"/>
    <pivotField showAll="0"/>
    <pivotField numFmtId="168" showAll="0"/>
    <pivotField showAll="0"/>
    <pivotField showAll="0"/>
    <pivotField showAll="0"/>
    <pivotField showAll="0"/>
    <pivotField showAll="0"/>
    <pivotField showAll="0"/>
    <pivotField numFmtId="9" showAll="0"/>
    <pivotField numFmtId="168" showAll="0"/>
    <pivotField showAll="0"/>
    <pivotField showAll="0"/>
    <pivotField numFmtId="168" showAll="0"/>
    <pivotField showAll="0"/>
    <pivotField dataField="1" numFmtId="167" showAll="0"/>
    <pivotField showAll="0"/>
  </pivotFields>
  <rowFields count="1">
    <field x="1"/>
  </rowFields>
  <rowItems count="12">
    <i>
      <x/>
    </i>
    <i>
      <x v="1"/>
    </i>
    <i>
      <x v="2"/>
    </i>
    <i>
      <x v="3"/>
    </i>
    <i>
      <x v="4"/>
    </i>
    <i>
      <x v="5"/>
    </i>
    <i>
      <x v="6"/>
    </i>
    <i>
      <x v="7"/>
    </i>
    <i>
      <x v="8"/>
    </i>
    <i>
      <x v="9"/>
    </i>
    <i>
      <x v="10"/>
    </i>
    <i t="grand">
      <x/>
    </i>
  </rowItems>
  <colItems count="1">
    <i/>
  </colItems>
  <dataFields count="1">
    <dataField name="Sum of Final Target" fld="62"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7</v>
    <v>8</v>
    <v>0</v>
    <v>5</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B2E729-C4CB-4990-8130-69B8BDF0ADD8}" name="tblSubSectorPopulation" displayName="tblSubSectorPopulation" ref="B19:C23" totalsRowShown="0" headerRowDxfId="897" dataDxfId="895" headerRowBorderDxfId="896" tableBorderDxfId="894">
  <autoFilter ref="B19:C23" xr:uid="{00EC1285-A7DF-434F-A470-6874D5630451}"/>
  <tableColumns count="2">
    <tableColumn id="1" xr3:uid="{6F9626FB-B046-4FA6-904A-8BB4B957CB86}" name="Sector" dataDxfId="893"/>
    <tableColumn id="2" xr3:uid="{88B372FE-9A02-42DE-9216-ADA6FDC49EF0}" name="Proportion of sector target population in overall population" dataDxfId="8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A02FA4-D22E-4C99-BCE9-7238505316C0}" name="tblThresholds" displayName="tblThresholds" ref="B7:F16" totalsRowShown="0" headerRowDxfId="891" headerRowBorderDxfId="890" tableBorderDxfId="889" totalsRowBorderDxfId="888">
  <autoFilter ref="B7:F16" xr:uid="{0DE4E12E-91D1-4306-9474-A7F058008BD9}"/>
  <tableColumns count="5">
    <tableColumn id="1" xr3:uid="{5E3DD8AF-1226-4011-B808-49265632B755}" name="Flag Description " dataDxfId="887"/>
    <tableColumn id="2" xr3:uid="{CE07FA20-4A30-4068-9EE9-D2C5FA1F0238}" name="Recommended Threshold" dataDxfId="886"/>
    <tableColumn id="3" xr3:uid="{7C9E4D63-8010-4899-8DBC-3ECAEEB1F411}" name="Country Threshold" dataDxfId="885"/>
    <tableColumn id="4" xr3:uid="{9BE9BB1C-324E-4B22-8F47-34B9FEFC219F}" name="Explanation for proposing another threshold " dataDxfId="884"/>
    <tableColumn id="5" xr3:uid="{0A46C68D-C00F-49A0-91D8-05C1B4548EF3}" name="Purpose" dataDxfId="88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323B2A-33CB-40DB-9047-7CB9D708E52E}" name="Table2" displayName="Table2" ref="A2:AA81" totalsRowShown="0" headerRowDxfId="882" dataDxfId="881" totalsRowDxfId="880" headerRowCellStyle="Comma">
  <autoFilter ref="A2:AA81" xr:uid="{15323B2A-33CB-40DB-9047-7CB9D708E52E}"/>
  <sortState xmlns:xlrd2="http://schemas.microsoft.com/office/spreadsheetml/2017/richdata2" ref="A3:AA81">
    <sortCondition ref="A3:A81"/>
    <sortCondition ref="C3:C81"/>
  </sortState>
  <tableColumns count="27">
    <tableColumn id="1" xr3:uid="{3D56AED3-BC8A-4F7C-8622-F9AA37B495F0}" name="State" dataDxfId="879"/>
    <tableColumn id="2" xr3:uid="{D5B527B5-EEC7-41D0-AD2C-BEAB57368ADF}" name="admin1Pcod" dataDxfId="878"/>
    <tableColumn id="3" xr3:uid="{55CCB6AA-6F4F-4F5E-872E-A89211CC6886}" name="County" dataDxfId="877"/>
    <tableColumn id="4" xr3:uid="{D14DEA95-DAA1-490D-B144-3F4E5C76CE93}" name="admin2Pcod" dataDxfId="876"/>
    <tableColumn id="13" xr3:uid="{0ED7724D-BDB7-40AA-9CA8-C21E86BCF94C}" name="Total 2026 COD pop estimate (without refugees)" dataDxfId="875" dataCellStyle="Comma"/>
    <tableColumn id="42" xr3:uid="{2B235D37-040E-4BB9-ADDE-891D0477155D}" name="Refugees " dataDxfId="874" totalsRowDxfId="873" dataCellStyle="Comma"/>
    <tableColumn id="10" xr3:uid="{6C68E0C9-5782-44E5-AD5E-1EADE49AD764}" name="IDP" dataDxfId="872" totalsRowDxfId="871" dataCellStyle="Comma"/>
    <tableColumn id="18" xr3:uid="{F92ABD19-A5BD-4C24-BC63-EF73B85CA0E4}" name="Returnees" dataDxfId="870" totalsRowDxfId="869" dataCellStyle="Comma"/>
    <tableColumn id="20" xr3:uid="{D8B4FD87-E8DC-44F5-8B7F-6E2FD9F7FE9C}" name="Vulnerable Resident" dataDxfId="868" totalsRowDxfId="867" dataCellStyle="Comma"/>
    <tableColumn id="14" xr3:uid="{25281A6F-2340-4A10-8B59-0F679E5585FA}" name="Affected population without refugees" dataDxfId="866" dataCellStyle="Comma">
      <calculatedColumnFormula>SUM(I3,H3,G3)</calculatedColumnFormula>
    </tableColumn>
    <tableColumn id="23" xr3:uid="{D87BD4F3-3867-4494-9658-5AB6D623B620}" name="% Male children under 5" dataDxfId="865" totalsRowDxfId="864" dataCellStyle="Percent"/>
    <tableColumn id="24" xr3:uid="{298D94AA-269E-40EF-94F8-395C29C654CF}" name="No. of Male children under 5" dataDxfId="863" totalsRowDxfId="862">
      <calculatedColumnFormula>Table2[[#This Row],[% Male children under 5]]*Table2[[#This Row],[Affected population without refugees]]</calculatedColumnFormula>
    </tableColumn>
    <tableColumn id="25" xr3:uid="{78EA25B3-88A4-4186-B82F-1CF54E34A830}" name="% Female children under 5" dataDxfId="861" totalsRowDxfId="860" dataCellStyle="Percent"/>
    <tableColumn id="26" xr3:uid="{289CBE9A-45EB-41B6-9712-25A49C0C4683}" name="No. of Female children under 5" dataDxfId="859" totalsRowDxfId="858">
      <calculatedColumnFormula>Table2[[#This Row],[Affected population without refugees]]*Table2[[#This Row],[% Female children under 5]]</calculatedColumnFormula>
    </tableColumn>
    <tableColumn id="27" xr3:uid="{21F79488-4292-4BF5-9BE1-4EDA5AC5FA72}" name="% Male children aged 5 - 17 years" dataDxfId="857" totalsRowDxfId="856" dataCellStyle="Percent"/>
    <tableColumn id="28" xr3:uid="{B3789F7F-7396-48B4-8C5E-4C84BC1BC729}" name="No. of Male children aged 5 - 17 years" dataDxfId="855" totalsRowDxfId="854">
      <calculatedColumnFormula>Table2[[#This Row],[Affected population without refugees]]*Table2[[#This Row],[% Male children aged 5 - 17 years]]</calculatedColumnFormula>
    </tableColumn>
    <tableColumn id="29" xr3:uid="{12867DBA-EB23-4E4E-B616-DC21251C0090}" name="% Female children aged 5 - 17 years" dataDxfId="853" totalsRowDxfId="852" dataCellStyle="Percent"/>
    <tableColumn id="30" xr3:uid="{54877256-40F5-484E-9453-7D8A160C2BDA}" name="No. of Female children aged 5 - 17 years" dataDxfId="851" totalsRowDxfId="850">
      <calculatedColumnFormula>Table2[[#This Row],[Affected population without refugees]]*Table2[[#This Row],[% Female children aged 5 - 17 years]]</calculatedColumnFormula>
    </tableColumn>
    <tableColumn id="31" xr3:uid="{F3EEF130-BAD5-43BC-A15E-79E9EE963F1A}" name="% Male adults aged 18 - 60" dataDxfId="849" totalsRowDxfId="848" dataCellStyle="Percent"/>
    <tableColumn id="32" xr3:uid="{D41B611E-E317-48A0-B428-03D3C2558A52}" name="No. of  Male adults aged 18 - 60" dataDxfId="847" totalsRowDxfId="846">
      <calculatedColumnFormula>Table2[[#This Row],[Affected population without refugees]]*Table2[[#This Row],[% Male adults aged 18 - 60]]</calculatedColumnFormula>
    </tableColumn>
    <tableColumn id="33" xr3:uid="{78FF43E7-2927-43C8-9063-BFDF65737985}" name="% Female adults aged 18 - 60" dataDxfId="845" totalsRowDxfId="844" dataCellStyle="Percent"/>
    <tableColumn id="34" xr3:uid="{27AE75C3-58F8-4B47-9D93-0882C690B132}" name="No. of Female adults aged 18 - 60" dataDxfId="843" totalsRowDxfId="842">
      <calculatedColumnFormula>Table2[[#This Row],[Affected population without refugees]]*Table2[[#This Row],[% Female adults aged 18 - 60]]</calculatedColumnFormula>
    </tableColumn>
    <tableColumn id="35" xr3:uid="{87BC10A0-4FCB-4B87-9CF7-E0B831306057}" name="% Male adults aged over 60" dataDxfId="841" totalsRowDxfId="840" dataCellStyle="Percent"/>
    <tableColumn id="36" xr3:uid="{03FF87E4-3F5D-4C71-A5EF-A9431E015372}" name="No. of Male adults aged over 60" dataDxfId="839" totalsRowDxfId="838">
      <calculatedColumnFormula>Table2[[#This Row],[Affected population without refugees]]*Table2[[#This Row],[% Male adults aged over 60]]</calculatedColumnFormula>
    </tableColumn>
    <tableColumn id="37" xr3:uid="{D04F7FC2-8041-47E7-9954-491CBC5BAA95}" name="% Female adults aged over 60" dataDxfId="837" totalsRowDxfId="836" dataCellStyle="Percent"/>
    <tableColumn id="38" xr3:uid="{5FA8B842-26B2-4BDF-BFE1-BFFC1DAEC651}" name="No. Female adults aged over 60" dataDxfId="835" totalsRowDxfId="834">
      <calculatedColumnFormula>Table2[[#This Row],[Affected population without refugees]]*Table2[[#This Row],[% Female adults aged over 60]]</calculatedColumnFormula>
    </tableColumn>
    <tableColumn id="39" xr3:uid="{4CE25564-CE04-4C6E-AB95-EAA8677B34A2}" name="Persons with disability" dataDxfId="833" totalsRowDxfId="8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E39D82-4223-4AAE-80DB-E0876A48E558}" name="Table3" displayName="Table3" ref="A1:N15" totalsRowShown="0" headerRowDxfId="817" dataDxfId="816" totalsRowDxfId="815">
  <autoFilter ref="A1:N15" xr:uid="{2AE39D82-4223-4AAE-80DB-E0876A48E558}"/>
  <tableColumns count="14">
    <tableColumn id="1" xr3:uid="{8E976C4D-ED9A-42F0-AE57-1E3E271BE8F4}" name="Cluster/Sector" dataDxfId="814" totalsRowDxfId="813"/>
    <tableColumn id="6" xr3:uid="{E113AC1B-E811-45AC-9D90-DD0BF5DEF8A0}" name="PiN 2025" dataDxfId="812" totalsRowDxfId="811" dataCellStyle="Comma">
      <calculatedColumnFormula>GETPIVOTDATA("Cluster PIN",[4]Analysis!$A$25,"Cluster","CCCM")</calculatedColumnFormula>
    </tableColumn>
    <tableColumn id="7" xr3:uid="{701CCD32-C30B-4FB2-ADED-70A44876ABCE}" name="Target 2025" dataDxfId="810" totalsRowDxfId="809" dataCellStyle="Comma 2"/>
    <tableColumn id="2" xr3:uid="{5D98E73F-BA2A-4959-A818-F79059DC8A94}" name="PiN 2026" dataDxfId="808" totalsRowDxfId="807" dataCellStyle="Comma" totalsRowCellStyle="Comma">
      <calculatedColumnFormula>GETPIVOTDATA("Cluster Targets",[4]Analysis!$A$20,"Cluster","CCCM")</calculatedColumnFormula>
    </tableColumn>
    <tableColumn id="14" xr3:uid="{2E8C30E9-971E-414B-85E6-04143718F059}" name="Target 2026 (1&amp;2)" dataDxfId="806" totalsRowDxfId="805" totalsRowCellStyle="Comma"/>
    <tableColumn id="8" xr3:uid="{2545233F-4380-44BB-A1B3-5D560E701134}" name="Target 2026 (1&amp;2) (3)50%" dataDxfId="804" totalsRowDxfId="803" dataCellStyle="Comma">
      <calculatedColumnFormula>GETPIVOTDATA("Cluster PIN",[4]Analysis!$N$3,"Cluster","FSL")</calculatedColumnFormula>
    </tableColumn>
    <tableColumn id="3" xr3:uid="{1AA738AB-78FF-466D-AADE-2F1AA3247680}" name="Requirement 2025" dataDxfId="802" totalsRowDxfId="801" dataCellStyle="Comma 2"/>
    <tableColumn id="15" xr3:uid="{DAD06FAC-D232-49F5-B3CE-41512FE950F9}" name="Requirement 2026 (1&amp;2)" dataDxfId="800" totalsRowDxfId="799"/>
    <tableColumn id="5" xr3:uid="{53496467-5DA2-4C95-BF04-E2159E1C2899}" name="Requirement 2026 (1&amp;2) (3)50%" dataDxfId="798" totalsRowDxfId="797" dataCellStyle="Comma"/>
    <tableColumn id="11" xr3:uid="{1FAA9EEC-6A63-4492-AA44-A666B1003EA2}" name="PiN change" dataDxfId="796" dataCellStyle="Percent">
      <calculatedColumnFormula>(Table3[[#This Row],[PiN 2026]]-Table3[[#This Row],[PiN 2025]])/Table3[[#This Row],[PiN 2025]]</calculatedColumnFormula>
    </tableColumn>
    <tableColumn id="12" xr3:uid="{7D7FAD56-AF6E-409C-8AD6-830DCDDA2A9B}" name="Target change" dataDxfId="795" dataCellStyle="Percent">
      <calculatedColumnFormula>(Table3[[#This Row],[Target 2026 (1&amp;2) (3)50%]]-Table3[[#This Row],[Target 2025]])/Table3[[#This Row],[Target 2025]]</calculatedColumnFormula>
    </tableColumn>
    <tableColumn id="13" xr3:uid="{C1CA4858-AAEF-4539-8357-25519E8393EF}" name="Requirements change" dataDxfId="794" totalsRowDxfId="793" dataCellStyle="Percent">
      <calculatedColumnFormula>(Table3[[#This Row],[Requirement 2026 (1&amp;2) (3)50%]]-Table3[[#This Row],[Requirement 2025]])/Table3[[#This Row],[Requirement 2025]]</calculatedColumnFormula>
    </tableColumn>
    <tableColumn id="4" xr3:uid="{FC197527-D139-4D2C-B87A-BF6587E79D13}" name="Testing" dataDxfId="792" totalsRowDxfId="791" dataCellStyle="Percent">
      <calculatedColumnFormula>(Table3[[#This Row],[Requirement 2026 (1&amp;2) (3)50%]]-Table3[[#This Row],[Requirement 2025]])/Table3[[#This Row],[Requirement 2025]]</calculatedColumnFormula>
    </tableColumn>
    <tableColumn id="9" xr3:uid="{BD3D7B33-F30A-4946-B490-0A7BC1EF3939}" name="New Requirement 2026 (Priority 1,2 and 50% of 3)" dataDxfId="790" totalsRowDxfId="789"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59E75F-E6AE-4029-94C1-733CFE7EF4FE}" name="Table310" displayName="Table310" ref="A21:N35" totalsRowShown="0" headerRowDxfId="788" dataDxfId="787" totalsRowDxfId="786">
  <tableColumns count="14">
    <tableColumn id="1" xr3:uid="{110FA5AB-3B44-4E75-9507-4C372BCF06FC}" name="Cluster/Sector" dataDxfId="785" totalsRowDxfId="784"/>
    <tableColumn id="6" xr3:uid="{05485FDF-42BA-4660-97A3-598D289BDDA7}" name="PiN 2025" dataDxfId="783" totalsRowDxfId="782" dataCellStyle="Comma">
      <calculatedColumnFormula>B2/1000000</calculatedColumnFormula>
    </tableColumn>
    <tableColumn id="7" xr3:uid="{F59A35C2-3099-4174-BB51-7438CE8CCD44}" name="Target 2025" dataDxfId="781" totalsRowDxfId="780" dataCellStyle="Comma 2">
      <calculatedColumnFormula>C2/1000000</calculatedColumnFormula>
    </tableColumn>
    <tableColumn id="2" xr3:uid="{B0EEC26C-B4EF-4ED4-99A5-C12E918A813F}" name="PiN 2026" dataDxfId="779" totalsRowDxfId="778" dataCellStyle="Comma" totalsRowCellStyle="Comma">
      <calculatedColumnFormula>D2/1000000</calculatedColumnFormula>
    </tableColumn>
    <tableColumn id="14" xr3:uid="{F024B113-D428-438A-A412-B51BF759F826}" name="Target 2026 (1&amp;2)" dataDxfId="777" totalsRowDxfId="776" totalsRowCellStyle="Comma">
      <calculatedColumnFormula>E2/1000000</calculatedColumnFormula>
    </tableColumn>
    <tableColumn id="8" xr3:uid="{21976DF5-7C3E-466E-B4B6-B388FD86A7C4}" name="Target 2026 (1&amp;2) (3)50%" dataDxfId="775" totalsRowDxfId="774" dataCellStyle="Comma">
      <calculatedColumnFormula>F2/1000000</calculatedColumnFormula>
    </tableColumn>
    <tableColumn id="3" xr3:uid="{AC222F78-FF0A-46FE-A1DE-A4BFDF673B99}" name="Requirement 2025" dataDxfId="773" totalsRowDxfId="772" dataCellStyle="Comma 2">
      <calculatedColumnFormula>G2/1000000</calculatedColumnFormula>
    </tableColumn>
    <tableColumn id="15" xr3:uid="{E262D609-90FC-490F-9690-B640D393B9B3}" name="Requirement 2026 (1&amp;2)" dataDxfId="771" totalsRowDxfId="770">
      <calculatedColumnFormula>H2/1000000</calculatedColumnFormula>
    </tableColumn>
    <tableColumn id="5" xr3:uid="{F574987D-3D55-45AB-BE00-AC5C9497A176}" name="Requirement 2026 (1&amp;2) (3)50%" dataDxfId="769" totalsRowDxfId="768" dataCellStyle="Comma">
      <calculatedColumnFormula>I2/1000000</calculatedColumnFormula>
    </tableColumn>
    <tableColumn id="11" xr3:uid="{4328F706-2079-48A7-A505-F23C81608910}" name="PiN change" dataDxfId="767" dataCellStyle="Percent">
      <calculatedColumnFormula>(Table310[[#This Row],[PiN 2026]]-Table310[[#This Row],[PiN 2025]])/Table310[[#This Row],[PiN 2025]]</calculatedColumnFormula>
    </tableColumn>
    <tableColumn id="12" xr3:uid="{EC36F8B5-7CE5-4EAA-903E-A0A109629E33}" name="Target change" dataDxfId="766" dataCellStyle="Percent">
      <calculatedColumnFormula>(Table310[[#This Row],[Target 2026 (1&amp;2) (3)50%]]-Table310[[#This Row],[Target 2025]])/Table310[[#This Row],[Target 2025]]</calculatedColumnFormula>
    </tableColumn>
    <tableColumn id="13" xr3:uid="{3D0B4358-1F1A-4FE8-AE02-47EC031365C7}" name="Requirements change" dataDxfId="765" totalsRowDxfId="764" dataCellStyle="Percent">
      <calculatedColumnFormula>(Table310[[#This Row],[Requirement 2026 (1&amp;2) (3)50%]]-Table310[[#This Row],[Requirement 2025]])/Table310[[#This Row],[Requirement 2025]]</calculatedColumnFormula>
    </tableColumn>
    <tableColumn id="4" xr3:uid="{91111FEB-19DA-4013-B99E-01CBBDE6313C}" name="New Requirement 2026 (Priority 1,2 and 50% of 3)" dataDxfId="763" totalsRowDxfId="762"/>
    <tableColumn id="9" xr3:uid="{F442851F-97E7-4C75-9773-E9DC795AE1B9}" name="Reduction USD million" dataDxfId="761" totalsRowDxfId="760">
      <calculatedColumnFormula>Table310[[#This Row],[Requirement 2026 (1&amp;2) (3)50%]]-Table310[[#This Row],[New Requirement 2026 (Priority 1,2 and 50% of 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A1AC4BD-FBEE-440A-9A9A-D0971BFD030D}" name="Table6" displayName="Table6" ref="A2:X81" totalsRowShown="0" headerRowDxfId="759" headerRowCellStyle="Comma">
  <autoFilter ref="A2:X81" xr:uid="{FA1AC4BD-FBEE-440A-9A9A-D0971BFD030D}"/>
  <tableColumns count="24">
    <tableColumn id="1" xr3:uid="{1A452735-FB8B-46FA-94BB-6BE0959DE19D}" name="Admin 1"/>
    <tableColumn id="2" xr3:uid="{8E50FA1C-BC34-485B-9968-3AAA36023CA5}" name="Admin 2"/>
    <tableColumn id="23" xr3:uid="{28618B4B-C22E-4D00-86B5-A9C634BE8DDC}" name="Final Severity 2026" dataDxfId="758"/>
    <tableColumn id="22" xr3:uid="{40203B50-B132-4913-BD14-E7C4460D5A0E}" name="Prioritized counties 2026" dataDxfId="757"/>
    <tableColumn id="21" xr3:uid="{C03D3145-568B-4490-8D21-43B4F251A05C}" name="Refugees" dataDxfId="756" dataCellStyle="Comma"/>
    <tableColumn id="24" xr3:uid="{14C49EF4-BA10-499F-A3DB-09BC6271F0DB}" name="Overall PiN" dataDxfId="755" dataCellStyle="Comma"/>
    <tableColumn id="3" xr3:uid="{4B02C26A-D09F-47E7-AB2A-71433AC58D8A}" name="Overall PiN with REFUGEES" dataDxfId="754" dataCellStyle="Comma">
      <calculatedColumnFormula>Table6[[#This Row],[Overall PiN]]+Table6[[#This Row],[Refugees]]</calculatedColumnFormula>
    </tableColumn>
    <tableColumn id="4" xr3:uid="{8D225EEB-B30F-45CF-A170-0D006D2D96FB}" name="% Male children under 5" dataDxfId="753"/>
    <tableColumn id="5" xr3:uid="{9B942A54-8D22-4CE3-919C-089A8A07211C}" name="No. of Male children under 5" dataDxfId="752">
      <calculatedColumnFormula>Table6[[#This Row],[Overall PiN with REFUGEES]]*Table6[[#This Row],[% Male children under 5]]</calculatedColumnFormula>
    </tableColumn>
    <tableColumn id="6" xr3:uid="{3C2F0AE5-BE3E-4135-B8DF-7381E98695A1}" name="% Female children under 5" dataDxfId="751"/>
    <tableColumn id="7" xr3:uid="{8A407D89-D1B0-4D7D-8727-F482E12C0EDE}" name="No. of Female children under 5" dataDxfId="750">
      <calculatedColumnFormula>Table6[[#This Row],[Overall PiN with REFUGEES]]*Table6[[#This Row],[% Female children under 5]]</calculatedColumnFormula>
    </tableColumn>
    <tableColumn id="8" xr3:uid="{E1D93EA3-5B4D-442C-9D32-2EB69BF9F55F}" name="% Male children aged 5 - 17 years" dataDxfId="749"/>
    <tableColumn id="9" xr3:uid="{0F2F72E2-50E7-4413-8C8A-076B814EF326}" name="No. of Male children aged 5 - 17 years" dataDxfId="748">
      <calculatedColumnFormula>Table6[[#This Row],[Overall PiN with REFUGEES]]*Table6[[#This Row],[% Male children aged 5 - 17 years]]</calculatedColumnFormula>
    </tableColumn>
    <tableColumn id="10" xr3:uid="{1F22D968-4173-4B83-BAEB-FCD167237624}" name="% Female children aged 5 - 17 years" dataDxfId="747"/>
    <tableColumn id="11" xr3:uid="{036C235D-1A4E-44F5-ABCF-367E5D30AD4D}" name="No. of Female children aged 5 - 17 years" dataDxfId="746">
      <calculatedColumnFormula>Table6[[#This Row],[Overall PiN with REFUGEES]]*Table6[[#This Row],[% Female children aged 5 - 17 years]]</calculatedColumnFormula>
    </tableColumn>
    <tableColumn id="12" xr3:uid="{4F768F12-1575-4463-AAA5-2D9BD02DD53A}" name="% Male adults aged 18 - 60" dataDxfId="745"/>
    <tableColumn id="13" xr3:uid="{A3D037F5-3DFB-4D7C-B092-760B175A7B3B}" name="No. of  Male adults aged 18 - 60" dataDxfId="744">
      <calculatedColumnFormula>Table6[[#This Row],[Overall PiN with REFUGEES]]*Table6[[#This Row],[% Male adults aged 18 - 60]]</calculatedColumnFormula>
    </tableColumn>
    <tableColumn id="14" xr3:uid="{6D376A7A-7579-4833-B44C-2F42B6C07713}" name="% Female adults aged 18 - 60" dataDxfId="743"/>
    <tableColumn id="15" xr3:uid="{EAEEA3EF-B0AB-4D02-A82E-CCD755907EF8}" name="No. of Female adults aged 18 - 60" dataDxfId="742">
      <calculatedColumnFormula>Table6[[#This Row],[Overall PiN with REFUGEES]]*Table6[[#This Row],[% Female adults aged 18 - 60]]</calculatedColumnFormula>
    </tableColumn>
    <tableColumn id="16" xr3:uid="{C86BA96F-BB63-4B3B-B1FC-696AC01BC336}" name="% Male adults aged over 60" dataDxfId="741"/>
    <tableColumn id="17" xr3:uid="{CA5DB891-9866-47A5-ABDA-F5FDC96AD0FE}" name="No. of Male adults aged over 60" dataDxfId="740">
      <calculatedColumnFormula>Table6[[#This Row],[Overall PiN with REFUGEES]]*Table6[[#This Row],[% Male adults aged over 60]]</calculatedColumnFormula>
    </tableColumn>
    <tableColumn id="18" xr3:uid="{447A0B39-80BA-46D9-B327-BE11A34A1000}" name="% Female adults aged over 60" dataDxfId="739"/>
    <tableColumn id="19" xr3:uid="{CC35F718-905D-4DAD-A14F-D68B6EF7C5B9}" name="No. Female adults aged over 60" dataDxfId="738">
      <calculatedColumnFormula>Table6[[#This Row],[Overall PiN with REFUGEES]]*Table6[[#This Row],[% Female adults aged over 60]]</calculatedColumnFormula>
    </tableColumn>
    <tableColumn id="20" xr3:uid="{460E797F-E8D3-43CC-87C3-1C3A9D060BA6}" name="Persons with disability" dataDxfId="73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3595AF2-2EDD-4D36-AC2A-641FB61521AE}" name="Table12" displayName="Table12" ref="A2:X81" totalsRowShown="0" headerRowDxfId="736" headerRowCellStyle="Comma">
  <autoFilter ref="A2:X81" xr:uid="{53595AF2-2EDD-4D36-AC2A-641FB61521AE}"/>
  <tableColumns count="24">
    <tableColumn id="1" xr3:uid="{F3DE1CAE-84A5-45B2-B5A5-CF92BF1BFD67}" name="Admin 1"/>
    <tableColumn id="2" xr3:uid="{FC7D06CC-65AC-4AA1-8114-1FBB85754BA2}" name="Admin 2"/>
    <tableColumn id="23" xr3:uid="{4A23CCED-A891-406D-B5EA-3D6E6263B0E6}" name="Final Severity 2026" dataDxfId="735"/>
    <tableColumn id="22" xr3:uid="{096CE587-A280-4117-8D15-6C958446CF9A}" name="Prioritized counties 2026" dataDxfId="734"/>
    <tableColumn id="21" xr3:uid="{EEB4B3BB-E1BA-4307-A2B6-04AC06A615F9}" name="Refugees" dataDxfId="733" dataCellStyle="Comma"/>
    <tableColumn id="24" xr3:uid="{8ED6FC13-E7BD-482B-A24E-EB1F50515C35}" name="Target(1&amp;2)50% (3)priority" dataDxfId="732" dataCellStyle="Comma"/>
    <tableColumn id="3" xr3:uid="{65537DAF-D2A2-452C-AED2-E0550414AC20}" name="Target(1-3)priority with REFUGEES" dataDxfId="731" dataCellStyle="Comma">
      <calculatedColumnFormula>SUM(Table12[[#This Row],[Refugees]:[Target(1&amp;2)50% (3)priority]])</calculatedColumnFormula>
    </tableColumn>
    <tableColumn id="4" xr3:uid="{9B813988-1D3D-409B-9D7E-2B073BD0F891}" name="% Male children under 5" dataDxfId="730"/>
    <tableColumn id="5" xr3:uid="{B01D11F5-79F6-444A-9EEC-60588CBD6097}" name="No. of Male children under 5" dataDxfId="729">
      <calculatedColumnFormula>Table12[[#This Row],[Target(1-3)priority with REFUGEES]]*Table12[[#This Row],[% Male children under 5]]</calculatedColumnFormula>
    </tableColumn>
    <tableColumn id="6" xr3:uid="{2B972DEF-D22E-4E7E-8D9D-7C095C692EDC}" name="% Female children under 5" dataDxfId="728"/>
    <tableColumn id="7" xr3:uid="{76818E32-D65B-4C92-8DAC-1D3452322650}" name="No. of Female children under 5" dataDxfId="727">
      <calculatedColumnFormula>Table12[[#This Row],[Target(1-3)priority with REFUGEES]]*Table12[[#This Row],[% Female children under 5]]</calculatedColumnFormula>
    </tableColumn>
    <tableColumn id="8" xr3:uid="{7B91EE11-7BA5-47C7-86D2-AA14CFD00292}" name="% Male children aged 5 - 17 years" dataDxfId="726"/>
    <tableColumn id="9" xr3:uid="{C4BF83DE-01B4-471E-8F17-69C2BAB7C25F}" name="No. of Male children aged 5 - 17 years" dataDxfId="725">
      <calculatedColumnFormula>Table12[[#This Row],[Target(1-3)priority with REFUGEES]]*Table12[[#This Row],[% Male children aged 5 - 17 years]]</calculatedColumnFormula>
    </tableColumn>
    <tableColumn id="10" xr3:uid="{3B71F8D9-31DF-410D-9C0A-2149FD843F50}" name="% Female children aged 5 - 17 years" dataDxfId="724"/>
    <tableColumn id="11" xr3:uid="{C6ADE6FF-3F25-4677-87FC-41F1F940709A}" name="No. of Female children aged 5 - 17 years" dataDxfId="723">
      <calculatedColumnFormula>Table12[[#This Row],[Target(1-3)priority with REFUGEES]]*Table12[[#This Row],[% Female children aged 5 - 17 years]]</calculatedColumnFormula>
    </tableColumn>
    <tableColumn id="12" xr3:uid="{D8F06CAA-9691-4F0B-B03C-7752E6DA991C}" name="% Male adults aged 18 - 60" dataDxfId="722"/>
    <tableColumn id="13" xr3:uid="{A17810F1-5CA6-4B1B-974E-1228BF2776E0}" name="No. of  Male adults aged 18 - 60" dataDxfId="721">
      <calculatedColumnFormula>Table12[[#This Row],[Target(1-3)priority with REFUGEES]]*Table12[[#This Row],[% Male adults aged 18 - 60]]</calculatedColumnFormula>
    </tableColumn>
    <tableColumn id="14" xr3:uid="{2E0BED73-243A-41C4-B914-6E806F55E29F}" name="% Female adults aged 18 - 60" dataDxfId="720"/>
    <tableColumn id="15" xr3:uid="{C52E7D89-E08A-4E63-82F8-41285A7CFCF3}" name="No. of Female adults aged 18 - 60" dataDxfId="719">
      <calculatedColumnFormula>Table12[[#This Row],[Target(1-3)priority with REFUGEES]]*Table12[[#This Row],[% Female adults aged 18 - 60]]</calculatedColumnFormula>
    </tableColumn>
    <tableColumn id="16" xr3:uid="{B25E7234-D81F-4688-B443-C0D4CA77028E}" name="% Male adults aged over 60" dataDxfId="718"/>
    <tableColumn id="17" xr3:uid="{DEC0A315-12AF-413A-A184-9F882FC3876A}" name="No. of Male adults aged over 60" dataDxfId="717">
      <calculatedColumnFormula>Table12[[#This Row],[Target(1-3)priority with REFUGEES]]*Table12[[#This Row],[% Male adults aged over 60]]</calculatedColumnFormula>
    </tableColumn>
    <tableColumn id="18" xr3:uid="{9326DE97-B53B-4007-AFED-5A14E8CB3DFA}" name="% Female adults aged over 60" dataDxfId="716"/>
    <tableColumn id="19" xr3:uid="{C108282A-915D-4941-96CD-08EBD21A2A42}" name="No. Female adults aged over 60" dataDxfId="715">
      <calculatedColumnFormula>Table12[[#This Row],[Target(1-3)priority with REFUGEES]]*Table12[[#This Row],[% Female adults aged over 60]]</calculatedColumnFormula>
    </tableColumn>
    <tableColumn id="20" xr3:uid="{5EA28F60-35D4-4A5D-B59B-C7A38AAF29E1}" name="Persons with disability" dataDxfId="7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E3DAFE-68FF-4F2E-ADC8-3D948187004E}" name="tblPiNAnalysis8" displayName="tblPiNAnalysis8" ref="A3:AA240" totalsRowShown="0" headerRowDxfId="713" dataDxfId="711" headerRowBorderDxfId="712" tableBorderDxfId="710" totalsRowBorderDxfId="709" headerRowCellStyle="Comma 2">
  <autoFilter ref="A3:AA240" xr:uid="{F2E3DAFE-68FF-4F2E-ADC8-3D948187004E}"/>
  <sortState xmlns:xlrd2="http://schemas.microsoft.com/office/spreadsheetml/2017/richdata2" ref="A4:AA7">
    <sortCondition ref="E3:E7"/>
  </sortState>
  <tableColumns count="27">
    <tableColumn id="1" xr3:uid="{F819F92B-C2DC-4896-A835-8392AD9E06EF}" name="ID" dataDxfId="708" totalsRowDxfId="707" dataCellStyle="Comma">
      <calculatedColumnFormula>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calculatedColumnFormula>
    </tableColumn>
    <tableColumn id="2" xr3:uid="{BEE4B1C8-DA87-4E3F-A96D-54719C2897EA}" name="Admin 1" dataDxfId="706" totalsRowDxfId="705"/>
    <tableColumn id="15" xr3:uid="{64E8039F-3C64-4857-A773-AD00B813AD4F}" name="Admin 1 P-Code" dataDxfId="704" totalsRowDxfId="703"/>
    <tableColumn id="14" xr3:uid="{13B681DE-0FCE-40CB-A86D-6ED068D9C2FB}" name="Admin 2" dataDxfId="702" totalsRowDxfId="701"/>
    <tableColumn id="3" xr3:uid="{CDCE4F20-59A2-48B6-8239-696EB830039E}" name="Admin 2 P-Code" dataDxfId="700" totalsRowDxfId="699"/>
    <tableColumn id="6" xr3:uid="{1E6202EB-DFBF-4A8C-B45D-2E552950B838}" name="Admin 3" dataDxfId="698" totalsRowDxfId="697"/>
    <tableColumn id="36" xr3:uid="{66BD62B1-BD55-4AA4-8A68-9D7AE5D15D46}" name="Admin 3 P-Code" dataDxfId="696" totalsRowDxfId="695"/>
    <tableColumn id="42" xr3:uid="{9AADDA47-3187-49B7-8FF2-0FC11A40BB19}" name="Pocket of need" dataDxfId="694" totalsRowDxfId="693"/>
    <tableColumn id="4" xr3:uid="{9B4CDDF0-3D95-41B0-A230-41584C74FDA7}" name="Affected population projection 2026" dataDxfId="692" totalsRowDxfId="691" dataCellStyle="Comma"/>
    <tableColumn id="29" xr3:uid="{E5BDB9B7-C5FF-4E02-8007-35482265E5A9}" name="Population Group" dataDxfId="690" totalsRowDxfId="689" dataCellStyle="Comma"/>
    <tableColumn id="8" xr3:uid="{E7FC33C1-C419-4A12-B3CC-1B5DF1524CEB}" name="CCCM" dataDxfId="688" totalsRowDxfId="687" dataCellStyle="Comma [0]"/>
    <tableColumn id="31" xr3:uid="{B3AE72E6-B6EF-4FDE-B65A-BF8E502CCC2D}" name="Education" dataDxfId="686" totalsRowDxfId="685" dataCellStyle="Comma"/>
    <tableColumn id="32" xr3:uid="{1F04BFF7-9E4A-455C-B448-0958CC30B25F}" name="Nutrition" dataDxfId="684" totalsRowDxfId="683" dataCellStyle="Comma"/>
    <tableColumn id="10" xr3:uid="{5C5D0327-BDE8-4309-8D8B-9938FDD0ADEA}" name="Food Security" dataDxfId="682" totalsRowDxfId="681" dataCellStyle="Comma"/>
    <tableColumn id="33" xr3:uid="{F58197AF-590E-4479-931D-AE78C2051DB0}" name="Health" dataDxfId="680" totalsRowDxfId="679" dataCellStyle="Comma"/>
    <tableColumn id="11" xr3:uid="{A0E7BAFE-C5F2-45A2-B841-F178B7D44904}" name="Overarching Protection" dataDxfId="678" totalsRowDxfId="677" dataCellStyle="Comma"/>
    <tableColumn id="9" xr3:uid="{84BD97D7-1AD9-4329-85AF-C2BFB06459DB}" name="Shelter" dataDxfId="676" totalsRowDxfId="675" dataCellStyle="Comma"/>
    <tableColumn id="17" xr3:uid="{D95A416A-5B88-4A18-834E-19DFC369950B}" name="WASH" dataDxfId="674" totalsRowDxfId="673" dataCellStyle="Comma"/>
    <tableColumn id="44" xr3:uid="{7C7071B2-ED31-4873-B449-FE7AD998B205}" name="Final PiN" dataDxfId="672" totalsRowDxfId="671"/>
    <tableColumn id="12" xr3:uid="{0F5CF65A-8512-4C14-AA24-10A5DECFC86D}" name="Intersectoral Severity" dataDxfId="670" totalsRowDxfId="669" dataCellStyle="Comma"/>
    <tableColumn id="7" xr3:uid="{43E95073-970E-4B30-B370-719873EE4F12}" name="Final Intersectoral  Priority ranking" dataDxfId="668" totalsRowDxfId="667" dataCellStyle="Comma"/>
    <tableColumn id="13" xr3:uid="{2CCEFE10-3221-4651-A4C0-851B4E27647E}" name="Target (severity 4-5 ranking) 100%" dataDxfId="666" totalsRowDxfId="665" dataCellStyle="Comma">
      <calculatedColumnFormula>tblPiNAnalysis8[[#This Row],[Final PiN]]</calculatedColumnFormula>
    </tableColumn>
    <tableColumn id="18" xr3:uid="{C08C0A97-6799-48BA-96A1-4D4A8B661260}" name="Target (severity 3 ranking) 50%" dataDxfId="664" totalsRowDxfId="663" dataCellStyle="Comma">
      <calculatedColumnFormula>tblPiNAnalysis8[[#This Row],[Final PiN]]/2</calculatedColumnFormula>
    </tableColumn>
    <tableColumn id="16" xr3:uid="{79C52DD1-0C1A-4842-885B-D73B6C2350EE}" name="Total target (out of severity ranking)" dataDxfId="662" totalsRowDxfId="661" dataCellStyle="Comma">
      <calculatedColumnFormula>SUM(tblPiNAnalysis8[[#This Row],[Target (severity 4-5 ranking) 100%]:[Target (severity 3 ranking) 50%]])</calculatedColumnFormula>
    </tableColumn>
    <tableColumn id="21" xr3:uid="{A2EED20C-8930-44E8-9367-1E1A243F39EF}" name="Target (priotitised 1-2 ranking) 100%" dataDxfId="660" totalsRowDxfId="659" dataCellStyle="Comma">
      <calculatedColumnFormula>tblPiNAnalysis8[[#This Row],[Final PiN]]</calculatedColumnFormula>
    </tableColumn>
    <tableColumn id="20" xr3:uid="{DB98A806-162B-4642-8413-9AD66EB12931}" name="Target (priotitised 3 ranking) 50%" dataDxfId="658" totalsRowDxfId="657" dataCellStyle="Comma"/>
    <tableColumn id="19" xr3:uid="{25180EB4-A006-4CBA-BBDF-B07FC67868FE}" name="Total target (out of prioritization ranking)" dataDxfId="656" totalsRowDxfId="655" dataCellStyle="Comma">
      <calculatedColumnFormula>SUM(tblPiNAnalysis8[[#This Row],[Target (priotitised 1-2 ranking) 100%]:[Target (priotitised 3 ranking) 50%]])</calculatedColumnFormula>
    </tableColumn>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C7DAF7-37A5-437D-A71A-78BDE7153DE7}" name="tblPiNAnalysis" displayName="tblPiNAnalysis" ref="A3:BL241" totalsRowCount="1" headerRowDxfId="654" dataDxfId="652" headerRowBorderDxfId="653" tableBorderDxfId="651" totalsRowBorderDxfId="650" headerRowCellStyle="Comma 2">
  <autoFilter ref="A3:BL240" xr:uid="{11C7DAF7-37A5-437D-A71A-78BDE7153DE7}"/>
  <sortState xmlns:xlrd2="http://schemas.microsoft.com/office/spreadsheetml/2017/richdata2" ref="A4:BL7">
    <sortCondition ref="E3:E7"/>
  </sortState>
  <tableColumns count="64">
    <tableColumn id="1" xr3:uid="{54AEF9E4-9BDD-4CFB-A31A-26775997174F}" name="ID" dataDxfId="649" totalsRowDxfId="648" dataCellStyle="Comma">
      <calculatedColumnFormula>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calculatedColumnFormula>
    </tableColumn>
    <tableColumn id="2" xr3:uid="{90C30682-CC85-4A40-8C59-3DE4818FD180}" name="Admin 1" dataDxfId="647" totalsRowDxfId="646"/>
    <tableColumn id="15" xr3:uid="{7B726629-BA89-49F5-8F57-2B9EB4CDD021}" name="Admin 1 P-Code" dataDxfId="645" totalsRowDxfId="644"/>
    <tableColumn id="14" xr3:uid="{BAE67459-66F5-4493-A91C-9D2B08E6B8EC}" name="Admin 2" dataDxfId="643" totalsRowDxfId="642"/>
    <tableColumn id="3" xr3:uid="{19F61B87-5E5C-480C-970D-62A72E5FF1E6}" name="Admin 2 P-Code" dataDxfId="641" totalsRowDxfId="640"/>
    <tableColumn id="6" xr3:uid="{609BB18B-6ABB-4D6B-B7DF-6BF1B8616362}" name="Admin 3" dataDxfId="639" totalsRowDxfId="638"/>
    <tableColumn id="36" xr3:uid="{1AA7E3AC-4E2A-47D9-B88F-FE8FFB3130DE}" name="Admin 3 P-Code" dataDxfId="637" totalsRowDxfId="636"/>
    <tableColumn id="42" xr3:uid="{E21DA0D5-0352-4E73-81A8-EC8BEA83DC13}" name="Pocket of need" dataDxfId="635" totalsRowDxfId="634"/>
    <tableColumn id="4" xr3:uid="{C3D266F4-08AD-4E59-ACFC-6FCB92954911}" name="Affected population projection 2026" dataDxfId="633" totalsRowDxfId="632" dataCellStyle="Comma"/>
    <tableColumn id="29" xr3:uid="{E0F650EC-BD3F-4798-948C-937FC547C3AC}" name="Population Group" dataDxfId="631" totalsRowDxfId="630" dataCellStyle="Comma"/>
    <tableColumn id="8" xr3:uid="{F9A63AE1-604E-42EF-A449-294D1C9BA734}" name="CCCM" totalsRowFunction="sum" dataDxfId="629" totalsRowDxfId="628" dataCellStyle="Comma [0]"/>
    <tableColumn id="31" xr3:uid="{C853B6B0-0D51-4D27-A0DE-8BBED5DB5DBC}" name="Education" totalsRowFunction="sum" dataDxfId="627" totalsRowDxfId="626" dataCellStyle="Comma"/>
    <tableColumn id="32" xr3:uid="{56EE9F16-B087-4DC5-9E34-9168FFDBAB16}" name="Nutrition" totalsRowFunction="sum" dataDxfId="625" totalsRowDxfId="624" dataCellStyle="Comma"/>
    <tableColumn id="10" xr3:uid="{C2D31B2E-F8B2-40B5-B8BE-579B6F858303}" name="Food Security" totalsRowFunction="sum" dataDxfId="623" totalsRowDxfId="622" dataCellStyle="Comma"/>
    <tableColumn id="33" xr3:uid="{EA7D01DC-FF04-481D-832D-E586DCE04584}" name="Health" totalsRowFunction="sum" dataDxfId="621" totalsRowDxfId="620" dataCellStyle="Comma"/>
    <tableColumn id="11" xr3:uid="{35F16878-B666-46A1-BBFF-0BE781639BC0}" name="Overarching Protection" totalsRowFunction="sum" dataDxfId="619" totalsRowDxfId="618" dataCellStyle="Comma"/>
    <tableColumn id="9" xr3:uid="{11307CA3-5DE0-484A-AA61-91E0ABC3D54A}" name="Shelter" totalsRowFunction="sum" dataDxfId="617" totalsRowDxfId="616" dataCellStyle="Comma"/>
    <tableColumn id="17" xr3:uid="{BB2853C7-D9DD-4C35-A144-B7DE9E3D8429}" name="WASH" totalsRowFunction="sum" dataDxfId="615" totalsRowDxfId="614" dataCellStyle="Comma"/>
    <tableColumn id="66" xr3:uid="{A3B5A376-64B2-4BCD-AEDF-EAA9FEEA0CF0}" name="CP" totalsRowFunction="sum" dataDxfId="613" totalsRowDxfId="612" dataCellStyle="Comma"/>
    <tableColumn id="65" xr3:uid="{560FC162-D3A5-42CC-BD97-D595B39B18E3}" name="GBV" totalsRowFunction="sum" totalsRowDxfId="611" dataCellStyle="Comma"/>
    <tableColumn id="64" xr3:uid="{BB4F3E41-F899-4CD2-AE0B-09D7AF93EA95}" name="Mine Action" totalsRowFunction="sum" totalsRowDxfId="610" dataCellStyle="Comma"/>
    <tableColumn id="63" xr3:uid="{67480CAD-7DF9-43EE-AA75-530A1DACB064}" name="HLP" totalsRowFunction="sum" totalsRowDxfId="609" dataCellStyle="Comma"/>
    <tableColumn id="13" xr3:uid="{84EB6432-4FF9-4406-915E-0C0FFA9C3B31}" name="CCCM%" dataDxfId="608" totalsRowDxfId="607">
      <calculatedColumnFormula>IFERROR(IF(tblPiNAnalysis[[#This Row],[CCCM]]="", "", MROUND(tblPiNAnalysis[[#This Row],[CCCM]]/tblPiNAnalysis[[#This Row],[Affected population projection 2026]], 0.05)), "")</calculatedColumnFormula>
    </tableColumn>
    <tableColumn id="16" xr3:uid="{614333A2-B706-4F70-9C4F-9CC17D604920}" name="Education%" dataDxfId="606" totalsRowDxfId="605">
      <calculatedColumnFormula>IFERROR(IF(tblPiNAnalysis[[#This Row],[Education]]="", "", MROUND(tblPiNAnalysis[[#This Row],[Education]]/tblPiNAnalysis[[#This Row],[Affected population projection 2026]], 0.05)), "")</calculatedColumnFormula>
    </tableColumn>
    <tableColumn id="19" xr3:uid="{2D3BACE2-BF35-4152-A515-D3C0068BE785}" name="Nutrition%" dataDxfId="604" totalsRowDxfId="603">
      <calculatedColumnFormula>IFERROR(IF(tblPiNAnalysis[[#This Row],[Nutrition]]="", "", MROUND(tblPiNAnalysis[[#This Row],[Nutrition]]/tblPiNAnalysis[[#This Row],[Affected population projection 2026]], 0.05)), "")</calculatedColumnFormula>
    </tableColumn>
    <tableColumn id="41" xr3:uid="{B00207D5-50EC-44D1-BB96-A8C43B705FF2}" name="Food Security%" dataDxfId="602" totalsRowDxfId="601" dataCellStyle="Comma">
      <calculatedColumnFormula>IFERROR(IF(tblPiNAnalysis[[#This Row],[Food Security]]="", "", MROUND(tblPiNAnalysis[[#This Row],[Food Security]]/tblPiNAnalysis[[#This Row],[Affected population projection 2026]], 0.05)), "")</calculatedColumnFormula>
    </tableColumn>
    <tableColumn id="18" xr3:uid="{274587A6-D19C-4004-9BE3-EEF2BF4636E0}" name="Health%" dataDxfId="600" totalsRowDxfId="599" dataCellStyle="Comma">
      <calculatedColumnFormula>IFERROR(IF(tblPiNAnalysis[[#This Row],[Health]]="", "", MROUND(tblPiNAnalysis[[#This Row],[Health]]/tblPiNAnalysis[[#This Row],[Affected population projection 2026]], 0.05)), "")</calculatedColumnFormula>
    </tableColumn>
    <tableColumn id="30" xr3:uid="{76A8633A-9354-4BA9-A815-969A9A4095BC}" name="Overarching Protection%" dataDxfId="598" totalsRowDxfId="597">
      <calculatedColumnFormula>IFERROR(IF(tblPiNAnalysis[[#This Row],[Overarching Protection]]="", "", MROUND(tblPiNAnalysis[[#This Row],[Overarching Protection]]/tblPiNAnalysis[[#This Row],[Affected population projection 2026]], 0.05)), "")</calculatedColumnFormula>
    </tableColumn>
    <tableColumn id="34" xr3:uid="{AD862933-9C52-4EA8-BE0A-8C747B0FDA55}" name="Shelter%" dataDxfId="596" totalsRowDxfId="595">
      <calculatedColumnFormula>IFERROR(IF(tblPiNAnalysis[[#This Row],[Shelter]]="", "", MROUND(tblPiNAnalysis[[#This Row],[Shelter]]/tblPiNAnalysis[[#This Row],[Affected population projection 2026]], 0.05)), "")</calculatedColumnFormula>
    </tableColumn>
    <tableColumn id="35" xr3:uid="{3C23AE7E-5AB3-47CF-9EA0-02463685ADA4}" name="WASH%" dataDxfId="594" totalsRowDxfId="593">
      <calculatedColumnFormula>IFERROR(IF(tblPiNAnalysis[[#This Row],[WASH]]="", "", MROUND(tblPiNAnalysis[[#This Row],[WASH]]/tblPiNAnalysis[[#This Row],[Affected population projection 2026]], 0.05)), "")</calculatedColumnFormula>
    </tableColumn>
    <tableColumn id="61" xr3:uid="{112CF96E-9F13-544B-A245-73545238CFF5}" name="Child Protection (CP)%" dataDxfId="592" totalsRowDxfId="591" dataCellStyle="Comma">
      <calculatedColumnFormula>IFERROR(MROUND(tblPiNAnalysis[[#This Row],[CP]]/tblPiNAnalysis[[#This Row],[Affected population projection 2026]], 0.05), "")</calculatedColumnFormula>
    </tableColumn>
    <tableColumn id="62" xr3:uid="{C41733D8-6D32-2F4D-99C1-0BACA483FAB4}" name="Gender-based Violence (GBV)%" dataDxfId="590" totalsRowDxfId="589" dataCellStyle="Comma">
      <calculatedColumnFormula>IFERROR(MROUND(tblPiNAnalysis[[#This Row],[GBV]]/tblPiNAnalysis[[#This Row],[Affected population projection 2026]], 0.05), "")</calculatedColumnFormula>
    </tableColumn>
    <tableColumn id="48" xr3:uid="{681CFBE2-2587-BC40-BC23-27962C6185A0}" name="Mine Action%" dataDxfId="588" totalsRowDxfId="587" dataCellStyle="Comma">
      <calculatedColumnFormula>IFERROR(MROUND(tblPiNAnalysis[[#This Row],[Mine Action]]/tblPiNAnalysis[[#This Row],[Affected population projection 2026]], 0.05), "")</calculatedColumnFormula>
    </tableColumn>
    <tableColumn id="60" xr3:uid="{DE455047-9A49-E74F-98B5-B0C0FCA1249D}" name="HLP%" dataDxfId="586" totalsRowDxfId="585" dataCellStyle="Comma">
      <calculatedColumnFormula>IFERROR(MROUND(tblPiNAnalysis[[#This Row],[HLP]]/tblPiNAnalysis[[#This Row],[Affected population projection 2026]], 0.05), "")</calculatedColumnFormula>
    </tableColumn>
    <tableColumn id="12" xr3:uid="{F51CCB8C-B7B3-49F6-B2F6-2ABEDE72599E}" name="Highest PiN" dataDxfId="584" totalsRowDxfId="583">
      <calculatedColumnFormula>IFERROR(LARGE(tblPiNAnalysis[[#This Row],[CCCM]:[WASH]], 1), "")</calculatedColumnFormula>
    </tableColumn>
    <tableColumn id="20" xr3:uid="{EE7E5C5D-8DD5-4982-8D9F-B98888048773}" name="Highest sector(s)" dataDxfId="582" totalsRowDxfId="581">
      <calculatedColumnFormula array="1">IF(tblPiNAnalysis[[#This Row],[Highest PiN]]="", "", _xlfn.TEXTJOIN(CHAR(10), TRUE, IF(tblPiNAnalysis[[#This Row],[Highest PiN]]=tblPiNAnalysis[[#This Row],[CCCM]:[WASH]], tblPiNAnalysis[[#Headers],[CCCM]:[WASH]], "")))</calculatedColumnFormula>
    </tableColumn>
    <tableColumn id="27" xr3:uid="{5BDD9F1E-13DE-4906-8856-160E9BE502BA}" name="Highest sector(s') PiN %" dataDxfId="580" totalsRowDxfId="579">
      <calculatedColumnFormula>IF(tblPiNAnalysis[[#This Row],[Highest PiN]]="", "", tblPiNAnalysis[[#This Row],[Highest PiN]]/tblPiNAnalysis[[#This Row],[Affected population projection 2026]])</calculatedColumnFormula>
    </tableColumn>
    <tableColumn id="50" xr3:uid="{BF376171-8A95-4AAD-A80E-E0B2F59D8B94}" name="Number of missing / zero PiNs greater than threshold - Data quality" dataDxfId="578" totalsRowDxfId="577" dataCellStyle="Comma">
      <calculatedColumnFormula>IF(SUM(tblPiNAnalysis[[#This Row],[CCCM]:[WASH]])=0, "",IF(COUNTIF(tblPiNAnalysis[[#This Row],[CCCM]:[WASH]],"=0")+COUNTIF(tblPiNAnalysis[[#This Row],[CCCM]:[WASH]],"")&gt;=zero_pin_thresh, "Flagged", ""))</calculatedColumnFormula>
    </tableColumn>
    <tableColumn id="45" xr3:uid="{6223ED00-19BF-42C3-A58C-3611DAB4D294}" name="Highest PiN greater than 90% of total affected population" dataDxfId="576" totalsRowDxfId="575">
      <calculatedColumnFormula>IFERROR(IF(tblPiNAnalysis[[#This Row],[Highest PiN]]="", "", IF(tblPiNAnalysis[[#This Row],[Highest sector(s'') PiN %]]&gt;=flag_pin_perc, "Flagged", "")), "")</calculatedColumnFormula>
    </tableColumn>
    <tableColumn id="24" xr3:uid="{0A335051-02C6-487B-8072-88B6D80285FC}" name="Highest sector targets sub-population group(s)" dataDxfId="574" totalsRowDxfId="573">
      <calculatedColumnFormula array="1">IF(tblPiNAnalysis[[#This Row],[Highest PiN]]=0, "",  IF(OR(COUNTIF(tblPiNAnalysis[[#This Row],[Highest sector(s)]],tblSubSectorPopulation[Sector])), "Flagged", ""))</calculatedColumnFormula>
    </tableColumn>
    <tableColumn id="21" xr3:uid="{AFD138FA-405D-4253-8B62-242D86672B24}" name="2nd Highest PiN" dataDxfId="572" totalsRowDxfId="571" dataCellStyle="Comma">
      <calculatedColumnFormula array="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calculatedColumnFormula>
    </tableColumn>
    <tableColumn id="22" xr3:uid="{9AF1A09D-DE69-44D5-9BBD-930114D52CC6}" name="2nd Highest sector(s)" dataDxfId="570" totalsRowDxfId="569">
      <calculatedColumnFormula array="1">IF(tblPiNAnalysis[[#This Row],[2nd Highest PiN]]="", "", _xlfn.TEXTJOIN(CHAR(10), TRUE, IF(tblPiNAnalysis[[#This Row],[2nd Highest PiN]]=tblPiNAnalysis[[#This Row],[CCCM]:[WASH]], tblPiNAnalysis[[#Headers],[CCCM]:[WASH]], "")))</calculatedColumnFormula>
    </tableColumn>
    <tableColumn id="23" xr3:uid="{9B412B06-DB20-499A-923F-93A9D074723E}" name="2nd Highest sector PiN %" dataDxfId="568" totalsRowDxfId="567" dataCellStyle="Percent">
      <calculatedColumnFormula>IFERROR(tblPiNAnalysis[[#This Row],[2nd Highest PiN]]/tblPiNAnalysis[[#This Row],[Affected population projection 2026]], "")</calculatedColumnFormula>
    </tableColumn>
    <tableColumn id="25" xr3:uid="{B380F038-9191-4339-80BF-41DB7772018A}" name="Difference of PiN between Highest and 2nd Highest" dataDxfId="566" totalsRowDxfId="565" dataCellStyle="Comma">
      <calculatedColumnFormula>IFERROR(tblPiNAnalysis[[#This Row],[Highest PiN]]-tblPiNAnalysis[[#This Row],[2nd Highest PiN]], "")</calculatedColumnFormula>
    </tableColumn>
    <tableColumn id="26" xr3:uid="{321F52D6-AAC0-4898-ABE0-58D30ADD9109}" name="% Difference between Highest and 2nd Highest" dataDxfId="564" totalsRowDxfId="563">
      <calculatedColumnFormula>IFERROR(((tblPiNAnalysis[[#This Row],[Highest PiN]]-tblPiNAnalysis[[#This Row],[2nd Highest PiN]])/tblPiNAnalysis[[#This Row],[2nd Highest PiN]]),"")</calculatedColumnFormula>
    </tableColumn>
    <tableColumn id="7" xr3:uid="{7CC3128D-723E-40AA-BA15-5A26C53727C1}" name="% difference is over a specified threshold between Highest and 2nd Highest" dataDxfId="562" totalsRowDxfId="561">
      <calculatedColumnFormula array="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calculatedColumnFormula>
    </tableColumn>
    <tableColumn id="49" xr3:uid="{88B9779E-AADD-48C6-BAA4-BD1417FF03CA}" name="3rd Highest PiN" dataDxfId="560" totalsRowDxfId="559" dataCellStyle="Comma">
      <calculatedColumnFormula array="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calculatedColumnFormula>
    </tableColumn>
    <tableColumn id="51" xr3:uid="{A05FB10D-6128-4237-B011-FCDD3211239F}" name="3rd Highest sector(s)" dataDxfId="558" totalsRowDxfId="557">
      <calculatedColumnFormula array="1">IF(tblPiNAnalysis[[#This Row],[3rd Highest PiN]]="", "", _xlfn.TEXTJOIN(CHAR(10), TRUE, IF(tblPiNAnalysis[[#This Row],[3rd Highest PiN]]=tblPiNAnalysis[[#This Row],[CCCM]:[WASH]], tblPiNAnalysis[[#Headers],[CCCM]:[WASH]], "")))</calculatedColumnFormula>
    </tableColumn>
    <tableColumn id="52" xr3:uid="{994A81BE-6DA1-4B93-9693-EE185E5560A0}" name="3rd Highest sector PiN %" dataDxfId="556" totalsRowDxfId="555">
      <calculatedColumnFormula>IFERROR(tblPiNAnalysis[[#This Row],[3rd Highest PiN]]/tblPiNAnalysis[[#This Row],[Affected population projection 2026]], "")</calculatedColumnFormula>
    </tableColumn>
    <tableColumn id="54" xr3:uid="{842D2CFE-79B7-49FF-A2EC-799DFCD95490}" name="Difference of PiN between Highest and 3rd Highest" dataDxfId="554" totalsRowDxfId="553" dataCellStyle="Comma">
      <calculatedColumnFormula>IFERROR(tblPiNAnalysis[[#This Row],[Highest PiN]]-tblPiNAnalysis[[#This Row],[3rd Highest PiN]],"")</calculatedColumnFormula>
    </tableColumn>
    <tableColumn id="58" xr3:uid="{DE68B50D-DC7A-4947-8BAA-B53F0E3BABE0}" name="% Difference between Highest and 3rd Highest" dataDxfId="552" totalsRowDxfId="551">
      <calculatedColumnFormula>IFERROR(tblPiNAnalysis[[#This Row],[Difference of PiN between Highest and 3rd Highest]]/tblPiNAnalysis[[#This Row],[3rd Highest PiN]], "")</calculatedColumnFormula>
    </tableColumn>
    <tableColumn id="59" xr3:uid="{39E4DD04-652F-421B-AD59-CB32A95C5E58}" name="% difference is over a specified threshold between Highest and 3rd Highest" dataDxfId="550" totalsRowDxfId="549">
      <calculatedColumnFormula array="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calculatedColumnFormula>
    </tableColumn>
    <tableColumn id="38" xr3:uid="{55D3F4B6-0C81-47B6-9C29-FD9110513E4F}" name="Change from last year for the highest sector(s)" dataDxfId="548" totalsRowDxfId="547">
      <calculatedColumnFormula array="1">IFERROR(IF(tblPiNAnalysis[[#This Row],[ID]]="", "", INDEX(tblPiNHistorical[[CCCM]:[WASH]], MATCH(tblPiNAnalysis[[#This Row],[ID]],tblPiNHistorical[ID], 0),MATCH(_xlfn._xlws.FILTER(tblPiNAnalysis[[#Headers],[CCCM]:[WASH]], tblPiNAnalysis[[#This Row],[Highest PiN]]=tblPiNAnalysis[[#This Row],[CCCM]:[WASH]]), tblPiNHistorical[[#Headers],[CCCM]:[WASH]], 0))), "")</calculatedColumnFormula>
    </tableColumn>
    <tableColumn id="28" xr3:uid="{1B12C2BF-8164-4E79-A2A3-3FD89A7D05A0}" name="Change from last year for the highest sector(s) has significantly increased or decreased" dataDxfId="546" totalsRowDxfId="545" dataCellStyle="Comma">
      <calculatedColumnFormula array="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calculatedColumnFormula>
    </tableColumn>
    <tableColumn id="39" xr3:uid="{95788CC6-87F0-4242-8F75-BB77F49FDEF1}" name="Change from last year for the 2nd highest sector(s)" dataDxfId="544" totalsRowDxfId="543" dataCellStyle="Comma">
      <calculatedColumnFormula array="1">IFERROR(IF(tblPiNAnalysis[[#This Row],[ID]]="", "", INDEX(tblPiNHistorical[[CCCM]:[WASH]], MATCH(tblPiNAnalysis[[#This Row],[ID]],tblPiNHistorical[ID], 0),MATCH(_xlfn._xlws.FILTER(tblPiNAnalysis[[#Headers],[CCCM]:[WASH]], tblPiNAnalysis[[#This Row],[2nd Highest PiN]]=tblPiNAnalysis[[#This Row],[CCCM]:[WASH]]), tblPiNHistorical[[#Headers],[CCCM]:[WASH]], 0))), "")</calculatedColumnFormula>
    </tableColumn>
    <tableColumn id="40" xr3:uid="{6E12C916-37E1-467C-ABE0-CED4F871E2EE}" name="Change from last year for the 2nd highest sector(s) has significantly increased or decreased" dataDxfId="542" totalsRowDxfId="541" dataCellStyle="Comma">
      <calculatedColumnFormula array="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calculatedColumnFormula>
    </tableColumn>
    <tableColumn id="46" xr3:uid="{853C4793-8062-4F33-8EAD-C16A7B220EFD}" name="Severity" dataDxfId="540" totalsRowDxfId="539" dataCellStyle="Comma" totalsRowCellStyle="Comma">
      <calculatedColumnFormula>INDEX(tblSeverityAnalysis[Severity indicated by sub-national level], MATCH(tblPiNAnalysis[[#This Row],[ID]],tblSeverityAnalysis[ID], 0))</calculatedColumnFormula>
    </tableColumn>
    <tableColumn id="56" xr3:uid="{CF7DC092-BFB4-4899-987D-F32FC1BAACB2}" name="Preliminary PiN" dataDxfId="538" totalsRowDxfId="537" dataCellStyle="Comma">
      <calculatedColumnFormula>IF(tblPiNAnalysis[[#This Row],[Severity]]&gt;2,tblPiNAnalysis[[#This Row],[Highest PiN]],)</calculatedColumnFormula>
    </tableColumn>
    <tableColumn id="53" xr3:uid="{7C03EE48-EEA9-4476-A6DD-4158C12C4F8E}" name="Manual Flag" dataDxfId="536" totalsRowDxfId="535"/>
    <tableColumn id="55" xr3:uid="{11CE3DCA-E095-40B8-A7E6-2E4D874070E9}" name="Explanation for Manual Flag" dataDxfId="534" totalsRowDxfId="533"/>
    <tableColumn id="43" xr3:uid="{CFE4F24F-8A37-42E8-9228-246259204EF1}" name="# Flags" dataDxfId="532" totalsRowDxfId="531" dataCellStyle="Comma">
      <calculatedColumnFormula>COUNTIFS(tblPiNAnalysis[[#This Row],[Number of missing / zero PiNs greater than threshold - Data quality]:[Manual Flag]],"Flagged")</calculatedColumnFormula>
    </tableColumn>
    <tableColumn id="37" xr3:uid="{2AC961A8-EBC6-4B58-950C-076CC926484C}" name="Flagged" dataDxfId="530" totalsRowDxfId="529">
      <calculatedColumnFormula>IF(tblPiNAnalysis[[#This Row],['# Flags]]&gt;0, "Flagged", "")</calculatedColumnFormula>
    </tableColumn>
    <tableColumn id="44" xr3:uid="{F0A6E442-5E92-474E-A531-A201AC702C5A}" name="Final PiN" dataDxfId="528" totalsRowDxfId="527">
      <calculatedColumnFormula>tblPiNAnalysis[[#This Row],[Preliminary PiN]]</calculatedColumnFormula>
    </tableColumn>
    <tableColumn id="5" xr3:uid="{CCDCA844-1C62-445A-A508-2D171AEA612C}" name="Evidence &amp; Comments" dataDxfId="526" totalsRowDxfId="52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C1647B-150E-40AD-9503-891B7534758B}" name="tblPiNAnalysis5" displayName="tblPiNAnalysis5" ref="A3:BL241" totalsRowCount="1" headerRowDxfId="524" dataDxfId="522" headerRowBorderDxfId="523" tableBorderDxfId="521" totalsRowBorderDxfId="520" headerRowCellStyle="Comma 2">
  <autoFilter ref="A3:BL240" xr:uid="{F5C1647B-150E-40AD-9503-891B7534758B}"/>
  <sortState xmlns:xlrd2="http://schemas.microsoft.com/office/spreadsheetml/2017/richdata2" ref="A4:BL7">
    <sortCondition ref="E3:E7"/>
  </sortState>
  <tableColumns count="64">
    <tableColumn id="1" xr3:uid="{05962745-1556-4CAD-90EE-62B56D7B1805}" name="ID" dataDxfId="519" totalsRowDxfId="518" dataCellStyle="Comma">
      <calculatedColumnFormula>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calculatedColumnFormula>
    </tableColumn>
    <tableColumn id="2" xr3:uid="{7C1E6D23-9DE2-4E34-878E-DAB1A1F959CC}" name="Admin 1" dataDxfId="517" totalsRowDxfId="516"/>
    <tableColumn id="15" xr3:uid="{260B4DA5-08F0-41F8-93ED-956E1E858B63}" name="Admin 1 P-Code" dataDxfId="515" totalsRowDxfId="514"/>
    <tableColumn id="14" xr3:uid="{CCD9C800-660F-4007-8A97-B74CA81CBEF8}" name="Admin 2" dataDxfId="513" totalsRowDxfId="512"/>
    <tableColumn id="3" xr3:uid="{E7357D1C-D7FF-4D81-A4D4-8EDD416DF924}" name="Admin 2 P-Code" dataDxfId="511" totalsRowDxfId="510"/>
    <tableColumn id="6" xr3:uid="{DFDE107A-9969-45DE-A507-E535423A732F}" name="Admin 3" dataDxfId="509" totalsRowDxfId="508"/>
    <tableColumn id="36" xr3:uid="{775F04D9-94A1-4B93-9396-2EB062535C8C}" name="Admin 3 P-Code" dataDxfId="507" totalsRowDxfId="506"/>
    <tableColumn id="42" xr3:uid="{C37DA4CB-BD18-4816-95F2-125F1F33D271}" name="Pocket of need" dataDxfId="505" totalsRowDxfId="504"/>
    <tableColumn id="4" xr3:uid="{C87B1DF3-5DC4-4C56-BED0-45CA680EDD90}" name="Affected population projection 2026" dataDxfId="503" totalsRowDxfId="502" dataCellStyle="Comma"/>
    <tableColumn id="29" xr3:uid="{386E1C16-05CE-44E5-90E9-ACAC22104791}" name="Population Group" dataDxfId="501" totalsRowDxfId="500" dataCellStyle="Comma"/>
    <tableColumn id="8" xr3:uid="{232D43F6-1D89-4A5E-8796-C9EAFFCF9BD5}" name="CCCM" totalsRowFunction="sum" dataDxfId="499" totalsRowDxfId="498" dataCellStyle="Comma [0]"/>
    <tableColumn id="31" xr3:uid="{591237DE-F64F-4885-B599-317AABB15EFF}" name="Education" totalsRowFunction="sum" dataDxfId="497" totalsRowDxfId="496" dataCellStyle="Comma"/>
    <tableColumn id="32" xr3:uid="{05FC01F1-5CC5-4720-B5DA-2AA30E981CA4}" name="Nutrition" totalsRowFunction="sum" dataDxfId="495" totalsRowDxfId="494" dataCellStyle="Comma"/>
    <tableColumn id="10" xr3:uid="{87776710-27BC-4EB6-84BF-138E25105787}" name="Food Security" totalsRowFunction="sum" dataDxfId="493" totalsRowDxfId="492" dataCellStyle="Comma"/>
    <tableColumn id="33" xr3:uid="{68E5E55E-859A-47ED-BDDB-7202530EF268}" name="Health" totalsRowFunction="sum" dataDxfId="491" totalsRowDxfId="490" dataCellStyle="Comma"/>
    <tableColumn id="11" xr3:uid="{86401122-1389-4AA9-AC5F-7476E4CFE1D8}" name="Overarching Protection" totalsRowFunction="sum" dataDxfId="489" totalsRowDxfId="488" dataCellStyle="Comma"/>
    <tableColumn id="9" xr3:uid="{48C4BED4-3F62-4D9B-A86E-9D0A39CBBE8E}" name="Shelter" totalsRowFunction="sum" dataDxfId="487" totalsRowDxfId="486" dataCellStyle="Comma"/>
    <tableColumn id="17" xr3:uid="{23800A06-6813-4628-A12C-7D74F9EFF1DB}" name="WASH" totalsRowFunction="sum" dataDxfId="485" totalsRowDxfId="484" dataCellStyle="Comma"/>
    <tableColumn id="66" xr3:uid="{8DFD72E0-7A6A-4FE1-8A75-CECE974F1531}" name="CP" totalsRowFunction="sum" dataDxfId="483" totalsRowDxfId="482" dataCellStyle="Comma"/>
    <tableColumn id="65" xr3:uid="{6CD31CE6-41A3-4D56-9DA5-CED5C6498AC0}" name="GBV" totalsRowFunction="sum" dataDxfId="481" totalsRowDxfId="480" dataCellStyle="Comma"/>
    <tableColumn id="64" xr3:uid="{40C3AF28-5F14-4816-B266-426DF4316178}" name="Mine Action" totalsRowFunction="sum" dataDxfId="479" totalsRowDxfId="478" dataCellStyle="Comma"/>
    <tableColumn id="63" xr3:uid="{E999B14C-D706-49BF-B3B3-D9AC18E1ACC7}" name="HLP" totalsRowFunction="sum" dataDxfId="477" totalsRowDxfId="476" dataCellStyle="Comma"/>
    <tableColumn id="13" xr3:uid="{70A2D2C3-5CAB-48C2-ABA3-A36377995FB7}" name="CCCM%" dataDxfId="475" totalsRowDxfId="474">
      <calculatedColumnFormula>IFERROR(IF(tblPiNAnalysis5[[#This Row],[CCCM]]="", "", MROUND(tblPiNAnalysis5[[#This Row],[CCCM]]/tblPiNAnalysis5[[#This Row],[Affected population projection 2026]], 0.05)), "")</calculatedColumnFormula>
    </tableColumn>
    <tableColumn id="16" xr3:uid="{3A5903E1-4FBB-4199-AF79-00A6FD4D8EF1}" name="Education%" dataDxfId="473" totalsRowDxfId="472">
      <calculatedColumnFormula>IFERROR(IF(tblPiNAnalysis5[[#This Row],[Education]]="", "", MROUND(tblPiNAnalysis5[[#This Row],[Education]]/tblPiNAnalysis5[[#This Row],[Affected population projection 2026]], 0.05)), "")</calculatedColumnFormula>
    </tableColumn>
    <tableColumn id="19" xr3:uid="{759F540D-B762-447B-A807-6F7F8CFF65B3}" name="Nutrition%" dataDxfId="471" totalsRowDxfId="470">
      <calculatedColumnFormula>IFERROR(IF(tblPiNAnalysis5[[#This Row],[Nutrition]]="", "", MROUND(tblPiNAnalysis5[[#This Row],[Nutrition]]/tblPiNAnalysis5[[#This Row],[Affected population projection 2026]], 0.05)), "")</calculatedColumnFormula>
    </tableColumn>
    <tableColumn id="41" xr3:uid="{651D541A-FA6F-48F0-AE7B-D4F395FE4ABA}" name="Food Security%" dataDxfId="469" totalsRowDxfId="468" dataCellStyle="Comma">
      <calculatedColumnFormula>IFERROR(IF(tblPiNAnalysis5[[#This Row],[Food Security]]="", "", MROUND(tblPiNAnalysis5[[#This Row],[Food Security]]/tblPiNAnalysis5[[#This Row],[Affected population projection 2026]], 0.05)), "")</calculatedColumnFormula>
    </tableColumn>
    <tableColumn id="18" xr3:uid="{836EB778-DA03-40DC-B35C-2DF0A1D4861E}" name="Health%" dataDxfId="467" totalsRowDxfId="466" dataCellStyle="Comma">
      <calculatedColumnFormula>IFERROR(IF(tblPiNAnalysis5[[#This Row],[Health]]="", "", MROUND(tblPiNAnalysis5[[#This Row],[Health]]/tblPiNAnalysis5[[#This Row],[Affected population projection 2026]], 0.05)), "")</calculatedColumnFormula>
    </tableColumn>
    <tableColumn id="30" xr3:uid="{B18C403C-9F27-4CA7-AFCC-BAEF50602B5E}" name="Overarching Protection%" dataDxfId="465" totalsRowDxfId="464">
      <calculatedColumnFormula>IFERROR(IF(tblPiNAnalysis5[[#This Row],[Overarching Protection]]="", "", MROUND(tblPiNAnalysis5[[#This Row],[Overarching Protection]]/tblPiNAnalysis5[[#This Row],[Affected population projection 2026]], 0.05)), "")</calculatedColumnFormula>
    </tableColumn>
    <tableColumn id="34" xr3:uid="{9CCD918F-C153-442C-B2C8-7C3F35B2C04B}" name="Shelter%" dataDxfId="463" totalsRowDxfId="462">
      <calculatedColumnFormula>IFERROR(IF(tblPiNAnalysis5[[#This Row],[Shelter]]="", "", MROUND(tblPiNAnalysis5[[#This Row],[Shelter]]/tblPiNAnalysis5[[#This Row],[Affected population projection 2026]], 0.05)), "")</calculatedColumnFormula>
    </tableColumn>
    <tableColumn id="35" xr3:uid="{6D9E3A06-AE3B-4828-B6F9-73388B38F981}" name="WASH%" dataDxfId="461" totalsRowDxfId="460">
      <calculatedColumnFormula>IFERROR(IF(tblPiNAnalysis5[[#This Row],[WASH]]="", "", MROUND(tblPiNAnalysis5[[#This Row],[WASH]]/tblPiNAnalysis5[[#This Row],[Affected population projection 2026]], 0.05)), "")</calculatedColumnFormula>
    </tableColumn>
    <tableColumn id="61" xr3:uid="{9724E38E-6349-4C0A-B13C-1A1B67D3D45E}" name="Child Protection (CP)%" dataDxfId="459" totalsRowDxfId="458" dataCellStyle="Comma">
      <calculatedColumnFormula>IFERROR(MROUND(tblPiNAnalysis5[[#This Row],[CP]]/tblPiNAnalysis5[[#This Row],[Affected population projection 2026]], 0.05), "")</calculatedColumnFormula>
    </tableColumn>
    <tableColumn id="62" xr3:uid="{A79E822A-CFE9-47B6-AAE9-5FC65A99EA8F}" name="Gender-based Violence (GBV)%" dataDxfId="457" totalsRowDxfId="456" dataCellStyle="Comma">
      <calculatedColumnFormula>IFERROR(MROUND(tblPiNAnalysis5[[#This Row],[GBV]]/tblPiNAnalysis5[[#This Row],[Affected population projection 2026]], 0.05), "")</calculatedColumnFormula>
    </tableColumn>
    <tableColumn id="48" xr3:uid="{776CCADF-D05A-4761-AB75-780092D2DEC6}" name="Mine Action%" dataDxfId="455" totalsRowDxfId="454" dataCellStyle="Comma">
      <calculatedColumnFormula>IFERROR(MROUND(tblPiNAnalysis5[[#This Row],[Mine Action]]/tblPiNAnalysis5[[#This Row],[Affected population projection 2026]], 0.05), "")</calculatedColumnFormula>
    </tableColumn>
    <tableColumn id="60" xr3:uid="{4DCB06D0-E208-4919-B96C-3D38A83FFB40}" name="HLP%" dataDxfId="453" totalsRowDxfId="452" dataCellStyle="Comma">
      <calculatedColumnFormula>IFERROR(MROUND(tblPiNAnalysis5[[#This Row],[HLP]]/tblPiNAnalysis5[[#This Row],[Affected population projection 2026]], 0.05), "")</calculatedColumnFormula>
    </tableColumn>
    <tableColumn id="12" xr3:uid="{48DFCF6E-3083-4F2D-B9BF-AF4732BB78A9}" name="Highest Target" dataDxfId="451" totalsRowDxfId="450">
      <calculatedColumnFormula>IFERROR(LARGE(tblPiNAnalysis5[[#This Row],[CCCM]:[WASH]], 1), "")</calculatedColumnFormula>
    </tableColumn>
    <tableColumn id="20" xr3:uid="{D332562E-8E06-472E-820E-9C9CB0E0F86F}" name="Highest sector(s)" dataDxfId="449" totalsRowDxfId="448">
      <calculatedColumnFormula array="1">IF(tblPiNAnalysis5[[#This Row],[Highest Target]]="", "", _xlfn.TEXTJOIN(CHAR(10), TRUE, IF(tblPiNAnalysis5[[#This Row],[Highest Target]]=tblPiNAnalysis5[[#This Row],[CCCM]:[WASH]], tblPiNAnalysis5[[#Headers],[CCCM]:[WASH]], "")))</calculatedColumnFormula>
    </tableColumn>
    <tableColumn id="27" xr3:uid="{6DDF3ED8-969A-437F-862B-2703EA5F65E1}" name="Highest sector(s') Target %" dataDxfId="447" totalsRowDxfId="446">
      <calculatedColumnFormula>IF(tblPiNAnalysis5[[#This Row],[Highest Target]]="", "", tblPiNAnalysis5[[#This Row],[Highest Target]]/tblPiNAnalysis5[[#This Row],[Affected population projection 2026]])</calculatedColumnFormula>
    </tableColumn>
    <tableColumn id="50" xr3:uid="{C1019E11-6C75-4A23-B86D-433B562B4806}" name="Number of missing / zero PiNs greater than threshold - Data quality" dataDxfId="445" totalsRowDxfId="444" dataCellStyle="Comma">
      <calculatedColumnFormula>IF(SUM(tblPiNAnalysis5[[#This Row],[CCCM]:[WASH]])=0, "",IF(COUNTIF(tblPiNAnalysis5[[#This Row],[CCCM]:[WASH]],"=0")+COUNTIF(tblPiNAnalysis5[[#This Row],[CCCM]:[WASH]],"")&gt;=zero_pin_thresh, "Flagged", ""))</calculatedColumnFormula>
    </tableColumn>
    <tableColumn id="45" xr3:uid="{9360EBDE-2325-4061-8B5A-D1DDDA72D47D}" name="Highest Target greater than 90% of total affected population" dataDxfId="443" totalsRowDxfId="442">
      <calculatedColumnFormula>IFERROR(IF(tblPiNAnalysis5[[#This Row],[Highest Target]]="", "", IF(tblPiNAnalysis5[[#This Row],[Highest sector(s'') Target %]]&gt;=flag_pin_perc, "Flagged", "")), "")</calculatedColumnFormula>
    </tableColumn>
    <tableColumn id="24" xr3:uid="{623675A8-0B7D-42C2-A718-425493D8ED33}" name="Highest sector targets sub-population group(s)" dataDxfId="441" totalsRowDxfId="440">
      <calculatedColumnFormula array="1">IF(tblPiNAnalysis5[[#This Row],[Highest Target]]=0, "",  IF(OR(COUNTIF(tblPiNAnalysis5[[#This Row],[Highest sector(s)]],tblSubSectorPopulation[Sector])), "Flagged", ""))</calculatedColumnFormula>
    </tableColumn>
    <tableColumn id="21" xr3:uid="{517E5666-C729-4342-92C2-B4929D8D85E0}" name="2nd Highest Target" dataDxfId="439" totalsRowDxfId="438" dataCellStyle="Comma">
      <calculatedColumnFormula array="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calculatedColumnFormula>
    </tableColumn>
    <tableColumn id="22" xr3:uid="{78891286-E579-4CA8-94FC-6BC4E2A2015C}" name="2nd Highest sector(s)" dataDxfId="437" totalsRowDxfId="436">
      <calculatedColumnFormula array="1">IF(tblPiNAnalysis5[[#This Row],[2nd Highest Target]]="", "", _xlfn.TEXTJOIN(CHAR(10), TRUE, IF(tblPiNAnalysis5[[#This Row],[2nd Highest Target]]=tblPiNAnalysis5[[#This Row],[CCCM]:[WASH]], tblPiNAnalysis5[[#Headers],[CCCM]:[WASH]], "")))</calculatedColumnFormula>
    </tableColumn>
    <tableColumn id="23" xr3:uid="{8198E779-2FAB-4CFF-994B-2CE61AB22766}" name="2nd Highest sector Target %" dataDxfId="435" totalsRowDxfId="434" dataCellStyle="Percent">
      <calculatedColumnFormula>IFERROR(tblPiNAnalysis5[[#This Row],[2nd Highest Target]]/tblPiNAnalysis5[[#This Row],[Affected population projection 2026]], "")</calculatedColumnFormula>
    </tableColumn>
    <tableColumn id="25" xr3:uid="{E5E2F046-C97D-418D-9E1F-D9A3EA541775}" name="Difference of Target between Highest and 2nd Highest" dataDxfId="433" totalsRowDxfId="432" dataCellStyle="Comma">
      <calculatedColumnFormula>IFERROR(tblPiNAnalysis5[[#This Row],[Highest Target]]-tblPiNAnalysis5[[#This Row],[2nd Highest Target]], "")</calculatedColumnFormula>
    </tableColumn>
    <tableColumn id="26" xr3:uid="{E39D6B20-BD0C-43F6-8B6D-49A8BF90533F}" name="% Difference between Highest and 2nd Highest" dataDxfId="431" totalsRowDxfId="430">
      <calculatedColumnFormula>IFERROR(((tblPiNAnalysis5[[#This Row],[Highest Target]]-tblPiNAnalysis5[[#This Row],[2nd Highest Target]])/tblPiNAnalysis5[[#This Row],[2nd Highest Target]]),"")</calculatedColumnFormula>
    </tableColumn>
    <tableColumn id="7" xr3:uid="{7A3E8D37-8DC3-40F2-8AD9-96B01E8F5A8E}" name="% difference is over a specified threshold between Highest and 2nd Highest" dataDxfId="429" totalsRowDxfId="428">
      <calculatedColumnFormula array="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calculatedColumnFormula>
    </tableColumn>
    <tableColumn id="49" xr3:uid="{C462F167-367A-4FFC-9CCD-7E7499AF523C}" name="3rd Highest Target" dataDxfId="427" totalsRowDxfId="426" dataCellStyle="Comma">
      <calculatedColumnFormula array="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calculatedColumnFormula>
    </tableColumn>
    <tableColumn id="51" xr3:uid="{EDE0E630-3EFB-45C5-BC6D-0C628A154C08}" name="3rd Highest sector(s)" dataDxfId="425" totalsRowDxfId="424">
      <calculatedColumnFormula array="1">IF(tblPiNAnalysis5[[#This Row],[3rd Highest Target]]="", "", _xlfn.TEXTJOIN(CHAR(10), TRUE, IF(tblPiNAnalysis5[[#This Row],[3rd Highest Target]]=tblPiNAnalysis5[[#This Row],[CCCM]:[WASH]], tblPiNAnalysis5[[#Headers],[CCCM]:[WASH]], "")))</calculatedColumnFormula>
    </tableColumn>
    <tableColumn id="52" xr3:uid="{E688534A-8D02-49A8-9B4F-B362FD1AFECA}" name="3rd Highest sector Target %" dataDxfId="423" totalsRowDxfId="422">
      <calculatedColumnFormula>IFERROR(tblPiNAnalysis5[[#This Row],[3rd Highest Target]]/tblPiNAnalysis5[[#This Row],[Affected population projection 2026]], "")</calculatedColumnFormula>
    </tableColumn>
    <tableColumn id="54" xr3:uid="{EC8AC788-8F81-4F63-AD9A-1729CFD98C9E}" name="Difference of Target between Highest and 3rd Highest" dataDxfId="421" totalsRowDxfId="420" dataCellStyle="Comma">
      <calculatedColumnFormula>IFERROR(tblPiNAnalysis5[[#This Row],[Highest Target]]-tblPiNAnalysis5[[#This Row],[3rd Highest Target]],"")</calculatedColumnFormula>
    </tableColumn>
    <tableColumn id="58" xr3:uid="{94B0415A-2A31-40B4-A683-7105A55CD671}" name="% Difference between Highest and 3rd Highest" dataDxfId="419" totalsRowDxfId="418">
      <calculatedColumnFormula>IFERROR(tblPiNAnalysis5[[#This Row],[Difference of Target between Highest and 3rd Highest]]/tblPiNAnalysis5[[#This Row],[3rd Highest Target]], "")</calculatedColumnFormula>
    </tableColumn>
    <tableColumn id="59" xr3:uid="{2D5435E5-3B11-46DE-A20B-EAF46B9A7A43}" name="% difference is over a specified threshold between Highest and 3rd Highest" dataDxfId="417" totalsRowDxfId="416">
      <calculatedColumnFormula array="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calculatedColumnFormula>
    </tableColumn>
    <tableColumn id="38" xr3:uid="{8C0CA50A-153F-4AEC-9DFF-D212766A5787}" name="Change from last year for the highest sector(s)" dataDxfId="415" totalsRowDxfId="414">
      <calculatedColumnFormula array="1">IFERROR(IF(tblPiNAnalysis5[[#This Row],[ID]]="", "", INDEX(tblPiNHistorical[[CCCM]:[WASH]], MATCH(tblPiNAnalysis5[[#This Row],[ID]],tblPiNHistorical[ID], 0),MATCH(_xlfn._xlws.FILTER(tblPiNAnalysis5[[#Headers],[CCCM]:[WASH]], tblPiNAnalysis5[[#This Row],[Highest Target]]=tblPiNAnalysis5[[#This Row],[CCCM]:[WASH]]), tblPiNHistorical[[#Headers],[CCCM]:[WASH]], 0))), "")</calculatedColumnFormula>
    </tableColumn>
    <tableColumn id="28" xr3:uid="{BBB70B29-9031-42FB-83F5-217ECB88DB58}" name="Change from last year for the highest sector(s) has significantly increased or decreased" dataDxfId="413" totalsRowDxfId="412" dataCellStyle="Comma">
      <calculatedColumnFormula array="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calculatedColumnFormula>
    </tableColumn>
    <tableColumn id="39" xr3:uid="{381A0371-148A-4147-A57E-32458C9B88BB}" name="Change from last year for the 2nd highest sector(s)" dataDxfId="411" totalsRowDxfId="410" dataCellStyle="Comma">
      <calculatedColumnFormula array="1">IFERROR(IF(tblPiNAnalysis5[[#This Row],[ID]]="", "", INDEX(tblPiNHistorical[[CCCM]:[WASH]], MATCH(tblPiNAnalysis5[[#This Row],[ID]],tblPiNHistorical[ID], 0),MATCH(_xlfn._xlws.FILTER(tblPiNAnalysis5[[#Headers],[CCCM]:[WASH]], tblPiNAnalysis5[[#This Row],[2nd Highest Target]]=tblPiNAnalysis5[[#This Row],[CCCM]:[WASH]]), tblPiNHistorical[[#Headers],[CCCM]:[WASH]], 0))), "")</calculatedColumnFormula>
    </tableColumn>
    <tableColumn id="40" xr3:uid="{062111C2-FAA8-4999-865F-7724C20C9468}" name="Change from last year for the 2nd highest sector(s) has significantly increased or decreased" dataDxfId="409" totalsRowDxfId="408" dataCellStyle="Comma">
      <calculatedColumnFormula array="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calculatedColumnFormula>
    </tableColumn>
    <tableColumn id="46" xr3:uid="{E236CBDF-F1AF-41E4-9A05-9DAEB9C9CA96}" name="Severity" dataDxfId="407" totalsRowDxfId="406" dataCellStyle="Comma">
      <calculatedColumnFormula>INDEX(tblSeverityAnalysis[Final Severity], MATCH(tblPiNAnalysis5[[#This Row],[ID]],tblSeverityAnalysis[ID], 0))</calculatedColumnFormula>
    </tableColumn>
    <tableColumn id="56" xr3:uid="{63ECB97D-237C-46CA-A374-4B32D7D6CC77}" name="Preliminary Target" dataDxfId="405" totalsRowDxfId="404" dataCellStyle="Comma">
      <calculatedColumnFormula>IF(tblPiNAnalysis5[[#This Row],[Severity]]&gt;2,tblPiNAnalysis5[[#This Row],[Highest Target]],)</calculatedColumnFormula>
    </tableColumn>
    <tableColumn id="53" xr3:uid="{14E9D17D-759D-485C-95B5-9B1E046E3D11}" name="Manual Flag" dataDxfId="403" totalsRowDxfId="402"/>
    <tableColumn id="55" xr3:uid="{72C33387-BA9B-4C8F-9C6E-05EBC293CF4D}" name="Explanation for Manual Flag" dataDxfId="401" totalsRowDxfId="400"/>
    <tableColumn id="43" xr3:uid="{A7F3E6BC-EE50-458B-815E-DFF382F77853}" name="# Flags" dataDxfId="399" totalsRowDxfId="398" dataCellStyle="Comma">
      <calculatedColumnFormula>COUNTIFS(tblPiNAnalysis5[[#This Row],[Number of missing / zero PiNs greater than threshold - Data quality]:[Manual Flag]],"Flagged")</calculatedColumnFormula>
    </tableColumn>
    <tableColumn id="37" xr3:uid="{1B29898C-D815-40B7-A191-BF66509F2DC9}" name="Flagged" dataDxfId="397" totalsRowDxfId="396">
      <calculatedColumnFormula>IF(tblPiNAnalysis5[[#This Row],['# Flags]]&gt;0, "Flagged", "")</calculatedColumnFormula>
    </tableColumn>
    <tableColumn id="44" xr3:uid="{FE677A75-1A8A-4EDB-920C-48F20F29078E}" name="Final Target" dataDxfId="395" totalsRowDxfId="394">
      <calculatedColumnFormula>tblPiNAnalysis5[[#This Row],[Preliminary Target]]</calculatedColumnFormula>
    </tableColumn>
    <tableColumn id="5" xr3:uid="{D25267E0-1584-4053-802B-0262C6EF7EE1}" name="Evidence &amp; Comments" dataDxfId="393" totalsRowDxfId="392"/>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CEFE98-2596-4642-9F7B-567BA73B2632}" name="tblPiNAnalysis512" displayName="tblPiNAnalysis512" ref="A3:BL241" totalsRowCount="1" headerRowDxfId="391" dataDxfId="389" headerRowBorderDxfId="390" tableBorderDxfId="388" totalsRowBorderDxfId="387" headerRowCellStyle="Comma 2">
  <autoFilter ref="A3:BL240" xr:uid="{EFCEFE98-2596-4642-9F7B-567BA73B2632}"/>
  <sortState xmlns:xlrd2="http://schemas.microsoft.com/office/spreadsheetml/2017/richdata2" ref="A4:BL7">
    <sortCondition ref="E3:E7"/>
  </sortState>
  <tableColumns count="64">
    <tableColumn id="1" xr3:uid="{C2298BE2-5781-4BDD-803B-C28FB9B4F2C1}" name="ID" dataDxfId="386" totalsRowDxfId="385" dataCellStyle="Comma">
      <calculatedColumnFormula>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calculatedColumnFormula>
    </tableColumn>
    <tableColumn id="2" xr3:uid="{02473D24-5B71-4AFE-B465-6573B42D26AC}" name="Admin 1" dataDxfId="384" totalsRowDxfId="383"/>
    <tableColumn id="15" xr3:uid="{92CE6BE0-0B86-4334-879F-EF2F6E8016DC}" name="Admin 1 P-Code" dataDxfId="382" totalsRowDxfId="381"/>
    <tableColumn id="14" xr3:uid="{B4D63A12-FE17-40E4-B13F-47F42B4EB7E5}" name="Admin 2" dataDxfId="380" totalsRowDxfId="379"/>
    <tableColumn id="3" xr3:uid="{72F68414-4E53-4BC0-BFC9-CEFA665C9951}" name="Admin 2 P-Code" dataDxfId="378" totalsRowDxfId="377"/>
    <tableColumn id="6" xr3:uid="{9687D038-E3B3-474E-9327-3B8A55129787}" name="Admin 3" dataDxfId="376" totalsRowDxfId="375"/>
    <tableColumn id="36" xr3:uid="{75D35BB5-3BF5-4BCB-997F-FD93D6A42E81}" name="Admin 3 P-Code" dataDxfId="374" totalsRowDxfId="373"/>
    <tableColumn id="42" xr3:uid="{9426ABDD-51EF-4641-A309-17E9572AC64D}" name="Pocket of need" dataDxfId="372" totalsRowDxfId="371"/>
    <tableColumn id="4" xr3:uid="{642B4130-C350-4F58-BE15-686249F84134}" name="Affected population projection 2026" dataDxfId="370" totalsRowDxfId="369" dataCellStyle="Comma"/>
    <tableColumn id="29" xr3:uid="{0957CE7B-6735-4357-BDD9-A654C0557B81}" name="Population Group" dataDxfId="368" totalsRowDxfId="367" dataCellStyle="Comma"/>
    <tableColumn id="8" xr3:uid="{4B6DE192-100F-40FF-BB61-6D96896AAAC8}" name="CCCM" totalsRowFunction="sum" dataDxfId="366" totalsRowDxfId="365" dataCellStyle="Comma [0]"/>
    <tableColumn id="31" xr3:uid="{DC1EC0AE-2A9B-4260-A88E-48B7B93CC042}" name="Education" totalsRowFunction="sum" dataDxfId="364" totalsRowDxfId="363" dataCellStyle="Comma"/>
    <tableColumn id="32" xr3:uid="{D9E47D5A-30B1-40DF-B6B8-CE260CBD09EA}" name="Nutrition" totalsRowFunction="sum" dataDxfId="362" totalsRowDxfId="361" dataCellStyle="Comma"/>
    <tableColumn id="10" xr3:uid="{AEC9129F-9336-45C7-A028-29AEC78933B3}" name="Food Security" totalsRowFunction="sum" dataDxfId="360" totalsRowDxfId="359" dataCellStyle="Comma"/>
    <tableColumn id="33" xr3:uid="{657848A4-367B-49AF-993A-1AC979E665F9}" name="Health" totalsRowFunction="sum" dataDxfId="358" totalsRowDxfId="357" dataCellStyle="Comma"/>
    <tableColumn id="11" xr3:uid="{C3BAEAAC-7002-4AF7-949B-6B1EF6FCE8C6}" name="Overarching Protection" totalsRowFunction="sum" dataDxfId="356" totalsRowDxfId="355" dataCellStyle="Comma"/>
    <tableColumn id="9" xr3:uid="{D966BA39-BFAB-4BB5-8DB9-6066EFFE1648}" name="Shelter" totalsRowFunction="sum" dataDxfId="354" totalsRowDxfId="353" dataCellStyle="Comma"/>
    <tableColumn id="17" xr3:uid="{BF48B247-60B1-48CB-932F-48ACDD85F0C0}" name="WASH" totalsRowFunction="sum" dataDxfId="352" totalsRowDxfId="351" dataCellStyle="Comma"/>
    <tableColumn id="66" xr3:uid="{4C942CD0-1555-4BFA-9D31-314A17E5A056}" name="CP" totalsRowFunction="sum" dataDxfId="350" totalsRowDxfId="349" dataCellStyle="Comma"/>
    <tableColumn id="65" xr3:uid="{9822E1D0-5999-4896-B954-3EE5ABDD005C}" name="GBV" totalsRowFunction="sum" dataDxfId="348" totalsRowDxfId="347" dataCellStyle="Comma"/>
    <tableColumn id="64" xr3:uid="{BF590106-C048-4261-9BE1-7FD565DAF499}" name="Mine Action" totalsRowFunction="sum" dataDxfId="346" totalsRowDxfId="345" dataCellStyle="Comma"/>
    <tableColumn id="63" xr3:uid="{63369F86-9A49-48D8-AC4C-702726C10602}" name="HLP" totalsRowFunction="sum" dataDxfId="344" totalsRowDxfId="343" dataCellStyle="Comma"/>
    <tableColumn id="13" xr3:uid="{4957C532-AE0F-4F3E-A1CB-C8CD5C70BEA8}" name="CCCM%" dataDxfId="342" totalsRowDxfId="341">
      <calculatedColumnFormula>IFERROR(IF(tblPiNAnalysis512[[#This Row],[CCCM]]="", "", MROUND(tblPiNAnalysis512[[#This Row],[CCCM]]/tblPiNAnalysis512[[#This Row],[Affected population projection 2026]], 0.05)), "")</calculatedColumnFormula>
    </tableColumn>
    <tableColumn id="16" xr3:uid="{D64284C3-432E-4A51-A999-6C33784D41B5}" name="Education%" dataDxfId="340" totalsRowDxfId="339">
      <calculatedColumnFormula>IFERROR(IF(tblPiNAnalysis512[[#This Row],[Education]]="", "", MROUND(tblPiNAnalysis512[[#This Row],[Education]]/tblPiNAnalysis512[[#This Row],[Affected population projection 2026]], 0.05)), "")</calculatedColumnFormula>
    </tableColumn>
    <tableColumn id="19" xr3:uid="{50B17A68-2DAA-4C7C-B745-C54E41AC9C4A}" name="Nutrition%" dataDxfId="338" totalsRowDxfId="337">
      <calculatedColumnFormula>IFERROR(IF(tblPiNAnalysis512[[#This Row],[Nutrition]]="", "", MROUND(tblPiNAnalysis512[[#This Row],[Nutrition]]/tblPiNAnalysis512[[#This Row],[Affected population projection 2026]], 0.05)), "")</calculatedColumnFormula>
    </tableColumn>
    <tableColumn id="41" xr3:uid="{0D67AB7E-3C91-4F65-84B8-E22C1EF88F4D}" name="Food Security%" dataDxfId="336" totalsRowDxfId="335" dataCellStyle="Comma">
      <calculatedColumnFormula>IFERROR(IF(tblPiNAnalysis512[[#This Row],[Food Security]]="", "", MROUND(tblPiNAnalysis512[[#This Row],[Food Security]]/tblPiNAnalysis512[[#This Row],[Affected population projection 2026]], 0.05)), "")</calculatedColumnFormula>
    </tableColumn>
    <tableColumn id="18" xr3:uid="{6DF1E90A-5A13-4D2A-8F93-A84C33A9FD35}" name="Health%" dataDxfId="334" totalsRowDxfId="333" dataCellStyle="Comma">
      <calculatedColumnFormula>IFERROR(IF(tblPiNAnalysis512[[#This Row],[Health]]="", "", MROUND(tblPiNAnalysis512[[#This Row],[Health]]/tblPiNAnalysis512[[#This Row],[Affected population projection 2026]], 0.05)), "")</calculatedColumnFormula>
    </tableColumn>
    <tableColumn id="30" xr3:uid="{0BAF4719-BFFA-4986-A52F-326CF395797A}" name="Overarching Protection%" dataDxfId="332" totalsRowDxfId="331">
      <calculatedColumnFormula>IFERROR(IF(tblPiNAnalysis512[[#This Row],[Overarching Protection]]="", "", MROUND(tblPiNAnalysis512[[#This Row],[Overarching Protection]]/tblPiNAnalysis512[[#This Row],[Affected population projection 2026]], 0.05)), "")</calculatedColumnFormula>
    </tableColumn>
    <tableColumn id="34" xr3:uid="{66A13E11-CA15-4382-ACEA-1ADD9CFC8B08}" name="Shelter%" dataDxfId="330" totalsRowDxfId="329">
      <calculatedColumnFormula>IFERROR(IF(tblPiNAnalysis512[[#This Row],[Shelter]]="", "", MROUND(tblPiNAnalysis512[[#This Row],[Shelter]]/tblPiNAnalysis512[[#This Row],[Affected population projection 2026]], 0.05)), "")</calculatedColumnFormula>
    </tableColumn>
    <tableColumn id="35" xr3:uid="{C4B8A940-3791-4F2D-A7D5-804F769313A1}" name="WASH%" dataDxfId="328" totalsRowDxfId="327">
      <calculatedColumnFormula>IFERROR(IF(tblPiNAnalysis512[[#This Row],[WASH]]="", "", MROUND(tblPiNAnalysis512[[#This Row],[WASH]]/tblPiNAnalysis512[[#This Row],[Affected population projection 2026]], 0.05)), "")</calculatedColumnFormula>
    </tableColumn>
    <tableColumn id="61" xr3:uid="{C653989B-26FB-4702-B086-B2BFFD6B938F}" name="Child Protection (CP)%" dataDxfId="326" totalsRowDxfId="325" dataCellStyle="Comma">
      <calculatedColumnFormula>IFERROR(MROUND(tblPiNAnalysis512[[#This Row],[CP]]/tblPiNAnalysis512[[#This Row],[Affected population projection 2026]], 0.05), "")</calculatedColumnFormula>
    </tableColumn>
    <tableColumn id="62" xr3:uid="{4F322CAA-AF4E-4B22-B133-E0588DC1972C}" name="Gender-based Violence (GBV)%" dataDxfId="324" totalsRowDxfId="323" dataCellStyle="Comma">
      <calculatedColumnFormula>IFERROR(MROUND(tblPiNAnalysis512[[#This Row],[GBV]]/tblPiNAnalysis512[[#This Row],[Affected population projection 2026]], 0.05), "")</calculatedColumnFormula>
    </tableColumn>
    <tableColumn id="48" xr3:uid="{1CAE9E54-6CD6-4DC6-8385-057E478873C7}" name="Mine Action%" dataDxfId="322" totalsRowDxfId="321" dataCellStyle="Comma">
      <calculatedColumnFormula>IFERROR(MROUND(tblPiNAnalysis512[[#This Row],[Mine Action]]/tblPiNAnalysis512[[#This Row],[Affected population projection 2026]], 0.05), "")</calculatedColumnFormula>
    </tableColumn>
    <tableColumn id="60" xr3:uid="{746294B7-AEC1-4F3A-9690-1274DF745CE9}" name="HLP%" dataDxfId="320" totalsRowDxfId="319" dataCellStyle="Comma">
      <calculatedColumnFormula>IFERROR(MROUND(tblPiNAnalysis512[[#This Row],[HLP]]/tblPiNAnalysis512[[#This Row],[Affected population projection 2026]], 0.05), "")</calculatedColumnFormula>
    </tableColumn>
    <tableColumn id="12" xr3:uid="{CB488282-EEE6-48BB-B3AD-D4AC255DF720}" name="Highest Target" dataDxfId="318" totalsRowDxfId="317">
      <calculatedColumnFormula>IFERROR(LARGE(tblPiNAnalysis512[[#This Row],[CCCM]:[WASH]], 1), "")</calculatedColumnFormula>
    </tableColumn>
    <tableColumn id="20" xr3:uid="{805ABEB3-A488-4184-A0DC-68E89E5EF57B}" name="Highest sector(s)" dataDxfId="316" totalsRowDxfId="315">
      <calculatedColumnFormula array="1">IF(tblPiNAnalysis512[[#This Row],[Highest Target]]="", "", _xlfn.TEXTJOIN(CHAR(10), TRUE, IF(tblPiNAnalysis512[[#This Row],[Highest Target]]=tblPiNAnalysis512[[#This Row],[CCCM]:[WASH]], tblPiNAnalysis512[[#Headers],[CCCM]:[WASH]], "")))</calculatedColumnFormula>
    </tableColumn>
    <tableColumn id="27" xr3:uid="{102C2494-A4F4-4EA1-989E-4D5DC6C117A9}" name="Highest sector(s') Target %" dataDxfId="314" totalsRowDxfId="313">
      <calculatedColumnFormula>IF(tblPiNAnalysis512[[#This Row],[Highest Target]]="", "", tblPiNAnalysis512[[#This Row],[Highest Target]]/tblPiNAnalysis512[[#This Row],[Affected population projection 2026]])</calculatedColumnFormula>
    </tableColumn>
    <tableColumn id="50" xr3:uid="{599ECA83-22A6-4552-9594-DA8C75766FD6}" name="Number of missing / zero PiNs greater than threshold - Data quality" dataDxfId="312" totalsRowDxfId="311" dataCellStyle="Comma">
      <calculatedColumnFormula>IF(SUM(tblPiNAnalysis512[[#This Row],[CCCM]:[WASH]])=0, "",IF(COUNTIF(tblPiNAnalysis512[[#This Row],[CCCM]:[WASH]],"=0")+COUNTIF(tblPiNAnalysis512[[#This Row],[CCCM]:[WASH]],"")&gt;=zero_pin_thresh, "Flagged", ""))</calculatedColumnFormula>
    </tableColumn>
    <tableColumn id="45" xr3:uid="{C64AD3B9-EFCB-4592-A6C7-2B5BEBA3AE4F}" name="Highest Target greater than 90% of total affected population" dataDxfId="310" totalsRowDxfId="309">
      <calculatedColumnFormula>IFERROR(IF(tblPiNAnalysis512[[#This Row],[Highest Target]]="", "", IF(tblPiNAnalysis512[[#This Row],[Highest sector(s'') Target %]]&gt;=flag_pin_perc, "Flagged", "")), "")</calculatedColumnFormula>
    </tableColumn>
    <tableColumn id="24" xr3:uid="{47262FEC-41A3-47A7-AB09-2BFF8A0F88F6}" name="Highest sector targets sub-population group(s)" dataDxfId="308" totalsRowDxfId="307">
      <calculatedColumnFormula array="1">IF(tblPiNAnalysis512[[#This Row],[Highest Target]]=0, "",  IF(OR(COUNTIF(tblPiNAnalysis512[[#This Row],[Highest sector(s)]],tblSubSectorPopulation[Sector])), "Flagged", ""))</calculatedColumnFormula>
    </tableColumn>
    <tableColumn id="21" xr3:uid="{0E12E765-A58C-4EA2-BB0D-23133FA9F33F}" name="2nd Highest Target" dataDxfId="306" totalsRowDxfId="305" dataCellStyle="Comma">
      <calculatedColumnFormula array="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calculatedColumnFormula>
    </tableColumn>
    <tableColumn id="22" xr3:uid="{93EBFD24-9E3C-4021-A7E4-FE9234502D4C}" name="2nd Highest sector(s)" dataDxfId="304" totalsRowDxfId="303">
      <calculatedColumnFormula array="1">IF(tblPiNAnalysis512[[#This Row],[2nd Highest Target]]="", "", _xlfn.TEXTJOIN(CHAR(10), TRUE, IF(tblPiNAnalysis512[[#This Row],[2nd Highest Target]]=tblPiNAnalysis512[[#This Row],[CCCM]:[WASH]], tblPiNAnalysis512[[#Headers],[CCCM]:[WASH]], "")))</calculatedColumnFormula>
    </tableColumn>
    <tableColumn id="23" xr3:uid="{B2BF95AF-B609-4F02-A9A4-0E44A86CE922}" name="2nd Highest sector Target %" dataDxfId="302" totalsRowDxfId="301" dataCellStyle="Percent">
      <calculatedColumnFormula>IFERROR(tblPiNAnalysis512[[#This Row],[2nd Highest Target]]/tblPiNAnalysis512[[#This Row],[Affected population projection 2026]], "")</calculatedColumnFormula>
    </tableColumn>
    <tableColumn id="25" xr3:uid="{68C3C9B8-AD34-4C80-BF3B-45CEF5131F9A}" name="Difference of Target between Highest and 2nd Highest" dataDxfId="300" totalsRowDxfId="299" dataCellStyle="Comma">
      <calculatedColumnFormula>IFERROR(tblPiNAnalysis512[[#This Row],[Highest Target]]-tblPiNAnalysis512[[#This Row],[2nd Highest Target]], "")</calculatedColumnFormula>
    </tableColumn>
    <tableColumn id="26" xr3:uid="{61B2927C-C5BE-48B3-9C4C-DADF339C0EE1}" name="% Difference between Highest and 2nd Highest" dataDxfId="298" totalsRowDxfId="297">
      <calculatedColumnFormula>IFERROR(((tblPiNAnalysis512[[#This Row],[Highest Target]]-tblPiNAnalysis512[[#This Row],[2nd Highest Target]])/tblPiNAnalysis512[[#This Row],[2nd Highest Target]]),"")</calculatedColumnFormula>
    </tableColumn>
    <tableColumn id="7" xr3:uid="{09FC6230-901E-45B4-9A6E-F5DACE923795}" name="% difference is over a specified threshold between Highest and 2nd Highest" dataDxfId="296" totalsRowDxfId="295">
      <calculatedColumnFormula array="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calculatedColumnFormula>
    </tableColumn>
    <tableColumn id="49" xr3:uid="{E1BC382B-477F-4946-AE37-22E2806BC473}" name="3rd Highest Target" dataDxfId="294" totalsRowDxfId="293" dataCellStyle="Comma">
      <calculatedColumnFormula array="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calculatedColumnFormula>
    </tableColumn>
    <tableColumn id="51" xr3:uid="{16F02C19-20D1-4D32-A0BD-541BAB0E9698}" name="3rd Highest sector(s)" dataDxfId="292" totalsRowDxfId="291">
      <calculatedColumnFormula array="1">IF(tblPiNAnalysis512[[#This Row],[3rd Highest Target]]="", "", _xlfn.TEXTJOIN(CHAR(10), TRUE, IF(tblPiNAnalysis512[[#This Row],[3rd Highest Target]]=tblPiNAnalysis512[[#This Row],[CCCM]:[WASH]], tblPiNAnalysis512[[#Headers],[CCCM]:[WASH]], "")))</calculatedColumnFormula>
    </tableColumn>
    <tableColumn id="52" xr3:uid="{1B763EB2-9677-43AD-9A52-B8AAD33E88D8}" name="3rd Highest sector Target %" dataDxfId="290" totalsRowDxfId="289">
      <calculatedColumnFormula>IFERROR(tblPiNAnalysis512[[#This Row],[3rd Highest Target]]/tblPiNAnalysis512[[#This Row],[Affected population projection 2026]], "")</calculatedColumnFormula>
    </tableColumn>
    <tableColumn id="54" xr3:uid="{D9F747D3-2D0D-42E1-954D-667CBF01D0A6}" name="Difference of Target between Highest and 3rd Highest" dataDxfId="288" totalsRowDxfId="287" dataCellStyle="Comma">
      <calculatedColumnFormula>IFERROR(tblPiNAnalysis512[[#This Row],[Highest Target]]-tblPiNAnalysis512[[#This Row],[3rd Highest Target]],"")</calculatedColumnFormula>
    </tableColumn>
    <tableColumn id="58" xr3:uid="{66F74710-75EF-435A-B707-D6CE3914FFF1}" name="% Difference between Highest and 3rd Highest" dataDxfId="286" totalsRowDxfId="285">
      <calculatedColumnFormula>IFERROR(tblPiNAnalysis512[[#This Row],[Difference of Target between Highest and 3rd Highest]]/tblPiNAnalysis512[[#This Row],[3rd Highest Target]], "")</calculatedColumnFormula>
    </tableColumn>
    <tableColumn id="59" xr3:uid="{B2B8E80B-183A-4068-9FC9-37850EE90580}" name="% difference is over a specified threshold between Highest and 3rd Highest" dataDxfId="284" totalsRowDxfId="283">
      <calculatedColumnFormula array="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calculatedColumnFormula>
    </tableColumn>
    <tableColumn id="38" xr3:uid="{4BDD8086-BBD5-45AB-91E9-6F006EB34B34}" name="Change from last year for the highest sector(s)" dataDxfId="282" totalsRowDxfId="281">
      <calculatedColumnFormula array="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calculatedColumnFormula>
    </tableColumn>
    <tableColumn id="28" xr3:uid="{B064FD23-6964-4281-91CE-0928E6134BEF}" name="Change from last year for the highest sector(s) has significantly increased or decreased" dataDxfId="280" totalsRowDxfId="279" dataCellStyle="Comma">
      <calculatedColumnFormula array="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calculatedColumnFormula>
    </tableColumn>
    <tableColumn id="39" xr3:uid="{0A4E78CA-BF31-4626-9B30-736188B0FBC2}" name="Change from last year for the 2nd highest sector(s)" dataDxfId="278" totalsRowDxfId="277" dataCellStyle="Comma">
      <calculatedColumnFormula array="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calculatedColumnFormula>
    </tableColumn>
    <tableColumn id="40" xr3:uid="{A50488CB-506C-4758-8C35-18D0B29A163A}" name="Change from last year for the 2nd highest sector(s) has significantly increased or decreased" dataDxfId="276" totalsRowDxfId="275" dataCellStyle="Comma">
      <calculatedColumnFormula array="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calculatedColumnFormula>
    </tableColumn>
    <tableColumn id="46" xr3:uid="{B7D2A68E-17D7-4051-B687-D3C9B1349D0E}" name="Severity" dataDxfId="274" totalsRowDxfId="273" dataCellStyle="Comma">
      <calculatedColumnFormula>INDEX(tblSeverityAnalysis[Final Severity], MATCH(tblPiNAnalysis512[[#This Row],[ID]],tblSeverityAnalysis[ID], 0))</calculatedColumnFormula>
    </tableColumn>
    <tableColumn id="56" xr3:uid="{AA800D39-D395-4ADC-A54F-85F708F1657D}" name="Preliminary Target" dataDxfId="272" totalsRowDxfId="271" dataCellStyle="Comma">
      <calculatedColumnFormula>IF(tblPiNAnalysis512[[#This Row],[Severity]]&gt;2,tblPiNAnalysis512[[#This Row],[Highest Target]],)</calculatedColumnFormula>
    </tableColumn>
    <tableColumn id="53" xr3:uid="{186F25CE-AFA3-444B-9C36-EED41E9DAEB5}" name="Manual Flag" dataDxfId="270" totalsRowDxfId="269"/>
    <tableColumn id="55" xr3:uid="{F8E6A026-147E-4018-B5BE-4BF4B461F9EF}" name="Explanation for Manual Flag" dataDxfId="268" totalsRowDxfId="267"/>
    <tableColumn id="43" xr3:uid="{DBEFCE0E-B4AB-4E85-84A3-49546838FEEE}" name="# Flags" dataDxfId="266" totalsRowDxfId="265" dataCellStyle="Comma">
      <calculatedColumnFormula>COUNTIFS(tblPiNAnalysis512[[#This Row],[Number of missing / zero PiNs greater than threshold - Data quality]:[Manual Flag]],"Flagged")</calculatedColumnFormula>
    </tableColumn>
    <tableColumn id="37" xr3:uid="{E07C8A87-8734-4C2A-94BE-D5EF6FB9B7C4}" name="Flagged" dataDxfId="264" totalsRowDxfId="263">
      <calculatedColumnFormula>IF(tblPiNAnalysis512[[#This Row],['# Flags]]&gt;0, "Flagged", "")</calculatedColumnFormula>
    </tableColumn>
    <tableColumn id="44" xr3:uid="{34D86DF1-361D-4CD0-A9E3-8E69380C18AB}" name="Final Target" dataDxfId="262" totalsRowDxfId="261">
      <calculatedColumnFormula>tblPiNAnalysis512[[#This Row],[Preliminary Target]]</calculatedColumnFormula>
    </tableColumn>
    <tableColumn id="5" xr3:uid="{AC7EDA3F-6430-4923-A7F1-2942971642E1}" name="Final Intersectoral  Priority ranking" dataDxfId="260" totalsRowDxfId="259"/>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25301-D0EB-4466-8610-593D4070A226}" name="tblPiNHistorical" displayName="tblPiNHistorical" ref="A3:AR241" totalsRowCount="1" headerRowDxfId="258" dataDxfId="256" headerRowBorderDxfId="257" tableBorderDxfId="255" totalsRowBorderDxfId="254" headerRowCellStyle="Comma 2">
  <autoFilter ref="A3:AR240" xr:uid="{62F25301-D0EB-4466-8610-593D4070A226}"/>
  <sortState xmlns:xlrd2="http://schemas.microsoft.com/office/spreadsheetml/2017/richdata2" ref="A5:AP7">
    <sortCondition ref="E3:E7"/>
  </sortState>
  <tableColumns count="44">
    <tableColumn id="1" xr3:uid="{EBEDD39D-0803-488F-B264-37F11E97AA0A}" name="ID" dataDxfId="253" totalsRowDxfId="252">
      <calculatedColumnFormula>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calculatedColumnFormula>
    </tableColumn>
    <tableColumn id="2" xr3:uid="{F6E6FC1E-F46B-4373-A498-70FBD8D55403}" name="Admin 1" dataDxfId="251" totalsRowDxfId="250"/>
    <tableColumn id="15" xr3:uid="{7205F2A9-2D90-4E82-AA2B-9E03B32722F5}" name="Admin 1 P-Code" dataDxfId="249" totalsRowDxfId="248"/>
    <tableColumn id="14" xr3:uid="{3C82ABBD-107D-4174-A0E8-A34A809196B4}" name="Admin 2" dataDxfId="247" totalsRowDxfId="246"/>
    <tableColumn id="3" xr3:uid="{7AADCFA6-7AD6-4673-AADF-84C1095146FD}" name="Admin 2 P-Code" dataDxfId="245" totalsRowDxfId="244"/>
    <tableColumn id="6" xr3:uid="{8D2BC654-2071-43F8-A743-AB5731DEB983}" name="Admin 3" dataDxfId="243" totalsRowDxfId="242"/>
    <tableColumn id="36" xr3:uid="{D116B196-FB88-4BE4-91D3-5A3B3E7AE184}" name="Admin 3 P-Code" dataDxfId="241" totalsRowDxfId="240"/>
    <tableColumn id="28" xr3:uid="{EC5D12CD-CC45-4DF0-957A-89A376453DAB}" name="Pocket of need" dataDxfId="239" totalsRowDxfId="238"/>
    <tableColumn id="4" xr3:uid="{0F1C3EBE-F260-40F3-9FBE-0D21DA819B8C}" name="Population" dataDxfId="237" totalsRowDxfId="236" dataCellStyle="Comma"/>
    <tableColumn id="29" xr3:uid="{88EA9ED2-9C4C-4000-80ED-6F73E1829DE6}" name="Population Group" dataDxfId="235" totalsRowDxfId="234" dataCellStyle="Comma"/>
    <tableColumn id="8" xr3:uid="{030C5973-1707-4485-A6B1-521E6912BBFE}" name="CCCM - old" totalsRowFunction="sum" dataDxfId="233" totalsRowDxfId="232" dataCellStyle="Comma"/>
    <tableColumn id="18" xr3:uid="{8E881CE5-2E7E-413E-A529-FC4AF564AF52}" name="Education - old" totalsRowFunction="sum" dataDxfId="231" totalsRowDxfId="230" dataCellStyle="Comma"/>
    <tableColumn id="10" xr3:uid="{8754FC3D-E4A5-41DD-BB52-C1AA3AF08FB5}" name="Nutrition - old" totalsRowFunction="sum" dataDxfId="229" totalsRowDxfId="228" dataCellStyle="Comma"/>
    <tableColumn id="31" xr3:uid="{769C8193-6632-41B7-B237-D48D3062C82B}" name="Food Security - old" totalsRowFunction="sum" dataDxfId="227" totalsRowDxfId="226" dataCellStyle="Comma"/>
    <tableColumn id="33" xr3:uid="{B3A5DF0D-28A2-477B-881E-23313A01BA60}" name="Health - old" totalsRowFunction="sum" dataDxfId="225" totalsRowDxfId="224" dataCellStyle="Comma"/>
    <tableColumn id="11" xr3:uid="{630EBA6D-F1E8-4DF6-8A23-E83979B0F803}" name="Overarching Protection - old" totalsRowFunction="sum" dataDxfId="223" totalsRowDxfId="222" dataCellStyle="Comma"/>
    <tableColumn id="9" xr3:uid="{5C7F0089-EFE8-4543-B000-7F9117FE0ABA}" name="Shelter - old" totalsRowFunction="sum" dataDxfId="221" totalsRowDxfId="220" dataCellStyle="Comma"/>
    <tableColumn id="17" xr3:uid="{BE065327-F485-4EA1-86E5-9B34975EB75D}" name="WASH - old" totalsRowFunction="sum" dataDxfId="219" totalsRowDxfId="218" dataCellStyle="Comma"/>
    <tableColumn id="13" xr3:uid="{4CC9CDCA-F7C8-4F2B-A54C-CC17517583F3}" name="CCCM - new" totalsRowFunction="sum" dataDxfId="217" totalsRowDxfId="216" dataCellStyle="Comma">
      <calculatedColumnFormula>tblPiNAnalysis[[#This Row],[CCCM]]</calculatedColumnFormula>
    </tableColumn>
    <tableColumn id="27" xr3:uid="{90CBBEA2-52CD-4938-A731-A3039A83AA27}" name="Education - new" totalsRowFunction="sum" dataDxfId="215" totalsRowDxfId="214" dataCellStyle="Comma">
      <calculatedColumnFormula>tblPiNAnalysis[[#This Row],[Education]]</calculatedColumnFormula>
    </tableColumn>
    <tableColumn id="39" xr3:uid="{79049057-4CB6-4344-B8AE-D043DE348509}" name="Nutrition - new" totalsRowFunction="sum" dataDxfId="213" totalsRowDxfId="212" dataCellStyle="Comma">
      <calculatedColumnFormula>tblPiNAnalysis[[#This Row],[Nutrition]]</calculatedColumnFormula>
    </tableColumn>
    <tableColumn id="16" xr3:uid="{AB91784D-784E-470B-9B6B-0C5C96DE7BC3}" name="Food Security - new" totalsRowFunction="sum" dataDxfId="211" totalsRowDxfId="210" dataCellStyle="Comma">
      <calculatedColumnFormula>tblPiNAnalysis[[#This Row],[Food Security]]</calculatedColumnFormula>
    </tableColumn>
    <tableColumn id="19" xr3:uid="{DF836EFA-4D5C-4A76-A230-CFE18E7635C8}" name="Health - new" totalsRowFunction="sum" dataDxfId="209" totalsRowDxfId="208" dataCellStyle="Comma">
      <calculatedColumnFormula>tblPiNAnalysis[[#This Row],[Health]]</calculatedColumnFormula>
    </tableColumn>
    <tableColumn id="30" xr3:uid="{4F573CA9-AAC4-4543-A2D5-BEAFABE4C540}" name="Overarching Protection - new" totalsRowFunction="sum" dataDxfId="207" totalsRowDxfId="206" dataCellStyle="Comma">
      <calculatedColumnFormula>tblPiNAnalysis[[#This Row],[Overarching Protection]]</calculatedColumnFormula>
    </tableColumn>
    <tableColumn id="34" xr3:uid="{4240201E-BD32-4261-B98A-8D0DA7648C58}" name="Shelter - new" totalsRowFunction="sum" dataDxfId="205" totalsRowDxfId="204" dataCellStyle="Comma">
      <calculatedColumnFormula>tblPiNAnalysis[[#This Row],[Shelter]]</calculatedColumnFormula>
    </tableColumn>
    <tableColumn id="35" xr3:uid="{2967BDE4-A11B-4005-A24B-D9CFBB6026D1}" name="WASH - new" totalsRowFunction="sum" dataDxfId="203" totalsRowDxfId="202" dataCellStyle="Comma">
      <calculatedColumnFormula>tblPiNAnalysis[[#This Row],[WASH]]</calculatedColumnFormula>
    </tableColumn>
    <tableColumn id="32" xr3:uid="{112BC0F4-3EB6-4905-B067-C9CFE2267560}" name="PiN Difference for CCCM" dataDxfId="201" totalsRowDxfId="200" dataCellStyle="Comma">
      <calculatedColumnFormula>IF(OR(tblPiNHistorical[[#This Row],[CCCM - old]]="", tblPiNHistorical[[#This Row],[CCCM - old]]=0, tblPiNHistorical[[#This Row],[CCCM - new]]="", tblPiNHistorical[[#This Row],[CCCM - new]]=0), "", tblPiNHistorical[[#This Row],[CCCM - new]]-tblPiNHistorical[[#This Row],[CCCM - old]])</calculatedColumnFormula>
    </tableColumn>
    <tableColumn id="25" xr3:uid="{794F3A76-2CF2-4DB6-B3A7-A8FBC4A039A4}" name="PiN Difference for Education" dataDxfId="199" totalsRowDxfId="198" dataCellStyle="Comma">
      <calculatedColumnFormula>IF(OR(tblPiNHistorical[[#This Row],[Education - old]]="", tblPiNHistorical[[#This Row],[Education - old]]=0, tblPiNHistorical[[#This Row],[Education - new]]="", tblPiNHistorical[[#This Row],[Education - new]]=0), "", tblPiNHistorical[[#This Row],[Education - new]]-tblPiNHistorical[[#This Row],[Education - old]])</calculatedColumnFormula>
    </tableColumn>
    <tableColumn id="23" xr3:uid="{208EA54B-C721-4CC7-8278-0241C2CF01E7}" name="PiN Difference for Nutrition" dataDxfId="197" totalsRowDxfId="196" dataCellStyle="Comma">
      <calculatedColumnFormula>IF(OR(tblPiNHistorical[[#This Row],[Nutrition - old]]="", tblPiNHistorical[[#This Row],[Nutrition - old]]=0, tblPiNHistorical[[#This Row],[Nutrition - new]]="", tblPiNHistorical[[#This Row],[Nutrition - new]]=0), "", tblPiNHistorical[[#This Row],[Nutrition - new]]-tblPiNHistorical[[#This Row],[Nutrition - old]])</calculatedColumnFormula>
    </tableColumn>
    <tableColumn id="21" xr3:uid="{40533A56-0681-449E-B1DB-61A403CAF744}" name="PiN Difference for Food Security" dataDxfId="195" totalsRowDxfId="194" dataCellStyle="Comma">
      <calculatedColumnFormula>IF(OR(tblPiNHistorical[[#This Row],[Food Security - old]]="", tblPiNHistorical[[#This Row],[Food Security - old]]=0, tblPiNHistorical[[#This Row],[Food Security - new]]="", tblPiNHistorical[[#This Row],[Food Security - new]]=0), "", tblPiNHistorical[[#This Row],[Food Security - new]]-tblPiNHistorical[[#This Row],[Food Security - old]])</calculatedColumnFormula>
    </tableColumn>
    <tableColumn id="38" xr3:uid="{0E421EF8-4E9C-4FDD-9078-6F037F6B5AAE}" name="PiN Difference for Health" dataDxfId="193" totalsRowDxfId="192" dataCellStyle="Comma">
      <calculatedColumnFormula>IF(OR(tblPiNHistorical[[#This Row],[Health - old]]="", tblPiNHistorical[[#This Row],[Health - old]]=0, tblPiNHistorical[[#This Row],[Health - new]]="", tblPiNHistorical[[#This Row],[Health - new]]=0), "", tblPiNHistorical[[#This Row],[Health - new]]-tblPiNHistorical[[#This Row],[Health - old]])</calculatedColumnFormula>
    </tableColumn>
    <tableColumn id="12" xr3:uid="{BE2332DE-8C64-4A96-BC08-85AC305264CB}" name="PiN Difference for Overarching Protection" dataDxfId="191" totalsRowDxfId="190" dataCellStyle="Comma">
      <calculatedColumnFormula>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calculatedColumnFormula>
    </tableColumn>
    <tableColumn id="40" xr3:uid="{3B8D8A64-8484-4AFE-BE65-0C2BCB9F7887}" name="PiN Difference for Shelter" dataDxfId="189" totalsRowDxfId="188" dataCellStyle="Comma">
      <calculatedColumnFormula>IF(OR(tblPiNHistorical[[#This Row],[Shelter - old]]="", tblPiNHistorical[[#This Row],[Shelter - old]]=0, tblPiNHistorical[[#This Row],[Shelter - new]]="", tblPiNHistorical[[#This Row],[Shelter - new]]=0), "", tblPiNHistorical[[#This Row],[Shelter - new]]-tblPiNHistorical[[#This Row],[Shelter - old]])</calculatedColumnFormula>
    </tableColumn>
    <tableColumn id="5" xr3:uid="{5E99E83B-21D7-4AB9-9389-9E3FBBB916EE}" name="PiN Difference for WASH" dataDxfId="187" totalsRowDxfId="186" dataCellStyle="Comma">
      <calculatedColumnFormula>IF(OR(tblPiNHistorical[[#This Row],[WASH - old]]="", tblPiNHistorical[[#This Row],[WASH - old]]=0, tblPiNHistorical[[#This Row],[WASH - new]]="", tblPiNHistorical[[#This Row],[WASH - new]]=0), "", tblPiNHistorical[[#This Row],[WASH - new]]-tblPiNHistorical[[#This Row],[WASH - old]])</calculatedColumnFormula>
    </tableColumn>
    <tableColumn id="37" xr3:uid="{7D7EBA8D-F540-446F-90A8-354EDCB9EA65}" name="CCCM" dataDxfId="185" totalsRowDxfId="184" dataCellStyle="Percent">
      <calculatedColumnFormula>IFERROR(ROUND((tblPiNHistorical[[#This Row],[CCCM - new]] - tblPiNHistorical[[#This Row],[CCCM - old]])/tblPiNHistorical[[#This Row],[CCCM - old]], 1), "")</calculatedColumnFormula>
    </tableColumn>
    <tableColumn id="26" xr3:uid="{10261328-1C0B-4D45-98A3-77FF935B86EE}" name="Education" dataDxfId="183" totalsRowDxfId="182" dataCellStyle="Percent">
      <calculatedColumnFormula>IFERROR(ROUND((tblPiNHistorical[[#This Row],[Education - new]]-tblPiNHistorical[[#This Row],[Education - old]])/tblPiNHistorical[[#This Row],[Education - old]], 1), "")</calculatedColumnFormula>
    </tableColumn>
    <tableColumn id="24" xr3:uid="{E1D42502-F0CC-4C4E-9DB3-2544989D2B90}" name="Nutrition" dataDxfId="181" totalsRowDxfId="180" dataCellStyle="Percent">
      <calculatedColumnFormula>IFERROR(ROUND((tblPiNHistorical[[#This Row],[Nutrition - new]]-tblPiNHistorical[[#This Row],[Nutrition - old]])/tblPiNHistorical[[#This Row],[Nutrition - old]], 1), "")</calculatedColumnFormula>
    </tableColumn>
    <tableColumn id="22" xr3:uid="{1B7E3635-614A-4EA6-B272-7391D69C00F2}" name="Food Security" dataDxfId="179" totalsRowDxfId="178" dataCellStyle="Percent">
      <calculatedColumnFormula>IFERROR(ROUND((tblPiNHistorical[[#This Row],[Food Security - new]]-tblPiNHistorical[[#This Row],[Food Security - old]])/tblPiNHistorical[[#This Row],[Food Security - old]], 1), "")</calculatedColumnFormula>
    </tableColumn>
    <tableColumn id="42" xr3:uid="{FC34482E-E387-497E-8003-2417B5E19C46}" name="Health" dataDxfId="177" totalsRowDxfId="176" dataCellStyle="Percent">
      <calculatedColumnFormula>IFERROR(ROUND((tblPiNHistorical[[#This Row],[Health - new]]-tblPiNHistorical[[#This Row],[Health - old]])/tblPiNHistorical[[#This Row],[Health - old]], 1), "")</calculatedColumnFormula>
    </tableColumn>
    <tableColumn id="20" xr3:uid="{65C345EC-E776-478C-8FB0-EA96406E6DCC}" name="Overarching Protection" dataDxfId="175" totalsRowDxfId="174" dataCellStyle="Percent">
      <calculatedColumnFormula>IFERROR(ROUND((tblPiNHistorical[[#This Row],[Overarching Protection - new]]-tblPiNHistorical[[#This Row],[Overarching Protection - old]])/tblPiNHistorical[[#This Row],[Overarching Protection - old]], 1), "")</calculatedColumnFormula>
    </tableColumn>
    <tableColumn id="41" xr3:uid="{0725D732-91AD-4A3F-9238-B3A1376580BF}" name="Shelter" dataDxfId="173" totalsRowDxfId="172" dataCellStyle="Percent">
      <calculatedColumnFormula>IFERROR(ROUND((tblPiNHistorical[[#This Row],[Shelter - new]]-tblPiNHistorical[[#This Row],[Shelter - old]])/tblPiNHistorical[[#This Row],[Shelter - old]], 1), "")</calculatedColumnFormula>
    </tableColumn>
    <tableColumn id="7" xr3:uid="{3CD32DEE-C0B2-4756-8061-4C4FC7A219E4}" name="WASH" dataDxfId="171" totalsRowDxfId="170">
      <calculatedColumnFormula>IFERROR(ROUND((tblPiNHistorical[[#This Row],[WASH - new]]-tblPiNHistorical[[#This Row],[WASH - old]])/tblPiNHistorical[[#This Row],[WASH - old]], 1), "")</calculatedColumnFormula>
    </tableColumn>
    <tableColumn id="43" xr3:uid="{C9EE3CE6-0ADF-48CB-B031-5FAE87F0DFFD}" name="Overall PIN Old" dataDxfId="169" totalsRowDxfId="168" dataCellStyle="Percent"/>
    <tableColumn id="44" xr3:uid="{A880B62B-12FD-49EA-AE2D-81ADC764B0C5}" name="Overall PIN New" dataDxfId="167" totalsRowDxfId="166" dataCellStyle="Percent"/>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C62CB9-79E0-497E-A079-06B621BAA7FA}" name="tblSeverityAnalysis" displayName="tblSeverityAnalysis" ref="A3:AW82" totalsRowShown="0" headerRowDxfId="165" dataDxfId="163" headerRowBorderDxfId="164" tableBorderDxfId="162" totalsRowBorderDxfId="161" headerRowCellStyle="Comma 2">
  <autoFilter ref="A3:AW82" xr:uid="{C1C62CB9-79E0-497E-A079-06B621BAA7FA}">
    <filterColumn colId="46">
      <filters>
        <filter val="5"/>
      </filters>
    </filterColumn>
  </autoFilter>
  <tableColumns count="49">
    <tableColumn id="7" xr3:uid="{12E8B687-B3A9-47AD-878D-880B213B4194}" name="ID" dataDxfId="160" dataCellStyle="Comma">
      <calculatedColumnFormula>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calculatedColumnFormula>
    </tableColumn>
    <tableColumn id="2" xr3:uid="{DE5C2973-C3F7-4CA7-A76B-64D8D90C3D11}" name="Admin 1" dataDxfId="159"/>
    <tableColumn id="15" xr3:uid="{B194334C-81FA-4EF2-9AE3-5E75730B9BF4}" name="Admin 1 P-Code" dataDxfId="158"/>
    <tableColumn id="14" xr3:uid="{3DF13833-849E-4712-95EC-D8335688FB50}" name="Admin 2" dataDxfId="157"/>
    <tableColumn id="3" xr3:uid="{D7B62F2F-A63B-44BE-AE4E-30223A2CCBFD}" name="Admin 2 P-Code" dataDxfId="156"/>
    <tableColumn id="36" xr3:uid="{AE0E4B39-6771-400C-BA34-196CDDB3E923}" name="Admin 3" dataDxfId="155"/>
    <tableColumn id="41" xr3:uid="{F32FC4B7-A02C-46B4-B978-07AA9DCF90D3}" name="Admin 3 P-Code" dataDxfId="154"/>
    <tableColumn id="26" xr3:uid="{40FF3AD1-DD26-46EA-B9BC-669716DCC145}" name="Pocket of need"/>
    <tableColumn id="4" xr3:uid="{A48A17EA-68C0-4A1F-9FBF-4FDCF8A3B119}" name="Affected population projection 2026" dataDxfId="153" dataCellStyle="Comma"/>
    <tableColumn id="29" xr3:uid="{F731F25E-5448-4170-BE76-BCA9E8A21DF1}" name="Population Group" dataDxfId="152" dataCellStyle="Comma"/>
    <tableColumn id="8" xr3:uid="{2EAA504B-FE48-494A-8CCF-FE05D7E55168}" name="CCCM" dataDxfId="151" dataCellStyle="Comma"/>
    <tableColumn id="10" xr3:uid="{8E2042EE-1CD5-45A3-A0F4-6E648C2C2C9A}" name="Education" dataDxfId="150" dataCellStyle="Comma"/>
    <tableColumn id="31" xr3:uid="{623EB35B-A873-438D-B4FC-568020B0E314}" name="Nutrition" dataDxfId="149" dataCellStyle="Comma"/>
    <tableColumn id="33" xr3:uid="{A3845C6F-B00A-4D3D-BCD9-7001DF7C2BF3}" name="Food Security" dataDxfId="148" dataCellStyle="Comma"/>
    <tableColumn id="16" xr3:uid="{CCC771BB-071E-462D-BAD3-7ECDFD8BA39C}" name="Health" dataDxfId="147" dataCellStyle="Comma"/>
    <tableColumn id="11" xr3:uid="{C2D74A6D-BDA9-499B-B531-C38E9D023E99}" name="Overarching Protection" dataDxfId="146" dataCellStyle="Comma"/>
    <tableColumn id="9" xr3:uid="{89554A4D-4796-4166-AEA8-75E4763F3CF9}" name="Shelter" dataDxfId="145" dataCellStyle="Comma"/>
    <tableColumn id="17" xr3:uid="{E84A9292-43B6-4C5B-94DA-076D49B68338}" name="WASH" dataDxfId="144" dataCellStyle="Comma"/>
    <tableColumn id="21" xr3:uid="{C48240FC-85EC-B548-BDBE-D7ECF22A8C33}" name="Child Protection (CP)" dataDxfId="143" dataCellStyle="Comma"/>
    <tableColumn id="23" xr3:uid="{BE6A09F9-4A73-E54A-BF31-9F855B209A36}" name="Gender-based Violence (GBV)" dataDxfId="142" dataCellStyle="Comma"/>
    <tableColumn id="25" xr3:uid="{C03DC446-1D83-844A-9E03-2E9406A823F3}" name="Mine Action" dataDxfId="141" dataCellStyle="Comma"/>
    <tableColumn id="22" xr3:uid="{4B787361-B788-4E4D-897A-486A99CAA304}" name="HLP" dataDxfId="140" dataCellStyle="Comma"/>
    <tableColumn id="32" xr3:uid="{A49C4B3C-7EE7-47B7-8956-A2E6603DB966}" name=" 1 " dataDxfId="139" dataCellStyle="Comma">
      <calculatedColumnFormula>IF(COUNTIF(tblSeverityAnalysis[[#This Row],[CCCM]:[WASH]], 1)=0, "", COUNTIF(tblSeverityAnalysis[[#This Row],[CCCM]:[WASH]], 1))</calculatedColumnFormula>
    </tableColumn>
    <tableColumn id="38" xr3:uid="{6D27F5BF-2269-470D-AB93-ECADB389B60C}" name=" 2 " dataDxfId="138" dataCellStyle="Comma">
      <calculatedColumnFormula>IF(COUNTIF(tblSeverityAnalysis[[#This Row],[CCCM]:[WASH]], 2)=0, "", COUNTIF(tblSeverityAnalysis[[#This Row],[CCCM]:[WASH]], 2))</calculatedColumnFormula>
    </tableColumn>
    <tableColumn id="39" xr3:uid="{1E74531A-C61A-413B-B1BC-92F41D56542F}" name=" 3 " dataDxfId="137" dataCellStyle="Comma">
      <calculatedColumnFormula>IF(COUNTIF(tblSeverityAnalysis[[#This Row],[CCCM]:[WASH]], 3)=0, "", COUNTIF(tblSeverityAnalysis[[#This Row],[CCCM]:[WASH]], 3))</calculatedColumnFormula>
    </tableColumn>
    <tableColumn id="45" xr3:uid="{18DBAD4C-1868-4113-B9B0-5C9A2BE963EB}" name=" 4 " dataDxfId="136" dataCellStyle="Comma">
      <calculatedColumnFormula>IF(COUNTIF(tblSeverityAnalysis[[#This Row],[CCCM]:[WASH]], 4)=0, "", COUNTIF(tblSeverityAnalysis[[#This Row],[CCCM]:[WASH]], 4))</calculatedColumnFormula>
    </tableColumn>
    <tableColumn id="50" xr3:uid="{32158D2A-FFD3-47A5-BAD2-0E76DE3E6ECB}" name="5" dataDxfId="135" dataCellStyle="Comma [0]">
      <calculatedColumnFormula>IF(COUNTIF(tblSeverityAnalysis[[#This Row],[CCCM]:[WASH]], 5)=0, "", COUNTIF(tblSeverityAnalysis[[#This Row],[CCCM]:[WASH]], 5))</calculatedColumnFormula>
    </tableColumn>
    <tableColumn id="56" xr3:uid="{BCD5170C-CF9D-4191-BCCB-28922DB24DAD}" name="Preliminary Intersectoral Severity based on overlap of sectoral deprivations" dataDxfId="134" dataCellStyle="Comma">
      <calculatedColumnFormula array="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calculatedColumnFormula>
    </tableColumn>
    <tableColumn id="30" xr3:uid="{898C226D-603A-4B03-8AB3-F1B1EC15F4D3}" name="Mortality" dataDxfId="133" dataCellStyle="Comma">
      <calculatedColumnFormula>IFERROR(IF(INDEX(tblSeverityReference[Death or Iminanet Risk of Death Severity],MATCH(tblSeverityAnalysis[[#This Row],[ID]], tblSeverityReference[ID], 0))= "", "",INDEX(tblSeverityReference[Death or Iminanet Risk of Death Severity],MATCH(tblSeverityAnalysis[[#This Row],[ID]], tblSeverityReference[ID], 0)) ), "")</calculatedColumnFormula>
    </tableColumn>
    <tableColumn id="35" xr3:uid="{52915851-B9BD-417C-9D89-D537647E1C1F}" name="Malnutrition" dataDxfId="132" dataCellStyle="Comma">
      <calculatedColumnFormula>IFERROR(IF(INDEX(tblSeverityReference[Malnutrition Severity],MATCH(tblSeverityAnalysis[[#This Row],[ID]], tblSeverityReference[ID], 0))= "", "",INDEX(tblSeverityReference[Malnutrition Severity],MATCH(tblSeverityAnalysis[[#This Row],[ID]], tblSeverityReference[ID], 0)) ), "")</calculatedColumnFormula>
    </tableColumn>
    <tableColumn id="34" xr3:uid="{BDB14026-41EC-4A9C-A4E8-BAA7D3A952B2}" name="Epidemics" dataDxfId="131" dataCellStyle="Comma">
      <calculatedColumnFormula>IFERROR(IF(INDEX(tblSeverityReference[Epidemic Severity],MATCH(tblSeverityAnalysis[[#This Row],[ID]], tblSeverityReference[ID], 0))= "", "",INDEX(tblSeverityReference[Epidemic Severity],MATCH(tblSeverityAnalysis[[#This Row],[ID]], tblSeverityReference[ID], 0)) ), "")</calculatedColumnFormula>
    </tableColumn>
    <tableColumn id="13" xr3:uid="{91890E29-2CD2-4CF5-965E-648927B4CD6E}" name="Livelihood Coping" dataDxfId="130" dataCellStyle="Comma">
      <calculatedColumnFormula>IFERROR(IF(INDEX(tblSeverityReference[Coping Strategy Severity],MATCH(tblSeverityAnalysis[[#This Row],[ID]], tblSeverityReference[ID], 0))= "", "",INDEX(tblSeverityReference[Coping Strategy Severity],MATCH(tblSeverityAnalysis[[#This Row],[ID]], tblSeverityReference[ID], 0)) ), "")</calculatedColumnFormula>
    </tableColumn>
    <tableColumn id="18" xr3:uid="{06E2A20B-4EBA-4551-95F0-A0BB49DFCB92}" name="HR/IHL Violation" dataDxfId="129"/>
    <tableColumn id="12" xr3:uid="{BDDA1786-6073-428A-A7AF-90CE142A8E41}" name="Average severity" dataDxfId="128" dataCellStyle="Comma">
      <calculatedColumnFormula>IFERROR(AVERAGE(tblSeverityAnalysis[[#This Row],[CCCM]:[WASH]]), "")</calculatedColumnFormula>
    </tableColumn>
    <tableColumn id="57" xr3:uid="{B4AA718F-F9E7-4A38-939F-5CF3AC13993E}" name="Highest Severity" dataDxfId="127" dataCellStyle="Comma">
      <calculatedColumnFormula>IF(SUM(tblSeverityAnalysis[[#This Row],[CCCM]:[WASH]])=0, "", MAX(tblSeverityAnalysis[[#This Row],[CCCM]:[WASH]]))</calculatedColumnFormula>
    </tableColumn>
    <tableColumn id="20" xr3:uid="{B0D41582-83E1-494A-B553-BD98ABC0A586}" name="Sectors with Highest Severity" dataDxfId="126">
      <calculatedColumnFormula array="1">IFERROR(IF(tblSeverityAnalysis[[#This Row],[Highest Severity]]="", "", _xlfn.TEXTJOIN(CHAR(10), TRUE, IF(tblSeverityAnalysis[[#This Row],[CCCM]:[WASH]]=tblSeverityAnalysis[[#This Row],[Highest Severity]], tblSeverityAnalysis[[#Headers],[CCCM]:[WASH]], ""), "")), "")</calculatedColumnFormula>
    </tableColumn>
    <tableColumn id="27" xr3:uid="{97CE0432-3503-4907-89A1-126532EAE14B}" name="2nd Highest Severity" dataDxfId="125" dataCellStyle="Comma">
      <calculatedColumnFormula array="1">IFERROR(MAX(_xlfn._xlws.FILTER(tblSeverityAnalysis[[#This Row],[CCCM]:[WASH]], tblSeverityAnalysis[[#This Row],[CCCM]:[WASH]]&lt;tblSeverityAnalysis[[#This Row],[Highest Severity]])), "")</calculatedColumnFormula>
    </tableColumn>
    <tableColumn id="24" xr3:uid="{7908F3B1-A685-4D7E-8B68-BDDAB612B082}" name="Sectors with 2nd Highest Severity" dataDxfId="124">
      <calculatedColumnFormula array="1">IFERROR(IF(tblSeverityAnalysis[[#This Row],[2nd Highest Severity]]="", "", _xlfn.TEXTJOIN(CHAR(10), TRUE, IF(tblSeverityAnalysis[[#This Row],[CCCM]:[WASH]]=tblSeverityAnalysis[[#This Row],[2nd Highest Severity]], tblSeverityAnalysis[[#Headers],[CCCM]:[WASH]], ""), "")), "")</calculatedColumnFormula>
    </tableColumn>
    <tableColumn id="1" xr3:uid="{E5324947-EF33-46C6-9A5F-4E4B0271CA4A}" name="1 sector in severity phase 5 [modify the threshold]" dataDxfId="123" dataCellStyle="Percent">
      <calculatedColumnFormula>IFERROR(IF(AND(tblSeverityAnalysis[[#This Row],[5]] &lt;&gt; "", tblSeverityAnalysis[[#This Row],[5]]&gt;=sectors_sev_5), "Flagged", ""), "")</calculatedColumnFormula>
    </tableColumn>
    <tableColumn id="6" xr3:uid="{04E92991-ACD3-46CA-BF57-66EC74948A62}" name="More than 4 Sectors in 4 or worse while Preliminary is 4 " dataDxfId="122" dataCellStyle="Percent">
      <calculatedColumnFormula>IFERROR(IF(AND(tblSeverityAnalysis[[#This Row],[Preliminary Intersectoral Severity based on overlap of sectoral deprivations]]=4, SUM(tblSeverityAnalysis[[#This Row],[ 4 ]:[5]])&gt;=sectors_sev_4), "Flagged", ""), "")</calculatedColumnFormula>
    </tableColumn>
    <tableColumn id="42" xr3:uid="{CF7F22EC-2B20-46A7-9ECE-38202C063A99}" name="2+ phase variation between preliminary severity and severity of any of the outcome indicators" dataDxfId="121" dataCellStyle="Percent">
      <calculatedColumnFormula array="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calculatedColumnFormula>
    </tableColumn>
    <tableColumn id="46" xr3:uid="{477EA2A8-3464-463B-B14F-E6C50EACD0C0}" name="1+ phase variation between preliminary severity and severity of at least two of the outcome indicators - in the same direction" dataDxfId="120" dataCellStyle="Percent">
      <calculatedColumnFormula>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calculatedColumnFormula>
    </tableColumn>
    <tableColumn id="52" xr3:uid="{F4C98AEA-A2B9-4138-8DCA-1D09D65131D5}" name="Manual Flag" dataDxfId="119" dataCellStyle="Percent"/>
    <tableColumn id="19" xr3:uid="{39A8E2D8-7EAA-4F67-B221-8BADB133E700}" name="Severity indicated by sub-national level" dataDxfId="118"/>
    <tableColumn id="54" xr3:uid="{8AF44857-9B03-4E29-90F4-7BAB96595ABB}" name="Explanation for Manual Flag" dataDxfId="117" dataCellStyle="Percent"/>
    <tableColumn id="43" xr3:uid="{3627B379-5857-4DE8-97E3-98B77B9F16ED}" name="# Flags" dataDxfId="116" dataCellStyle="Percent">
      <calculatedColumnFormula>COUNTIF(tblSeverityAnalysis[[#This Row],[1 sector in severity phase 5 '[modify the threshold']]:[Manual Flag]], "Flagged")</calculatedColumnFormula>
    </tableColumn>
    <tableColumn id="44" xr3:uid="{03F94C7E-8EDA-4018-9837-589E65ECA95C}" name="Final Severity" dataDxfId="115">
      <calculatedColumnFormula>tblSeverityAnalysis[[#This Row],[Preliminary Intersectoral Severity based on overlap of sectoral deprivations]]</calculatedColumnFormula>
    </tableColumn>
    <tableColumn id="5" xr3:uid="{8C5B51FE-2FF3-4432-A4F9-72475869B3BB}" name="Evidence &amp; Comments" dataDxfId="114"/>
    <tableColumn id="28" xr3:uid="{C37B340F-BF60-448E-BA21-385C7DAA2081}" name="Final Intersectoral  Priority ranking" dataDxfId="113"/>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BF5B1A-B6A1-484D-BF81-A5488E04A560}" name="tblSeverityReference" displayName="tblSeverityReference" ref="A3:AA82" totalsRowShown="0" headerRowDxfId="112" dataDxfId="110" headerRowBorderDxfId="111" tableBorderDxfId="109" totalsRowBorderDxfId="108" headerRowCellStyle="Comma 2">
  <autoFilter ref="A3:AA82" xr:uid="{85BF5B1A-B6A1-484D-BF81-A5488E04A560}"/>
  <sortState xmlns:xlrd2="http://schemas.microsoft.com/office/spreadsheetml/2017/richdata2" ref="A4:AA6">
    <sortCondition ref="B4:B6"/>
    <sortCondition ref="D4:D6"/>
  </sortState>
  <tableColumns count="27">
    <tableColumn id="1" xr3:uid="{24C66158-02F3-400E-BC52-87559454F3BD}" name="ID" dataDxfId="107" dataCellStyle="Comma">
      <calculatedColumnFormula>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calculatedColumnFormula>
    </tableColumn>
    <tableColumn id="2" xr3:uid="{5DC6AC69-6C07-4315-BBEA-5918E5448609}" name="Admin 1" dataDxfId="106"/>
    <tableColumn id="15" xr3:uid="{4EA63701-0CB2-4A55-8370-61E80E5899C0}" name="Admin 1 P-Code" dataDxfId="105"/>
    <tableColumn id="14" xr3:uid="{885AD3D6-0994-4B7D-AE97-97E6A7FE1CDF}" name="Admin 2" dataDxfId="104"/>
    <tableColumn id="3" xr3:uid="{42D64701-C39F-4754-8AE0-045A3E355FD5}" name="Admin 2 P-Code" dataDxfId="103"/>
    <tableColumn id="6" xr3:uid="{BAEC7335-E660-40A9-8E82-00CFB139FF39}" name="Admin 3" dataDxfId="102"/>
    <tableColumn id="36" xr3:uid="{1758CEF1-5355-4EFB-AE03-CB8C83E5918C}" name="Admin 3 P-Code" dataDxfId="101"/>
    <tableColumn id="13" xr3:uid="{176175E1-49AF-44DF-A63F-3E97F7FB788C}" name="Pocket of need" dataDxfId="100"/>
    <tableColumn id="4" xr3:uid="{02B5914B-C0BE-4235-BF9C-915E2B509B37}" name="Affected population projection 2026" dataDxfId="99" dataCellStyle="Comma"/>
    <tableColumn id="29" xr3:uid="{FB41FEF7-F374-4CF1-A22B-AD36EB766BE2}" name="Population Group" dataDxfId="98" dataCellStyle="Comma"/>
    <tableColumn id="45" xr3:uid="{557BE843-F5AF-4BDC-ACF8-03C6F968B99F}" name="CDR x/10,000/day" dataDxfId="97" dataCellStyle="Comma"/>
    <tableColumn id="7" xr3:uid="{5F9388E3-72A2-4AA4-A2B3-30F1F64F1CE8}" name="Under 5 Death Rate" dataDxfId="96" dataCellStyle="Comma"/>
    <tableColumn id="5" xr3:uid="{7DEA85F9-5885-491C-88E2-890AAB2E80E7}" name="Civilian Casualty" dataDxfId="95" dataCellStyle="Comma"/>
    <tableColumn id="8" xr3:uid="{E32D3781-4602-4E73-95EB-DA2705ACBF62}" name="Death or Iminanet Risk of Death Severity" dataDxfId="94" dataCellStyle="Comma">
      <calculatedColumnFormula array="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calculatedColumnFormula>
    </tableColumn>
    <tableColumn id="31" xr3:uid="{23922B33-0085-45F2-BB44-B33A144B1C54}" name="WHZ" dataDxfId="93" dataCellStyle="Percent"/>
    <tableColumn id="12" xr3:uid="{C6C12292-1F2C-403A-9912-DB64FC439D74}" name="MUAC" dataDxfId="92" dataCellStyle="Percent"/>
    <tableColumn id="33" xr3:uid="{7203C1C9-945E-4F25-B27B-179E5D0F90BD}" name="Malnutrition Severity" dataDxfId="91" dataCellStyle="Comma">
      <calculatedColumnFormula array="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calculatedColumnFormula>
    </tableColumn>
    <tableColumn id="18" xr3:uid="{D0C4B065-CC30-4233-B8B6-C90883EA4916}" name="Epidemic 1" dataDxfId="90" dataCellStyle="Percent"/>
    <tableColumn id="9" xr3:uid="{9F9DE9AB-5588-48E7-BA26-4FB6BCD4482A}" name="Epidemic 2" dataDxfId="89" dataCellStyle="Percent"/>
    <tableColumn id="10" xr3:uid="{83B53DC6-75D9-431D-B235-F3E11C44957B}" name="Epidemic Severity" dataDxfId="88" dataCellStyle="Comma"/>
    <tableColumn id="11" xr3:uid="{44BC475A-D95D-4D15-923C-DA24B4FA24BC}" name="HR/IHL Violation" dataDxfId="87"/>
    <tableColumn id="17" xr3:uid="{BCE88250-BB8E-4C8A-9C03-E7022A09521F}" name="Coping Strategy (Minimal)" dataDxfId="86"/>
    <tableColumn id="46" xr3:uid="{373BD611-D9B0-4066-AB33-A7859A6D501D}" name="Coping Strategy (Stress)" dataDxfId="85"/>
    <tableColumn id="47" xr3:uid="{05DFD7E1-7704-4386-A5E9-816CD3B72724}" name="Coping Strategy (Severe)" dataDxfId="84"/>
    <tableColumn id="48" xr3:uid="{9C31F5FC-D186-4677-A497-48B112788A30}" name="Coping Strategy (Extreme)" dataDxfId="83"/>
    <tableColumn id="49" xr3:uid="{25DA146F-5FA1-4712-894A-54C6A8219859}" name="Coping Strategy (Catastrophic)" dataDxfId="82"/>
    <tableColumn id="50" xr3:uid="{E1913089-62D2-4264-96D2-08B70EFDBB72}" name="Coping Strategy Severity" dataDxfId="81" dataCellStyle="Comma">
      <calculatedColumnFormula array="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calculatedColumnFormula>
    </tableColumn>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31408A-BC13-4DC4-B50E-E2EE2F83BB1A}" name="tblPiNAnalysis56" displayName="tblPiNAnalysis56" ref="A3:W240" totalsRowShown="0" headerRowDxfId="80" dataDxfId="78" headerRowBorderDxfId="79" tableBorderDxfId="77" totalsRowBorderDxfId="76" headerRowCellStyle="Comma 2">
  <autoFilter ref="A3:W240" xr:uid="{CB31408A-BC13-4DC4-B50E-E2EE2F83BB1A}"/>
  <sortState xmlns:xlrd2="http://schemas.microsoft.com/office/spreadsheetml/2017/richdata2" ref="A4:V7">
    <sortCondition ref="E3:E7"/>
  </sortState>
  <tableColumns count="23">
    <tableColumn id="1" xr3:uid="{EF1E36ED-2E95-4E2C-A807-9B26BE2A66AE}" name="ID" dataDxfId="75" dataCellStyle="Comma">
      <calculatedColumnFormula>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calculatedColumnFormula>
    </tableColumn>
    <tableColumn id="2" xr3:uid="{8539A2DE-40CF-41EB-B3E1-698553309A51}" name="Admin 1" dataDxfId="74"/>
    <tableColumn id="15" xr3:uid="{46D0425F-E131-44E6-8653-F30956209DD2}" name="Admin 1 P-Code" dataDxfId="73"/>
    <tableColumn id="14" xr3:uid="{0D99680C-360C-411A-B571-FB6A65F1E099}" name="Admin 2" dataDxfId="72"/>
    <tableColumn id="3" xr3:uid="{8E4FDAD8-ABF6-43A9-9D35-1A2A12737FE1}" name="Admin 2 P-Code" dataDxfId="71"/>
    <tableColumn id="6" xr3:uid="{037E0F23-7496-44C1-AF7E-B4EA089506AD}" name="Admin 3" dataDxfId="70"/>
    <tableColumn id="36" xr3:uid="{419B9802-C102-4214-A896-A157FC91BF86}" name="Admin 3 P-Code" dataDxfId="69"/>
    <tableColumn id="42" xr3:uid="{301FD838-17E3-4FCD-937C-6AE3B1C57E50}" name="Pocket of need" dataDxfId="68"/>
    <tableColumn id="4" xr3:uid="{441A5539-38B9-4C44-81F8-A4CFAE0F4D40}" name="Affected population projection 2026" dataDxfId="67" dataCellStyle="Comma"/>
    <tableColumn id="29" xr3:uid="{C93D2E61-E727-4693-A3C9-6A66EBCCDCB9}" name="Population Group" dataDxfId="66" dataCellStyle="Comma"/>
    <tableColumn id="8" xr3:uid="{21781F0A-7AB7-4903-8D4D-CD53C3AE2DD4}" name="CCCM" dataDxfId="65" dataCellStyle="Comma [0]"/>
    <tableColumn id="31" xr3:uid="{BBCEC45C-4AA4-499C-B917-3F849C4B468D}" name="Education" dataDxfId="64" dataCellStyle="Comma"/>
    <tableColumn id="32" xr3:uid="{25A9971B-9E3E-49F5-85EF-26CFE74A7D26}" name="Nutrition" dataDxfId="63" dataCellStyle="Comma"/>
    <tableColumn id="10" xr3:uid="{94EB4C61-B709-4B32-B840-C787A8C0A976}" name="Food Security" dataDxfId="62" dataCellStyle="Comma"/>
    <tableColumn id="33" xr3:uid="{974CBF82-2305-4D25-A8D4-94C5C64C472D}" name="Health" dataDxfId="61" dataCellStyle="Comma"/>
    <tableColumn id="11" xr3:uid="{6B9C4C36-A178-4739-B847-C16249D2A4CB}" name="Overarching Protection" dataDxfId="60" dataCellStyle="Comma"/>
    <tableColumn id="9" xr3:uid="{8B508691-B6E9-4C26-BC88-11681D5DF6C1}" name="Shelter" dataDxfId="59" dataCellStyle="Comma"/>
    <tableColumn id="17" xr3:uid="{FC925296-0DAC-4EBF-805D-AADA967166A0}" name="WASH" dataDxfId="58" dataCellStyle="Comma"/>
    <tableColumn id="66" xr3:uid="{59CFF60A-846F-4FAA-8F14-9BD343493349}" name="CP" dataDxfId="57" dataCellStyle="Comma"/>
    <tableColumn id="65" xr3:uid="{F45A8D35-CBA9-42EB-8983-D647F5E5225C}" name="GBV" dataDxfId="56" dataCellStyle="Comma"/>
    <tableColumn id="64" xr3:uid="{2B91941A-12BA-41F5-B7CF-67379DEC3FB9}" name="Mine Action" dataDxfId="55" dataCellStyle="Comma"/>
    <tableColumn id="63" xr3:uid="{B8AC8A6F-1F54-4D84-903D-D3CB9849F5CF}" name="HLP" dataDxfId="54" dataCellStyle="Comma"/>
    <tableColumn id="5" xr3:uid="{ED93B9A7-1512-4201-821B-56E5F7251EDA}" name="Total requirements" dataDxfId="53" dataCellStyle="Comma">
      <calculatedColumnFormula>SUM(tblPiNAnalysis56[[#This Row],[CCCM]:[WASH]])</calculatedColumnFormula>
    </tableColumn>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7992737-4D06-43B0-82A4-F8D088763864}" name="tblPiNAnalysis5613" displayName="tblPiNAnalysis5613" ref="A3:X240" totalsRowShown="0" headerRowDxfId="52" dataDxfId="50" headerRowBorderDxfId="51" tableBorderDxfId="49" totalsRowBorderDxfId="48" headerRowCellStyle="Comma 2">
  <autoFilter ref="A3:X240" xr:uid="{B7992737-4D06-43B0-82A4-F8D088763864}"/>
  <sortState xmlns:xlrd2="http://schemas.microsoft.com/office/spreadsheetml/2017/richdata2" ref="A4:V7">
    <sortCondition ref="E3:E7"/>
  </sortState>
  <tableColumns count="24">
    <tableColumn id="1" xr3:uid="{D89FDABA-CCE4-49A8-A73F-51C106E21E4D}" name="ID" dataDxfId="47" dataCellStyle="Comma">
      <calculatedColumnFormula>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calculatedColumnFormula>
    </tableColumn>
    <tableColumn id="2" xr3:uid="{EAE2B08A-A03F-4EB1-944A-E7CA5A3E82E5}" name="Admin 1" dataDxfId="46"/>
    <tableColumn id="15" xr3:uid="{31554E0E-5C6E-4E03-8EBA-5725FEBB5070}" name="Admin 1 P-Code" dataDxfId="45"/>
    <tableColumn id="14" xr3:uid="{43621A0E-5E7D-4FFE-9F0F-AECC06C9A3DC}" name="Admin 2" dataDxfId="44"/>
    <tableColumn id="3" xr3:uid="{CD634170-D270-44CC-8F4B-89B272133F7F}" name="Admin 2 P-Code" dataDxfId="43"/>
    <tableColumn id="6" xr3:uid="{DF0747B1-F40A-4192-805E-E3C301B845E4}" name="Admin 3" dataDxfId="42"/>
    <tableColumn id="36" xr3:uid="{BB8F37DA-2EB9-4520-9A02-D770622D64DC}" name="Admin 3 P-Code" dataDxfId="41"/>
    <tableColumn id="42" xr3:uid="{99368FA3-34EE-489D-B6C5-09894622BF69}" name="Pocket of need" dataDxfId="40"/>
    <tableColumn id="4" xr3:uid="{E641DD93-BFE3-4813-B5D8-C30E26661B17}" name="Affected population projection 2026" dataDxfId="39" dataCellStyle="Comma"/>
    <tableColumn id="29" xr3:uid="{874DBC9D-9EF1-4C4A-9D9C-739E5456DA31}" name="Population Group" dataDxfId="38" dataCellStyle="Comma"/>
    <tableColumn id="8" xr3:uid="{95C85BA5-33A0-476B-9152-09EB1DC55752}" name="CCCM" dataDxfId="37" dataCellStyle="Comma [0]"/>
    <tableColumn id="31" xr3:uid="{09BC44AC-6DEA-4FBE-A9B6-215E2838932C}" name="Education" dataDxfId="36" dataCellStyle="Comma"/>
    <tableColumn id="32" xr3:uid="{7AF06FFC-39B0-4C4A-8A92-0DE6F26155DD}" name="Nutrition" dataDxfId="35" dataCellStyle="Comma"/>
    <tableColumn id="10" xr3:uid="{4FDD199C-E416-4410-90B8-C7C9B2399C0E}" name="Food Security" dataDxfId="34" dataCellStyle="Comma"/>
    <tableColumn id="33" xr3:uid="{9DD2E5CE-ED73-4FBD-BB9A-BE13D80E87E1}" name="Health" dataDxfId="33" dataCellStyle="Comma"/>
    <tableColumn id="11" xr3:uid="{910EBAC5-B664-4CD0-8681-8F6A2E5D8CD7}" name="Overarching Protection" dataDxfId="32" dataCellStyle="Comma"/>
    <tableColumn id="9" xr3:uid="{41E9CD3E-EC59-4167-92D5-D8DFA32AE0A5}" name="Shelter" dataDxfId="31" dataCellStyle="Comma"/>
    <tableColumn id="17" xr3:uid="{2B2F326C-55B3-4337-8168-254425D6EDF5}" name="WASH" dataDxfId="30" dataCellStyle="Comma"/>
    <tableColumn id="66" xr3:uid="{045F68C4-3C76-4743-BCAA-775EBAF2E572}" name="CP" dataDxfId="29" dataCellStyle="Comma"/>
    <tableColumn id="65" xr3:uid="{322C712E-ED62-483E-9BB7-F0B7E1336A73}" name="GBV" dataDxfId="28" dataCellStyle="Comma"/>
    <tableColumn id="64" xr3:uid="{EF9822A2-B33A-4735-9F38-CE7BE9EE2A10}" name="Mine Action" dataDxfId="27" dataCellStyle="Comma"/>
    <tableColumn id="63" xr3:uid="{C4E720AA-5A8D-4DFC-9DC7-0B316A5700CD}" name="HLP" dataDxfId="26" dataCellStyle="Comma"/>
    <tableColumn id="5" xr3:uid="{40FE5EBC-9D3C-442A-B468-139E0018B45A}" name="Total requirements" dataDxfId="25" dataCellStyle="Comma">
      <calculatedColumnFormula>SUM(tblPiNAnalysis5613[[#This Row],[CCCM]:[WASH]])</calculatedColumnFormula>
    </tableColumn>
    <tableColumn id="7" xr3:uid="{9104B533-D567-4263-B016-3519A41DEEFF}" name="Final Intersectoral  Priority ranking" dataDxfId="24" dataCellStyle="Comma"/>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0.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1.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65D9-0AF3-4313-A41A-F50B37D11B3E}">
  <sheetPr codeName="Sheet1">
    <tabColor theme="6" tint="0.59999389629810485"/>
  </sheetPr>
  <dimension ref="A1:C18"/>
  <sheetViews>
    <sheetView topLeftCell="A5" zoomScale="115" zoomScaleNormal="115" workbookViewId="0">
      <selection activeCell="F3" sqref="F3"/>
    </sheetView>
  </sheetViews>
  <sheetFormatPr defaultColWidth="8.578125" defaultRowHeight="14.4" x14ac:dyDescent="0.55000000000000004"/>
  <cols>
    <col min="1" max="1" width="22.578125" customWidth="1"/>
    <col min="2" max="2" width="108.15625" customWidth="1"/>
  </cols>
  <sheetData>
    <row r="1" spans="1:3" ht="22.5" x14ac:dyDescent="0.75">
      <c r="A1" s="6" t="s">
        <v>0</v>
      </c>
      <c r="B1" s="5"/>
    </row>
    <row r="2" spans="1:3" ht="14.25" customHeight="1" x14ac:dyDescent="0.75">
      <c r="A2" s="4"/>
    </row>
    <row r="3" spans="1:3" ht="160.5" customHeight="1" x14ac:dyDescent="0.55000000000000004">
      <c r="A3" s="288" t="s">
        <v>1</v>
      </c>
      <c r="B3" s="37" t="s">
        <v>2</v>
      </c>
    </row>
    <row r="5" spans="1:3" ht="26.25" customHeight="1" x14ac:dyDescent="0.55000000000000004">
      <c r="A5" s="3" t="s">
        <v>3</v>
      </c>
      <c r="B5" s="3" t="s">
        <v>4</v>
      </c>
    </row>
    <row r="6" spans="1:3" ht="86.25" customHeight="1" x14ac:dyDescent="0.55000000000000004">
      <c r="A6" s="289" t="s">
        <v>5</v>
      </c>
      <c r="B6" s="294" t="s">
        <v>6</v>
      </c>
    </row>
    <row r="7" spans="1:3" x14ac:dyDescent="0.55000000000000004">
      <c r="A7" s="764" t="s">
        <v>7</v>
      </c>
      <c r="B7" s="295" t="s">
        <v>8</v>
      </c>
    </row>
    <row r="8" spans="1:3" ht="38.700000000000003" x14ac:dyDescent="0.55000000000000004">
      <c r="A8" s="765"/>
      <c r="B8" s="291" t="s">
        <v>9</v>
      </c>
    </row>
    <row r="9" spans="1:3" ht="28.8" x14ac:dyDescent="0.55000000000000004">
      <c r="A9" s="765"/>
      <c r="B9" s="296" t="s">
        <v>10</v>
      </c>
      <c r="C9" s="297"/>
    </row>
    <row r="10" spans="1:3" ht="28.8" x14ac:dyDescent="0.55000000000000004">
      <c r="A10" s="765"/>
      <c r="B10" s="296" t="s">
        <v>11</v>
      </c>
      <c r="C10" s="297"/>
    </row>
    <row r="11" spans="1:3" ht="28.8" x14ac:dyDescent="0.55000000000000004">
      <c r="A11" s="765"/>
      <c r="B11" s="296" t="s">
        <v>12</v>
      </c>
      <c r="C11" s="297"/>
    </row>
    <row r="12" spans="1:3" ht="28.8" x14ac:dyDescent="0.55000000000000004">
      <c r="A12" s="765"/>
      <c r="B12" s="296" t="s">
        <v>13</v>
      </c>
      <c r="C12" s="297"/>
    </row>
    <row r="13" spans="1:3" ht="28.8" x14ac:dyDescent="0.55000000000000004">
      <c r="A13" s="765"/>
      <c r="B13" s="296" t="s">
        <v>14</v>
      </c>
      <c r="C13" s="297"/>
    </row>
    <row r="14" spans="1:3" ht="28.8" x14ac:dyDescent="0.55000000000000004">
      <c r="A14" s="766"/>
      <c r="B14" s="296" t="s">
        <v>15</v>
      </c>
      <c r="C14" s="297"/>
    </row>
    <row r="15" spans="1:3" ht="86.1" x14ac:dyDescent="0.55000000000000004">
      <c r="A15" s="290" t="s">
        <v>16</v>
      </c>
      <c r="B15" s="292" t="s">
        <v>17</v>
      </c>
    </row>
    <row r="16" spans="1:3" ht="24.6" hidden="1" x14ac:dyDescent="0.55000000000000004">
      <c r="A16" s="290" t="s">
        <v>18</v>
      </c>
      <c r="B16" s="292" t="s">
        <v>19</v>
      </c>
    </row>
    <row r="17" spans="1:2" ht="114.3" x14ac:dyDescent="0.55000000000000004">
      <c r="A17" s="293" t="s">
        <v>20</v>
      </c>
      <c r="B17" s="291" t="s">
        <v>21</v>
      </c>
    </row>
    <row r="18" spans="1:2" ht="45" customHeight="1" x14ac:dyDescent="0.55000000000000004">
      <c r="A18" s="293" t="s">
        <v>22</v>
      </c>
      <c r="B18" s="291" t="s">
        <v>23</v>
      </c>
    </row>
  </sheetData>
  <mergeCells count="1">
    <mergeCell ref="A7:A14"/>
  </mergeCells>
  <hyperlinks>
    <hyperlink ref="B9" location="'WS - 3.1 Overall PiN'!AK3" display="Number of missing or zero PiN: OCHA analysis team to decide the threshold for accepted number of sectors at unit level not to provide a PiN value or have zero PiN." xr:uid="{C597A2A8-8DBB-4472-9A2E-97C2E3E58B20}"/>
    <hyperlink ref="B10" location="'WS - 3.1 Overall PiN'!AL3" display="Highest PiN close to the total affected population: OCHA analysis team to decide the threshold of acceptable proportion of people in need to the affected population at unit level." xr:uid="{332FD5BA-51FD-41A3-915E-C5FF93F5156F}"/>
    <hyperlink ref="B11" location="'WS - 3.1 Overall PiN'!AM3" display="Highest Sector targets only a subset of the affected population: OCHA analysis team to decide the sectors that target only a subset of the affected population." xr:uid="{F2D74E37-1A08-4D7F-9267-44BFE130676C}"/>
    <hyperlink ref="B14" location="'WS - 3.1 Overall PiN'!AZ3" display="% Difference between this HNO's highest or 2nd highest sector PiN to same sector in the last HNO: OCHA analysis team to decide the threshold of change for this HNO's highest or 2nd higehst sector PiN and last HNO's PiN for the same sector." xr:uid="{9F4FE1C6-1C91-407F-A915-1B484DAA7B69}"/>
    <hyperlink ref="B12" location="'WS - 3.1 Overall PiN'!AS3" display="Difference b/w highest with 2nd highest: OCHA analysis team to decide whether certain outliers between highest sector with 2nd or 3rd highest require flagging for review and to enter 'Flagged' in the column." xr:uid="{34C7B92C-32B7-4C62-9EEB-6B25D4631D90}"/>
    <hyperlink ref="B13" location="'WS - 3.1 Overall PiN'!AY3" display="Difference b/w highest and 3rd highest: OCHA analysis team to decide whether certain outliers between highest sector with 2nd or 3rd highest require flagging for review and to enter 'Flagged' in the column." xr:uid="{7D031399-E85E-4F20-958C-3F7C6EB772BB}"/>
    <hyperlink ref="B7" location="'WS - 3.1 Overall PiN'!BB3" display="Preliminary PiN: Highest PiN among the Sector PINs is automatically taken as the preliminary PiN." xr:uid="{EECADD44-264E-4D02-9121-A4DB48707F79}"/>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5889-E388-4FA4-B65E-534DEACB1C87}">
  <sheetPr codeName="Sheet9">
    <tabColor theme="0" tint="-0.14999847407452621"/>
  </sheetPr>
  <dimension ref="A1:F36"/>
  <sheetViews>
    <sheetView topLeftCell="A12" zoomScale="110" zoomScaleNormal="110" workbookViewId="0">
      <selection activeCell="B30" sqref="B30"/>
    </sheetView>
  </sheetViews>
  <sheetFormatPr defaultColWidth="8.578125" defaultRowHeight="10.199999999999999" x14ac:dyDescent="0.35"/>
  <cols>
    <col min="1" max="1" width="44.83984375" style="7" customWidth="1"/>
    <col min="2" max="2" width="60" style="7" customWidth="1"/>
    <col min="3" max="3" width="16.578125" style="7" customWidth="1"/>
    <col min="4" max="4" width="15.15625" style="7" customWidth="1"/>
    <col min="5" max="5" width="13.15625" style="7" customWidth="1"/>
    <col min="6" max="6" width="17.26171875" style="7" customWidth="1"/>
    <col min="7" max="7" width="17.15625" style="7" bestFit="1" customWidth="1"/>
    <col min="8" max="8" width="13.15625" style="7" bestFit="1" customWidth="1"/>
    <col min="9" max="9" width="17.578125" style="7" bestFit="1" customWidth="1"/>
    <col min="10" max="16384" width="8.578125" style="7"/>
  </cols>
  <sheetData>
    <row r="1" spans="1:6" x14ac:dyDescent="0.35">
      <c r="C1" s="768" t="s">
        <v>24</v>
      </c>
      <c r="D1" s="768"/>
      <c r="E1" s="768"/>
      <c r="F1" s="768"/>
    </row>
    <row r="3" spans="1:6" ht="10.5" customHeight="1" x14ac:dyDescent="0.35">
      <c r="C3" s="768" t="s">
        <v>25</v>
      </c>
      <c r="D3" s="768"/>
      <c r="E3" s="768"/>
      <c r="F3" s="768"/>
    </row>
    <row r="6" spans="1:6" ht="10.5" x14ac:dyDescent="0.4">
      <c r="B6" s="771" t="s">
        <v>26</v>
      </c>
      <c r="C6" s="771"/>
      <c r="D6" s="7" t="s">
        <v>27</v>
      </c>
    </row>
    <row r="7" spans="1:6" ht="30.6" x14ac:dyDescent="0.35">
      <c r="A7" s="143" t="s">
        <v>28</v>
      </c>
      <c r="B7" s="161" t="s">
        <v>29</v>
      </c>
      <c r="C7" s="161" t="s">
        <v>30</v>
      </c>
      <c r="D7" s="162" t="s">
        <v>31</v>
      </c>
      <c r="E7" s="161" t="s">
        <v>32</v>
      </c>
      <c r="F7" s="161" t="s">
        <v>33</v>
      </c>
    </row>
    <row r="8" spans="1:6" s="150" customFormat="1" x14ac:dyDescent="0.35">
      <c r="A8" s="163"/>
      <c r="B8" s="164" t="s">
        <v>34</v>
      </c>
      <c r="C8" s="163">
        <v>2</v>
      </c>
      <c r="D8" s="163">
        <v>2</v>
      </c>
      <c r="E8" s="163"/>
      <c r="F8" s="163" t="s">
        <v>35</v>
      </c>
    </row>
    <row r="9" spans="1:6" ht="45" customHeight="1" x14ac:dyDescent="0.35">
      <c r="A9" s="8" t="s">
        <v>36</v>
      </c>
      <c r="B9" s="149" t="s">
        <v>37</v>
      </c>
      <c r="C9" s="142">
        <v>0.3</v>
      </c>
      <c r="D9" s="142">
        <v>0.3</v>
      </c>
      <c r="E9" s="8"/>
      <c r="F9" s="8" t="s">
        <v>38</v>
      </c>
    </row>
    <row r="10" spans="1:6" x14ac:dyDescent="0.35">
      <c r="A10" s="8" t="s">
        <v>39</v>
      </c>
      <c r="B10" s="149" t="s">
        <v>40</v>
      </c>
      <c r="C10" s="142">
        <v>0.5</v>
      </c>
      <c r="D10" s="142">
        <v>0.5</v>
      </c>
      <c r="E10" s="8"/>
      <c r="F10" s="8" t="s">
        <v>38</v>
      </c>
    </row>
    <row r="11" spans="1:6" ht="20.399999999999999" x14ac:dyDescent="0.35">
      <c r="A11" s="8" t="s">
        <v>41</v>
      </c>
      <c r="B11" s="149" t="s">
        <v>42</v>
      </c>
      <c r="C11" s="142"/>
      <c r="D11" s="8"/>
      <c r="E11" s="8"/>
      <c r="F11" s="8"/>
    </row>
    <row r="12" spans="1:6" x14ac:dyDescent="0.35">
      <c r="A12" s="8" t="s">
        <v>43</v>
      </c>
      <c r="B12" s="149" t="s">
        <v>44</v>
      </c>
      <c r="C12" s="142">
        <v>0.9</v>
      </c>
      <c r="D12" s="142">
        <v>0.9</v>
      </c>
      <c r="E12" s="8"/>
      <c r="F12" s="8"/>
    </row>
    <row r="13" spans="1:6" ht="20.399999999999999" x14ac:dyDescent="0.35">
      <c r="A13" s="8" t="s">
        <v>45</v>
      </c>
      <c r="B13" s="149" t="s">
        <v>46</v>
      </c>
      <c r="C13" s="142">
        <v>1</v>
      </c>
      <c r="D13" s="142">
        <v>1</v>
      </c>
      <c r="E13" s="8"/>
      <c r="F13" s="8"/>
    </row>
    <row r="14" spans="1:6" ht="20.399999999999999" x14ac:dyDescent="0.35">
      <c r="A14" s="8" t="s">
        <v>47</v>
      </c>
      <c r="B14" s="149" t="s">
        <v>48</v>
      </c>
      <c r="C14" s="142"/>
      <c r="D14" s="142"/>
      <c r="E14" s="8"/>
      <c r="F14" s="8"/>
    </row>
    <row r="15" spans="1:6" s="150" customFormat="1" ht="29.25" hidden="1" customHeight="1" x14ac:dyDescent="0.35">
      <c r="B15" s="159" t="s">
        <v>49</v>
      </c>
      <c r="C15" s="160"/>
      <c r="D15" s="160"/>
      <c r="E15" s="151"/>
      <c r="F15" s="151"/>
    </row>
    <row r="16" spans="1:6" s="158" customFormat="1" hidden="1" x14ac:dyDescent="0.35">
      <c r="B16" s="155" t="s">
        <v>50</v>
      </c>
      <c r="C16" s="156" t="s">
        <v>51</v>
      </c>
      <c r="D16" s="156" t="s">
        <v>51</v>
      </c>
      <c r="E16" s="157"/>
      <c r="F16" s="157" t="s">
        <v>38</v>
      </c>
    </row>
    <row r="17" spans="1:5" s="152" customFormat="1" x14ac:dyDescent="0.35">
      <c r="B17" s="153"/>
      <c r="C17" s="154"/>
      <c r="D17" s="154"/>
    </row>
    <row r="18" spans="1:5" ht="10.5" x14ac:dyDescent="0.4">
      <c r="B18" s="771" t="s">
        <v>52</v>
      </c>
      <c r="C18" s="771"/>
    </row>
    <row r="19" spans="1:5" ht="30.6" x14ac:dyDescent="0.35">
      <c r="B19" s="11" t="s">
        <v>53</v>
      </c>
      <c r="C19" s="10" t="s">
        <v>54</v>
      </c>
    </row>
    <row r="20" spans="1:5" ht="12.3" x14ac:dyDescent="0.4">
      <c r="A20" s="179" t="s">
        <v>55</v>
      </c>
      <c r="B20" s="8" t="s">
        <v>56</v>
      </c>
      <c r="C20" s="9"/>
    </row>
    <row r="21" spans="1:5" x14ac:dyDescent="0.35">
      <c r="A21" s="770" t="s">
        <v>57</v>
      </c>
      <c r="B21" s="8"/>
      <c r="C21" s="9"/>
    </row>
    <row r="22" spans="1:5" x14ac:dyDescent="0.35">
      <c r="A22" s="770"/>
      <c r="B22" s="30"/>
      <c r="C22" s="9"/>
    </row>
    <row r="23" spans="1:5" x14ac:dyDescent="0.35">
      <c r="A23" s="770"/>
      <c r="B23" s="8"/>
      <c r="C23" s="9"/>
    </row>
    <row r="24" spans="1:5" x14ac:dyDescent="0.35">
      <c r="A24" s="770"/>
    </row>
    <row r="25" spans="1:5" x14ac:dyDescent="0.35">
      <c r="A25" s="770"/>
      <c r="B25" s="12"/>
      <c r="C25" s="76"/>
    </row>
    <row r="26" spans="1:5" ht="22.5" customHeight="1" x14ac:dyDescent="0.4">
      <c r="B26" s="769" t="s">
        <v>58</v>
      </c>
      <c r="C26" s="769"/>
      <c r="D26" s="7" t="s">
        <v>27</v>
      </c>
    </row>
    <row r="27" spans="1:5" ht="42" x14ac:dyDescent="0.35">
      <c r="B27" s="143" t="s">
        <v>59</v>
      </c>
      <c r="C27" s="143" t="s">
        <v>30</v>
      </c>
      <c r="D27" s="144" t="s">
        <v>31</v>
      </c>
      <c r="E27" s="143" t="s">
        <v>32</v>
      </c>
    </row>
    <row r="28" spans="1:5" x14ac:dyDescent="0.35">
      <c r="B28" s="131" t="s">
        <v>60</v>
      </c>
      <c r="C28" s="132">
        <v>1</v>
      </c>
      <c r="D28" s="134">
        <v>1</v>
      </c>
      <c r="E28" s="134"/>
    </row>
    <row r="29" spans="1:5" x14ac:dyDescent="0.35">
      <c r="B29" s="149" t="s">
        <v>230</v>
      </c>
      <c r="C29" s="8">
        <v>5</v>
      </c>
      <c r="D29" s="8">
        <v>5</v>
      </c>
      <c r="E29" s="9"/>
    </row>
    <row r="30" spans="1:5" x14ac:dyDescent="0.35">
      <c r="B30" s="12"/>
      <c r="C30" s="76"/>
    </row>
    <row r="31" spans="1:5" x14ac:dyDescent="0.35">
      <c r="B31" s="12"/>
      <c r="C31" s="76"/>
    </row>
    <row r="33" spans="2:5" ht="16" customHeight="1" x14ac:dyDescent="0.35">
      <c r="B33" s="767" t="s">
        <v>224</v>
      </c>
      <c r="C33" s="767"/>
      <c r="D33" s="313"/>
    </row>
    <row r="34" spans="2:5" ht="21" x14ac:dyDescent="0.35">
      <c r="B34" s="143" t="s">
        <v>225</v>
      </c>
      <c r="C34" s="143" t="s">
        <v>30</v>
      </c>
      <c r="D34" s="144" t="s">
        <v>31</v>
      </c>
    </row>
    <row r="35" spans="2:5" x14ac:dyDescent="0.35">
      <c r="B35" s="131" t="s">
        <v>226</v>
      </c>
      <c r="C35" s="314">
        <v>0.5</v>
      </c>
      <c r="D35" s="315">
        <v>0.5</v>
      </c>
      <c r="E35" s="7" t="s">
        <v>229</v>
      </c>
    </row>
    <row r="36" spans="2:5" x14ac:dyDescent="0.35">
      <c r="B36" s="149" t="s">
        <v>227</v>
      </c>
      <c r="C36" s="142">
        <v>1</v>
      </c>
      <c r="D36" s="142">
        <v>1</v>
      </c>
    </row>
  </sheetData>
  <mergeCells count="7">
    <mergeCell ref="B33:C33"/>
    <mergeCell ref="C1:F1"/>
    <mergeCell ref="C3:F3"/>
    <mergeCell ref="B26:C26"/>
    <mergeCell ref="A21:A25"/>
    <mergeCell ref="B18:C18"/>
    <mergeCell ref="B6:C6"/>
  </mergeCells>
  <phoneticPr fontId="9" type="noConversion"/>
  <pageMargins left="0.7" right="0.7" top="0.75" bottom="0.75" header="0.3" footer="0.3"/>
  <pageSetup paperSize="9" orientation="portrait" verticalDpi="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0D79-C278-40C3-BAD2-131A94467D24}">
  <dimension ref="A1:AA81"/>
  <sheetViews>
    <sheetView zoomScale="70" zoomScaleNormal="70" workbookViewId="0">
      <selection activeCell="J20" sqref="J20"/>
    </sheetView>
  </sheetViews>
  <sheetFormatPr defaultColWidth="8.83984375" defaultRowHeight="15.6" x14ac:dyDescent="0.6"/>
  <cols>
    <col min="1" max="1" width="20.68359375" bestFit="1" customWidth="1"/>
    <col min="2" max="2" width="9.41796875" customWidth="1"/>
    <col min="3" max="3" width="20.68359375" bestFit="1" customWidth="1"/>
    <col min="4" max="4" width="8.578125" customWidth="1"/>
    <col min="5" max="5" width="20" style="416" customWidth="1"/>
    <col min="6" max="6" width="15.83984375" style="415" customWidth="1"/>
    <col min="7" max="7" width="16" style="415" bestFit="1" customWidth="1"/>
    <col min="8" max="8" width="15.68359375" bestFit="1" customWidth="1"/>
    <col min="9" max="9" width="18.26171875" style="417" customWidth="1"/>
    <col min="10" max="11" width="21" style="415" customWidth="1"/>
    <col min="12" max="26" width="15.15625" customWidth="1"/>
    <col min="27" max="27" width="15.83984375" bestFit="1" customWidth="1"/>
    <col min="28" max="28" width="16" bestFit="1" customWidth="1"/>
  </cols>
  <sheetData>
    <row r="1" spans="1:27" s="421" customFormat="1" ht="23.1" x14ac:dyDescent="0.55000000000000004">
      <c r="A1" s="772"/>
      <c r="B1" s="772"/>
      <c r="C1" s="772"/>
      <c r="D1" s="772"/>
      <c r="E1" s="418">
        <v>14363362.861877806</v>
      </c>
      <c r="F1" s="419">
        <f>SUM(Table2[[Refugees ]])</f>
        <v>673913</v>
      </c>
      <c r="G1" s="419">
        <f>SUM(Table2[IDP])</f>
        <v>2651905.8293480524</v>
      </c>
      <c r="H1" s="419">
        <f>SUM(Table2[Returnees])</f>
        <v>1585547.2687063932</v>
      </c>
      <c r="I1" s="428">
        <v>7736195.0595610505</v>
      </c>
      <c r="J1" s="419">
        <f>SUM(Table2[Affected population without refugees])</f>
        <v>11973648.157615496</v>
      </c>
      <c r="K1" s="420"/>
      <c r="L1" s="420">
        <f>SUM(Table2[No. of Male children under 5])</f>
        <v>1146512.6239985356</v>
      </c>
      <c r="M1" s="420"/>
      <c r="N1" s="420">
        <f>SUM(Table2[No. of Female children under 5])</f>
        <v>1068899.2510066319</v>
      </c>
      <c r="O1" s="420"/>
      <c r="P1" s="420">
        <f>SUM(Table2[No. of Male children aged 5 - 17 years])</f>
        <v>2107825.8477843921</v>
      </c>
      <c r="Q1" s="420"/>
      <c r="R1" s="420">
        <f>SUM(Table2[No. of Female children aged 5 - 17 years])</f>
        <v>2080564.1047756893</v>
      </c>
      <c r="S1" s="420"/>
      <c r="T1" s="420">
        <f>SUM(Table2[No. of  Male adults aged 18 - 60])</f>
        <v>2287143.7990724142</v>
      </c>
      <c r="U1" s="420"/>
      <c r="V1" s="420">
        <f>SUM(Table2[No. of Female adults aged 18 - 60])</f>
        <v>2410890.9452702594</v>
      </c>
      <c r="W1" s="420"/>
      <c r="X1" s="420">
        <f>SUM(Table2[No. of Male adults aged over 60])</f>
        <v>416875.59487237624</v>
      </c>
      <c r="Y1" s="420"/>
      <c r="Z1" s="420">
        <f>SUM(Table2[No. Female adults aged over 60])</f>
        <v>454935.99083519878</v>
      </c>
      <c r="AA1" s="420">
        <f>SUM(Table2[Persons with disability])</f>
        <v>2255591.3792816713</v>
      </c>
    </row>
    <row r="2" spans="1:27" s="422" customFormat="1" ht="91.5" x14ac:dyDescent="0.55000000000000004">
      <c r="A2" s="422" t="s">
        <v>448</v>
      </c>
      <c r="B2" s="422" t="s">
        <v>449</v>
      </c>
      <c r="C2" s="422" t="s">
        <v>450</v>
      </c>
      <c r="D2" s="422" t="s">
        <v>451</v>
      </c>
      <c r="E2" s="422" t="s">
        <v>452</v>
      </c>
      <c r="F2" s="414" t="s">
        <v>472</v>
      </c>
      <c r="G2" s="414" t="s">
        <v>447</v>
      </c>
      <c r="H2" s="414" t="s">
        <v>414</v>
      </c>
      <c r="I2" s="414" t="s">
        <v>473</v>
      </c>
      <c r="J2" s="414" t="s">
        <v>453</v>
      </c>
      <c r="K2" s="414" t="s">
        <v>454</v>
      </c>
      <c r="L2" s="414" t="s">
        <v>455</v>
      </c>
      <c r="M2" s="414" t="s">
        <v>456</v>
      </c>
      <c r="N2" s="414" t="s">
        <v>457</v>
      </c>
      <c r="O2" s="414" t="s">
        <v>458</v>
      </c>
      <c r="P2" s="414" t="s">
        <v>459</v>
      </c>
      <c r="Q2" s="414" t="s">
        <v>460</v>
      </c>
      <c r="R2" s="414" t="s">
        <v>461</v>
      </c>
      <c r="S2" s="414" t="s">
        <v>462</v>
      </c>
      <c r="T2" s="414" t="s">
        <v>463</v>
      </c>
      <c r="U2" s="414" t="s">
        <v>464</v>
      </c>
      <c r="V2" s="414" t="s">
        <v>465</v>
      </c>
      <c r="W2" s="414" t="s">
        <v>466</v>
      </c>
      <c r="X2" s="414" t="s">
        <v>467</v>
      </c>
      <c r="Y2" s="414" t="s">
        <v>468</v>
      </c>
      <c r="Z2" s="414" t="s">
        <v>469</v>
      </c>
      <c r="AA2" s="414" t="s">
        <v>470</v>
      </c>
    </row>
    <row r="3" spans="1:27" ht="14.4" x14ac:dyDescent="0.55000000000000004">
      <c r="A3" t="s">
        <v>233</v>
      </c>
      <c r="B3" t="s">
        <v>234</v>
      </c>
      <c r="C3" t="s">
        <v>233</v>
      </c>
      <c r="D3" t="s">
        <v>235</v>
      </c>
      <c r="E3" s="415">
        <v>160330.4443920851</v>
      </c>
      <c r="F3" s="423">
        <v>0</v>
      </c>
      <c r="G3" s="423">
        <v>122221.68957757292</v>
      </c>
      <c r="H3" s="423">
        <v>19107.704392085096</v>
      </c>
      <c r="I3" s="423">
        <v>14516.802522734295</v>
      </c>
      <c r="J3" s="423">
        <f t="shared" ref="J3:J34" si="0">SUM(I3,H3,G3)</f>
        <v>155846.19649239231</v>
      </c>
      <c r="K3" s="424">
        <v>9.6000000000000002E-2</v>
      </c>
      <c r="L3" s="426">
        <f>Table2[[#This Row],[% Male children under 5]]*Table2[[#This Row],[Affected population without refugees]]</f>
        <v>14961.234863269661</v>
      </c>
      <c r="M3" s="424">
        <v>8.8999999999999996E-2</v>
      </c>
      <c r="N3" s="426">
        <f>Table2[[#This Row],[Affected population without refugees]]*Table2[[#This Row],[% Female children under 5]]</f>
        <v>13870.311487822915</v>
      </c>
      <c r="O3" s="424">
        <v>0.17699999999999999</v>
      </c>
      <c r="P3" s="426">
        <f>Table2[[#This Row],[Affected population without refugees]]*Table2[[#This Row],[% Male children aged 5 - 17 years]]</f>
        <v>27584.776779153439</v>
      </c>
      <c r="Q3" s="424">
        <v>0.17299999999999999</v>
      </c>
      <c r="R3" s="426">
        <f>Table2[[#This Row],[Affected population without refugees]]*Table2[[#This Row],[% Female children aged 5 - 17 years]]</f>
        <v>26961.391993183868</v>
      </c>
      <c r="S3" s="425">
        <v>0.19</v>
      </c>
      <c r="T3" s="426">
        <f>Table2[[#This Row],[Affected population without refugees]]*Table2[[#This Row],[% Male adults aged 18 - 60]]</f>
        <v>29610.777333554539</v>
      </c>
      <c r="U3" s="424">
        <v>0.20200000000000001</v>
      </c>
      <c r="V3" s="426">
        <f>Table2[[#This Row],[Affected population without refugees]]*Table2[[#This Row],[% Female adults aged 18 - 60]]</f>
        <v>31480.931691463247</v>
      </c>
      <c r="W3" s="424">
        <v>3.4000000000000002E-2</v>
      </c>
      <c r="X3" s="426">
        <f>Table2[[#This Row],[Affected population without refugees]]*Table2[[#This Row],[% Male adults aged over 60]]</f>
        <v>5298.7706807413388</v>
      </c>
      <c r="Y3" s="424">
        <v>3.9E-2</v>
      </c>
      <c r="Z3" s="426">
        <f>Table2[[#This Row],[Affected population without refugees]]*Table2[[#This Row],[% Female adults aged over 60]]</f>
        <v>6078.0016632033003</v>
      </c>
      <c r="AA3" s="427">
        <v>24049.566658812764</v>
      </c>
    </row>
    <row r="4" spans="1:27" ht="14.4" x14ac:dyDescent="0.55000000000000004">
      <c r="A4" t="s">
        <v>236</v>
      </c>
      <c r="B4" t="s">
        <v>237</v>
      </c>
      <c r="C4" t="s">
        <v>238</v>
      </c>
      <c r="D4" t="s">
        <v>239</v>
      </c>
      <c r="E4" s="415">
        <v>651079.36794415652</v>
      </c>
      <c r="F4" s="423">
        <v>47867</v>
      </c>
      <c r="G4" s="423">
        <v>185655.53028576757</v>
      </c>
      <c r="H4" s="423">
        <v>58949.896431430854</v>
      </c>
      <c r="I4" s="423">
        <v>310546.09109739598</v>
      </c>
      <c r="J4" s="423">
        <f t="shared" si="0"/>
        <v>555151.51781459432</v>
      </c>
      <c r="K4" s="425">
        <v>7.3999999999999996E-2</v>
      </c>
      <c r="L4" s="426">
        <f>Table2[[#This Row],[% Male children under 5]]*Table2[[#This Row],[Affected population without refugees]]</f>
        <v>41081.212318279977</v>
      </c>
      <c r="M4" s="425">
        <v>9.74E-2</v>
      </c>
      <c r="N4" s="426">
        <f>Table2[[#This Row],[Affected population without refugees]]*Table2[[#This Row],[% Female children under 5]]</f>
        <v>54071.757835141485</v>
      </c>
      <c r="O4" s="425">
        <v>0.154</v>
      </c>
      <c r="P4" s="426">
        <f>Table2[[#This Row],[Affected population without refugees]]*Table2[[#This Row],[% Male children aged 5 - 17 years]]</f>
        <v>85493.333743447525</v>
      </c>
      <c r="Q4" s="425">
        <v>0.159</v>
      </c>
      <c r="R4" s="426">
        <f>Table2[[#This Row],[Affected population without refugees]]*Table2[[#This Row],[% Female children aged 5 - 17 years]]</f>
        <v>88269.091332520504</v>
      </c>
      <c r="S4" s="425">
        <v>0.23199999999999998</v>
      </c>
      <c r="T4" s="426">
        <f>Table2[[#This Row],[Affected population without refugees]]*Table2[[#This Row],[% Male adults aged 18 - 60]]</f>
        <v>128795.15213298588</v>
      </c>
      <c r="U4" s="425">
        <v>0.24099999999999999</v>
      </c>
      <c r="V4" s="426">
        <f>Table2[[#This Row],[Affected population without refugees]]*Table2[[#This Row],[% Female adults aged 18 - 60]]</f>
        <v>133791.51579331723</v>
      </c>
      <c r="W4" s="425">
        <v>2.3499999999999997E-2</v>
      </c>
      <c r="X4" s="426">
        <f>Table2[[#This Row],[Affected population without refugees]]*Table2[[#This Row],[% Male adults aged over 60]]</f>
        <v>13046.060668642966</v>
      </c>
      <c r="Y4" s="425">
        <v>1.9099999999999999E-2</v>
      </c>
      <c r="Z4" s="426">
        <f>Table2[[#This Row],[Affected population without refugees]]*Table2[[#This Row],[% Female adults aged over 60]]</f>
        <v>10603.393990258752</v>
      </c>
      <c r="AA4" s="427">
        <v>104841.95519162348</v>
      </c>
    </row>
    <row r="5" spans="1:27" ht="14.4" x14ac:dyDescent="0.55000000000000004">
      <c r="A5" t="s">
        <v>236</v>
      </c>
      <c r="B5" t="s">
        <v>237</v>
      </c>
      <c r="C5" t="s">
        <v>471</v>
      </c>
      <c r="D5" t="s">
        <v>241</v>
      </c>
      <c r="E5" s="415">
        <v>247876.06778752393</v>
      </c>
      <c r="F5" s="423">
        <v>0</v>
      </c>
      <c r="G5" s="423">
        <v>16311.747528959717</v>
      </c>
      <c r="H5" s="423">
        <v>15480.714285714301</v>
      </c>
      <c r="I5" s="423">
        <v>165087.87496325735</v>
      </c>
      <c r="J5" s="423">
        <f t="shared" si="0"/>
        <v>196880.33677793134</v>
      </c>
      <c r="K5" s="425">
        <v>1.6299999999999999E-2</v>
      </c>
      <c r="L5" s="426">
        <f>Table2[[#This Row],[% Male children under 5]]*Table2[[#This Row],[Affected population without refugees]]</f>
        <v>3209.1494894802804</v>
      </c>
      <c r="M5" s="425">
        <v>3.0099999999999998E-2</v>
      </c>
      <c r="N5" s="426">
        <f>Table2[[#This Row],[Affected population without refugees]]*Table2[[#This Row],[% Female children under 5]]</f>
        <v>5926.0981370157333</v>
      </c>
      <c r="O5" s="425">
        <v>5.7500000000000002E-2</v>
      </c>
      <c r="P5" s="426">
        <f>Table2[[#This Row],[Affected population without refugees]]*Table2[[#This Row],[% Male children aged 5 - 17 years]]</f>
        <v>11320.619364731052</v>
      </c>
      <c r="Q5" s="425">
        <v>5.8099999999999999E-2</v>
      </c>
      <c r="R5" s="426">
        <f>Table2[[#This Row],[Affected population without refugees]]*Table2[[#This Row],[% Female children aged 5 - 17 years]]</f>
        <v>11438.747566797811</v>
      </c>
      <c r="S5" s="425">
        <v>0.32800000000000001</v>
      </c>
      <c r="T5" s="426">
        <f>Table2[[#This Row],[Affected population without refugees]]*Table2[[#This Row],[% Male adults aged 18 - 60]]</f>
        <v>64576.750463161479</v>
      </c>
      <c r="U5" s="425">
        <v>0.32</v>
      </c>
      <c r="V5" s="426">
        <f>Table2[[#This Row],[Affected population without refugees]]*Table2[[#This Row],[% Female adults aged 18 - 60]]</f>
        <v>63001.707768938031</v>
      </c>
      <c r="W5" s="425">
        <v>0.127</v>
      </c>
      <c r="X5" s="426">
        <f>Table2[[#This Row],[Affected population without refugees]]*Table2[[#This Row],[% Male adults aged over 60]]</f>
        <v>25003.80277079728</v>
      </c>
      <c r="Y5" s="425">
        <v>6.3E-2</v>
      </c>
      <c r="Z5" s="426">
        <f>Table2[[#This Row],[Affected population without refugees]]*Table2[[#This Row],[% Female adults aged over 60]]</f>
        <v>12403.461217009675</v>
      </c>
      <c r="AA5" s="427">
        <v>37181.41016812859</v>
      </c>
    </row>
    <row r="6" spans="1:27" ht="14.4" x14ac:dyDescent="0.55000000000000004">
      <c r="A6" t="s">
        <v>236</v>
      </c>
      <c r="B6" t="s">
        <v>237</v>
      </c>
      <c r="C6" t="s">
        <v>242</v>
      </c>
      <c r="D6" t="s">
        <v>243</v>
      </c>
      <c r="E6" s="415">
        <v>121047.48473252066</v>
      </c>
      <c r="F6" s="423">
        <v>0</v>
      </c>
      <c r="G6" s="423">
        <v>7434.8763775539119</v>
      </c>
      <c r="H6" s="423">
        <v>7168.4285714285697</v>
      </c>
      <c r="I6" s="423">
        <v>81323.353354623177</v>
      </c>
      <c r="J6" s="423">
        <f t="shared" si="0"/>
        <v>95926.658303605655</v>
      </c>
      <c r="K6" s="425">
        <v>0.105</v>
      </c>
      <c r="L6" s="426">
        <f>Table2[[#This Row],[% Male children under 5]]*Table2[[#This Row],[Affected population without refugees]]</f>
        <v>10072.299121878594</v>
      </c>
      <c r="M6" s="425">
        <v>0.10100000000000001</v>
      </c>
      <c r="N6" s="426">
        <f>Table2[[#This Row],[Affected population without refugees]]*Table2[[#This Row],[% Female children under 5]]</f>
        <v>9688.5924886641715</v>
      </c>
      <c r="O6" s="425">
        <v>0.11</v>
      </c>
      <c r="P6" s="426">
        <f>Table2[[#This Row],[Affected population without refugees]]*Table2[[#This Row],[% Male children aged 5 - 17 years]]</f>
        <v>10551.932413396622</v>
      </c>
      <c r="Q6" s="425">
        <v>0.104</v>
      </c>
      <c r="R6" s="426">
        <f>Table2[[#This Row],[Affected population without refugees]]*Table2[[#This Row],[% Female children aged 5 - 17 years]]</f>
        <v>9976.3724635749877</v>
      </c>
      <c r="S6" s="425">
        <v>0.28600000000000003</v>
      </c>
      <c r="T6" s="426">
        <f>Table2[[#This Row],[Affected population without refugees]]*Table2[[#This Row],[% Male adults aged 18 - 60]]</f>
        <v>27435.024274831219</v>
      </c>
      <c r="U6" s="425">
        <v>0.23400000000000001</v>
      </c>
      <c r="V6" s="426">
        <f>Table2[[#This Row],[Affected population without refugees]]*Table2[[#This Row],[% Female adults aged 18 - 60]]</f>
        <v>22446.838043043725</v>
      </c>
      <c r="W6" s="425">
        <v>2.6999999999999996E-2</v>
      </c>
      <c r="X6" s="426">
        <f>Table2[[#This Row],[Affected population without refugees]]*Table2[[#This Row],[% Male adults aged over 60]]</f>
        <v>2590.0197741973525</v>
      </c>
      <c r="Y6" s="425">
        <v>3.3000000000000002E-2</v>
      </c>
      <c r="Z6" s="426">
        <f>Table2[[#This Row],[Affected population without refugees]]*Table2[[#This Row],[% Female adults aged over 60]]</f>
        <v>3165.5797240189868</v>
      </c>
      <c r="AA6" s="427">
        <v>18157.122709878098</v>
      </c>
    </row>
    <row r="7" spans="1:27" ht="14.4" x14ac:dyDescent="0.55000000000000004">
      <c r="A7" t="s">
        <v>236</v>
      </c>
      <c r="B7" t="s">
        <v>237</v>
      </c>
      <c r="C7" t="s">
        <v>244</v>
      </c>
      <c r="D7" t="s">
        <v>245</v>
      </c>
      <c r="E7" s="415">
        <v>123332.33864150276</v>
      </c>
      <c r="F7" s="423">
        <v>2339</v>
      </c>
      <c r="G7" s="423">
        <v>10995.852324765609</v>
      </c>
      <c r="H7" s="423">
        <v>12810</v>
      </c>
      <c r="I7" s="423">
        <v>76038.235545987191</v>
      </c>
      <c r="J7" s="423">
        <f t="shared" si="0"/>
        <v>99844.087870752803</v>
      </c>
      <c r="K7" s="425">
        <v>8.1500000000000003E-2</v>
      </c>
      <c r="L7" s="426">
        <f>Table2[[#This Row],[% Male children under 5]]*Table2[[#This Row],[Affected population without refugees]]</f>
        <v>8137.2931614663539</v>
      </c>
      <c r="M7" s="425">
        <v>0.105</v>
      </c>
      <c r="N7" s="426">
        <f>Table2[[#This Row],[Affected population without refugees]]*Table2[[#This Row],[% Female children under 5]]</f>
        <v>10483.629226429044</v>
      </c>
      <c r="O7" s="425">
        <v>0.17800000000000002</v>
      </c>
      <c r="P7" s="426">
        <f>Table2[[#This Row],[Affected population without refugees]]*Table2[[#This Row],[% Male children aged 5 - 17 years]]</f>
        <v>17772.247640993999</v>
      </c>
      <c r="Q7" s="425">
        <v>0.16300000000000001</v>
      </c>
      <c r="R7" s="426">
        <f>Table2[[#This Row],[Affected population without refugees]]*Table2[[#This Row],[% Female children aged 5 - 17 years]]</f>
        <v>16274.586322932708</v>
      </c>
      <c r="S7" s="425">
        <v>0.21799999999999997</v>
      </c>
      <c r="T7" s="426">
        <f>Table2[[#This Row],[Affected population without refugees]]*Table2[[#This Row],[% Male adults aged 18 - 60]]</f>
        <v>21766.011155824108</v>
      </c>
      <c r="U7" s="425">
        <v>0.20300000000000001</v>
      </c>
      <c r="V7" s="426">
        <f>Table2[[#This Row],[Affected population without refugees]]*Table2[[#This Row],[% Female adults aged 18 - 60]]</f>
        <v>20268.34983776282</v>
      </c>
      <c r="W7" s="425">
        <v>3.2600000000000004E-2</v>
      </c>
      <c r="X7" s="426">
        <f>Table2[[#This Row],[Affected population without refugees]]*Table2[[#This Row],[% Male adults aged over 60]]</f>
        <v>3254.9172645865419</v>
      </c>
      <c r="Y7" s="425">
        <v>1.89E-2</v>
      </c>
      <c r="Z7" s="426">
        <f>Table2[[#This Row],[Affected population without refugees]]*Table2[[#This Row],[% Female adults aged over 60]]</f>
        <v>1887.0532607572279</v>
      </c>
      <c r="AA7" s="427">
        <v>18850.700796225414</v>
      </c>
    </row>
    <row r="8" spans="1:27" ht="14.4" x14ac:dyDescent="0.55000000000000004">
      <c r="A8" t="s">
        <v>236</v>
      </c>
      <c r="B8" t="s">
        <v>237</v>
      </c>
      <c r="C8" t="s">
        <v>246</v>
      </c>
      <c r="D8" t="s">
        <v>247</v>
      </c>
      <c r="E8" s="415">
        <v>274703.53301760618</v>
      </c>
      <c r="F8" s="423">
        <v>0</v>
      </c>
      <c r="G8" s="423">
        <v>13333.613326350463</v>
      </c>
      <c r="H8" s="423">
        <v>1080</v>
      </c>
      <c r="I8" s="423">
        <v>198861.49864411939</v>
      </c>
      <c r="J8" s="423">
        <f t="shared" si="0"/>
        <v>213275.11197046985</v>
      </c>
      <c r="K8" s="425">
        <v>8.8499999999999995E-2</v>
      </c>
      <c r="L8" s="426">
        <f>Table2[[#This Row],[% Male children under 5]]*Table2[[#This Row],[Affected population without refugees]]</f>
        <v>18874.847409386581</v>
      </c>
      <c r="M8" s="425">
        <v>8.3099999999999993E-2</v>
      </c>
      <c r="N8" s="426">
        <f>Table2[[#This Row],[Affected population without refugees]]*Table2[[#This Row],[% Female children under 5]]</f>
        <v>17723.161804746043</v>
      </c>
      <c r="O8" s="425">
        <v>0.18099999999999997</v>
      </c>
      <c r="P8" s="426">
        <f>Table2[[#This Row],[Affected population without refugees]]*Table2[[#This Row],[% Male children aged 5 - 17 years]]</f>
        <v>38602.795266655034</v>
      </c>
      <c r="Q8" s="425">
        <v>0.16400000000000001</v>
      </c>
      <c r="R8" s="426">
        <f>Table2[[#This Row],[Affected population without refugees]]*Table2[[#This Row],[% Female children aged 5 - 17 years]]</f>
        <v>34977.11836315706</v>
      </c>
      <c r="S8" s="425">
        <v>0.19339999999999999</v>
      </c>
      <c r="T8" s="426">
        <f>Table2[[#This Row],[Affected population without refugees]]*Table2[[#This Row],[% Male adults aged 18 - 60]]</f>
        <v>41247.406655088867</v>
      </c>
      <c r="U8" s="425">
        <v>0.23100000000000001</v>
      </c>
      <c r="V8" s="426">
        <f>Table2[[#This Row],[Affected population without refugees]]*Table2[[#This Row],[% Female adults aged 18 - 60]]</f>
        <v>49266.550865178535</v>
      </c>
      <c r="W8" s="425">
        <v>1.8599999999999998E-2</v>
      </c>
      <c r="X8" s="426">
        <f>Table2[[#This Row],[Affected population without refugees]]*Table2[[#This Row],[% Male adults aged over 60]]</f>
        <v>3966.9170826507388</v>
      </c>
      <c r="Y8" s="425">
        <v>4.0399999999999998E-2</v>
      </c>
      <c r="Z8" s="426">
        <f>Table2[[#This Row],[Affected population without refugees]]*Table2[[#This Row],[% Female adults aged over 60]]</f>
        <v>8616.3145236069813</v>
      </c>
      <c r="AA8" s="427">
        <v>41205.529952640929</v>
      </c>
    </row>
    <row r="9" spans="1:27" ht="14.4" x14ac:dyDescent="0.55000000000000004">
      <c r="A9" t="s">
        <v>236</v>
      </c>
      <c r="B9" t="s">
        <v>237</v>
      </c>
      <c r="C9" t="s">
        <v>248</v>
      </c>
      <c r="D9" t="s">
        <v>249</v>
      </c>
      <c r="E9" s="415">
        <v>322475.09894820151</v>
      </c>
      <c r="F9" s="423">
        <v>2908</v>
      </c>
      <c r="G9" s="423">
        <v>38535.006634969555</v>
      </c>
      <c r="H9" s="423">
        <v>29744.714285714301</v>
      </c>
      <c r="I9" s="423">
        <v>194205.26881302349</v>
      </c>
      <c r="J9" s="423">
        <f t="shared" si="0"/>
        <v>262484.98973370733</v>
      </c>
      <c r="K9" s="425">
        <v>9.3799999999999994E-2</v>
      </c>
      <c r="L9" s="426">
        <f>Table2[[#This Row],[% Male children under 5]]*Table2[[#This Row],[Affected population without refugees]]</f>
        <v>24621.092037021746</v>
      </c>
      <c r="M9" s="425">
        <v>0.122</v>
      </c>
      <c r="N9" s="426">
        <f>Table2[[#This Row],[Affected population without refugees]]*Table2[[#This Row],[% Female children under 5]]</f>
        <v>32023.168747512293</v>
      </c>
      <c r="O9" s="425">
        <v>0.14600000000000002</v>
      </c>
      <c r="P9" s="426">
        <f>Table2[[#This Row],[Affected population without refugees]]*Table2[[#This Row],[% Male children aged 5 - 17 years]]</f>
        <v>38322.808501121275</v>
      </c>
      <c r="Q9" s="425">
        <v>0.189</v>
      </c>
      <c r="R9" s="426">
        <f>Table2[[#This Row],[Affected population without refugees]]*Table2[[#This Row],[% Female children aged 5 - 17 years]]</f>
        <v>49609.663059670689</v>
      </c>
      <c r="S9" s="425">
        <v>0.17399999999999999</v>
      </c>
      <c r="T9" s="426">
        <f>Table2[[#This Row],[Affected population without refugees]]*Table2[[#This Row],[% Male adults aged 18 - 60]]</f>
        <v>45672.388213665072</v>
      </c>
      <c r="U9" s="425">
        <v>0.193</v>
      </c>
      <c r="V9" s="426">
        <f>Table2[[#This Row],[Affected population without refugees]]*Table2[[#This Row],[% Female adults aged 18 - 60]]</f>
        <v>50659.603018605514</v>
      </c>
      <c r="W9" s="425">
        <v>5.3199999999999997E-2</v>
      </c>
      <c r="X9" s="426">
        <f>Table2[[#This Row],[Affected population without refugees]]*Table2[[#This Row],[% Male adults aged over 60]]</f>
        <v>13964.20145383323</v>
      </c>
      <c r="Y9" s="425">
        <v>2.9000000000000001E-2</v>
      </c>
      <c r="Z9" s="426">
        <f>Table2[[#This Row],[Affected population without refugees]]*Table2[[#This Row],[% Female adults aged over 60]]</f>
        <v>7612.0647022775129</v>
      </c>
      <c r="AA9" s="427">
        <v>48807.464842230227</v>
      </c>
    </row>
    <row r="10" spans="1:27" ht="14.4" x14ac:dyDescent="0.55000000000000004">
      <c r="A10" t="s">
        <v>250</v>
      </c>
      <c r="B10" t="s">
        <v>251</v>
      </c>
      <c r="C10" t="s">
        <v>252</v>
      </c>
      <c r="D10" t="s">
        <v>253</v>
      </c>
      <c r="E10" s="415">
        <v>112687.8702267566</v>
      </c>
      <c r="F10" s="423">
        <v>0</v>
      </c>
      <c r="G10" s="423">
        <v>4566.5835894145539</v>
      </c>
      <c r="H10" s="423">
        <v>2130</v>
      </c>
      <c r="I10" s="423">
        <v>80977.342990929319</v>
      </c>
      <c r="J10" s="423">
        <f t="shared" si="0"/>
        <v>87673.926580343876</v>
      </c>
      <c r="K10" s="425">
        <v>0.1036</v>
      </c>
      <c r="L10" s="426">
        <f>Table2[[#This Row],[% Male children under 5]]*Table2[[#This Row],[Affected population without refugees]]</f>
        <v>9083.018793723626</v>
      </c>
      <c r="M10" s="425">
        <v>9.7799999999999998E-2</v>
      </c>
      <c r="N10" s="426">
        <f>Table2[[#This Row],[Affected population without refugees]]*Table2[[#This Row],[% Female children under 5]]</f>
        <v>8574.5100195576306</v>
      </c>
      <c r="O10" s="425">
        <v>0.189</v>
      </c>
      <c r="P10" s="426">
        <f>Table2[[#This Row],[Affected population without refugees]]*Table2[[#This Row],[% Male children aged 5 - 17 years]]</f>
        <v>16570.372123684992</v>
      </c>
      <c r="Q10" s="425">
        <v>0.17299999999999999</v>
      </c>
      <c r="R10" s="426">
        <f>Table2[[#This Row],[Affected population without refugees]]*Table2[[#This Row],[% Female children aged 5 - 17 years]]</f>
        <v>15167.589298399489</v>
      </c>
      <c r="S10" s="425">
        <v>0.16</v>
      </c>
      <c r="T10" s="426">
        <f>Table2[[#This Row],[Affected population without refugees]]*Table2[[#This Row],[% Male adults aged 18 - 60]]</f>
        <v>14027.828252855021</v>
      </c>
      <c r="U10" s="425">
        <v>0.22</v>
      </c>
      <c r="V10" s="426">
        <f>Table2[[#This Row],[Affected population without refugees]]*Table2[[#This Row],[% Female adults aged 18 - 60]]</f>
        <v>19288.263847675651</v>
      </c>
      <c r="W10" s="425">
        <v>1.8099999999999998E-2</v>
      </c>
      <c r="X10" s="426">
        <f>Table2[[#This Row],[Affected population without refugees]]*Table2[[#This Row],[% Male adults aged over 60]]</f>
        <v>1586.8980711042241</v>
      </c>
      <c r="Y10" s="425">
        <v>3.85E-2</v>
      </c>
      <c r="Z10" s="426">
        <f>Table2[[#This Row],[Affected population without refugees]]*Table2[[#This Row],[% Female adults aged over 60]]</f>
        <v>3375.446173343239</v>
      </c>
      <c r="AA10" s="427">
        <v>16903.180534013489</v>
      </c>
    </row>
    <row r="11" spans="1:27" ht="14.4" x14ac:dyDescent="0.55000000000000004">
      <c r="A11" t="s">
        <v>250</v>
      </c>
      <c r="B11" t="s">
        <v>251</v>
      </c>
      <c r="C11" t="s">
        <v>254</v>
      </c>
      <c r="D11" t="s">
        <v>255</v>
      </c>
      <c r="E11" s="415">
        <v>113621.63457810134</v>
      </c>
      <c r="F11" s="423">
        <v>0</v>
      </c>
      <c r="G11" s="423">
        <v>6185.6711628854973</v>
      </c>
      <c r="H11" s="423">
        <v>3437.4285714285702</v>
      </c>
      <c r="I11" s="423">
        <v>79454.880620653479</v>
      </c>
      <c r="J11" s="423">
        <f t="shared" si="0"/>
        <v>89077.980354967542</v>
      </c>
      <c r="K11" s="425">
        <v>0.11609999999999999</v>
      </c>
      <c r="L11" s="426">
        <f>Table2[[#This Row],[% Male children under 5]]*Table2[[#This Row],[Affected population without refugees]]</f>
        <v>10341.953519211731</v>
      </c>
      <c r="M11" s="425">
        <v>0.105</v>
      </c>
      <c r="N11" s="426">
        <f>Table2[[#This Row],[Affected population without refugees]]*Table2[[#This Row],[% Female children under 5]]</f>
        <v>9353.1879372715921</v>
      </c>
      <c r="O11" s="425">
        <v>0.158</v>
      </c>
      <c r="P11" s="426">
        <f>Table2[[#This Row],[Affected population without refugees]]*Table2[[#This Row],[% Male children aged 5 - 17 years]]</f>
        <v>14074.320896084871</v>
      </c>
      <c r="Q11" s="425">
        <v>0.156</v>
      </c>
      <c r="R11" s="426">
        <f>Table2[[#This Row],[Affected population without refugees]]*Table2[[#This Row],[% Female children aged 5 - 17 years]]</f>
        <v>13896.164935374936</v>
      </c>
      <c r="S11" s="425">
        <v>0.17100000000000001</v>
      </c>
      <c r="T11" s="426">
        <f>Table2[[#This Row],[Affected population without refugees]]*Table2[[#This Row],[% Male adults aged 18 - 60]]</f>
        <v>15232.334640699451</v>
      </c>
      <c r="U11" s="425">
        <v>0.218</v>
      </c>
      <c r="V11" s="426">
        <f>Table2[[#This Row],[Affected population without refugees]]*Table2[[#This Row],[% Female adults aged 18 - 60]]</f>
        <v>19418.999717382925</v>
      </c>
      <c r="W11" s="425">
        <v>2.7799999999999998E-2</v>
      </c>
      <c r="X11" s="426">
        <f>Table2[[#This Row],[Affected population without refugees]]*Table2[[#This Row],[% Male adults aged over 60]]</f>
        <v>2476.3678538680974</v>
      </c>
      <c r="Y11" s="425">
        <v>4.8099999999999997E-2</v>
      </c>
      <c r="Z11" s="426">
        <f>Table2[[#This Row],[Affected population without refugees]]*Table2[[#This Row],[% Female adults aged over 60]]</f>
        <v>4284.6508550739381</v>
      </c>
      <c r="AA11" s="427">
        <v>17043.245186715201</v>
      </c>
    </row>
    <row r="12" spans="1:27" ht="14.4" x14ac:dyDescent="0.55000000000000004">
      <c r="A12" t="s">
        <v>250</v>
      </c>
      <c r="B12" t="s">
        <v>251</v>
      </c>
      <c r="C12" t="s">
        <v>256</v>
      </c>
      <c r="D12" t="s">
        <v>257</v>
      </c>
      <c r="E12" s="415">
        <v>183613.17585354534</v>
      </c>
      <c r="F12" s="423">
        <v>0</v>
      </c>
      <c r="G12" s="423">
        <v>2159.7729564411493</v>
      </c>
      <c r="H12" s="423">
        <v>3548.7142857142862</v>
      </c>
      <c r="I12" s="423">
        <v>135919.18209910189</v>
      </c>
      <c r="J12" s="423">
        <f t="shared" si="0"/>
        <v>141627.66934125734</v>
      </c>
      <c r="K12" s="425">
        <v>0.13200000000000001</v>
      </c>
      <c r="L12" s="426">
        <f>Table2[[#This Row],[% Male children under 5]]*Table2[[#This Row],[Affected population without refugees]]</f>
        <v>18694.852353045968</v>
      </c>
      <c r="M12" s="425">
        <v>8.7099999999999997E-2</v>
      </c>
      <c r="N12" s="426">
        <f>Table2[[#This Row],[Affected population without refugees]]*Table2[[#This Row],[% Female children under 5]]</f>
        <v>12335.769999623513</v>
      </c>
      <c r="O12" s="425">
        <v>0.1716</v>
      </c>
      <c r="P12" s="426">
        <f>Table2[[#This Row],[Affected population without refugees]]*Table2[[#This Row],[% Male children aged 5 - 17 years]]</f>
        <v>24303.308058959759</v>
      </c>
      <c r="Q12" s="425">
        <v>0.17</v>
      </c>
      <c r="R12" s="426">
        <f>Table2[[#This Row],[Affected population without refugees]]*Table2[[#This Row],[% Female children aged 5 - 17 years]]</f>
        <v>24076.70378801375</v>
      </c>
      <c r="S12" s="425">
        <v>0.19300000000000003</v>
      </c>
      <c r="T12" s="426">
        <f>Table2[[#This Row],[Affected population without refugees]]*Table2[[#This Row],[% Male adults aged 18 - 60]]</f>
        <v>27334.140182862669</v>
      </c>
      <c r="U12" s="425">
        <v>0.21099999999999999</v>
      </c>
      <c r="V12" s="426">
        <f>Table2[[#This Row],[Affected population without refugees]]*Table2[[#This Row],[% Female adults aged 18 - 60]]</f>
        <v>29883.438231005297</v>
      </c>
      <c r="W12" s="425">
        <v>1.9199999999999998E-2</v>
      </c>
      <c r="X12" s="426">
        <f>Table2[[#This Row],[Affected population without refugees]]*Table2[[#This Row],[% Male adults aged over 60]]</f>
        <v>2719.2512513521406</v>
      </c>
      <c r="Y12" s="425">
        <v>1.61E-2</v>
      </c>
      <c r="Z12" s="426">
        <f>Table2[[#This Row],[Affected population without refugees]]*Table2[[#This Row],[% Female adults aged over 60]]</f>
        <v>2280.2054763942433</v>
      </c>
      <c r="AA12" s="427">
        <v>27541.976378031799</v>
      </c>
    </row>
    <row r="13" spans="1:27" ht="14.4" x14ac:dyDescent="0.55000000000000004">
      <c r="A13" t="s">
        <v>250</v>
      </c>
      <c r="B13" t="s">
        <v>251</v>
      </c>
      <c r="C13" t="s">
        <v>258</v>
      </c>
      <c r="D13" t="s">
        <v>259</v>
      </c>
      <c r="E13" s="415">
        <v>167036.92797051053</v>
      </c>
      <c r="F13" s="423">
        <v>0</v>
      </c>
      <c r="G13" s="423">
        <v>8023.4115031633137</v>
      </c>
      <c r="H13" s="423">
        <v>3</v>
      </c>
      <c r="I13" s="423">
        <v>121484.03458105327</v>
      </c>
      <c r="J13" s="423">
        <f t="shared" si="0"/>
        <v>129510.44608421659</v>
      </c>
      <c r="K13" s="425">
        <v>0.109</v>
      </c>
      <c r="L13" s="426">
        <f>Table2[[#This Row],[% Male children under 5]]*Table2[[#This Row],[Affected population without refugees]]</f>
        <v>14116.638623179608</v>
      </c>
      <c r="M13" s="425">
        <v>0.107</v>
      </c>
      <c r="N13" s="426">
        <f>Table2[[#This Row],[Affected population without refugees]]*Table2[[#This Row],[% Female children under 5]]</f>
        <v>13857.617731011174</v>
      </c>
      <c r="O13" s="425">
        <v>0.21199999999999999</v>
      </c>
      <c r="P13" s="426">
        <f>Table2[[#This Row],[Affected population without refugees]]*Table2[[#This Row],[% Male children aged 5 - 17 years]]</f>
        <v>27456.214569853917</v>
      </c>
      <c r="Q13" s="425">
        <v>0.16700000000000001</v>
      </c>
      <c r="R13" s="426">
        <f>Table2[[#This Row],[Affected population without refugees]]*Table2[[#This Row],[% Female children aged 5 - 17 years]]</f>
        <v>21628.24449606417</v>
      </c>
      <c r="S13" s="425">
        <v>0.16200000000000001</v>
      </c>
      <c r="T13" s="426">
        <f>Table2[[#This Row],[Affected population without refugees]]*Table2[[#This Row],[% Male adults aged 18 - 60]]</f>
        <v>20980.692265643087</v>
      </c>
      <c r="U13" s="425">
        <v>0.17100000000000001</v>
      </c>
      <c r="V13" s="426">
        <f>Table2[[#This Row],[Affected population without refugees]]*Table2[[#This Row],[% Female adults aged 18 - 60]]</f>
        <v>22146.286280401036</v>
      </c>
      <c r="W13" s="425">
        <v>3.4299999999999997E-2</v>
      </c>
      <c r="X13" s="426">
        <f>Table2[[#This Row],[Affected population without refugees]]*Table2[[#This Row],[% Male adults aged over 60]]</f>
        <v>4442.2083006886287</v>
      </c>
      <c r="Y13" s="425">
        <v>3.7699999999999997E-2</v>
      </c>
      <c r="Z13" s="426">
        <f>Table2[[#This Row],[Affected population without refugees]]*Table2[[#This Row],[% Female adults aged over 60]]</f>
        <v>4882.5438173749653</v>
      </c>
      <c r="AA13" s="427">
        <v>25055.539195576577</v>
      </c>
    </row>
    <row r="14" spans="1:27" ht="14.4" x14ac:dyDescent="0.55000000000000004">
      <c r="A14" t="s">
        <v>250</v>
      </c>
      <c r="B14" t="s">
        <v>251</v>
      </c>
      <c r="C14" t="s">
        <v>260</v>
      </c>
      <c r="D14" t="s">
        <v>261</v>
      </c>
      <c r="E14" s="415">
        <v>117777.32945939909</v>
      </c>
      <c r="F14" s="423">
        <v>0</v>
      </c>
      <c r="G14" s="423">
        <v>4829.7886557975189</v>
      </c>
      <c r="H14" s="423">
        <v>9189.5714285714294</v>
      </c>
      <c r="I14" s="423">
        <v>79271.088602523028</v>
      </c>
      <c r="J14" s="423">
        <f t="shared" si="0"/>
        <v>93290.448686891978</v>
      </c>
      <c r="K14" s="425">
        <v>9.2999999999999999E-2</v>
      </c>
      <c r="L14" s="426">
        <f>Table2[[#This Row],[% Male children under 5]]*Table2[[#This Row],[Affected population without refugees]]</f>
        <v>8676.0117278809539</v>
      </c>
      <c r="M14" s="425">
        <v>0.10199999999999999</v>
      </c>
      <c r="N14" s="426">
        <f>Table2[[#This Row],[Affected population without refugees]]*Table2[[#This Row],[% Female children under 5]]</f>
        <v>9515.6257660629817</v>
      </c>
      <c r="O14" s="425">
        <v>0.21879999999999999</v>
      </c>
      <c r="P14" s="426">
        <f>Table2[[#This Row],[Affected population without refugees]]*Table2[[#This Row],[% Male children aged 5 - 17 years]]</f>
        <v>20411.950172691963</v>
      </c>
      <c r="Q14" s="425">
        <v>0.20499999999999999</v>
      </c>
      <c r="R14" s="426">
        <f>Table2[[#This Row],[Affected population without refugees]]*Table2[[#This Row],[% Female children aged 5 - 17 years]]</f>
        <v>19124.541980812854</v>
      </c>
      <c r="S14" s="425">
        <v>0.183</v>
      </c>
      <c r="T14" s="426">
        <f>Table2[[#This Row],[Affected population without refugees]]*Table2[[#This Row],[% Male adults aged 18 - 60]]</f>
        <v>17072.15210970123</v>
      </c>
      <c r="U14" s="425">
        <v>0.188</v>
      </c>
      <c r="V14" s="426">
        <f>Table2[[#This Row],[Affected population without refugees]]*Table2[[#This Row],[% Female adults aged 18 - 60]]</f>
        <v>17538.604353135692</v>
      </c>
      <c r="W14" s="425">
        <v>6.2600000000000008E-3</v>
      </c>
      <c r="X14" s="426">
        <f>Table2[[#This Row],[Affected population without refugees]]*Table2[[#This Row],[% Male adults aged over 60]]</f>
        <v>583.99820877994387</v>
      </c>
      <c r="Y14" s="425">
        <v>3.9399999999999999E-3</v>
      </c>
      <c r="Z14" s="426">
        <f>Table2[[#This Row],[Affected population without refugees]]*Table2[[#This Row],[% Female adults aged over 60]]</f>
        <v>367.56436782635438</v>
      </c>
      <c r="AA14" s="427">
        <v>17666.599418909864</v>
      </c>
    </row>
    <row r="15" spans="1:27" ht="14.4" x14ac:dyDescent="0.55000000000000004">
      <c r="A15" t="s">
        <v>250</v>
      </c>
      <c r="B15" t="s">
        <v>251</v>
      </c>
      <c r="C15" t="s">
        <v>262</v>
      </c>
      <c r="D15" t="s">
        <v>263</v>
      </c>
      <c r="E15" s="415">
        <v>167125.01884302447</v>
      </c>
      <c r="F15" s="423">
        <v>0</v>
      </c>
      <c r="G15" s="423">
        <v>21293.088674698796</v>
      </c>
      <c r="H15" s="423">
        <v>5555.8571428571404</v>
      </c>
      <c r="I15" s="423">
        <v>107170.91979145796</v>
      </c>
      <c r="J15" s="423">
        <f t="shared" si="0"/>
        <v>134019.86560901388</v>
      </c>
      <c r="K15" s="425">
        <v>0.121</v>
      </c>
      <c r="L15" s="426">
        <f>Table2[[#This Row],[% Male children under 5]]*Table2[[#This Row],[Affected population without refugees]]</f>
        <v>16216.40373869068</v>
      </c>
      <c r="M15" s="425">
        <v>0.13500000000000001</v>
      </c>
      <c r="N15" s="426">
        <f>Table2[[#This Row],[Affected population without refugees]]*Table2[[#This Row],[% Female children under 5]]</f>
        <v>18092.681857216874</v>
      </c>
      <c r="O15" s="425">
        <v>0.14600000000000002</v>
      </c>
      <c r="P15" s="426">
        <f>Table2[[#This Row],[Affected population without refugees]]*Table2[[#This Row],[% Male children aged 5 - 17 years]]</f>
        <v>19566.900378916031</v>
      </c>
      <c r="Q15" s="425">
        <v>0.184</v>
      </c>
      <c r="R15" s="426">
        <f>Table2[[#This Row],[Affected population without refugees]]*Table2[[#This Row],[% Female children aged 5 - 17 years]]</f>
        <v>24659.655272058553</v>
      </c>
      <c r="S15" s="425">
        <v>0.188</v>
      </c>
      <c r="T15" s="426">
        <f>Table2[[#This Row],[Affected population without refugees]]*Table2[[#This Row],[% Male adults aged 18 - 60]]</f>
        <v>25195.73473449461</v>
      </c>
      <c r="U15" s="425">
        <v>0.193</v>
      </c>
      <c r="V15" s="426">
        <f>Table2[[#This Row],[Affected population without refugees]]*Table2[[#This Row],[% Female adults aged 18 - 60]]</f>
        <v>25865.834062539681</v>
      </c>
      <c r="W15" s="425">
        <v>9.0000000000000011E-3</v>
      </c>
      <c r="X15" s="426">
        <f>Table2[[#This Row],[Affected population without refugees]]*Table2[[#This Row],[% Male adults aged over 60]]</f>
        <v>1206.1787904811251</v>
      </c>
      <c r="Y15" s="425">
        <v>2.4E-2</v>
      </c>
      <c r="Z15" s="426">
        <f>Table2[[#This Row],[Affected population without refugees]]*Table2[[#This Row],[% Female adults aged over 60]]</f>
        <v>3216.4767746163334</v>
      </c>
      <c r="AA15" s="427">
        <v>25068.75282645367</v>
      </c>
    </row>
    <row r="16" spans="1:27" ht="14.4" x14ac:dyDescent="0.55000000000000004">
      <c r="A16" t="s">
        <v>250</v>
      </c>
      <c r="B16" t="s">
        <v>251</v>
      </c>
      <c r="C16" t="s">
        <v>264</v>
      </c>
      <c r="D16" t="s">
        <v>265</v>
      </c>
      <c r="E16" s="415">
        <v>282656.39001666079</v>
      </c>
      <c r="F16" s="423">
        <v>0</v>
      </c>
      <c r="G16" s="423">
        <v>40940.594481869215</v>
      </c>
      <c r="H16" s="423">
        <v>33159.142857142899</v>
      </c>
      <c r="I16" s="423">
        <v>159337.28264572358</v>
      </c>
      <c r="J16" s="423">
        <f t="shared" si="0"/>
        <v>233437.0199847357</v>
      </c>
      <c r="K16" s="425">
        <v>0.13</v>
      </c>
      <c r="L16" s="426">
        <f>Table2[[#This Row],[% Male children under 5]]*Table2[[#This Row],[Affected population without refugees]]</f>
        <v>30346.812598015644</v>
      </c>
      <c r="M16" s="425">
        <v>9.1800000000000007E-2</v>
      </c>
      <c r="N16" s="426">
        <f>Table2[[#This Row],[Affected population without refugees]]*Table2[[#This Row],[% Female children under 5]]</f>
        <v>21429.51843459874</v>
      </c>
      <c r="O16" s="425">
        <v>0.16370000000000001</v>
      </c>
      <c r="P16" s="426">
        <f>Table2[[#This Row],[Affected population without refugees]]*Table2[[#This Row],[% Male children aged 5 - 17 years]]</f>
        <v>38213.64017150124</v>
      </c>
      <c r="Q16" s="425">
        <v>0.14799999999999999</v>
      </c>
      <c r="R16" s="426">
        <f>Table2[[#This Row],[Affected population without refugees]]*Table2[[#This Row],[% Female children aged 5 - 17 years]]</f>
        <v>34548.678957740885</v>
      </c>
      <c r="S16" s="425">
        <v>0.185</v>
      </c>
      <c r="T16" s="426">
        <f>Table2[[#This Row],[Affected population without refugees]]*Table2[[#This Row],[% Male adults aged 18 - 60]]</f>
        <v>43185.848697176101</v>
      </c>
      <c r="U16" s="425">
        <v>0.20300000000000001</v>
      </c>
      <c r="V16" s="426">
        <f>Table2[[#This Row],[Affected population without refugees]]*Table2[[#This Row],[% Female adults aged 18 - 60]]</f>
        <v>47387.715056901354</v>
      </c>
      <c r="W16" s="425">
        <v>3.4299999999999997E-2</v>
      </c>
      <c r="X16" s="426">
        <f>Table2[[#This Row],[Affected population without refugees]]*Table2[[#This Row],[% Male adults aged over 60]]</f>
        <v>8006.8897854764336</v>
      </c>
      <c r="Y16" s="425">
        <v>4.4200000000000003E-2</v>
      </c>
      <c r="Z16" s="426">
        <f>Table2[[#This Row],[Affected population without refugees]]*Table2[[#This Row],[% Female adults aged over 60]]</f>
        <v>10317.916283325319</v>
      </c>
      <c r="AA16" s="427">
        <v>42398.458502499117</v>
      </c>
    </row>
    <row r="17" spans="1:27" ht="14.4" x14ac:dyDescent="0.55000000000000004">
      <c r="A17" t="s">
        <v>250</v>
      </c>
      <c r="B17" t="s">
        <v>251</v>
      </c>
      <c r="C17" t="s">
        <v>266</v>
      </c>
      <c r="D17" t="s">
        <v>267</v>
      </c>
      <c r="E17" s="415">
        <v>73850.36091865621</v>
      </c>
      <c r="F17" s="423">
        <v>0</v>
      </c>
      <c r="G17" s="423">
        <v>2501.5236312386551</v>
      </c>
      <c r="H17" s="423">
        <v>9209.5714285714294</v>
      </c>
      <c r="I17" s="423">
        <v>47474.399116158442</v>
      </c>
      <c r="J17" s="423">
        <f t="shared" si="0"/>
        <v>59185.494175968524</v>
      </c>
      <c r="K17" s="425">
        <v>0.107</v>
      </c>
      <c r="L17" s="426">
        <f>Table2[[#This Row],[% Male children under 5]]*Table2[[#This Row],[Affected population without refugees]]</f>
        <v>6332.8478768286323</v>
      </c>
      <c r="M17" s="425">
        <v>0.11700000000000001</v>
      </c>
      <c r="N17" s="426">
        <f>Table2[[#This Row],[Affected population without refugees]]*Table2[[#This Row],[% Female children under 5]]</f>
        <v>6924.7028185883173</v>
      </c>
      <c r="O17" s="425">
        <v>0.14699999999999999</v>
      </c>
      <c r="P17" s="426">
        <f>Table2[[#This Row],[Affected population without refugees]]*Table2[[#This Row],[% Male children aged 5 - 17 years]]</f>
        <v>8700.2676438673734</v>
      </c>
      <c r="Q17" s="425">
        <v>0.184</v>
      </c>
      <c r="R17" s="426">
        <f>Table2[[#This Row],[Affected population without refugees]]*Table2[[#This Row],[% Female children aged 5 - 17 years]]</f>
        <v>10890.130928378208</v>
      </c>
      <c r="S17" s="425">
        <v>0.19900000000000004</v>
      </c>
      <c r="T17" s="426">
        <f>Table2[[#This Row],[Affected population without refugees]]*Table2[[#This Row],[% Male adults aged 18 - 60]]</f>
        <v>11777.913341017738</v>
      </c>
      <c r="U17" s="425">
        <v>0.20699999999999999</v>
      </c>
      <c r="V17" s="426">
        <f>Table2[[#This Row],[Affected population without refugees]]*Table2[[#This Row],[% Female adults aged 18 - 60]]</f>
        <v>12251.397294425484</v>
      </c>
      <c r="W17" s="425">
        <v>1.0999999999999999E-2</v>
      </c>
      <c r="X17" s="426">
        <f>Table2[[#This Row],[Affected population without refugees]]*Table2[[#This Row],[% Male adults aged over 60]]</f>
        <v>651.0404359356537</v>
      </c>
      <c r="Y17" s="425">
        <v>2.8000000000000001E-2</v>
      </c>
      <c r="Z17" s="426">
        <f>Table2[[#This Row],[Affected population without refugees]]*Table2[[#This Row],[% Female adults aged over 60]]</f>
        <v>1657.1938369271188</v>
      </c>
      <c r="AA17" s="427">
        <v>11077.554137798432</v>
      </c>
    </row>
    <row r="18" spans="1:27" ht="14.4" x14ac:dyDescent="0.55000000000000004">
      <c r="A18" t="s">
        <v>268</v>
      </c>
      <c r="B18" t="s">
        <v>269</v>
      </c>
      <c r="C18" t="s">
        <v>270</v>
      </c>
      <c r="D18" t="s">
        <v>271</v>
      </c>
      <c r="E18" s="415">
        <v>244748.6127856104</v>
      </c>
      <c r="F18" s="423">
        <v>0</v>
      </c>
      <c r="G18" s="423">
        <v>45687.987079478589</v>
      </c>
      <c r="H18" s="423">
        <v>6904.2601395402035</v>
      </c>
      <c r="I18" s="423">
        <v>146807.46329287597</v>
      </c>
      <c r="J18" s="423">
        <f t="shared" si="0"/>
        <v>199399.71051189478</v>
      </c>
      <c r="K18" s="425">
        <v>9.3700000000000006E-2</v>
      </c>
      <c r="L18" s="426">
        <f>Table2[[#This Row],[% Male children under 5]]*Table2[[#This Row],[Affected population without refugees]]</f>
        <v>18683.752874964543</v>
      </c>
      <c r="M18" s="425">
        <v>7.6600000000000001E-2</v>
      </c>
      <c r="N18" s="426">
        <f>Table2[[#This Row],[Affected population without refugees]]*Table2[[#This Row],[% Female children under 5]]</f>
        <v>15274.01782521114</v>
      </c>
      <c r="O18" s="425">
        <v>0.17700000000000002</v>
      </c>
      <c r="P18" s="426">
        <f>Table2[[#This Row],[Affected population without refugees]]*Table2[[#This Row],[% Male children aged 5 - 17 years]]</f>
        <v>35293.748760605376</v>
      </c>
      <c r="Q18" s="425">
        <v>0.159</v>
      </c>
      <c r="R18" s="426">
        <f>Table2[[#This Row],[Affected population without refugees]]*Table2[[#This Row],[% Female children aged 5 - 17 years]]</f>
        <v>31704.553971391269</v>
      </c>
      <c r="S18" s="425">
        <v>0.1767</v>
      </c>
      <c r="T18" s="426">
        <f>Table2[[#This Row],[Affected population without refugees]]*Table2[[#This Row],[% Male adults aged 18 - 60]]</f>
        <v>35233.928847451803</v>
      </c>
      <c r="U18" s="425">
        <v>0.21</v>
      </c>
      <c r="V18" s="426">
        <f>Table2[[#This Row],[Affected population without refugees]]*Table2[[#This Row],[% Female adults aged 18 - 60]]</f>
        <v>41873.939207497904</v>
      </c>
      <c r="W18" s="425">
        <v>4.1200000000000001E-2</v>
      </c>
      <c r="X18" s="426">
        <f>Table2[[#This Row],[Affected population without refugees]]*Table2[[#This Row],[% Male adults aged over 60]]</f>
        <v>8215.2680730900647</v>
      </c>
      <c r="Y18" s="425">
        <v>6.5799999999999997E-2</v>
      </c>
      <c r="Z18" s="426">
        <f>Table2[[#This Row],[Affected population without refugees]]*Table2[[#This Row],[% Female adults aged over 60]]</f>
        <v>13120.500951682676</v>
      </c>
      <c r="AA18" s="427">
        <v>36712.291917841561</v>
      </c>
    </row>
    <row r="19" spans="1:27" ht="14.4" x14ac:dyDescent="0.55000000000000004">
      <c r="A19" t="s">
        <v>268</v>
      </c>
      <c r="B19" t="s">
        <v>269</v>
      </c>
      <c r="C19" t="s">
        <v>272</v>
      </c>
      <c r="D19" t="s">
        <v>273</v>
      </c>
      <c r="E19" s="415">
        <v>207210.06883983241</v>
      </c>
      <c r="F19" s="423">
        <v>0</v>
      </c>
      <c r="G19" s="423">
        <v>21857.689382345037</v>
      </c>
      <c r="H19" s="423">
        <v>19402.803122498015</v>
      </c>
      <c r="I19" s="423">
        <v>126785.47631993188</v>
      </c>
      <c r="J19" s="423">
        <f t="shared" si="0"/>
        <v>168045.96882477493</v>
      </c>
      <c r="K19" s="425">
        <v>8.8499999999999995E-2</v>
      </c>
      <c r="L19" s="426">
        <f>Table2[[#This Row],[% Male children under 5]]*Table2[[#This Row],[Affected population without refugees]]</f>
        <v>14872.068240992581</v>
      </c>
      <c r="M19" s="425">
        <v>9.6199999999999994E-2</v>
      </c>
      <c r="N19" s="426">
        <f>Table2[[#This Row],[Affected population without refugees]]*Table2[[#This Row],[% Female children under 5]]</f>
        <v>16166.022200943347</v>
      </c>
      <c r="O19" s="425">
        <v>0.16800000000000001</v>
      </c>
      <c r="P19" s="426">
        <f>Table2[[#This Row],[Affected population without refugees]]*Table2[[#This Row],[% Male children aged 5 - 17 years]]</f>
        <v>28231.722762562189</v>
      </c>
      <c r="Q19" s="425">
        <v>0.151</v>
      </c>
      <c r="R19" s="426">
        <f>Table2[[#This Row],[Affected population without refugees]]*Table2[[#This Row],[% Female children aged 5 - 17 years]]</f>
        <v>25374.941292541014</v>
      </c>
      <c r="S19" s="425">
        <v>0.21</v>
      </c>
      <c r="T19" s="426">
        <f>Table2[[#This Row],[Affected population without refugees]]*Table2[[#This Row],[% Male adults aged 18 - 60]]</f>
        <v>35289.653453202736</v>
      </c>
      <c r="U19" s="425">
        <v>0.20699999999999999</v>
      </c>
      <c r="V19" s="426">
        <f>Table2[[#This Row],[Affected population without refugees]]*Table2[[#This Row],[% Female adults aged 18 - 60]]</f>
        <v>34785.515546728406</v>
      </c>
      <c r="W19" s="425">
        <v>3.0300000000000001E-2</v>
      </c>
      <c r="X19" s="426">
        <f>Table2[[#This Row],[Affected population without refugees]]*Table2[[#This Row],[% Male adults aged over 60]]</f>
        <v>5091.7928553906804</v>
      </c>
      <c r="Y19" s="425">
        <v>4.9000000000000002E-2</v>
      </c>
      <c r="Z19" s="426">
        <f>Table2[[#This Row],[Affected population without refugees]]*Table2[[#This Row],[% Female adults aged over 60]]</f>
        <v>8234.2524724139712</v>
      </c>
      <c r="AA19" s="427">
        <v>31081.510325974861</v>
      </c>
    </row>
    <row r="20" spans="1:27" ht="14.4" x14ac:dyDescent="0.55000000000000004">
      <c r="A20" t="s">
        <v>268</v>
      </c>
      <c r="B20" t="s">
        <v>269</v>
      </c>
      <c r="C20" t="s">
        <v>274</v>
      </c>
      <c r="D20" t="s">
        <v>275</v>
      </c>
      <c r="E20" s="415">
        <v>363622.2074976291</v>
      </c>
      <c r="F20" s="423">
        <v>0</v>
      </c>
      <c r="G20" s="423">
        <v>95901.175542296638</v>
      </c>
      <c r="H20" s="423">
        <v>16703</v>
      </c>
      <c r="I20" s="423">
        <v>191777.77641387403</v>
      </c>
      <c r="J20" s="423">
        <f t="shared" si="0"/>
        <v>304381.95195617067</v>
      </c>
      <c r="K20" s="425">
        <v>0.1333</v>
      </c>
      <c r="L20" s="426">
        <f>Table2[[#This Row],[% Male children under 5]]*Table2[[#This Row],[Affected population without refugees]]</f>
        <v>40574.114195757553</v>
      </c>
      <c r="M20" s="425">
        <v>9.0399999999999994E-2</v>
      </c>
      <c r="N20" s="426">
        <f>Table2[[#This Row],[Affected population without refugees]]*Table2[[#This Row],[% Female children under 5]]</f>
        <v>27516.128456837825</v>
      </c>
      <c r="O20" s="425">
        <v>0.16600000000000001</v>
      </c>
      <c r="P20" s="426">
        <f>Table2[[#This Row],[Affected population without refugees]]*Table2[[#This Row],[% Male children aged 5 - 17 years]]</f>
        <v>50527.404024724332</v>
      </c>
      <c r="Q20" s="425">
        <v>0.155</v>
      </c>
      <c r="R20" s="426">
        <f>Table2[[#This Row],[Affected population without refugees]]*Table2[[#This Row],[% Female children aged 5 - 17 years]]</f>
        <v>47179.202553206451</v>
      </c>
      <c r="S20" s="425">
        <v>0.17100000000000001</v>
      </c>
      <c r="T20" s="426">
        <f>Table2[[#This Row],[Affected population without refugees]]*Table2[[#This Row],[% Male adults aged 18 - 60]]</f>
        <v>52049.31378450519</v>
      </c>
      <c r="U20" s="425">
        <v>0.224</v>
      </c>
      <c r="V20" s="426">
        <f>Table2[[#This Row],[Affected population without refugees]]*Table2[[#This Row],[% Female adults aged 18 - 60]]</f>
        <v>68181.557238182228</v>
      </c>
      <c r="W20" s="425">
        <v>3.73E-2</v>
      </c>
      <c r="X20" s="426">
        <f>Table2[[#This Row],[Affected population without refugees]]*Table2[[#This Row],[% Male adults aged over 60]]</f>
        <v>11353.446807965165</v>
      </c>
      <c r="Y20" s="425">
        <v>2.3E-2</v>
      </c>
      <c r="Z20" s="426">
        <f>Table2[[#This Row],[Affected population without refugees]]*Table2[[#This Row],[% Female adults aged over 60]]</f>
        <v>7000.7848949919253</v>
      </c>
      <c r="AA20" s="427">
        <v>54543.331124644363</v>
      </c>
    </row>
    <row r="21" spans="1:27" ht="14.4" x14ac:dyDescent="0.55000000000000004">
      <c r="A21" t="s">
        <v>268</v>
      </c>
      <c r="B21" t="s">
        <v>269</v>
      </c>
      <c r="C21" t="s">
        <v>276</v>
      </c>
      <c r="D21" t="s">
        <v>277</v>
      </c>
      <c r="E21" s="415">
        <v>113128.89255313989</v>
      </c>
      <c r="F21" s="423">
        <v>0</v>
      </c>
      <c r="G21" s="423">
        <v>69039.732902168529</v>
      </c>
      <c r="H21" s="423">
        <v>1206</v>
      </c>
      <c r="I21" s="423">
        <v>32762.733973342118</v>
      </c>
      <c r="J21" s="423">
        <f t="shared" si="0"/>
        <v>103008.46687551064</v>
      </c>
      <c r="K21" s="425">
        <v>9.0800000000000006E-2</v>
      </c>
      <c r="L21" s="426">
        <f>Table2[[#This Row],[% Male children under 5]]*Table2[[#This Row],[Affected population without refugees]]</f>
        <v>9353.1687922963665</v>
      </c>
      <c r="M21" s="425">
        <v>6.4100000000000004E-2</v>
      </c>
      <c r="N21" s="426">
        <f>Table2[[#This Row],[Affected population without refugees]]*Table2[[#This Row],[% Female children under 5]]</f>
        <v>6602.8427267202323</v>
      </c>
      <c r="O21" s="425">
        <v>0.14099999999999999</v>
      </c>
      <c r="P21" s="426">
        <f>Table2[[#This Row],[Affected population without refugees]]*Table2[[#This Row],[% Male children aged 5 - 17 years]]</f>
        <v>14524.193829446998</v>
      </c>
      <c r="Q21" s="425">
        <v>0.154</v>
      </c>
      <c r="R21" s="426">
        <f>Table2[[#This Row],[Affected population without refugees]]*Table2[[#This Row],[% Female children aged 5 - 17 years]]</f>
        <v>15863.303898828639</v>
      </c>
      <c r="S21" s="425">
        <v>0.21300000000000002</v>
      </c>
      <c r="T21" s="426">
        <f>Table2[[#This Row],[Affected population without refugees]]*Table2[[#This Row],[% Male adults aged 18 - 60]]</f>
        <v>21940.803444483769</v>
      </c>
      <c r="U21" s="425">
        <v>0.24099999999999999</v>
      </c>
      <c r="V21" s="426">
        <f>Table2[[#This Row],[Affected population without refugees]]*Table2[[#This Row],[% Female adults aged 18 - 60]]</f>
        <v>24825.040516998062</v>
      </c>
      <c r="W21" s="425">
        <v>4.6600000000000003E-2</v>
      </c>
      <c r="X21" s="426">
        <f>Table2[[#This Row],[Affected population without refugees]]*Table2[[#This Row],[% Male adults aged over 60]]</f>
        <v>4800.1945563987956</v>
      </c>
      <c r="Y21" s="425">
        <v>4.9500000000000002E-2</v>
      </c>
      <c r="Z21" s="426">
        <f>Table2[[#This Row],[Affected population without refugees]]*Table2[[#This Row],[% Female adults aged over 60]]</f>
        <v>5098.9191103377771</v>
      </c>
      <c r="AA21" s="427">
        <v>16969.333882970983</v>
      </c>
    </row>
    <row r="22" spans="1:27" ht="14.4" x14ac:dyDescent="0.55000000000000004">
      <c r="A22" t="s">
        <v>268</v>
      </c>
      <c r="B22" t="s">
        <v>269</v>
      </c>
      <c r="C22" t="s">
        <v>278</v>
      </c>
      <c r="D22" t="s">
        <v>279</v>
      </c>
      <c r="E22" s="415">
        <v>211856.39562185944</v>
      </c>
      <c r="F22" s="423">
        <v>0</v>
      </c>
      <c r="G22" s="423">
        <v>77068.443303189997</v>
      </c>
      <c r="H22" s="423">
        <v>9262.1428571428605</v>
      </c>
      <c r="I22" s="423">
        <v>95901.718428606313</v>
      </c>
      <c r="J22" s="423">
        <f t="shared" si="0"/>
        <v>182232.30458893918</v>
      </c>
      <c r="K22" s="425">
        <v>0.112</v>
      </c>
      <c r="L22" s="426">
        <f>Table2[[#This Row],[% Male children under 5]]*Table2[[#This Row],[Affected population without refugees]]</f>
        <v>20410.018113961189</v>
      </c>
      <c r="M22" s="425">
        <v>9.5799999999999996E-2</v>
      </c>
      <c r="N22" s="426">
        <f>Table2[[#This Row],[Affected population without refugees]]*Table2[[#This Row],[% Female children under 5]]</f>
        <v>17457.854779620371</v>
      </c>
      <c r="O22" s="425">
        <v>0.17600000000000002</v>
      </c>
      <c r="P22" s="426">
        <f>Table2[[#This Row],[Affected population without refugees]]*Table2[[#This Row],[% Male children aged 5 - 17 years]]</f>
        <v>32072.885607653297</v>
      </c>
      <c r="Q22" s="425">
        <v>0.159</v>
      </c>
      <c r="R22" s="426">
        <f>Table2[[#This Row],[Affected population without refugees]]*Table2[[#This Row],[% Female children aged 5 - 17 years]]</f>
        <v>28974.93642964133</v>
      </c>
      <c r="S22" s="425">
        <v>0.18729999999999999</v>
      </c>
      <c r="T22" s="426">
        <f>Table2[[#This Row],[Affected population without refugees]]*Table2[[#This Row],[% Male adults aged 18 - 60]]</f>
        <v>34132.110649508308</v>
      </c>
      <c r="U22" s="425">
        <v>0.20899999999999999</v>
      </c>
      <c r="V22" s="426">
        <f>Table2[[#This Row],[Affected population without refugees]]*Table2[[#This Row],[% Female adults aged 18 - 60]]</f>
        <v>38086.551659088283</v>
      </c>
      <c r="W22" s="425">
        <v>2.4500000000000001E-2</v>
      </c>
      <c r="X22" s="426">
        <f>Table2[[#This Row],[Affected population without refugees]]*Table2[[#This Row],[% Male adults aged over 60]]</f>
        <v>4464.6914624290102</v>
      </c>
      <c r="Y22" s="425">
        <v>3.6400000000000002E-2</v>
      </c>
      <c r="Z22" s="426">
        <f>Table2[[#This Row],[Affected population without refugees]]*Table2[[#This Row],[% Female adults aged over 60]]</f>
        <v>6633.2558870373869</v>
      </c>
      <c r="AA22" s="427">
        <v>31778.459343278915</v>
      </c>
    </row>
    <row r="23" spans="1:27" ht="14.4" x14ac:dyDescent="0.55000000000000004">
      <c r="A23" t="s">
        <v>268</v>
      </c>
      <c r="B23" t="s">
        <v>269</v>
      </c>
      <c r="C23" t="s">
        <v>280</v>
      </c>
      <c r="D23" t="s">
        <v>281</v>
      </c>
      <c r="E23" s="415">
        <v>227445.02083258479</v>
      </c>
      <c r="F23" s="423">
        <v>0</v>
      </c>
      <c r="G23" s="423">
        <v>118740.98784317059</v>
      </c>
      <c r="H23" s="423">
        <v>33686.173990621071</v>
      </c>
      <c r="I23" s="423">
        <v>57313.644275077953</v>
      </c>
      <c r="J23" s="423">
        <f t="shared" si="0"/>
        <v>209740.80610886961</v>
      </c>
      <c r="K23" s="425">
        <v>9.8900000000000002E-2</v>
      </c>
      <c r="L23" s="426">
        <f>Table2[[#This Row],[% Male children under 5]]*Table2[[#This Row],[Affected population without refugees]]</f>
        <v>20743.365724167204</v>
      </c>
      <c r="M23" s="425">
        <v>0.111</v>
      </c>
      <c r="N23" s="426">
        <f>Table2[[#This Row],[Affected population without refugees]]*Table2[[#This Row],[% Female children under 5]]</f>
        <v>23281.229478084526</v>
      </c>
      <c r="O23" s="425">
        <v>0.21099999999999999</v>
      </c>
      <c r="P23" s="426">
        <f>Table2[[#This Row],[Affected population without refugees]]*Table2[[#This Row],[% Male children aged 5 - 17 years]]</f>
        <v>44255.310088971484</v>
      </c>
      <c r="Q23" s="425">
        <v>0.16300000000000001</v>
      </c>
      <c r="R23" s="426">
        <f>Table2[[#This Row],[Affected population without refugees]]*Table2[[#This Row],[% Female children aged 5 - 17 years]]</f>
        <v>34187.751395745749</v>
      </c>
      <c r="S23" s="425">
        <v>0.18820000000000001</v>
      </c>
      <c r="T23" s="426">
        <f>Table2[[#This Row],[Affected population without refugees]]*Table2[[#This Row],[% Male adults aged 18 - 60]]</f>
        <v>39473.219709689263</v>
      </c>
      <c r="U23" s="425">
        <v>0.14799999999999999</v>
      </c>
      <c r="V23" s="426">
        <f>Table2[[#This Row],[Affected population without refugees]]*Table2[[#This Row],[% Female adults aged 18 - 60]]</f>
        <v>31041.639304112701</v>
      </c>
      <c r="W23" s="425">
        <v>3.2099999999999997E-2</v>
      </c>
      <c r="X23" s="426">
        <f>Table2[[#This Row],[Affected population without refugees]]*Table2[[#This Row],[% Male adults aged over 60]]</f>
        <v>6732.679876094714</v>
      </c>
      <c r="Y23" s="425">
        <v>4.7800000000000002E-2</v>
      </c>
      <c r="Z23" s="426">
        <f>Table2[[#This Row],[Affected population without refugees]]*Table2[[#This Row],[% Female adults aged over 60]]</f>
        <v>10025.610532003968</v>
      </c>
      <c r="AA23" s="427">
        <v>34116.75312488772</v>
      </c>
    </row>
    <row r="24" spans="1:27" ht="14.4" x14ac:dyDescent="0.55000000000000004">
      <c r="A24" t="s">
        <v>268</v>
      </c>
      <c r="B24" t="s">
        <v>269</v>
      </c>
      <c r="C24" t="s">
        <v>282</v>
      </c>
      <c r="D24" t="s">
        <v>283</v>
      </c>
      <c r="E24" s="415">
        <v>151385.62608902217</v>
      </c>
      <c r="F24" s="423">
        <v>0</v>
      </c>
      <c r="G24" s="423">
        <v>53158.210520699089</v>
      </c>
      <c r="H24" s="423">
        <v>13146.5714285714</v>
      </c>
      <c r="I24" s="423">
        <v>65001.764922770279</v>
      </c>
      <c r="J24" s="423">
        <f t="shared" si="0"/>
        <v>131306.54687204078</v>
      </c>
      <c r="K24" s="425">
        <v>0.09</v>
      </c>
      <c r="L24" s="426">
        <f>Table2[[#This Row],[% Male children under 5]]*Table2[[#This Row],[Affected population without refugees]]</f>
        <v>11817.58921848367</v>
      </c>
      <c r="M24" s="425">
        <v>7.6499999999999999E-2</v>
      </c>
      <c r="N24" s="426">
        <f>Table2[[#This Row],[Affected population without refugees]]*Table2[[#This Row],[% Female children under 5]]</f>
        <v>10044.950835711119</v>
      </c>
      <c r="O24" s="425">
        <v>0.21799999999999997</v>
      </c>
      <c r="P24" s="426">
        <f>Table2[[#This Row],[Affected population without refugees]]*Table2[[#This Row],[% Male children aged 5 - 17 years]]</f>
        <v>28624.827218104885</v>
      </c>
      <c r="Q24" s="425">
        <v>0.19139999999999999</v>
      </c>
      <c r="R24" s="426">
        <f>Table2[[#This Row],[Affected population without refugees]]*Table2[[#This Row],[% Female children aged 5 - 17 years]]</f>
        <v>25132.073071308605</v>
      </c>
      <c r="S24" s="425">
        <v>0.15999999999999998</v>
      </c>
      <c r="T24" s="426">
        <f>Table2[[#This Row],[Affected population without refugees]]*Table2[[#This Row],[% Male adults aged 18 - 60]]</f>
        <v>21009.047499526521</v>
      </c>
      <c r="U24" s="425">
        <v>0.186</v>
      </c>
      <c r="V24" s="426">
        <f>Table2[[#This Row],[Affected population without refugees]]*Table2[[#This Row],[% Female adults aged 18 - 60]]</f>
        <v>24423.017718199586</v>
      </c>
      <c r="W24" s="425">
        <v>2.8000000000000004E-2</v>
      </c>
      <c r="X24" s="426">
        <f>Table2[[#This Row],[Affected population without refugees]]*Table2[[#This Row],[% Male adults aged over 60]]</f>
        <v>3676.5833124171422</v>
      </c>
      <c r="Y24" s="425">
        <v>5.0099999999999999E-2</v>
      </c>
      <c r="Z24" s="426">
        <f>Table2[[#This Row],[Affected population without refugees]]*Table2[[#This Row],[% Female adults aged over 60]]</f>
        <v>6578.4579982892428</v>
      </c>
      <c r="AA24" s="427">
        <v>22707.843913353325</v>
      </c>
    </row>
    <row r="25" spans="1:27" ht="14.4" x14ac:dyDescent="0.55000000000000004">
      <c r="A25" t="s">
        <v>268</v>
      </c>
      <c r="B25" t="s">
        <v>269</v>
      </c>
      <c r="C25" t="s">
        <v>284</v>
      </c>
      <c r="D25" t="s">
        <v>285</v>
      </c>
      <c r="E25" s="415">
        <v>242329.17519260693</v>
      </c>
      <c r="F25" s="423">
        <v>0</v>
      </c>
      <c r="G25" s="423">
        <v>46710.303757716349</v>
      </c>
      <c r="H25" s="423">
        <v>4238</v>
      </c>
      <c r="I25" s="423">
        <v>146214.98577625639</v>
      </c>
      <c r="J25" s="423">
        <f t="shared" si="0"/>
        <v>197163.28953397274</v>
      </c>
      <c r="K25" s="425">
        <v>0.13700000000000001</v>
      </c>
      <c r="L25" s="426">
        <f>Table2[[#This Row],[% Male children under 5]]*Table2[[#This Row],[Affected population without refugees]]</f>
        <v>27011.370666154267</v>
      </c>
      <c r="M25" s="425">
        <v>0.11700000000000001</v>
      </c>
      <c r="N25" s="426">
        <f>Table2[[#This Row],[Affected population without refugees]]*Table2[[#This Row],[% Female children under 5]]</f>
        <v>23068.104875474812</v>
      </c>
      <c r="O25" s="425">
        <v>0.13799999999999998</v>
      </c>
      <c r="P25" s="426">
        <f>Table2[[#This Row],[Affected population without refugees]]*Table2[[#This Row],[% Male children aged 5 - 17 years]]</f>
        <v>27208.533955688235</v>
      </c>
      <c r="Q25" s="425">
        <v>0.155</v>
      </c>
      <c r="R25" s="426">
        <f>Table2[[#This Row],[Affected population without refugees]]*Table2[[#This Row],[% Female children aged 5 - 17 years]]</f>
        <v>30560.309877765776</v>
      </c>
      <c r="S25" s="425">
        <v>0.17169999999999999</v>
      </c>
      <c r="T25" s="426">
        <f>Table2[[#This Row],[Affected population without refugees]]*Table2[[#This Row],[% Male adults aged 18 - 60]]</f>
        <v>33852.93681298312</v>
      </c>
      <c r="U25" s="425">
        <v>0.19600000000000001</v>
      </c>
      <c r="V25" s="426">
        <f>Table2[[#This Row],[Affected population without refugees]]*Table2[[#This Row],[% Female adults aged 18 - 60]]</f>
        <v>38644.004748658655</v>
      </c>
      <c r="W25" s="425">
        <v>3.1100000000000003E-2</v>
      </c>
      <c r="X25" s="426">
        <f>Table2[[#This Row],[Affected population without refugees]]*Table2[[#This Row],[% Male adults aged over 60]]</f>
        <v>6131.7783045065526</v>
      </c>
      <c r="Y25" s="425">
        <v>5.4199999999999998E-2</v>
      </c>
      <c r="Z25" s="426">
        <f>Table2[[#This Row],[Affected population without refugees]]*Table2[[#This Row],[% Female adults aged over 60]]</f>
        <v>10686.250292741322</v>
      </c>
      <c r="AA25" s="427">
        <v>36349.376278891039</v>
      </c>
    </row>
    <row r="26" spans="1:27" ht="14.4" x14ac:dyDescent="0.55000000000000004">
      <c r="A26" t="s">
        <v>268</v>
      </c>
      <c r="B26" t="s">
        <v>269</v>
      </c>
      <c r="C26" t="s">
        <v>286</v>
      </c>
      <c r="D26" t="s">
        <v>287</v>
      </c>
      <c r="E26" s="415">
        <v>84745.118581638424</v>
      </c>
      <c r="F26" s="423">
        <v>2510</v>
      </c>
      <c r="G26" s="423">
        <v>15457.341069804937</v>
      </c>
      <c r="H26" s="423">
        <v>2811.1428571428601</v>
      </c>
      <c r="I26" s="423">
        <v>50788.148876183637</v>
      </c>
      <c r="J26" s="423">
        <f t="shared" si="0"/>
        <v>69056.632803131433</v>
      </c>
      <c r="K26" s="425">
        <v>0.13600000000000001</v>
      </c>
      <c r="L26" s="426">
        <f>Table2[[#This Row],[% Male children under 5]]*Table2[[#This Row],[Affected population without refugees]]</f>
        <v>9391.7020612258748</v>
      </c>
      <c r="M26" s="425">
        <v>0.1032</v>
      </c>
      <c r="N26" s="426">
        <f>Table2[[#This Row],[Affected population without refugees]]*Table2[[#This Row],[% Female children under 5]]</f>
        <v>7126.6445052831641</v>
      </c>
      <c r="O26" s="425">
        <v>0.19500000000000001</v>
      </c>
      <c r="P26" s="426">
        <f>Table2[[#This Row],[Affected population without refugees]]*Table2[[#This Row],[% Male children aged 5 - 17 years]]</f>
        <v>13466.04339661063</v>
      </c>
      <c r="Q26" s="425">
        <v>0.17399999999999999</v>
      </c>
      <c r="R26" s="426">
        <f>Table2[[#This Row],[Affected population without refugees]]*Table2[[#This Row],[% Female children aged 5 - 17 years]]</f>
        <v>12015.854107744868</v>
      </c>
      <c r="S26" s="425">
        <v>0.10499999999999998</v>
      </c>
      <c r="T26" s="426">
        <f>Table2[[#This Row],[Affected population without refugees]]*Table2[[#This Row],[% Male adults aged 18 - 60]]</f>
        <v>7250.9464443287989</v>
      </c>
      <c r="U26" s="425">
        <v>0.27200000000000002</v>
      </c>
      <c r="V26" s="426">
        <f>Table2[[#This Row],[Affected population without refugees]]*Table2[[#This Row],[% Female adults aged 18 - 60]]</f>
        <v>18783.40412245175</v>
      </c>
      <c r="W26" s="425">
        <v>6.4400000000000013E-3</v>
      </c>
      <c r="X26" s="426">
        <f>Table2[[#This Row],[Affected population without refugees]]*Table2[[#This Row],[% Male adults aged over 60]]</f>
        <v>444.7247152521665</v>
      </c>
      <c r="Y26" s="425">
        <v>8.3599999999999994E-3</v>
      </c>
      <c r="Z26" s="426">
        <f>Table2[[#This Row],[Affected population without refugees]]*Table2[[#This Row],[% Female adults aged over 60]]</f>
        <v>577.31345023417873</v>
      </c>
      <c r="AA26" s="427">
        <v>13088.267787245763</v>
      </c>
    </row>
    <row r="27" spans="1:27" ht="14.4" x14ac:dyDescent="0.55000000000000004">
      <c r="A27" t="s">
        <v>268</v>
      </c>
      <c r="B27" t="s">
        <v>269</v>
      </c>
      <c r="C27" t="s">
        <v>288</v>
      </c>
      <c r="D27" t="s">
        <v>289</v>
      </c>
      <c r="E27" s="415">
        <v>132528.55401286756</v>
      </c>
      <c r="F27" s="423">
        <v>0</v>
      </c>
      <c r="G27" s="423">
        <v>25870.030094616061</v>
      </c>
      <c r="H27" s="423">
        <v>5169</v>
      </c>
      <c r="I27" s="423">
        <v>77537.996273544151</v>
      </c>
      <c r="J27" s="423">
        <f t="shared" si="0"/>
        <v>108577.02636816021</v>
      </c>
      <c r="K27" s="425">
        <v>7.3700000000000002E-2</v>
      </c>
      <c r="L27" s="426">
        <f>Table2[[#This Row],[% Male children under 5]]*Table2[[#This Row],[Affected population without refugees]]</f>
        <v>8002.1268433334071</v>
      </c>
      <c r="M27" s="425">
        <v>8.3400000000000002E-2</v>
      </c>
      <c r="N27" s="426">
        <f>Table2[[#This Row],[Affected population without refugees]]*Table2[[#This Row],[% Female children under 5]]</f>
        <v>9055.3239991045612</v>
      </c>
      <c r="O27" s="425">
        <v>0.15200000000000002</v>
      </c>
      <c r="P27" s="426">
        <f>Table2[[#This Row],[Affected population without refugees]]*Table2[[#This Row],[% Male children aged 5 - 17 years]]</f>
        <v>16503.708007960355</v>
      </c>
      <c r="Q27" s="425">
        <v>0.17299999999999999</v>
      </c>
      <c r="R27" s="426">
        <f>Table2[[#This Row],[Affected population without refugees]]*Table2[[#This Row],[% Female children aged 5 - 17 years]]</f>
        <v>18783.825561691716</v>
      </c>
      <c r="S27" s="425">
        <v>0.18</v>
      </c>
      <c r="T27" s="426">
        <f>Table2[[#This Row],[Affected population without refugees]]*Table2[[#This Row],[% Male adults aged 18 - 60]]</f>
        <v>19543.864746268835</v>
      </c>
      <c r="U27" s="425">
        <v>0.25600000000000001</v>
      </c>
      <c r="V27" s="426">
        <f>Table2[[#This Row],[Affected population without refugees]]*Table2[[#This Row],[% Female adults aged 18 - 60]]</f>
        <v>27795.718750249012</v>
      </c>
      <c r="W27" s="425">
        <v>4.1200000000000001E-2</v>
      </c>
      <c r="X27" s="426">
        <f>Table2[[#This Row],[Affected population without refugees]]*Table2[[#This Row],[% Male adults aged over 60]]</f>
        <v>4473.3734863682002</v>
      </c>
      <c r="Y27" s="425">
        <v>4.07E-2</v>
      </c>
      <c r="Z27" s="426">
        <f>Table2[[#This Row],[Affected population without refugees]]*Table2[[#This Row],[% Female adults aged over 60]]</f>
        <v>4419.0849731841208</v>
      </c>
      <c r="AA27" s="427">
        <v>19879.283101930134</v>
      </c>
    </row>
    <row r="28" spans="1:27" ht="14.4" x14ac:dyDescent="0.55000000000000004">
      <c r="A28" t="s">
        <v>268</v>
      </c>
      <c r="B28" t="s">
        <v>269</v>
      </c>
      <c r="C28" t="s">
        <v>290</v>
      </c>
      <c r="D28" t="s">
        <v>291</v>
      </c>
      <c r="E28" s="415">
        <v>208358.86128993545</v>
      </c>
      <c r="F28" s="423">
        <v>0</v>
      </c>
      <c r="G28" s="423">
        <v>23976.103995536083</v>
      </c>
      <c r="H28" s="423">
        <v>5651</v>
      </c>
      <c r="I28" s="423">
        <v>136551.06257292113</v>
      </c>
      <c r="J28" s="423">
        <f t="shared" si="0"/>
        <v>166178.16656845721</v>
      </c>
      <c r="K28" s="425">
        <v>0.14360000000000001</v>
      </c>
      <c r="L28" s="426">
        <f>Table2[[#This Row],[% Male children under 5]]*Table2[[#This Row],[Affected population without refugees]]</f>
        <v>23863.184719230456</v>
      </c>
      <c r="M28" s="425">
        <v>0.129</v>
      </c>
      <c r="N28" s="426">
        <f>Table2[[#This Row],[Affected population without refugees]]*Table2[[#This Row],[% Female children under 5]]</f>
        <v>21436.983487330981</v>
      </c>
      <c r="O28" s="425">
        <v>0.14400000000000002</v>
      </c>
      <c r="P28" s="426">
        <f>Table2[[#This Row],[Affected population without refugees]]*Table2[[#This Row],[% Male children aged 5 - 17 years]]</f>
        <v>23929.65598585784</v>
      </c>
      <c r="Q28" s="425">
        <v>0.17799999999999999</v>
      </c>
      <c r="R28" s="426">
        <f>Table2[[#This Row],[Affected population without refugees]]*Table2[[#This Row],[% Female children aged 5 - 17 years]]</f>
        <v>29579.713649185382</v>
      </c>
      <c r="S28" s="425">
        <v>0.183</v>
      </c>
      <c r="T28" s="426">
        <f>Table2[[#This Row],[Affected population without refugees]]*Table2[[#This Row],[% Male adults aged 18 - 60]]</f>
        <v>30410.604482027669</v>
      </c>
      <c r="U28" s="425">
        <v>0.193</v>
      </c>
      <c r="V28" s="426">
        <f>Table2[[#This Row],[Affected population without refugees]]*Table2[[#This Row],[% Female adults aged 18 - 60]]</f>
        <v>32072.386147712241</v>
      </c>
      <c r="W28" s="425">
        <v>1.26E-2</v>
      </c>
      <c r="X28" s="426">
        <f>Table2[[#This Row],[Affected population without refugees]]*Table2[[#This Row],[% Male adults aged over 60]]</f>
        <v>2093.8448987625607</v>
      </c>
      <c r="Y28" s="425">
        <v>1.6799999999999999E-2</v>
      </c>
      <c r="Z28" s="426">
        <f>Table2[[#This Row],[Affected population without refugees]]*Table2[[#This Row],[% Female adults aged over 60]]</f>
        <v>2791.7931983500807</v>
      </c>
      <c r="AA28" s="427">
        <v>31253.829193490317</v>
      </c>
    </row>
    <row r="29" spans="1:27" ht="14.4" x14ac:dyDescent="0.55000000000000004">
      <c r="A29" t="s">
        <v>292</v>
      </c>
      <c r="B29" t="s">
        <v>293</v>
      </c>
      <c r="C29" t="s">
        <v>294</v>
      </c>
      <c r="D29" t="s">
        <v>295</v>
      </c>
      <c r="E29" s="415">
        <v>148492.1062800014</v>
      </c>
      <c r="F29" s="423">
        <v>0</v>
      </c>
      <c r="G29" s="423">
        <v>48668.970941608946</v>
      </c>
      <c r="H29" s="423">
        <v>3073.7142857142899</v>
      </c>
      <c r="I29" s="423">
        <v>73916.557684246116</v>
      </c>
      <c r="J29" s="423">
        <f t="shared" si="0"/>
        <v>125659.24291156935</v>
      </c>
      <c r="K29" s="425">
        <v>6.3399999999999998E-2</v>
      </c>
      <c r="L29" s="426">
        <f>Table2[[#This Row],[% Male children under 5]]*Table2[[#This Row],[Affected population without refugees]]</f>
        <v>7966.7960005934965</v>
      </c>
      <c r="M29" s="425">
        <v>6.0999999999999999E-2</v>
      </c>
      <c r="N29" s="426">
        <f>Table2[[#This Row],[Affected population without refugees]]*Table2[[#This Row],[% Female children under 5]]</f>
        <v>7665.2138176057306</v>
      </c>
      <c r="O29" s="425">
        <v>0.22700000000000001</v>
      </c>
      <c r="P29" s="426">
        <f>Table2[[#This Row],[Affected population without refugees]]*Table2[[#This Row],[% Male children aged 5 - 17 years]]</f>
        <v>28524.648140926245</v>
      </c>
      <c r="Q29" s="425">
        <v>0.23400000000000001</v>
      </c>
      <c r="R29" s="426">
        <f>Table2[[#This Row],[Affected population without refugees]]*Table2[[#This Row],[% Female children aged 5 - 17 years]]</f>
        <v>29404.262841307231</v>
      </c>
      <c r="S29" s="425">
        <v>0.1774</v>
      </c>
      <c r="T29" s="426">
        <f>Table2[[#This Row],[Affected population without refugees]]*Table2[[#This Row],[% Male adults aged 18 - 60]]</f>
        <v>22291.949692512404</v>
      </c>
      <c r="U29" s="425">
        <v>0.19400000000000001</v>
      </c>
      <c r="V29" s="426">
        <f>Table2[[#This Row],[Affected population without refugees]]*Table2[[#This Row],[% Female adults aged 18 - 60]]</f>
        <v>24377.893124844453</v>
      </c>
      <c r="W29" s="425">
        <v>1.9200000000000002E-2</v>
      </c>
      <c r="X29" s="426">
        <f>Table2[[#This Row],[Affected population without refugees]]*Table2[[#This Row],[% Male adults aged over 60]]</f>
        <v>2412.6574639021319</v>
      </c>
      <c r="Y29" s="425">
        <v>2.4E-2</v>
      </c>
      <c r="Z29" s="426">
        <f>Table2[[#This Row],[Affected population without refugees]]*Table2[[#This Row],[% Female adults aged over 60]]</f>
        <v>3015.8218298776646</v>
      </c>
      <c r="AA29" s="427">
        <v>22273.815942000208</v>
      </c>
    </row>
    <row r="30" spans="1:27" ht="14.4" x14ac:dyDescent="0.55000000000000004">
      <c r="A30" t="s">
        <v>292</v>
      </c>
      <c r="B30" t="s">
        <v>293</v>
      </c>
      <c r="C30" t="s">
        <v>296</v>
      </c>
      <c r="D30" t="s">
        <v>297</v>
      </c>
      <c r="E30" s="415">
        <v>194933.33965781724</v>
      </c>
      <c r="F30" s="423">
        <v>0</v>
      </c>
      <c r="G30" s="423">
        <v>5443.7472474147844</v>
      </c>
      <c r="H30" s="423">
        <v>1148</v>
      </c>
      <c r="I30" s="423">
        <v>143892.97660154747</v>
      </c>
      <c r="J30" s="423">
        <f t="shared" si="0"/>
        <v>150484.72384896225</v>
      </c>
      <c r="K30" s="425">
        <v>7.5399999999999995E-2</v>
      </c>
      <c r="L30" s="426">
        <f>Table2[[#This Row],[% Male children under 5]]*Table2[[#This Row],[Affected population without refugees]]</f>
        <v>11346.548178211753</v>
      </c>
      <c r="M30" s="425">
        <v>4.2599999999999999E-2</v>
      </c>
      <c r="N30" s="426">
        <f>Table2[[#This Row],[Affected population without refugees]]*Table2[[#This Row],[% Female children under 5]]</f>
        <v>6410.6492359657923</v>
      </c>
      <c r="O30" s="425">
        <v>0.22500000000000001</v>
      </c>
      <c r="P30" s="426">
        <f>Table2[[#This Row],[Affected population without refugees]]*Table2[[#This Row],[% Male children aged 5 - 17 years]]</f>
        <v>33859.062866016509</v>
      </c>
      <c r="Q30" s="425">
        <v>0.20399999999999999</v>
      </c>
      <c r="R30" s="426">
        <f>Table2[[#This Row],[Affected population without refugees]]*Table2[[#This Row],[% Female children aged 5 - 17 years]]</f>
        <v>30698.883665188299</v>
      </c>
      <c r="S30" s="425">
        <v>0.17700000000000002</v>
      </c>
      <c r="T30" s="426">
        <f>Table2[[#This Row],[Affected population without refugees]]*Table2[[#This Row],[% Male adults aged 18 - 60]]</f>
        <v>26635.796121266321</v>
      </c>
      <c r="U30" s="425">
        <v>0.16600000000000001</v>
      </c>
      <c r="V30" s="426">
        <f>Table2[[#This Row],[Affected population without refugees]]*Table2[[#This Row],[% Female adults aged 18 - 60]]</f>
        <v>24980.464158927734</v>
      </c>
      <c r="W30" s="425">
        <v>4.9800000000000004E-2</v>
      </c>
      <c r="X30" s="426">
        <f>Table2[[#This Row],[Affected population without refugees]]*Table2[[#This Row],[% Male adults aged over 60]]</f>
        <v>7494.1392476783212</v>
      </c>
      <c r="Y30" s="425">
        <v>6.0199999999999997E-2</v>
      </c>
      <c r="Z30" s="426">
        <f>Table2[[#This Row],[Affected population without refugees]]*Table2[[#This Row],[% Female adults aged over 60]]</f>
        <v>9059.1803757075268</v>
      </c>
      <c r="AA30" s="427">
        <v>29240.000948672587</v>
      </c>
    </row>
    <row r="31" spans="1:27" ht="14.4" x14ac:dyDescent="0.55000000000000004">
      <c r="A31" t="s">
        <v>292</v>
      </c>
      <c r="B31" t="s">
        <v>293</v>
      </c>
      <c r="C31" t="s">
        <v>298</v>
      </c>
      <c r="D31" t="s">
        <v>299</v>
      </c>
      <c r="E31" s="415">
        <v>229448.01565683447</v>
      </c>
      <c r="F31" s="423">
        <v>0</v>
      </c>
      <c r="G31" s="423">
        <v>2921.2783873957369</v>
      </c>
      <c r="H31" s="423">
        <v>2881</v>
      </c>
      <c r="I31" s="423">
        <v>170865.34327385121</v>
      </c>
      <c r="J31" s="423">
        <f t="shared" si="0"/>
        <v>176667.62166124693</v>
      </c>
      <c r="K31" s="425">
        <v>8.1100000000000005E-2</v>
      </c>
      <c r="L31" s="426">
        <f>Table2[[#This Row],[% Male children under 5]]*Table2[[#This Row],[Affected population without refugees]]</f>
        <v>14327.744116727126</v>
      </c>
      <c r="M31" s="425">
        <v>5.57E-2</v>
      </c>
      <c r="N31" s="426">
        <f>Table2[[#This Row],[Affected population without refugees]]*Table2[[#This Row],[% Female children under 5]]</f>
        <v>9840.3865265314544</v>
      </c>
      <c r="O31" s="425">
        <v>0.221</v>
      </c>
      <c r="P31" s="426">
        <f>Table2[[#This Row],[Affected population without refugees]]*Table2[[#This Row],[% Male children aged 5 - 17 years]]</f>
        <v>39043.544387135575</v>
      </c>
      <c r="Q31" s="425">
        <v>0.22600000000000001</v>
      </c>
      <c r="R31" s="426">
        <f>Table2[[#This Row],[Affected population without refugees]]*Table2[[#This Row],[% Female children aged 5 - 17 years]]</f>
        <v>39926.882495441809</v>
      </c>
      <c r="S31" s="425">
        <v>0.19600000000000001</v>
      </c>
      <c r="T31" s="426">
        <f>Table2[[#This Row],[Affected population without refugees]]*Table2[[#This Row],[% Male adults aged 18 - 60]]</f>
        <v>34626.853845604397</v>
      </c>
      <c r="U31" s="425">
        <v>0.193</v>
      </c>
      <c r="V31" s="426">
        <f>Table2[[#This Row],[Affected population without refugees]]*Table2[[#This Row],[% Female adults aged 18 - 60]]</f>
        <v>34096.850980620657</v>
      </c>
      <c r="W31" s="425">
        <v>1.03E-2</v>
      </c>
      <c r="X31" s="426">
        <f>Table2[[#This Row],[Affected population without refugees]]*Table2[[#This Row],[% Male adults aged over 60]]</f>
        <v>1819.6765031108434</v>
      </c>
      <c r="Y31" s="425">
        <v>1.6899999999999998E-2</v>
      </c>
      <c r="Z31" s="426">
        <f>Table2[[#This Row],[Affected population without refugees]]*Table2[[#This Row],[% Female adults aged over 60]]</f>
        <v>2985.6828060750727</v>
      </c>
      <c r="AA31" s="427">
        <v>34417.20234852517</v>
      </c>
    </row>
    <row r="32" spans="1:27" ht="14.4" x14ac:dyDescent="0.55000000000000004">
      <c r="A32" t="s">
        <v>292</v>
      </c>
      <c r="B32" t="s">
        <v>293</v>
      </c>
      <c r="C32" t="s">
        <v>300</v>
      </c>
      <c r="D32" t="s">
        <v>301</v>
      </c>
      <c r="E32" s="415">
        <v>185651.18440637112</v>
      </c>
      <c r="F32" s="423">
        <v>0</v>
      </c>
      <c r="G32" s="423">
        <v>6808.1234044964567</v>
      </c>
      <c r="H32" s="423">
        <v>6622</v>
      </c>
      <c r="I32" s="423">
        <v>131576.89060543224</v>
      </c>
      <c r="J32" s="423">
        <f t="shared" si="0"/>
        <v>145007.01400992871</v>
      </c>
      <c r="K32" s="425">
        <v>9.2799999999999994E-2</v>
      </c>
      <c r="L32" s="426">
        <f>Table2[[#This Row],[% Male children under 5]]*Table2[[#This Row],[Affected population without refugees]]</f>
        <v>13456.650900121384</v>
      </c>
      <c r="M32" s="425">
        <v>7.8200000000000006E-2</v>
      </c>
      <c r="N32" s="426">
        <f>Table2[[#This Row],[Affected population without refugees]]*Table2[[#This Row],[% Female children under 5]]</f>
        <v>11339.548495576426</v>
      </c>
      <c r="O32" s="425">
        <v>0.18290000000000001</v>
      </c>
      <c r="P32" s="426">
        <f>Table2[[#This Row],[Affected population without refugees]]*Table2[[#This Row],[% Male children aged 5 - 17 years]]</f>
        <v>26521.782862415963</v>
      </c>
      <c r="Q32" s="425">
        <v>0.20399999999999999</v>
      </c>
      <c r="R32" s="426">
        <f>Table2[[#This Row],[Affected population without refugees]]*Table2[[#This Row],[% Female children aged 5 - 17 years]]</f>
        <v>29581.430858025455</v>
      </c>
      <c r="S32" s="425">
        <v>0.19900000000000001</v>
      </c>
      <c r="T32" s="426">
        <f>Table2[[#This Row],[Affected population without refugees]]*Table2[[#This Row],[% Male adults aged 18 - 60]]</f>
        <v>28856.395787975816</v>
      </c>
      <c r="U32" s="425">
        <v>0.2</v>
      </c>
      <c r="V32" s="426">
        <f>Table2[[#This Row],[Affected population without refugees]]*Table2[[#This Row],[% Female adults aged 18 - 60]]</f>
        <v>29001.402801985743</v>
      </c>
      <c r="W32" s="425">
        <v>1.5799999999999998E-2</v>
      </c>
      <c r="X32" s="426">
        <f>Table2[[#This Row],[Affected population without refugees]]*Table2[[#This Row],[% Male adults aged over 60]]</f>
        <v>2291.1108213568732</v>
      </c>
      <c r="Y32" s="425">
        <v>2.7300000000000001E-2</v>
      </c>
      <c r="Z32" s="426">
        <f>Table2[[#This Row],[Affected population without refugees]]*Table2[[#This Row],[% Female adults aged over 60]]</f>
        <v>3958.6914824710539</v>
      </c>
      <c r="AA32" s="427">
        <v>27847.677660955665</v>
      </c>
    </row>
    <row r="33" spans="1:27" ht="14.4" x14ac:dyDescent="0.55000000000000004">
      <c r="A33" t="s">
        <v>292</v>
      </c>
      <c r="B33" t="s">
        <v>293</v>
      </c>
      <c r="C33" t="s">
        <v>302</v>
      </c>
      <c r="D33" t="s">
        <v>303</v>
      </c>
      <c r="E33" s="415">
        <v>77350.159697339666</v>
      </c>
      <c r="F33" s="423">
        <v>0</v>
      </c>
      <c r="G33" s="423">
        <v>23157.383024277355</v>
      </c>
      <c r="H33" s="423">
        <v>3719.2857142857101</v>
      </c>
      <c r="I33" s="423">
        <v>38561.747092505328</v>
      </c>
      <c r="J33" s="423">
        <f t="shared" si="0"/>
        <v>65438.415831068392</v>
      </c>
      <c r="K33" s="425">
        <v>9.5500000000000002E-2</v>
      </c>
      <c r="L33" s="426">
        <f>Table2[[#This Row],[% Male children under 5]]*Table2[[#This Row],[Affected population without refugees]]</f>
        <v>6249.3687118670314</v>
      </c>
      <c r="M33" s="425">
        <v>9.7600000000000006E-2</v>
      </c>
      <c r="N33" s="426">
        <f>Table2[[#This Row],[Affected population without refugees]]*Table2[[#This Row],[% Female children under 5]]</f>
        <v>6386.7893851122753</v>
      </c>
      <c r="O33" s="425">
        <v>0.20299999999999999</v>
      </c>
      <c r="P33" s="426">
        <f>Table2[[#This Row],[Affected population without refugees]]*Table2[[#This Row],[% Male children aged 5 - 17 years]]</f>
        <v>13283.998413706882</v>
      </c>
      <c r="Q33" s="425">
        <v>0.216</v>
      </c>
      <c r="R33" s="426">
        <f>Table2[[#This Row],[Affected population without refugees]]*Table2[[#This Row],[% Female children aged 5 - 17 years]]</f>
        <v>14134.697819510773</v>
      </c>
      <c r="S33" s="425">
        <v>0.151</v>
      </c>
      <c r="T33" s="426">
        <f>Table2[[#This Row],[Affected population without refugees]]*Table2[[#This Row],[% Male adults aged 18 - 60]]</f>
        <v>9881.2007904913262</v>
      </c>
      <c r="U33" s="425">
        <v>0.17</v>
      </c>
      <c r="V33" s="426">
        <f>Table2[[#This Row],[Affected population without refugees]]*Table2[[#This Row],[% Female adults aged 18 - 60]]</f>
        <v>11124.530691281627</v>
      </c>
      <c r="W33" s="425">
        <v>3.1699999999999999E-2</v>
      </c>
      <c r="X33" s="426">
        <f>Table2[[#This Row],[Affected population without refugees]]*Table2[[#This Row],[% Male adults aged over 60]]</f>
        <v>2074.3977818448679</v>
      </c>
      <c r="Y33" s="425">
        <v>3.5200000000000002E-2</v>
      </c>
      <c r="Z33" s="426">
        <f>Table2[[#This Row],[Affected population without refugees]]*Table2[[#This Row],[% Female adults aged over 60]]</f>
        <v>2303.4322372536076</v>
      </c>
      <c r="AA33" s="427">
        <v>11602.523954600949</v>
      </c>
    </row>
    <row r="34" spans="1:27" ht="14.4" x14ac:dyDescent="0.55000000000000004">
      <c r="A34" t="s">
        <v>292</v>
      </c>
      <c r="B34" t="s">
        <v>293</v>
      </c>
      <c r="C34" t="s">
        <v>304</v>
      </c>
      <c r="D34" t="s">
        <v>305</v>
      </c>
      <c r="E34" s="415">
        <v>94694.735729952197</v>
      </c>
      <c r="F34" s="423">
        <v>0</v>
      </c>
      <c r="G34" s="423">
        <v>9602.9953236523688</v>
      </c>
      <c r="H34" s="423">
        <v>2968</v>
      </c>
      <c r="I34" s="423">
        <v>62742.537670413069</v>
      </c>
      <c r="J34" s="423">
        <f t="shared" si="0"/>
        <v>75313.532994065434</v>
      </c>
      <c r="K34" s="425">
        <v>8.0500000000000002E-2</v>
      </c>
      <c r="L34" s="426">
        <f>Table2[[#This Row],[% Male children under 5]]*Table2[[#This Row],[Affected population without refugees]]</f>
        <v>6062.7394060222678</v>
      </c>
      <c r="M34" s="425">
        <v>7.0599999999999996E-2</v>
      </c>
      <c r="N34" s="426">
        <f>Table2[[#This Row],[Affected population without refugees]]*Table2[[#This Row],[% Female children under 5]]</f>
        <v>5317.1354293810191</v>
      </c>
      <c r="O34" s="425">
        <v>0.21700000000000003</v>
      </c>
      <c r="P34" s="426">
        <f>Table2[[#This Row],[Affected population without refugees]]*Table2[[#This Row],[% Male children aged 5 - 17 years]]</f>
        <v>16343.036659712201</v>
      </c>
      <c r="Q34" s="425">
        <v>0.184</v>
      </c>
      <c r="R34" s="426">
        <f>Table2[[#This Row],[Affected population without refugees]]*Table2[[#This Row],[% Female children aged 5 - 17 years]]</f>
        <v>13857.69007090804</v>
      </c>
      <c r="S34" s="425">
        <v>0.19800000000000001</v>
      </c>
      <c r="T34" s="426">
        <f>Table2[[#This Row],[Affected population without refugees]]*Table2[[#This Row],[% Male adults aged 18 - 60]]</f>
        <v>14912.079532824957</v>
      </c>
      <c r="U34" s="425">
        <v>0.188</v>
      </c>
      <c r="V34" s="426">
        <f>Table2[[#This Row],[Affected population without refugees]]*Table2[[#This Row],[% Female adults aged 18 - 60]]</f>
        <v>14158.944202884302</v>
      </c>
      <c r="W34" s="425">
        <v>2.8199999999999996E-2</v>
      </c>
      <c r="X34" s="426">
        <f>Table2[[#This Row],[Affected population without refugees]]*Table2[[#This Row],[% Male adults aged over 60]]</f>
        <v>2123.8416304326447</v>
      </c>
      <c r="Y34" s="425">
        <v>3.3700000000000001E-2</v>
      </c>
      <c r="Z34" s="426">
        <f>Table2[[#This Row],[Affected population without refugees]]*Table2[[#This Row],[% Female adults aged over 60]]</f>
        <v>2538.066061900005</v>
      </c>
      <c r="AA34" s="427">
        <v>14204.210359492829</v>
      </c>
    </row>
    <row r="35" spans="1:27" ht="14.4" x14ac:dyDescent="0.55000000000000004">
      <c r="A35" t="s">
        <v>292</v>
      </c>
      <c r="B35" t="s">
        <v>293</v>
      </c>
      <c r="C35" t="s">
        <v>306</v>
      </c>
      <c r="D35" t="s">
        <v>307</v>
      </c>
      <c r="E35" s="415">
        <v>170834.37231427903</v>
      </c>
      <c r="F35" s="423">
        <v>0</v>
      </c>
      <c r="G35" s="423">
        <v>23378.692739825943</v>
      </c>
      <c r="H35" s="423">
        <v>3047.871016813448</v>
      </c>
      <c r="I35" s="423">
        <v>110327.5657380367</v>
      </c>
      <c r="J35" s="423">
        <f t="shared" ref="J35:J66" si="1">SUM(I35,H35,G35)</f>
        <v>136754.12949467608</v>
      </c>
      <c r="K35" s="425">
        <v>0.108</v>
      </c>
      <c r="L35" s="426">
        <f>Table2[[#This Row],[% Male children under 5]]*Table2[[#This Row],[Affected population without refugees]]</f>
        <v>14769.445985425016</v>
      </c>
      <c r="M35" s="425">
        <v>9.6000000000000002E-2</v>
      </c>
      <c r="N35" s="426">
        <f>Table2[[#This Row],[Affected population without refugees]]*Table2[[#This Row],[% Female children under 5]]</f>
        <v>13128.396431488904</v>
      </c>
      <c r="O35" s="425">
        <v>0.159</v>
      </c>
      <c r="P35" s="426">
        <f>Table2[[#This Row],[Affected population without refugees]]*Table2[[#This Row],[% Male children aged 5 - 17 years]]</f>
        <v>21743.906589653496</v>
      </c>
      <c r="Q35" s="425">
        <v>0.17100000000000001</v>
      </c>
      <c r="R35" s="426">
        <f>Table2[[#This Row],[Affected population without refugees]]*Table2[[#This Row],[% Female children aged 5 - 17 years]]</f>
        <v>23384.95614358961</v>
      </c>
      <c r="S35" s="425">
        <v>0.20300000000000001</v>
      </c>
      <c r="T35" s="426">
        <f>Table2[[#This Row],[Affected population without refugees]]*Table2[[#This Row],[% Male adults aged 18 - 60]]</f>
        <v>27761.088287419247</v>
      </c>
      <c r="U35" s="425">
        <v>0.19600000000000001</v>
      </c>
      <c r="V35" s="426">
        <f>Table2[[#This Row],[Affected population without refugees]]*Table2[[#This Row],[% Female adults aged 18 - 60]]</f>
        <v>26803.809380956511</v>
      </c>
      <c r="W35" s="425">
        <v>2.5600000000000005E-2</v>
      </c>
      <c r="X35" s="426">
        <f>Table2[[#This Row],[Affected population without refugees]]*Table2[[#This Row],[% Male adults aged over 60]]</f>
        <v>3500.9057150637082</v>
      </c>
      <c r="Y35" s="425">
        <v>4.1399999999999999E-2</v>
      </c>
      <c r="Z35" s="426">
        <f>Table2[[#This Row],[Affected population without refugees]]*Table2[[#This Row],[% Female adults aged over 60]]</f>
        <v>5661.6209610795895</v>
      </c>
      <c r="AA35" s="427">
        <v>25625.155847141854</v>
      </c>
    </row>
    <row r="36" spans="1:27" ht="14.4" x14ac:dyDescent="0.55000000000000004">
      <c r="A36" t="s">
        <v>292</v>
      </c>
      <c r="B36" t="s">
        <v>293</v>
      </c>
      <c r="C36" t="s">
        <v>308</v>
      </c>
      <c r="D36" t="s">
        <v>309</v>
      </c>
      <c r="E36" s="415">
        <v>185519.38009642012</v>
      </c>
      <c r="F36" s="423">
        <v>0</v>
      </c>
      <c r="G36" s="423">
        <v>11657.898587687116</v>
      </c>
      <c r="H36" s="423">
        <v>5119.8571428571404</v>
      </c>
      <c r="I36" s="423">
        <v>128918.60101552917</v>
      </c>
      <c r="J36" s="423">
        <f t="shared" si="1"/>
        <v>145696.35674607343</v>
      </c>
      <c r="K36" s="425">
        <v>8.9200000000000002E-2</v>
      </c>
      <c r="L36" s="426">
        <f>Table2[[#This Row],[% Male children under 5]]*Table2[[#This Row],[Affected population without refugees]]</f>
        <v>12996.115021749751</v>
      </c>
      <c r="M36" s="425">
        <v>7.8E-2</v>
      </c>
      <c r="N36" s="426">
        <f>Table2[[#This Row],[Affected population without refugees]]*Table2[[#This Row],[% Female children under 5]]</f>
        <v>11364.315826193728</v>
      </c>
      <c r="O36" s="425">
        <v>0.16700000000000001</v>
      </c>
      <c r="P36" s="426">
        <f>Table2[[#This Row],[Affected population without refugees]]*Table2[[#This Row],[% Male children aged 5 - 17 years]]</f>
        <v>24331.291576594263</v>
      </c>
      <c r="Q36" s="425">
        <v>0.20499999999999999</v>
      </c>
      <c r="R36" s="426">
        <f>Table2[[#This Row],[Affected population without refugees]]*Table2[[#This Row],[% Female children aged 5 - 17 years]]</f>
        <v>29867.753132945054</v>
      </c>
      <c r="S36" s="425">
        <v>0.21000000000000002</v>
      </c>
      <c r="T36" s="426">
        <f>Table2[[#This Row],[Affected population without refugees]]*Table2[[#This Row],[% Male adults aged 18 - 60]]</f>
        <v>30596.234916675425</v>
      </c>
      <c r="U36" s="425">
        <v>0.17199999999999999</v>
      </c>
      <c r="V36" s="426">
        <f>Table2[[#This Row],[Affected population without refugees]]*Table2[[#This Row],[% Female adults aged 18 - 60]]</f>
        <v>25059.773360324627</v>
      </c>
      <c r="W36" s="425">
        <v>3.0799999999999994E-2</v>
      </c>
      <c r="X36" s="426">
        <f>Table2[[#This Row],[Affected population without refugees]]*Table2[[#This Row],[% Male adults aged over 60]]</f>
        <v>4487.4477877790605</v>
      </c>
      <c r="Y36" s="425">
        <v>4.8000000000000001E-2</v>
      </c>
      <c r="Z36" s="426">
        <f>Table2[[#This Row],[Affected population without refugees]]*Table2[[#This Row],[% Female adults aged over 60]]</f>
        <v>6993.4251238115248</v>
      </c>
      <c r="AA36" s="427">
        <v>27827.907014463017</v>
      </c>
    </row>
    <row r="37" spans="1:27" ht="14.4" x14ac:dyDescent="0.55000000000000004">
      <c r="A37" t="s">
        <v>310</v>
      </c>
      <c r="B37" t="s">
        <v>311</v>
      </c>
      <c r="C37" t="s">
        <v>312</v>
      </c>
      <c r="D37" t="s">
        <v>313</v>
      </c>
      <c r="E37" s="415">
        <v>94807.780880110629</v>
      </c>
      <c r="F37" s="423">
        <v>0</v>
      </c>
      <c r="G37" s="423">
        <v>8794.7895188948787</v>
      </c>
      <c r="H37" s="423">
        <v>16513.487018186021</v>
      </c>
      <c r="I37" s="423">
        <v>53097.621318074722</v>
      </c>
      <c r="J37" s="423">
        <f t="shared" si="1"/>
        <v>78405.897855155621</v>
      </c>
      <c r="K37" s="425">
        <v>0.17699999999999999</v>
      </c>
      <c r="L37" s="426">
        <f>Table2[[#This Row],[% Male children under 5]]*Table2[[#This Row],[Affected population without refugees]]</f>
        <v>13877.843920362544</v>
      </c>
      <c r="M37" s="425">
        <v>0.13900000000000001</v>
      </c>
      <c r="N37" s="426">
        <f>Table2[[#This Row],[Affected population without refugees]]*Table2[[#This Row],[% Female children under 5]]</f>
        <v>10898.419801866632</v>
      </c>
      <c r="O37" s="425">
        <v>0.14069999999999999</v>
      </c>
      <c r="P37" s="426">
        <f>Table2[[#This Row],[Affected population without refugees]]*Table2[[#This Row],[% Male children aged 5 - 17 years]]</f>
        <v>11031.709828220395</v>
      </c>
      <c r="Q37" s="425">
        <v>0.13300000000000001</v>
      </c>
      <c r="R37" s="426">
        <f>Table2[[#This Row],[Affected population without refugees]]*Table2[[#This Row],[% Female children aged 5 - 17 years]]</f>
        <v>10427.984414735698</v>
      </c>
      <c r="S37" s="425">
        <v>0.14899999999999999</v>
      </c>
      <c r="T37" s="426">
        <f>Table2[[#This Row],[Affected population without refugees]]*Table2[[#This Row],[% Male adults aged 18 - 60]]</f>
        <v>11682.478780418187</v>
      </c>
      <c r="U37" s="425">
        <v>0.16900000000000001</v>
      </c>
      <c r="V37" s="426">
        <f>Table2[[#This Row],[Affected population without refugees]]*Table2[[#This Row],[% Female adults aged 18 - 60]]</f>
        <v>13250.5967375213</v>
      </c>
      <c r="W37" s="425">
        <v>3.7099999999999994E-2</v>
      </c>
      <c r="X37" s="426">
        <f>Table2[[#This Row],[Affected population without refugees]]*Table2[[#This Row],[% Male adults aged over 60]]</f>
        <v>2908.8588104262731</v>
      </c>
      <c r="Y37" s="425">
        <v>5.5199999999999999E-2</v>
      </c>
      <c r="Z37" s="426">
        <f>Table2[[#This Row],[Affected population without refugees]]*Table2[[#This Row],[% Female adults aged over 60]]</f>
        <v>4328.0055616045902</v>
      </c>
      <c r="AA37" s="427">
        <v>14221.167132016593</v>
      </c>
    </row>
    <row r="38" spans="1:27" ht="14.4" x14ac:dyDescent="0.55000000000000004">
      <c r="A38" t="s">
        <v>310</v>
      </c>
      <c r="B38" t="s">
        <v>311</v>
      </c>
      <c r="C38" t="s">
        <v>314</v>
      </c>
      <c r="D38" t="s">
        <v>315</v>
      </c>
      <c r="E38" s="415">
        <v>418494.18933140463</v>
      </c>
      <c r="F38" s="423">
        <v>0</v>
      </c>
      <c r="G38" s="423">
        <v>56514.282244133567</v>
      </c>
      <c r="H38" s="423">
        <v>84624.371794578474</v>
      </c>
      <c r="I38" s="423">
        <v>211899.62896361714</v>
      </c>
      <c r="J38" s="423">
        <f t="shared" si="1"/>
        <v>353038.28300232923</v>
      </c>
      <c r="K38" s="425">
        <v>8.5400000000000004E-2</v>
      </c>
      <c r="L38" s="426">
        <f>Table2[[#This Row],[% Male children under 5]]*Table2[[#This Row],[Affected population without refugees]]</f>
        <v>30149.469368398917</v>
      </c>
      <c r="M38" s="425">
        <v>9.3399999999999997E-2</v>
      </c>
      <c r="N38" s="426">
        <f>Table2[[#This Row],[Affected population without refugees]]*Table2[[#This Row],[% Female children under 5]]</f>
        <v>32973.77563241755</v>
      </c>
      <c r="O38" s="425">
        <v>0.20280000000000001</v>
      </c>
      <c r="P38" s="426">
        <f>Table2[[#This Row],[Affected population without refugees]]*Table2[[#This Row],[% Male children aged 5 - 17 years]]</f>
        <v>71596.163792872365</v>
      </c>
      <c r="Q38" s="425">
        <v>0.21299999999999999</v>
      </c>
      <c r="R38" s="426">
        <f>Table2[[#This Row],[Affected population without refugees]]*Table2[[#This Row],[% Female children aged 5 - 17 years]]</f>
        <v>75197.154279496128</v>
      </c>
      <c r="S38" s="425">
        <v>0.15600000000000003</v>
      </c>
      <c r="T38" s="426">
        <f>Table2[[#This Row],[Affected population without refugees]]*Table2[[#This Row],[% Male adults aged 18 - 60]]</f>
        <v>55073.972148363369</v>
      </c>
      <c r="U38" s="425">
        <v>0.18</v>
      </c>
      <c r="V38" s="426">
        <f>Table2[[#This Row],[Affected population without refugees]]*Table2[[#This Row],[% Female adults aged 18 - 60]]</f>
        <v>63546.89094041926</v>
      </c>
      <c r="W38" s="425">
        <v>2.7000000000000003E-2</v>
      </c>
      <c r="X38" s="426">
        <f>Table2[[#This Row],[Affected population without refugees]]*Table2[[#This Row],[% Male adults aged over 60]]</f>
        <v>9532.0336410628897</v>
      </c>
      <c r="Y38" s="425">
        <v>4.24E-2</v>
      </c>
      <c r="Z38" s="426">
        <f>Table2[[#This Row],[Affected population without refugees]]*Table2[[#This Row],[% Female adults aged over 60]]</f>
        <v>14968.82319929876</v>
      </c>
      <c r="AA38" s="427">
        <v>62774.128399710695</v>
      </c>
    </row>
    <row r="39" spans="1:27" ht="14.4" x14ac:dyDescent="0.55000000000000004">
      <c r="A39" t="s">
        <v>310</v>
      </c>
      <c r="B39" t="s">
        <v>311</v>
      </c>
      <c r="C39" t="s">
        <v>316</v>
      </c>
      <c r="D39" t="s">
        <v>317</v>
      </c>
      <c r="E39" s="415">
        <v>205980.81569256005</v>
      </c>
      <c r="F39" s="423">
        <v>0</v>
      </c>
      <c r="G39" s="423">
        <v>0</v>
      </c>
      <c r="H39" s="423">
        <v>62262.159201647075</v>
      </c>
      <c r="I39" s="423">
        <v>109801.05355905752</v>
      </c>
      <c r="J39" s="423">
        <f t="shared" si="1"/>
        <v>172063.2127607046</v>
      </c>
      <c r="K39" s="425">
        <v>7.9600000000000004E-2</v>
      </c>
      <c r="L39" s="426">
        <f>Table2[[#This Row],[% Male children under 5]]*Table2[[#This Row],[Affected population without refugees]]</f>
        <v>13696.231735752086</v>
      </c>
      <c r="M39" s="425">
        <v>6.7799999999999999E-2</v>
      </c>
      <c r="N39" s="426">
        <f>Table2[[#This Row],[Affected population without refugees]]*Table2[[#This Row],[% Female children under 5]]</f>
        <v>11665.885825175772</v>
      </c>
      <c r="O39" s="425">
        <v>0.20219999999999999</v>
      </c>
      <c r="P39" s="426">
        <f>Table2[[#This Row],[Affected population without refugees]]*Table2[[#This Row],[% Male children aged 5 - 17 years]]</f>
        <v>34791.181620214469</v>
      </c>
      <c r="Q39" s="425">
        <v>0.23599999999999999</v>
      </c>
      <c r="R39" s="426">
        <f>Table2[[#This Row],[Affected population without refugees]]*Table2[[#This Row],[% Female children aged 5 - 17 years]]</f>
        <v>40606.918211526281</v>
      </c>
      <c r="S39" s="425">
        <v>0.15400000000000003</v>
      </c>
      <c r="T39" s="426">
        <f>Table2[[#This Row],[Affected population without refugees]]*Table2[[#This Row],[% Male adults aged 18 - 60]]</f>
        <v>26497.734765148514</v>
      </c>
      <c r="U39" s="425">
        <v>0.188</v>
      </c>
      <c r="V39" s="426">
        <f>Table2[[#This Row],[Affected population without refugees]]*Table2[[#This Row],[% Female adults aged 18 - 60]]</f>
        <v>32347.883999012465</v>
      </c>
      <c r="W39" s="425">
        <v>3.6700000000000003E-2</v>
      </c>
      <c r="X39" s="426">
        <f>Table2[[#This Row],[Affected population without refugees]]*Table2[[#This Row],[% Male adults aged over 60]]</f>
        <v>6314.7199083178593</v>
      </c>
      <c r="Y39" s="425">
        <v>3.5700000000000003E-2</v>
      </c>
      <c r="Z39" s="426">
        <f>Table2[[#This Row],[Affected population without refugees]]*Table2[[#This Row],[% Female adults aged over 60]]</f>
        <v>6142.6566955571543</v>
      </c>
      <c r="AA39" s="427">
        <v>30897.122353884006</v>
      </c>
    </row>
    <row r="40" spans="1:27" ht="14.4" x14ac:dyDescent="0.55000000000000004">
      <c r="A40" t="s">
        <v>310</v>
      </c>
      <c r="B40" t="s">
        <v>311</v>
      </c>
      <c r="C40" t="s">
        <v>318</v>
      </c>
      <c r="D40" t="s">
        <v>319</v>
      </c>
      <c r="E40" s="415">
        <v>155575.5133563744</v>
      </c>
      <c r="F40" s="423">
        <v>0</v>
      </c>
      <c r="G40" s="423">
        <v>8245.4682123487128</v>
      </c>
      <c r="H40" s="423">
        <v>8876.9955392885731</v>
      </c>
      <c r="I40" s="423">
        <v>105778.12989801918</v>
      </c>
      <c r="J40" s="423">
        <f t="shared" si="1"/>
        <v>122900.59364965647</v>
      </c>
      <c r="K40" s="425">
        <v>0.11</v>
      </c>
      <c r="L40" s="426">
        <f>Table2[[#This Row],[% Male children under 5]]*Table2[[#This Row],[Affected population without refugees]]</f>
        <v>13519.065301462211</v>
      </c>
      <c r="M40" s="425">
        <v>8.6599999999999996E-2</v>
      </c>
      <c r="N40" s="426">
        <f>Table2[[#This Row],[Affected population without refugees]]*Table2[[#This Row],[% Female children under 5]]</f>
        <v>10643.19141006025</v>
      </c>
      <c r="O40" s="425">
        <v>0.1585</v>
      </c>
      <c r="P40" s="426">
        <f>Table2[[#This Row],[Affected population without refugees]]*Table2[[#This Row],[% Male children aged 5 - 17 years]]</f>
        <v>19479.744093470552</v>
      </c>
      <c r="Q40" s="425">
        <v>0.189</v>
      </c>
      <c r="R40" s="426">
        <f>Table2[[#This Row],[Affected population without refugees]]*Table2[[#This Row],[% Female children aged 5 - 17 years]]</f>
        <v>23228.212199785074</v>
      </c>
      <c r="S40" s="425">
        <v>0.19399999999999998</v>
      </c>
      <c r="T40" s="426">
        <f>Table2[[#This Row],[Affected population without refugees]]*Table2[[#This Row],[% Male adults aged 18 - 60]]</f>
        <v>23842.715168033352</v>
      </c>
      <c r="U40" s="425">
        <v>0.23</v>
      </c>
      <c r="V40" s="426">
        <f>Table2[[#This Row],[Affected population without refugees]]*Table2[[#This Row],[% Female adults aged 18 - 60]]</f>
        <v>28267.13653942099</v>
      </c>
      <c r="W40" s="425">
        <v>1.5699999999999999E-2</v>
      </c>
      <c r="X40" s="426">
        <f>Table2[[#This Row],[Affected population without refugees]]*Table2[[#This Row],[% Male adults aged over 60]]</f>
        <v>1929.5393202996063</v>
      </c>
      <c r="Y40" s="425">
        <v>1.6199999999999999E-2</v>
      </c>
      <c r="Z40" s="426">
        <f>Table2[[#This Row],[Affected population without refugees]]*Table2[[#This Row],[% Female adults aged over 60]]</f>
        <v>1990.9896171244347</v>
      </c>
      <c r="AA40" s="427">
        <v>23336.327003456161</v>
      </c>
    </row>
    <row r="41" spans="1:27" ht="14.4" x14ac:dyDescent="0.55000000000000004">
      <c r="A41" t="s">
        <v>310</v>
      </c>
      <c r="B41" t="s">
        <v>311</v>
      </c>
      <c r="C41" t="s">
        <v>320</v>
      </c>
      <c r="D41" t="s">
        <v>321</v>
      </c>
      <c r="E41" s="415">
        <v>228970.15568787247</v>
      </c>
      <c r="F41" s="423">
        <v>32319</v>
      </c>
      <c r="G41" s="423">
        <v>736.57326854984808</v>
      </c>
      <c r="H41" s="423">
        <v>46727.292920050364</v>
      </c>
      <c r="I41" s="423">
        <v>138670.80517744401</v>
      </c>
      <c r="J41" s="423">
        <f t="shared" si="1"/>
        <v>186134.6713660442</v>
      </c>
      <c r="K41" s="425">
        <v>0.10199999999999999</v>
      </c>
      <c r="L41" s="426">
        <f>Table2[[#This Row],[% Male children under 5]]*Table2[[#This Row],[Affected population without refugees]]</f>
        <v>18985.736479336509</v>
      </c>
      <c r="M41" s="425">
        <v>0.11600000000000001</v>
      </c>
      <c r="N41" s="426">
        <f>Table2[[#This Row],[Affected population without refugees]]*Table2[[#This Row],[% Female children under 5]]</f>
        <v>21591.62187846113</v>
      </c>
      <c r="O41" s="425">
        <v>0.191</v>
      </c>
      <c r="P41" s="426">
        <f>Table2[[#This Row],[Affected population without refugees]]*Table2[[#This Row],[% Male children aged 5 - 17 years]]</f>
        <v>35551.722230914442</v>
      </c>
      <c r="Q41" s="425">
        <v>0.193</v>
      </c>
      <c r="R41" s="426">
        <f>Table2[[#This Row],[Affected population without refugees]]*Table2[[#This Row],[% Female children aged 5 - 17 years]]</f>
        <v>35923.991573646534</v>
      </c>
      <c r="S41" s="425">
        <v>0.17399999999999999</v>
      </c>
      <c r="T41" s="426">
        <f>Table2[[#This Row],[Affected population without refugees]]*Table2[[#This Row],[% Male adults aged 18 - 60]]</f>
        <v>32387.43281769169</v>
      </c>
      <c r="U41" s="425">
        <v>0.18</v>
      </c>
      <c r="V41" s="426">
        <f>Table2[[#This Row],[Affected population without refugees]]*Table2[[#This Row],[% Female adults aged 18 - 60]]</f>
        <v>33504.240845887958</v>
      </c>
      <c r="W41" s="425">
        <v>2.18E-2</v>
      </c>
      <c r="X41" s="426">
        <f>Table2[[#This Row],[Affected population without refugees]]*Table2[[#This Row],[% Male adults aged over 60]]</f>
        <v>4057.7358357797634</v>
      </c>
      <c r="Y41" s="425">
        <v>2.2200000000000001E-2</v>
      </c>
      <c r="Z41" s="426">
        <f>Table2[[#This Row],[Affected population without refugees]]*Table2[[#This Row],[% Female adults aged over 60]]</f>
        <v>4132.1897043261815</v>
      </c>
      <c r="AA41" s="427">
        <v>39193.373353180868</v>
      </c>
    </row>
    <row r="42" spans="1:27" ht="14.4" x14ac:dyDescent="0.55000000000000004">
      <c r="A42" t="s">
        <v>322</v>
      </c>
      <c r="B42" t="s">
        <v>323</v>
      </c>
      <c r="C42" t="s">
        <v>324</v>
      </c>
      <c r="D42" t="s">
        <v>325</v>
      </c>
      <c r="E42" s="415">
        <v>61202.762432286021</v>
      </c>
      <c r="F42" s="423">
        <v>0</v>
      </c>
      <c r="G42" s="423">
        <v>8191.9832367247782</v>
      </c>
      <c r="H42" s="423">
        <v>1708.2679972549467</v>
      </c>
      <c r="I42" s="423">
        <v>39195.118555506007</v>
      </c>
      <c r="J42" s="423">
        <f t="shared" si="1"/>
        <v>49095.369789485732</v>
      </c>
      <c r="K42" s="425">
        <v>9.9299999999999999E-2</v>
      </c>
      <c r="L42" s="426">
        <f>Table2[[#This Row],[% Male children under 5]]*Table2[[#This Row],[Affected population without refugees]]</f>
        <v>4875.1702200959335</v>
      </c>
      <c r="M42" s="425">
        <v>8.5199999999999998E-2</v>
      </c>
      <c r="N42" s="426">
        <f>Table2[[#This Row],[Affected population without refugees]]*Table2[[#This Row],[% Female children under 5]]</f>
        <v>4182.9255060641844</v>
      </c>
      <c r="O42" s="425">
        <v>0.1832</v>
      </c>
      <c r="P42" s="426">
        <f>Table2[[#This Row],[Affected population without refugees]]*Table2[[#This Row],[% Male children aged 5 - 17 years]]</f>
        <v>8994.2717454337871</v>
      </c>
      <c r="Q42" s="425">
        <v>0.16</v>
      </c>
      <c r="R42" s="426">
        <f>Table2[[#This Row],[Affected population without refugees]]*Table2[[#This Row],[% Female children aged 5 - 17 years]]</f>
        <v>7855.2591663177172</v>
      </c>
      <c r="S42" s="425">
        <v>0.19899999999999998</v>
      </c>
      <c r="T42" s="426">
        <f>Table2[[#This Row],[Affected population without refugees]]*Table2[[#This Row],[% Male adults aged 18 - 60]]</f>
        <v>9769.9785881076605</v>
      </c>
      <c r="U42" s="425">
        <v>0.23300000000000001</v>
      </c>
      <c r="V42" s="426">
        <f>Table2[[#This Row],[Affected population without refugees]]*Table2[[#This Row],[% Female adults aged 18 - 60]]</f>
        <v>11439.221160950176</v>
      </c>
      <c r="W42" s="425">
        <v>1.8200000000000001E-2</v>
      </c>
      <c r="X42" s="426">
        <f>Table2[[#This Row],[Affected population without refugees]]*Table2[[#This Row],[% Male adults aged over 60]]</f>
        <v>893.53573016864038</v>
      </c>
      <c r="Y42" s="425">
        <v>2.2100000000000002E-2</v>
      </c>
      <c r="Z42" s="426">
        <f>Table2[[#This Row],[Affected population without refugees]]*Table2[[#This Row],[% Female adults aged over 60]]</f>
        <v>1085.0076723476348</v>
      </c>
      <c r="AA42" s="427">
        <v>9180.4143648429035</v>
      </c>
    </row>
    <row r="43" spans="1:27" ht="14.4" x14ac:dyDescent="0.55000000000000004">
      <c r="A43" t="s">
        <v>322</v>
      </c>
      <c r="B43" t="s">
        <v>323</v>
      </c>
      <c r="C43" t="s">
        <v>326</v>
      </c>
      <c r="D43" t="s">
        <v>327</v>
      </c>
      <c r="E43" s="415">
        <v>76194.96081109668</v>
      </c>
      <c r="F43" s="423">
        <v>0</v>
      </c>
      <c r="G43" s="423">
        <v>25939.727484978604</v>
      </c>
      <c r="H43" s="423">
        <v>1810</v>
      </c>
      <c r="I43" s="423">
        <v>37012.158261154211</v>
      </c>
      <c r="J43" s="423">
        <f t="shared" si="1"/>
        <v>64761.885746132815</v>
      </c>
      <c r="K43" s="425">
        <v>0.11700000000000001</v>
      </c>
      <c r="L43" s="426">
        <f>Table2[[#This Row],[% Male children under 5]]*Table2[[#This Row],[Affected population without refugees]]</f>
        <v>7577.1406322975399</v>
      </c>
      <c r="M43" s="425">
        <v>0.1009</v>
      </c>
      <c r="N43" s="426">
        <f>Table2[[#This Row],[Affected population without refugees]]*Table2[[#This Row],[% Female children under 5]]</f>
        <v>6534.4742717848012</v>
      </c>
      <c r="O43" s="425">
        <v>0.18609999999999999</v>
      </c>
      <c r="P43" s="426">
        <f>Table2[[#This Row],[Affected population without refugees]]*Table2[[#This Row],[% Male children aged 5 - 17 years]]</f>
        <v>12052.186937355316</v>
      </c>
      <c r="Q43" s="425">
        <v>0.188</v>
      </c>
      <c r="R43" s="426">
        <f>Table2[[#This Row],[Affected population without refugees]]*Table2[[#This Row],[% Female children aged 5 - 17 years]]</f>
        <v>12175.234520272968</v>
      </c>
      <c r="S43" s="425">
        <v>0.13899999999999998</v>
      </c>
      <c r="T43" s="426">
        <f>Table2[[#This Row],[Affected population without refugees]]*Table2[[#This Row],[% Male adults aged 18 - 60]]</f>
        <v>9001.9021187124599</v>
      </c>
      <c r="U43" s="425">
        <v>0.16500000000000001</v>
      </c>
      <c r="V43" s="426">
        <f>Table2[[#This Row],[Affected population without refugees]]*Table2[[#This Row],[% Female adults aged 18 - 60]]</f>
        <v>10685.711148111915</v>
      </c>
      <c r="W43" s="425">
        <v>4.6099999999999995E-2</v>
      </c>
      <c r="X43" s="426">
        <f>Table2[[#This Row],[Affected population without refugees]]*Table2[[#This Row],[% Male adults aged over 60]]</f>
        <v>2985.5229328967225</v>
      </c>
      <c r="Y43" s="425">
        <v>5.79E-2</v>
      </c>
      <c r="Z43" s="426">
        <f>Table2[[#This Row],[Affected population without refugees]]*Table2[[#This Row],[% Female adults aged over 60]]</f>
        <v>3749.7131847010901</v>
      </c>
      <c r="AA43" s="427">
        <v>11429.244121664502</v>
      </c>
    </row>
    <row r="44" spans="1:27" ht="14.4" x14ac:dyDescent="0.55000000000000004">
      <c r="A44" t="s">
        <v>322</v>
      </c>
      <c r="B44" t="s">
        <v>323</v>
      </c>
      <c r="C44" t="s">
        <v>328</v>
      </c>
      <c r="D44" t="s">
        <v>329</v>
      </c>
      <c r="E44" s="415">
        <v>107144.4296082037</v>
      </c>
      <c r="F44" s="423">
        <v>0</v>
      </c>
      <c r="G44" s="423">
        <v>31198.282244133567</v>
      </c>
      <c r="H44" s="423">
        <v>7417</v>
      </c>
      <c r="I44" s="423">
        <v>52356.268586149592</v>
      </c>
      <c r="J44" s="423">
        <f t="shared" si="1"/>
        <v>90971.550830283159</v>
      </c>
      <c r="K44" s="425">
        <v>8.6999999999999994E-2</v>
      </c>
      <c r="L44" s="426">
        <f>Table2[[#This Row],[% Male children under 5]]*Table2[[#This Row],[Affected population without refugees]]</f>
        <v>7914.5249222346347</v>
      </c>
      <c r="M44" s="425">
        <v>7.1599999999999997E-2</v>
      </c>
      <c r="N44" s="426">
        <f>Table2[[#This Row],[Affected population without refugees]]*Table2[[#This Row],[% Female children under 5]]</f>
        <v>6513.5630394482741</v>
      </c>
      <c r="O44" s="425">
        <v>0.1714</v>
      </c>
      <c r="P44" s="426">
        <f>Table2[[#This Row],[Affected population without refugees]]*Table2[[#This Row],[% Male children aged 5 - 17 years]]</f>
        <v>15592.523812310534</v>
      </c>
      <c r="Q44" s="425">
        <v>0.20200000000000001</v>
      </c>
      <c r="R44" s="426">
        <f>Table2[[#This Row],[Affected population without refugees]]*Table2[[#This Row],[% Female children aged 5 - 17 years]]</f>
        <v>18376.253267717198</v>
      </c>
      <c r="S44" s="425">
        <v>0.16400000000000003</v>
      </c>
      <c r="T44" s="426">
        <f>Table2[[#This Row],[Affected population without refugees]]*Table2[[#This Row],[% Male adults aged 18 - 60]]</f>
        <v>14919.334336166441</v>
      </c>
      <c r="U44" s="425">
        <v>0.17799999999999999</v>
      </c>
      <c r="V44" s="426">
        <f>Table2[[#This Row],[Affected population without refugees]]*Table2[[#This Row],[% Female adults aged 18 - 60]]</f>
        <v>16192.936047790401</v>
      </c>
      <c r="W44" s="425">
        <v>3.2500000000000001E-2</v>
      </c>
      <c r="X44" s="426">
        <f>Table2[[#This Row],[Affected population without refugees]]*Table2[[#This Row],[% Male adults aged over 60]]</f>
        <v>2956.5754019842029</v>
      </c>
      <c r="Y44" s="425">
        <v>9.35E-2</v>
      </c>
      <c r="Z44" s="426">
        <f>Table2[[#This Row],[Affected population without refugees]]*Table2[[#This Row],[% Female adults aged over 60]]</f>
        <v>8505.8400026314757</v>
      </c>
      <c r="AA44" s="427">
        <v>16071.664441230554</v>
      </c>
    </row>
    <row r="45" spans="1:27" ht="14.4" x14ac:dyDescent="0.55000000000000004">
      <c r="A45" t="s">
        <v>322</v>
      </c>
      <c r="B45" t="s">
        <v>323</v>
      </c>
      <c r="C45" t="s">
        <v>330</v>
      </c>
      <c r="D45" t="s">
        <v>331</v>
      </c>
      <c r="E45" s="415">
        <v>85953.42196180363</v>
      </c>
      <c r="F45" s="423">
        <v>0</v>
      </c>
      <c r="G45" s="423">
        <v>44969.201203905293</v>
      </c>
      <c r="H45" s="423">
        <v>5041.023996339929</v>
      </c>
      <c r="I45" s="423">
        <v>27460.602325830623</v>
      </c>
      <c r="J45" s="423">
        <f t="shared" si="1"/>
        <v>77470.827526075853</v>
      </c>
      <c r="K45" s="425">
        <v>9.1499999999999998E-2</v>
      </c>
      <c r="L45" s="426">
        <f>Table2[[#This Row],[% Male children under 5]]*Table2[[#This Row],[Affected population without refugees]]</f>
        <v>7088.5807186359407</v>
      </c>
      <c r="M45" s="425">
        <v>8.4000000000000005E-2</v>
      </c>
      <c r="N45" s="426">
        <f>Table2[[#This Row],[Affected population without refugees]]*Table2[[#This Row],[% Female children under 5]]</f>
        <v>6507.5495121903723</v>
      </c>
      <c r="O45" s="425">
        <v>0.16699999999999998</v>
      </c>
      <c r="P45" s="426">
        <f>Table2[[#This Row],[Affected population without refugees]]*Table2[[#This Row],[% Male children aged 5 - 17 years]]</f>
        <v>12937.628196854666</v>
      </c>
      <c r="Q45" s="425">
        <v>0.182</v>
      </c>
      <c r="R45" s="426">
        <f>Table2[[#This Row],[Affected population without refugees]]*Table2[[#This Row],[% Female children aged 5 - 17 years]]</f>
        <v>14099.690609745805</v>
      </c>
      <c r="S45" s="425">
        <v>0.19699999999999998</v>
      </c>
      <c r="T45" s="426">
        <f>Table2[[#This Row],[Affected population without refugees]]*Table2[[#This Row],[% Male adults aged 18 - 60]]</f>
        <v>15261.753022636942</v>
      </c>
      <c r="U45" s="425">
        <v>0.22600000000000001</v>
      </c>
      <c r="V45" s="426">
        <f>Table2[[#This Row],[Affected population without refugees]]*Table2[[#This Row],[% Female adults aged 18 - 60]]</f>
        <v>17508.407020893144</v>
      </c>
      <c r="W45" s="425">
        <v>1.24E-2</v>
      </c>
      <c r="X45" s="426">
        <f>Table2[[#This Row],[Affected population without refugees]]*Table2[[#This Row],[% Male adults aged over 60]]</f>
        <v>960.63826132334054</v>
      </c>
      <c r="Y45" s="425">
        <v>4.0099999999999997E-2</v>
      </c>
      <c r="Z45" s="426">
        <f>Table2[[#This Row],[Affected population without refugees]]*Table2[[#This Row],[% Female adults aged over 60]]</f>
        <v>3106.5801837956415</v>
      </c>
      <c r="AA45" s="427">
        <v>12893.013294270544</v>
      </c>
    </row>
    <row r="46" spans="1:27" ht="14.4" x14ac:dyDescent="0.55000000000000004">
      <c r="A46" t="s">
        <v>322</v>
      </c>
      <c r="B46" t="s">
        <v>323</v>
      </c>
      <c r="C46" t="s">
        <v>332</v>
      </c>
      <c r="D46" t="s">
        <v>333</v>
      </c>
      <c r="E46" s="415">
        <v>76247.2598233264</v>
      </c>
      <c r="F46" s="423">
        <v>0</v>
      </c>
      <c r="G46" s="423">
        <v>30389.775329136301</v>
      </c>
      <c r="H46" s="423">
        <v>3069.1428571428601</v>
      </c>
      <c r="I46" s="423">
        <v>32690.293010704088</v>
      </c>
      <c r="J46" s="423">
        <f t="shared" si="1"/>
        <v>66149.211196983248</v>
      </c>
      <c r="K46" s="425">
        <v>9.5600000000000004E-2</v>
      </c>
      <c r="L46" s="426">
        <f>Table2[[#This Row],[% Male children under 5]]*Table2[[#This Row],[Affected population without refugees]]</f>
        <v>6323.864590431599</v>
      </c>
      <c r="M46" s="425">
        <v>7.9399999999999998E-2</v>
      </c>
      <c r="N46" s="426">
        <f>Table2[[#This Row],[Affected population without refugees]]*Table2[[#This Row],[% Female children under 5]]</f>
        <v>5252.2473690404695</v>
      </c>
      <c r="O46" s="425">
        <v>0.20180000000000001</v>
      </c>
      <c r="P46" s="426">
        <f>Table2[[#This Row],[Affected population without refugees]]*Table2[[#This Row],[% Male children aged 5 - 17 years]]</f>
        <v>13348.91081955122</v>
      </c>
      <c r="Q46" s="425">
        <v>0.17599999999999999</v>
      </c>
      <c r="R46" s="426">
        <f>Table2[[#This Row],[Affected population without refugees]]*Table2[[#This Row],[% Female children aged 5 - 17 years]]</f>
        <v>11642.261170669051</v>
      </c>
      <c r="S46" s="425">
        <v>0.17699999999999999</v>
      </c>
      <c r="T46" s="426">
        <f>Table2[[#This Row],[Affected population without refugees]]*Table2[[#This Row],[% Male adults aged 18 - 60]]</f>
        <v>11708.410381866035</v>
      </c>
      <c r="U46" s="425">
        <v>0.17699999999999999</v>
      </c>
      <c r="V46" s="426">
        <f>Table2[[#This Row],[Affected population without refugees]]*Table2[[#This Row],[% Female adults aged 18 - 60]]</f>
        <v>11708.410381866035</v>
      </c>
      <c r="W46" s="425">
        <v>3.2200000000000006E-2</v>
      </c>
      <c r="X46" s="426">
        <f>Table2[[#This Row],[Affected population without refugees]]*Table2[[#This Row],[% Male adults aged over 60]]</f>
        <v>2130.0046005428608</v>
      </c>
      <c r="Y46" s="425">
        <v>6.0999999999999999E-2</v>
      </c>
      <c r="Z46" s="426">
        <f>Table2[[#This Row],[Affected population without refugees]]*Table2[[#This Row],[% Female adults aged over 60]]</f>
        <v>4035.1018830159778</v>
      </c>
      <c r="AA46" s="427">
        <v>11437.08897349896</v>
      </c>
    </row>
    <row r="47" spans="1:27" ht="14.4" x14ac:dyDescent="0.55000000000000004">
      <c r="A47" t="s">
        <v>322</v>
      </c>
      <c r="B47" t="s">
        <v>323</v>
      </c>
      <c r="C47" t="s">
        <v>334</v>
      </c>
      <c r="D47" t="s">
        <v>335</v>
      </c>
      <c r="E47" s="415">
        <v>175694.9817301211</v>
      </c>
      <c r="F47" s="423">
        <v>0</v>
      </c>
      <c r="G47" s="423">
        <v>44141.695035855759</v>
      </c>
      <c r="H47" s="423">
        <v>7050.3021159784967</v>
      </c>
      <c r="I47" s="423">
        <v>95120.28021781116</v>
      </c>
      <c r="J47" s="423">
        <f t="shared" si="1"/>
        <v>146312.27736964542</v>
      </c>
      <c r="K47" s="425">
        <v>0.11600000000000001</v>
      </c>
      <c r="L47" s="426">
        <f>Table2[[#This Row],[% Male children under 5]]*Table2[[#This Row],[Affected population without refugees]]</f>
        <v>16972.224174878869</v>
      </c>
      <c r="M47" s="425">
        <v>9.2899999999999996E-2</v>
      </c>
      <c r="N47" s="426">
        <f>Table2[[#This Row],[Affected population without refugees]]*Table2[[#This Row],[% Female children under 5]]</f>
        <v>13592.41056764006</v>
      </c>
      <c r="O47" s="425">
        <v>0.16599999999999998</v>
      </c>
      <c r="P47" s="426">
        <f>Table2[[#This Row],[Affected population without refugees]]*Table2[[#This Row],[% Male children aged 5 - 17 years]]</f>
        <v>24287.838043361138</v>
      </c>
      <c r="Q47" s="425">
        <v>0.19700000000000001</v>
      </c>
      <c r="R47" s="426">
        <f>Table2[[#This Row],[Affected population without refugees]]*Table2[[#This Row],[% Female children aged 5 - 17 years]]</f>
        <v>28823.518641820148</v>
      </c>
      <c r="S47" s="425">
        <v>0.13600000000000001</v>
      </c>
      <c r="T47" s="426">
        <f>Table2[[#This Row],[Affected population without refugees]]*Table2[[#This Row],[% Male adults aged 18 - 60]]</f>
        <v>19898.46972227178</v>
      </c>
      <c r="U47" s="425">
        <v>0.1361</v>
      </c>
      <c r="V47" s="426">
        <f>Table2[[#This Row],[Affected population without refugees]]*Table2[[#This Row],[% Female adults aged 18 - 60]]</f>
        <v>19913.100950008742</v>
      </c>
      <c r="W47" s="425">
        <v>7.4300000000000005E-2</v>
      </c>
      <c r="X47" s="426">
        <f>Table2[[#This Row],[Affected population without refugees]]*Table2[[#This Row],[% Male adults aged over 60]]</f>
        <v>10871.002208564656</v>
      </c>
      <c r="Y47" s="425">
        <v>8.1699999999999995E-2</v>
      </c>
      <c r="Z47" s="426">
        <f>Table2[[#This Row],[Affected population without refugees]]*Table2[[#This Row],[% Female adults aged over 60]]</f>
        <v>11953.71306110003</v>
      </c>
      <c r="AA47" s="427">
        <v>26354.247259518164</v>
      </c>
    </row>
    <row r="48" spans="1:27" ht="14.4" x14ac:dyDescent="0.55000000000000004">
      <c r="A48" t="s">
        <v>322</v>
      </c>
      <c r="B48" t="s">
        <v>323</v>
      </c>
      <c r="C48" t="s">
        <v>336</v>
      </c>
      <c r="D48" t="s">
        <v>337</v>
      </c>
      <c r="E48" s="415">
        <v>128173.05862330619</v>
      </c>
      <c r="F48" s="423">
        <v>0</v>
      </c>
      <c r="G48" s="423">
        <v>63061.040191389133</v>
      </c>
      <c r="H48" s="423">
        <v>3636</v>
      </c>
      <c r="I48" s="423">
        <v>46967.678081984632</v>
      </c>
      <c r="J48" s="423">
        <f t="shared" si="1"/>
        <v>113664.71827337376</v>
      </c>
      <c r="K48" s="425">
        <v>7.6200000000000004E-2</v>
      </c>
      <c r="L48" s="426">
        <f>Table2[[#This Row],[% Male children under 5]]*Table2[[#This Row],[Affected population without refugees]]</f>
        <v>8661.2515324310807</v>
      </c>
      <c r="M48" s="425">
        <v>9.9299999999999999E-2</v>
      </c>
      <c r="N48" s="426">
        <f>Table2[[#This Row],[Affected population without refugees]]*Table2[[#This Row],[% Female children under 5]]</f>
        <v>11286.906524546013</v>
      </c>
      <c r="O48" s="425">
        <v>0.1842</v>
      </c>
      <c r="P48" s="426">
        <f>Table2[[#This Row],[Affected population without refugees]]*Table2[[#This Row],[% Male children aged 5 - 17 years]]</f>
        <v>20937.041105955446</v>
      </c>
      <c r="Q48" s="425">
        <v>0.223</v>
      </c>
      <c r="R48" s="426">
        <f>Table2[[#This Row],[Affected population without refugees]]*Table2[[#This Row],[% Female children aged 5 - 17 years]]</f>
        <v>25347.232174962348</v>
      </c>
      <c r="S48" s="425">
        <v>0.20900000000000002</v>
      </c>
      <c r="T48" s="426">
        <f>Table2[[#This Row],[Affected population without refugees]]*Table2[[#This Row],[% Male adults aged 18 - 60]]</f>
        <v>23755.926119135118</v>
      </c>
      <c r="U48" s="425">
        <v>0.17199999999999999</v>
      </c>
      <c r="V48" s="426">
        <f>Table2[[#This Row],[Affected population without refugees]]*Table2[[#This Row],[% Female adults aged 18 - 60]]</f>
        <v>19550.331543020286</v>
      </c>
      <c r="W48" s="425">
        <v>3.0550000000000001E-2</v>
      </c>
      <c r="X48" s="426">
        <f>Table2[[#This Row],[Affected population without refugees]]*Table2[[#This Row],[% Male adults aged over 60]]</f>
        <v>3472.4571432515686</v>
      </c>
      <c r="Y48" s="425">
        <v>5.7499999999999999E-3</v>
      </c>
      <c r="Z48" s="426">
        <f>Table2[[#This Row],[Affected population without refugees]]*Table2[[#This Row],[% Female adults aged over 60]]</f>
        <v>653.5721300718991</v>
      </c>
      <c r="AA48" s="427">
        <v>19225.958793495927</v>
      </c>
    </row>
    <row r="49" spans="1:27" ht="14.4" x14ac:dyDescent="0.55000000000000004">
      <c r="A49" t="s">
        <v>322</v>
      </c>
      <c r="B49" t="s">
        <v>323</v>
      </c>
      <c r="C49" t="s">
        <v>338</v>
      </c>
      <c r="D49" t="s">
        <v>339</v>
      </c>
      <c r="E49" s="415">
        <v>141940.34916031838</v>
      </c>
      <c r="F49" s="423">
        <v>174594</v>
      </c>
      <c r="G49" s="423">
        <v>12256.01658411525</v>
      </c>
      <c r="H49" s="423">
        <v>3515.9389111289033</v>
      </c>
      <c r="I49" s="423">
        <v>96392.652760116689</v>
      </c>
      <c r="J49" s="423">
        <f t="shared" si="1"/>
        <v>112164.60825536084</v>
      </c>
      <c r="K49" s="425">
        <v>0.123</v>
      </c>
      <c r="L49" s="426">
        <f>Table2[[#This Row],[% Male children under 5]]*Table2[[#This Row],[Affected population without refugees]]</f>
        <v>13796.246815409384</v>
      </c>
      <c r="M49" s="425">
        <v>9.6299999999999997E-2</v>
      </c>
      <c r="N49" s="426">
        <f>Table2[[#This Row],[Affected population without refugees]]*Table2[[#This Row],[% Female children under 5]]</f>
        <v>10801.451774991248</v>
      </c>
      <c r="O49" s="425">
        <v>0.17</v>
      </c>
      <c r="P49" s="426">
        <f>Table2[[#This Row],[Affected population without refugees]]*Table2[[#This Row],[% Male children aged 5 - 17 years]]</f>
        <v>19067.983403411345</v>
      </c>
      <c r="Q49" s="425">
        <v>0.16700000000000001</v>
      </c>
      <c r="R49" s="426">
        <f>Table2[[#This Row],[Affected population without refugees]]*Table2[[#This Row],[% Female children aged 5 - 17 years]]</f>
        <v>18731.489578645262</v>
      </c>
      <c r="S49" s="425">
        <v>0.17499999999999999</v>
      </c>
      <c r="T49" s="426">
        <f>Table2[[#This Row],[Affected population without refugees]]*Table2[[#This Row],[% Male adults aged 18 - 60]]</f>
        <v>19628.806444688147</v>
      </c>
      <c r="U49" s="425">
        <v>0.192</v>
      </c>
      <c r="V49" s="426">
        <f>Table2[[#This Row],[Affected population without refugees]]*Table2[[#This Row],[% Female adults aged 18 - 60]]</f>
        <v>21535.604785029282</v>
      </c>
      <c r="W49" s="425">
        <v>2.9600000000000001E-2</v>
      </c>
      <c r="X49" s="426">
        <f>Table2[[#This Row],[Affected population without refugees]]*Table2[[#This Row],[% Male adults aged over 60]]</f>
        <v>3320.0724043586811</v>
      </c>
      <c r="Y49" s="425">
        <v>4.7100000000000003E-2</v>
      </c>
      <c r="Z49" s="426">
        <f>Table2[[#This Row],[Affected population without refugees]]*Table2[[#This Row],[% Female adults aged over 60]]</f>
        <v>5282.9530488274959</v>
      </c>
      <c r="AA49" s="427">
        <v>47480.152374047757</v>
      </c>
    </row>
    <row r="50" spans="1:27" ht="14.4" x14ac:dyDescent="0.55000000000000004">
      <c r="A50" t="s">
        <v>322</v>
      </c>
      <c r="B50" t="s">
        <v>323</v>
      </c>
      <c r="C50" t="s">
        <v>340</v>
      </c>
      <c r="D50" t="s">
        <v>341</v>
      </c>
      <c r="E50" s="415">
        <v>414201.00998827716</v>
      </c>
      <c r="F50" s="423">
        <v>0</v>
      </c>
      <c r="G50" s="423">
        <v>233351.6448103383</v>
      </c>
      <c r="H50" s="423">
        <v>13224.062358458195</v>
      </c>
      <c r="I50" s="423">
        <v>128065.73135408323</v>
      </c>
      <c r="J50" s="423">
        <f t="shared" si="1"/>
        <v>374641.43852287973</v>
      </c>
      <c r="K50" s="425">
        <v>0.10199999999999999</v>
      </c>
      <c r="L50" s="426">
        <f>Table2[[#This Row],[% Male children under 5]]*Table2[[#This Row],[Affected population without refugees]]</f>
        <v>38213.426729333733</v>
      </c>
      <c r="M50" s="425">
        <v>9.9199999999999997E-2</v>
      </c>
      <c r="N50" s="426">
        <f>Table2[[#This Row],[Affected population without refugees]]*Table2[[#This Row],[% Female children under 5]]</f>
        <v>37164.430701469668</v>
      </c>
      <c r="O50" s="425">
        <v>0.161</v>
      </c>
      <c r="P50" s="426">
        <f>Table2[[#This Row],[Affected population without refugees]]*Table2[[#This Row],[% Male children aged 5 - 17 years]]</f>
        <v>60317.271602183639</v>
      </c>
      <c r="Q50" s="425">
        <v>0.16719999999999999</v>
      </c>
      <c r="R50" s="426">
        <f>Table2[[#This Row],[Affected population without refugees]]*Table2[[#This Row],[% Female children aged 5 - 17 years]]</f>
        <v>62640.048521025485</v>
      </c>
      <c r="S50" s="425">
        <v>0.193</v>
      </c>
      <c r="T50" s="426">
        <f>Table2[[#This Row],[Affected population without refugees]]*Table2[[#This Row],[% Male adults aged 18 - 60]]</f>
        <v>72305.797634915783</v>
      </c>
      <c r="U50" s="425">
        <v>0.186</v>
      </c>
      <c r="V50" s="426">
        <f>Table2[[#This Row],[Affected population without refugees]]*Table2[[#This Row],[% Female adults aged 18 - 60]]</f>
        <v>69683.307565255629</v>
      </c>
      <c r="W50" s="425">
        <v>3.8100000000000002E-2</v>
      </c>
      <c r="X50" s="426">
        <f>Table2[[#This Row],[Affected population without refugees]]*Table2[[#This Row],[% Male adults aged over 60]]</f>
        <v>14273.838807721719</v>
      </c>
      <c r="Y50" s="425">
        <v>5.3499999999999999E-2</v>
      </c>
      <c r="Z50" s="426">
        <f>Table2[[#This Row],[Affected population without refugees]]*Table2[[#This Row],[% Female adults aged over 60]]</f>
        <v>20043.316960974065</v>
      </c>
      <c r="AA50" s="427">
        <v>62130.151498241568</v>
      </c>
    </row>
    <row r="51" spans="1:27" ht="14.4" x14ac:dyDescent="0.55000000000000004">
      <c r="A51" t="s">
        <v>342</v>
      </c>
      <c r="B51" t="s">
        <v>343</v>
      </c>
      <c r="C51" t="s">
        <v>344</v>
      </c>
      <c r="D51" t="s">
        <v>345</v>
      </c>
      <c r="E51" s="415">
        <v>61601.023147390406</v>
      </c>
      <c r="F51" s="423">
        <v>0</v>
      </c>
      <c r="G51" s="423">
        <v>6074.719927136859</v>
      </c>
      <c r="H51" s="423">
        <v>4961</v>
      </c>
      <c r="I51" s="423">
        <v>38631.891660273708</v>
      </c>
      <c r="J51" s="423">
        <f t="shared" si="1"/>
        <v>49667.611587410567</v>
      </c>
      <c r="K51" s="425">
        <v>7.6499999999999999E-2</v>
      </c>
      <c r="L51" s="426">
        <f>Table2[[#This Row],[% Male children under 5]]*Table2[[#This Row],[Affected population without refugees]]</f>
        <v>3799.5722864369081</v>
      </c>
      <c r="M51" s="425">
        <v>5.7500000000000002E-2</v>
      </c>
      <c r="N51" s="426">
        <f>Table2[[#This Row],[Affected population without refugees]]*Table2[[#This Row],[% Female children under 5]]</f>
        <v>2855.8876662761077</v>
      </c>
      <c r="O51" s="425">
        <v>0.251</v>
      </c>
      <c r="P51" s="426">
        <f>Table2[[#This Row],[Affected population without refugees]]*Table2[[#This Row],[% Male children aged 5 - 17 years]]</f>
        <v>12466.570508440052</v>
      </c>
      <c r="Q51" s="425">
        <v>0.22600000000000001</v>
      </c>
      <c r="R51" s="426">
        <f>Table2[[#This Row],[Affected population without refugees]]*Table2[[#This Row],[% Female children aged 5 - 17 years]]</f>
        <v>11224.880218754788</v>
      </c>
      <c r="S51" s="425">
        <v>0.15199999999999997</v>
      </c>
      <c r="T51" s="426">
        <f>Table2[[#This Row],[Affected population without refugees]]*Table2[[#This Row],[% Male adults aged 18 - 60]]</f>
        <v>7549.4769612864047</v>
      </c>
      <c r="U51" s="425">
        <v>0.13500000000000001</v>
      </c>
      <c r="V51" s="426">
        <f>Table2[[#This Row],[Affected population without refugees]]*Table2[[#This Row],[% Female adults aged 18 - 60]]</f>
        <v>6705.1275643004274</v>
      </c>
      <c r="W51" s="425">
        <v>5.609999999999999E-2</v>
      </c>
      <c r="X51" s="426">
        <f>Table2[[#This Row],[Affected population without refugees]]*Table2[[#This Row],[% Male adults aged over 60]]</f>
        <v>2786.3530100537323</v>
      </c>
      <c r="Y51" s="425">
        <v>4.5900000000000003E-2</v>
      </c>
      <c r="Z51" s="426">
        <f>Table2[[#This Row],[Affected population without refugees]]*Table2[[#This Row],[% Female adults aged over 60]]</f>
        <v>2279.7433718621451</v>
      </c>
      <c r="AA51" s="427">
        <v>9240.1534721085609</v>
      </c>
    </row>
    <row r="52" spans="1:27" ht="14.4" x14ac:dyDescent="0.55000000000000004">
      <c r="A52" t="s">
        <v>342</v>
      </c>
      <c r="B52" t="s">
        <v>343</v>
      </c>
      <c r="C52" t="s">
        <v>346</v>
      </c>
      <c r="D52" t="s">
        <v>347</v>
      </c>
      <c r="E52" s="415">
        <v>103904.81594454598</v>
      </c>
      <c r="F52" s="423">
        <v>2399</v>
      </c>
      <c r="G52" s="423">
        <v>30713.015967447398</v>
      </c>
      <c r="H52" s="423">
        <v>14416.589191353083</v>
      </c>
      <c r="I52" s="423">
        <v>44904.26104030956</v>
      </c>
      <c r="J52" s="423">
        <f t="shared" si="1"/>
        <v>90033.866199110038</v>
      </c>
      <c r="K52" s="425">
        <v>0.10299999999999999</v>
      </c>
      <c r="L52" s="426">
        <f>Table2[[#This Row],[% Male children under 5]]*Table2[[#This Row],[Affected population without refugees]]</f>
        <v>9273.4882185083334</v>
      </c>
      <c r="M52" s="425">
        <v>8.5999999999999993E-2</v>
      </c>
      <c r="N52" s="426">
        <f>Table2[[#This Row],[Affected population without refugees]]*Table2[[#This Row],[% Female children under 5]]</f>
        <v>7742.9124931234628</v>
      </c>
      <c r="O52" s="425">
        <v>0.19199999999999998</v>
      </c>
      <c r="P52" s="426">
        <f>Table2[[#This Row],[Affected population without refugees]]*Table2[[#This Row],[% Male children aged 5 - 17 years]]</f>
        <v>17286.502310229123</v>
      </c>
      <c r="Q52" s="425">
        <v>0.16400000000000001</v>
      </c>
      <c r="R52" s="426">
        <f>Table2[[#This Row],[Affected population without refugees]]*Table2[[#This Row],[% Female children aged 5 - 17 years]]</f>
        <v>14765.554056654048</v>
      </c>
      <c r="S52" s="425">
        <v>0.124</v>
      </c>
      <c r="T52" s="426">
        <f>Table2[[#This Row],[Affected population without refugees]]*Table2[[#This Row],[% Male adults aged 18 - 60]]</f>
        <v>11164.199408689645</v>
      </c>
      <c r="U52" s="425">
        <v>0.17399999999999999</v>
      </c>
      <c r="V52" s="426">
        <f>Table2[[#This Row],[Affected population without refugees]]*Table2[[#This Row],[% Female adults aged 18 - 60]]</f>
        <v>15665.892718645146</v>
      </c>
      <c r="W52" s="425">
        <v>0.05</v>
      </c>
      <c r="X52" s="426">
        <f>Table2[[#This Row],[Affected population without refugees]]*Table2[[#This Row],[% Male adults aged over 60]]</f>
        <v>4501.6933099555017</v>
      </c>
      <c r="Y52" s="425">
        <v>0.107</v>
      </c>
      <c r="Z52" s="426">
        <f>Table2[[#This Row],[Affected population without refugees]]*Table2[[#This Row],[% Female adults aged over 60]]</f>
        <v>9633.6236833047733</v>
      </c>
      <c r="AA52" s="427">
        <v>15945.572391681895</v>
      </c>
    </row>
    <row r="53" spans="1:27" ht="14.4" x14ac:dyDescent="0.55000000000000004">
      <c r="A53" t="s">
        <v>342</v>
      </c>
      <c r="B53" t="s">
        <v>343</v>
      </c>
      <c r="C53" t="s">
        <v>348</v>
      </c>
      <c r="D53" t="s">
        <v>349</v>
      </c>
      <c r="E53" s="415">
        <v>79901.947215697233</v>
      </c>
      <c r="F53" s="423">
        <v>0</v>
      </c>
      <c r="G53" s="423">
        <v>4270.8268474169781</v>
      </c>
      <c r="H53" s="423">
        <v>16232.649182202906</v>
      </c>
      <c r="I53" s="423">
        <v>45380.431986163101</v>
      </c>
      <c r="J53" s="423">
        <f t="shared" si="1"/>
        <v>65883.908015782989</v>
      </c>
      <c r="K53" s="425">
        <v>0.11799999999999999</v>
      </c>
      <c r="L53" s="426">
        <f>Table2[[#This Row],[% Male children under 5]]*Table2[[#This Row],[Affected population without refugees]]</f>
        <v>7774.3011458623923</v>
      </c>
      <c r="M53" s="425">
        <v>8.4199999999999997E-2</v>
      </c>
      <c r="N53" s="426">
        <f>Table2[[#This Row],[Affected population without refugees]]*Table2[[#This Row],[% Female children under 5]]</f>
        <v>5547.4250549289272</v>
      </c>
      <c r="O53" s="425">
        <v>0.17449999999999999</v>
      </c>
      <c r="P53" s="426">
        <f>Table2[[#This Row],[Affected population without refugees]]*Table2[[#This Row],[% Male children aged 5 - 17 years]]</f>
        <v>11496.74194875413</v>
      </c>
      <c r="Q53" s="425">
        <v>0.17599999999999999</v>
      </c>
      <c r="R53" s="426">
        <f>Table2[[#This Row],[Affected population without refugees]]*Table2[[#This Row],[% Female children aged 5 - 17 years]]</f>
        <v>11595.567810777806</v>
      </c>
      <c r="S53" s="425">
        <v>0.17900000000000002</v>
      </c>
      <c r="T53" s="426">
        <f>Table2[[#This Row],[Affected population without refugees]]*Table2[[#This Row],[% Male adults aged 18 - 60]]</f>
        <v>11793.219534825157</v>
      </c>
      <c r="U53" s="425">
        <v>0.20899999999999999</v>
      </c>
      <c r="V53" s="426">
        <f>Table2[[#This Row],[Affected population without refugees]]*Table2[[#This Row],[% Female adults aged 18 - 60]]</f>
        <v>13769.736775298645</v>
      </c>
      <c r="W53" s="425">
        <v>2.1999999999999999E-2</v>
      </c>
      <c r="X53" s="426">
        <f>Table2[[#This Row],[Affected population without refugees]]*Table2[[#This Row],[% Male adults aged over 60]]</f>
        <v>1449.4459763472257</v>
      </c>
      <c r="Y53" s="425">
        <v>3.73E-2</v>
      </c>
      <c r="Z53" s="426">
        <f>Table2[[#This Row],[Affected population without refugees]]*Table2[[#This Row],[% Female adults aged over 60]]</f>
        <v>2457.4697689887053</v>
      </c>
      <c r="AA53" s="427">
        <v>11985.292082354585</v>
      </c>
    </row>
    <row r="54" spans="1:27" ht="14.4" x14ac:dyDescent="0.55000000000000004">
      <c r="A54" t="s">
        <v>342</v>
      </c>
      <c r="B54" t="s">
        <v>343</v>
      </c>
      <c r="C54" t="s">
        <v>350</v>
      </c>
      <c r="D54" t="s">
        <v>351</v>
      </c>
      <c r="E54" s="415">
        <v>329670.38640982663</v>
      </c>
      <c r="F54" s="423">
        <v>0</v>
      </c>
      <c r="G54" s="423">
        <v>17587.64076058444</v>
      </c>
      <c r="H54" s="423">
        <v>158050.00862404195</v>
      </c>
      <c r="I54" s="423">
        <v>117681.01108725299</v>
      </c>
      <c r="J54" s="423">
        <f t="shared" si="1"/>
        <v>293318.66047187935</v>
      </c>
      <c r="K54" s="425">
        <v>0.113</v>
      </c>
      <c r="L54" s="426">
        <f>Table2[[#This Row],[% Male children under 5]]*Table2[[#This Row],[Affected population without refugees]]</f>
        <v>33145.008633322366</v>
      </c>
      <c r="M54" s="425">
        <v>0.11799999999999999</v>
      </c>
      <c r="N54" s="426">
        <f>Table2[[#This Row],[Affected population without refugees]]*Table2[[#This Row],[% Female children under 5]]</f>
        <v>34611.601935681763</v>
      </c>
      <c r="O54" s="425">
        <v>0.16550000000000001</v>
      </c>
      <c r="P54" s="426">
        <f>Table2[[#This Row],[Affected population without refugees]]*Table2[[#This Row],[% Male children aged 5 - 17 years]]</f>
        <v>48544.238308096035</v>
      </c>
      <c r="Q54" s="425">
        <v>0.183</v>
      </c>
      <c r="R54" s="426">
        <f>Table2[[#This Row],[Affected population without refugees]]*Table2[[#This Row],[% Female children aged 5 - 17 years]]</f>
        <v>53677.314866353918</v>
      </c>
      <c r="S54" s="425">
        <v>0.16199999999999998</v>
      </c>
      <c r="T54" s="426">
        <f>Table2[[#This Row],[Affected population without refugees]]*Table2[[#This Row],[% Male adults aged 18 - 60]]</f>
        <v>47517.62299644445</v>
      </c>
      <c r="U54" s="425">
        <v>0.19</v>
      </c>
      <c r="V54" s="426">
        <f>Table2[[#This Row],[Affected population without refugees]]*Table2[[#This Row],[% Female adults aged 18 - 60]]</f>
        <v>55730.545489657081</v>
      </c>
      <c r="W54" s="425">
        <v>3.0200000000000005E-2</v>
      </c>
      <c r="X54" s="426">
        <f>Table2[[#This Row],[Affected population without refugees]]*Table2[[#This Row],[% Male adults aged over 60]]</f>
        <v>8858.2235462507579</v>
      </c>
      <c r="Y54" s="425">
        <v>3.8300000000000001E-2</v>
      </c>
      <c r="Z54" s="426">
        <f>Table2[[#This Row],[Affected population without refugees]]*Table2[[#This Row],[% Female adults aged over 60]]</f>
        <v>11234.10469607298</v>
      </c>
      <c r="AA54" s="427">
        <v>49450.557961473991</v>
      </c>
    </row>
    <row r="55" spans="1:27" ht="14.4" x14ac:dyDescent="0.55000000000000004">
      <c r="A55" t="s">
        <v>342</v>
      </c>
      <c r="B55" t="s">
        <v>343</v>
      </c>
      <c r="C55" t="s">
        <v>352</v>
      </c>
      <c r="D55" t="s">
        <v>353</v>
      </c>
      <c r="E55" s="415">
        <v>107258.44679751236</v>
      </c>
      <c r="F55" s="423">
        <v>275631</v>
      </c>
      <c r="G55" s="423">
        <v>10736.997624544605</v>
      </c>
      <c r="H55" s="423">
        <v>25766.491604712341</v>
      </c>
      <c r="I55" s="423">
        <v>54056.787582147139</v>
      </c>
      <c r="J55" s="423">
        <f t="shared" si="1"/>
        <v>90560.276811404081</v>
      </c>
      <c r="K55" s="425">
        <v>8.0399999999999999E-2</v>
      </c>
      <c r="L55" s="426">
        <f>Table2[[#This Row],[% Male children under 5]]*Table2[[#This Row],[Affected population without refugees]]</f>
        <v>7281.0462556368884</v>
      </c>
      <c r="M55" s="425">
        <v>8.4900000000000003E-2</v>
      </c>
      <c r="N55" s="426">
        <f>Table2[[#This Row],[Affected population without refugees]]*Table2[[#This Row],[% Female children under 5]]</f>
        <v>7688.5675012882066</v>
      </c>
      <c r="O55" s="425">
        <v>0.20399999999999999</v>
      </c>
      <c r="P55" s="426">
        <f>Table2[[#This Row],[Affected population without refugees]]*Table2[[#This Row],[% Male children aged 5 - 17 years]]</f>
        <v>18474.296469526431</v>
      </c>
      <c r="Q55" s="425">
        <v>0.20749999999999999</v>
      </c>
      <c r="R55" s="426">
        <f>Table2[[#This Row],[Affected population without refugees]]*Table2[[#This Row],[% Female children aged 5 - 17 years]]</f>
        <v>18791.257438366345</v>
      </c>
      <c r="S55" s="425">
        <v>0.18899999999999997</v>
      </c>
      <c r="T55" s="426">
        <f>Table2[[#This Row],[Affected population without refugees]]*Table2[[#This Row],[% Male adults aged 18 - 60]]</f>
        <v>17115.89231735537</v>
      </c>
      <c r="U55" s="425">
        <v>0.17100000000000001</v>
      </c>
      <c r="V55" s="426">
        <f>Table2[[#This Row],[Affected population without refugees]]*Table2[[#This Row],[% Female adults aged 18 - 60]]</f>
        <v>15485.807334750099</v>
      </c>
      <c r="W55" s="425">
        <v>2.6500000000000003E-2</v>
      </c>
      <c r="X55" s="426">
        <f>Table2[[#This Row],[Affected population without refugees]]*Table2[[#This Row],[% Male adults aged over 60]]</f>
        <v>2399.8473355022084</v>
      </c>
      <c r="Y55" s="425">
        <v>3.6700000000000003E-2</v>
      </c>
      <c r="Z55" s="426">
        <f>Table2[[#This Row],[Affected population without refugees]]*Table2[[#This Row],[% Female adults aged over 60]]</f>
        <v>3323.5621589785301</v>
      </c>
      <c r="AA55" s="427">
        <v>57433.417019626853</v>
      </c>
    </row>
    <row r="56" spans="1:27" ht="14.4" x14ac:dyDescent="0.55000000000000004">
      <c r="A56" t="s">
        <v>342</v>
      </c>
      <c r="B56" t="s">
        <v>343</v>
      </c>
      <c r="C56" t="s">
        <v>354</v>
      </c>
      <c r="D56" t="s">
        <v>355</v>
      </c>
      <c r="E56" s="415">
        <v>143200.82190789262</v>
      </c>
      <c r="F56" s="423">
        <v>0</v>
      </c>
      <c r="G56" s="423">
        <v>541.05925656197849</v>
      </c>
      <c r="H56" s="423">
        <v>43189.075569026623</v>
      </c>
      <c r="I56" s="423">
        <v>75995.604930880276</v>
      </c>
      <c r="J56" s="423">
        <f t="shared" si="1"/>
        <v>119725.73975646887</v>
      </c>
      <c r="K56" s="425">
        <v>0.14000000000000001</v>
      </c>
      <c r="L56" s="426">
        <f>Table2[[#This Row],[% Male children under 5]]*Table2[[#This Row],[Affected population without refugees]]</f>
        <v>16761.603565905643</v>
      </c>
      <c r="M56" s="425">
        <v>9.8100000000000007E-2</v>
      </c>
      <c r="N56" s="426">
        <f>Table2[[#This Row],[Affected population without refugees]]*Table2[[#This Row],[% Female children under 5]]</f>
        <v>11745.095070109597</v>
      </c>
      <c r="O56" s="425">
        <v>0.17810000000000001</v>
      </c>
      <c r="P56" s="426">
        <f>Table2[[#This Row],[Affected population without refugees]]*Table2[[#This Row],[% Male children aged 5 - 17 years]]</f>
        <v>21323.154250627107</v>
      </c>
      <c r="Q56" s="425">
        <v>0.129</v>
      </c>
      <c r="R56" s="426">
        <f>Table2[[#This Row],[Affected population without refugees]]*Table2[[#This Row],[% Female children aged 5 - 17 years]]</f>
        <v>15444.620428584485</v>
      </c>
      <c r="S56" s="425">
        <v>0.183</v>
      </c>
      <c r="T56" s="426">
        <f>Table2[[#This Row],[Affected population without refugees]]*Table2[[#This Row],[% Male adults aged 18 - 60]]</f>
        <v>21909.810375433804</v>
      </c>
      <c r="U56" s="425">
        <v>0.192</v>
      </c>
      <c r="V56" s="426">
        <f>Table2[[#This Row],[Affected population without refugees]]*Table2[[#This Row],[% Female adults aged 18 - 60]]</f>
        <v>22987.342033242025</v>
      </c>
      <c r="W56" s="425">
        <v>3.1399999999999997E-2</v>
      </c>
      <c r="X56" s="426">
        <f>Table2[[#This Row],[Affected population without refugees]]*Table2[[#This Row],[% Male adults aged over 60]]</f>
        <v>3759.3882283531225</v>
      </c>
      <c r="Y56" s="425">
        <v>4.8399999999999999E-2</v>
      </c>
      <c r="Z56" s="426">
        <f>Table2[[#This Row],[Affected population without refugees]]*Table2[[#This Row],[% Female adults aged over 60]]</f>
        <v>5794.7258042130934</v>
      </c>
      <c r="AA56" s="427">
        <v>21480.123286183891</v>
      </c>
    </row>
    <row r="57" spans="1:27" ht="14.4" x14ac:dyDescent="0.55000000000000004">
      <c r="A57" t="s">
        <v>342</v>
      </c>
      <c r="B57" t="s">
        <v>343</v>
      </c>
      <c r="C57" t="s">
        <v>356</v>
      </c>
      <c r="D57" t="s">
        <v>357</v>
      </c>
      <c r="E57" s="415">
        <v>281420.67925098597</v>
      </c>
      <c r="F57" s="423">
        <v>0</v>
      </c>
      <c r="G57" s="423">
        <v>107560.86765914821</v>
      </c>
      <c r="H57" s="423">
        <v>12690.76710511266</v>
      </c>
      <c r="I57" s="423">
        <v>123133.14998785798</v>
      </c>
      <c r="J57" s="423">
        <f t="shared" si="1"/>
        <v>243384.78475211884</v>
      </c>
      <c r="K57" s="425">
        <v>4.1799999999999997E-2</v>
      </c>
      <c r="L57" s="426">
        <f>Table2[[#This Row],[% Male children under 5]]*Table2[[#This Row],[Affected population without refugees]]</f>
        <v>10173.484002638566</v>
      </c>
      <c r="M57" s="425">
        <v>3.1E-2</v>
      </c>
      <c r="N57" s="426">
        <f>Table2[[#This Row],[Affected population without refugees]]*Table2[[#This Row],[% Female children under 5]]</f>
        <v>7544.9283273156843</v>
      </c>
      <c r="O57" s="425">
        <v>9.1800000000000007E-2</v>
      </c>
      <c r="P57" s="426">
        <f>Table2[[#This Row],[Affected population without refugees]]*Table2[[#This Row],[% Male children aged 5 - 17 years]]</f>
        <v>22342.723240244512</v>
      </c>
      <c r="Q57" s="425">
        <v>6.7400000000000002E-2</v>
      </c>
      <c r="R57" s="426">
        <f>Table2[[#This Row],[Affected population without refugees]]*Table2[[#This Row],[% Female children aged 5 - 17 years]]</f>
        <v>16404.134492292811</v>
      </c>
      <c r="S57" s="425">
        <v>0.30000000000000004</v>
      </c>
      <c r="T57" s="426">
        <f>Table2[[#This Row],[Affected population without refugees]]*Table2[[#This Row],[% Male adults aged 18 - 60]]</f>
        <v>73015.43542563566</v>
      </c>
      <c r="U57" s="425">
        <v>0.255</v>
      </c>
      <c r="V57" s="426">
        <f>Table2[[#This Row],[Affected population without refugees]]*Table2[[#This Row],[% Female adults aged 18 - 60]]</f>
        <v>62063.120111790304</v>
      </c>
      <c r="W57" s="425">
        <v>0.16200000000000001</v>
      </c>
      <c r="X57" s="426">
        <f>Table2[[#This Row],[Affected population without refugees]]*Table2[[#This Row],[% Male adults aged over 60]]</f>
        <v>39428.335129843254</v>
      </c>
      <c r="Y57" s="425">
        <v>5.0999999999999997E-2</v>
      </c>
      <c r="Z57" s="426">
        <f>Table2[[#This Row],[Affected population without refugees]]*Table2[[#This Row],[% Female adults aged over 60]]</f>
        <v>12412.624022358061</v>
      </c>
      <c r="AA57" s="427">
        <v>42213.101887647892</v>
      </c>
    </row>
    <row r="58" spans="1:27" ht="14.4" x14ac:dyDescent="0.55000000000000004">
      <c r="A58" t="s">
        <v>342</v>
      </c>
      <c r="B58" t="s">
        <v>343</v>
      </c>
      <c r="C58" t="s">
        <v>358</v>
      </c>
      <c r="D58" t="s">
        <v>359</v>
      </c>
      <c r="E58" s="415">
        <v>117323.56270383134</v>
      </c>
      <c r="F58" s="423">
        <v>0</v>
      </c>
      <c r="G58" s="423">
        <v>19743.531183340554</v>
      </c>
      <c r="H58" s="423">
        <v>24576.329269129605</v>
      </c>
      <c r="I58" s="423">
        <v>55774.82852003994</v>
      </c>
      <c r="J58" s="423">
        <f t="shared" si="1"/>
        <v>100094.68897251011</v>
      </c>
      <c r="K58" s="425">
        <v>0.10299999999999999</v>
      </c>
      <c r="L58" s="426">
        <f>Table2[[#This Row],[% Male children under 5]]*Table2[[#This Row],[Affected population without refugees]]</f>
        <v>10309.75296416854</v>
      </c>
      <c r="M58" s="425">
        <v>9.6299999999999997E-2</v>
      </c>
      <c r="N58" s="426">
        <f>Table2[[#This Row],[Affected population without refugees]]*Table2[[#This Row],[% Female children under 5]]</f>
        <v>9639.1185480527238</v>
      </c>
      <c r="O58" s="425">
        <v>0.105</v>
      </c>
      <c r="P58" s="426">
        <f>Table2[[#This Row],[Affected population without refugees]]*Table2[[#This Row],[% Male children aged 5 - 17 years]]</f>
        <v>10509.942342113562</v>
      </c>
      <c r="Q58" s="425">
        <v>0.111</v>
      </c>
      <c r="R58" s="426">
        <f>Table2[[#This Row],[Affected population without refugees]]*Table2[[#This Row],[% Female children aged 5 - 17 years]]</f>
        <v>11110.510475948622</v>
      </c>
      <c r="S58" s="425">
        <v>0.26850000000000002</v>
      </c>
      <c r="T58" s="426">
        <f>Table2[[#This Row],[Affected population without refugees]]*Table2[[#This Row],[% Male adults aged 18 - 60]]</f>
        <v>26875.423989118965</v>
      </c>
      <c r="U58" s="425">
        <v>0.246</v>
      </c>
      <c r="V58" s="426">
        <f>Table2[[#This Row],[Affected population without refugees]]*Table2[[#This Row],[% Female adults aged 18 - 60]]</f>
        <v>24623.293487237486</v>
      </c>
      <c r="W58" s="425">
        <v>3.5400000000000001E-2</v>
      </c>
      <c r="X58" s="426">
        <f>Table2[[#This Row],[Affected population without refugees]]*Table2[[#This Row],[% Male adults aged over 60]]</f>
        <v>3543.3519896268576</v>
      </c>
      <c r="Y58" s="425">
        <v>3.4799999999999998E-2</v>
      </c>
      <c r="Z58" s="426">
        <f>Table2[[#This Row],[Affected population without refugees]]*Table2[[#This Row],[% Female adults aged over 60]]</f>
        <v>3483.2951762433513</v>
      </c>
      <c r="AA58" s="427">
        <v>17598.534405574701</v>
      </c>
    </row>
    <row r="59" spans="1:27" ht="14.4" x14ac:dyDescent="0.55000000000000004">
      <c r="A59" t="s">
        <v>342</v>
      </c>
      <c r="B59" t="s">
        <v>343</v>
      </c>
      <c r="C59" t="s">
        <v>360</v>
      </c>
      <c r="D59" t="s">
        <v>361</v>
      </c>
      <c r="E59" s="415">
        <v>145727.19790310939</v>
      </c>
      <c r="F59" s="423">
        <v>0</v>
      </c>
      <c r="G59" s="423">
        <v>33846.254411291047</v>
      </c>
      <c r="H59" s="423">
        <v>1622.427953791605</v>
      </c>
      <c r="I59" s="423">
        <v>84237.505871052446</v>
      </c>
      <c r="J59" s="423">
        <f t="shared" si="1"/>
        <v>119706.18823613509</v>
      </c>
      <c r="K59" s="425">
        <v>0.10299999999999999</v>
      </c>
      <c r="L59" s="426">
        <f>Table2[[#This Row],[% Male children under 5]]*Table2[[#This Row],[Affected population without refugees]]</f>
        <v>12329.737388321913</v>
      </c>
      <c r="M59" s="425">
        <v>0.104</v>
      </c>
      <c r="N59" s="426">
        <f>Table2[[#This Row],[Affected population without refugees]]*Table2[[#This Row],[% Female children under 5]]</f>
        <v>12449.443576558049</v>
      </c>
      <c r="O59" s="425">
        <v>0.22199999999999998</v>
      </c>
      <c r="P59" s="426">
        <f>Table2[[#This Row],[Affected population without refugees]]*Table2[[#This Row],[% Male children aged 5 - 17 years]]</f>
        <v>26574.773788421986</v>
      </c>
      <c r="Q59" s="425">
        <v>0.18870000000000001</v>
      </c>
      <c r="R59" s="426">
        <f>Table2[[#This Row],[Affected population without refugees]]*Table2[[#This Row],[% Female children aged 5 - 17 years]]</f>
        <v>22588.557720158693</v>
      </c>
      <c r="S59" s="425">
        <v>0.16600000000000004</v>
      </c>
      <c r="T59" s="426">
        <f>Table2[[#This Row],[Affected population without refugees]]*Table2[[#This Row],[% Male adults aged 18 - 60]]</f>
        <v>19871.227247198429</v>
      </c>
      <c r="U59" s="425">
        <v>0.17499999999999999</v>
      </c>
      <c r="V59" s="426">
        <f>Table2[[#This Row],[Affected population without refugees]]*Table2[[#This Row],[% Female adults aged 18 - 60]]</f>
        <v>20948.582941323639</v>
      </c>
      <c r="W59" s="425">
        <v>1.1400000000000004E-2</v>
      </c>
      <c r="X59" s="426">
        <f>Table2[[#This Row],[Affected population without refugees]]*Table2[[#This Row],[% Male adults aged over 60]]</f>
        <v>1364.6505458919405</v>
      </c>
      <c r="Y59" s="425">
        <v>2.9899999999999999E-2</v>
      </c>
      <c r="Z59" s="426">
        <f>Table2[[#This Row],[Affected population without refugees]]*Table2[[#This Row],[% Female adults aged over 60]]</f>
        <v>3579.2150282604389</v>
      </c>
      <c r="AA59" s="427">
        <v>21859.079685466408</v>
      </c>
    </row>
    <row r="60" spans="1:27" ht="14.4" x14ac:dyDescent="0.55000000000000004">
      <c r="A60" t="s">
        <v>342</v>
      </c>
      <c r="B60" t="s">
        <v>343</v>
      </c>
      <c r="C60" t="s">
        <v>362</v>
      </c>
      <c r="D60" t="s">
        <v>363</v>
      </c>
      <c r="E60" s="415">
        <v>73657.648186537786</v>
      </c>
      <c r="F60" s="423">
        <v>0</v>
      </c>
      <c r="G60" s="423">
        <v>17038.14092740557</v>
      </c>
      <c r="H60" s="423">
        <v>4756.8792176598463</v>
      </c>
      <c r="I60" s="423">
        <v>39623.047823684894</v>
      </c>
      <c r="J60" s="423">
        <f t="shared" si="1"/>
        <v>61418.067968750307</v>
      </c>
      <c r="K60" s="425">
        <v>3.3300000000000003E-2</v>
      </c>
      <c r="L60" s="426">
        <f>Table2[[#This Row],[% Male children under 5]]*Table2[[#This Row],[Affected population without refugees]]</f>
        <v>2045.2216633593855</v>
      </c>
      <c r="M60" s="425">
        <v>3.0300000000000001E-2</v>
      </c>
      <c r="N60" s="426">
        <f>Table2[[#This Row],[Affected population without refugees]]*Table2[[#This Row],[% Female children under 5]]</f>
        <v>1860.9674594531343</v>
      </c>
      <c r="O60" s="425">
        <v>0.10730000000000001</v>
      </c>
      <c r="P60" s="426">
        <f>Table2[[#This Row],[Affected population without refugees]]*Table2[[#This Row],[% Male children aged 5 - 17 years]]</f>
        <v>6590.1586930469084</v>
      </c>
      <c r="Q60" s="425">
        <v>6.6100000000000006E-2</v>
      </c>
      <c r="R60" s="426">
        <f>Table2[[#This Row],[Affected population without refugees]]*Table2[[#This Row],[% Female children aged 5 - 17 years]]</f>
        <v>4059.7342927343957</v>
      </c>
      <c r="S60" s="425">
        <v>0.29399999999999998</v>
      </c>
      <c r="T60" s="426">
        <f>Table2[[#This Row],[Affected population without refugees]]*Table2[[#This Row],[% Male adults aged 18 - 60]]</f>
        <v>18056.911982812588</v>
      </c>
      <c r="U60" s="425">
        <v>0.19500000000000001</v>
      </c>
      <c r="V60" s="426">
        <f>Table2[[#This Row],[Affected population without refugees]]*Table2[[#This Row],[% Female adults aged 18 - 60]]</f>
        <v>11976.523253906311</v>
      </c>
      <c r="W60" s="425">
        <v>0.14700000000000002</v>
      </c>
      <c r="X60" s="426">
        <f>Table2[[#This Row],[Affected population without refugees]]*Table2[[#This Row],[% Male adults aged over 60]]</f>
        <v>9028.4559914062957</v>
      </c>
      <c r="Y60" s="425">
        <v>0.127</v>
      </c>
      <c r="Z60" s="426">
        <f>Table2[[#This Row],[Affected population without refugees]]*Table2[[#This Row],[% Female adults aged over 60]]</f>
        <v>7800.0946320312887</v>
      </c>
      <c r="AA60" s="427">
        <v>11048.647227980668</v>
      </c>
    </row>
    <row r="61" spans="1:27" ht="14.4" x14ac:dyDescent="0.55000000000000004">
      <c r="A61" t="s">
        <v>342</v>
      </c>
      <c r="B61" t="s">
        <v>343</v>
      </c>
      <c r="C61" t="s">
        <v>364</v>
      </c>
      <c r="D61" t="s">
        <v>365</v>
      </c>
      <c r="E61" s="415">
        <v>627929.59772077051</v>
      </c>
      <c r="F61" s="423">
        <v>87706</v>
      </c>
      <c r="G61" s="423">
        <v>119449.90934019189</v>
      </c>
      <c r="H61" s="423">
        <v>235020.19206222118</v>
      </c>
      <c r="I61" s="423">
        <v>208923.05518722511</v>
      </c>
      <c r="J61" s="423">
        <f t="shared" si="1"/>
        <v>563393.15658963821</v>
      </c>
      <c r="K61" s="425">
        <v>9.6100000000000005E-2</v>
      </c>
      <c r="L61" s="426">
        <f>Table2[[#This Row],[% Male children under 5]]*Table2[[#This Row],[Affected population without refugees]]</f>
        <v>54142.082348264237</v>
      </c>
      <c r="M61" s="425">
        <v>8.0600000000000005E-2</v>
      </c>
      <c r="N61" s="426">
        <f>Table2[[#This Row],[Affected population without refugees]]*Table2[[#This Row],[% Female children under 5]]</f>
        <v>45409.488421124843</v>
      </c>
      <c r="O61" s="425">
        <v>0.22699999999999998</v>
      </c>
      <c r="P61" s="426">
        <f>Table2[[#This Row],[Affected population without refugees]]*Table2[[#This Row],[% Male children aged 5 - 17 years]]</f>
        <v>127890.24654584787</v>
      </c>
      <c r="Q61" s="425">
        <v>0.18</v>
      </c>
      <c r="R61" s="426">
        <f>Table2[[#This Row],[Affected population without refugees]]*Table2[[#This Row],[% Female children aged 5 - 17 years]]</f>
        <v>101410.76818613487</v>
      </c>
      <c r="S61" s="425">
        <v>0.17180000000000001</v>
      </c>
      <c r="T61" s="426">
        <f>Table2[[#This Row],[Affected population without refugees]]*Table2[[#This Row],[% Male adults aged 18 - 60]]</f>
        <v>96790.944302099844</v>
      </c>
      <c r="U61" s="425">
        <v>0.17399999999999999</v>
      </c>
      <c r="V61" s="426">
        <f>Table2[[#This Row],[Affected population without refugees]]*Table2[[#This Row],[% Female adults aged 18 - 60]]</f>
        <v>98030.409246597046</v>
      </c>
      <c r="W61" s="425">
        <v>3.4999999999999996E-2</v>
      </c>
      <c r="X61" s="426">
        <f>Table2[[#This Row],[Affected population without refugees]]*Table2[[#This Row],[% Male adults aged over 60]]</f>
        <v>19718.760480637335</v>
      </c>
      <c r="Y61" s="425">
        <v>3.5499999999999997E-2</v>
      </c>
      <c r="Z61" s="426">
        <f>Table2[[#This Row],[Affected population without refugees]]*Table2[[#This Row],[% Female adults aged over 60]]</f>
        <v>20000.457058932156</v>
      </c>
      <c r="AA61" s="427">
        <v>107345.33965811557</v>
      </c>
    </row>
    <row r="62" spans="1:27" ht="14.4" x14ac:dyDescent="0.55000000000000004">
      <c r="A62" t="s">
        <v>342</v>
      </c>
      <c r="B62" t="s">
        <v>343</v>
      </c>
      <c r="C62" t="s">
        <v>366</v>
      </c>
      <c r="D62" t="s">
        <v>367</v>
      </c>
      <c r="E62" s="415">
        <v>153110.68143492335</v>
      </c>
      <c r="F62" s="423">
        <v>0</v>
      </c>
      <c r="G62" s="423">
        <v>18966</v>
      </c>
      <c r="H62" s="423">
        <v>44257.266075717678</v>
      </c>
      <c r="I62" s="423">
        <v>68673.985334433135</v>
      </c>
      <c r="J62" s="423">
        <f t="shared" si="1"/>
        <v>131897.25141015081</v>
      </c>
      <c r="K62" s="425">
        <v>7.8700000000000006E-2</v>
      </c>
      <c r="L62" s="426">
        <f>Table2[[#This Row],[% Male children under 5]]*Table2[[#This Row],[Affected population without refugees]]</f>
        <v>10380.31368597887</v>
      </c>
      <c r="M62" s="425">
        <v>6.4500000000000002E-2</v>
      </c>
      <c r="N62" s="426">
        <f>Table2[[#This Row],[Affected population without refugees]]*Table2[[#This Row],[% Female children under 5]]</f>
        <v>8507.372715954727</v>
      </c>
      <c r="O62" s="425">
        <v>0.17299999999999999</v>
      </c>
      <c r="P62" s="426">
        <f>Table2[[#This Row],[Affected population without refugees]]*Table2[[#This Row],[% Male children aged 5 - 17 years]]</f>
        <v>22818.224493956088</v>
      </c>
      <c r="Q62" s="425">
        <v>0.19700000000000001</v>
      </c>
      <c r="R62" s="426">
        <f>Table2[[#This Row],[Affected population without refugees]]*Table2[[#This Row],[% Female children aged 5 - 17 years]]</f>
        <v>25983.75852779971</v>
      </c>
      <c r="S62" s="425">
        <v>0.19389999999999999</v>
      </c>
      <c r="T62" s="426">
        <f>Table2[[#This Row],[Affected population without refugees]]*Table2[[#This Row],[% Male adults aged 18 - 60]]</f>
        <v>25574.87704842824</v>
      </c>
      <c r="U62" s="425">
        <v>0.20799999999999999</v>
      </c>
      <c r="V62" s="426">
        <f>Table2[[#This Row],[Affected population without refugees]]*Table2[[#This Row],[% Female adults aged 18 - 60]]</f>
        <v>27434.628293311369</v>
      </c>
      <c r="W62" s="425">
        <v>3.3600000000000005E-2</v>
      </c>
      <c r="X62" s="426">
        <f>Table2[[#This Row],[Affected population without refugees]]*Table2[[#This Row],[% Male adults aged over 60]]</f>
        <v>4431.7476473810684</v>
      </c>
      <c r="Y62" s="425">
        <v>5.1299999999999998E-2</v>
      </c>
      <c r="Z62" s="426">
        <f>Table2[[#This Row],[Affected population without refugees]]*Table2[[#This Row],[% Female adults aged over 60]]</f>
        <v>6766.3289973407364</v>
      </c>
      <c r="AA62" s="427">
        <v>22966.602215238501</v>
      </c>
    </row>
    <row r="63" spans="1:27" ht="14.4" x14ac:dyDescent="0.55000000000000004">
      <c r="A63" t="s">
        <v>368</v>
      </c>
      <c r="B63" t="s">
        <v>369</v>
      </c>
      <c r="C63" t="s">
        <v>370</v>
      </c>
      <c r="D63" t="s">
        <v>371</v>
      </c>
      <c r="E63" s="415">
        <v>140288.57381087335</v>
      </c>
      <c r="F63" s="423">
        <v>0</v>
      </c>
      <c r="G63" s="423">
        <v>18326.432795999659</v>
      </c>
      <c r="H63" s="423">
        <v>34983.329520759507</v>
      </c>
      <c r="I63" s="423">
        <v>66451.811981503241</v>
      </c>
      <c r="J63" s="423">
        <f t="shared" si="1"/>
        <v>119761.57429826241</v>
      </c>
      <c r="K63" s="425">
        <v>9.1399999999999995E-2</v>
      </c>
      <c r="L63" s="426">
        <f>Table2[[#This Row],[% Male children under 5]]*Table2[[#This Row],[Affected population without refugees]]</f>
        <v>10946.207890861184</v>
      </c>
      <c r="M63" s="425">
        <v>9.0999999999999998E-2</v>
      </c>
      <c r="N63" s="426">
        <f>Table2[[#This Row],[Affected population without refugees]]*Table2[[#This Row],[% Female children under 5]]</f>
        <v>10898.303261141878</v>
      </c>
      <c r="O63" s="425">
        <v>0.19400000000000001</v>
      </c>
      <c r="P63" s="426">
        <f>Table2[[#This Row],[Affected population without refugees]]*Table2[[#This Row],[% Male children aged 5 - 17 years]]</f>
        <v>23233.745413862907</v>
      </c>
      <c r="Q63" s="425">
        <v>0.18240000000000001</v>
      </c>
      <c r="R63" s="426">
        <f>Table2[[#This Row],[Affected population without refugees]]*Table2[[#This Row],[% Female children aged 5 - 17 years]]</f>
        <v>21844.511152003062</v>
      </c>
      <c r="S63" s="425">
        <v>0.19099999999999998</v>
      </c>
      <c r="T63" s="426">
        <f>Table2[[#This Row],[Affected population without refugees]]*Table2[[#This Row],[% Male adults aged 18 - 60]]</f>
        <v>22874.460690968117</v>
      </c>
      <c r="U63" s="425">
        <v>0.16800000000000001</v>
      </c>
      <c r="V63" s="426">
        <f>Table2[[#This Row],[Affected population without refugees]]*Table2[[#This Row],[% Female adults aged 18 - 60]]</f>
        <v>20119.944482108087</v>
      </c>
      <c r="W63" s="425">
        <v>3.5699999999999996E-2</v>
      </c>
      <c r="X63" s="426">
        <f>Table2[[#This Row],[Affected population without refugees]]*Table2[[#This Row],[% Male adults aged over 60]]</f>
        <v>4275.4882024479675</v>
      </c>
      <c r="Y63" s="425">
        <v>4.65E-2</v>
      </c>
      <c r="Z63" s="426">
        <f>Table2[[#This Row],[Affected population without refugees]]*Table2[[#This Row],[% Female adults aged over 60]]</f>
        <v>5568.9132048692018</v>
      </c>
      <c r="AA63" s="427">
        <v>21043.286071631002</v>
      </c>
    </row>
    <row r="64" spans="1:27" ht="14.4" x14ac:dyDescent="0.55000000000000004">
      <c r="A64" t="s">
        <v>368</v>
      </c>
      <c r="B64" t="s">
        <v>369</v>
      </c>
      <c r="C64" t="s">
        <v>372</v>
      </c>
      <c r="D64" t="s">
        <v>373</v>
      </c>
      <c r="E64" s="415">
        <v>352230.90034387482</v>
      </c>
      <c r="F64" s="423">
        <v>1581</v>
      </c>
      <c r="G64" s="423">
        <v>24686.538616861621</v>
      </c>
      <c r="H64" s="423">
        <v>98408.747432231496</v>
      </c>
      <c r="I64" s="423">
        <v>175059.60932121321</v>
      </c>
      <c r="J64" s="423">
        <f t="shared" si="1"/>
        <v>298154.89537030633</v>
      </c>
      <c r="K64" s="425">
        <v>8.3900000000000002E-2</v>
      </c>
      <c r="L64" s="426">
        <f>Table2[[#This Row],[% Male children under 5]]*Table2[[#This Row],[Affected population without refugees]]</f>
        <v>25015.195721568703</v>
      </c>
      <c r="M64" s="425">
        <v>6.7000000000000004E-2</v>
      </c>
      <c r="N64" s="426">
        <f>Table2[[#This Row],[Affected population without refugees]]*Table2[[#This Row],[% Female children under 5]]</f>
        <v>19976.377989810524</v>
      </c>
      <c r="O64" s="425">
        <v>0.21809999999999999</v>
      </c>
      <c r="P64" s="426">
        <f>Table2[[#This Row],[Affected population without refugees]]*Table2[[#This Row],[% Male children aged 5 - 17 years]]</f>
        <v>65027.582680263804</v>
      </c>
      <c r="Q64" s="425">
        <v>0.189</v>
      </c>
      <c r="R64" s="426">
        <f>Table2[[#This Row],[Affected population without refugees]]*Table2[[#This Row],[% Female children aged 5 - 17 years]]</f>
        <v>56351.275224987898</v>
      </c>
      <c r="S64" s="425">
        <v>0.193</v>
      </c>
      <c r="T64" s="426">
        <f>Table2[[#This Row],[Affected population without refugees]]*Table2[[#This Row],[% Male adults aged 18 - 60]]</f>
        <v>57543.894806469121</v>
      </c>
      <c r="U64" s="425">
        <v>0.184</v>
      </c>
      <c r="V64" s="426">
        <f>Table2[[#This Row],[Affected population without refugees]]*Table2[[#This Row],[% Female adults aged 18 - 60]]</f>
        <v>54860.500748136365</v>
      </c>
      <c r="W64" s="425">
        <v>2.2200000000000004E-2</v>
      </c>
      <c r="X64" s="426">
        <f>Table2[[#This Row],[Affected population without refugees]]*Table2[[#This Row],[% Male adults aged over 60]]</f>
        <v>6619.0386772208021</v>
      </c>
      <c r="Y64" s="425">
        <v>4.2799999999999998E-2</v>
      </c>
      <c r="Z64" s="426">
        <f>Table2[[#This Row],[Affected population without refugees]]*Table2[[#This Row],[% Female adults aged over 60]]</f>
        <v>12761.02952184911</v>
      </c>
      <c r="AA64" s="427">
        <v>53071.785051581224</v>
      </c>
    </row>
    <row r="65" spans="1:27" ht="14.4" x14ac:dyDescent="0.55000000000000004">
      <c r="A65" t="s">
        <v>368</v>
      </c>
      <c r="B65" t="s">
        <v>369</v>
      </c>
      <c r="C65" t="s">
        <v>374</v>
      </c>
      <c r="D65" t="s">
        <v>375</v>
      </c>
      <c r="E65" s="415">
        <v>196739.92273957902</v>
      </c>
      <c r="F65" s="423">
        <v>0</v>
      </c>
      <c r="G65" s="423">
        <v>23538.621025019514</v>
      </c>
      <c r="H65" s="423">
        <v>17868.834713485074</v>
      </c>
      <c r="I65" s="423">
        <v>118674.00478882086</v>
      </c>
      <c r="J65" s="423">
        <f t="shared" si="1"/>
        <v>160081.46052732546</v>
      </c>
      <c r="K65" s="425">
        <v>8.1199999999999994E-2</v>
      </c>
      <c r="L65" s="426">
        <f>Table2[[#This Row],[% Male children under 5]]*Table2[[#This Row],[Affected population without refugees]]</f>
        <v>12998.614594818826</v>
      </c>
      <c r="M65" s="425">
        <v>7.9799999999999996E-2</v>
      </c>
      <c r="N65" s="426">
        <f>Table2[[#This Row],[Affected population without refugees]]*Table2[[#This Row],[% Female children under 5]]</f>
        <v>12774.500550080571</v>
      </c>
      <c r="O65" s="425">
        <v>0.21240000000000001</v>
      </c>
      <c r="P65" s="426">
        <f>Table2[[#This Row],[Affected population without refugees]]*Table2[[#This Row],[% Male children aged 5 - 17 years]]</f>
        <v>34001.302216003925</v>
      </c>
      <c r="Q65" s="425">
        <v>0.19500000000000001</v>
      </c>
      <c r="R65" s="426">
        <f>Table2[[#This Row],[Affected population without refugees]]*Table2[[#This Row],[% Female children aged 5 - 17 years]]</f>
        <v>31215.884802828466</v>
      </c>
      <c r="S65" s="425">
        <v>0.21</v>
      </c>
      <c r="T65" s="426">
        <f>Table2[[#This Row],[Affected population without refugees]]*Table2[[#This Row],[% Male adults aged 18 - 60]]</f>
        <v>33617.106710738342</v>
      </c>
      <c r="U65" s="425">
        <v>0.153</v>
      </c>
      <c r="V65" s="426">
        <f>Table2[[#This Row],[Affected population without refugees]]*Table2[[#This Row],[% Female adults aged 18 - 60]]</f>
        <v>24492.463460680796</v>
      </c>
      <c r="W65" s="425">
        <v>4.6099999999999995E-2</v>
      </c>
      <c r="X65" s="426">
        <f>Table2[[#This Row],[Affected population without refugees]]*Table2[[#This Row],[% Male adults aged over 60]]</f>
        <v>7379.7553303097029</v>
      </c>
      <c r="Y65" s="425">
        <v>2.2499999999999999E-2</v>
      </c>
      <c r="Z65" s="426">
        <f>Table2[[#This Row],[Affected population without refugees]]*Table2[[#This Row],[% Female adults aged over 60]]</f>
        <v>3601.8328618648225</v>
      </c>
      <c r="AA65" s="427">
        <v>29510.98841093685</v>
      </c>
    </row>
    <row r="66" spans="1:27" ht="14.4" x14ac:dyDescent="0.55000000000000004">
      <c r="A66" t="s">
        <v>368</v>
      </c>
      <c r="B66" t="s">
        <v>369</v>
      </c>
      <c r="C66" t="s">
        <v>376</v>
      </c>
      <c r="D66" t="s">
        <v>377</v>
      </c>
      <c r="E66" s="415">
        <v>280443.19071004685</v>
      </c>
      <c r="F66" s="423">
        <v>0</v>
      </c>
      <c r="G66" s="423">
        <v>35756.212335130236</v>
      </c>
      <c r="H66" s="423">
        <v>13129.238762438523</v>
      </c>
      <c r="I66" s="423">
        <v>176910.11306393327</v>
      </c>
      <c r="J66" s="423">
        <f t="shared" si="1"/>
        <v>225795.56416150203</v>
      </c>
      <c r="K66" s="425">
        <v>7.5800000000000006E-2</v>
      </c>
      <c r="L66" s="426">
        <f>Table2[[#This Row],[% Male children under 5]]*Table2[[#This Row],[Affected population without refugees]]</f>
        <v>17115.303763441854</v>
      </c>
      <c r="M66" s="425">
        <v>8.3900000000000002E-2</v>
      </c>
      <c r="N66" s="426">
        <f>Table2[[#This Row],[Affected population without refugees]]*Table2[[#This Row],[% Female children under 5]]</f>
        <v>18944.247833150021</v>
      </c>
      <c r="O66" s="425">
        <v>0.18099999999999999</v>
      </c>
      <c r="P66" s="426">
        <f>Table2[[#This Row],[Affected population without refugees]]*Table2[[#This Row],[% Male children aged 5 - 17 years]]</f>
        <v>40868.997113231868</v>
      </c>
      <c r="Q66" s="425">
        <v>0.17299999999999999</v>
      </c>
      <c r="R66" s="426">
        <f>Table2[[#This Row],[Affected population without refugees]]*Table2[[#This Row],[% Female children aged 5 - 17 years]]</f>
        <v>39062.632599939847</v>
      </c>
      <c r="S66" s="425">
        <v>0.184</v>
      </c>
      <c r="T66" s="426">
        <f>Table2[[#This Row],[Affected population without refugees]]*Table2[[#This Row],[% Male adults aged 18 - 60]]</f>
        <v>41546.383805716374</v>
      </c>
      <c r="U66" s="425">
        <v>0.184</v>
      </c>
      <c r="V66" s="426">
        <f>Table2[[#This Row],[Affected population without refugees]]*Table2[[#This Row],[% Female adults aged 18 - 60]]</f>
        <v>41546.383805716374</v>
      </c>
      <c r="W66" s="425">
        <v>4.9099999999999998E-2</v>
      </c>
      <c r="X66" s="426">
        <f>Table2[[#This Row],[Affected population without refugees]]*Table2[[#This Row],[% Male adults aged over 60]]</f>
        <v>11086.562200329749</v>
      </c>
      <c r="Y66" s="425">
        <v>6.9199999999999998E-2</v>
      </c>
      <c r="Z66" s="426">
        <f>Table2[[#This Row],[Affected population without refugees]]*Table2[[#This Row],[% Female adults aged over 60]]</f>
        <v>15625.053039975939</v>
      </c>
      <c r="AA66" s="427">
        <v>42066.478606507029</v>
      </c>
    </row>
    <row r="67" spans="1:27" ht="14.4" x14ac:dyDescent="0.55000000000000004">
      <c r="A67" t="s">
        <v>368</v>
      </c>
      <c r="B67" t="s">
        <v>369</v>
      </c>
      <c r="C67" t="s">
        <v>378</v>
      </c>
      <c r="D67" t="s">
        <v>379</v>
      </c>
      <c r="E67" s="415">
        <v>128037.98869642678</v>
      </c>
      <c r="F67" s="423">
        <v>0</v>
      </c>
      <c r="G67" s="423">
        <v>7457.5791677040434</v>
      </c>
      <c r="H67" s="423">
        <v>8647.438167676999</v>
      </c>
      <c r="I67" s="423">
        <v>85516.790119838945</v>
      </c>
      <c r="J67" s="423">
        <f t="shared" ref="J67:J81" si="2">SUM(I67,H67,G67)</f>
        <v>101621.80745521998</v>
      </c>
      <c r="K67" s="425">
        <v>6.9699999999999998E-2</v>
      </c>
      <c r="L67" s="426">
        <f>Table2[[#This Row],[% Male children under 5]]*Table2[[#This Row],[Affected population without refugees]]</f>
        <v>7083.039979628833</v>
      </c>
      <c r="M67" s="425">
        <v>8.2500000000000004E-2</v>
      </c>
      <c r="N67" s="426">
        <f>Table2[[#This Row],[Affected population without refugees]]*Table2[[#This Row],[% Female children under 5]]</f>
        <v>8383.7991150556481</v>
      </c>
      <c r="O67" s="425">
        <v>0.185</v>
      </c>
      <c r="P67" s="426">
        <f>Table2[[#This Row],[Affected population without refugees]]*Table2[[#This Row],[% Male children aged 5 - 17 years]]</f>
        <v>18800.034379215696</v>
      </c>
      <c r="Q67" s="425">
        <v>0.19850000000000001</v>
      </c>
      <c r="R67" s="426">
        <f>Table2[[#This Row],[Affected population without refugees]]*Table2[[#This Row],[% Female children aged 5 - 17 years]]</f>
        <v>20171.928779861169</v>
      </c>
      <c r="S67" s="425">
        <v>0.20900000000000002</v>
      </c>
      <c r="T67" s="426">
        <f>Table2[[#This Row],[Affected population without refugees]]*Table2[[#This Row],[% Male adults aged 18 - 60]]</f>
        <v>21238.957758140979</v>
      </c>
      <c r="U67" s="425">
        <v>0.185</v>
      </c>
      <c r="V67" s="426">
        <f>Table2[[#This Row],[Affected population without refugees]]*Table2[[#This Row],[% Female adults aged 18 - 60]]</f>
        <v>18800.034379215696</v>
      </c>
      <c r="W67" s="425">
        <v>5.1400000000000001E-2</v>
      </c>
      <c r="X67" s="426">
        <f>Table2[[#This Row],[Affected population without refugees]]*Table2[[#This Row],[% Male adults aged over 60]]</f>
        <v>5223.3609031983069</v>
      </c>
      <c r="Y67" s="425">
        <v>1.89E-2</v>
      </c>
      <c r="Z67" s="426">
        <f>Table2[[#This Row],[Affected population without refugees]]*Table2[[#This Row],[% Female adults aged over 60]]</f>
        <v>1920.6521609036577</v>
      </c>
      <c r="AA67" s="427">
        <v>19205.698304464015</v>
      </c>
    </row>
    <row r="68" spans="1:27" ht="14.4" x14ac:dyDescent="0.55000000000000004">
      <c r="A68" t="s">
        <v>368</v>
      </c>
      <c r="B68" t="s">
        <v>369</v>
      </c>
      <c r="C68" t="s">
        <v>380</v>
      </c>
      <c r="D68" t="s">
        <v>381</v>
      </c>
      <c r="E68" s="415">
        <v>304133.49021246587</v>
      </c>
      <c r="F68" s="423">
        <v>0</v>
      </c>
      <c r="G68" s="423">
        <v>150879.3340223525</v>
      </c>
      <c r="H68" s="423">
        <v>79307.299107857689</v>
      </c>
      <c r="I68" s="423">
        <v>56495.39881084334</v>
      </c>
      <c r="J68" s="423">
        <f t="shared" si="2"/>
        <v>286682.03194105357</v>
      </c>
      <c r="K68" s="425">
        <v>8.4000000000000005E-2</v>
      </c>
      <c r="L68" s="426">
        <f>Table2[[#This Row],[% Male children under 5]]*Table2[[#This Row],[Affected population without refugees]]</f>
        <v>24081.290683048501</v>
      </c>
      <c r="M68" s="425">
        <v>5.9499999999999997E-2</v>
      </c>
      <c r="N68" s="426">
        <f>Table2[[#This Row],[Affected population without refugees]]*Table2[[#This Row],[% Female children under 5]]</f>
        <v>17057.580900492689</v>
      </c>
      <c r="O68" s="425">
        <v>0.20299999999999999</v>
      </c>
      <c r="P68" s="426">
        <f>Table2[[#This Row],[Affected population without refugees]]*Table2[[#This Row],[% Male children aged 5 - 17 years]]</f>
        <v>58196.452484033871</v>
      </c>
      <c r="Q68" s="425">
        <v>0.219</v>
      </c>
      <c r="R68" s="426">
        <f>Table2[[#This Row],[Affected population without refugees]]*Table2[[#This Row],[% Female children aged 5 - 17 years]]</f>
        <v>62783.364995090735</v>
      </c>
      <c r="S68" s="425">
        <v>0.17299999999999999</v>
      </c>
      <c r="T68" s="426">
        <f>Table2[[#This Row],[Affected population without refugees]]*Table2[[#This Row],[% Male adults aged 18 - 60]]</f>
        <v>49595.991525802267</v>
      </c>
      <c r="U68" s="425">
        <v>0.1908</v>
      </c>
      <c r="V68" s="426">
        <f>Table2[[#This Row],[Affected population without refugees]]*Table2[[#This Row],[% Female adults aged 18 - 60]]</f>
        <v>54698.931694353021</v>
      </c>
      <c r="W68" s="425">
        <v>3.0899999999999997E-2</v>
      </c>
      <c r="X68" s="426">
        <f>Table2[[#This Row],[Affected population without refugees]]*Table2[[#This Row],[% Male adults aged over 60]]</f>
        <v>8858.4747869785551</v>
      </c>
      <c r="Y68" s="425">
        <v>3.9800000000000002E-2</v>
      </c>
      <c r="Z68" s="426">
        <f>Table2[[#This Row],[Affected population without refugees]]*Table2[[#This Row],[% Female adults aged over 60]]</f>
        <v>11409.944871253932</v>
      </c>
      <c r="AA68" s="427">
        <v>45620.023531869876</v>
      </c>
    </row>
    <row r="69" spans="1:27" ht="14.4" x14ac:dyDescent="0.55000000000000004">
      <c r="A69" t="s">
        <v>382</v>
      </c>
      <c r="B69" t="s">
        <v>383</v>
      </c>
      <c r="C69" t="s">
        <v>384</v>
      </c>
      <c r="D69" t="s">
        <v>385</v>
      </c>
      <c r="E69" s="415">
        <v>301556.49113157101</v>
      </c>
      <c r="F69" s="423">
        <v>0</v>
      </c>
      <c r="G69" s="423">
        <v>47398.331065600592</v>
      </c>
      <c r="H69" s="423">
        <v>20202.24984559073</v>
      </c>
      <c r="I69" s="423">
        <v>178742.31540837008</v>
      </c>
      <c r="J69" s="423">
        <f t="shared" si="2"/>
        <v>246342.89631956141</v>
      </c>
      <c r="K69" s="425">
        <v>8.7099999999999997E-2</v>
      </c>
      <c r="L69" s="426">
        <f>Table2[[#This Row],[% Male children under 5]]*Table2[[#This Row],[Affected population without refugees]]</f>
        <v>21456.466269433797</v>
      </c>
      <c r="M69" s="425">
        <v>0.109</v>
      </c>
      <c r="N69" s="426">
        <f>Table2[[#This Row],[Affected population without refugees]]*Table2[[#This Row],[% Female children under 5]]</f>
        <v>26851.375698832195</v>
      </c>
      <c r="O69" s="425">
        <v>0.19769999999999999</v>
      </c>
      <c r="P69" s="426">
        <f>Table2[[#This Row],[Affected population without refugees]]*Table2[[#This Row],[% Male children aged 5 - 17 years]]</f>
        <v>48701.990602377286</v>
      </c>
      <c r="Q69" s="425">
        <v>0.19700000000000001</v>
      </c>
      <c r="R69" s="426">
        <f>Table2[[#This Row],[Affected population without refugees]]*Table2[[#This Row],[% Female children aged 5 - 17 years]]</f>
        <v>48529.550574953602</v>
      </c>
      <c r="S69" s="425">
        <v>0.16799999999999998</v>
      </c>
      <c r="T69" s="426">
        <f>Table2[[#This Row],[Affected population without refugees]]*Table2[[#This Row],[% Male adults aged 18 - 60]]</f>
        <v>41385.606581686312</v>
      </c>
      <c r="U69" s="425">
        <v>0.19500000000000001</v>
      </c>
      <c r="V69" s="426">
        <f>Table2[[#This Row],[Affected population without refugees]]*Table2[[#This Row],[% Female adults aged 18 - 60]]</f>
        <v>48036.864782314478</v>
      </c>
      <c r="W69" s="425">
        <v>2.1599999999999998E-2</v>
      </c>
      <c r="X69" s="426">
        <f>Table2[[#This Row],[Affected population without refugees]]*Table2[[#This Row],[% Male adults aged over 60]]</f>
        <v>5321.0065605025256</v>
      </c>
      <c r="Y69" s="425">
        <v>2.46E-2</v>
      </c>
      <c r="Z69" s="426">
        <f>Table2[[#This Row],[Affected population without refugees]]*Table2[[#This Row],[% Female adults aged over 60]]</f>
        <v>6060.0352494612107</v>
      </c>
      <c r="AA69" s="427">
        <v>45233.473669735649</v>
      </c>
    </row>
    <row r="70" spans="1:27" ht="14.4" x14ac:dyDescent="0.55000000000000004">
      <c r="A70" t="s">
        <v>382</v>
      </c>
      <c r="B70" t="s">
        <v>383</v>
      </c>
      <c r="C70" t="s">
        <v>386</v>
      </c>
      <c r="D70" t="s">
        <v>387</v>
      </c>
      <c r="E70" s="415">
        <v>84723.698163602545</v>
      </c>
      <c r="F70" s="423">
        <v>8493</v>
      </c>
      <c r="G70" s="423">
        <v>7607.0241213008612</v>
      </c>
      <c r="H70" s="423">
        <v>28676.523493080207</v>
      </c>
      <c r="I70" s="423">
        <v>37008.275019605207</v>
      </c>
      <c r="J70" s="423">
        <f t="shared" si="2"/>
        <v>73291.822633986274</v>
      </c>
      <c r="K70" s="425">
        <v>9.5500000000000002E-2</v>
      </c>
      <c r="L70" s="426">
        <f>Table2[[#This Row],[% Male children under 5]]*Table2[[#This Row],[Affected population without refugees]]</f>
        <v>6999.369061545689</v>
      </c>
      <c r="M70" s="425">
        <v>7.9600000000000004E-2</v>
      </c>
      <c r="N70" s="426">
        <f>Table2[[#This Row],[Affected population without refugees]]*Table2[[#This Row],[% Female children under 5]]</f>
        <v>5834.0290816653078</v>
      </c>
      <c r="O70" s="425">
        <v>0.20250000000000001</v>
      </c>
      <c r="P70" s="426">
        <f>Table2[[#This Row],[Affected population without refugees]]*Table2[[#This Row],[% Male children aged 5 - 17 years]]</f>
        <v>14841.594083382221</v>
      </c>
      <c r="Q70" s="425">
        <v>0.184</v>
      </c>
      <c r="R70" s="426">
        <f>Table2[[#This Row],[Affected population without refugees]]*Table2[[#This Row],[% Female children aged 5 - 17 years]]</f>
        <v>13485.695364653475</v>
      </c>
      <c r="S70" s="425">
        <v>0.19400000000000001</v>
      </c>
      <c r="T70" s="426">
        <f>Table2[[#This Row],[Affected population without refugees]]*Table2[[#This Row],[% Male adults aged 18 - 60]]</f>
        <v>14218.613590993338</v>
      </c>
      <c r="U70" s="425">
        <v>0.193</v>
      </c>
      <c r="V70" s="426">
        <f>Table2[[#This Row],[Affected population without refugees]]*Table2[[#This Row],[% Female adults aged 18 - 60]]</f>
        <v>14145.321768359352</v>
      </c>
      <c r="W70" s="425">
        <v>1.8300000000000004E-2</v>
      </c>
      <c r="X70" s="426">
        <f>Table2[[#This Row],[Affected population without refugees]]*Table2[[#This Row],[% Male adults aged over 60]]</f>
        <v>1341.240354201949</v>
      </c>
      <c r="Y70" s="425">
        <v>3.3099999999999997E-2</v>
      </c>
      <c r="Z70" s="426">
        <f>Table2[[#This Row],[Affected population without refugees]]*Table2[[#This Row],[% Female adults aged over 60]]</f>
        <v>2425.9593291849455</v>
      </c>
      <c r="AA70" s="427">
        <v>13982.504724540382</v>
      </c>
    </row>
    <row r="71" spans="1:27" ht="14.4" x14ac:dyDescent="0.55000000000000004">
      <c r="A71" t="s">
        <v>382</v>
      </c>
      <c r="B71" t="s">
        <v>383</v>
      </c>
      <c r="C71" t="s">
        <v>388</v>
      </c>
      <c r="D71" t="s">
        <v>389</v>
      </c>
      <c r="E71" s="415">
        <v>360253.6116309794</v>
      </c>
      <c r="F71" s="423">
        <v>12337</v>
      </c>
      <c r="G71" s="423">
        <v>17868.652727011824</v>
      </c>
      <c r="H71" s="423">
        <v>47646.035148118463</v>
      </c>
      <c r="I71" s="423">
        <v>225180.53774946873</v>
      </c>
      <c r="J71" s="423">
        <f t="shared" si="2"/>
        <v>290695.22562459903</v>
      </c>
      <c r="K71" s="425">
        <v>0.13200000000000001</v>
      </c>
      <c r="L71" s="426">
        <f>Table2[[#This Row],[% Male children under 5]]*Table2[[#This Row],[Affected population without refugees]]</f>
        <v>38371.769782447074</v>
      </c>
      <c r="M71" s="425">
        <v>0.124</v>
      </c>
      <c r="N71" s="426">
        <f>Table2[[#This Row],[Affected population without refugees]]*Table2[[#This Row],[% Female children under 5]]</f>
        <v>36046.207977450278</v>
      </c>
      <c r="O71" s="425">
        <v>0.13500000000000001</v>
      </c>
      <c r="P71" s="426">
        <f>Table2[[#This Row],[Affected population without refugees]]*Table2[[#This Row],[% Male children aged 5 - 17 years]]</f>
        <v>39243.855459320868</v>
      </c>
      <c r="Q71" s="425">
        <v>0.1762</v>
      </c>
      <c r="R71" s="426">
        <f>Table2[[#This Row],[Affected population without refugees]]*Table2[[#This Row],[% Female children aged 5 - 17 years]]</f>
        <v>51220.498755054345</v>
      </c>
      <c r="S71" s="425">
        <v>0.18799999999999997</v>
      </c>
      <c r="T71" s="426">
        <f>Table2[[#This Row],[Affected population without refugees]]*Table2[[#This Row],[% Male adults aged 18 - 60]]</f>
        <v>54650.702417424611</v>
      </c>
      <c r="U71" s="425">
        <v>0.224</v>
      </c>
      <c r="V71" s="426">
        <f>Table2[[#This Row],[Affected population without refugees]]*Table2[[#This Row],[% Female adults aged 18 - 60]]</f>
        <v>65115.730539910182</v>
      </c>
      <c r="W71" s="425">
        <v>1.286E-2</v>
      </c>
      <c r="X71" s="426">
        <f>Table2[[#This Row],[Affected population without refugees]]*Table2[[#This Row],[% Male adults aged over 60]]</f>
        <v>3738.3406015323435</v>
      </c>
      <c r="Y71" s="425">
        <v>7.9399999999999991E-3</v>
      </c>
      <c r="Z71" s="426">
        <f>Table2[[#This Row],[Affected population without refugees]]*Table2[[#This Row],[% Female adults aged over 60]]</f>
        <v>2308.120091459316</v>
      </c>
      <c r="AA71" s="427">
        <v>55888.59174464691</v>
      </c>
    </row>
    <row r="72" spans="1:27" ht="14.4" x14ac:dyDescent="0.55000000000000004">
      <c r="A72" t="s">
        <v>390</v>
      </c>
      <c r="B72" t="s">
        <v>391</v>
      </c>
      <c r="C72" t="s">
        <v>392</v>
      </c>
      <c r="D72" t="s">
        <v>393</v>
      </c>
      <c r="E72" s="415">
        <v>141096.94876695747</v>
      </c>
      <c r="F72" s="423">
        <v>4598</v>
      </c>
      <c r="G72" s="423">
        <v>41205.344743342968</v>
      </c>
      <c r="H72" s="423">
        <v>3661</v>
      </c>
      <c r="I72" s="423">
        <v>73520.181474041485</v>
      </c>
      <c r="J72" s="423">
        <f t="shared" si="2"/>
        <v>118386.52621738445</v>
      </c>
      <c r="K72" s="425">
        <v>5.8999999999999997E-2</v>
      </c>
      <c r="L72" s="426">
        <f>Table2[[#This Row],[% Male children under 5]]*Table2[[#This Row],[Affected population without refugees]]</f>
        <v>6984.8050468256824</v>
      </c>
      <c r="M72" s="425">
        <v>8.5800000000000001E-2</v>
      </c>
      <c r="N72" s="426">
        <f>Table2[[#This Row],[Affected population without refugees]]*Table2[[#This Row],[% Female children under 5]]</f>
        <v>10157.563949451585</v>
      </c>
      <c r="O72" s="425">
        <v>0.17299999999999999</v>
      </c>
      <c r="P72" s="426">
        <f>Table2[[#This Row],[Affected population without refugees]]*Table2[[#This Row],[% Male children aged 5 - 17 years]]</f>
        <v>20480.869035607509</v>
      </c>
      <c r="Q72" s="425">
        <v>0.1835</v>
      </c>
      <c r="R72" s="426">
        <f>Table2[[#This Row],[Affected population without refugees]]*Table2[[#This Row],[% Female children aged 5 - 17 years]]</f>
        <v>21723.927560890046</v>
      </c>
      <c r="S72" s="425">
        <v>0.18199999999999997</v>
      </c>
      <c r="T72" s="426">
        <f>Table2[[#This Row],[Affected population without refugees]]*Table2[[#This Row],[% Male adults aged 18 - 60]]</f>
        <v>21546.347771563967</v>
      </c>
      <c r="U72" s="425">
        <v>0.22900000000000001</v>
      </c>
      <c r="V72" s="426">
        <f>Table2[[#This Row],[Affected population without refugees]]*Table2[[#This Row],[% Female adults aged 18 - 60]]</f>
        <v>27110.51450378104</v>
      </c>
      <c r="W72" s="425">
        <v>5.4100000000000002E-2</v>
      </c>
      <c r="X72" s="426">
        <f>Table2[[#This Row],[Affected population without refugees]]*Table2[[#This Row],[% Male adults aged over 60]]</f>
        <v>6404.7110683604988</v>
      </c>
      <c r="Y72" s="425">
        <v>3.3599999999999998E-2</v>
      </c>
      <c r="Z72" s="426">
        <f>Table2[[#This Row],[Affected population without refugees]]*Table2[[#This Row],[% Female adults aged over 60]]</f>
        <v>3977.7872809041173</v>
      </c>
      <c r="AA72" s="427">
        <v>21854.242315043619</v>
      </c>
    </row>
    <row r="73" spans="1:27" ht="14.4" x14ac:dyDescent="0.55000000000000004">
      <c r="A73" t="s">
        <v>390</v>
      </c>
      <c r="B73" t="s">
        <v>391</v>
      </c>
      <c r="C73" t="s">
        <v>394</v>
      </c>
      <c r="D73" t="s">
        <v>395</v>
      </c>
      <c r="E73" s="415">
        <v>70600.179049555707</v>
      </c>
      <c r="F73" s="423">
        <v>0</v>
      </c>
      <c r="G73" s="423">
        <v>7434.8763775539119</v>
      </c>
      <c r="H73" s="423">
        <v>1463.1428571428601</v>
      </c>
      <c r="I73" s="423">
        <v>47140.450098552225</v>
      </c>
      <c r="J73" s="423">
        <f t="shared" si="2"/>
        <v>56038.469333248999</v>
      </c>
      <c r="K73" s="425">
        <v>8.8599999999999998E-2</v>
      </c>
      <c r="L73" s="426">
        <f>Table2[[#This Row],[% Male children under 5]]*Table2[[#This Row],[Affected population without refugees]]</f>
        <v>4965.008382925861</v>
      </c>
      <c r="M73" s="425">
        <v>6.6000000000000003E-2</v>
      </c>
      <c r="N73" s="426">
        <f>Table2[[#This Row],[Affected population without refugees]]*Table2[[#This Row],[% Female children under 5]]</f>
        <v>3698.5389759944342</v>
      </c>
      <c r="O73" s="425">
        <v>0.20699999999999999</v>
      </c>
      <c r="P73" s="426">
        <f>Table2[[#This Row],[Affected population without refugees]]*Table2[[#This Row],[% Male children aged 5 - 17 years]]</f>
        <v>11599.963151982542</v>
      </c>
      <c r="Q73" s="425">
        <v>0.17100000000000001</v>
      </c>
      <c r="R73" s="426">
        <f>Table2[[#This Row],[Affected population without refugees]]*Table2[[#This Row],[% Female children aged 5 - 17 years]]</f>
        <v>9582.5782559855797</v>
      </c>
      <c r="S73" s="425">
        <v>0.223</v>
      </c>
      <c r="T73" s="426">
        <f>Table2[[#This Row],[Affected population without refugees]]*Table2[[#This Row],[% Male adults aged 18 - 60]]</f>
        <v>12496.578661314526</v>
      </c>
      <c r="U73" s="425">
        <v>0.20499999999999999</v>
      </c>
      <c r="V73" s="426">
        <f>Table2[[#This Row],[Affected population without refugees]]*Table2[[#This Row],[% Female adults aged 18 - 60]]</f>
        <v>11487.886213316044</v>
      </c>
      <c r="W73" s="425">
        <v>1.7599999999999998E-2</v>
      </c>
      <c r="X73" s="426">
        <f>Table2[[#This Row],[Affected population without refugees]]*Table2[[#This Row],[% Male adults aged over 60]]</f>
        <v>986.27706026518229</v>
      </c>
      <c r="Y73" s="425">
        <v>2.18E-2</v>
      </c>
      <c r="Z73" s="426">
        <f>Table2[[#This Row],[Affected population without refugees]]*Table2[[#This Row],[% Female adults aged over 60]]</f>
        <v>1221.6386314648282</v>
      </c>
      <c r="AA73" s="427">
        <v>10590.026857433355</v>
      </c>
    </row>
    <row r="74" spans="1:27" ht="14.4" x14ac:dyDescent="0.55000000000000004">
      <c r="A74" t="s">
        <v>390</v>
      </c>
      <c r="B74" t="s">
        <v>391</v>
      </c>
      <c r="C74" t="s">
        <v>396</v>
      </c>
      <c r="D74" t="s">
        <v>397</v>
      </c>
      <c r="E74" s="415">
        <v>117256.42677855679</v>
      </c>
      <c r="F74" s="423">
        <v>134</v>
      </c>
      <c r="G74" s="423">
        <v>11522.074781291758</v>
      </c>
      <c r="H74" s="423">
        <v>688</v>
      </c>
      <c r="I74" s="423">
        <v>80255.412925910496</v>
      </c>
      <c r="J74" s="423">
        <f t="shared" si="2"/>
        <v>92465.48770720225</v>
      </c>
      <c r="K74" s="425">
        <v>9.9299999999999999E-2</v>
      </c>
      <c r="L74" s="426">
        <f>Table2[[#This Row],[% Male children under 5]]*Table2[[#This Row],[Affected population without refugees]]</f>
        <v>9181.8229293251825</v>
      </c>
      <c r="M74" s="425">
        <v>8.4199999999999997E-2</v>
      </c>
      <c r="N74" s="426">
        <f>Table2[[#This Row],[Affected population without refugees]]*Table2[[#This Row],[% Female children under 5]]</f>
        <v>7785.5940649464292</v>
      </c>
      <c r="O74" s="425">
        <v>0.159</v>
      </c>
      <c r="P74" s="426">
        <f>Table2[[#This Row],[Affected population without refugees]]*Table2[[#This Row],[% Male children aged 5 - 17 years]]</f>
        <v>14702.012545445157</v>
      </c>
      <c r="Q74" s="425">
        <v>0.16769999999999999</v>
      </c>
      <c r="R74" s="426">
        <f>Table2[[#This Row],[Affected population without refugees]]*Table2[[#This Row],[% Female children aged 5 - 17 years]]</f>
        <v>15506.462288497816</v>
      </c>
      <c r="S74" s="425">
        <v>0.188</v>
      </c>
      <c r="T74" s="426">
        <f>Table2[[#This Row],[Affected population without refugees]]*Table2[[#This Row],[% Male adults aged 18 - 60]]</f>
        <v>17383.511688954022</v>
      </c>
      <c r="U74" s="425">
        <v>0.23899999999999999</v>
      </c>
      <c r="V74" s="426">
        <f>Table2[[#This Row],[Affected population without refugees]]*Table2[[#This Row],[% Female adults aged 18 - 60]]</f>
        <v>22099.251562021338</v>
      </c>
      <c r="W74" s="425">
        <v>1.8599999999999992E-2</v>
      </c>
      <c r="X74" s="426">
        <f>Table2[[#This Row],[Affected population without refugees]]*Table2[[#This Row],[% Male adults aged over 60]]</f>
        <v>1719.8580713539611</v>
      </c>
      <c r="Y74" s="425">
        <v>4.4200000000000003E-2</v>
      </c>
      <c r="Z74" s="426">
        <f>Table2[[#This Row],[Affected population without refugees]]*Table2[[#This Row],[% Female adults aged over 60]]</f>
        <v>4086.9745566583397</v>
      </c>
      <c r="AA74" s="427">
        <v>17608.564016783519</v>
      </c>
    </row>
    <row r="75" spans="1:27" ht="14.4" x14ac:dyDescent="0.55000000000000004">
      <c r="A75" t="s">
        <v>390</v>
      </c>
      <c r="B75" t="s">
        <v>391</v>
      </c>
      <c r="C75" t="s">
        <v>398</v>
      </c>
      <c r="D75" t="s">
        <v>399</v>
      </c>
      <c r="E75" s="415">
        <v>106381.97635484653</v>
      </c>
      <c r="F75" s="423">
        <v>0</v>
      </c>
      <c r="G75" s="423">
        <v>17357.293062226148</v>
      </c>
      <c r="H75" s="423">
        <v>5019</v>
      </c>
      <c r="I75" s="423">
        <v>64180.342035561967</v>
      </c>
      <c r="J75" s="423">
        <f t="shared" si="2"/>
        <v>86556.635097788123</v>
      </c>
      <c r="K75" s="425">
        <v>9.8799999999999999E-2</v>
      </c>
      <c r="L75" s="426">
        <f>Table2[[#This Row],[% Male children under 5]]*Table2[[#This Row],[Affected population without refugees]]</f>
        <v>8551.7955476614661</v>
      </c>
      <c r="M75" s="425">
        <v>9.1200000000000003E-2</v>
      </c>
      <c r="N75" s="426">
        <f>Table2[[#This Row],[Affected population without refugees]]*Table2[[#This Row],[% Female children under 5]]</f>
        <v>7893.9651209182775</v>
      </c>
      <c r="O75" s="425">
        <v>0.15670000000000001</v>
      </c>
      <c r="P75" s="426">
        <f>Table2[[#This Row],[Affected population without refugees]]*Table2[[#This Row],[% Male children aged 5 - 17 years]]</f>
        <v>13563.424719823399</v>
      </c>
      <c r="Q75" s="425">
        <v>0.124</v>
      </c>
      <c r="R75" s="426">
        <f>Table2[[#This Row],[Affected population without refugees]]*Table2[[#This Row],[% Female children aged 5 - 17 years]]</f>
        <v>10733.022752125727</v>
      </c>
      <c r="S75" s="425">
        <v>0.23500000000000001</v>
      </c>
      <c r="T75" s="426">
        <f>Table2[[#This Row],[Affected population without refugees]]*Table2[[#This Row],[% Male adults aged 18 - 60]]</f>
        <v>20340.809247980211</v>
      </c>
      <c r="U75" s="425">
        <v>0.22800000000000001</v>
      </c>
      <c r="V75" s="426">
        <f>Table2[[#This Row],[Affected population without refugees]]*Table2[[#This Row],[% Female adults aged 18 - 60]]</f>
        <v>19734.912802295694</v>
      </c>
      <c r="W75" s="425">
        <v>3.6799999999999999E-2</v>
      </c>
      <c r="X75" s="426">
        <f>Table2[[#This Row],[Affected population without refugees]]*Table2[[#This Row],[% Male adults aged over 60]]</f>
        <v>3185.2841715986028</v>
      </c>
      <c r="Y75" s="425">
        <v>2.9499999999999998E-2</v>
      </c>
      <c r="Z75" s="426">
        <f>Table2[[#This Row],[Affected population without refugees]]*Table2[[#This Row],[% Female adults aged over 60]]</f>
        <v>2553.4207353847496</v>
      </c>
      <c r="AA75" s="427">
        <v>15957.296453226978</v>
      </c>
    </row>
    <row r="76" spans="1:27" ht="14.4" x14ac:dyDescent="0.55000000000000004">
      <c r="A76" t="s">
        <v>390</v>
      </c>
      <c r="B76" t="s">
        <v>391</v>
      </c>
      <c r="C76" t="s">
        <v>400</v>
      </c>
      <c r="D76" t="s">
        <v>401</v>
      </c>
      <c r="E76" s="415">
        <v>52793.784722563469</v>
      </c>
      <c r="F76" s="423">
        <v>0</v>
      </c>
      <c r="G76" s="423">
        <v>1326.2143950586142</v>
      </c>
      <c r="H76" s="423">
        <v>2319</v>
      </c>
      <c r="I76" s="423">
        <v>37549.507730213714</v>
      </c>
      <c r="J76" s="423">
        <f t="shared" si="2"/>
        <v>41194.722125272325</v>
      </c>
      <c r="K76" s="425">
        <v>9.4700000000000006E-2</v>
      </c>
      <c r="L76" s="426">
        <f>Table2[[#This Row],[% Male children under 5]]*Table2[[#This Row],[Affected population without refugees]]</f>
        <v>3901.1401852632894</v>
      </c>
      <c r="M76" s="425">
        <v>9.0800000000000006E-2</v>
      </c>
      <c r="N76" s="426">
        <f>Table2[[#This Row],[Affected population without refugees]]*Table2[[#This Row],[% Female children under 5]]</f>
        <v>3740.4807689747272</v>
      </c>
      <c r="O76" s="425">
        <v>0.2175</v>
      </c>
      <c r="P76" s="426">
        <f>Table2[[#This Row],[Affected population without refugees]]*Table2[[#This Row],[% Male children aged 5 - 17 years]]</f>
        <v>8959.8520622467313</v>
      </c>
      <c r="Q76" s="425">
        <v>0.16300000000000001</v>
      </c>
      <c r="R76" s="426">
        <f>Table2[[#This Row],[Affected population without refugees]]*Table2[[#This Row],[% Female children aged 5 - 17 years]]</f>
        <v>6714.7397064193892</v>
      </c>
      <c r="S76" s="425">
        <v>0.19020000000000001</v>
      </c>
      <c r="T76" s="426">
        <f>Table2[[#This Row],[Affected population without refugees]]*Table2[[#This Row],[% Male adults aged 18 - 60]]</f>
        <v>7835.2361482267961</v>
      </c>
      <c r="U76" s="425">
        <v>0.20499999999999999</v>
      </c>
      <c r="V76" s="426">
        <f>Table2[[#This Row],[Affected population without refugees]]*Table2[[#This Row],[% Female adults aged 18 - 60]]</f>
        <v>8444.9180356808265</v>
      </c>
      <c r="W76" s="425">
        <v>1.54E-2</v>
      </c>
      <c r="X76" s="426">
        <f>Table2[[#This Row],[Affected population without refugees]]*Table2[[#This Row],[% Male adults aged over 60]]</f>
        <v>634.39872072919377</v>
      </c>
      <c r="Y76" s="425">
        <v>2.3400000000000001E-2</v>
      </c>
      <c r="Z76" s="426">
        <f>Table2[[#This Row],[Affected population without refugees]]*Table2[[#This Row],[% Female adults aged over 60]]</f>
        <v>963.95649773137245</v>
      </c>
      <c r="AA76" s="427">
        <v>7919.0677083845203</v>
      </c>
    </row>
    <row r="77" spans="1:27" ht="14.4" x14ac:dyDescent="0.55000000000000004">
      <c r="A77" t="s">
        <v>390</v>
      </c>
      <c r="B77" t="s">
        <v>391</v>
      </c>
      <c r="C77" t="s">
        <v>402</v>
      </c>
      <c r="D77" t="s">
        <v>403</v>
      </c>
      <c r="E77" s="415">
        <v>79940.879184303572</v>
      </c>
      <c r="F77" s="423">
        <v>0</v>
      </c>
      <c r="G77" s="423">
        <v>0</v>
      </c>
      <c r="H77" s="423">
        <v>4934</v>
      </c>
      <c r="I77" s="423">
        <v>57305.25569680793</v>
      </c>
      <c r="J77" s="423">
        <f t="shared" si="2"/>
        <v>62239.25569680793</v>
      </c>
      <c r="K77" s="425">
        <v>0.109</v>
      </c>
      <c r="L77" s="426">
        <f>Table2[[#This Row],[% Male children under 5]]*Table2[[#This Row],[Affected population without refugees]]</f>
        <v>6784.0788709520639</v>
      </c>
      <c r="M77" s="425">
        <v>0.08</v>
      </c>
      <c r="N77" s="426">
        <f>Table2[[#This Row],[Affected population without refugees]]*Table2[[#This Row],[% Female children under 5]]</f>
        <v>4979.1404557446349</v>
      </c>
      <c r="O77" s="425">
        <v>0.19339999999999999</v>
      </c>
      <c r="P77" s="426">
        <f>Table2[[#This Row],[Affected population without refugees]]*Table2[[#This Row],[% Male children aged 5 - 17 years]]</f>
        <v>12037.072051762652</v>
      </c>
      <c r="Q77" s="425">
        <v>0.17499999999999999</v>
      </c>
      <c r="R77" s="426">
        <f>Table2[[#This Row],[Affected population without refugees]]*Table2[[#This Row],[% Female children aged 5 - 17 years]]</f>
        <v>10891.869746941387</v>
      </c>
      <c r="S77" s="425">
        <v>0.17599999999999999</v>
      </c>
      <c r="T77" s="426">
        <f>Table2[[#This Row],[Affected population without refugees]]*Table2[[#This Row],[% Male adults aged 18 - 60]]</f>
        <v>10954.109002638195</v>
      </c>
      <c r="U77" s="425">
        <v>0.19800000000000001</v>
      </c>
      <c r="V77" s="426">
        <f>Table2[[#This Row],[Affected population without refugees]]*Table2[[#This Row],[% Female adults aged 18 - 60]]</f>
        <v>12323.37262796797</v>
      </c>
      <c r="W77" s="425">
        <v>3.2999999999999995E-2</v>
      </c>
      <c r="X77" s="426">
        <f>Table2[[#This Row],[Affected population without refugees]]*Table2[[#This Row],[% Male adults aged over 60]]</f>
        <v>2053.8954379946613</v>
      </c>
      <c r="Y77" s="425">
        <v>3.56E-2</v>
      </c>
      <c r="Z77" s="426">
        <f>Table2[[#This Row],[Affected population without refugees]]*Table2[[#This Row],[% Female adults aged over 60]]</f>
        <v>2215.7175028063621</v>
      </c>
      <c r="AA77" s="427">
        <v>11991.131877645535</v>
      </c>
    </row>
    <row r="78" spans="1:27" ht="14.4" x14ac:dyDescent="0.55000000000000004">
      <c r="A78" t="s">
        <v>390</v>
      </c>
      <c r="B78" t="s">
        <v>391</v>
      </c>
      <c r="C78" t="s">
        <v>404</v>
      </c>
      <c r="D78" t="s">
        <v>405</v>
      </c>
      <c r="E78" s="415">
        <v>63410.83</v>
      </c>
      <c r="F78" s="423">
        <v>0</v>
      </c>
      <c r="G78" s="423">
        <v>36534.526328235108</v>
      </c>
      <c r="H78" s="423">
        <v>0</v>
      </c>
      <c r="I78" s="423">
        <v>20533.496005228379</v>
      </c>
      <c r="J78" s="423">
        <f t="shared" si="2"/>
        <v>57068.022333463487</v>
      </c>
      <c r="K78" s="425">
        <v>6.0100000000000001E-2</v>
      </c>
      <c r="L78" s="426">
        <f>Table2[[#This Row],[% Male children under 5]]*Table2[[#This Row],[Affected population without refugees]]</f>
        <v>3429.7881422411556</v>
      </c>
      <c r="M78" s="425">
        <v>5.8099999999999999E-2</v>
      </c>
      <c r="N78" s="426">
        <f>Table2[[#This Row],[Affected population without refugees]]*Table2[[#This Row],[% Female children under 5]]</f>
        <v>3315.6520975742287</v>
      </c>
      <c r="O78" s="425">
        <v>0.17600000000000002</v>
      </c>
      <c r="P78" s="426">
        <f>Table2[[#This Row],[Affected population without refugees]]*Table2[[#This Row],[% Male children aged 5 - 17 years]]</f>
        <v>10043.971930689575</v>
      </c>
      <c r="Q78" s="425">
        <v>0.14380000000000001</v>
      </c>
      <c r="R78" s="426">
        <f>Table2[[#This Row],[Affected population without refugees]]*Table2[[#This Row],[% Female children aged 5 - 17 years]]</f>
        <v>8206.3816115520494</v>
      </c>
      <c r="S78" s="425">
        <v>0.22000000000000003</v>
      </c>
      <c r="T78" s="426">
        <f>Table2[[#This Row],[Affected population without refugees]]*Table2[[#This Row],[% Male adults aged 18 - 60]]</f>
        <v>12554.96491336197</v>
      </c>
      <c r="U78" s="425">
        <v>0.31</v>
      </c>
      <c r="V78" s="426">
        <f>Table2[[#This Row],[Affected population without refugees]]*Table2[[#This Row],[% Female adults aged 18 - 60]]</f>
        <v>17691.086923373681</v>
      </c>
      <c r="W78" s="425">
        <v>2.4460000000000003E-2</v>
      </c>
      <c r="X78" s="426">
        <f>Table2[[#This Row],[Affected population without refugees]]*Table2[[#This Row],[% Male adults aged over 60]]</f>
        <v>1395.8838262765171</v>
      </c>
      <c r="Y78" s="425">
        <v>7.5399999999999998E-3</v>
      </c>
      <c r="Z78" s="426">
        <f>Table2[[#This Row],[Affected population without refugees]]*Table2[[#This Row],[% Female adults aged over 60]]</f>
        <v>430.29288839431467</v>
      </c>
      <c r="AA78" s="427">
        <v>9511.6244999999999</v>
      </c>
    </row>
    <row r="79" spans="1:27" ht="14.4" x14ac:dyDescent="0.55000000000000004">
      <c r="A79" t="s">
        <v>390</v>
      </c>
      <c r="B79" t="s">
        <v>391</v>
      </c>
      <c r="C79" t="s">
        <v>406</v>
      </c>
      <c r="D79" t="s">
        <v>407</v>
      </c>
      <c r="E79" s="415">
        <v>88869.727185440075</v>
      </c>
      <c r="F79" s="423">
        <v>0</v>
      </c>
      <c r="G79" s="423">
        <v>2761.8509896481692</v>
      </c>
      <c r="H79" s="423">
        <v>375</v>
      </c>
      <c r="I79" s="423">
        <v>65499.917413585019</v>
      </c>
      <c r="J79" s="423">
        <f t="shared" si="2"/>
        <v>68636.768403233189</v>
      </c>
      <c r="K79" s="425">
        <v>9.4200000000000006E-2</v>
      </c>
      <c r="L79" s="426">
        <f>Table2[[#This Row],[% Male children under 5]]*Table2[[#This Row],[Affected population without refugees]]</f>
        <v>6465.5835835845664</v>
      </c>
      <c r="M79" s="425">
        <v>0.113</v>
      </c>
      <c r="N79" s="426">
        <f>Table2[[#This Row],[Affected population without refugees]]*Table2[[#This Row],[% Female children under 5]]</f>
        <v>7755.9548295653503</v>
      </c>
      <c r="O79" s="425">
        <v>0.1709</v>
      </c>
      <c r="P79" s="426">
        <f>Table2[[#This Row],[Affected population without refugees]]*Table2[[#This Row],[% Male children aged 5 - 17 years]]</f>
        <v>11730.023720112551</v>
      </c>
      <c r="Q79" s="425">
        <v>0.16400000000000001</v>
      </c>
      <c r="R79" s="426">
        <f>Table2[[#This Row],[Affected population without refugees]]*Table2[[#This Row],[% Female children aged 5 - 17 years]]</f>
        <v>11256.430018130244</v>
      </c>
      <c r="S79" s="425">
        <v>0.17900000000000002</v>
      </c>
      <c r="T79" s="426">
        <f>Table2[[#This Row],[Affected population without refugees]]*Table2[[#This Row],[% Male adults aged 18 - 60]]</f>
        <v>12285.981544178741</v>
      </c>
      <c r="U79" s="425">
        <v>0.216</v>
      </c>
      <c r="V79" s="426">
        <f>Table2[[#This Row],[Affected population without refugees]]*Table2[[#This Row],[% Female adults aged 18 - 60]]</f>
        <v>14825.541975098369</v>
      </c>
      <c r="W79" s="425">
        <v>3.8399999999999997E-2</v>
      </c>
      <c r="X79" s="426">
        <f>Table2[[#This Row],[Affected population without refugees]]*Table2[[#This Row],[% Male adults aged over 60]]</f>
        <v>2635.6519066841543</v>
      </c>
      <c r="Y79" s="425">
        <v>2.4500000000000001E-2</v>
      </c>
      <c r="Z79" s="426">
        <f>Table2[[#This Row],[Affected population without refugees]]*Table2[[#This Row],[% Female adults aged over 60]]</f>
        <v>1681.6008258792133</v>
      </c>
      <c r="AA79" s="427">
        <v>13330.459077816011</v>
      </c>
    </row>
    <row r="80" spans="1:27" ht="14.4" x14ac:dyDescent="0.55000000000000004">
      <c r="A80" t="s">
        <v>390</v>
      </c>
      <c r="B80" t="s">
        <v>391</v>
      </c>
      <c r="C80" t="s">
        <v>408</v>
      </c>
      <c r="D80" t="s">
        <v>409</v>
      </c>
      <c r="E80" s="415">
        <v>126606.31483445381</v>
      </c>
      <c r="F80" s="423">
        <v>515</v>
      </c>
      <c r="G80" s="423">
        <v>24855.8360229996</v>
      </c>
      <c r="H80" s="423">
        <v>2118.1428571428601</v>
      </c>
      <c r="I80" s="423">
        <v>76119.104669093867</v>
      </c>
      <c r="J80" s="423">
        <f t="shared" si="2"/>
        <v>103093.08354923633</v>
      </c>
      <c r="K80" s="425">
        <v>0.1166</v>
      </c>
      <c r="L80" s="426">
        <f>Table2[[#This Row],[% Male children under 5]]*Table2[[#This Row],[Affected population without refugees]]</f>
        <v>12020.653541840955</v>
      </c>
      <c r="M80" s="425">
        <v>0.105</v>
      </c>
      <c r="N80" s="426">
        <f>Table2[[#This Row],[Affected population without refugees]]*Table2[[#This Row],[% Female children under 5]]</f>
        <v>10824.773772669814</v>
      </c>
      <c r="O80" s="425">
        <v>0.13800000000000001</v>
      </c>
      <c r="P80" s="426">
        <f>Table2[[#This Row],[Affected population without refugees]]*Table2[[#This Row],[% Male children aged 5 - 17 years]]</f>
        <v>14226.845529794615</v>
      </c>
      <c r="Q80" s="425">
        <v>0.16300000000000001</v>
      </c>
      <c r="R80" s="426">
        <f>Table2[[#This Row],[Affected population without refugees]]*Table2[[#This Row],[% Female children aged 5 - 17 years]]</f>
        <v>16804.172618525521</v>
      </c>
      <c r="S80" s="425">
        <v>0.20300000000000001</v>
      </c>
      <c r="T80" s="426">
        <f>Table2[[#This Row],[Affected population without refugees]]*Table2[[#This Row],[% Male adults aged 18 - 60]]</f>
        <v>20927.895960494974</v>
      </c>
      <c r="U80" s="425">
        <v>0.23599999999999999</v>
      </c>
      <c r="V80" s="426">
        <f>Table2[[#This Row],[Affected population without refugees]]*Table2[[#This Row],[% Female adults aged 18 - 60]]</f>
        <v>24329.967717619773</v>
      </c>
      <c r="W80" s="425">
        <v>1.7399999999999995E-2</v>
      </c>
      <c r="X80" s="426">
        <f>Table2[[#This Row],[Affected population without refugees]]*Table2[[#This Row],[% Male adults aged over 60]]</f>
        <v>1793.8196537567117</v>
      </c>
      <c r="Y80" s="425">
        <v>2.1000000000000001E-2</v>
      </c>
      <c r="Z80" s="426">
        <f>Table2[[#This Row],[Affected population without refugees]]*Table2[[#This Row],[% Female adults aged over 60]]</f>
        <v>2164.9547545339628</v>
      </c>
      <c r="AA80" s="427">
        <v>19068.197225168071</v>
      </c>
    </row>
    <row r="81" spans="1:27" ht="14.4" x14ac:dyDescent="0.55000000000000004">
      <c r="A81" t="s">
        <v>390</v>
      </c>
      <c r="B81" t="s">
        <v>391</v>
      </c>
      <c r="C81" t="s">
        <v>410</v>
      </c>
      <c r="D81" t="s">
        <v>411</v>
      </c>
      <c r="E81" s="415">
        <v>179215.55938563589</v>
      </c>
      <c r="F81" s="423">
        <v>17982</v>
      </c>
      <c r="G81" s="423">
        <v>10973.797642312536</v>
      </c>
      <c r="H81" s="423">
        <v>7750</v>
      </c>
      <c r="I81" s="423">
        <v>122615.70597189905</v>
      </c>
      <c r="J81" s="423">
        <f t="shared" si="2"/>
        <v>141339.50361421157</v>
      </c>
      <c r="K81" s="425">
        <v>0.1021</v>
      </c>
      <c r="L81" s="426">
        <f>Table2[[#This Row],[% Male children under 5]]*Table2[[#This Row],[Affected population without refugees]]</f>
        <v>14430.763319011001</v>
      </c>
      <c r="M81" s="425">
        <v>0.10199999999999999</v>
      </c>
      <c r="N81" s="426">
        <f>Table2[[#This Row],[Affected population without refugees]]*Table2[[#This Row],[% Female children under 5]]</f>
        <v>14416.629368649579</v>
      </c>
      <c r="O81" s="425">
        <v>0.17</v>
      </c>
      <c r="P81" s="426">
        <f>Table2[[#This Row],[Affected population without refugees]]*Table2[[#This Row],[% Male children aged 5 - 17 years]]</f>
        <v>24027.715614415967</v>
      </c>
      <c r="Q81" s="425">
        <v>0.14599999999999999</v>
      </c>
      <c r="R81" s="426">
        <f>Table2[[#This Row],[Affected population without refugees]]*Table2[[#This Row],[% Female children aged 5 - 17 years]]</f>
        <v>20635.567527674888</v>
      </c>
      <c r="S81" s="425">
        <v>0.223</v>
      </c>
      <c r="T81" s="426">
        <f>Table2[[#This Row],[Affected population without refugees]]*Table2[[#This Row],[% Male adults aged 18 - 60]]</f>
        <v>31518.70930596918</v>
      </c>
      <c r="U81" s="425">
        <v>0.224</v>
      </c>
      <c r="V81" s="426">
        <f>Table2[[#This Row],[Affected population without refugees]]*Table2[[#This Row],[% Female adults aged 18 - 60]]</f>
        <v>31660.048809583393</v>
      </c>
      <c r="W81" s="425">
        <v>1.32E-2</v>
      </c>
      <c r="X81" s="426">
        <f>Table2[[#This Row],[Affected population without refugees]]*Table2[[#This Row],[% Male adults aged over 60]]</f>
        <v>1865.6814477075927</v>
      </c>
      <c r="Y81" s="425">
        <v>1.9699999999999999E-2</v>
      </c>
      <c r="Z81" s="426">
        <f>Table2[[#This Row],[Affected population without refugees]]*Table2[[#This Row],[% Female adults aged over 60]]</f>
        <v>2784.3882211999676</v>
      </c>
      <c r="AA81" s="427">
        <v>29579.633907845382</v>
      </c>
    </row>
  </sheetData>
  <mergeCells count="1">
    <mergeCell ref="A1:D1"/>
  </mergeCells>
  <conditionalFormatting sqref="F2:V2">
    <cfRule type="colorScale" priority="13">
      <colorScale>
        <cfvo type="min"/>
        <cfvo type="percentile" val="50"/>
        <cfvo type="max"/>
        <color rgb="FF63BE7B"/>
        <color rgb="FFFCFCFF"/>
        <color rgb="FFF8696B"/>
      </colorScale>
    </cfRule>
  </conditionalFormatting>
  <conditionalFormatting sqref="W2:Z2">
    <cfRule type="colorScale" priority="2">
      <colorScale>
        <cfvo type="min"/>
        <cfvo type="percentile" val="50"/>
        <cfvo type="max"/>
        <color rgb="FF63BE7B"/>
        <color rgb="FFFCFCFF"/>
        <color rgb="FFF8696B"/>
      </colorScale>
    </cfRule>
  </conditionalFormatting>
  <conditionalFormatting sqref="AA2">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10AC4-2E99-4FFC-AFBC-585FB0D0E3D0}">
  <dimension ref="A3:W176"/>
  <sheetViews>
    <sheetView workbookViewId="0">
      <pane ySplit="4" topLeftCell="A81" activePane="bottomLeft" state="frozen"/>
      <selection pane="bottomLeft" activeCell="F122" sqref="F122"/>
    </sheetView>
  </sheetViews>
  <sheetFormatPr defaultRowHeight="14.4" x14ac:dyDescent="0.55000000000000004"/>
  <cols>
    <col min="1" max="1" width="21.15625" bestFit="1" customWidth="1"/>
    <col min="2" max="2" width="16.26171875" bestFit="1" customWidth="1"/>
    <col min="3" max="4" width="17.41796875" bestFit="1" customWidth="1"/>
    <col min="5" max="5" width="12" bestFit="1" customWidth="1"/>
    <col min="6" max="6" width="16.26171875" bestFit="1" customWidth="1"/>
    <col min="7" max="8" width="11.83984375" bestFit="1" customWidth="1"/>
    <col min="9" max="9" width="17.41796875" bestFit="1" customWidth="1"/>
    <col min="10" max="10" width="9.83984375" bestFit="1" customWidth="1"/>
    <col min="11" max="11" width="17.41796875" bestFit="1" customWidth="1"/>
    <col min="12" max="12" width="11.83984375" bestFit="1" customWidth="1"/>
    <col min="13" max="13" width="24.83984375" bestFit="1" customWidth="1"/>
    <col min="14" max="14" width="21.15625" bestFit="1" customWidth="1"/>
    <col min="15" max="15" width="16.26171875" bestFit="1" customWidth="1"/>
    <col min="16" max="16" width="11.578125" bestFit="1" customWidth="1"/>
    <col min="17" max="17" width="14.83984375" bestFit="1" customWidth="1"/>
    <col min="18" max="18" width="14.15625" bestFit="1" customWidth="1"/>
    <col min="19" max="19" width="17.83984375" bestFit="1" customWidth="1"/>
    <col min="20" max="20" width="12.15625" bestFit="1" customWidth="1"/>
    <col min="21" max="21" width="25.83984375" bestFit="1" customWidth="1"/>
    <col min="22" max="22" width="12.578125" bestFit="1" customWidth="1"/>
    <col min="23" max="23" width="11.83984375" bestFit="1" customWidth="1"/>
  </cols>
  <sheetData>
    <row r="3" spans="1:23" x14ac:dyDescent="0.55000000000000004">
      <c r="A3" s="411" t="s">
        <v>437</v>
      </c>
      <c r="C3" s="411" t="s">
        <v>82</v>
      </c>
    </row>
    <row r="4" spans="1:23" s="2" customFormat="1" x14ac:dyDescent="0.55000000000000004">
      <c r="A4" s="413" t="s">
        <v>75</v>
      </c>
      <c r="B4" s="413" t="s">
        <v>77</v>
      </c>
      <c r="C4" s="2" t="s">
        <v>412</v>
      </c>
      <c r="D4" s="2" t="s">
        <v>413</v>
      </c>
      <c r="E4" s="2" t="s">
        <v>414</v>
      </c>
      <c r="F4" s="2" t="s">
        <v>436</v>
      </c>
      <c r="K4"/>
      <c r="L4"/>
      <c r="M4"/>
      <c r="N4"/>
      <c r="O4" s="411" t="s">
        <v>438</v>
      </c>
      <c r="P4"/>
      <c r="Q4"/>
      <c r="R4"/>
      <c r="S4"/>
      <c r="T4"/>
      <c r="U4"/>
      <c r="V4"/>
      <c r="W4"/>
    </row>
    <row r="5" spans="1:23" x14ac:dyDescent="0.55000000000000004">
      <c r="A5" t="s">
        <v>233</v>
      </c>
      <c r="B5" t="s">
        <v>233</v>
      </c>
      <c r="C5" s="412">
        <v>85561.698971807957</v>
      </c>
      <c r="D5" s="412">
        <v>10162.535731393538</v>
      </c>
      <c r="E5" s="412">
        <v>13376.411804553156</v>
      </c>
      <c r="F5" s="412">
        <v>109100.64650775465</v>
      </c>
      <c r="M5" s="413" t="s">
        <v>75</v>
      </c>
      <c r="N5" s="413" t="s">
        <v>77</v>
      </c>
      <c r="O5" t="s">
        <v>437</v>
      </c>
      <c r="P5" t="s">
        <v>439</v>
      </c>
      <c r="Q5" t="s">
        <v>440</v>
      </c>
      <c r="R5" t="s">
        <v>441</v>
      </c>
      <c r="S5" t="s">
        <v>442</v>
      </c>
      <c r="T5" t="s">
        <v>443</v>
      </c>
      <c r="U5" t="s">
        <v>444</v>
      </c>
      <c r="V5" t="s">
        <v>445</v>
      </c>
      <c r="W5" t="s">
        <v>446</v>
      </c>
    </row>
    <row r="6" spans="1:23" x14ac:dyDescent="0.55000000000000004">
      <c r="A6" t="s">
        <v>236</v>
      </c>
      <c r="B6" t="s">
        <v>238</v>
      </c>
      <c r="C6" s="412">
        <v>156584.91344386805</v>
      </c>
      <c r="D6" s="412">
        <v>218524.29063527889</v>
      </c>
      <c r="E6" s="412">
        <v>53054.906788287772</v>
      </c>
      <c r="F6" s="412">
        <v>428164.11086743476</v>
      </c>
      <c r="M6" t="s">
        <v>233</v>
      </c>
      <c r="N6" t="s">
        <v>233</v>
      </c>
      <c r="O6" s="412">
        <v>109100.64650775465</v>
      </c>
      <c r="P6" s="412">
        <v>30000</v>
      </c>
      <c r="Q6" s="412">
        <v>29482.721988824047</v>
      </c>
      <c r="R6" s="412">
        <v>59367.004385580236</v>
      </c>
      <c r="S6" s="412">
        <v>96198.266635251071</v>
      </c>
      <c r="T6" s="412">
        <v>109100.64650775465</v>
      </c>
      <c r="U6" s="412">
        <v>100145</v>
      </c>
      <c r="V6" s="412">
        <v>84622.603406820694</v>
      </c>
      <c r="W6" s="412">
        <v>60606.854191485894</v>
      </c>
    </row>
    <row r="7" spans="1:23" x14ac:dyDescent="0.55000000000000004">
      <c r="B7" t="s">
        <v>240</v>
      </c>
      <c r="C7" s="412">
        <v>13291.053542115327</v>
      </c>
      <c r="D7" s="412">
        <v>134516.04626635785</v>
      </c>
      <c r="E7" s="412">
        <v>12613.915343915358</v>
      </c>
      <c r="F7" s="412">
        <v>160421.01515238851</v>
      </c>
      <c r="M7" t="s">
        <v>236</v>
      </c>
      <c r="N7" t="s">
        <v>238</v>
      </c>
      <c r="O7" s="412">
        <v>428164.11086743476</v>
      </c>
      <c r="P7" s="412">
        <v>151967.48446471462</v>
      </c>
      <c r="Q7" s="412">
        <v>61685.660901968666</v>
      </c>
      <c r="R7" s="412">
        <v>195209.25793182067</v>
      </c>
      <c r="S7" s="412">
        <v>390647.62076649396</v>
      </c>
      <c r="T7" s="412">
        <v>307865.71505366731</v>
      </c>
      <c r="U7" s="412">
        <v>271178</v>
      </c>
      <c r="V7" s="412">
        <v>325577.02757518366</v>
      </c>
      <c r="W7" s="412">
        <v>217013.77514570503</v>
      </c>
    </row>
    <row r="8" spans="1:23" x14ac:dyDescent="0.55000000000000004">
      <c r="B8" t="s">
        <v>242</v>
      </c>
      <c r="C8" s="412">
        <v>5948</v>
      </c>
      <c r="D8" s="412">
        <v>51309.967154464714</v>
      </c>
      <c r="E8" s="412">
        <v>5734</v>
      </c>
      <c r="F8" s="412">
        <v>62991.967154464714</v>
      </c>
      <c r="N8" t="s">
        <v>240</v>
      </c>
      <c r="O8" s="412">
        <v>160421.01515238851</v>
      </c>
      <c r="P8" s="412">
        <v>2322.1071428571449</v>
      </c>
      <c r="Q8" s="412">
        <v>14702.551037767647</v>
      </c>
      <c r="R8" s="412">
        <v>83321.069068684083</v>
      </c>
      <c r="S8" s="412">
        <v>136331.83728313816</v>
      </c>
      <c r="T8" s="412">
        <v>104304.79087260869</v>
      </c>
      <c r="U8" s="412">
        <v>76651</v>
      </c>
      <c r="V8" s="412">
        <v>122076.41425510042</v>
      </c>
      <c r="W8" s="412">
        <v>160421.01515238851</v>
      </c>
    </row>
    <row r="9" spans="1:23" x14ac:dyDescent="0.55000000000000004">
      <c r="B9" t="s">
        <v>244</v>
      </c>
      <c r="C9" s="412">
        <v>10472.24030930058</v>
      </c>
      <c r="D9" s="412">
        <v>51659.39705423377</v>
      </c>
      <c r="E9" s="412">
        <v>10248</v>
      </c>
      <c r="F9" s="412">
        <v>72379.637363534348</v>
      </c>
      <c r="N9" t="s">
        <v>242</v>
      </c>
      <c r="O9" s="412">
        <v>62991.967154464714</v>
      </c>
      <c r="P9" s="412">
        <v>1075.2642857142855</v>
      </c>
      <c r="Q9" s="412">
        <v>12665.964109091483</v>
      </c>
      <c r="R9" s="412">
        <v>49115.47729533619</v>
      </c>
      <c r="S9" s="412">
        <v>60523.742366260332</v>
      </c>
      <c r="T9" s="412">
        <v>43687.294322433663</v>
      </c>
      <c r="U9" s="412">
        <v>28322</v>
      </c>
      <c r="V9" s="412">
        <v>51080.889387437448</v>
      </c>
      <c r="W9" s="412">
        <v>56845.427142877423</v>
      </c>
    </row>
    <row r="10" spans="1:23" x14ac:dyDescent="0.55000000000000004">
      <c r="B10" t="s">
        <v>246</v>
      </c>
      <c r="C10" s="412">
        <v>11111.344438625387</v>
      </c>
      <c r="D10" s="412">
        <v>151270.7126438173</v>
      </c>
      <c r="E10" s="412">
        <v>1080</v>
      </c>
      <c r="F10" s="412">
        <v>163462.05708244268</v>
      </c>
      <c r="N10" t="s">
        <v>244</v>
      </c>
      <c r="O10" s="412">
        <v>72379.637363534348</v>
      </c>
      <c r="P10" s="412">
        <v>11925.25</v>
      </c>
      <c r="Q10" s="412">
        <v>17670.306827277964</v>
      </c>
      <c r="R10" s="412">
        <v>40965.726061869864</v>
      </c>
      <c r="S10" s="412">
        <v>67832.786252826525</v>
      </c>
      <c r="T10" s="412">
        <v>64830.406623959963</v>
      </c>
      <c r="U10" s="412">
        <v>45895</v>
      </c>
      <c r="V10" s="412">
        <v>61515.215771712028</v>
      </c>
      <c r="W10" s="412">
        <v>56393.420001073333</v>
      </c>
    </row>
    <row r="11" spans="1:23" x14ac:dyDescent="0.55000000000000004">
      <c r="B11" t="s">
        <v>248</v>
      </c>
      <c r="C11" s="412">
        <v>31398.894295160375</v>
      </c>
      <c r="D11" s="412">
        <v>158241.33014394506</v>
      </c>
      <c r="E11" s="412">
        <v>24236.433862433874</v>
      </c>
      <c r="F11" s="412">
        <v>213876.65830153931</v>
      </c>
      <c r="N11" t="s">
        <v>246</v>
      </c>
      <c r="O11" s="412">
        <v>163462.05708244268</v>
      </c>
      <c r="P11" s="412">
        <v>162</v>
      </c>
      <c r="Q11" s="412">
        <v>56582.953581325492</v>
      </c>
      <c r="R11" s="412">
        <v>80782.352993048742</v>
      </c>
      <c r="S11" s="412">
        <v>137351.76650880309</v>
      </c>
      <c r="T11" s="412">
        <v>109073.3553617853</v>
      </c>
      <c r="U11" s="412">
        <v>79626</v>
      </c>
      <c r="V11" s="412">
        <v>163462.05708244268</v>
      </c>
      <c r="W11" s="412">
        <v>77016.012656003004</v>
      </c>
    </row>
    <row r="12" spans="1:23" x14ac:dyDescent="0.55000000000000004">
      <c r="A12" t="s">
        <v>250</v>
      </c>
      <c r="B12" t="s">
        <v>252</v>
      </c>
      <c r="C12" s="412">
        <v>3424.9376920609157</v>
      </c>
      <c r="D12" s="412">
        <v>60733.007243196989</v>
      </c>
      <c r="E12" s="412">
        <v>1597.5000000000002</v>
      </c>
      <c r="F12" s="412">
        <v>65755.44493525791</v>
      </c>
      <c r="N12" t="s">
        <v>248</v>
      </c>
      <c r="O12" s="412">
        <v>213876.65830153931</v>
      </c>
      <c r="P12" s="412">
        <v>11317.957142857145</v>
      </c>
      <c r="Q12" s="412">
        <v>45988.682626294198</v>
      </c>
      <c r="R12" s="412">
        <v>110806.6422503347</v>
      </c>
      <c r="S12" s="412">
        <v>128990.03957928062</v>
      </c>
      <c r="T12" s="412">
        <v>121176.17716697816</v>
      </c>
      <c r="U12" s="412">
        <v>91150</v>
      </c>
      <c r="V12" s="412">
        <v>125794.75143750904</v>
      </c>
      <c r="W12" s="412">
        <v>213876.65830153931</v>
      </c>
    </row>
    <row r="13" spans="1:23" x14ac:dyDescent="0.55000000000000004">
      <c r="B13" t="s">
        <v>254</v>
      </c>
      <c r="C13" s="412">
        <v>4315</v>
      </c>
      <c r="D13" s="412">
        <v>44732.491459357952</v>
      </c>
      <c r="E13" s="412">
        <v>2406</v>
      </c>
      <c r="F13" s="412">
        <v>51453.491459357952</v>
      </c>
      <c r="M13" t="s">
        <v>250</v>
      </c>
      <c r="N13" t="s">
        <v>252</v>
      </c>
      <c r="O13" s="412">
        <v>65755.44493525791</v>
      </c>
      <c r="P13" s="412">
        <v>319.5</v>
      </c>
      <c r="Q13" s="412">
        <v>28659.379164142283</v>
      </c>
      <c r="R13" s="412">
        <v>44753.796986764704</v>
      </c>
      <c r="S13" s="412">
        <v>56343.935113378306</v>
      </c>
      <c r="T13" s="412">
        <v>38417.01491256697</v>
      </c>
      <c r="U13" s="412">
        <v>17931</v>
      </c>
      <c r="V13" s="412">
        <v>49487.276951466229</v>
      </c>
      <c r="W13" s="412">
        <v>65755.44493525791</v>
      </c>
    </row>
    <row r="14" spans="1:23" x14ac:dyDescent="0.55000000000000004">
      <c r="B14" t="s">
        <v>256</v>
      </c>
      <c r="C14" s="412">
        <v>1719.8192060549893</v>
      </c>
      <c r="D14" s="412">
        <v>108231.94130113669</v>
      </c>
      <c r="E14" s="412">
        <v>2825.828042328043</v>
      </c>
      <c r="F14" s="412">
        <v>112777.58854951971</v>
      </c>
      <c r="N14" t="s">
        <v>254</v>
      </c>
      <c r="O14" s="412">
        <v>51453.491459357952</v>
      </c>
      <c r="P14" s="412">
        <v>515.61428571428553</v>
      </c>
      <c r="Q14" s="412">
        <v>11371.838694727261</v>
      </c>
      <c r="R14" s="412">
        <v>46087.398162809106</v>
      </c>
      <c r="S14" s="412">
        <v>39767.572102335471</v>
      </c>
      <c r="T14" s="412">
        <v>50150.223174706589</v>
      </c>
      <c r="U14" s="412">
        <v>21278</v>
      </c>
      <c r="V14" s="412">
        <v>21896.275530632367</v>
      </c>
      <c r="W14" s="412">
        <v>43313.14641113102</v>
      </c>
    </row>
    <row r="15" spans="1:23" x14ac:dyDescent="0.55000000000000004">
      <c r="B15" t="s">
        <v>258</v>
      </c>
      <c r="C15" s="412">
        <v>8023.4115031633146</v>
      </c>
      <c r="D15" s="412">
        <v>89929.739884675801</v>
      </c>
      <c r="E15" s="412">
        <v>2.128098076136046</v>
      </c>
      <c r="F15" s="412">
        <v>97955.279485915249</v>
      </c>
      <c r="N15" t="s">
        <v>256</v>
      </c>
      <c r="O15" s="412">
        <v>112777.58854951971</v>
      </c>
      <c r="P15" s="412">
        <v>532.30714285714294</v>
      </c>
      <c r="Q15" s="412">
        <v>48380.01184697351</v>
      </c>
      <c r="R15" s="412">
        <v>71373.06863006638</v>
      </c>
      <c r="S15" s="412">
        <v>100987.24671944993</v>
      </c>
      <c r="T15" s="412">
        <v>54936.757886527041</v>
      </c>
      <c r="U15" s="412">
        <v>48828</v>
      </c>
      <c r="V15" s="412">
        <v>70224.910751202638</v>
      </c>
      <c r="W15" s="412">
        <v>112777.58854951971</v>
      </c>
    </row>
    <row r="16" spans="1:23" x14ac:dyDescent="0.55000000000000004">
      <c r="B16" t="s">
        <v>260</v>
      </c>
      <c r="C16" s="412">
        <v>4785.06839046606</v>
      </c>
      <c r="D16" s="412">
        <v>78537.097041388552</v>
      </c>
      <c r="E16" s="412">
        <v>9104.4828042328045</v>
      </c>
      <c r="F16" s="412">
        <v>92426.648236087407</v>
      </c>
      <c r="N16" t="s">
        <v>258</v>
      </c>
      <c r="O16" s="412">
        <v>97955.279485915249</v>
      </c>
      <c r="P16" s="412">
        <v>0.44999999999999996</v>
      </c>
      <c r="Q16" s="412">
        <v>49084.459065918098</v>
      </c>
      <c r="R16" s="412">
        <v>62879.969963078598</v>
      </c>
      <c r="S16" s="412">
        <v>91870.310383780801</v>
      </c>
      <c r="T16" s="412">
        <v>46091.977199284782</v>
      </c>
      <c r="U16" s="412">
        <v>24545</v>
      </c>
      <c r="V16" s="412">
        <v>97953.151387839112</v>
      </c>
      <c r="W16" s="412">
        <v>66537.476887303957</v>
      </c>
    </row>
    <row r="17" spans="1:23" x14ac:dyDescent="0.55000000000000004">
      <c r="B17" t="s">
        <v>262</v>
      </c>
      <c r="C17" s="412">
        <v>14604.061169572129</v>
      </c>
      <c r="D17" s="412">
        <v>73504.163352942982</v>
      </c>
      <c r="E17" s="412">
        <v>3812</v>
      </c>
      <c r="F17" s="412">
        <v>91920.224522515113</v>
      </c>
      <c r="N17" t="s">
        <v>260</v>
      </c>
      <c r="O17" s="412">
        <v>92426.648236087407</v>
      </c>
      <c r="P17" s="412">
        <v>1378.4357142857143</v>
      </c>
      <c r="Q17" s="412">
        <v>23168.384401953823</v>
      </c>
      <c r="R17" s="412">
        <v>42333.876533118499</v>
      </c>
      <c r="S17" s="412">
        <v>41222.06531078968</v>
      </c>
      <c r="T17" s="412">
        <v>45530.362171722998</v>
      </c>
      <c r="U17" s="412">
        <v>22872</v>
      </c>
      <c r="V17" s="412">
        <v>46616.830225419952</v>
      </c>
      <c r="W17" s="412">
        <v>92426.648236087407</v>
      </c>
    </row>
    <row r="18" spans="1:23" x14ac:dyDescent="0.55000000000000004">
      <c r="B18" t="s">
        <v>264</v>
      </c>
      <c r="C18" s="412">
        <v>28480</v>
      </c>
      <c r="D18" s="412">
        <v>83224.483891593016</v>
      </c>
      <c r="E18" s="412">
        <v>21427</v>
      </c>
      <c r="F18" s="412">
        <v>133131.483891593</v>
      </c>
      <c r="N18" t="s">
        <v>262</v>
      </c>
      <c r="O18" s="412">
        <v>91920.224522515113</v>
      </c>
      <c r="P18" s="412">
        <v>15095.878571428571</v>
      </c>
      <c r="Q18" s="412">
        <v>7164.7020154578822</v>
      </c>
      <c r="R18" s="412">
        <v>54543.230189368936</v>
      </c>
      <c r="S18" s="412">
        <v>91918.760363663474</v>
      </c>
      <c r="T18" s="412">
        <v>55533.206977445981</v>
      </c>
      <c r="U18" s="412">
        <v>36047</v>
      </c>
      <c r="V18" s="412">
        <v>37362.836887049802</v>
      </c>
      <c r="W18" s="412">
        <v>39194.488998862551</v>
      </c>
    </row>
    <row r="19" spans="1:23" x14ac:dyDescent="0.55000000000000004">
      <c r="B19" t="s">
        <v>266</v>
      </c>
      <c r="C19" s="412">
        <v>2501.5236312386551</v>
      </c>
      <c r="D19" s="412">
        <v>37597.565887588869</v>
      </c>
      <c r="E19" s="412">
        <v>7367.6571428571442</v>
      </c>
      <c r="F19" s="412">
        <v>47466.746661684665</v>
      </c>
      <c r="N19" t="s">
        <v>264</v>
      </c>
      <c r="O19" s="412">
        <v>133131.483891593</v>
      </c>
      <c r="P19" s="412">
        <v>4973.871428571435</v>
      </c>
      <c r="Q19" s="412">
        <v>15352.849336270086</v>
      </c>
      <c r="R19" s="412">
        <v>91996.569810588378</v>
      </c>
      <c r="S19" s="412">
        <v>56531.278003332161</v>
      </c>
      <c r="T19" s="412">
        <v>121927.99567579753</v>
      </c>
      <c r="U19" s="412">
        <v>103926</v>
      </c>
      <c r="V19" s="412">
        <v>17162.290906805258</v>
      </c>
      <c r="W19" s="412">
        <v>80721.212518086177</v>
      </c>
    </row>
    <row r="20" spans="1:23" x14ac:dyDescent="0.55000000000000004">
      <c r="A20" t="s">
        <v>268</v>
      </c>
      <c r="B20" t="s">
        <v>270</v>
      </c>
      <c r="C20" s="412">
        <v>40611.544070647637</v>
      </c>
      <c r="D20" s="412">
        <v>126136.8235023275</v>
      </c>
      <c r="E20" s="412">
        <v>6904.2601395402035</v>
      </c>
      <c r="F20" s="412">
        <v>173652.62771251536</v>
      </c>
      <c r="N20" t="s">
        <v>266</v>
      </c>
      <c r="O20" s="412">
        <v>47466.746661684665</v>
      </c>
      <c r="P20" s="412">
        <v>1381.4357142857143</v>
      </c>
      <c r="Q20" s="412">
        <v>6621.5547174190069</v>
      </c>
      <c r="R20" s="412">
        <v>35990.936576239263</v>
      </c>
      <c r="S20" s="412">
        <v>33232.662413395294</v>
      </c>
      <c r="T20" s="412">
        <v>46872.220782107848</v>
      </c>
      <c r="U20" s="412">
        <v>22591</v>
      </c>
      <c r="V20" s="412">
        <v>35980.100287982947</v>
      </c>
      <c r="W20" s="412">
        <v>40891.7959761237</v>
      </c>
    </row>
    <row r="21" spans="1:23" x14ac:dyDescent="0.55000000000000004">
      <c r="B21" t="s">
        <v>272</v>
      </c>
      <c r="C21" s="412">
        <v>18659.003131270158</v>
      </c>
      <c r="D21" s="412">
        <v>108231.50417555163</v>
      </c>
      <c r="E21" s="412">
        <v>16563.368519205622</v>
      </c>
      <c r="F21" s="412">
        <v>143453.87582602742</v>
      </c>
      <c r="M21" t="s">
        <v>268</v>
      </c>
      <c r="N21" t="s">
        <v>270</v>
      </c>
      <c r="O21" s="412">
        <v>173652.62771251536</v>
      </c>
      <c r="P21" s="412">
        <v>31226.88902093103</v>
      </c>
      <c r="Q21" s="412">
        <v>39328.003703682021</v>
      </c>
      <c r="R21" s="412">
        <v>108898.636838458</v>
      </c>
      <c r="S21" s="412">
        <v>171324.02894992728</v>
      </c>
      <c r="T21" s="412">
        <v>106740.59535858339</v>
      </c>
      <c r="U21" s="412">
        <v>99192</v>
      </c>
      <c r="V21" s="412">
        <v>149151.74033602505</v>
      </c>
      <c r="W21" s="412">
        <v>99699.85525594739</v>
      </c>
    </row>
    <row r="22" spans="1:23" x14ac:dyDescent="0.55000000000000004">
      <c r="B22" t="s">
        <v>274</v>
      </c>
      <c r="C22" s="412">
        <v>71925.881656722486</v>
      </c>
      <c r="D22" s="412">
        <v>157119.14212221006</v>
      </c>
      <c r="E22" s="412">
        <v>16703</v>
      </c>
      <c r="F22" s="412">
        <v>245748.02377893255</v>
      </c>
      <c r="N22" t="s">
        <v>272</v>
      </c>
      <c r="O22" s="412">
        <v>143453.87582602742</v>
      </c>
      <c r="P22" s="412">
        <v>2910.4204683747021</v>
      </c>
      <c r="Q22" s="412">
        <v>23158.078871804588</v>
      </c>
      <c r="R22" s="412">
        <v>68700.652958489838</v>
      </c>
      <c r="S22" s="412">
        <v>124326.04130389943</v>
      </c>
      <c r="T22" s="412">
        <v>75453.237302048074</v>
      </c>
      <c r="U22" s="412">
        <v>74244</v>
      </c>
      <c r="V22" s="412">
        <v>81600.947498234265</v>
      </c>
      <c r="W22" s="412">
        <v>143453.87582602742</v>
      </c>
    </row>
    <row r="23" spans="1:23" x14ac:dyDescent="0.55000000000000004">
      <c r="B23" t="s">
        <v>276</v>
      </c>
      <c r="C23" s="412">
        <v>69039.732902168529</v>
      </c>
      <c r="D23" s="412">
        <v>31549.299381736855</v>
      </c>
      <c r="E23" s="412">
        <v>1161.3333333333333</v>
      </c>
      <c r="F23" s="412">
        <v>101750.36561723871</v>
      </c>
      <c r="N23" t="s">
        <v>274</v>
      </c>
      <c r="O23" s="412">
        <v>245748.02377893255</v>
      </c>
      <c r="P23" s="412">
        <v>52770.45</v>
      </c>
      <c r="Q23" s="412">
        <v>61555.162144096401</v>
      </c>
      <c r="R23" s="412">
        <v>139673.97824694615</v>
      </c>
      <c r="S23" s="412">
        <v>72724.441499525812</v>
      </c>
      <c r="T23" s="412">
        <v>169092.33611080737</v>
      </c>
      <c r="U23" s="412">
        <v>143743</v>
      </c>
      <c r="V23" s="412">
        <v>245748.02377893255</v>
      </c>
      <c r="W23" s="412">
        <v>143735.92175708059</v>
      </c>
    </row>
    <row r="24" spans="1:23" x14ac:dyDescent="0.55000000000000004">
      <c r="B24" t="s">
        <v>278</v>
      </c>
      <c r="C24" s="412">
        <v>77068.443303189997</v>
      </c>
      <c r="D24" s="412">
        <v>90800.563193042151</v>
      </c>
      <c r="E24" s="412">
        <v>9262.1428571428605</v>
      </c>
      <c r="F24" s="412">
        <v>177131.14935337502</v>
      </c>
      <c r="N24" t="s">
        <v>276</v>
      </c>
      <c r="O24" s="412">
        <v>101750.36561723871</v>
      </c>
      <c r="P24" s="412">
        <v>3120.9</v>
      </c>
      <c r="Q24" s="412">
        <v>16021.404247321234</v>
      </c>
      <c r="R24" s="412">
        <v>42857.697009134718</v>
      </c>
      <c r="S24" s="412">
        <v>90503.114042511908</v>
      </c>
      <c r="T24" s="412">
        <v>75882.404736658325</v>
      </c>
      <c r="U24" s="412">
        <v>65431</v>
      </c>
      <c r="V24" s="412">
        <v>94521.859325879064</v>
      </c>
      <c r="W24" s="412">
        <v>99193.338472713949</v>
      </c>
    </row>
    <row r="25" spans="1:23" x14ac:dyDescent="0.55000000000000004">
      <c r="B25" t="s">
        <v>280</v>
      </c>
      <c r="C25" s="412">
        <v>103011.12865811396</v>
      </c>
      <c r="D25" s="412">
        <v>49721.189721641669</v>
      </c>
      <c r="E25" s="412">
        <v>33686.173990621071</v>
      </c>
      <c r="F25" s="412">
        <v>186418.49237037671</v>
      </c>
      <c r="N25" t="s">
        <v>278</v>
      </c>
      <c r="O25" s="412">
        <v>177131.14935337502</v>
      </c>
      <c r="P25" s="412">
        <v>1389.3214285714291</v>
      </c>
      <c r="Q25" s="412">
        <v>19685.661170503063</v>
      </c>
      <c r="R25" s="412">
        <v>80321.478565241792</v>
      </c>
      <c r="S25" s="412">
        <v>127113.83737311565</v>
      </c>
      <c r="T25" s="412">
        <v>121214.36252800342</v>
      </c>
      <c r="U25" s="412">
        <v>93383</v>
      </c>
      <c r="V25" s="412">
        <v>177131.14935337502</v>
      </c>
      <c r="W25" s="412">
        <v>86054.143833665716</v>
      </c>
    </row>
    <row r="26" spans="1:23" x14ac:dyDescent="0.55000000000000004">
      <c r="B26" t="s">
        <v>282</v>
      </c>
      <c r="C26" s="412">
        <v>47024.570845233815</v>
      </c>
      <c r="D26" s="412">
        <v>48712.090327487043</v>
      </c>
      <c r="E26" s="412">
        <v>9851.9936448832923</v>
      </c>
      <c r="F26" s="412">
        <v>105588.65481760415</v>
      </c>
      <c r="N26" t="s">
        <v>280</v>
      </c>
      <c r="O26" s="412">
        <v>186418.49237037671</v>
      </c>
      <c r="P26" s="412">
        <v>58479.176098593161</v>
      </c>
      <c r="Q26" s="412">
        <v>70147.599239631003</v>
      </c>
      <c r="R26" s="412">
        <v>76836.358737293864</v>
      </c>
      <c r="S26" s="412">
        <v>181956.01666606782</v>
      </c>
      <c r="T26" s="412">
        <v>136606.08494766039</v>
      </c>
      <c r="U26" s="412">
        <v>140912</v>
      </c>
      <c r="V26" s="412">
        <v>139310.21125936875</v>
      </c>
      <c r="W26" s="412">
        <v>165073.78258568438</v>
      </c>
    </row>
    <row r="27" spans="1:23" x14ac:dyDescent="0.55000000000000004">
      <c r="B27" t="s">
        <v>284</v>
      </c>
      <c r="C27" s="412">
        <v>38060.2475062874</v>
      </c>
      <c r="D27" s="412">
        <v>119138.13655843114</v>
      </c>
      <c r="E27" s="412">
        <v>3453.1851851851857</v>
      </c>
      <c r="F27" s="412">
        <v>160651.56924990375</v>
      </c>
      <c r="N27" t="s">
        <v>282</v>
      </c>
      <c r="O27" s="412">
        <v>105588.65481760415</v>
      </c>
      <c r="P27" s="412">
        <v>11314.485714285711</v>
      </c>
      <c r="Q27" s="412">
        <v>45639.608345712055</v>
      </c>
      <c r="R27" s="412">
        <v>63147.660897618174</v>
      </c>
      <c r="S27" s="412">
        <v>98400.656957864398</v>
      </c>
      <c r="T27" s="412">
        <v>92571.490619389035</v>
      </c>
      <c r="U27" s="412">
        <v>68322</v>
      </c>
      <c r="V27" s="412">
        <v>104386.13958532017</v>
      </c>
      <c r="W27" s="412">
        <v>89969.300634546482</v>
      </c>
    </row>
    <row r="28" spans="1:23" x14ac:dyDescent="0.55000000000000004">
      <c r="B28" t="s">
        <v>286</v>
      </c>
      <c r="C28" s="412">
        <v>14426.851665151275</v>
      </c>
      <c r="D28" s="412">
        <v>38340.073171236669</v>
      </c>
      <c r="E28" s="412">
        <v>2409.5510204081656</v>
      </c>
      <c r="F28" s="412">
        <v>55176.475856796111</v>
      </c>
      <c r="N28" t="s">
        <v>284</v>
      </c>
      <c r="O28" s="412">
        <v>160651.56924990375</v>
      </c>
      <c r="P28" s="412">
        <v>4620.7</v>
      </c>
      <c r="Q28" s="412">
        <v>56497.929269118009</v>
      </c>
      <c r="R28" s="412">
        <v>112680.41649452753</v>
      </c>
      <c r="S28" s="412">
        <v>157513.96387519449</v>
      </c>
      <c r="T28" s="412">
        <v>120090.85682928334</v>
      </c>
      <c r="U28" s="412">
        <v>84292</v>
      </c>
      <c r="V28" s="412">
        <v>112427.99985528577</v>
      </c>
      <c r="W28" s="412">
        <v>160651.56924990375</v>
      </c>
    </row>
    <row r="29" spans="1:23" x14ac:dyDescent="0.55000000000000004">
      <c r="B29" t="s">
        <v>288</v>
      </c>
      <c r="C29" s="412">
        <v>25870.030094616064</v>
      </c>
      <c r="D29" s="412">
        <v>73931.577842216517</v>
      </c>
      <c r="E29" s="412">
        <v>5169</v>
      </c>
      <c r="F29" s="412">
        <v>104970.60793683259</v>
      </c>
      <c r="N29" t="s">
        <v>286</v>
      </c>
      <c r="O29" s="412">
        <v>55176.475856796111</v>
      </c>
      <c r="P29" s="412">
        <v>421.67142857142898</v>
      </c>
      <c r="Q29" s="412">
        <v>8867.7003315157144</v>
      </c>
      <c r="R29" s="412">
        <v>29182.805657383225</v>
      </c>
      <c r="S29" s="412">
        <v>46609.815219901138</v>
      </c>
      <c r="T29" s="412">
        <v>43669.620806669707</v>
      </c>
      <c r="U29" s="412">
        <v>29931</v>
      </c>
      <c r="V29" s="412">
        <v>55176.475856796111</v>
      </c>
      <c r="W29" s="412">
        <v>2534.1883597479427</v>
      </c>
    </row>
    <row r="30" spans="1:23" x14ac:dyDescent="0.55000000000000004">
      <c r="B30" t="s">
        <v>290</v>
      </c>
      <c r="C30" s="412">
        <v>23976.103995536083</v>
      </c>
      <c r="D30" s="412">
        <v>113792.55214410093</v>
      </c>
      <c r="E30" s="412">
        <v>4709.166666666667</v>
      </c>
      <c r="F30" s="412">
        <v>142477.82280630368</v>
      </c>
      <c r="N30" t="s">
        <v>288</v>
      </c>
      <c r="O30" s="412">
        <v>104970.60793683259</v>
      </c>
      <c r="P30" s="412">
        <v>775.35</v>
      </c>
      <c r="Q30" s="412">
        <v>31137.403945983646</v>
      </c>
      <c r="R30" s="412">
        <v>51123.363775143735</v>
      </c>
      <c r="S30" s="412">
        <v>79517.132407720535</v>
      </c>
      <c r="T30" s="412">
        <v>60529.039681025322</v>
      </c>
      <c r="U30" s="412">
        <v>37100</v>
      </c>
      <c r="V30" s="412">
        <v>104970.60793683259</v>
      </c>
      <c r="W30" s="412">
        <v>72384.684245440149</v>
      </c>
    </row>
    <row r="31" spans="1:23" x14ac:dyDescent="0.55000000000000004">
      <c r="A31" t="s">
        <v>292</v>
      </c>
      <c r="B31" t="s">
        <v>294</v>
      </c>
      <c r="C31" s="412">
        <v>39461.327790493742</v>
      </c>
      <c r="D31" s="412">
        <v>55437.418263184583</v>
      </c>
      <c r="E31" s="412">
        <v>2305.2857142857174</v>
      </c>
      <c r="F31" s="412">
        <v>97204.031767964043</v>
      </c>
      <c r="N31" t="s">
        <v>290</v>
      </c>
      <c r="O31" s="412">
        <v>142477.82280630368</v>
      </c>
      <c r="P31" s="412">
        <v>4597.6499999999996</v>
      </c>
      <c r="Q31" s="412">
        <v>40407.017835389495</v>
      </c>
      <c r="R31" s="412">
        <v>106332.24474829187</v>
      </c>
      <c r="S31" s="412">
        <v>135433.25983845803</v>
      </c>
      <c r="T31" s="412">
        <v>79671.126872868888</v>
      </c>
      <c r="U31" s="412">
        <v>67845</v>
      </c>
      <c r="V31" s="412">
        <v>56387.667553002328</v>
      </c>
      <c r="W31" s="412">
        <v>138481.80547371434</v>
      </c>
    </row>
    <row r="32" spans="1:23" x14ac:dyDescent="0.55000000000000004">
      <c r="B32" t="s">
        <v>296</v>
      </c>
      <c r="C32" s="412">
        <v>3578.7597645041642</v>
      </c>
      <c r="D32" s="412">
        <v>94596.308691758051</v>
      </c>
      <c r="E32" s="412">
        <v>765.33333333333337</v>
      </c>
      <c r="F32" s="412">
        <v>98940.401789595548</v>
      </c>
      <c r="M32" t="s">
        <v>292</v>
      </c>
      <c r="N32" t="s">
        <v>294</v>
      </c>
      <c r="O32" s="412">
        <v>97204.031767964043</v>
      </c>
      <c r="P32" s="412">
        <v>28053.557142857142</v>
      </c>
      <c r="Q32" s="412">
        <v>48138.925026236007</v>
      </c>
      <c r="R32" s="412">
        <v>50863.726069512384</v>
      </c>
      <c r="S32" s="412">
        <v>81670.658454000775</v>
      </c>
      <c r="T32" s="412">
        <v>61454.717555933712</v>
      </c>
      <c r="U32" s="412">
        <v>22363</v>
      </c>
      <c r="V32" s="412">
        <v>87854.686547229212</v>
      </c>
      <c r="W32" s="412">
        <v>94244.43218367701</v>
      </c>
    </row>
    <row r="33" spans="1:23" x14ac:dyDescent="0.55000000000000004">
      <c r="B33" t="s">
        <v>298</v>
      </c>
      <c r="C33" s="412">
        <v>2086.7142353334721</v>
      </c>
      <c r="D33" s="412">
        <v>125533.7215889519</v>
      </c>
      <c r="E33" s="412">
        <v>2057.9427616123767</v>
      </c>
      <c r="F33" s="412">
        <v>129678.37858589775</v>
      </c>
      <c r="N33" t="s">
        <v>296</v>
      </c>
      <c r="O33" s="412">
        <v>98940.401789595548</v>
      </c>
      <c r="P33" s="412">
        <v>172.2</v>
      </c>
      <c r="Q33" s="412">
        <v>42156.339084876738</v>
      </c>
      <c r="R33" s="412">
        <v>63093.641741762869</v>
      </c>
      <c r="S33" s="412">
        <v>77973.335863126893</v>
      </c>
      <c r="T33" s="412">
        <v>63079.280962240569</v>
      </c>
      <c r="U33" s="412">
        <v>26644</v>
      </c>
      <c r="V33" s="412">
        <v>49353.093248783989</v>
      </c>
      <c r="W33" s="412">
        <v>98929.772159965927</v>
      </c>
    </row>
    <row r="34" spans="1:23" x14ac:dyDescent="0.55000000000000004">
      <c r="B34" t="s">
        <v>300</v>
      </c>
      <c r="C34" s="412">
        <v>6808.1234044964567</v>
      </c>
      <c r="D34" s="412">
        <v>112657.3377079191</v>
      </c>
      <c r="E34" s="412">
        <v>6376.7407407407409</v>
      </c>
      <c r="F34" s="412">
        <v>125842.20185315629</v>
      </c>
      <c r="N34" t="s">
        <v>298</v>
      </c>
      <c r="O34" s="412">
        <v>129678.37858589775</v>
      </c>
      <c r="P34" s="412">
        <v>432.15</v>
      </c>
      <c r="Q34" s="412">
        <v>46592.551860720647</v>
      </c>
      <c r="R34" s="412">
        <v>73581.983511892206</v>
      </c>
      <c r="S34" s="412">
        <v>126196.40861125896</v>
      </c>
      <c r="T34" s="412">
        <v>88575.611076103451</v>
      </c>
      <c r="U34" s="412">
        <v>33088</v>
      </c>
      <c r="V34" s="412">
        <v>127550.4215889519</v>
      </c>
      <c r="W34" s="412">
        <v>85902.605027945756</v>
      </c>
    </row>
    <row r="35" spans="1:23" x14ac:dyDescent="0.55000000000000004">
      <c r="B35" t="s">
        <v>302</v>
      </c>
      <c r="C35" s="412">
        <v>16898.630855553747</v>
      </c>
      <c r="D35" s="412">
        <v>27348.681271690366</v>
      </c>
      <c r="E35" s="412">
        <v>2637.7840017036069</v>
      </c>
      <c r="F35" s="412">
        <v>46885.09612894772</v>
      </c>
      <c r="N35" t="s">
        <v>300</v>
      </c>
      <c r="O35" s="412">
        <v>125842.20185315629</v>
      </c>
      <c r="P35" s="412">
        <v>2954.55</v>
      </c>
      <c r="Q35" s="412">
        <v>20758.189076563325</v>
      </c>
      <c r="R35" s="412">
        <v>60698.336185514607</v>
      </c>
      <c r="S35" s="412">
        <v>111390.71064382268</v>
      </c>
      <c r="T35" s="412">
        <v>52674.903502482179</v>
      </c>
      <c r="U35" s="412">
        <v>24062</v>
      </c>
      <c r="V35" s="412">
        <v>125842.20185315629</v>
      </c>
      <c r="W35" s="412">
        <v>77874.137153480217</v>
      </c>
    </row>
    <row r="36" spans="1:23" x14ac:dyDescent="0.55000000000000004">
      <c r="B36" t="s">
        <v>304</v>
      </c>
      <c r="C36" s="412">
        <v>8322.595947165386</v>
      </c>
      <c r="D36" s="412">
        <v>34856.965372451705</v>
      </c>
      <c r="E36" s="412">
        <v>1826.4615384615383</v>
      </c>
      <c r="F36" s="412">
        <v>45006.022858078628</v>
      </c>
      <c r="N36" t="s">
        <v>302</v>
      </c>
      <c r="O36" s="412">
        <v>46885.09612894772</v>
      </c>
      <c r="P36" s="412">
        <v>557.89285714285654</v>
      </c>
      <c r="Q36" s="412">
        <v>17794.733855358259</v>
      </c>
      <c r="R36" s="412">
        <v>24800.233980647346</v>
      </c>
      <c r="S36" s="412">
        <v>46410.095818403803</v>
      </c>
      <c r="T36" s="412">
        <v>34934.834549235122</v>
      </c>
      <c r="U36" s="412">
        <v>11531</v>
      </c>
      <c r="V36" s="412">
        <v>33999.489277450579</v>
      </c>
      <c r="W36" s="412">
        <v>12118.225153901554</v>
      </c>
    </row>
    <row r="37" spans="1:23" x14ac:dyDescent="0.55000000000000004">
      <c r="B37" t="s">
        <v>306</v>
      </c>
      <c r="C37" s="412">
        <v>21917.524443586823</v>
      </c>
      <c r="D37" s="412">
        <v>82693.25618815895</v>
      </c>
      <c r="E37" s="412">
        <v>2284.4551779585386</v>
      </c>
      <c r="F37" s="412">
        <v>106895.23580970432</v>
      </c>
      <c r="N37" t="s">
        <v>304</v>
      </c>
      <c r="O37" s="412">
        <v>45006.022858078628</v>
      </c>
      <c r="P37" s="412">
        <v>445.2</v>
      </c>
      <c r="Q37" s="412">
        <v>11566.878337827555</v>
      </c>
      <c r="R37" s="412">
        <v>33453.930220028837</v>
      </c>
      <c r="S37" s="412">
        <v>18938.947145990442</v>
      </c>
      <c r="T37" s="412">
        <v>37077.203886852425</v>
      </c>
      <c r="U37" s="412">
        <v>13467</v>
      </c>
      <c r="V37" s="412">
        <v>18933.012759484758</v>
      </c>
      <c r="W37" s="412">
        <v>41840.851663369685</v>
      </c>
    </row>
    <row r="38" spans="1:23" x14ac:dyDescent="0.55000000000000004">
      <c r="B38" t="s">
        <v>308</v>
      </c>
      <c r="C38" s="412">
        <v>10362.576522388546</v>
      </c>
      <c r="D38" s="412">
        <v>90469.193695108203</v>
      </c>
      <c r="E38" s="412">
        <v>4188.9740259740229</v>
      </c>
      <c r="F38" s="412">
        <v>105020.74424347078</v>
      </c>
      <c r="N38" t="s">
        <v>306</v>
      </c>
      <c r="O38" s="412">
        <v>106895.23580970432</v>
      </c>
      <c r="P38" s="412">
        <v>457.18065252201717</v>
      </c>
      <c r="Q38" s="412">
        <v>22790.075680287773</v>
      </c>
      <c r="R38" s="412">
        <v>55122.786135352442</v>
      </c>
      <c r="S38" s="412">
        <v>102500.62338856743</v>
      </c>
      <c r="T38" s="412">
        <v>52667.158079865592</v>
      </c>
      <c r="U38" s="412">
        <v>35910</v>
      </c>
      <c r="V38" s="412">
        <v>85166.428318635866</v>
      </c>
      <c r="W38" s="412">
        <v>91169.419663117384</v>
      </c>
    </row>
    <row r="39" spans="1:23" x14ac:dyDescent="0.55000000000000004">
      <c r="A39" t="s">
        <v>310</v>
      </c>
      <c r="B39" t="s">
        <v>312</v>
      </c>
      <c r="C39" s="412">
        <v>7245.0982575978587</v>
      </c>
      <c r="D39" s="412">
        <v>48176.199306504182</v>
      </c>
      <c r="E39" s="412">
        <v>13603.717947460118</v>
      </c>
      <c r="F39" s="412">
        <v>69025.01551156216</v>
      </c>
      <c r="N39" t="s">
        <v>308</v>
      </c>
      <c r="O39" s="412">
        <v>105020.74424347078</v>
      </c>
      <c r="P39" s="412">
        <v>767.97857142857106</v>
      </c>
      <c r="Q39" s="412">
        <v>30188.867903213395</v>
      </c>
      <c r="R39" s="412">
        <v>59758.037278554097</v>
      </c>
      <c r="S39" s="412">
        <v>92759.690048210061</v>
      </c>
      <c r="T39" s="412">
        <v>58154.767414065369</v>
      </c>
      <c r="U39" s="412">
        <v>25396</v>
      </c>
      <c r="V39" s="412">
        <v>105020.74424347078</v>
      </c>
      <c r="W39" s="412">
        <v>94432.823816899443</v>
      </c>
    </row>
    <row r="40" spans="1:23" x14ac:dyDescent="0.55000000000000004">
      <c r="B40" t="s">
        <v>314</v>
      </c>
      <c r="C40" s="412">
        <v>47590.974521375632</v>
      </c>
      <c r="D40" s="412">
        <v>175141.5300617652</v>
      </c>
      <c r="E40" s="412">
        <v>84624.371794578474</v>
      </c>
      <c r="F40" s="412">
        <v>307356.87637771934</v>
      </c>
      <c r="M40" t="s">
        <v>310</v>
      </c>
      <c r="N40" t="s">
        <v>312</v>
      </c>
      <c r="O40" s="412">
        <v>69025.01551156216</v>
      </c>
      <c r="P40" s="412">
        <v>2477.0230527279032</v>
      </c>
      <c r="Q40" s="412">
        <v>13605.446150034164</v>
      </c>
      <c r="R40" s="412">
        <v>65719.584487161454</v>
      </c>
      <c r="S40" s="412">
        <v>47403.890440055322</v>
      </c>
      <c r="T40" s="412">
        <v>64590.33871309337</v>
      </c>
      <c r="U40" s="412">
        <v>25977</v>
      </c>
      <c r="V40" s="412">
        <v>51800.689360777178</v>
      </c>
      <c r="W40" s="412">
        <v>51293.578036083112</v>
      </c>
    </row>
    <row r="41" spans="1:23" x14ac:dyDescent="0.55000000000000004">
      <c r="B41" t="s">
        <v>316</v>
      </c>
      <c r="C41" s="412">
        <v>0</v>
      </c>
      <c r="D41" s="412">
        <v>79008.885083413552</v>
      </c>
      <c r="E41" s="412">
        <v>48677.688103105895</v>
      </c>
      <c r="F41" s="412">
        <v>127686.57318651944</v>
      </c>
      <c r="N41" t="s">
        <v>314</v>
      </c>
      <c r="O41" s="412">
        <v>307356.87637771934</v>
      </c>
      <c r="P41" s="412">
        <v>44338.655769186771</v>
      </c>
      <c r="Q41" s="412">
        <v>129471.706539829</v>
      </c>
      <c r="R41" s="412">
        <v>161450.29974186883</v>
      </c>
      <c r="S41" s="412">
        <v>272021.22306541295</v>
      </c>
      <c r="T41" s="412">
        <v>149133.96930384706</v>
      </c>
      <c r="U41" s="412">
        <v>130888</v>
      </c>
      <c r="V41" s="412">
        <v>307356.87637771934</v>
      </c>
      <c r="W41" s="412">
        <v>143830.41159354153</v>
      </c>
    </row>
    <row r="42" spans="1:23" x14ac:dyDescent="0.55000000000000004">
      <c r="B42" t="s">
        <v>318</v>
      </c>
      <c r="C42" s="412">
        <v>6413.1419429378875</v>
      </c>
      <c r="D42" s="412">
        <v>80340.475365023216</v>
      </c>
      <c r="E42" s="412">
        <v>6742.2447544422866</v>
      </c>
      <c r="F42" s="412">
        <v>93495.862062403394</v>
      </c>
      <c r="N42" t="s">
        <v>316</v>
      </c>
      <c r="O42" s="412">
        <v>127686.57318651944</v>
      </c>
      <c r="P42" s="412">
        <v>9339.3238802470605</v>
      </c>
      <c r="Q42" s="412">
        <v>45012.665599549233</v>
      </c>
      <c r="R42" s="412">
        <v>113237.31374757357</v>
      </c>
      <c r="S42" s="412">
        <v>123588.48941553604</v>
      </c>
      <c r="T42" s="412">
        <v>78709.26783242551</v>
      </c>
      <c r="U42" s="412">
        <v>59385</v>
      </c>
      <c r="V42" s="412">
        <v>113432.15558665263</v>
      </c>
      <c r="W42" s="412">
        <v>43015.80319017615</v>
      </c>
    </row>
    <row r="43" spans="1:23" x14ac:dyDescent="0.55000000000000004">
      <c r="B43" t="s">
        <v>320</v>
      </c>
      <c r="C43" s="412">
        <v>633.7956031707995</v>
      </c>
      <c r="D43" s="412">
        <v>93820.84267159726</v>
      </c>
      <c r="E43" s="412">
        <v>32349.664329265637</v>
      </c>
      <c r="F43" s="412">
        <v>126804.3026040337</v>
      </c>
      <c r="N43" t="s">
        <v>318</v>
      </c>
      <c r="O43" s="412">
        <v>93495.862062403394</v>
      </c>
      <c r="P43" s="412">
        <v>1331.549330893286</v>
      </c>
      <c r="Q43" s="412">
        <v>22421.677053959203</v>
      </c>
      <c r="R43" s="412">
        <v>72152.484340545852</v>
      </c>
      <c r="S43" s="412">
        <v>93345.308013824644</v>
      </c>
      <c r="T43" s="412">
        <v>57958.998412414119</v>
      </c>
      <c r="U43" s="412">
        <v>30223</v>
      </c>
      <c r="V43" s="412">
        <v>53506.712829564196</v>
      </c>
      <c r="W43" s="412">
        <v>70388.52181753052</v>
      </c>
    </row>
    <row r="44" spans="1:23" x14ac:dyDescent="0.55000000000000004">
      <c r="A44" t="s">
        <v>322</v>
      </c>
      <c r="B44" t="s">
        <v>324</v>
      </c>
      <c r="C44" s="412">
        <v>8191.9832367247782</v>
      </c>
      <c r="D44" s="412">
        <v>29105.286056068817</v>
      </c>
      <c r="E44" s="412">
        <v>1087.0796346167842</v>
      </c>
      <c r="F44" s="412">
        <v>38384.348927410378</v>
      </c>
      <c r="N44" t="s">
        <v>320</v>
      </c>
      <c r="O44" s="412">
        <v>126804.3026040337</v>
      </c>
      <c r="P44" s="412">
        <v>7009.0939380075542</v>
      </c>
      <c r="Q44" s="412">
        <v>29162.091232260878</v>
      </c>
      <c r="R44" s="412">
        <v>79187.380876440075</v>
      </c>
      <c r="S44" s="412">
        <v>125933.58562832986</v>
      </c>
      <c r="T44" s="412">
        <v>79194.142124443635</v>
      </c>
      <c r="U44" s="412">
        <v>79825</v>
      </c>
      <c r="V44" s="412">
        <v>107067.86269846816</v>
      </c>
      <c r="W44" s="412">
        <v>71721.616489668406</v>
      </c>
    </row>
    <row r="45" spans="1:23" x14ac:dyDescent="0.55000000000000004">
      <c r="B45" t="s">
        <v>326</v>
      </c>
      <c r="C45" s="412">
        <v>22557.5</v>
      </c>
      <c r="D45" s="412">
        <v>30482.403979223356</v>
      </c>
      <c r="E45" s="412">
        <v>1490.6764099812244</v>
      </c>
      <c r="F45" s="412">
        <v>54530.580389204581</v>
      </c>
      <c r="M45" t="s">
        <v>322</v>
      </c>
      <c r="N45" t="s">
        <v>324</v>
      </c>
      <c r="O45" s="412">
        <v>38384.348927410378</v>
      </c>
      <c r="P45" s="412">
        <v>256.24019958824198</v>
      </c>
      <c r="Q45" s="412">
        <v>3909.0911715263487</v>
      </c>
      <c r="R45" s="412">
        <v>24009.240773851569</v>
      </c>
      <c r="S45" s="412">
        <v>30601.381216143018</v>
      </c>
      <c r="T45" s="412">
        <v>24885.492447371431</v>
      </c>
      <c r="U45" s="412">
        <v>8906</v>
      </c>
      <c r="V45" s="412">
        <v>38384.348927410378</v>
      </c>
      <c r="W45" s="412">
        <v>12728.429204681486</v>
      </c>
    </row>
    <row r="46" spans="1:23" x14ac:dyDescent="0.55000000000000004">
      <c r="B46" t="s">
        <v>328</v>
      </c>
      <c r="C46" s="412">
        <v>25721.288553470346</v>
      </c>
      <c r="D46" s="412">
        <v>43164.898674527911</v>
      </c>
      <c r="E46" s="412">
        <v>6114.9134977443282</v>
      </c>
      <c r="F46" s="412">
        <v>75001.100725742581</v>
      </c>
      <c r="N46" t="s">
        <v>326</v>
      </c>
      <c r="O46" s="412">
        <v>54530.580389204581</v>
      </c>
      <c r="P46" s="412">
        <v>22829</v>
      </c>
      <c r="Q46" s="412">
        <v>14754.499667695627</v>
      </c>
      <c r="R46" s="412">
        <v>26336.907730356314</v>
      </c>
      <c r="S46" s="412">
        <v>53336.472567767676</v>
      </c>
      <c r="T46" s="412">
        <v>33273.376056275716</v>
      </c>
      <c r="U46" s="412">
        <v>26057</v>
      </c>
      <c r="V46" s="412">
        <v>42300.646110060741</v>
      </c>
      <c r="W46" s="412">
        <v>33580.237053550343</v>
      </c>
    </row>
    <row r="47" spans="1:23" x14ac:dyDescent="0.55000000000000004">
      <c r="B47" t="s">
        <v>330</v>
      </c>
      <c r="C47" s="412">
        <v>38545.029603347393</v>
      </c>
      <c r="D47" s="412">
        <v>25629.895504108583</v>
      </c>
      <c r="E47" s="412">
        <v>4602.6740836147183</v>
      </c>
      <c r="F47" s="412">
        <v>68777.599191070694</v>
      </c>
      <c r="N47" t="s">
        <v>328</v>
      </c>
      <c r="O47" s="412">
        <v>75001.100725742581</v>
      </c>
      <c r="P47" s="412">
        <v>1112.55</v>
      </c>
      <c r="Q47" s="412">
        <v>21308.928910182956</v>
      </c>
      <c r="R47" s="412">
        <v>41231.575914099303</v>
      </c>
      <c r="S47" s="412">
        <v>75001.100725742581</v>
      </c>
      <c r="T47" s="412">
        <v>46637.88649301754</v>
      </c>
      <c r="U47" s="412">
        <v>33857</v>
      </c>
      <c r="V47" s="412">
        <v>20167.055619375602</v>
      </c>
      <c r="W47" s="412">
        <v>54751.396333040801</v>
      </c>
    </row>
    <row r="48" spans="1:23" x14ac:dyDescent="0.55000000000000004">
      <c r="B48" t="s">
        <v>332</v>
      </c>
      <c r="C48" s="412">
        <v>30389.775329136304</v>
      </c>
      <c r="D48" s="412">
        <v>24492.422401719799</v>
      </c>
      <c r="E48" s="412">
        <v>3069.1428571428601</v>
      </c>
      <c r="F48" s="412">
        <v>57951.340587998966</v>
      </c>
      <c r="N48" t="s">
        <v>330</v>
      </c>
      <c r="O48" s="412">
        <v>68777.599191070694</v>
      </c>
      <c r="P48" s="412">
        <v>25901.15359945099</v>
      </c>
      <c r="Q48" s="412">
        <v>15113.861212889662</v>
      </c>
      <c r="R48" s="412">
        <v>29222.572408280714</v>
      </c>
      <c r="S48" s="412">
        <v>55869.724275172353</v>
      </c>
      <c r="T48" s="412">
        <v>42970.354802433634</v>
      </c>
      <c r="U48" s="412">
        <v>39807</v>
      </c>
      <c r="V48" s="412">
        <v>68777.599191070694</v>
      </c>
      <c r="W48" s="412">
        <v>27975.576606638497</v>
      </c>
    </row>
    <row r="49" spans="1:23" x14ac:dyDescent="0.55000000000000004">
      <c r="B49" t="s">
        <v>334</v>
      </c>
      <c r="C49" s="412">
        <v>30899</v>
      </c>
      <c r="D49" s="412">
        <v>62822.381740705023</v>
      </c>
      <c r="E49" s="412">
        <v>4717</v>
      </c>
      <c r="F49" s="412">
        <v>98438.381740705023</v>
      </c>
      <c r="N49" t="s">
        <v>332</v>
      </c>
      <c r="O49" s="412">
        <v>57951.340587998966</v>
      </c>
      <c r="P49" s="412">
        <v>16139.121428571429</v>
      </c>
      <c r="Q49" s="412">
        <v>6013.4831853256273</v>
      </c>
      <c r="R49" s="412">
        <v>32136.495355344086</v>
      </c>
      <c r="S49" s="412">
        <v>49560.718885162169</v>
      </c>
      <c r="T49" s="412">
        <v>31748.559753843099</v>
      </c>
      <c r="U49" s="412">
        <v>28947</v>
      </c>
      <c r="V49" s="412">
        <v>52318.702615531525</v>
      </c>
      <c r="W49" s="412">
        <v>26949.678635807992</v>
      </c>
    </row>
    <row r="50" spans="1:23" x14ac:dyDescent="0.55000000000000004">
      <c r="B50" t="s">
        <v>336</v>
      </c>
      <c r="C50" s="412">
        <v>54052.320164047829</v>
      </c>
      <c r="D50" s="412">
        <v>34425.758326525865</v>
      </c>
      <c r="E50" s="412">
        <v>3636</v>
      </c>
      <c r="F50" s="412">
        <v>92114.078490573695</v>
      </c>
      <c r="N50" t="s">
        <v>334</v>
      </c>
      <c r="O50" s="412">
        <v>98438.381740705023</v>
      </c>
      <c r="P50" s="412">
        <v>1057.5453173967744</v>
      </c>
      <c r="Q50" s="412">
        <v>44772.873685607825</v>
      </c>
      <c r="R50" s="412">
        <v>64229.395540160687</v>
      </c>
      <c r="S50" s="412">
        <v>96632.239951566589</v>
      </c>
      <c r="T50" s="412">
        <v>79003.362738009979</v>
      </c>
      <c r="U50" s="412">
        <v>51874</v>
      </c>
      <c r="V50" s="412">
        <v>36295.964866469709</v>
      </c>
      <c r="W50" s="412">
        <v>62318.192212997128</v>
      </c>
    </row>
    <row r="51" spans="1:23" x14ac:dyDescent="0.55000000000000004">
      <c r="B51" t="s">
        <v>338</v>
      </c>
      <c r="C51" s="412">
        <v>10954.255548004925</v>
      </c>
      <c r="D51" s="412">
        <v>86154.399680966613</v>
      </c>
      <c r="E51" s="412">
        <v>3142.4968348686766</v>
      </c>
      <c r="F51" s="412">
        <v>100251.15206384021</v>
      </c>
      <c r="N51" t="s">
        <v>336</v>
      </c>
      <c r="O51" s="412">
        <v>92114.078490573695</v>
      </c>
      <c r="P51" s="412">
        <v>35024.15</v>
      </c>
      <c r="Q51" s="412">
        <v>27435.626665221927</v>
      </c>
      <c r="R51" s="412">
        <v>50014.608974297669</v>
      </c>
      <c r="S51" s="412">
        <v>83312.488105149037</v>
      </c>
      <c r="T51" s="412">
        <v>73033.543635329639</v>
      </c>
      <c r="U51" s="412">
        <v>62234</v>
      </c>
      <c r="V51" s="412">
        <v>89645.70937447036</v>
      </c>
      <c r="W51" s="412">
        <v>59989.712422058372</v>
      </c>
    </row>
    <row r="52" spans="1:23" x14ac:dyDescent="0.55000000000000004">
      <c r="B52" t="s">
        <v>340</v>
      </c>
      <c r="C52" s="412">
        <v>233351.6448103383</v>
      </c>
      <c r="D52" s="412">
        <v>106191.44697572436</v>
      </c>
      <c r="E52" s="412">
        <v>13224.062358458195</v>
      </c>
      <c r="F52" s="412">
        <v>352767.15414452087</v>
      </c>
      <c r="N52" t="s">
        <v>338</v>
      </c>
      <c r="O52" s="412">
        <v>100251.15206384021</v>
      </c>
      <c r="P52" s="412">
        <v>527.3908366693355</v>
      </c>
      <c r="Q52" s="412">
        <v>13310.819335593691</v>
      </c>
      <c r="R52" s="412">
        <v>54403.705818291186</v>
      </c>
      <c r="S52" s="412">
        <v>70970.174580159175</v>
      </c>
      <c r="T52" s="412">
        <v>100251.15206384021</v>
      </c>
      <c r="U52" s="412">
        <v>20855</v>
      </c>
      <c r="V52" s="412">
        <v>23089.529953111407</v>
      </c>
      <c r="W52" s="412">
        <v>47335.522749968797</v>
      </c>
    </row>
    <row r="53" spans="1:23" x14ac:dyDescent="0.55000000000000004">
      <c r="A53" t="s">
        <v>342</v>
      </c>
      <c r="B53" t="s">
        <v>344</v>
      </c>
      <c r="C53" s="412">
        <v>5455.9984530766233</v>
      </c>
      <c r="D53" s="412">
        <v>34697.161954134717</v>
      </c>
      <c r="E53" s="412">
        <v>4455.7129629629626</v>
      </c>
      <c r="F53" s="412">
        <v>44608.873370174304</v>
      </c>
      <c r="N53" t="s">
        <v>340</v>
      </c>
      <c r="O53" s="412">
        <v>352767.15414452087</v>
      </c>
      <c r="P53" s="412">
        <v>235335.25416410703</v>
      </c>
      <c r="Q53" s="412">
        <v>103161.19158337245</v>
      </c>
      <c r="R53" s="412">
        <v>131887.95815077153</v>
      </c>
      <c r="S53" s="412">
        <v>310650.75749120786</v>
      </c>
      <c r="T53" s="412">
        <v>236906.38790141133</v>
      </c>
      <c r="U53" s="412">
        <v>191510</v>
      </c>
      <c r="V53" s="412">
        <v>251280.62183516682</v>
      </c>
      <c r="W53" s="412">
        <v>176914.01263580431</v>
      </c>
    </row>
    <row r="54" spans="1:23" x14ac:dyDescent="0.55000000000000004">
      <c r="B54" t="s">
        <v>346</v>
      </c>
      <c r="C54" s="412">
        <v>29304.162023986508</v>
      </c>
      <c r="D54" s="412">
        <v>42844.432552221973</v>
      </c>
      <c r="E54" s="412">
        <v>13755.277760557072</v>
      </c>
      <c r="F54" s="412">
        <v>85903.872336765548</v>
      </c>
      <c r="M54" t="s">
        <v>342</v>
      </c>
      <c r="N54" t="s">
        <v>344</v>
      </c>
      <c r="O54" s="412">
        <v>44608.873370174304</v>
      </c>
      <c r="P54" s="412">
        <v>1484.15</v>
      </c>
      <c r="Q54" s="412">
        <v>3980.1637221687338</v>
      </c>
      <c r="R54" s="412">
        <v>33945.355230301924</v>
      </c>
      <c r="S54" s="412">
        <v>40040.649999999994</v>
      </c>
      <c r="T54" s="412">
        <v>24537.864564009826</v>
      </c>
      <c r="U54" s="412">
        <v>8661</v>
      </c>
      <c r="V54" s="412">
        <v>17283.658825170671</v>
      </c>
      <c r="W54" s="412">
        <v>44608.873370174304</v>
      </c>
    </row>
    <row r="55" spans="1:23" x14ac:dyDescent="0.55000000000000004">
      <c r="B55" t="s">
        <v>348</v>
      </c>
      <c r="C55" s="412">
        <v>4270.8268474169781</v>
      </c>
      <c r="D55" s="412">
        <v>44682.271494068285</v>
      </c>
      <c r="E55" s="412">
        <v>15434.32217324211</v>
      </c>
      <c r="F55" s="412">
        <v>64387.420514727375</v>
      </c>
      <c r="N55" t="s">
        <v>346</v>
      </c>
      <c r="O55" s="412">
        <v>85903.872336765548</v>
      </c>
      <c r="P55" s="412">
        <v>21631.238378702961</v>
      </c>
      <c r="Q55" s="412">
        <v>30705.869999474082</v>
      </c>
      <c r="R55" s="412">
        <v>33465.386311127964</v>
      </c>
      <c r="S55" s="412">
        <v>62342.889566727594</v>
      </c>
      <c r="T55" s="412">
        <v>39636.251095056854</v>
      </c>
      <c r="U55" s="412">
        <v>42057</v>
      </c>
      <c r="V55" s="412">
        <v>59062.752851849247</v>
      </c>
      <c r="W55" s="412">
        <v>85903.872336765548</v>
      </c>
    </row>
    <row r="56" spans="1:23" x14ac:dyDescent="0.55000000000000004">
      <c r="B56" t="s">
        <v>350</v>
      </c>
      <c r="C56" s="412">
        <v>15813.857369323312</v>
      </c>
      <c r="D56" s="412">
        <v>105812.41394139855</v>
      </c>
      <c r="E56" s="412">
        <v>142110.0378171395</v>
      </c>
      <c r="F56" s="412">
        <v>263736.3091278614</v>
      </c>
      <c r="N56" t="s">
        <v>348</v>
      </c>
      <c r="O56" s="412">
        <v>64387.420514727375</v>
      </c>
      <c r="P56" s="412">
        <v>2434.8973773304356</v>
      </c>
      <c r="Q56" s="412">
        <v>22699.740493619891</v>
      </c>
      <c r="R56" s="412">
        <v>27229.996263203018</v>
      </c>
      <c r="S56" s="412">
        <v>59926.460411772932</v>
      </c>
      <c r="T56" s="412">
        <v>28612.627003945749</v>
      </c>
      <c r="U56" s="412">
        <v>31251</v>
      </c>
      <c r="V56" s="412">
        <v>64387.420514727375</v>
      </c>
      <c r="W56" s="412">
        <v>22364.262353981383</v>
      </c>
    </row>
    <row r="57" spans="1:23" x14ac:dyDescent="0.55000000000000004">
      <c r="B57" t="s">
        <v>352</v>
      </c>
      <c r="C57" s="412">
        <v>10736.997624544605</v>
      </c>
      <c r="D57" s="412">
        <v>35213.296640527828</v>
      </c>
      <c r="E57" s="412">
        <v>19563.447329503815</v>
      </c>
      <c r="F57" s="412">
        <v>65513.741594576248</v>
      </c>
      <c r="N57" t="s">
        <v>350</v>
      </c>
      <c r="O57" s="412">
        <v>263736.3091278614</v>
      </c>
      <c r="P57" s="412">
        <v>39183.751293606292</v>
      </c>
      <c r="Q57" s="412">
        <v>71326.465335334244</v>
      </c>
      <c r="R57" s="412">
        <v>123478.22441726623</v>
      </c>
      <c r="S57" s="412">
        <v>263736.3091278614</v>
      </c>
      <c r="T57" s="412">
        <v>181123.58284142008</v>
      </c>
      <c r="U57" s="412">
        <v>173666</v>
      </c>
      <c r="V57" s="412">
        <v>118468.14653149802</v>
      </c>
      <c r="W57" s="412">
        <v>219988.99535390947</v>
      </c>
    </row>
    <row r="58" spans="1:23" x14ac:dyDescent="0.55000000000000004">
      <c r="B58" t="s">
        <v>354</v>
      </c>
      <c r="C58" s="412">
        <v>435.8532900082605</v>
      </c>
      <c r="D58" s="412">
        <v>61218.681749875781</v>
      </c>
      <c r="E58" s="412">
        <v>34791.199763938115</v>
      </c>
      <c r="F58" s="412">
        <v>96445.734803822153</v>
      </c>
      <c r="N58" t="s">
        <v>352</v>
      </c>
      <c r="O58" s="412">
        <v>65513.741594576248</v>
      </c>
      <c r="P58" s="412">
        <v>11082.473740706851</v>
      </c>
      <c r="Q58" s="412">
        <v>31191.268620906259</v>
      </c>
      <c r="R58" s="412">
        <v>33280.976248034902</v>
      </c>
      <c r="S58" s="412">
        <v>58992.1457386318</v>
      </c>
      <c r="T58" s="412">
        <v>51513.736010701759</v>
      </c>
      <c r="U58" s="412">
        <v>42084</v>
      </c>
      <c r="V58" s="412">
        <v>60239.588845699152</v>
      </c>
      <c r="W58" s="412">
        <v>45280.13840570204</v>
      </c>
    </row>
    <row r="59" spans="1:23" x14ac:dyDescent="0.55000000000000004">
      <c r="B59" t="s">
        <v>356</v>
      </c>
      <c r="C59" s="412">
        <v>87059.249524592815</v>
      </c>
      <c r="D59" s="412">
        <v>99663.380026948871</v>
      </c>
      <c r="E59" s="412">
        <v>12690.76710511266</v>
      </c>
      <c r="F59" s="412">
        <v>199413.39665665437</v>
      </c>
      <c r="N59" t="s">
        <v>354</v>
      </c>
      <c r="O59" s="412">
        <v>96445.734803822153</v>
      </c>
      <c r="P59" s="412">
        <v>6478.3613353539931</v>
      </c>
      <c r="Q59" s="412">
        <v>22501.878103677496</v>
      </c>
      <c r="R59" s="412">
        <v>45617.506353433622</v>
      </c>
      <c r="S59" s="412">
        <v>71600.41095394631</v>
      </c>
      <c r="T59" s="412">
        <v>52502.39795129378</v>
      </c>
      <c r="U59" s="412">
        <v>56974</v>
      </c>
      <c r="V59" s="412">
        <v>38841.950545833432</v>
      </c>
      <c r="W59" s="412">
        <v>96445.734803822153</v>
      </c>
    </row>
    <row r="60" spans="1:23" x14ac:dyDescent="0.55000000000000004">
      <c r="B60" t="s">
        <v>358</v>
      </c>
      <c r="C60" s="412">
        <v>16635.753126703614</v>
      </c>
      <c r="D60" s="412">
        <v>46995.45736410773</v>
      </c>
      <c r="E60" s="412">
        <v>20707.832995285127</v>
      </c>
      <c r="F60" s="412">
        <v>84339.04348609646</v>
      </c>
      <c r="N60" t="s">
        <v>356</v>
      </c>
      <c r="O60" s="412">
        <v>199413.39665665437</v>
      </c>
      <c r="P60" s="412">
        <v>76088.615065766906</v>
      </c>
      <c r="Q60" s="412">
        <v>6819.446960926568</v>
      </c>
      <c r="R60" s="412">
        <v>102902.25506572153</v>
      </c>
      <c r="S60" s="412">
        <v>196994.47547569021</v>
      </c>
      <c r="T60" s="412">
        <v>164454.49297143976</v>
      </c>
      <c r="U60" s="412">
        <v>104994</v>
      </c>
      <c r="V60" s="412">
        <v>173475.53516601946</v>
      </c>
      <c r="W60" s="412">
        <v>192953.70322690497</v>
      </c>
    </row>
    <row r="61" spans="1:23" x14ac:dyDescent="0.55000000000000004">
      <c r="B61" t="s">
        <v>360</v>
      </c>
      <c r="C61" s="412">
        <v>27668.75</v>
      </c>
      <c r="D61" s="412">
        <v>56401.700934591106</v>
      </c>
      <c r="E61" s="412">
        <v>1135</v>
      </c>
      <c r="F61" s="412">
        <v>85205.450934591106</v>
      </c>
      <c r="N61" t="s">
        <v>358</v>
      </c>
      <c r="O61" s="412">
        <v>84339.04348609646</v>
      </c>
      <c r="P61" s="412">
        <v>3686.4493903694406</v>
      </c>
      <c r="Q61" s="412">
        <v>10766.985503394966</v>
      </c>
      <c r="R61" s="412">
        <v>44313.330243727345</v>
      </c>
      <c r="S61" s="412">
        <v>70394.137622298804</v>
      </c>
      <c r="T61" s="412">
        <v>49367.966156453171</v>
      </c>
      <c r="U61" s="412">
        <v>49319</v>
      </c>
      <c r="V61" s="412">
        <v>24892.260013247778</v>
      </c>
      <c r="W61" s="412">
        <v>84339.04348609646</v>
      </c>
    </row>
    <row r="62" spans="1:23" x14ac:dyDescent="0.55000000000000004">
      <c r="B62" t="s">
        <v>362</v>
      </c>
      <c r="C62" s="412">
        <v>16263.67997615986</v>
      </c>
      <c r="D62" s="412">
        <v>37822.000195335575</v>
      </c>
      <c r="E62" s="412">
        <v>4540.6574350389437</v>
      </c>
      <c r="F62" s="412">
        <v>58626.337606534376</v>
      </c>
      <c r="N62" t="s">
        <v>360</v>
      </c>
      <c r="O62" s="412">
        <v>85205.450934591106</v>
      </c>
      <c r="P62" s="412">
        <v>27912.114193068741</v>
      </c>
      <c r="Q62" s="412">
        <v>25515.769052953379</v>
      </c>
      <c r="R62" s="412">
        <v>51931.270302516328</v>
      </c>
      <c r="S62" s="412">
        <v>80149.958846710171</v>
      </c>
      <c r="T62" s="412">
        <v>58281.259617612573</v>
      </c>
      <c r="U62" s="412">
        <v>51505</v>
      </c>
      <c r="V62" s="412">
        <v>36802.793827158835</v>
      </c>
      <c r="W62" s="412">
        <v>11083.906318160658</v>
      </c>
    </row>
    <row r="63" spans="1:23" x14ac:dyDescent="0.55000000000000004">
      <c r="B63" t="s">
        <v>364</v>
      </c>
      <c r="C63" s="412">
        <v>83615</v>
      </c>
      <c r="D63" s="412">
        <v>139713.06019309364</v>
      </c>
      <c r="E63" s="412">
        <v>157164.99172748698</v>
      </c>
      <c r="F63" s="412">
        <v>380493.05192058062</v>
      </c>
      <c r="N63" t="s">
        <v>362</v>
      </c>
      <c r="O63" s="412">
        <v>58626.337606534376</v>
      </c>
      <c r="P63" s="412">
        <v>3193.531882648977</v>
      </c>
      <c r="Q63" s="412">
        <v>5079.9989542176827</v>
      </c>
      <c r="R63" s="412">
        <v>35658.472456883799</v>
      </c>
      <c r="S63" s="412">
        <v>51560.353730576455</v>
      </c>
      <c r="T63" s="412">
        <v>37336.871678459225</v>
      </c>
      <c r="U63" s="412">
        <v>30791</v>
      </c>
      <c r="V63" s="412">
        <v>45496.471094591732</v>
      </c>
      <c r="W63" s="412">
        <v>58626.337606534376</v>
      </c>
    </row>
    <row r="64" spans="1:23" x14ac:dyDescent="0.55000000000000004">
      <c r="B64" t="s">
        <v>366</v>
      </c>
      <c r="C64" s="412">
        <v>18966</v>
      </c>
      <c r="D64" s="412">
        <v>59789.271074592936</v>
      </c>
      <c r="E64" s="412">
        <v>38531.47105902285</v>
      </c>
      <c r="F64" s="412">
        <v>117286.74213361579</v>
      </c>
      <c r="N64" t="s">
        <v>364</v>
      </c>
      <c r="O64" s="412">
        <v>380493.05192058062</v>
      </c>
      <c r="P64" s="412">
        <v>49695.528809333176</v>
      </c>
      <c r="Q64" s="412">
        <v>103185.45662939223</v>
      </c>
      <c r="R64" s="412">
        <v>186523.81121230018</v>
      </c>
      <c r="S64" s="412">
        <v>376757.75863246224</v>
      </c>
      <c r="T64" s="412">
        <v>238069.35741647668</v>
      </c>
      <c r="U64" s="412">
        <v>312308</v>
      </c>
      <c r="V64" s="412">
        <v>136027.1468859383</v>
      </c>
      <c r="W64" s="412">
        <v>271263.37169130729</v>
      </c>
    </row>
    <row r="65" spans="1:23" x14ac:dyDescent="0.55000000000000004">
      <c r="A65" t="s">
        <v>368</v>
      </c>
      <c r="B65" t="s">
        <v>370</v>
      </c>
      <c r="C65" s="412">
        <v>14399.340053999733</v>
      </c>
      <c r="D65" s="412">
        <v>38920.789012075693</v>
      </c>
      <c r="E65" s="412">
        <v>24660.379826109162</v>
      </c>
      <c r="F65" s="412">
        <v>77980.508892184589</v>
      </c>
      <c r="N65" t="s">
        <v>366</v>
      </c>
      <c r="O65" s="412">
        <v>117286.74213361579</v>
      </c>
      <c r="P65" s="412">
        <v>25604.589911357652</v>
      </c>
      <c r="Q65" s="412">
        <v>42848.141093101593</v>
      </c>
      <c r="R65" s="412">
        <v>55158.68166717788</v>
      </c>
      <c r="S65" s="412">
        <v>114833.01107619252</v>
      </c>
      <c r="T65" s="412">
        <v>85032.294676193909</v>
      </c>
      <c r="U65" s="412">
        <v>55799</v>
      </c>
      <c r="V65" s="412">
        <v>67735.78449298082</v>
      </c>
      <c r="W65" s="412">
        <v>98922.938557613117</v>
      </c>
    </row>
    <row r="66" spans="1:23" x14ac:dyDescent="0.55000000000000004">
      <c r="B66" t="s">
        <v>372</v>
      </c>
      <c r="C66" s="412">
        <v>17195</v>
      </c>
      <c r="D66" s="412">
        <v>93064.484746472765</v>
      </c>
      <c r="E66" s="412">
        <v>65097</v>
      </c>
      <c r="F66" s="412">
        <v>175356.48474647276</v>
      </c>
      <c r="M66" t="s">
        <v>368</v>
      </c>
      <c r="N66" t="s">
        <v>370</v>
      </c>
      <c r="O66" s="412">
        <v>77980.508892184589</v>
      </c>
      <c r="P66" s="412">
        <v>5247.4994281139261</v>
      </c>
      <c r="Q66" s="412">
        <v>26817.729624731797</v>
      </c>
      <c r="R66" s="412">
        <v>50095.473227514514</v>
      </c>
      <c r="S66" s="412">
        <v>70144.286905436675</v>
      </c>
      <c r="T66" s="412">
        <v>57631.443574565608</v>
      </c>
      <c r="U66" s="412">
        <v>46444</v>
      </c>
      <c r="V66" s="412">
        <v>65331.366477447387</v>
      </c>
      <c r="W66" s="412">
        <v>39920.524766087474</v>
      </c>
    </row>
    <row r="67" spans="1:23" x14ac:dyDescent="0.55000000000000004">
      <c r="B67" t="s">
        <v>374</v>
      </c>
      <c r="C67" s="412">
        <v>23538.621025019514</v>
      </c>
      <c r="D67" s="412">
        <v>87510.12561893872</v>
      </c>
      <c r="E67" s="412">
        <v>13713</v>
      </c>
      <c r="F67" s="412">
        <v>124761.74664395823</v>
      </c>
      <c r="N67" t="s">
        <v>372</v>
      </c>
      <c r="O67" s="412">
        <v>175356.48474647276</v>
      </c>
      <c r="P67" s="412">
        <v>17372.562114834724</v>
      </c>
      <c r="Q67" s="412">
        <v>67850.781569035695</v>
      </c>
      <c r="R67" s="412">
        <v>127210.38995470313</v>
      </c>
      <c r="S67" s="412">
        <v>158503.90515474367</v>
      </c>
      <c r="T67" s="412">
        <v>151148.50698029064</v>
      </c>
      <c r="U67" s="412">
        <v>142434</v>
      </c>
      <c r="V67" s="412">
        <v>135124.90882925509</v>
      </c>
      <c r="W67" s="412">
        <v>149077.44768515317</v>
      </c>
    </row>
    <row r="68" spans="1:23" x14ac:dyDescent="0.55000000000000004">
      <c r="B68" t="s">
        <v>376</v>
      </c>
      <c r="C68" s="412">
        <v>25029</v>
      </c>
      <c r="D68" s="412">
        <v>109863.17813807524</v>
      </c>
      <c r="E68" s="412">
        <v>8951.7537016626302</v>
      </c>
      <c r="F68" s="412">
        <v>143843.93183973787</v>
      </c>
      <c r="N68" t="s">
        <v>374</v>
      </c>
      <c r="O68" s="412">
        <v>124761.74664395823</v>
      </c>
      <c r="P68" s="412">
        <v>2920.3252070227609</v>
      </c>
      <c r="Q68" s="412">
        <v>52369.401176122417</v>
      </c>
      <c r="R68" s="412">
        <v>83979.174722480049</v>
      </c>
      <c r="S68" s="412">
        <v>118043.95364374743</v>
      </c>
      <c r="T68" s="412">
        <v>68476.010496206101</v>
      </c>
      <c r="U68" s="412">
        <v>73324</v>
      </c>
      <c r="V68" s="412">
        <v>106361.20598535184</v>
      </c>
      <c r="W68" s="412">
        <v>78558.494518039355</v>
      </c>
    </row>
    <row r="69" spans="1:23" x14ac:dyDescent="0.55000000000000004">
      <c r="B69" t="s">
        <v>378</v>
      </c>
      <c r="C69" s="412">
        <v>5731.2876936984776</v>
      </c>
      <c r="D69" s="412">
        <v>65721.236851357709</v>
      </c>
      <c r="E69" s="412">
        <v>6645.7163696036187</v>
      </c>
      <c r="F69" s="412">
        <v>78098.240914659807</v>
      </c>
      <c r="N69" t="s">
        <v>376</v>
      </c>
      <c r="O69" s="412">
        <v>143843.93183973787</v>
      </c>
      <c r="P69" s="412">
        <v>1969.3858143657783</v>
      </c>
      <c r="Q69" s="412">
        <v>59868.790655165612</v>
      </c>
      <c r="R69" s="412">
        <v>105262.0547215469</v>
      </c>
      <c r="S69" s="412">
        <v>140221.59535502343</v>
      </c>
      <c r="T69" s="412">
        <v>101797.14155911567</v>
      </c>
      <c r="U69" s="412">
        <v>63430</v>
      </c>
      <c r="V69" s="412">
        <v>110905.95320654257</v>
      </c>
      <c r="W69" s="412">
        <v>135895.47843053358</v>
      </c>
    </row>
    <row r="70" spans="1:23" x14ac:dyDescent="0.55000000000000004">
      <c r="B70" t="s">
        <v>380</v>
      </c>
      <c r="C70" s="412">
        <v>116376</v>
      </c>
      <c r="D70" s="412">
        <v>34129.817761062943</v>
      </c>
      <c r="E70" s="412">
        <v>47910.869250360593</v>
      </c>
      <c r="F70" s="412">
        <v>198416.68701142352</v>
      </c>
      <c r="N70" t="s">
        <v>378</v>
      </c>
      <c r="O70" s="412">
        <v>78098.240914659807</v>
      </c>
      <c r="P70" s="412">
        <v>1297.1157251515499</v>
      </c>
      <c r="Q70" s="412">
        <v>15783.645079426133</v>
      </c>
      <c r="R70" s="412">
        <v>57092.662086995937</v>
      </c>
      <c r="S70" s="412">
        <v>57617.094913392051</v>
      </c>
      <c r="T70" s="412">
        <v>57939.901863805004</v>
      </c>
      <c r="U70" s="412">
        <v>41070</v>
      </c>
      <c r="V70" s="412">
        <v>54765.490797312741</v>
      </c>
      <c r="W70" s="412">
        <v>78098.240914659807</v>
      </c>
    </row>
    <row r="71" spans="1:23" x14ac:dyDescent="0.55000000000000004">
      <c r="A71" t="s">
        <v>382</v>
      </c>
      <c r="B71" t="s">
        <v>384</v>
      </c>
      <c r="C71" s="412">
        <v>33793.25455603005</v>
      </c>
      <c r="D71" s="412">
        <v>127436.650800412</v>
      </c>
      <c r="E71" s="412">
        <v>14403.455908430427</v>
      </c>
      <c r="F71" s="412">
        <v>175633.36126487245</v>
      </c>
      <c r="N71" t="s">
        <v>380</v>
      </c>
      <c r="O71" s="412">
        <v>198416.68701142352</v>
      </c>
      <c r="P71" s="412">
        <v>96221.094866178653</v>
      </c>
      <c r="Q71" s="412">
        <v>35205.126886425249</v>
      </c>
      <c r="R71" s="412">
        <v>125825.36320451309</v>
      </c>
      <c r="S71" s="412">
        <v>167273.4196168562</v>
      </c>
      <c r="T71" s="412">
        <v>173189.42270465803</v>
      </c>
      <c r="U71" s="412">
        <v>168782</v>
      </c>
      <c r="V71" s="412">
        <v>147785.94166987611</v>
      </c>
      <c r="W71" s="412">
        <v>130068.6996769595</v>
      </c>
    </row>
    <row r="72" spans="1:23" x14ac:dyDescent="0.55000000000000004">
      <c r="B72" t="s">
        <v>386</v>
      </c>
      <c r="C72" s="412">
        <v>6684.9605914462118</v>
      </c>
      <c r="D72" s="412">
        <v>19251.330016565855</v>
      </c>
      <c r="E72" s="412">
        <v>20899.83915597371</v>
      </c>
      <c r="F72" s="412">
        <v>46836.12976398578</v>
      </c>
      <c r="M72" t="s">
        <v>382</v>
      </c>
      <c r="N72" t="s">
        <v>384</v>
      </c>
      <c r="O72" s="412">
        <v>175633.36126487245</v>
      </c>
      <c r="P72" s="412">
        <v>32800.337476838613</v>
      </c>
      <c r="Q72" s="412">
        <v>50365.938329857388</v>
      </c>
      <c r="R72" s="412">
        <v>92536.657657634656</v>
      </c>
      <c r="S72" s="412">
        <v>75389.122782892751</v>
      </c>
      <c r="T72" s="412">
        <v>128041.96403764206</v>
      </c>
      <c r="U72" s="412">
        <v>77435</v>
      </c>
      <c r="V72" s="412">
        <v>104238.89158776961</v>
      </c>
      <c r="W72" s="412">
        <v>175633.36126487245</v>
      </c>
    </row>
    <row r="73" spans="1:23" x14ac:dyDescent="0.55000000000000004">
      <c r="B73" t="s">
        <v>388</v>
      </c>
      <c r="C73" s="412">
        <v>12495</v>
      </c>
      <c r="D73" s="412">
        <v>111624.95265472641</v>
      </c>
      <c r="E73" s="412">
        <v>31618</v>
      </c>
      <c r="F73" s="412">
        <v>155737.9526547264</v>
      </c>
      <c r="N73" t="s">
        <v>386</v>
      </c>
      <c r="O73" s="412">
        <v>46836.12976398578</v>
      </c>
      <c r="P73" s="412">
        <v>10010.228523962031</v>
      </c>
      <c r="Q73" s="412">
        <v>19290.884114112308</v>
      </c>
      <c r="R73" s="412">
        <v>26690.906474256139</v>
      </c>
      <c r="S73" s="412">
        <v>38125.664173621146</v>
      </c>
      <c r="T73" s="412">
        <v>38009.953941992542</v>
      </c>
      <c r="U73" s="412">
        <v>31000</v>
      </c>
      <c r="V73" s="412">
        <v>27584.799747419922</v>
      </c>
      <c r="W73" s="412">
        <v>19001.583645848295</v>
      </c>
    </row>
    <row r="74" spans="1:23" x14ac:dyDescent="0.55000000000000004">
      <c r="A74" t="s">
        <v>390</v>
      </c>
      <c r="B74" t="s">
        <v>392</v>
      </c>
      <c r="C74" s="412">
        <v>32680.101003340977</v>
      </c>
      <c r="D74" s="412">
        <v>54459.393684475173</v>
      </c>
      <c r="E74" s="412">
        <v>2711.8518518518522</v>
      </c>
      <c r="F74" s="412">
        <v>89851.346539668011</v>
      </c>
      <c r="N74" t="s">
        <v>388</v>
      </c>
      <c r="O74" s="412">
        <v>155737.9526547264</v>
      </c>
      <c r="P74" s="412">
        <v>19641.905272217769</v>
      </c>
      <c r="Q74" s="412">
        <v>39623.387145896348</v>
      </c>
      <c r="R74" s="412">
        <v>112917.84464317173</v>
      </c>
      <c r="S74" s="412">
        <v>144101.44465239174</v>
      </c>
      <c r="T74" s="412">
        <v>132394.60236267076</v>
      </c>
      <c r="U74" s="412">
        <v>79629</v>
      </c>
      <c r="V74" s="412">
        <v>93651.761850745883</v>
      </c>
      <c r="W74" s="412">
        <v>126506.25559589031</v>
      </c>
    </row>
    <row r="75" spans="1:23" x14ac:dyDescent="0.55000000000000004">
      <c r="B75" t="s">
        <v>394</v>
      </c>
      <c r="C75" s="412">
        <v>6333.4132105088875</v>
      </c>
      <c r="D75" s="412">
        <v>40156.679713581529</v>
      </c>
      <c r="E75" s="412">
        <v>1246.3809523809548</v>
      </c>
      <c r="F75" s="412">
        <v>47736.473876471369</v>
      </c>
      <c r="M75" t="s">
        <v>390</v>
      </c>
      <c r="N75" t="s">
        <v>392</v>
      </c>
      <c r="O75" s="412">
        <v>89851.346539668011</v>
      </c>
      <c r="P75" s="412">
        <v>28992.9</v>
      </c>
      <c r="Q75" s="412">
        <v>26040.359500038991</v>
      </c>
      <c r="R75" s="412">
        <v>52882.099690420087</v>
      </c>
      <c r="S75" s="412">
        <v>21164.542315043622</v>
      </c>
      <c r="T75" s="412">
        <v>58512.502214516149</v>
      </c>
      <c r="U75" s="412">
        <v>42053</v>
      </c>
      <c r="V75" s="412">
        <v>63394.465675809093</v>
      </c>
      <c r="W75" s="412">
        <v>87693.723123988486</v>
      </c>
    </row>
    <row r="76" spans="1:23" x14ac:dyDescent="0.55000000000000004">
      <c r="B76" t="s">
        <v>396</v>
      </c>
      <c r="C76" s="412">
        <v>8321.4984531551581</v>
      </c>
      <c r="D76" s="412">
        <v>57962.24266871313</v>
      </c>
      <c r="E76" s="412">
        <v>516</v>
      </c>
      <c r="F76" s="412">
        <v>66799.741121868283</v>
      </c>
      <c r="N76" t="s">
        <v>394</v>
      </c>
      <c r="O76" s="412">
        <v>47736.473876471369</v>
      </c>
      <c r="P76" s="412">
        <v>219.47142857142902</v>
      </c>
      <c r="Q76" s="412">
        <v>8028.1831936199178</v>
      </c>
      <c r="R76" s="412">
        <v>23830.289310247641</v>
      </c>
      <c r="S76" s="412">
        <v>14120.03580991114</v>
      </c>
      <c r="T76" s="412">
        <v>24360.982097498334</v>
      </c>
      <c r="U76" s="412">
        <v>15398</v>
      </c>
      <c r="V76" s="412">
        <v>23037.266173403874</v>
      </c>
      <c r="W76" s="412">
        <v>47736.473876471369</v>
      </c>
    </row>
    <row r="77" spans="1:23" x14ac:dyDescent="0.55000000000000004">
      <c r="B77" t="s">
        <v>398</v>
      </c>
      <c r="C77" s="412">
        <v>13014</v>
      </c>
      <c r="D77" s="412">
        <v>39815.582559098635</v>
      </c>
      <c r="E77" s="412">
        <v>3113.6388888888891</v>
      </c>
      <c r="F77" s="412">
        <v>55943.221447987526</v>
      </c>
      <c r="N77" t="s">
        <v>396</v>
      </c>
      <c r="O77" s="412">
        <v>66799.741121868283</v>
      </c>
      <c r="P77" s="412">
        <v>103.2</v>
      </c>
      <c r="Q77" s="412">
        <v>14439.650970624742</v>
      </c>
      <c r="R77" s="412">
        <v>51643.419934814541</v>
      </c>
      <c r="S77" s="412">
        <v>23451.285355711359</v>
      </c>
      <c r="T77" s="412">
        <v>36316.616539599228</v>
      </c>
      <c r="U77" s="412">
        <v>32483</v>
      </c>
      <c r="V77" s="412">
        <v>28501.613277821096</v>
      </c>
      <c r="W77" s="412">
        <v>66780.630010757173</v>
      </c>
    </row>
    <row r="78" spans="1:23" x14ac:dyDescent="0.55000000000000004">
      <c r="B78" t="s">
        <v>400</v>
      </c>
      <c r="C78" s="412">
        <v>1326.2143950586142</v>
      </c>
      <c r="D78" s="412">
        <v>20359.407042341969</v>
      </c>
      <c r="E78" s="412">
        <v>1623</v>
      </c>
      <c r="F78" s="412">
        <v>23308.621437400583</v>
      </c>
      <c r="N78" t="s">
        <v>398</v>
      </c>
      <c r="O78" s="412">
        <v>55943.221447987526</v>
      </c>
      <c r="P78" s="412">
        <v>752.85</v>
      </c>
      <c r="Q78" s="412">
        <v>1360.601058429151</v>
      </c>
      <c r="R78" s="412">
        <v>43115.596288124732</v>
      </c>
      <c r="S78" s="412">
        <v>37233.691724196287</v>
      </c>
      <c r="T78" s="412">
        <v>41740.048000729912</v>
      </c>
      <c r="U78" s="412">
        <v>37702</v>
      </c>
      <c r="V78" s="412">
        <v>24720.092811546147</v>
      </c>
      <c r="W78" s="412">
        <v>53697.171773627822</v>
      </c>
    </row>
    <row r="79" spans="1:23" x14ac:dyDescent="0.55000000000000004">
      <c r="B79" t="s">
        <v>402</v>
      </c>
      <c r="C79" s="412">
        <v>0</v>
      </c>
      <c r="D79" s="412">
        <v>39397.363291555448</v>
      </c>
      <c r="E79" s="412">
        <v>3981.8245614035086</v>
      </c>
      <c r="F79" s="412">
        <v>43379.187852958959</v>
      </c>
      <c r="N79" t="s">
        <v>400</v>
      </c>
      <c r="O79" s="412">
        <v>23308.621437400583</v>
      </c>
      <c r="P79" s="412">
        <v>347.84999999999997</v>
      </c>
      <c r="Q79" s="412">
        <v>3385.7118220318821</v>
      </c>
      <c r="R79" s="412">
        <v>21869.408312593983</v>
      </c>
      <c r="S79" s="412">
        <v>15838.135416769042</v>
      </c>
      <c r="T79" s="412">
        <v>20437.780531318083</v>
      </c>
      <c r="U79" s="412">
        <v>15146</v>
      </c>
      <c r="V79" s="412">
        <v>18365.984734950533</v>
      </c>
      <c r="W79" s="412">
        <v>15604.061411088005</v>
      </c>
    </row>
    <row r="80" spans="1:23" x14ac:dyDescent="0.55000000000000004">
      <c r="B80" t="s">
        <v>404</v>
      </c>
      <c r="C80" s="412">
        <v>24688</v>
      </c>
      <c r="D80" s="412">
        <v>13688.99733681892</v>
      </c>
      <c r="E80" s="412">
        <v>0</v>
      </c>
      <c r="F80" s="412">
        <v>38376.997336818924</v>
      </c>
      <c r="N80" t="s">
        <v>402</v>
      </c>
      <c r="O80" s="412">
        <v>43379.187852958959</v>
      </c>
      <c r="P80" s="412">
        <v>740.1</v>
      </c>
      <c r="Q80" s="412">
        <v>5044.3671957148881</v>
      </c>
      <c r="R80" s="412">
        <v>27755.718127357206</v>
      </c>
      <c r="S80" s="412">
        <v>35973.395632936605</v>
      </c>
      <c r="T80" s="412">
        <v>28717.414169795324</v>
      </c>
      <c r="U80" s="412">
        <v>12353</v>
      </c>
      <c r="V80" s="412">
        <v>43379.187852958959</v>
      </c>
      <c r="W80" s="412">
        <v>28814.47023000367</v>
      </c>
    </row>
    <row r="81" spans="1:23" x14ac:dyDescent="0.55000000000000004">
      <c r="B81" t="s">
        <v>406</v>
      </c>
      <c r="C81" s="412">
        <v>2761.8509896481692</v>
      </c>
      <c r="D81" s="412">
        <v>51550.860927358575</v>
      </c>
      <c r="E81" s="412">
        <v>375</v>
      </c>
      <c r="F81" s="412">
        <v>54687.711917006745</v>
      </c>
      <c r="N81" t="s">
        <v>404</v>
      </c>
      <c r="O81" s="412">
        <v>38376.997336818924</v>
      </c>
      <c r="P81" s="412">
        <v>4387.5</v>
      </c>
      <c r="Q81" s="412">
        <v>3255.7224618265082</v>
      </c>
      <c r="R81" s="412">
        <v>21195.342582000001</v>
      </c>
      <c r="S81" s="412">
        <v>31705.415000000001</v>
      </c>
      <c r="T81" s="412">
        <v>30858.739598248161</v>
      </c>
      <c r="U81" s="412">
        <v>31642</v>
      </c>
      <c r="V81" s="412">
        <v>14083.742304130708</v>
      </c>
      <c r="W81" s="412">
        <v>38045.348222308996</v>
      </c>
    </row>
    <row r="82" spans="1:23" x14ac:dyDescent="0.55000000000000004">
      <c r="B82" t="s">
        <v>408</v>
      </c>
      <c r="C82" s="412">
        <v>24855.8360229996</v>
      </c>
      <c r="D82" s="412">
        <v>71842.750474200948</v>
      </c>
      <c r="E82" s="412">
        <v>2118.1428571428601</v>
      </c>
      <c r="F82" s="412">
        <v>98816.729354343406</v>
      </c>
      <c r="N82" t="s">
        <v>406</v>
      </c>
      <c r="O82" s="412">
        <v>54687.711917006745</v>
      </c>
      <c r="P82" s="412">
        <v>56.25</v>
      </c>
      <c r="Q82" s="412">
        <v>13148.251538274879</v>
      </c>
      <c r="R82" s="412">
        <v>36553.722866870194</v>
      </c>
      <c r="S82" s="412">
        <v>13330.459077816013</v>
      </c>
      <c r="T82" s="412">
        <v>29821.692493323229</v>
      </c>
      <c r="U82" s="412">
        <v>13724</v>
      </c>
      <c r="V82" s="412">
        <v>50125.922177654807</v>
      </c>
      <c r="W82" s="412">
        <v>54019.678835877967</v>
      </c>
    </row>
    <row r="83" spans="1:23" x14ac:dyDescent="0.55000000000000004">
      <c r="B83" t="s">
        <v>410</v>
      </c>
      <c r="C83" s="412">
        <v>8779.0381138500288</v>
      </c>
      <c r="D83" s="412">
        <v>91961.779478924291</v>
      </c>
      <c r="E83" s="412">
        <v>5936</v>
      </c>
      <c r="F83" s="412">
        <v>106676.81759277431</v>
      </c>
      <c r="N83" t="s">
        <v>408</v>
      </c>
      <c r="O83" s="412">
        <v>98816.729354343406</v>
      </c>
      <c r="P83" s="412">
        <v>25173.557451571029</v>
      </c>
      <c r="Q83" s="412">
        <v>20759.75114122617</v>
      </c>
      <c r="R83" s="412">
        <v>41712.379105408567</v>
      </c>
      <c r="S83" s="412">
        <v>44312.210192058832</v>
      </c>
      <c r="T83" s="412">
        <v>62714.149864709252</v>
      </c>
      <c r="U83" s="412">
        <v>48230</v>
      </c>
      <c r="V83" s="412">
        <v>98085.675353666942</v>
      </c>
      <c r="W83" s="412">
        <v>79228.943838764957</v>
      </c>
    </row>
    <row r="84" spans="1:23" x14ac:dyDescent="0.55000000000000004">
      <c r="A84" t="s">
        <v>436</v>
      </c>
      <c r="C84" s="412">
        <v>2232106.1093006143</v>
      </c>
      <c r="D84" s="412">
        <v>5785768.1813361011</v>
      </c>
      <c r="E84" s="412">
        <v>1248686.7205961184</v>
      </c>
      <c r="F84" s="412">
        <v>9266561.0112328362</v>
      </c>
      <c r="N84" t="s">
        <v>410</v>
      </c>
      <c r="O84" s="412">
        <v>106676.81759277431</v>
      </c>
      <c r="P84" s="412">
        <v>1162.5</v>
      </c>
      <c r="Q84" s="412">
        <v>26172.683921265245</v>
      </c>
      <c r="R84" s="412">
        <v>59384.965054804117</v>
      </c>
      <c r="S84" s="412">
        <v>35843.111877127187</v>
      </c>
      <c r="T84" s="412">
        <v>69180.048539740048</v>
      </c>
      <c r="U84" s="412">
        <v>57876</v>
      </c>
      <c r="V84" s="412">
        <v>96427.60399987796</v>
      </c>
      <c r="W84" s="412">
        <v>106004.62771065869</v>
      </c>
    </row>
    <row r="85" spans="1:23" x14ac:dyDescent="0.55000000000000004">
      <c r="M85" t="s">
        <v>436</v>
      </c>
      <c r="O85" s="412">
        <v>9266561.0112328362</v>
      </c>
      <c r="P85" s="412">
        <v>1359005.6654804843</v>
      </c>
      <c r="Q85" s="412">
        <v>2435900.2640912929</v>
      </c>
      <c r="R85" s="412">
        <v>5250932.6034866963</v>
      </c>
      <c r="S85" s="412">
        <v>7650961.5530535243</v>
      </c>
      <c r="T85" s="412">
        <v>6269692.2333403658</v>
      </c>
      <c r="U85" s="412">
        <v>4867750</v>
      </c>
      <c r="V85" s="412">
        <v>6669355.3914749213</v>
      </c>
      <c r="W85" s="412">
        <v>6806494.779644385</v>
      </c>
    </row>
    <row r="91" spans="1:23" x14ac:dyDescent="0.55000000000000004">
      <c r="I91" s="411" t="s">
        <v>437</v>
      </c>
    </row>
    <row r="92" spans="1:23" x14ac:dyDescent="0.55000000000000004">
      <c r="A92" s="411" t="s">
        <v>437</v>
      </c>
      <c r="I92" s="411" t="s">
        <v>82</v>
      </c>
      <c r="J92" t="s">
        <v>474</v>
      </c>
      <c r="O92" s="411" t="s">
        <v>438</v>
      </c>
    </row>
    <row r="93" spans="1:23" x14ac:dyDescent="0.55000000000000004">
      <c r="A93" s="413" t="s">
        <v>75</v>
      </c>
      <c r="B93" s="2" t="s">
        <v>474</v>
      </c>
      <c r="I93" t="s">
        <v>412</v>
      </c>
      <c r="J93" s="412">
        <v>2232106.1093006143</v>
      </c>
      <c r="M93" s="411" t="s">
        <v>75</v>
      </c>
      <c r="N93" s="411" t="s">
        <v>77</v>
      </c>
      <c r="O93" t="s">
        <v>514</v>
      </c>
      <c r="P93" t="s">
        <v>439</v>
      </c>
      <c r="Q93" t="s">
        <v>440</v>
      </c>
      <c r="R93" t="s">
        <v>441</v>
      </c>
      <c r="S93" t="s">
        <v>442</v>
      </c>
      <c r="T93" t="s">
        <v>443</v>
      </c>
      <c r="U93" t="s">
        <v>444</v>
      </c>
      <c r="V93" t="s">
        <v>445</v>
      </c>
      <c r="W93" t="s">
        <v>446</v>
      </c>
    </row>
    <row r="94" spans="1:23" x14ac:dyDescent="0.55000000000000004">
      <c r="A94" t="s">
        <v>233</v>
      </c>
      <c r="B94" s="412">
        <v>109100.64650775465</v>
      </c>
      <c r="I94" t="s">
        <v>413</v>
      </c>
      <c r="J94" s="412">
        <v>5785768.1813361011</v>
      </c>
      <c r="M94" t="s">
        <v>233</v>
      </c>
      <c r="N94" t="s">
        <v>233</v>
      </c>
      <c r="O94" s="412">
        <v>76370.452555428245</v>
      </c>
      <c r="P94" s="110">
        <v>25000</v>
      </c>
      <c r="Q94" s="110">
        <v>28586.454601070433</v>
      </c>
      <c r="R94" s="110">
        <v>32866.491666405454</v>
      </c>
      <c r="S94" s="110">
        <v>53871.029315740598</v>
      </c>
      <c r="T94" s="110">
        <v>76370.452555428245</v>
      </c>
      <c r="U94" s="110">
        <v>41292</v>
      </c>
      <c r="V94" s="110">
        <v>34847.469406104181</v>
      </c>
      <c r="W94" s="110">
        <v>16835.237275412746</v>
      </c>
    </row>
    <row r="95" spans="1:23" x14ac:dyDescent="0.55000000000000004">
      <c r="A95" t="s">
        <v>236</v>
      </c>
      <c r="B95" s="412">
        <v>1101295.4459218043</v>
      </c>
      <c r="I95" t="s">
        <v>414</v>
      </c>
      <c r="J95" s="412">
        <v>1248686.7205961184</v>
      </c>
      <c r="M95" t="s">
        <v>236</v>
      </c>
      <c r="N95" t="s">
        <v>238</v>
      </c>
      <c r="O95" s="412">
        <v>0</v>
      </c>
      <c r="P95" s="110">
        <v>0</v>
      </c>
      <c r="Q95" s="110">
        <v>0</v>
      </c>
      <c r="R95" s="110">
        <v>0</v>
      </c>
      <c r="S95" s="110">
        <v>0</v>
      </c>
      <c r="T95" s="110">
        <v>0</v>
      </c>
      <c r="U95" s="110">
        <v>0</v>
      </c>
      <c r="V95" s="110">
        <v>0</v>
      </c>
      <c r="W95" s="110">
        <v>0</v>
      </c>
    </row>
    <row r="96" spans="1:23" x14ac:dyDescent="0.55000000000000004">
      <c r="A96" t="s">
        <v>250</v>
      </c>
      <c r="B96" s="412">
        <v>692886.90774193103</v>
      </c>
      <c r="I96" t="s">
        <v>436</v>
      </c>
      <c r="J96" s="412">
        <v>9266561.0112328343</v>
      </c>
      <c r="N96" t="s">
        <v>240</v>
      </c>
      <c r="O96" s="412">
        <v>0</v>
      </c>
      <c r="P96" s="110">
        <v>0</v>
      </c>
      <c r="Q96" s="110">
        <v>0</v>
      </c>
      <c r="R96" s="110">
        <v>0</v>
      </c>
      <c r="S96" s="110">
        <v>0</v>
      </c>
      <c r="T96" s="110">
        <v>0</v>
      </c>
      <c r="U96" s="110">
        <v>0</v>
      </c>
      <c r="V96" s="110">
        <v>0</v>
      </c>
      <c r="W96" s="110">
        <v>0</v>
      </c>
    </row>
    <row r="97" spans="1:23" x14ac:dyDescent="0.55000000000000004">
      <c r="A97" t="s">
        <v>268</v>
      </c>
      <c r="B97" s="412">
        <v>1597019.6653259064</v>
      </c>
      <c r="N97" t="s">
        <v>242</v>
      </c>
      <c r="O97" s="412">
        <v>0</v>
      </c>
      <c r="P97" s="110">
        <v>0</v>
      </c>
      <c r="Q97" s="110">
        <v>0</v>
      </c>
      <c r="R97" s="110">
        <v>0</v>
      </c>
      <c r="S97" s="110">
        <v>0</v>
      </c>
      <c r="T97" s="110">
        <v>0</v>
      </c>
      <c r="U97" s="110">
        <v>0</v>
      </c>
      <c r="V97" s="110">
        <v>0</v>
      </c>
      <c r="W97" s="110">
        <v>0</v>
      </c>
    </row>
    <row r="98" spans="1:23" x14ac:dyDescent="0.55000000000000004">
      <c r="A98" t="s">
        <v>292</v>
      </c>
      <c r="B98" s="412">
        <v>755472.11303681519</v>
      </c>
      <c r="N98" t="s">
        <v>244</v>
      </c>
      <c r="O98" s="412">
        <v>0</v>
      </c>
      <c r="P98" s="110">
        <v>0</v>
      </c>
      <c r="Q98" s="110">
        <v>0</v>
      </c>
      <c r="R98" s="110">
        <v>0</v>
      </c>
      <c r="S98" s="110">
        <v>0</v>
      </c>
      <c r="T98" s="110">
        <v>0</v>
      </c>
      <c r="U98" s="110">
        <v>0</v>
      </c>
      <c r="V98" s="110">
        <v>0</v>
      </c>
      <c r="W98" s="110">
        <v>0</v>
      </c>
    </row>
    <row r="99" spans="1:23" x14ac:dyDescent="0.55000000000000004">
      <c r="A99" t="s">
        <v>310</v>
      </c>
      <c r="B99" s="412">
        <v>724368.62974223797</v>
      </c>
      <c r="N99" t="s">
        <v>246</v>
      </c>
      <c r="O99" s="412">
        <v>0</v>
      </c>
      <c r="P99" s="110">
        <v>0</v>
      </c>
      <c r="Q99" s="110">
        <v>0</v>
      </c>
      <c r="R99" s="110">
        <v>0</v>
      </c>
      <c r="S99" s="110">
        <v>0</v>
      </c>
      <c r="T99" s="110">
        <v>0</v>
      </c>
      <c r="U99" s="110">
        <v>0</v>
      </c>
      <c r="V99" s="110">
        <v>0</v>
      </c>
      <c r="W99" s="110">
        <v>0</v>
      </c>
    </row>
    <row r="100" spans="1:23" x14ac:dyDescent="0.55000000000000004">
      <c r="A100" t="s">
        <v>322</v>
      </c>
      <c r="B100" s="412">
        <v>938215.73626106698</v>
      </c>
      <c r="N100" t="s">
        <v>248</v>
      </c>
      <c r="O100" s="412">
        <v>0</v>
      </c>
      <c r="P100" s="110">
        <v>0</v>
      </c>
      <c r="Q100" s="110">
        <v>0</v>
      </c>
      <c r="R100" s="110">
        <v>0</v>
      </c>
      <c r="S100" s="110">
        <v>0</v>
      </c>
      <c r="T100" s="110">
        <v>0</v>
      </c>
      <c r="U100" s="110">
        <v>0</v>
      </c>
      <c r="V100" s="110">
        <v>0</v>
      </c>
      <c r="W100" s="110">
        <v>0</v>
      </c>
    </row>
    <row r="101" spans="1:23" x14ac:dyDescent="0.55000000000000004">
      <c r="A101" t="s">
        <v>342</v>
      </c>
      <c r="B101" s="412">
        <v>1545959.9744859994</v>
      </c>
      <c r="M101" t="s">
        <v>250</v>
      </c>
      <c r="N101" t="s">
        <v>252</v>
      </c>
      <c r="O101" s="412">
        <v>0</v>
      </c>
      <c r="P101" s="110">
        <v>0</v>
      </c>
      <c r="Q101" s="110">
        <v>0</v>
      </c>
      <c r="R101" s="110">
        <v>0</v>
      </c>
      <c r="S101" s="110">
        <v>0</v>
      </c>
      <c r="T101" s="110">
        <v>0</v>
      </c>
      <c r="U101" s="110">
        <v>0</v>
      </c>
      <c r="V101" s="110">
        <v>0</v>
      </c>
      <c r="W101" s="110">
        <v>0</v>
      </c>
    </row>
    <row r="102" spans="1:23" x14ac:dyDescent="0.55000000000000004">
      <c r="A102" t="s">
        <v>368</v>
      </c>
      <c r="B102" s="412">
        <v>798457.60004843702</v>
      </c>
      <c r="N102" t="s">
        <v>254</v>
      </c>
      <c r="O102" s="412">
        <v>0</v>
      </c>
      <c r="P102" s="110">
        <v>0</v>
      </c>
      <c r="Q102" s="110">
        <v>0</v>
      </c>
      <c r="R102" s="110">
        <v>0</v>
      </c>
      <c r="S102" s="110">
        <v>0</v>
      </c>
      <c r="T102" s="110">
        <v>0</v>
      </c>
      <c r="U102" s="110">
        <v>0</v>
      </c>
      <c r="V102" s="110">
        <v>0</v>
      </c>
      <c r="W102" s="110">
        <v>0</v>
      </c>
    </row>
    <row r="103" spans="1:23" x14ac:dyDescent="0.55000000000000004">
      <c r="A103" t="s">
        <v>382</v>
      </c>
      <c r="B103" s="412">
        <v>378207.44368358469</v>
      </c>
      <c r="N103" t="s">
        <v>256</v>
      </c>
      <c r="O103" s="412">
        <v>79362.006757069437</v>
      </c>
      <c r="P103" s="110">
        <v>0</v>
      </c>
      <c r="Q103" s="110">
        <v>10261.008141970793</v>
      </c>
      <c r="R103" s="110">
        <v>40661.581233600547</v>
      </c>
      <c r="S103" s="110">
        <v>57287.31086630615</v>
      </c>
      <c r="T103" s="110">
        <v>38455.730520568934</v>
      </c>
      <c r="U103" s="110">
        <v>28920.999999999996</v>
      </c>
      <c r="V103" s="110">
        <v>0</v>
      </c>
      <c r="W103" s="110">
        <v>79362.006757069437</v>
      </c>
    </row>
    <row r="104" spans="1:23" x14ac:dyDescent="0.55000000000000004">
      <c r="A104" t="s">
        <v>390</v>
      </c>
      <c r="B104" s="412">
        <v>625576.84847729793</v>
      </c>
      <c r="N104" t="s">
        <v>258</v>
      </c>
      <c r="O104" s="412">
        <v>28389.855246486957</v>
      </c>
      <c r="P104" s="110">
        <v>0</v>
      </c>
      <c r="Q104" s="110">
        <v>5364.7474005466438</v>
      </c>
      <c r="R104" s="110">
        <v>28126.397548885809</v>
      </c>
      <c r="S104" s="110">
        <v>26057.760763399645</v>
      </c>
      <c r="T104" s="110">
        <v>16132.192019749675</v>
      </c>
      <c r="U104" s="110">
        <v>8014.0000000000009</v>
      </c>
      <c r="V104" s="110">
        <v>0</v>
      </c>
      <c r="W104" s="110">
        <v>15108.280302392412</v>
      </c>
    </row>
    <row r="105" spans="1:23" x14ac:dyDescent="0.55000000000000004">
      <c r="A105" t="s">
        <v>436</v>
      </c>
      <c r="B105" s="412">
        <v>9266561.0112328343</v>
      </c>
      <c r="N105" t="s">
        <v>260</v>
      </c>
      <c r="O105" s="412">
        <v>41720.362051011689</v>
      </c>
      <c r="P105" s="110">
        <v>0</v>
      </c>
      <c r="Q105" s="110">
        <v>2839.0879224454957</v>
      </c>
      <c r="R105" s="110">
        <v>21543.5933154743</v>
      </c>
      <c r="S105" s="110">
        <v>10599.959651345916</v>
      </c>
      <c r="T105" s="110">
        <v>20488.662977275351</v>
      </c>
      <c r="U105" s="110">
        <v>5926</v>
      </c>
      <c r="V105" s="110">
        <v>0</v>
      </c>
      <c r="W105" s="110">
        <v>41720.362051011689</v>
      </c>
    </row>
    <row r="106" spans="1:23" x14ac:dyDescent="0.55000000000000004">
      <c r="N106" t="s">
        <v>262</v>
      </c>
      <c r="O106" s="412">
        <v>28425.10917057042</v>
      </c>
      <c r="P106" s="110">
        <v>5705</v>
      </c>
      <c r="Q106" s="110">
        <v>931.77189805676937</v>
      </c>
      <c r="R106" s="110">
        <v>25781.081432069859</v>
      </c>
      <c r="S106" s="110">
        <v>26071.502939511818</v>
      </c>
      <c r="T106" s="110">
        <v>19436.622442106091</v>
      </c>
      <c r="U106" s="110">
        <v>9546.9999999999982</v>
      </c>
      <c r="V106" s="110">
        <v>0</v>
      </c>
      <c r="W106" s="110">
        <v>3697.5933017794869</v>
      </c>
    </row>
    <row r="107" spans="1:23" x14ac:dyDescent="0.55000000000000004">
      <c r="N107" t="s">
        <v>264</v>
      </c>
      <c r="O107" s="412">
        <v>0</v>
      </c>
      <c r="P107" s="110">
        <v>0</v>
      </c>
      <c r="Q107" s="110">
        <v>0</v>
      </c>
      <c r="R107" s="110">
        <v>0</v>
      </c>
      <c r="S107" s="110">
        <v>0</v>
      </c>
      <c r="T107" s="110">
        <v>0</v>
      </c>
      <c r="U107" s="110">
        <v>0</v>
      </c>
      <c r="V107" s="110">
        <v>0</v>
      </c>
      <c r="W107" s="110">
        <v>0</v>
      </c>
    </row>
    <row r="108" spans="1:23" x14ac:dyDescent="0.55000000000000004">
      <c r="E108" s="411" t="s">
        <v>513</v>
      </c>
      <c r="F108" t="s">
        <v>514</v>
      </c>
      <c r="N108" t="s">
        <v>266</v>
      </c>
      <c r="O108" s="412">
        <v>0</v>
      </c>
      <c r="P108" s="110">
        <v>0</v>
      </c>
      <c r="Q108" s="110">
        <v>0</v>
      </c>
      <c r="R108" s="110">
        <v>0</v>
      </c>
      <c r="S108" s="110">
        <v>0</v>
      </c>
      <c r="T108" s="110">
        <v>0</v>
      </c>
      <c r="U108" s="110">
        <v>0</v>
      </c>
      <c r="V108" s="110">
        <v>0</v>
      </c>
      <c r="W108" s="110">
        <v>0</v>
      </c>
    </row>
    <row r="109" spans="1:23" x14ac:dyDescent="0.55000000000000004">
      <c r="A109" s="411" t="s">
        <v>513</v>
      </c>
      <c r="B109" t="s">
        <v>514</v>
      </c>
      <c r="E109" s="560" t="s">
        <v>412</v>
      </c>
      <c r="F109" s="412">
        <v>1119265.9023182744</v>
      </c>
      <c r="G109" s="19">
        <f>GETPIVOTDATA("Final Target",$E$108,"Population Group","IDPs")/GETPIVOTDATA("Final Target",$E$108)</f>
        <v>0.30612763546298877</v>
      </c>
      <c r="M109" t="s">
        <v>268</v>
      </c>
      <c r="N109" t="s">
        <v>270</v>
      </c>
      <c r="O109" s="412">
        <v>112167.40300988813</v>
      </c>
      <c r="P109" s="110">
        <v>40810</v>
      </c>
      <c r="Q109" s="110">
        <v>19059.412983555671</v>
      </c>
      <c r="R109" s="110">
        <v>63856.86635138483</v>
      </c>
      <c r="S109" s="110">
        <v>96920.450663101714</v>
      </c>
      <c r="T109" s="110">
        <v>96066.535822725054</v>
      </c>
      <c r="U109" s="110">
        <v>60839</v>
      </c>
      <c r="V109" s="110">
        <v>23711.819453774107</v>
      </c>
      <c r="W109" s="110">
        <v>34156.431893241235</v>
      </c>
    </row>
    <row r="110" spans="1:23" x14ac:dyDescent="0.55000000000000004">
      <c r="A110" s="560" t="s">
        <v>233</v>
      </c>
      <c r="B110" s="412">
        <v>76370.452555428245</v>
      </c>
      <c r="E110" s="560" t="s">
        <v>413</v>
      </c>
      <c r="F110" s="412">
        <v>1943422.0172538299</v>
      </c>
      <c r="G110" s="19">
        <f>GETPIVOTDATA("Final Target",$E$108,"Population Group","Residents")/GETPIVOTDATA("Final Target",$E$108)</f>
        <v>0.53154052635425586</v>
      </c>
      <c r="N110" t="s">
        <v>272</v>
      </c>
      <c r="O110" s="412">
        <v>116337.59441988808</v>
      </c>
      <c r="P110" s="110">
        <v>0</v>
      </c>
      <c r="Q110" s="110">
        <v>10927.641827316565</v>
      </c>
      <c r="R110" s="110">
        <v>36639.010463654522</v>
      </c>
      <c r="S110" s="110">
        <v>72109.103956261679</v>
      </c>
      <c r="T110" s="110">
        <v>67907.913571843252</v>
      </c>
      <c r="U110" s="110">
        <v>35451</v>
      </c>
      <c r="V110" s="110">
        <v>12990.770859497643</v>
      </c>
      <c r="W110" s="110">
        <v>116337.59441988808</v>
      </c>
    </row>
    <row r="111" spans="1:23" x14ac:dyDescent="0.55000000000000004">
      <c r="A111" s="560" t="s">
        <v>236</v>
      </c>
      <c r="B111" s="412">
        <v>0</v>
      </c>
      <c r="E111" s="560" t="s">
        <v>414</v>
      </c>
      <c r="F111" s="412">
        <v>593518.74934065761</v>
      </c>
      <c r="G111" s="19">
        <f>GETPIVOTDATA("Final Target",$E$108,"Population Group","Returnees")/GETPIVOTDATA("Final Target",$E$108)</f>
        <v>0.1623318381827554</v>
      </c>
      <c r="N111" t="s">
        <v>274</v>
      </c>
      <c r="O111" s="412">
        <v>0</v>
      </c>
      <c r="P111" s="110">
        <v>0</v>
      </c>
      <c r="Q111" s="110">
        <v>0</v>
      </c>
      <c r="R111" s="110">
        <v>0</v>
      </c>
      <c r="S111" s="110">
        <v>0</v>
      </c>
      <c r="T111" s="110">
        <v>0</v>
      </c>
      <c r="U111" s="110">
        <v>0</v>
      </c>
      <c r="V111" s="110">
        <v>0</v>
      </c>
      <c r="W111" s="110">
        <v>0</v>
      </c>
    </row>
    <row r="112" spans="1:23" x14ac:dyDescent="0.55000000000000004">
      <c r="A112" s="560" t="s">
        <v>250</v>
      </c>
      <c r="B112" s="412">
        <v>177897.33322513851</v>
      </c>
      <c r="E112" s="560" t="s">
        <v>436</v>
      </c>
      <c r="F112" s="412">
        <v>3656206.6689127618</v>
      </c>
      <c r="N112" t="s">
        <v>276</v>
      </c>
      <c r="O112" s="412">
        <v>95060.282703017539</v>
      </c>
      <c r="P112" s="110">
        <v>2352</v>
      </c>
      <c r="Q112" s="110">
        <v>12807.789578711037</v>
      </c>
      <c r="R112" s="110">
        <v>24480.251668077261</v>
      </c>
      <c r="S112" s="110">
        <v>52944.321714869468</v>
      </c>
      <c r="T112" s="110">
        <v>68294.164262992475</v>
      </c>
      <c r="U112" s="110">
        <v>36386</v>
      </c>
      <c r="V112" s="110">
        <v>30656.243463930765</v>
      </c>
      <c r="W112" s="110">
        <v>95060.282703017539</v>
      </c>
    </row>
    <row r="113" spans="1:23" x14ac:dyDescent="0.55000000000000004">
      <c r="A113" s="560" t="s">
        <v>268</v>
      </c>
      <c r="B113" s="412">
        <v>943174.76029127196</v>
      </c>
      <c r="N113" t="s">
        <v>278</v>
      </c>
      <c r="O113" s="412">
        <v>109092.92627520308</v>
      </c>
      <c r="P113" s="110">
        <v>0</v>
      </c>
      <c r="Q113" s="110">
        <v>12129.372972076317</v>
      </c>
      <c r="R113" s="110">
        <v>45948.372750890689</v>
      </c>
      <c r="S113" s="110">
        <v>73726.02567640708</v>
      </c>
      <c r="T113" s="110">
        <v>109092.92627520308</v>
      </c>
      <c r="U113" s="110">
        <v>49210.000000000007</v>
      </c>
      <c r="V113" s="110">
        <v>40222.954538058009</v>
      </c>
      <c r="W113" s="110">
        <v>22310.33358650592</v>
      </c>
    </row>
    <row r="114" spans="1:23" x14ac:dyDescent="0.55000000000000004">
      <c r="A114" s="560" t="s">
        <v>292</v>
      </c>
      <c r="B114" s="412">
        <v>75835.660823847036</v>
      </c>
      <c r="N114" t="s">
        <v>280</v>
      </c>
      <c r="O114" s="412">
        <v>122945.47645289435</v>
      </c>
      <c r="P114" s="110">
        <v>42741</v>
      </c>
      <c r="Q114" s="110">
        <v>62263.69481135525</v>
      </c>
      <c r="R114" s="110">
        <v>42363.308426049931</v>
      </c>
      <c r="S114" s="110">
        <v>111902.95024963173</v>
      </c>
      <c r="T114" s="110">
        <v>122945.47645289435</v>
      </c>
      <c r="U114" s="110">
        <v>77594</v>
      </c>
      <c r="V114" s="110">
        <v>48319.892120144519</v>
      </c>
      <c r="W114" s="110">
        <v>121512.64551446213</v>
      </c>
    </row>
    <row r="115" spans="1:23" x14ac:dyDescent="0.55000000000000004">
      <c r="A115" s="560" t="s">
        <v>310</v>
      </c>
      <c r="B115" s="412">
        <v>333454.95088742406</v>
      </c>
      <c r="N115" t="s">
        <v>282</v>
      </c>
      <c r="O115" s="412">
        <v>83314.341557450127</v>
      </c>
      <c r="P115" s="110">
        <v>7474</v>
      </c>
      <c r="Q115" s="110">
        <v>16041.798436981382</v>
      </c>
      <c r="R115" s="110">
        <v>36331.489312284859</v>
      </c>
      <c r="S115" s="110">
        <v>58132.080418184516</v>
      </c>
      <c r="T115" s="110">
        <v>83314.341557450127</v>
      </c>
      <c r="U115" s="110">
        <v>29194</v>
      </c>
      <c r="V115" s="110">
        <v>26018.590464860739</v>
      </c>
      <c r="W115" s="110">
        <v>49149.895717020765</v>
      </c>
    </row>
    <row r="116" spans="1:23" x14ac:dyDescent="0.55000000000000004">
      <c r="A116" s="560" t="s">
        <v>322</v>
      </c>
      <c r="B116" s="412">
        <v>583149.56395687221</v>
      </c>
      <c r="N116" t="s">
        <v>284</v>
      </c>
      <c r="O116" s="412">
        <v>129413.76411797802</v>
      </c>
      <c r="P116" s="110">
        <v>3188</v>
      </c>
      <c r="Q116" s="110">
        <v>27168.986945227458</v>
      </c>
      <c r="R116" s="110">
        <v>67572.314045124687</v>
      </c>
      <c r="S116" s="110">
        <v>95962.353376272353</v>
      </c>
      <c r="T116" s="110">
        <v>108081.77114635501</v>
      </c>
      <c r="U116" s="110">
        <v>42321</v>
      </c>
      <c r="V116" s="110">
        <v>17556.125719602776</v>
      </c>
      <c r="W116" s="110">
        <v>129413.76411797802</v>
      </c>
    </row>
    <row r="117" spans="1:23" x14ac:dyDescent="0.55000000000000004">
      <c r="A117" s="560" t="s">
        <v>342</v>
      </c>
      <c r="B117" s="412">
        <v>966418.14654934127</v>
      </c>
      <c r="F117">
        <v>0.6</v>
      </c>
      <c r="N117" t="s">
        <v>286</v>
      </c>
      <c r="O117" s="412">
        <v>23208.154705872985</v>
      </c>
      <c r="P117" s="110">
        <v>0</v>
      </c>
      <c r="Q117" s="110">
        <v>1238.6539168556544</v>
      </c>
      <c r="R117" s="110">
        <v>12493.06901220452</v>
      </c>
      <c r="S117" s="110">
        <v>12711.767787245764</v>
      </c>
      <c r="T117" s="110">
        <v>19651.329363001365</v>
      </c>
      <c r="U117" s="110">
        <v>6385.0000000000009</v>
      </c>
      <c r="V117" s="110">
        <v>9280.0214014255725</v>
      </c>
      <c r="W117" s="110">
        <v>40.686510362925688</v>
      </c>
    </row>
    <row r="118" spans="1:23" x14ac:dyDescent="0.55000000000000004">
      <c r="A118" s="560" t="s">
        <v>368</v>
      </c>
      <c r="B118" s="412">
        <v>364077.12454868207</v>
      </c>
      <c r="F118">
        <v>0.64</v>
      </c>
      <c r="N118" t="s">
        <v>288</v>
      </c>
      <c r="O118" s="412">
        <v>56108.016051008046</v>
      </c>
      <c r="P118" s="110">
        <v>0</v>
      </c>
      <c r="Q118" s="110">
        <v>15984.734869216962</v>
      </c>
      <c r="R118" s="110">
        <v>29076.466063593522</v>
      </c>
      <c r="S118" s="110">
        <v>46119.936796477916</v>
      </c>
      <c r="T118" s="110">
        <v>54476.135712922791</v>
      </c>
      <c r="U118" s="110">
        <v>26193</v>
      </c>
      <c r="V118" s="110">
        <v>15724.187500778327</v>
      </c>
      <c r="W118" s="110">
        <v>36192.342122720074</v>
      </c>
    </row>
    <row r="119" spans="1:23" x14ac:dyDescent="0.55000000000000004">
      <c r="A119" s="560" t="s">
        <v>382</v>
      </c>
      <c r="B119" s="412">
        <v>17998.325265195625</v>
      </c>
      <c r="F119">
        <v>1.2</v>
      </c>
      <c r="N119" t="s">
        <v>290</v>
      </c>
      <c r="O119" s="412">
        <v>95526.800998071456</v>
      </c>
      <c r="P119" s="110">
        <v>3000</v>
      </c>
      <c r="Q119" s="110">
        <v>16953.717393389943</v>
      </c>
      <c r="R119" s="110">
        <v>64325.566355187715</v>
      </c>
      <c r="S119" s="110">
        <v>80009.802735335208</v>
      </c>
      <c r="T119" s="110">
        <v>55769.78881100822</v>
      </c>
      <c r="U119" s="110">
        <v>29363.000000000004</v>
      </c>
      <c r="V119" s="110">
        <v>12528.594151018789</v>
      </c>
      <c r="W119" s="110">
        <v>95526.800998071456</v>
      </c>
    </row>
    <row r="120" spans="1:23" x14ac:dyDescent="0.55000000000000004">
      <c r="A120" s="560" t="s">
        <v>390</v>
      </c>
      <c r="B120" s="412">
        <v>117830.35080956022</v>
      </c>
      <c r="F120">
        <v>1.9</v>
      </c>
      <c r="M120" t="s">
        <v>292</v>
      </c>
      <c r="N120" t="s">
        <v>294</v>
      </c>
      <c r="O120" s="412">
        <v>31414.810727892342</v>
      </c>
      <c r="P120" s="110">
        <v>11037</v>
      </c>
      <c r="Q120" s="110">
        <v>7787.2160565866743</v>
      </c>
      <c r="R120" s="110">
        <v>26173.744650912318</v>
      </c>
      <c r="S120" s="110">
        <v>23164.768579680222</v>
      </c>
      <c r="T120" s="110">
        <v>21509.151144576797</v>
      </c>
      <c r="U120" s="110">
        <v>4569</v>
      </c>
      <c r="V120" s="110">
        <v>9725.2620070769281</v>
      </c>
      <c r="W120" s="110">
        <v>31414.810727892342</v>
      </c>
    </row>
    <row r="121" spans="1:23" x14ac:dyDescent="0.55000000000000004">
      <c r="A121" s="560" t="s">
        <v>436</v>
      </c>
      <c r="B121" s="412">
        <v>3656206.6689127609</v>
      </c>
      <c r="F121">
        <f>SUM(F117:F120)</f>
        <v>4.34</v>
      </c>
      <c r="N121" t="s">
        <v>296</v>
      </c>
      <c r="O121" s="412">
        <v>0</v>
      </c>
      <c r="P121" s="110">
        <v>0</v>
      </c>
      <c r="Q121" s="110">
        <v>0</v>
      </c>
      <c r="R121" s="110">
        <v>0</v>
      </c>
      <c r="S121" s="110">
        <v>0</v>
      </c>
      <c r="T121" s="110">
        <v>0</v>
      </c>
      <c r="U121" s="110">
        <v>0</v>
      </c>
      <c r="V121" s="110">
        <v>0</v>
      </c>
      <c r="W121" s="110">
        <v>0</v>
      </c>
    </row>
    <row r="122" spans="1:23" x14ac:dyDescent="0.55000000000000004">
      <c r="N122" t="s">
        <v>298</v>
      </c>
      <c r="O122" s="412">
        <v>0</v>
      </c>
      <c r="P122" s="110">
        <v>0</v>
      </c>
      <c r="Q122" s="110">
        <v>0</v>
      </c>
      <c r="R122" s="110">
        <v>0</v>
      </c>
      <c r="S122" s="110">
        <v>0</v>
      </c>
      <c r="T122" s="110">
        <v>0</v>
      </c>
      <c r="U122" s="110">
        <v>0</v>
      </c>
      <c r="V122" s="110">
        <v>0</v>
      </c>
      <c r="W122" s="110">
        <v>0</v>
      </c>
    </row>
    <row r="123" spans="1:23" x14ac:dyDescent="0.55000000000000004">
      <c r="N123" t="s">
        <v>300</v>
      </c>
      <c r="O123" s="412">
        <v>0</v>
      </c>
      <c r="P123" s="110">
        <v>0</v>
      </c>
      <c r="Q123" s="110">
        <v>0</v>
      </c>
      <c r="R123" s="110">
        <v>0</v>
      </c>
      <c r="S123" s="110">
        <v>0</v>
      </c>
      <c r="T123" s="110">
        <v>0</v>
      </c>
      <c r="U123" s="110">
        <v>0</v>
      </c>
      <c r="V123" s="110">
        <v>0</v>
      </c>
      <c r="W123" s="110">
        <v>0</v>
      </c>
    </row>
    <row r="124" spans="1:23" x14ac:dyDescent="0.55000000000000004">
      <c r="A124" s="411" t="s">
        <v>513</v>
      </c>
      <c r="B124" t="s">
        <v>514</v>
      </c>
      <c r="N124" t="s">
        <v>302</v>
      </c>
      <c r="O124" s="412">
        <v>15720.675547155803</v>
      </c>
      <c r="P124" s="110">
        <v>0</v>
      </c>
      <c r="Q124" s="110">
        <v>2875.7632965477551</v>
      </c>
      <c r="R124" s="110">
        <v>10335.052136997814</v>
      </c>
      <c r="S124" s="110">
        <v>12994.826829153064</v>
      </c>
      <c r="T124" s="110">
        <v>15720.675547155803</v>
      </c>
      <c r="U124" s="110">
        <v>3562.0000000000005</v>
      </c>
      <c r="V124" s="110">
        <v>0</v>
      </c>
      <c r="W124" s="110">
        <v>757.38907211884714</v>
      </c>
    </row>
    <row r="125" spans="1:23" x14ac:dyDescent="0.55000000000000004">
      <c r="A125" s="560" t="s">
        <v>233</v>
      </c>
      <c r="B125" s="110">
        <v>76370.452555428245</v>
      </c>
      <c r="N125" t="s">
        <v>304</v>
      </c>
      <c r="O125" s="412">
        <v>0</v>
      </c>
      <c r="P125" s="110">
        <v>0</v>
      </c>
      <c r="Q125" s="110">
        <v>0</v>
      </c>
      <c r="R125" s="110">
        <v>0</v>
      </c>
      <c r="S125" s="110">
        <v>0</v>
      </c>
      <c r="T125" s="110">
        <v>0</v>
      </c>
      <c r="U125" s="110">
        <v>0</v>
      </c>
      <c r="V125" s="110">
        <v>0</v>
      </c>
      <c r="W125" s="110">
        <v>0</v>
      </c>
    </row>
    <row r="126" spans="1:23" x14ac:dyDescent="0.55000000000000004">
      <c r="A126" s="560" t="s">
        <v>236</v>
      </c>
      <c r="B126" s="110">
        <v>0</v>
      </c>
      <c r="N126" t="s">
        <v>306</v>
      </c>
      <c r="O126" s="412">
        <v>28700.174548798881</v>
      </c>
      <c r="P126" s="110">
        <v>0</v>
      </c>
      <c r="Q126" s="110">
        <v>2939.6055955353704</v>
      </c>
      <c r="R126" s="110">
        <v>23149.713428936833</v>
      </c>
      <c r="S126" s="110">
        <v>28700.174548798881</v>
      </c>
      <c r="T126" s="110">
        <v>18433.505327952957</v>
      </c>
      <c r="U126" s="110">
        <v>7869</v>
      </c>
      <c r="V126" s="110">
        <v>0</v>
      </c>
      <c r="W126" s="110">
        <v>19415.709743071297</v>
      </c>
    </row>
    <row r="127" spans="1:23" x14ac:dyDescent="0.55000000000000004">
      <c r="A127" s="560" t="s">
        <v>250</v>
      </c>
      <c r="B127" s="110">
        <v>79362.006757069437</v>
      </c>
      <c r="N127" t="s">
        <v>308</v>
      </c>
      <c r="O127" s="412">
        <v>0</v>
      </c>
      <c r="P127" s="110">
        <v>0</v>
      </c>
      <c r="Q127" s="110">
        <v>0</v>
      </c>
      <c r="R127" s="110">
        <v>0</v>
      </c>
      <c r="S127" s="110">
        <v>0</v>
      </c>
      <c r="T127" s="110">
        <v>0</v>
      </c>
      <c r="U127" s="110">
        <v>0</v>
      </c>
      <c r="V127" s="110">
        <v>0</v>
      </c>
      <c r="W127" s="110">
        <v>0</v>
      </c>
    </row>
    <row r="128" spans="1:23" x14ac:dyDescent="0.55000000000000004">
      <c r="A128" s="560" t="s">
        <v>268</v>
      </c>
      <c r="B128" s="110">
        <v>944348.72683398938</v>
      </c>
      <c r="M128" t="s">
        <v>310</v>
      </c>
      <c r="N128" t="s">
        <v>312</v>
      </c>
      <c r="O128" s="412">
        <v>0</v>
      </c>
      <c r="P128" s="110">
        <v>0</v>
      </c>
      <c r="Q128" s="110">
        <v>0</v>
      </c>
      <c r="R128" s="110">
        <v>0</v>
      </c>
      <c r="S128" s="110">
        <v>0</v>
      </c>
      <c r="T128" s="110">
        <v>0</v>
      </c>
      <c r="U128" s="110">
        <v>0</v>
      </c>
      <c r="V128" s="110">
        <v>0</v>
      </c>
      <c r="W128" s="110">
        <v>0</v>
      </c>
    </row>
    <row r="129" spans="1:23" x14ac:dyDescent="0.55000000000000004">
      <c r="A129" s="560" t="s">
        <v>292</v>
      </c>
      <c r="B129" s="110">
        <v>0</v>
      </c>
      <c r="N129" t="s">
        <v>314</v>
      </c>
      <c r="O129" s="412">
        <v>156501.023632361</v>
      </c>
      <c r="P129" s="110">
        <v>32133</v>
      </c>
      <c r="Q129" s="110">
        <v>75073.910242404338</v>
      </c>
      <c r="R129" s="110">
        <v>91563.316778373497</v>
      </c>
      <c r="S129" s="110">
        <v>155679.83843128249</v>
      </c>
      <c r="T129" s="110">
        <v>134220.57237346232</v>
      </c>
      <c r="U129" s="110">
        <v>78416</v>
      </c>
      <c r="V129" s="110">
        <v>63602.782538683357</v>
      </c>
      <c r="W129" s="110">
        <v>37955.247503851242</v>
      </c>
    </row>
    <row r="130" spans="1:23" x14ac:dyDescent="0.55000000000000004">
      <c r="A130" s="560" t="s">
        <v>310</v>
      </c>
      <c r="B130" s="110">
        <v>324782.11426546064</v>
      </c>
      <c r="N130" t="s">
        <v>316</v>
      </c>
      <c r="O130" s="412">
        <v>80557.063480570258</v>
      </c>
      <c r="P130" s="110">
        <v>0</v>
      </c>
      <c r="Q130" s="110">
        <v>13888.968238753016</v>
      </c>
      <c r="R130" s="110">
        <v>73219.412711691708</v>
      </c>
      <c r="S130" s="110">
        <v>69209.554072700179</v>
      </c>
      <c r="T130" s="110">
        <v>70838.341049182956</v>
      </c>
      <c r="U130" s="110">
        <v>43220</v>
      </c>
      <c r="V130" s="110">
        <v>23653.369695372661</v>
      </c>
      <c r="W130" s="110">
        <v>6970.153294704468</v>
      </c>
    </row>
    <row r="131" spans="1:23" x14ac:dyDescent="0.55000000000000004">
      <c r="A131" s="560" t="s">
        <v>322</v>
      </c>
      <c r="B131" s="110">
        <v>518443.44031779625</v>
      </c>
      <c r="N131" t="s">
        <v>318</v>
      </c>
      <c r="O131" s="412">
        <v>54949.948256062409</v>
      </c>
      <c r="P131" s="110">
        <v>0</v>
      </c>
      <c r="Q131" s="110">
        <v>5421.4692549986394</v>
      </c>
      <c r="R131" s="110">
        <v>43079.315109927418</v>
      </c>
      <c r="S131" s="110">
        <v>52273.372487741806</v>
      </c>
      <c r="T131" s="110">
        <v>40571.298888689882</v>
      </c>
      <c r="U131" s="110">
        <v>19745</v>
      </c>
      <c r="V131" s="110">
        <v>9280.0214014255725</v>
      </c>
      <c r="W131" s="110">
        <v>28795.304379898844</v>
      </c>
    </row>
    <row r="132" spans="1:23" x14ac:dyDescent="0.55000000000000004">
      <c r="A132" s="560" t="s">
        <v>342</v>
      </c>
      <c r="B132" s="110">
        <v>938925.87179055135</v>
      </c>
      <c r="N132" t="s">
        <v>320</v>
      </c>
      <c r="O132" s="412">
        <v>41446.915518430375</v>
      </c>
      <c r="P132" s="110">
        <v>0</v>
      </c>
      <c r="Q132" s="110">
        <v>4031.6479497511446</v>
      </c>
      <c r="R132" s="110">
        <v>40478.763525577757</v>
      </c>
      <c r="S132" s="110">
        <v>34345.52335318087</v>
      </c>
      <c r="T132" s="110">
        <v>27717.949743555269</v>
      </c>
      <c r="U132" s="110">
        <v>11472</v>
      </c>
      <c r="V132" s="110">
        <v>9280.0214014255725</v>
      </c>
      <c r="W132" s="110">
        <v>7402.4604175116483</v>
      </c>
    </row>
    <row r="133" spans="1:23" x14ac:dyDescent="0.55000000000000004">
      <c r="A133" s="560" t="s">
        <v>368</v>
      </c>
      <c r="B133" s="110">
        <v>229881.49297520219</v>
      </c>
      <c r="M133" t="s">
        <v>322</v>
      </c>
      <c r="N133" t="s">
        <v>324</v>
      </c>
      <c r="O133" s="412">
        <v>0</v>
      </c>
      <c r="P133" s="110">
        <v>0</v>
      </c>
      <c r="Q133" s="110">
        <v>0</v>
      </c>
      <c r="R133" s="110">
        <v>0</v>
      </c>
      <c r="S133" s="110">
        <v>0</v>
      </c>
      <c r="T133" s="110">
        <v>0</v>
      </c>
      <c r="U133" s="110">
        <v>0</v>
      </c>
      <c r="V133" s="110">
        <v>0</v>
      </c>
      <c r="W133" s="110">
        <v>0</v>
      </c>
    </row>
    <row r="134" spans="1:23" x14ac:dyDescent="0.55000000000000004">
      <c r="A134" s="560" t="s">
        <v>382</v>
      </c>
      <c r="B134" s="110">
        <v>0</v>
      </c>
      <c r="N134" t="s">
        <v>326</v>
      </c>
      <c r="O134" s="412">
        <v>20252.370367495067</v>
      </c>
      <c r="P134" s="110">
        <v>10017</v>
      </c>
      <c r="Q134" s="110">
        <v>2423.770125081684</v>
      </c>
      <c r="R134" s="110">
        <v>14814.843623212702</v>
      </c>
      <c r="S134" s="110">
        <v>14629.432475730562</v>
      </c>
      <c r="T134" s="110">
        <v>11645.681619696499</v>
      </c>
      <c r="U134" s="110">
        <v>5007</v>
      </c>
      <c r="V134" s="110">
        <v>9280.0214014255725</v>
      </c>
      <c r="W134" s="110">
        <v>5363.5100849420678</v>
      </c>
    </row>
    <row r="135" spans="1:23" x14ac:dyDescent="0.55000000000000004">
      <c r="A135" s="560" t="s">
        <v>390</v>
      </c>
      <c r="B135" s="110">
        <v>87094.56798424109</v>
      </c>
      <c r="N135" t="s">
        <v>328</v>
      </c>
      <c r="O135" s="412">
        <v>22429.318666556188</v>
      </c>
      <c r="P135" s="110">
        <v>0</v>
      </c>
      <c r="Q135" s="110">
        <v>3652.789228941393</v>
      </c>
      <c r="R135" s="110">
        <v>22268.536650223483</v>
      </c>
      <c r="S135" s="110">
        <v>19285.997329476668</v>
      </c>
      <c r="T135" s="110">
        <v>16323.260272556137</v>
      </c>
      <c r="U135" s="110">
        <v>6954</v>
      </c>
      <c r="V135" s="110">
        <v>0</v>
      </c>
      <c r="W135" s="110">
        <v>10519.365499172191</v>
      </c>
    </row>
    <row r="136" spans="1:23" x14ac:dyDescent="0.55000000000000004">
      <c r="A136" s="560" t="s">
        <v>436</v>
      </c>
      <c r="B136" s="110">
        <v>3199208.6734797386</v>
      </c>
      <c r="N136" t="s">
        <v>330</v>
      </c>
      <c r="O136" s="412">
        <v>38673.319322190262</v>
      </c>
      <c r="P136" s="110">
        <v>20529</v>
      </c>
      <c r="Q136" s="110">
        <v>5949.735695940245</v>
      </c>
      <c r="R136" s="110">
        <v>16176.214898608734</v>
      </c>
      <c r="S136" s="110">
        <v>30943.231906249308</v>
      </c>
      <c r="T136" s="110">
        <v>38673.319322190262</v>
      </c>
      <c r="U136" s="110">
        <v>19600</v>
      </c>
      <c r="V136" s="110">
        <v>19510.379649966009</v>
      </c>
      <c r="W136" s="110">
        <v>8418.5762936643623</v>
      </c>
    </row>
    <row r="137" spans="1:23" x14ac:dyDescent="0.55000000000000004">
      <c r="N137" t="s">
        <v>332</v>
      </c>
      <c r="O137" s="412">
        <v>28647.418694243723</v>
      </c>
      <c r="P137" s="110">
        <v>13215</v>
      </c>
      <c r="Q137" s="110">
        <v>3186.4782964228953</v>
      </c>
      <c r="R137" s="110">
        <v>18329.563493145608</v>
      </c>
      <c r="S137" s="110">
        <v>27449.013536397506</v>
      </c>
      <c r="T137" s="110">
        <v>28573.703778458788</v>
      </c>
      <c r="U137" s="110">
        <v>15407.000000000002</v>
      </c>
      <c r="V137" s="110">
        <v>15092.367367198318</v>
      </c>
      <c r="W137" s="110">
        <v>6363.1185667879981</v>
      </c>
    </row>
    <row r="138" spans="1:23" x14ac:dyDescent="0.55000000000000004">
      <c r="N138" t="s">
        <v>334</v>
      </c>
      <c r="O138" s="412">
        <v>37527.066943151774</v>
      </c>
      <c r="P138" s="110">
        <v>0</v>
      </c>
      <c r="Q138" s="110">
        <v>6827.0691470261299</v>
      </c>
      <c r="R138" s="110">
        <v>36188.056162334833</v>
      </c>
      <c r="S138" s="110">
        <v>26354.247259518168</v>
      </c>
      <c r="T138" s="110">
        <v>27651.176958303487</v>
      </c>
      <c r="U138" s="110">
        <v>9996</v>
      </c>
      <c r="V138" s="110">
        <v>9280.0214014255725</v>
      </c>
      <c r="W138" s="110">
        <v>8222.5392503260082</v>
      </c>
    </row>
    <row r="139" spans="1:23" x14ac:dyDescent="0.55000000000000004">
      <c r="N139" t="s">
        <v>336</v>
      </c>
      <c r="O139" s="412">
        <v>66846.558201903477</v>
      </c>
      <c r="P139" s="110">
        <v>30802</v>
      </c>
      <c r="Q139" s="110">
        <v>17448.427112697205</v>
      </c>
      <c r="R139" s="110">
        <v>28189.676409651198</v>
      </c>
      <c r="S139" s="110">
        <v>46142.301104390237</v>
      </c>
      <c r="T139" s="110">
        <v>65730.189271796684</v>
      </c>
      <c r="U139" s="110">
        <v>26503.999999999996</v>
      </c>
      <c r="V139" s="110">
        <v>25983.170349861222</v>
      </c>
      <c r="W139" s="110">
        <v>29439.395910824944</v>
      </c>
    </row>
    <row r="140" spans="1:23" x14ac:dyDescent="0.55000000000000004">
      <c r="N140" t="s">
        <v>338</v>
      </c>
      <c r="O140" s="412">
        <v>70175.806444688147</v>
      </c>
      <c r="P140" s="110">
        <v>0</v>
      </c>
      <c r="Q140" s="110">
        <v>3273.7915414622598</v>
      </c>
      <c r="R140" s="110">
        <v>30549.48</v>
      </c>
      <c r="S140" s="110">
        <v>37472.252178324052</v>
      </c>
      <c r="T140" s="110">
        <v>70175.806444688147</v>
      </c>
      <c r="U140" s="110">
        <v>14988</v>
      </c>
      <c r="V140" s="110">
        <v>0</v>
      </c>
      <c r="W140" s="110">
        <v>15416.615207558645</v>
      </c>
    </row>
    <row r="141" spans="1:23" x14ac:dyDescent="0.55000000000000004">
      <c r="N141" t="s">
        <v>340</v>
      </c>
      <c r="O141" s="412">
        <v>298597.70531664358</v>
      </c>
      <c r="P141" s="110">
        <v>225713</v>
      </c>
      <c r="Q141" s="110">
        <v>78476.283662612594</v>
      </c>
      <c r="R141" s="110">
        <v>73014.776266125496</v>
      </c>
      <c r="S141" s="110">
        <v>173964.42419507646</v>
      </c>
      <c r="T141" s="110">
        <v>213215.74911127015</v>
      </c>
      <c r="U141" s="110">
        <v>101331</v>
      </c>
      <c r="V141" s="110">
        <v>70741.532969015752</v>
      </c>
      <c r="W141" s="110">
        <v>61428.476609654266</v>
      </c>
    </row>
    <row r="142" spans="1:23" ht="28.8" x14ac:dyDescent="0.55000000000000004">
      <c r="A142" s="562" t="s">
        <v>448</v>
      </c>
      <c r="B142" s="562" t="s">
        <v>496</v>
      </c>
      <c r="C142" s="562" t="s">
        <v>509</v>
      </c>
      <c r="D142" s="562" t="s">
        <v>510</v>
      </c>
      <c r="M142" t="s">
        <v>342</v>
      </c>
      <c r="N142" t="s">
        <v>344</v>
      </c>
      <c r="O142" s="412">
        <v>41129.371101467361</v>
      </c>
      <c r="P142" s="110">
        <v>592</v>
      </c>
      <c r="Q142" s="110">
        <v>1813.1000331073478</v>
      </c>
      <c r="R142" s="110">
        <v>20476.994839882122</v>
      </c>
      <c r="S142" s="110">
        <v>22176.36</v>
      </c>
      <c r="T142" s="110">
        <v>22084.078107608839</v>
      </c>
      <c r="U142" s="110">
        <v>6975.9999999999991</v>
      </c>
      <c r="V142" s="110">
        <v>9280.0214014255725</v>
      </c>
      <c r="W142" s="110">
        <v>40065.377008397292</v>
      </c>
    </row>
    <row r="143" spans="1:23" x14ac:dyDescent="0.55000000000000004">
      <c r="A143" t="s">
        <v>233</v>
      </c>
      <c r="B143" s="412">
        <v>109100.64650775465</v>
      </c>
      <c r="C143" s="563">
        <v>76370.452555428245</v>
      </c>
      <c r="D143" s="563">
        <f>VLOOKUP(A143,[1]Pivots!$A$127:$B$137,2,0)</f>
        <v>76370.452555428245</v>
      </c>
      <c r="N143" t="s">
        <v>346</v>
      </c>
      <c r="O143" s="412">
        <v>81963.327734161649</v>
      </c>
      <c r="P143" s="110">
        <v>21574</v>
      </c>
      <c r="Q143" s="110">
        <v>19985.714105981235</v>
      </c>
      <c r="R143" s="110">
        <v>18419.149930997275</v>
      </c>
      <c r="S143" s="110">
        <v>34912.018157367456</v>
      </c>
      <c r="T143" s="110">
        <v>27745.375766539801</v>
      </c>
      <c r="U143" s="110">
        <v>28558</v>
      </c>
      <c r="V143" s="110">
        <v>15062.756390278348</v>
      </c>
      <c r="W143" s="110">
        <v>81963.327734161649</v>
      </c>
    </row>
    <row r="144" spans="1:23" x14ac:dyDescent="0.55000000000000004">
      <c r="A144" t="s">
        <v>236</v>
      </c>
      <c r="B144" s="412">
        <v>1101295.4459218043</v>
      </c>
      <c r="C144" s="563">
        <v>0</v>
      </c>
      <c r="D144" s="563">
        <f>VLOOKUP(A144,[1]Pivots!$A$127:$B$137,2,0)</f>
        <v>0</v>
      </c>
      <c r="N144" t="s">
        <v>348</v>
      </c>
      <c r="O144" s="412">
        <v>34517.641197181205</v>
      </c>
      <c r="P144" s="110">
        <v>0</v>
      </c>
      <c r="Q144" s="110">
        <v>11754.931018607462</v>
      </c>
      <c r="R144" s="110">
        <v>15027.324591037413</v>
      </c>
      <c r="S144" s="110">
        <v>34517.641197181205</v>
      </c>
      <c r="T144" s="110">
        <v>20028.838902762021</v>
      </c>
      <c r="U144" s="110">
        <v>15889</v>
      </c>
      <c r="V144" s="110">
        <v>10073.448210802433</v>
      </c>
      <c r="W144" s="110">
        <v>5539.7714087843797</v>
      </c>
    </row>
    <row r="145" spans="1:23" x14ac:dyDescent="0.55000000000000004">
      <c r="A145" t="s">
        <v>250</v>
      </c>
      <c r="B145" s="412">
        <v>692886.90774193103</v>
      </c>
      <c r="C145" s="563">
        <v>179421.70442947347</v>
      </c>
      <c r="D145" s="563">
        <f>VLOOKUP(A145,[1]Pivots!$A$127:$B$137,2,0)</f>
        <v>79362.006757069437</v>
      </c>
      <c r="N145" t="s">
        <v>350</v>
      </c>
      <c r="O145" s="412">
        <v>219988.99535390947</v>
      </c>
      <c r="P145" s="110">
        <v>12381</v>
      </c>
      <c r="Q145" s="110">
        <v>54076.888643074686</v>
      </c>
      <c r="R145" s="110">
        <v>69913.950441636218</v>
      </c>
      <c r="S145" s="110">
        <v>158241.78547671682</v>
      </c>
      <c r="T145" s="110">
        <v>163011.22455727807</v>
      </c>
      <c r="U145" s="110">
        <v>101334</v>
      </c>
      <c r="V145" s="110">
        <v>36375.756674394863</v>
      </c>
      <c r="W145" s="110">
        <v>219988.99535390947</v>
      </c>
    </row>
    <row r="146" spans="1:23" x14ac:dyDescent="0.55000000000000004">
      <c r="A146" t="s">
        <v>268</v>
      </c>
      <c r="B146" s="412">
        <v>1597019.6653259064</v>
      </c>
      <c r="C146" s="563">
        <v>964694.16552055592</v>
      </c>
      <c r="D146" s="563">
        <f>VLOOKUP(A146,[1]Pivots!$A$127:$B$137,2,0)</f>
        <v>944348.72683398926</v>
      </c>
      <c r="N146" t="s">
        <v>352</v>
      </c>
      <c r="O146" s="412">
        <v>39025.644666713975</v>
      </c>
      <c r="P146" s="110">
        <v>5774</v>
      </c>
      <c r="Q146" s="110">
        <v>18158.293356943883</v>
      </c>
      <c r="R146" s="110">
        <v>17885.611163327492</v>
      </c>
      <c r="S146" s="110">
        <v>33464.635400823856</v>
      </c>
      <c r="T146" s="110">
        <v>36059.615207491232</v>
      </c>
      <c r="U146" s="110">
        <v>29024</v>
      </c>
      <c r="V146" s="110">
        <v>0</v>
      </c>
      <c r="W146" s="110">
        <v>15093.379468567346</v>
      </c>
    </row>
    <row r="147" spans="1:23" x14ac:dyDescent="0.55000000000000004">
      <c r="A147" t="s">
        <v>292</v>
      </c>
      <c r="B147" s="412">
        <v>755472.11303681519</v>
      </c>
      <c r="C147" s="563">
        <v>80732.054652646388</v>
      </c>
      <c r="D147" s="563">
        <f>VLOOKUP(A147,[1]Pivots!$A$127:$B$137,2,0)</f>
        <v>0</v>
      </c>
      <c r="N147" t="s">
        <v>354</v>
      </c>
      <c r="O147" s="412">
        <v>0</v>
      </c>
      <c r="P147" s="110">
        <v>0</v>
      </c>
      <c r="Q147" s="110">
        <v>0</v>
      </c>
      <c r="R147" s="110">
        <v>0</v>
      </c>
      <c r="S147" s="110">
        <v>0</v>
      </c>
      <c r="T147" s="110">
        <v>0</v>
      </c>
      <c r="U147" s="110">
        <v>0</v>
      </c>
      <c r="V147" s="110">
        <v>0</v>
      </c>
      <c r="W147" s="110">
        <v>0</v>
      </c>
    </row>
    <row r="148" spans="1:23" x14ac:dyDescent="0.55000000000000004">
      <c r="A148" t="s">
        <v>310</v>
      </c>
      <c r="B148" s="412">
        <v>724368.62974223797</v>
      </c>
      <c r="C148" s="563">
        <v>368414.13227052317</v>
      </c>
      <c r="D148" s="563">
        <f>VLOOKUP(A148,[1]Pivots!$A$127:$B$137,2,0)</f>
        <v>324782.11426546064</v>
      </c>
      <c r="N148" t="s">
        <v>356</v>
      </c>
      <c r="O148" s="412">
        <v>153529.05875188275</v>
      </c>
      <c r="P148" s="110">
        <v>68705</v>
      </c>
      <c r="Q148" s="110">
        <v>4404.3823116287149</v>
      </c>
      <c r="R148" s="110">
        <v>58384.927395796592</v>
      </c>
      <c r="S148" s="110">
        <v>111442.58898339047</v>
      </c>
      <c r="T148" s="110">
        <v>148009.04367429583</v>
      </c>
      <c r="U148" s="110">
        <v>52207</v>
      </c>
      <c r="V148" s="110">
        <v>45019.284523382339</v>
      </c>
      <c r="W148" s="110">
        <v>152103.14443562331</v>
      </c>
    </row>
    <row r="149" spans="1:23" x14ac:dyDescent="0.55000000000000004">
      <c r="A149" t="s">
        <v>322</v>
      </c>
      <c r="B149" s="412">
        <v>938215.73626106698</v>
      </c>
      <c r="C149" s="563">
        <v>596936.79421922471</v>
      </c>
      <c r="D149" s="563">
        <f>VLOOKUP(A149,[1]Pivots!$A$127:$B$137,2,0)</f>
        <v>518443.44031779608</v>
      </c>
      <c r="N149" t="s">
        <v>358</v>
      </c>
      <c r="O149" s="412">
        <v>33188.975445917597</v>
      </c>
      <c r="P149" s="110">
        <v>0</v>
      </c>
      <c r="Q149" s="110">
        <v>1791.808362712193</v>
      </c>
      <c r="R149" s="110">
        <v>25443.796350832523</v>
      </c>
      <c r="S149" s="110">
        <v>19006.417158020678</v>
      </c>
      <c r="T149" s="110">
        <v>17278.788154758611</v>
      </c>
      <c r="U149" s="110">
        <v>8879</v>
      </c>
      <c r="V149" s="110">
        <v>8755.4569592522621</v>
      </c>
      <c r="W149" s="110">
        <v>33188.975445917597</v>
      </c>
    </row>
    <row r="150" spans="1:23" x14ac:dyDescent="0.55000000000000004">
      <c r="A150" t="s">
        <v>342</v>
      </c>
      <c r="B150" s="412">
        <v>1545959.9744859994</v>
      </c>
      <c r="C150" s="563">
        <v>972114.84723646892</v>
      </c>
      <c r="D150" s="563">
        <f>VLOOKUP(A150,[1]Pivots!$A$127:$B$137,2,0)</f>
        <v>938925.87179055158</v>
      </c>
      <c r="N150" t="s">
        <v>360</v>
      </c>
      <c r="O150" s="412">
        <v>0</v>
      </c>
      <c r="P150" s="110">
        <v>0</v>
      </c>
      <c r="Q150" s="110">
        <v>0</v>
      </c>
      <c r="R150" s="110">
        <v>0</v>
      </c>
      <c r="S150" s="110">
        <v>0</v>
      </c>
      <c r="T150" s="110">
        <v>0</v>
      </c>
      <c r="U150" s="110">
        <v>0</v>
      </c>
      <c r="V150" s="110">
        <v>0</v>
      </c>
      <c r="W150" s="110">
        <v>0</v>
      </c>
    </row>
    <row r="151" spans="1:23" x14ac:dyDescent="0.55000000000000004">
      <c r="A151" t="s">
        <v>368</v>
      </c>
      <c r="B151" s="412">
        <v>798457.60004843702</v>
      </c>
      <c r="C151" s="563">
        <v>380576.91595778306</v>
      </c>
      <c r="D151" s="563">
        <f>VLOOKUP(A151,[1]Pivots!$A$127:$B$137,2,0)</f>
        <v>229881.49297520221</v>
      </c>
      <c r="N151" t="s">
        <v>362</v>
      </c>
      <c r="O151" s="412">
        <v>55961.50407896463</v>
      </c>
      <c r="P151" s="110">
        <v>1984</v>
      </c>
      <c r="Q151" s="110">
        <v>2785.8934293295401</v>
      </c>
      <c r="R151" s="110">
        <v>20654.409627437839</v>
      </c>
      <c r="S151" s="110">
        <v>30052.320460107421</v>
      </c>
      <c r="T151" s="110">
        <v>33603.184510613311</v>
      </c>
      <c r="U151" s="110">
        <v>14194</v>
      </c>
      <c r="V151" s="110">
        <v>9280.0214014255725</v>
      </c>
      <c r="W151" s="110">
        <v>55961.50407896463</v>
      </c>
    </row>
    <row r="152" spans="1:23" x14ac:dyDescent="0.55000000000000004">
      <c r="A152" t="s">
        <v>382</v>
      </c>
      <c r="B152" s="412">
        <v>378207.44368358469</v>
      </c>
      <c r="C152" s="563">
        <v>16483.528827023358</v>
      </c>
      <c r="D152" s="563">
        <f>VLOOKUP(A152,[1]Pivots!$A$127:$B$137,2,0)</f>
        <v>0</v>
      </c>
      <c r="N152" t="s">
        <v>364</v>
      </c>
      <c r="O152" s="412">
        <v>203449.18966152967</v>
      </c>
      <c r="P152" s="110">
        <v>22073</v>
      </c>
      <c r="Q152" s="110">
        <v>76400.476339114044</v>
      </c>
      <c r="R152" s="110">
        <v>102727.67218461487</v>
      </c>
      <c r="S152" s="110">
        <v>203449.18966152967</v>
      </c>
      <c r="T152" s="110">
        <v>166648.55019153369</v>
      </c>
      <c r="U152" s="110">
        <v>106974</v>
      </c>
      <c r="V152" s="110">
        <v>41852.353889850725</v>
      </c>
      <c r="W152" s="110">
        <v>111770.55592836274</v>
      </c>
    </row>
    <row r="153" spans="1:23" x14ac:dyDescent="0.55000000000000004">
      <c r="A153" t="s">
        <v>390</v>
      </c>
      <c r="B153" s="412">
        <v>625576.84847729793</v>
      </c>
      <c r="C153" s="563">
        <v>116232.88218712302</v>
      </c>
      <c r="D153" s="563">
        <f>VLOOKUP(A153,[1]Pivots!$A$127:$B$137,2,0)</f>
        <v>87094.56798424109</v>
      </c>
      <c r="N153" t="s">
        <v>366</v>
      </c>
      <c r="O153" s="412">
        <v>103664.43855761312</v>
      </c>
      <c r="P153" s="110">
        <v>18966</v>
      </c>
      <c r="Q153" s="110">
        <v>29462.482567655221</v>
      </c>
      <c r="R153" s="110">
        <v>30787.275041918256</v>
      </c>
      <c r="S153" s="110">
        <v>67981.142557105966</v>
      </c>
      <c r="T153" s="110">
        <v>76529.065208574524</v>
      </c>
      <c r="U153" s="110">
        <v>27550</v>
      </c>
      <c r="V153" s="110">
        <v>17647.998769029033</v>
      </c>
      <c r="W153" s="110">
        <v>98922.938557613117</v>
      </c>
    </row>
    <row r="154" spans="1:23" x14ac:dyDescent="0.55000000000000004">
      <c r="A154" s="561" t="s">
        <v>436</v>
      </c>
      <c r="B154" s="564">
        <f>SUM(B143:B153)</f>
        <v>9266561.0112328343</v>
      </c>
      <c r="C154" s="564">
        <f>SUM(C143:C153)</f>
        <v>3751977.4778562495</v>
      </c>
      <c r="D154" s="564">
        <v>9266561.0112328343</v>
      </c>
      <c r="M154" t="s">
        <v>368</v>
      </c>
      <c r="N154" t="s">
        <v>370</v>
      </c>
      <c r="O154" s="412">
        <v>25106.79383400215</v>
      </c>
      <c r="P154" s="110">
        <v>0</v>
      </c>
      <c r="Q154" s="110">
        <v>4828.4977539451129</v>
      </c>
      <c r="R154" s="110">
        <v>25106.79383400215</v>
      </c>
      <c r="S154" s="110">
        <v>19359.823185900525</v>
      </c>
      <c r="T154" s="110">
        <v>20171.005251097959</v>
      </c>
      <c r="U154" s="110">
        <v>9806</v>
      </c>
      <c r="V154" s="110">
        <v>9010.6669713611445</v>
      </c>
      <c r="W154" s="110">
        <v>3326.7103971739552</v>
      </c>
    </row>
    <row r="155" spans="1:23" x14ac:dyDescent="0.55000000000000004">
      <c r="N155" t="s">
        <v>372</v>
      </c>
      <c r="O155" s="412">
        <v>62830.228426134476</v>
      </c>
      <c r="P155" s="110">
        <v>1044.5</v>
      </c>
      <c r="Q155" s="110">
        <v>10986.976983110188</v>
      </c>
      <c r="R155" s="110">
        <v>62830.228426134476</v>
      </c>
      <c r="S155" s="110">
        <v>44381.093443328224</v>
      </c>
      <c r="T155" s="110">
        <v>52901.977443101714</v>
      </c>
      <c r="U155" s="110">
        <v>23192</v>
      </c>
      <c r="V155" s="110">
        <v>17254.476002546235</v>
      </c>
      <c r="W155" s="110">
        <v>28121.427631517523</v>
      </c>
    </row>
    <row r="156" spans="1:23" x14ac:dyDescent="0.55000000000000004">
      <c r="N156" t="s">
        <v>374</v>
      </c>
      <c r="O156" s="412">
        <v>66575.887445625965</v>
      </c>
      <c r="P156" s="110">
        <v>192</v>
      </c>
      <c r="Q156" s="110">
        <v>25193.108669524634</v>
      </c>
      <c r="R156" s="110">
        <v>49239.529457382188</v>
      </c>
      <c r="S156" s="110">
        <v>66104.614040498564</v>
      </c>
      <c r="T156" s="110">
        <v>47933.207347344265</v>
      </c>
      <c r="U156" s="110">
        <v>34707</v>
      </c>
      <c r="V156" s="110">
        <v>17744.446909789105</v>
      </c>
      <c r="W156" s="110">
        <v>24003.984436067578</v>
      </c>
    </row>
    <row r="157" spans="1:23" x14ac:dyDescent="0.55000000000000004">
      <c r="N157" t="s">
        <v>376</v>
      </c>
      <c r="O157" s="412">
        <v>53693.73440872728</v>
      </c>
      <c r="P157" s="110">
        <v>0</v>
      </c>
      <c r="Q157" s="110">
        <v>7931.1463380239556</v>
      </c>
      <c r="R157" s="110">
        <v>52863.325260230566</v>
      </c>
      <c r="S157" s="110">
        <v>40383.819462246742</v>
      </c>
      <c r="T157" s="110">
        <v>45808.71370160205</v>
      </c>
      <c r="U157" s="110">
        <v>13947</v>
      </c>
      <c r="V157" s="110">
        <v>9280.0214014255725</v>
      </c>
      <c r="W157" s="110">
        <v>27367.839406149127</v>
      </c>
    </row>
    <row r="158" spans="1:23" x14ac:dyDescent="0.55000000000000004">
      <c r="N158" t="s">
        <v>378</v>
      </c>
      <c r="O158" s="412">
        <v>0</v>
      </c>
      <c r="P158" s="110">
        <v>0</v>
      </c>
      <c r="Q158" s="110">
        <v>0</v>
      </c>
      <c r="R158" s="110">
        <v>0</v>
      </c>
      <c r="S158" s="110">
        <v>0</v>
      </c>
      <c r="T158" s="110">
        <v>0</v>
      </c>
      <c r="U158" s="110">
        <v>0</v>
      </c>
      <c r="V158" s="110">
        <v>0</v>
      </c>
      <c r="W158" s="110">
        <v>0</v>
      </c>
    </row>
    <row r="159" spans="1:23" x14ac:dyDescent="0.55000000000000004">
      <c r="A159" s="742"/>
      <c r="B159" s="742"/>
      <c r="C159" s="742"/>
      <c r="D159" s="742"/>
      <c r="N159" t="s">
        <v>380</v>
      </c>
      <c r="O159" s="412">
        <v>155870.48043419223</v>
      </c>
      <c r="P159" s="110">
        <v>67827</v>
      </c>
      <c r="Q159" s="110">
        <v>30348.703311086821</v>
      </c>
      <c r="R159" s="110">
        <v>72446.670675922651</v>
      </c>
      <c r="S159" s="110">
        <v>94889.648946289337</v>
      </c>
      <c r="T159" s="110">
        <v>155870.48043419223</v>
      </c>
      <c r="U159" s="110">
        <v>69940</v>
      </c>
      <c r="V159" s="110">
        <v>57569.940041269248</v>
      </c>
      <c r="W159" s="110">
        <v>36732.364260622824</v>
      </c>
    </row>
    <row r="160" spans="1:23" x14ac:dyDescent="0.55000000000000004">
      <c r="B160" s="745"/>
      <c r="C160" s="745"/>
      <c r="D160" s="745"/>
      <c r="M160" t="s">
        <v>382</v>
      </c>
      <c r="N160" t="s">
        <v>384</v>
      </c>
      <c r="O160" s="412">
        <v>0</v>
      </c>
      <c r="P160" s="110">
        <v>0</v>
      </c>
      <c r="Q160" s="110">
        <v>0</v>
      </c>
      <c r="R160" s="110">
        <v>0</v>
      </c>
      <c r="S160" s="110">
        <v>0</v>
      </c>
      <c r="T160" s="110">
        <v>0</v>
      </c>
      <c r="U160" s="110">
        <v>0</v>
      </c>
      <c r="V160" s="110">
        <v>0</v>
      </c>
      <c r="W160" s="110">
        <v>0</v>
      </c>
    </row>
    <row r="161" spans="1:23" x14ac:dyDescent="0.55000000000000004">
      <c r="B161" s="745"/>
      <c r="C161" s="745"/>
      <c r="D161" s="745"/>
      <c r="N161" t="s">
        <v>386</v>
      </c>
      <c r="O161" s="412">
        <v>17998.325265195625</v>
      </c>
      <c r="P161" s="110">
        <v>3696</v>
      </c>
      <c r="Q161" s="110">
        <v>3361.5982476859194</v>
      </c>
      <c r="R161" s="110">
        <v>11943.921060433791</v>
      </c>
      <c r="S161" s="110">
        <v>9658.5015906506924</v>
      </c>
      <c r="T161" s="110">
        <v>13303.483879697389</v>
      </c>
      <c r="U161" s="110">
        <v>6951</v>
      </c>
      <c r="V161" s="110">
        <v>8755.4569592522621</v>
      </c>
      <c r="W161" s="110">
        <v>1451.5098618356337</v>
      </c>
    </row>
    <row r="162" spans="1:23" x14ac:dyDescent="0.55000000000000004">
      <c r="B162" s="745"/>
      <c r="C162" s="745"/>
      <c r="D162" s="745"/>
      <c r="N162" t="s">
        <v>388</v>
      </c>
      <c r="O162" s="412">
        <v>0</v>
      </c>
      <c r="P162" s="110">
        <v>0</v>
      </c>
      <c r="Q162" s="110">
        <v>0</v>
      </c>
      <c r="R162" s="110">
        <v>0</v>
      </c>
      <c r="S162" s="110">
        <v>0</v>
      </c>
      <c r="T162" s="110">
        <v>0</v>
      </c>
      <c r="U162" s="110">
        <v>0</v>
      </c>
      <c r="V162" s="110">
        <v>0</v>
      </c>
      <c r="W162" s="110">
        <v>0</v>
      </c>
    </row>
    <row r="163" spans="1:23" x14ac:dyDescent="0.55000000000000004">
      <c r="B163" s="745"/>
      <c r="C163" s="745"/>
      <c r="D163" s="745"/>
      <c r="M163" t="s">
        <v>390</v>
      </c>
      <c r="N163" t="s">
        <v>392</v>
      </c>
      <c r="O163" s="412">
        <v>31065.435151156871</v>
      </c>
      <c r="P163" s="110">
        <v>11377.5</v>
      </c>
      <c r="Q163" s="110">
        <v>4084.3594934416128</v>
      </c>
      <c r="R163" s="110">
        <v>24774.678689726719</v>
      </c>
      <c r="S163" s="110">
        <v>5926.0718482122138</v>
      </c>
      <c r="T163" s="110">
        <v>14628.125553629037</v>
      </c>
      <c r="U163" s="110">
        <v>7738.0000000000009</v>
      </c>
      <c r="V163" s="110">
        <v>9280.0214014255725</v>
      </c>
      <c r="W163" s="110">
        <v>25983.325370070663</v>
      </c>
    </row>
    <row r="164" spans="1:23" x14ac:dyDescent="0.55000000000000004">
      <c r="A164" s="743"/>
      <c r="B164" s="746"/>
      <c r="C164" s="746"/>
      <c r="D164" s="746"/>
      <c r="N164" t="s">
        <v>394</v>
      </c>
      <c r="O164" s="412">
        <v>0</v>
      </c>
      <c r="P164" s="110">
        <v>0</v>
      </c>
      <c r="Q164" s="110">
        <v>0</v>
      </c>
      <c r="R164" s="110">
        <v>0</v>
      </c>
      <c r="S164" s="110">
        <v>0</v>
      </c>
      <c r="T164" s="110">
        <v>0</v>
      </c>
      <c r="U164" s="110">
        <v>0</v>
      </c>
      <c r="V164" s="110">
        <v>0</v>
      </c>
      <c r="W164" s="110">
        <v>0</v>
      </c>
    </row>
    <row r="165" spans="1:23" x14ac:dyDescent="0.55000000000000004">
      <c r="N165" t="s">
        <v>396</v>
      </c>
      <c r="O165" s="412">
        <v>0</v>
      </c>
      <c r="P165" s="110">
        <v>0</v>
      </c>
      <c r="Q165" s="110">
        <v>0</v>
      </c>
      <c r="R165" s="110">
        <v>0</v>
      </c>
      <c r="S165" s="110">
        <v>0</v>
      </c>
      <c r="T165" s="110">
        <v>0</v>
      </c>
      <c r="U165" s="110">
        <v>0</v>
      </c>
      <c r="V165" s="110">
        <v>0</v>
      </c>
      <c r="W165" s="110">
        <v>0</v>
      </c>
    </row>
    <row r="166" spans="1:23" x14ac:dyDescent="0.55000000000000004">
      <c r="N166" t="s">
        <v>398</v>
      </c>
      <c r="O166" s="412">
        <v>0</v>
      </c>
      <c r="P166" s="110">
        <v>0</v>
      </c>
      <c r="Q166" s="110">
        <v>0</v>
      </c>
      <c r="R166" s="110">
        <v>0</v>
      </c>
      <c r="S166" s="110">
        <v>0</v>
      </c>
      <c r="T166" s="110">
        <v>0</v>
      </c>
      <c r="U166" s="110">
        <v>0</v>
      </c>
      <c r="V166" s="110">
        <v>0</v>
      </c>
      <c r="W166" s="110">
        <v>0</v>
      </c>
    </row>
    <row r="167" spans="1:23" x14ac:dyDescent="0.55000000000000004">
      <c r="B167" s="741"/>
      <c r="C167" s="741"/>
      <c r="D167" s="741"/>
      <c r="N167" t="s">
        <v>400</v>
      </c>
      <c r="O167" s="412">
        <v>0</v>
      </c>
      <c r="P167" s="110">
        <v>0</v>
      </c>
      <c r="Q167" s="110">
        <v>0</v>
      </c>
      <c r="R167" s="110">
        <v>0</v>
      </c>
      <c r="S167" s="110">
        <v>0</v>
      </c>
      <c r="T167" s="110">
        <v>0</v>
      </c>
      <c r="U167" s="110">
        <v>0</v>
      </c>
      <c r="V167" s="110">
        <v>0</v>
      </c>
      <c r="W167" s="110">
        <v>0</v>
      </c>
    </row>
    <row r="168" spans="1:23" x14ac:dyDescent="0.55000000000000004">
      <c r="B168" s="741"/>
      <c r="C168" s="741"/>
      <c r="D168" s="741"/>
      <c r="N168" t="s">
        <v>402</v>
      </c>
      <c r="O168" s="412">
        <v>0</v>
      </c>
      <c r="P168" s="110">
        <v>0</v>
      </c>
      <c r="Q168" s="110">
        <v>0</v>
      </c>
      <c r="R168" s="110">
        <v>0</v>
      </c>
      <c r="S168" s="110">
        <v>0</v>
      </c>
      <c r="T168" s="110">
        <v>0</v>
      </c>
      <c r="U168" s="110">
        <v>0</v>
      </c>
      <c r="V168" s="110">
        <v>0</v>
      </c>
      <c r="W168" s="110">
        <v>0</v>
      </c>
    </row>
    <row r="169" spans="1:23" x14ac:dyDescent="0.55000000000000004">
      <c r="B169" s="741"/>
      <c r="C169" s="741"/>
      <c r="D169" s="741"/>
      <c r="N169" t="s">
        <v>404</v>
      </c>
      <c r="O169" s="412">
        <v>21601.117718773712</v>
      </c>
      <c r="P169" s="110">
        <v>3510</v>
      </c>
      <c r="Q169" s="110">
        <v>2318.0102650175013</v>
      </c>
      <c r="R169" s="110">
        <v>11866.3540880288</v>
      </c>
      <c r="S169" s="110">
        <v>16740.45912</v>
      </c>
      <c r="T169" s="110">
        <v>21601.117718773712</v>
      </c>
      <c r="U169" s="110">
        <v>15343</v>
      </c>
      <c r="V169" s="110">
        <v>9280.0214014255744</v>
      </c>
      <c r="W169" s="110">
        <v>15676.092554562503</v>
      </c>
    </row>
    <row r="170" spans="1:23" x14ac:dyDescent="0.55000000000000004">
      <c r="B170" s="741"/>
      <c r="C170" s="741"/>
      <c r="D170" s="741"/>
      <c r="N170" t="s">
        <v>406</v>
      </c>
      <c r="O170" s="412">
        <v>0</v>
      </c>
      <c r="P170" s="110">
        <v>0</v>
      </c>
      <c r="Q170" s="110">
        <v>0</v>
      </c>
      <c r="R170" s="110">
        <v>0</v>
      </c>
      <c r="S170" s="110">
        <v>0</v>
      </c>
      <c r="T170" s="110">
        <v>0</v>
      </c>
      <c r="U170" s="110">
        <v>0</v>
      </c>
      <c r="V170" s="110">
        <v>0</v>
      </c>
      <c r="W170" s="110">
        <v>0</v>
      </c>
    </row>
    <row r="171" spans="1:23" x14ac:dyDescent="0.55000000000000004">
      <c r="N171" t="s">
        <v>408</v>
      </c>
      <c r="O171" s="412">
        <v>65163.797939629643</v>
      </c>
      <c r="P171" s="110">
        <v>22574</v>
      </c>
      <c r="Q171" s="110">
        <v>10030.131549548636</v>
      </c>
      <c r="R171" s="110">
        <v>23223.473736036329</v>
      </c>
      <c r="S171" s="110">
        <v>24308.412448215127</v>
      </c>
      <c r="T171" s="110">
        <v>43899.904905296476</v>
      </c>
      <c r="U171" s="110">
        <v>23135</v>
      </c>
      <c r="V171" s="110">
        <v>13545.178763261611</v>
      </c>
      <c r="W171" s="110">
        <v>56120.501885791848</v>
      </c>
    </row>
    <row r="172" spans="1:23" x14ac:dyDescent="0.55000000000000004">
      <c r="A172" s="742"/>
      <c r="B172" s="742"/>
      <c r="C172" s="742"/>
      <c r="D172" s="742"/>
      <c r="N172" t="s">
        <v>410</v>
      </c>
      <c r="O172" s="412">
        <v>0</v>
      </c>
      <c r="P172" s="110">
        <v>0</v>
      </c>
      <c r="Q172" s="110">
        <v>0</v>
      </c>
      <c r="R172" s="110">
        <v>0</v>
      </c>
      <c r="S172" s="110">
        <v>0</v>
      </c>
      <c r="T172" s="110">
        <v>0</v>
      </c>
      <c r="U172" s="110">
        <v>0</v>
      </c>
      <c r="V172" s="110">
        <v>0</v>
      </c>
      <c r="W172" s="110">
        <v>0</v>
      </c>
    </row>
    <row r="173" spans="1:23" x14ac:dyDescent="0.55000000000000004">
      <c r="B173" s="412"/>
      <c r="C173" s="412"/>
      <c r="D173" s="412"/>
      <c r="M173" t="s">
        <v>436</v>
      </c>
      <c r="O173" s="412">
        <v>3656206.6689127637</v>
      </c>
      <c r="P173" s="110">
        <v>735986</v>
      </c>
      <c r="Q173" s="110">
        <v>795532.30192307639</v>
      </c>
      <c r="R173" s="110">
        <v>1833612.4122859861</v>
      </c>
      <c r="S173" s="110">
        <v>2664031.8583353772</v>
      </c>
      <c r="T173" s="110">
        <v>2884600.2048612507</v>
      </c>
      <c r="U173" s="110">
        <v>1451620</v>
      </c>
      <c r="V173" s="110">
        <v>882352.94733366952</v>
      </c>
      <c r="W173" s="110">
        <v>2167688.655057007</v>
      </c>
    </row>
    <row r="174" spans="1:23" x14ac:dyDescent="0.55000000000000004">
      <c r="B174" s="412"/>
      <c r="C174" s="412"/>
      <c r="D174" s="412"/>
    </row>
    <row r="175" spans="1:23" x14ac:dyDescent="0.55000000000000004">
      <c r="B175" s="412"/>
      <c r="C175" s="412"/>
      <c r="D175" s="412"/>
    </row>
    <row r="176" spans="1:23" x14ac:dyDescent="0.55000000000000004">
      <c r="A176" s="743"/>
      <c r="B176" s="744"/>
      <c r="C176" s="744"/>
      <c r="D176" s="74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68E4B-C2BE-464C-9A24-2FBC833FDF96}">
  <dimension ref="A1:T35"/>
  <sheetViews>
    <sheetView zoomScale="80" zoomScaleNormal="80" workbookViewId="0">
      <selection activeCell="W13" sqref="W13"/>
    </sheetView>
  </sheetViews>
  <sheetFormatPr defaultColWidth="13.15625" defaultRowHeight="13.8" x14ac:dyDescent="0.45"/>
  <cols>
    <col min="1" max="1" width="32.83984375" style="1" bestFit="1" customWidth="1"/>
    <col min="2" max="3" width="15.578125" style="1" customWidth="1"/>
    <col min="4" max="4" width="16.83984375" style="1" bestFit="1" customWidth="1"/>
    <col min="5" max="6" width="17.41796875" style="1" bestFit="1" customWidth="1"/>
    <col min="7" max="7" width="21" style="1" customWidth="1"/>
    <col min="8" max="8" width="22.578125" style="1" customWidth="1"/>
    <col min="9" max="9" width="22.15625" style="1" customWidth="1"/>
    <col min="10" max="10" width="11.578125" style="1" customWidth="1"/>
    <col min="11" max="11" width="12.83984375" style="1" customWidth="1"/>
    <col min="12" max="12" width="17.83984375" style="1" customWidth="1"/>
    <col min="13" max="13" width="11.41796875" style="1" customWidth="1"/>
    <col min="14" max="14" width="25.26171875" style="1" bestFit="1" customWidth="1"/>
    <col min="15" max="15" width="14.26171875" style="1" bestFit="1" customWidth="1"/>
    <col min="16" max="16" width="13.15625" style="1"/>
    <col min="17" max="17" width="14.26171875" style="1" customWidth="1"/>
    <col min="18" max="19" width="14.26171875" style="1" bestFit="1" customWidth="1"/>
    <col min="20" max="20" width="28.578125" style="1" bestFit="1" customWidth="1"/>
    <col min="21" max="16384" width="13.15625" style="1"/>
  </cols>
  <sheetData>
    <row r="1" spans="1:19" s="679" customFormat="1" ht="70.900000000000006" customHeight="1" thickBot="1" x14ac:dyDescent="0.6">
      <c r="A1" s="663" t="s">
        <v>489</v>
      </c>
      <c r="B1" s="565" t="s">
        <v>497</v>
      </c>
      <c r="C1" s="566" t="s">
        <v>498</v>
      </c>
      <c r="D1" s="676" t="s">
        <v>496</v>
      </c>
      <c r="E1" s="667" t="s">
        <v>510</v>
      </c>
      <c r="F1" s="677" t="s">
        <v>509</v>
      </c>
      <c r="G1" s="669" t="s">
        <v>502</v>
      </c>
      <c r="H1" s="670" t="s">
        <v>512</v>
      </c>
      <c r="I1" s="678" t="s">
        <v>511</v>
      </c>
      <c r="J1" s="672" t="s">
        <v>505</v>
      </c>
      <c r="K1" s="673" t="s">
        <v>506</v>
      </c>
      <c r="L1" s="674" t="s">
        <v>507</v>
      </c>
      <c r="M1" s="663" t="s">
        <v>517</v>
      </c>
      <c r="N1" s="696" t="s">
        <v>515</v>
      </c>
    </row>
    <row r="2" spans="1:19" ht="22.5" x14ac:dyDescent="0.75">
      <c r="A2" s="567" t="s">
        <v>490</v>
      </c>
      <c r="B2" s="634">
        <v>4243316.9301740006</v>
      </c>
      <c r="C2" s="635">
        <v>1366881.1894257327</v>
      </c>
      <c r="D2" s="636">
        <v>6669355.3914749231</v>
      </c>
      <c r="E2" s="637">
        <v>1327241.6942932995</v>
      </c>
      <c r="F2" s="682">
        <v>882352.94733366952</v>
      </c>
      <c r="G2" s="639">
        <v>46473960.440474942</v>
      </c>
      <c r="H2" s="640">
        <v>45126217.605972186</v>
      </c>
      <c r="I2" s="641">
        <v>51383194.176345289</v>
      </c>
      <c r="J2" s="642">
        <f>(Table3[[#This Row],[PiN 2026]]-Table3[[#This Row],[PiN 2025]])/Table3[[#This Row],[PiN 2025]]</f>
        <v>0.57173161967928732</v>
      </c>
      <c r="K2" s="643">
        <f>(Table3[[#This Row],[Target 2026 (1&amp;2) (3)50%]]-Table3[[#This Row],[Target 2025]])/Table3[[#This Row],[Target 2025]]</f>
        <v>-0.35447721853252501</v>
      </c>
      <c r="L2" s="644">
        <f>(Table3[[#This Row],[Requirement 2026 (1&amp;2) (3)50%]]-Table3[[#This Row],[Requirement 2025]])/Table3[[#This Row],[Requirement 2025]]</f>
        <v>0.10563407313130158</v>
      </c>
      <c r="M2" s="697">
        <f>(Table3[[#This Row],[Requirement 2026 (1&amp;2) (3)50%]]-Table3[[#This Row],[Requirement 2025]])/Table3[[#This Row],[Requirement 2025]]</f>
        <v>0.10563407313130158</v>
      </c>
      <c r="N2" s="683">
        <v>30000000</v>
      </c>
      <c r="O2" s="568"/>
      <c r="P2" s="569"/>
      <c r="Q2" s="702"/>
    </row>
    <row r="3" spans="1:19" ht="22.5" x14ac:dyDescent="0.75">
      <c r="A3" s="567" t="s">
        <v>83</v>
      </c>
      <c r="B3" s="634">
        <v>1351731.7071169005</v>
      </c>
      <c r="C3" s="635">
        <v>1126884.0081744283</v>
      </c>
      <c r="D3" s="645">
        <v>1359005.6654804838</v>
      </c>
      <c r="E3" s="637">
        <v>693109</v>
      </c>
      <c r="F3" s="638">
        <v>735986</v>
      </c>
      <c r="G3" s="639">
        <v>18586559.78415928</v>
      </c>
      <c r="H3" s="640">
        <v>15941507</v>
      </c>
      <c r="I3" s="641">
        <v>16927678</v>
      </c>
      <c r="J3" s="642">
        <f>(Table3[[#This Row],[PiN 2026]]-Table3[[#This Row],[PiN 2025]])/Table3[[#This Row],[PiN 2025]]</f>
        <v>5.3812145748196498E-3</v>
      </c>
      <c r="K3" s="643">
        <f>(Table3[[#This Row],[Target 2026 (1&amp;2) (3)50%]]-Table3[[#This Row],[Target 2025]])/Table3[[#This Row],[Target 2025]]</f>
        <v>-0.346883978598374</v>
      </c>
      <c r="L3" s="644">
        <f>(Table3[[#This Row],[Requirement 2026 (1&amp;2) (3)50%]]-Table3[[#This Row],[Requirement 2025]])/Table3[[#This Row],[Requirement 2025]]</f>
        <v>-8.9251685272768513E-2</v>
      </c>
      <c r="M3" s="697">
        <f>(Table3[[#This Row],[Requirement 2026 (1&amp;2) (3)50%]]-Table3[[#This Row],[Requirement 2025]])/Table3[[#This Row],[Requirement 2025]]</f>
        <v>-8.9251685272768513E-2</v>
      </c>
      <c r="N3" s="683">
        <v>15000000</v>
      </c>
      <c r="O3" s="568"/>
      <c r="P3" s="569"/>
      <c r="Q3" s="702"/>
    </row>
    <row r="4" spans="1:19" ht="22.5" x14ac:dyDescent="0.75">
      <c r="A4" s="567" t="s">
        <v>491</v>
      </c>
      <c r="B4" s="634">
        <v>7750164.7495274944</v>
      </c>
      <c r="C4" s="635">
        <v>3556521</v>
      </c>
      <c r="D4" s="645">
        <v>7650961.5530535178</v>
      </c>
      <c r="E4" s="637">
        <v>2290400.1701299762</v>
      </c>
      <c r="F4" s="638">
        <v>2664031.8583353767</v>
      </c>
      <c r="G4" s="639">
        <v>475068792.5</v>
      </c>
      <c r="H4" s="640">
        <v>372452785.91601515</v>
      </c>
      <c r="I4" s="641">
        <v>410560173.21042466</v>
      </c>
      <c r="J4" s="642">
        <f>(Table3[[#This Row],[PiN 2026]]-Table3[[#This Row],[PiN 2025]])/Table3[[#This Row],[PiN 2025]]</f>
        <v>-1.2800140342826226E-2</v>
      </c>
      <c r="K4" s="643">
        <f>(Table3[[#This Row],[Target 2026 (1&amp;2) (3)50%]]-Table3[[#This Row],[Target 2025]])/Table3[[#This Row],[Target 2025]]</f>
        <v>-0.25094443183791781</v>
      </c>
      <c r="L4" s="644">
        <f>(Table3[[#This Row],[Requirement 2026 (1&amp;2) (3)50%]]-Table3[[#This Row],[Requirement 2025]])/Table3[[#This Row],[Requirement 2025]]</f>
        <v>-0.13578795388791054</v>
      </c>
      <c r="M4" s="697">
        <f>(Table3[[#This Row],[Requirement 2026 (1&amp;2) (3)50%]]-Table3[[#This Row],[Requirement 2025]])/Table3[[#This Row],[Requirement 2025]]</f>
        <v>-0.13578795388791054</v>
      </c>
      <c r="N4" s="683">
        <v>360433589.18376726</v>
      </c>
      <c r="O4" s="568"/>
      <c r="P4" s="569"/>
      <c r="Q4" s="702"/>
    </row>
    <row r="5" spans="1:19" ht="22.5" x14ac:dyDescent="0.75">
      <c r="A5" s="567" t="s">
        <v>86</v>
      </c>
      <c r="B5" s="634">
        <v>5657326.8418663237</v>
      </c>
      <c r="C5" s="635">
        <v>3089736.4289765032</v>
      </c>
      <c r="D5" s="645">
        <v>6269692.2333403639</v>
      </c>
      <c r="E5" s="637">
        <v>2505797.9034614339</v>
      </c>
      <c r="F5" s="638">
        <v>2884600.2048612507</v>
      </c>
      <c r="G5" s="639">
        <v>119228983.80931608</v>
      </c>
      <c r="H5" s="640">
        <v>98728437.396380484</v>
      </c>
      <c r="I5" s="641">
        <v>113653248.07153325</v>
      </c>
      <c r="J5" s="642">
        <f>(Table3[[#This Row],[PiN 2026]]-Table3[[#This Row],[PiN 2025]])/Table3[[#This Row],[PiN 2025]]</f>
        <v>0.10824288724885196</v>
      </c>
      <c r="K5" s="643">
        <f>(Table3[[#This Row],[Target 2026 (1&amp;2) (3)50%]]-Table3[[#This Row],[Target 2025]])/Table3[[#This Row],[Target 2025]]</f>
        <v>-6.6392790722024572E-2</v>
      </c>
      <c r="L5" s="644">
        <f>(Table3[[#This Row],[Requirement 2026 (1&amp;2) (3)50%]]-Table3[[#This Row],[Requirement 2025]])/Table3[[#This Row],[Requirement 2025]]</f>
        <v>-4.676493550175817E-2</v>
      </c>
      <c r="M5" s="697">
        <f>(Table3[[#This Row],[Requirement 2026 (1&amp;2) (3)50%]]-Table3[[#This Row],[Requirement 2025]])/Table3[[#This Row],[Requirement 2025]]</f>
        <v>-4.676493550175817E-2</v>
      </c>
      <c r="N5" s="683">
        <v>75143835.336635619</v>
      </c>
      <c r="O5" s="568"/>
      <c r="P5" s="569"/>
      <c r="Q5" s="702"/>
    </row>
    <row r="6" spans="1:19" ht="22.5" x14ac:dyDescent="0.75">
      <c r="A6" s="567" t="s">
        <v>89</v>
      </c>
      <c r="B6" s="634">
        <v>5010139.0219568089</v>
      </c>
      <c r="C6" s="635">
        <v>2251568.3440319691</v>
      </c>
      <c r="D6" s="645">
        <v>6806494.7796443868</v>
      </c>
      <c r="E6" s="637">
        <v>1904586.1599837609</v>
      </c>
      <c r="F6" s="638">
        <v>2167688.6550570074</v>
      </c>
      <c r="G6" s="639">
        <v>86315791.103239357</v>
      </c>
      <c r="H6" s="640">
        <v>78088032.559334204</v>
      </c>
      <c r="I6" s="641">
        <v>88875234.857337266</v>
      </c>
      <c r="J6" s="642">
        <f>(Table3[[#This Row],[PiN 2026]]-Table3[[#This Row],[PiN 2025]])/Table3[[#This Row],[PiN 2025]]</f>
        <v>0.35854409424870126</v>
      </c>
      <c r="K6" s="643">
        <f>(Table3[[#This Row],[Target 2026 (1&amp;2) (3)50%]]-Table3[[#This Row],[Target 2025]])/Table3[[#This Row],[Target 2025]]</f>
        <v>-3.7253894245446305E-2</v>
      </c>
      <c r="L6" s="644">
        <f>(Table3[[#This Row],[Requirement 2026 (1&amp;2) (3)50%]]-Table3[[#This Row],[Requirement 2025]])/Table3[[#This Row],[Requirement 2025]]</f>
        <v>2.965209171328391E-2</v>
      </c>
      <c r="M6" s="697">
        <f>(Table3[[#This Row],[Requirement 2026 (1&amp;2) (3)50%]]-Table3[[#This Row],[Requirement 2025]])/Table3[[#This Row],[Requirement 2025]]</f>
        <v>2.965209171328391E-2</v>
      </c>
      <c r="N6" s="683">
        <v>59828207</v>
      </c>
      <c r="O6" s="568"/>
      <c r="P6" s="569"/>
      <c r="Q6" s="702"/>
    </row>
    <row r="7" spans="1:19" ht="22.5" x14ac:dyDescent="0.75">
      <c r="A7" s="567" t="s">
        <v>56</v>
      </c>
      <c r="B7" s="634">
        <v>2139278.4789218772</v>
      </c>
      <c r="C7" s="635">
        <v>673770.99779252778</v>
      </c>
      <c r="D7" s="645">
        <v>2435900.2640912938</v>
      </c>
      <c r="E7" s="637">
        <v>721635.79220678261</v>
      </c>
      <c r="F7" s="638">
        <v>795532.30192307651</v>
      </c>
      <c r="G7" s="639">
        <v>40426259.867551677</v>
      </c>
      <c r="H7" s="640">
        <v>43298147.532406956</v>
      </c>
      <c r="I7" s="641">
        <v>47731938.115384571</v>
      </c>
      <c r="J7" s="642">
        <f>(Table3[[#This Row],[PiN 2026]]-Table3[[#This Row],[PiN 2025]])/Table3[[#This Row],[PiN 2025]]</f>
        <v>0.13865505968110509</v>
      </c>
      <c r="K7" s="643">
        <f>(Table3[[#This Row],[Target 2026 (1&amp;2) (3)50%]]-Table3[[#This Row],[Target 2025]])/Table3[[#This Row],[Target 2025]]</f>
        <v>0.18071615508752176</v>
      </c>
      <c r="L7" s="644">
        <f>(Table3[[#This Row],[Requirement 2026 (1&amp;2) (3)50%]]-Table3[[#This Row],[Requirement 2025]])/Table3[[#This Row],[Requirement 2025]]</f>
        <v>0.18071615508752098</v>
      </c>
      <c r="M7" s="697">
        <f>(Table3[[#This Row],[Requirement 2026 (1&amp;2) (3)50%]]-Table3[[#This Row],[Requirement 2025]])/Table3[[#This Row],[Requirement 2025]]</f>
        <v>0.18071615508752098</v>
      </c>
      <c r="N7" s="683">
        <v>30230227.473076884</v>
      </c>
      <c r="O7" s="568"/>
      <c r="P7" s="569"/>
      <c r="Q7" s="702"/>
    </row>
    <row r="8" spans="1:19" ht="22.5" x14ac:dyDescent="0.75">
      <c r="A8" s="567" t="s">
        <v>492</v>
      </c>
      <c r="B8" s="634">
        <v>5342405.8687670603</v>
      </c>
      <c r="C8" s="635">
        <v>1466779.0316791299</v>
      </c>
      <c r="D8" s="645">
        <v>4867750</v>
      </c>
      <c r="E8" s="637">
        <v>1397167.9999999998</v>
      </c>
      <c r="F8" s="682">
        <v>1451619.9999999998</v>
      </c>
      <c r="G8" s="639">
        <v>81428023.750982344</v>
      </c>
      <c r="H8" s="640">
        <v>70545480.730517149</v>
      </c>
      <c r="I8" s="641">
        <v>79426435</v>
      </c>
      <c r="J8" s="642">
        <f>(Table3[[#This Row],[PiN 2026]]-Table3[[#This Row],[PiN 2025]])/Table3[[#This Row],[PiN 2025]]</f>
        <v>-8.8846838002707401E-2</v>
      </c>
      <c r="K8" s="643">
        <f>(Table3[[#This Row],[Target 2026 (1&amp;2) (3)50%]]-Table3[[#This Row],[Target 2025]])/Table3[[#This Row],[Target 2025]]</f>
        <v>-1.0334911634083356E-2</v>
      </c>
      <c r="L8" s="644">
        <f>(Table3[[#This Row],[Requirement 2026 (1&amp;2) (3)50%]]-Table3[[#This Row],[Requirement 2025]])/Table3[[#This Row],[Requirement 2025]]</f>
        <v>-2.4581079814775648E-2</v>
      </c>
      <c r="M8" s="697">
        <f>(Table3[[#This Row],[Requirement 2026 (1&amp;2) (3)50%]]-Table3[[#This Row],[Requirement 2025]])/Table3[[#This Row],[Requirement 2025]]</f>
        <v>-2.4581079814775648E-2</v>
      </c>
      <c r="N8" s="683">
        <v>71431800.169258431</v>
      </c>
      <c r="O8" s="568"/>
      <c r="P8" s="569"/>
      <c r="Q8" s="702"/>
    </row>
    <row r="9" spans="1:19" ht="22.5" x14ac:dyDescent="0.75">
      <c r="A9" s="570" t="s">
        <v>84</v>
      </c>
      <c r="B9" s="634">
        <v>4334588.2826397922</v>
      </c>
      <c r="C9" s="635">
        <v>2843605.3069349024</v>
      </c>
      <c r="D9" s="645">
        <v>5250932.6034867046</v>
      </c>
      <c r="E9" s="646">
        <v>1369296.8171777958</v>
      </c>
      <c r="F9" s="647">
        <v>1833612.4122859854</v>
      </c>
      <c r="G9" s="648">
        <v>198443342.68307555</v>
      </c>
      <c r="H9" s="649">
        <v>97150883.488216966</v>
      </c>
      <c r="I9" s="650">
        <v>127987662.76532052</v>
      </c>
      <c r="J9" s="642">
        <f>(Table3[[#This Row],[PiN 2026]]-Table3[[#This Row],[PiN 2025]])/Table3[[#This Row],[PiN 2025]]</f>
        <v>0.21140285099669323</v>
      </c>
      <c r="K9" s="643">
        <f>(Table3[[#This Row],[Target 2026 (1&amp;2) (3)50%]]-Table3[[#This Row],[Target 2025]])/Table3[[#This Row],[Target 2025]]</f>
        <v>-0.35518040854185196</v>
      </c>
      <c r="L9" s="644">
        <f>(Table3[[#This Row],[Requirement 2026 (1&amp;2) (3)50%]]-Table3[[#This Row],[Requirement 2025]])/Table3[[#This Row],[Requirement 2025]]</f>
        <v>-0.35504179160233379</v>
      </c>
      <c r="M9" s="697">
        <f>(Table3[[#This Row],[Requirement 2026 (1&amp;2) (3)50%]]-Table3[[#This Row],[Requirement 2025]])/Table3[[#This Row],[Requirement 2025]]</f>
        <v>-0.35504179160233379</v>
      </c>
      <c r="N9" s="683">
        <v>120041308.46222518</v>
      </c>
      <c r="O9" s="568"/>
      <c r="P9" s="569"/>
      <c r="Q9" s="702"/>
    </row>
    <row r="10" spans="1:19" ht="22.5" x14ac:dyDescent="0.75">
      <c r="A10" s="567" t="s">
        <v>493</v>
      </c>
      <c r="B10" s="634"/>
      <c r="C10" s="635"/>
      <c r="D10" s="645"/>
      <c r="E10" s="637"/>
      <c r="F10" s="638"/>
      <c r="G10" s="639">
        <v>99806929</v>
      </c>
      <c r="H10" s="651">
        <v>78248221</v>
      </c>
      <c r="I10" s="641">
        <v>78248221</v>
      </c>
      <c r="J10" s="642"/>
      <c r="K10" s="643"/>
      <c r="L10" s="644">
        <f>(Table3[[#This Row],[Requirement 2026 (1&amp;2) (3)50%]]-Table3[[#This Row],[Requirement 2025]])/Table3[[#This Row],[Requirement 2025]]</f>
        <v>-0.21600412131706809</v>
      </c>
      <c r="M10" s="697">
        <f>(Table3[[#This Row],[Requirement 2026 (1&amp;2) (3)50%]]-Table3[[#This Row],[Requirement 2025]])/Table3[[#This Row],[Requirement 2025]]</f>
        <v>-0.21600412131706809</v>
      </c>
      <c r="N10" s="683">
        <v>45000000</v>
      </c>
      <c r="O10" s="568"/>
      <c r="P10" s="569"/>
      <c r="Q10" s="702"/>
    </row>
    <row r="11" spans="1:19" ht="22.5" x14ac:dyDescent="0.75">
      <c r="A11" s="567" t="s">
        <v>494</v>
      </c>
      <c r="B11" s="634"/>
      <c r="C11" s="635"/>
      <c r="D11" s="645"/>
      <c r="E11" s="637"/>
      <c r="F11" s="638"/>
      <c r="G11" s="639">
        <v>36000000</v>
      </c>
      <c r="H11" s="651">
        <v>33230246</v>
      </c>
      <c r="I11" s="641">
        <v>33230246</v>
      </c>
      <c r="J11" s="642"/>
      <c r="K11" s="643"/>
      <c r="L11" s="644">
        <f>(Table3[[#This Row],[Requirement 2026 (1&amp;2) (3)50%]]-Table3[[#This Row],[Requirement 2025]])/Table3[[#This Row],[Requirement 2025]]</f>
        <v>-7.6937611111111109E-2</v>
      </c>
      <c r="M11" s="697">
        <f>(Table3[[#This Row],[Requirement 2026 (1&amp;2) (3)50%]]-Table3[[#This Row],[Requirement 2025]])/Table3[[#This Row],[Requirement 2025]]</f>
        <v>-7.6937611111111109E-2</v>
      </c>
      <c r="N11" s="683">
        <v>20000000</v>
      </c>
      <c r="O11" s="568"/>
      <c r="P11" s="569"/>
      <c r="Q11" s="702"/>
    </row>
    <row r="12" spans="1:19" ht="22.5" x14ac:dyDescent="0.75">
      <c r="A12" s="567" t="s">
        <v>508</v>
      </c>
      <c r="B12" s="652"/>
      <c r="C12" s="635"/>
      <c r="D12" s="653"/>
      <c r="E12" s="654"/>
      <c r="F12" s="655">
        <v>463704.84288357024</v>
      </c>
      <c r="G12" s="648">
        <v>25000000</v>
      </c>
      <c r="H12" s="656">
        <v>33539527</v>
      </c>
      <c r="I12" s="657">
        <v>33539527</v>
      </c>
      <c r="J12" s="642"/>
      <c r="K12" s="643"/>
      <c r="L12" s="644">
        <f>(Table3[[#This Row],[Requirement 2026 (1&amp;2) (3)50%]]-Table3[[#This Row],[Requirement 2025]])/Table3[[#This Row],[Requirement 2025]]</f>
        <v>0.34158107999999998</v>
      </c>
      <c r="M12" s="697">
        <f>(Table3[[#This Row],[Requirement 2026 (1&amp;2) (3)50%]]-Table3[[#This Row],[Requirement 2025]])/Table3[[#This Row],[Requirement 2025]]</f>
        <v>0.34158107999999998</v>
      </c>
      <c r="N12" s="683">
        <v>30000000</v>
      </c>
      <c r="O12" s="568"/>
      <c r="P12" s="569"/>
      <c r="Q12" s="702"/>
    </row>
    <row r="13" spans="1:19" ht="23.65" customHeight="1" thickBot="1" x14ac:dyDescent="0.8">
      <c r="A13" s="567" t="s">
        <v>495</v>
      </c>
      <c r="B13" s="658">
        <v>680000</v>
      </c>
      <c r="C13" s="659">
        <v>680000</v>
      </c>
      <c r="D13" s="646">
        <v>741304</v>
      </c>
      <c r="E13" s="646">
        <v>592848</v>
      </c>
      <c r="F13" s="647">
        <v>592848</v>
      </c>
      <c r="G13" s="660">
        <v>468000000</v>
      </c>
      <c r="H13" s="661">
        <v>500000000</v>
      </c>
      <c r="I13" s="662">
        <v>500000000</v>
      </c>
      <c r="J13" s="642">
        <f>(Table3[[#This Row],[PiN 2026]]-Table3[[#This Row],[PiN 2025]])/Table3[[#This Row],[PiN 2025]]</f>
        <v>9.0152941176470588E-2</v>
      </c>
      <c r="K13" s="643">
        <f>(Table3[[#This Row],[Target 2026 (1&amp;2) (3)50%]]-Table3[[#This Row],[Target 2025]])/Table3[[#This Row],[Target 2025]]</f>
        <v>-0.12816470588235293</v>
      </c>
      <c r="L13" s="644">
        <f>(Table3[[#This Row],[Requirement 2026 (1&amp;2) (3)50%]]-Table3[[#This Row],[Requirement 2025]])/Table3[[#This Row],[Requirement 2025]]</f>
        <v>6.8376068376068383E-2</v>
      </c>
      <c r="M13" s="697">
        <f>(Table3[[#This Row],[Requirement 2026 (1&amp;2) (3)50%]]-Table3[[#This Row],[Requirement 2025]])/Table3[[#This Row],[Requirement 2025]]</f>
        <v>6.8376068376068383E-2</v>
      </c>
      <c r="N13" s="683">
        <v>185000000</v>
      </c>
      <c r="O13" s="568"/>
      <c r="P13" s="569"/>
    </row>
    <row r="14" spans="1:19" s="598" customFormat="1" ht="24.6" customHeight="1" x14ac:dyDescent="0.75">
      <c r="A14" s="586" t="s">
        <v>504</v>
      </c>
      <c r="B14" s="587">
        <v>8610087.860200379</v>
      </c>
      <c r="C14" s="588">
        <v>4696982.0874516992</v>
      </c>
      <c r="D14" s="589">
        <v>9266561.0112328362</v>
      </c>
      <c r="E14" s="590">
        <v>3199208.6734797391</v>
      </c>
      <c r="F14" s="591">
        <v>3656206.6689127614</v>
      </c>
      <c r="G14" s="592">
        <v>1226778642.9387994</v>
      </c>
      <c r="H14" s="593">
        <f>SUM(H2:H12)</f>
        <v>966349486.22884309</v>
      </c>
      <c r="I14" s="594">
        <f>SUM(I2:I12)</f>
        <v>1081563558.1963456</v>
      </c>
      <c r="J14" s="595">
        <f>(Table3[[#This Row],[PiN 2026]]-Table3[[#This Row],[PiN 2025]])/Table3[[#This Row],[PiN 2025]]</f>
        <v>7.6244651819055806E-2</v>
      </c>
      <c r="K14" s="596">
        <f>(Table3[[#This Row],[Target 2026 (1&amp;2) (3)50%]]-Table3[[#This Row],[Target 2025]])/Table3[[#This Row],[Target 2025]]</f>
        <v>-0.2215838594146311</v>
      </c>
      <c r="L14" s="597">
        <f>(Table3[[#This Row],[Requirement 2026 (1&amp;2) (3)50%]]-Table3[[#This Row],[Requirement 2025]])/Table3[[#This Row],[Requirement 2025]]</f>
        <v>-0.11837105705931188</v>
      </c>
      <c r="M14" s="699">
        <f>(Table3[[#This Row],[Requirement 2026 (1&amp;2) (3)50%]]-Table3[[#This Row],[Requirement 2025]])/Table3[[#This Row],[Requirement 2025]]</f>
        <v>-0.11837105705931188</v>
      </c>
      <c r="N14" s="684">
        <f>SUM(N2:N12)</f>
        <v>857108967.62496352</v>
      </c>
      <c r="O14" s="599"/>
    </row>
    <row r="15" spans="1:19" s="598" customFormat="1" ht="25.5" customHeight="1" thickBot="1" x14ac:dyDescent="0.8">
      <c r="A15" s="600" t="s">
        <v>503</v>
      </c>
      <c r="B15" s="601">
        <v>9290087.860200379</v>
      </c>
      <c r="C15" s="602">
        <v>5376982.0874516992</v>
      </c>
      <c r="D15" s="603">
        <f>SUM(D13:D14)</f>
        <v>10007865.011232836</v>
      </c>
      <c r="E15" s="604">
        <f>SUM(E14,E13)</f>
        <v>3792056.6734797391</v>
      </c>
      <c r="F15" s="605">
        <f>SUM(F14,F13)</f>
        <v>4249054.6689127609</v>
      </c>
      <c r="G15" s="606">
        <v>1694778642.9387994</v>
      </c>
      <c r="H15" s="604">
        <f>SUM(H2:H13)</f>
        <v>1466349486.2288432</v>
      </c>
      <c r="I15" s="604">
        <f>SUM(I2:I13)</f>
        <v>1581563558.1963456</v>
      </c>
      <c r="J15" s="607">
        <f>(Table3[[#This Row],[PiN 2026]]-Table3[[#This Row],[PiN 2025]])/Table3[[#This Row],[PiN 2025]]</f>
        <v>7.7262687052453274E-2</v>
      </c>
      <c r="K15" s="608">
        <f>(Table3[[#This Row],[Target 2026 (1&amp;2) (3)50%]]-Table3[[#This Row],[Target 2025]])/Table3[[#This Row],[Target 2025]]</f>
        <v>-0.20976960685273444</v>
      </c>
      <c r="L15" s="609">
        <f>(Table3[[#This Row],[Requirement 2026 (1&amp;2) (3)50%]]-Table3[[#This Row],[Requirement 2025]])/Table3[[#This Row],[Requirement 2025]]</f>
        <v>-6.6802284306660423E-2</v>
      </c>
      <c r="M15" s="698">
        <f>(Table3[[#This Row],[Requirement 2026 (1&amp;2) (3)50%]]-Table3[[#This Row],[Requirement 2025]])/Table3[[#This Row],[Requirement 2025]]</f>
        <v>-6.6802284306660423E-2</v>
      </c>
      <c r="N15" s="700">
        <f>SUM(N2:N13)</f>
        <v>1042108967.6249635</v>
      </c>
      <c r="O15" s="599"/>
      <c r="Q15" s="599"/>
      <c r="S15" s="610"/>
    </row>
    <row r="16" spans="1:19" x14ac:dyDescent="0.45">
      <c r="O16" s="569"/>
    </row>
    <row r="17" spans="1:20" x14ac:dyDescent="0.45">
      <c r="P17" s="569"/>
    </row>
    <row r="18" spans="1:20" x14ac:dyDescent="0.45">
      <c r="L18" s="569"/>
      <c r="O18" s="112"/>
    </row>
    <row r="19" spans="1:20" x14ac:dyDescent="0.45">
      <c r="O19" s="569"/>
    </row>
    <row r="20" spans="1:20" ht="20.399999999999999" thickBot="1" x14ac:dyDescent="0.75">
      <c r="A20" s="571"/>
      <c r="B20" s="571"/>
      <c r="C20" s="571"/>
      <c r="D20" s="571"/>
      <c r="E20" s="571"/>
      <c r="F20" s="571"/>
      <c r="G20" s="571"/>
      <c r="H20" s="571"/>
      <c r="I20" s="571"/>
      <c r="J20" s="571"/>
      <c r="K20" s="571"/>
      <c r="L20" s="571"/>
      <c r="O20" s="569"/>
      <c r="P20" s="569"/>
      <c r="T20" s="18"/>
    </row>
    <row r="21" spans="1:20" s="680" customFormat="1" ht="141.6" x14ac:dyDescent="0.6">
      <c r="A21" s="663" t="s">
        <v>489</v>
      </c>
      <c r="B21" s="664" t="s">
        <v>497</v>
      </c>
      <c r="C21" s="665" t="s">
        <v>498</v>
      </c>
      <c r="D21" s="666" t="s">
        <v>496</v>
      </c>
      <c r="E21" s="667" t="s">
        <v>510</v>
      </c>
      <c r="F21" s="668" t="s">
        <v>509</v>
      </c>
      <c r="G21" s="669" t="s">
        <v>502</v>
      </c>
      <c r="H21" s="670" t="s">
        <v>512</v>
      </c>
      <c r="I21" s="671" t="s">
        <v>511</v>
      </c>
      <c r="J21" s="672" t="s">
        <v>505</v>
      </c>
      <c r="K21" s="673" t="s">
        <v>506</v>
      </c>
      <c r="L21" s="674" t="s">
        <v>507</v>
      </c>
      <c r="M21" s="675" t="s">
        <v>515</v>
      </c>
      <c r="N21" s="663" t="s">
        <v>516</v>
      </c>
    </row>
    <row r="22" spans="1:20" s="582" customFormat="1" ht="24.9" x14ac:dyDescent="0.8">
      <c r="A22" s="633" t="s">
        <v>490</v>
      </c>
      <c r="B22" s="572">
        <f>B2/1000000</f>
        <v>4.2433169301740001</v>
      </c>
      <c r="C22" s="573">
        <f>C2/1000000</f>
        <v>1.3668811894257327</v>
      </c>
      <c r="D22" s="574">
        <f t="shared" ref="D22:I22" si="0">D2/1000000</f>
        <v>6.6693553914749231</v>
      </c>
      <c r="E22" s="575">
        <f t="shared" si="0"/>
        <v>1.3272416942932994</v>
      </c>
      <c r="F22" s="576">
        <f t="shared" si="0"/>
        <v>0.88235294733366954</v>
      </c>
      <c r="G22" s="572">
        <f t="shared" si="0"/>
        <v>46.47396044047494</v>
      </c>
      <c r="H22" s="575">
        <f t="shared" si="0"/>
        <v>45.126217605972187</v>
      </c>
      <c r="I22" s="576">
        <f t="shared" si="0"/>
        <v>51.383194176345292</v>
      </c>
      <c r="J22" s="577">
        <f>(Table310[[#This Row],[PiN 2026]]-Table310[[#This Row],[PiN 2025]])/Table310[[#This Row],[PiN 2025]]</f>
        <v>0.57173161967928743</v>
      </c>
      <c r="K22" s="578">
        <f>(Table310[[#This Row],[Target 2026 (1&amp;2) (3)50%]]-Table310[[#This Row],[Target 2025]])/Table310[[#This Row],[Target 2025]]</f>
        <v>-0.35447721853252501</v>
      </c>
      <c r="L22" s="579">
        <f>(Table310[[#This Row],[Requirement 2026 (1&amp;2) (3)50%]]-Table310[[#This Row],[Requirement 2025]])/Table310[[#This Row],[Requirement 2025]]</f>
        <v>0.1056340731313017</v>
      </c>
      <c r="M22" s="580">
        <v>30</v>
      </c>
      <c r="N22" s="581">
        <f>Table310[[#This Row],[Requirement 2026 (1&amp;2) (3)50%]]-Table310[[#This Row],[New Requirement 2026 (Priority 1,2 and 50% of 3)]]</f>
        <v>21.383194176345292</v>
      </c>
      <c r="T22" s="583"/>
    </row>
    <row r="23" spans="1:20" s="582" customFormat="1" ht="24.9" x14ac:dyDescent="0.8">
      <c r="A23" s="633" t="s">
        <v>83</v>
      </c>
      <c r="B23" s="572">
        <f t="shared" ref="B23:I23" si="1">B3/1000000</f>
        <v>1.3517317071169004</v>
      </c>
      <c r="C23" s="573">
        <f t="shared" si="1"/>
        <v>1.1268840081744282</v>
      </c>
      <c r="D23" s="574">
        <f t="shared" si="1"/>
        <v>1.3590056654804838</v>
      </c>
      <c r="E23" s="575">
        <f t="shared" si="1"/>
        <v>0.69310899999999998</v>
      </c>
      <c r="F23" s="576">
        <f t="shared" si="1"/>
        <v>0.73598600000000003</v>
      </c>
      <c r="G23" s="572">
        <f t="shared" si="1"/>
        <v>18.586559784159281</v>
      </c>
      <c r="H23" s="575">
        <f t="shared" si="1"/>
        <v>15.941507</v>
      </c>
      <c r="I23" s="576">
        <f t="shared" si="1"/>
        <v>16.927678</v>
      </c>
      <c r="J23" s="577">
        <f>(Table310[[#This Row],[PiN 2026]]-Table310[[#This Row],[PiN 2025]])/Table310[[#This Row],[PiN 2025]]</f>
        <v>5.3812145748197652E-3</v>
      </c>
      <c r="K23" s="578">
        <f>(Table310[[#This Row],[Target 2026 (1&amp;2) (3)50%]]-Table310[[#This Row],[Target 2025]])/Table310[[#This Row],[Target 2025]]</f>
        <v>-0.34688397859837394</v>
      </c>
      <c r="L23" s="579">
        <f>(Table310[[#This Row],[Requirement 2026 (1&amp;2) (3)50%]]-Table310[[#This Row],[Requirement 2025]])/Table310[[#This Row],[Requirement 2025]]</f>
        <v>-8.9251685272768527E-2</v>
      </c>
      <c r="M23" s="580">
        <v>15</v>
      </c>
      <c r="N23" s="581">
        <f>Table310[[#This Row],[Requirement 2026 (1&amp;2) (3)50%]]-Table310[[#This Row],[New Requirement 2026 (Priority 1,2 and 50% of 3)]]</f>
        <v>1.9276780000000002</v>
      </c>
    </row>
    <row r="24" spans="1:20" s="582" customFormat="1" ht="24.9" x14ac:dyDescent="0.8">
      <c r="A24" s="633" t="s">
        <v>491</v>
      </c>
      <c r="B24" s="572">
        <f t="shared" ref="B24:I24" si="2">B4/1000000</f>
        <v>7.7501647495274941</v>
      </c>
      <c r="C24" s="573">
        <f t="shared" si="2"/>
        <v>3.556521</v>
      </c>
      <c r="D24" s="584">
        <v>7.65</v>
      </c>
      <c r="E24" s="575">
        <f t="shared" si="2"/>
        <v>2.2904001701299763</v>
      </c>
      <c r="F24" s="576">
        <f t="shared" si="2"/>
        <v>2.6640318583353766</v>
      </c>
      <c r="G24" s="572">
        <f t="shared" si="2"/>
        <v>475.06879249999997</v>
      </c>
      <c r="H24" s="575">
        <f t="shared" si="2"/>
        <v>372.45278591601516</v>
      </c>
      <c r="I24" s="576">
        <f t="shared" si="2"/>
        <v>410.56017321042464</v>
      </c>
      <c r="J24" s="577">
        <f>(Table310[[#This Row],[PiN 2026]]-Table310[[#This Row],[PiN 2025]])/Table310[[#This Row],[PiN 2025]]</f>
        <v>-1.2924209067116997E-2</v>
      </c>
      <c r="K24" s="578">
        <f>(Table310[[#This Row],[Target 2026 (1&amp;2) (3)50%]]-Table310[[#This Row],[Target 2025]])/Table310[[#This Row],[Target 2025]]</f>
        <v>-0.25094443183791787</v>
      </c>
      <c r="L24" s="579">
        <f>(Table310[[#This Row],[Requirement 2026 (1&amp;2) (3)50%]]-Table310[[#This Row],[Requirement 2025]])/Table310[[#This Row],[Requirement 2025]]</f>
        <v>-0.13578795388791054</v>
      </c>
      <c r="M24" s="580">
        <v>360</v>
      </c>
      <c r="N24" s="581">
        <f>Table310[[#This Row],[Requirement 2026 (1&amp;2) (3)50%]]-Table310[[#This Row],[New Requirement 2026 (Priority 1,2 and 50% of 3)]]</f>
        <v>50.560173210424637</v>
      </c>
    </row>
    <row r="25" spans="1:20" s="582" customFormat="1" ht="24.9" x14ac:dyDescent="0.8">
      <c r="A25" s="633" t="s">
        <v>86</v>
      </c>
      <c r="B25" s="572">
        <f t="shared" ref="B25:I25" si="3">B5/1000000</f>
        <v>5.6573268418663236</v>
      </c>
      <c r="C25" s="573">
        <f t="shared" si="3"/>
        <v>3.089736428976503</v>
      </c>
      <c r="D25" s="574">
        <f t="shared" si="3"/>
        <v>6.269692233340364</v>
      </c>
      <c r="E25" s="575">
        <f t="shared" si="3"/>
        <v>2.5057979034614339</v>
      </c>
      <c r="F25" s="576">
        <f t="shared" si="3"/>
        <v>2.8846002048612509</v>
      </c>
      <c r="G25" s="572">
        <f t="shared" si="3"/>
        <v>119.22898380931608</v>
      </c>
      <c r="H25" s="575">
        <f t="shared" si="3"/>
        <v>98.728437396380485</v>
      </c>
      <c r="I25" s="576">
        <f t="shared" si="3"/>
        <v>113.65324807153324</v>
      </c>
      <c r="J25" s="577">
        <f>(Table310[[#This Row],[PiN 2026]]-Table310[[#This Row],[PiN 2025]])/Table310[[#This Row],[PiN 2025]]</f>
        <v>0.10824288724885199</v>
      </c>
      <c r="K25" s="578">
        <f>(Table310[[#This Row],[Target 2026 (1&amp;2) (3)50%]]-Table310[[#This Row],[Target 2025]])/Table310[[#This Row],[Target 2025]]</f>
        <v>-6.6392790722024447E-2</v>
      </c>
      <c r="L25" s="579">
        <f>(Table310[[#This Row],[Requirement 2026 (1&amp;2) (3)50%]]-Table310[[#This Row],[Requirement 2025]])/Table310[[#This Row],[Requirement 2025]]</f>
        <v>-4.676493550175817E-2</v>
      </c>
      <c r="M25" s="580">
        <v>75</v>
      </c>
      <c r="N25" s="581">
        <f>Table310[[#This Row],[Requirement 2026 (1&amp;2) (3)50%]]-Table310[[#This Row],[New Requirement 2026 (Priority 1,2 and 50% of 3)]]</f>
        <v>38.653248071533241</v>
      </c>
      <c r="Q25" s="585"/>
      <c r="T25" s="585"/>
    </row>
    <row r="26" spans="1:20" s="582" customFormat="1" ht="24.9" x14ac:dyDescent="0.8">
      <c r="A26" s="633" t="s">
        <v>89</v>
      </c>
      <c r="B26" s="572">
        <f t="shared" ref="B26:I26" si="4">B6/1000000</f>
        <v>5.0101390219568085</v>
      </c>
      <c r="C26" s="573">
        <f t="shared" si="4"/>
        <v>2.2515683440319689</v>
      </c>
      <c r="D26" s="574">
        <f t="shared" si="4"/>
        <v>6.8064947796443871</v>
      </c>
      <c r="E26" s="575">
        <f t="shared" si="4"/>
        <v>1.904586159983761</v>
      </c>
      <c r="F26" s="576">
        <f t="shared" si="4"/>
        <v>2.1676886550570074</v>
      </c>
      <c r="G26" s="572">
        <f t="shared" si="4"/>
        <v>86.315791103239363</v>
      </c>
      <c r="H26" s="575">
        <f t="shared" si="4"/>
        <v>78.088032559334209</v>
      </c>
      <c r="I26" s="576">
        <f t="shared" si="4"/>
        <v>88.875234857337261</v>
      </c>
      <c r="J26" s="577">
        <f>(Table310[[#This Row],[PiN 2026]]-Table310[[#This Row],[PiN 2025]])/Table310[[#This Row],[PiN 2025]]</f>
        <v>0.35854409424870143</v>
      </c>
      <c r="K26" s="578">
        <f>(Table310[[#This Row],[Target 2026 (1&amp;2) (3)50%]]-Table310[[#This Row],[Target 2025]])/Table310[[#This Row],[Target 2025]]</f>
        <v>-3.7253894245446277E-2</v>
      </c>
      <c r="L26" s="579">
        <f>(Table310[[#This Row],[Requirement 2026 (1&amp;2) (3)50%]]-Table310[[#This Row],[Requirement 2025]])/Table310[[#This Row],[Requirement 2025]]</f>
        <v>2.9652091713283792E-2</v>
      </c>
      <c r="M26" s="580">
        <v>60</v>
      </c>
      <c r="N26" s="581">
        <f>Table310[[#This Row],[Requirement 2026 (1&amp;2) (3)50%]]-Table310[[#This Row],[New Requirement 2026 (Priority 1,2 and 50% of 3)]]</f>
        <v>28.875234857337261</v>
      </c>
    </row>
    <row r="27" spans="1:20" s="582" customFormat="1" ht="24.9" x14ac:dyDescent="0.8">
      <c r="A27" s="633" t="s">
        <v>56</v>
      </c>
      <c r="B27" s="572">
        <f t="shared" ref="B27:I27" si="5">B7/1000000</f>
        <v>2.1392784789218773</v>
      </c>
      <c r="C27" s="573">
        <f t="shared" si="5"/>
        <v>0.6737709977925278</v>
      </c>
      <c r="D27" s="574">
        <f t="shared" si="5"/>
        <v>2.4359002640912939</v>
      </c>
      <c r="E27" s="575">
        <f t="shared" si="5"/>
        <v>0.72163579220678264</v>
      </c>
      <c r="F27" s="576">
        <f t="shared" si="5"/>
        <v>0.79553230192307656</v>
      </c>
      <c r="G27" s="572">
        <f t="shared" si="5"/>
        <v>40.426259867551678</v>
      </c>
      <c r="H27" s="575">
        <f t="shared" si="5"/>
        <v>43.298147532406958</v>
      </c>
      <c r="I27" s="576">
        <f t="shared" si="5"/>
        <v>47.731938115384573</v>
      </c>
      <c r="J27" s="577">
        <f>(Table310[[#This Row],[PiN 2026]]-Table310[[#This Row],[PiN 2025]])/Table310[[#This Row],[PiN 2025]]</f>
        <v>0.13865505968110509</v>
      </c>
      <c r="K27" s="578">
        <f>(Table310[[#This Row],[Target 2026 (1&amp;2) (3)50%]]-Table310[[#This Row],[Target 2025]])/Table310[[#This Row],[Target 2025]]</f>
        <v>0.18071615508752178</v>
      </c>
      <c r="L27" s="579">
        <f>(Table310[[#This Row],[Requirement 2026 (1&amp;2) (3)50%]]-Table310[[#This Row],[Requirement 2025]])/Table310[[#This Row],[Requirement 2025]]</f>
        <v>0.18071615508752098</v>
      </c>
      <c r="M27" s="580">
        <v>30</v>
      </c>
      <c r="N27" s="581">
        <f>Table310[[#This Row],[Requirement 2026 (1&amp;2) (3)50%]]-Table310[[#This Row],[New Requirement 2026 (Priority 1,2 and 50% of 3)]]</f>
        <v>17.731938115384573</v>
      </c>
    </row>
    <row r="28" spans="1:20" s="582" customFormat="1" ht="24.9" x14ac:dyDescent="0.8">
      <c r="A28" s="633" t="s">
        <v>492</v>
      </c>
      <c r="B28" s="572">
        <f t="shared" ref="B28:I28" si="6">B8/1000000</f>
        <v>5.3424058687670604</v>
      </c>
      <c r="C28" s="573">
        <f t="shared" si="6"/>
        <v>1.4667790316791298</v>
      </c>
      <c r="D28" s="574">
        <f t="shared" si="6"/>
        <v>4.86775</v>
      </c>
      <c r="E28" s="575">
        <f t="shared" si="6"/>
        <v>1.3971679999999997</v>
      </c>
      <c r="F28" s="576">
        <f t="shared" si="6"/>
        <v>1.4516199999999997</v>
      </c>
      <c r="G28" s="572">
        <f t="shared" si="6"/>
        <v>81.428023750982348</v>
      </c>
      <c r="H28" s="575">
        <f t="shared" si="6"/>
        <v>70.545480730517156</v>
      </c>
      <c r="I28" s="576">
        <f t="shared" si="6"/>
        <v>79.426434999999998</v>
      </c>
      <c r="J28" s="577">
        <f>(Table310[[#This Row],[PiN 2026]]-Table310[[#This Row],[PiN 2025]])/Table310[[#This Row],[PiN 2025]]</f>
        <v>-8.8846838002707401E-2</v>
      </c>
      <c r="K28" s="578">
        <f>(Table310[[#This Row],[Target 2026 (1&amp;2) (3)50%]]-Table310[[#This Row],[Target 2025]])/Table310[[#This Row],[Target 2025]]</f>
        <v>-1.0334911634083337E-2</v>
      </c>
      <c r="L28" s="579">
        <f>(Table310[[#This Row],[Requirement 2026 (1&amp;2) (3)50%]]-Table310[[#This Row],[Requirement 2025]])/Table310[[#This Row],[Requirement 2025]]</f>
        <v>-2.4581079814775718E-2</v>
      </c>
      <c r="M28" s="580">
        <v>71.400000000000006</v>
      </c>
      <c r="N28" s="581">
        <f>Table310[[#This Row],[Requirement 2026 (1&amp;2) (3)50%]]-Table310[[#This Row],[New Requirement 2026 (Priority 1,2 and 50% of 3)]]</f>
        <v>8.0264349999999922</v>
      </c>
    </row>
    <row r="29" spans="1:20" s="582" customFormat="1" ht="24.9" x14ac:dyDescent="0.8">
      <c r="A29" s="633" t="s">
        <v>84</v>
      </c>
      <c r="B29" s="572">
        <f t="shared" ref="B29:I29" si="7">B9/1000000</f>
        <v>4.3345882826397926</v>
      </c>
      <c r="C29" s="573">
        <f t="shared" si="7"/>
        <v>2.8436053069349025</v>
      </c>
      <c r="D29" s="574">
        <f t="shared" si="7"/>
        <v>5.2509326034867048</v>
      </c>
      <c r="E29" s="575">
        <f t="shared" si="7"/>
        <v>1.3692968171777957</v>
      </c>
      <c r="F29" s="576">
        <f t="shared" si="7"/>
        <v>1.8336124122859854</v>
      </c>
      <c r="G29" s="572">
        <f t="shared" si="7"/>
        <v>198.44334268307554</v>
      </c>
      <c r="H29" s="575">
        <f t="shared" si="7"/>
        <v>97.150883488216962</v>
      </c>
      <c r="I29" s="576">
        <f t="shared" si="7"/>
        <v>127.98766276532052</v>
      </c>
      <c r="J29" s="577">
        <f>(Table310[[#This Row],[PiN 2026]]-Table310[[#This Row],[PiN 2025]])/Table310[[#This Row],[PiN 2025]]</f>
        <v>0.21140285099669318</v>
      </c>
      <c r="K29" s="578">
        <f>(Table310[[#This Row],[Target 2026 (1&amp;2) (3)50%]]-Table310[[#This Row],[Target 2025]])/Table310[[#This Row],[Target 2025]]</f>
        <v>-0.35518040854185201</v>
      </c>
      <c r="L29" s="579">
        <f>(Table310[[#This Row],[Requirement 2026 (1&amp;2) (3)50%]]-Table310[[#This Row],[Requirement 2025]])/Table310[[#This Row],[Requirement 2025]]</f>
        <v>-0.35504179160233379</v>
      </c>
      <c r="M29" s="580">
        <v>120</v>
      </c>
      <c r="N29" s="581">
        <f>Table310[[#This Row],[Requirement 2026 (1&amp;2) (3)50%]]-Table310[[#This Row],[New Requirement 2026 (Priority 1,2 and 50% of 3)]]</f>
        <v>7.9876627653205219</v>
      </c>
    </row>
    <row r="30" spans="1:20" s="582" customFormat="1" ht="24.9" x14ac:dyDescent="0.8">
      <c r="A30" s="633" t="s">
        <v>493</v>
      </c>
      <c r="B30" s="572">
        <f t="shared" ref="B30:I30" si="8">B10/1000000</f>
        <v>0</v>
      </c>
      <c r="C30" s="573">
        <f t="shared" si="8"/>
        <v>0</v>
      </c>
      <c r="D30" s="574">
        <f t="shared" si="8"/>
        <v>0</v>
      </c>
      <c r="E30" s="575">
        <f t="shared" si="8"/>
        <v>0</v>
      </c>
      <c r="F30" s="576">
        <f t="shared" si="8"/>
        <v>0</v>
      </c>
      <c r="G30" s="572">
        <f t="shared" si="8"/>
        <v>99.806928999999997</v>
      </c>
      <c r="H30" s="575">
        <f t="shared" si="8"/>
        <v>78.248221000000001</v>
      </c>
      <c r="I30" s="576">
        <f t="shared" si="8"/>
        <v>78.248221000000001</v>
      </c>
      <c r="J30" s="577"/>
      <c r="K30" s="578"/>
      <c r="L30" s="579">
        <f>(Table310[[#This Row],[Requirement 2026 (1&amp;2) (3)50%]]-Table310[[#This Row],[Requirement 2025]])/Table310[[#This Row],[Requirement 2025]]</f>
        <v>-0.21600412131706803</v>
      </c>
      <c r="M30" s="580">
        <v>45</v>
      </c>
      <c r="N30" s="581">
        <f>Table310[[#This Row],[Requirement 2026 (1&amp;2) (3)50%]]-Table310[[#This Row],[New Requirement 2026 (Priority 1,2 and 50% of 3)]]</f>
        <v>33.248221000000001</v>
      </c>
    </row>
    <row r="31" spans="1:20" s="582" customFormat="1" ht="24.9" x14ac:dyDescent="0.8">
      <c r="A31" s="633" t="s">
        <v>494</v>
      </c>
      <c r="B31" s="572">
        <f t="shared" ref="B31:I31" si="9">B11/1000000</f>
        <v>0</v>
      </c>
      <c r="C31" s="573">
        <f t="shared" si="9"/>
        <v>0</v>
      </c>
      <c r="D31" s="574">
        <f t="shared" si="9"/>
        <v>0</v>
      </c>
      <c r="E31" s="575">
        <f t="shared" si="9"/>
        <v>0</v>
      </c>
      <c r="F31" s="576">
        <f t="shared" si="9"/>
        <v>0</v>
      </c>
      <c r="G31" s="572">
        <f t="shared" si="9"/>
        <v>36</v>
      </c>
      <c r="H31" s="575">
        <f t="shared" si="9"/>
        <v>33.230246000000001</v>
      </c>
      <c r="I31" s="576">
        <f t="shared" si="9"/>
        <v>33.230246000000001</v>
      </c>
      <c r="J31" s="577"/>
      <c r="K31" s="578"/>
      <c r="L31" s="579">
        <f>(Table310[[#This Row],[Requirement 2026 (1&amp;2) (3)50%]]-Table310[[#This Row],[Requirement 2025]])/Table310[[#This Row],[Requirement 2025]]</f>
        <v>-7.6937611111111082E-2</v>
      </c>
      <c r="M31" s="580">
        <v>20</v>
      </c>
      <c r="N31" s="581">
        <f>Table310[[#This Row],[Requirement 2026 (1&amp;2) (3)50%]]-Table310[[#This Row],[New Requirement 2026 (Priority 1,2 and 50% of 3)]]</f>
        <v>13.230246000000001</v>
      </c>
    </row>
    <row r="32" spans="1:20" s="582" customFormat="1" ht="24.9" x14ac:dyDescent="0.8">
      <c r="A32" s="633" t="s">
        <v>508</v>
      </c>
      <c r="B32" s="572">
        <f t="shared" ref="B32:I32" si="10">B12/1000000</f>
        <v>0</v>
      </c>
      <c r="C32" s="573">
        <f t="shared" si="10"/>
        <v>0</v>
      </c>
      <c r="D32" s="574">
        <f t="shared" si="10"/>
        <v>0</v>
      </c>
      <c r="E32" s="575">
        <f t="shared" si="10"/>
        <v>0</v>
      </c>
      <c r="F32" s="576">
        <f t="shared" si="10"/>
        <v>0.46370484288357022</v>
      </c>
      <c r="G32" s="572">
        <f t="shared" si="10"/>
        <v>25</v>
      </c>
      <c r="H32" s="575">
        <f t="shared" si="10"/>
        <v>33.539527</v>
      </c>
      <c r="I32" s="576">
        <f t="shared" si="10"/>
        <v>33.539527</v>
      </c>
      <c r="J32" s="577"/>
      <c r="K32" s="578"/>
      <c r="L32" s="579">
        <f>(Table310[[#This Row],[Requirement 2026 (1&amp;2) (3)50%]]-Table310[[#This Row],[Requirement 2025]])/Table310[[#This Row],[Requirement 2025]]</f>
        <v>0.34158107999999998</v>
      </c>
      <c r="M32" s="580">
        <v>30</v>
      </c>
      <c r="N32" s="581">
        <f>Table310[[#This Row],[Requirement 2026 (1&amp;2) (3)50%]]-Table310[[#This Row],[New Requirement 2026 (Priority 1,2 and 50% of 3)]]</f>
        <v>3.5395269999999996</v>
      </c>
    </row>
    <row r="33" spans="1:14" s="582" customFormat="1" ht="25.2" thickBot="1" x14ac:dyDescent="0.85">
      <c r="A33" s="633" t="s">
        <v>495</v>
      </c>
      <c r="B33" s="572">
        <f t="shared" ref="B33:I33" si="11">B13/1000000</f>
        <v>0.68</v>
      </c>
      <c r="C33" s="573">
        <f t="shared" si="11"/>
        <v>0.68</v>
      </c>
      <c r="D33" s="574">
        <f t="shared" si="11"/>
        <v>0.74130399999999996</v>
      </c>
      <c r="E33" s="575">
        <f t="shared" si="11"/>
        <v>0.59284800000000004</v>
      </c>
      <c r="F33" s="576">
        <f t="shared" si="11"/>
        <v>0.59284800000000004</v>
      </c>
      <c r="G33" s="572">
        <f t="shared" si="11"/>
        <v>468</v>
      </c>
      <c r="H33" s="575">
        <f t="shared" si="11"/>
        <v>500</v>
      </c>
      <c r="I33" s="576">
        <f t="shared" si="11"/>
        <v>500</v>
      </c>
      <c r="J33" s="577">
        <f>(Table310[[#This Row],[PiN 2026]]-Table310[[#This Row],[PiN 2025]])/Table310[[#This Row],[PiN 2025]]</f>
        <v>9.015294117647045E-2</v>
      </c>
      <c r="K33" s="578">
        <f>(Table310[[#This Row],[Target 2026 (1&amp;2) (3)50%]]-Table310[[#This Row],[Target 2025]])/Table310[[#This Row],[Target 2025]]</f>
        <v>-0.12816470588235293</v>
      </c>
      <c r="L33" s="579">
        <f>(Table310[[#This Row],[Requirement 2026 (1&amp;2) (3)50%]]-Table310[[#This Row],[Requirement 2025]])/Table310[[#This Row],[Requirement 2025]]</f>
        <v>6.8376068376068383E-2</v>
      </c>
      <c r="M33" s="580">
        <v>185</v>
      </c>
      <c r="N33" s="581">
        <f>Table310[[#This Row],[Requirement 2026 (1&amp;2) (3)50%]]-Table310[[#This Row],[New Requirement 2026 (Priority 1,2 and 50% of 3)]]</f>
        <v>315</v>
      </c>
    </row>
    <row r="34" spans="1:14" s="598" customFormat="1" ht="20.100000000000001" x14ac:dyDescent="0.7">
      <c r="A34" s="611" t="s">
        <v>504</v>
      </c>
      <c r="B34" s="612">
        <f t="shared" ref="B34:I34" si="12">B14/1000000</f>
        <v>8.6100878602003785</v>
      </c>
      <c r="C34" s="613">
        <f t="shared" si="12"/>
        <v>4.6969820874516994</v>
      </c>
      <c r="D34" s="614">
        <f t="shared" si="12"/>
        <v>9.2665610112328363</v>
      </c>
      <c r="E34" s="615">
        <f t="shared" si="12"/>
        <v>3.1992086734797391</v>
      </c>
      <c r="F34" s="616">
        <f t="shared" si="12"/>
        <v>3.6562066689127612</v>
      </c>
      <c r="G34" s="612">
        <f t="shared" si="12"/>
        <v>1226.7786429387993</v>
      </c>
      <c r="H34" s="615">
        <f t="shared" si="12"/>
        <v>966.34948622884315</v>
      </c>
      <c r="I34" s="616">
        <f t="shared" si="12"/>
        <v>1081.5635581963456</v>
      </c>
      <c r="J34" s="617">
        <f>(Table310[[#This Row],[PiN 2026]]-Table310[[#This Row],[PiN 2025]])/Table310[[#This Row],[PiN 2025]]</f>
        <v>7.6244651819055875E-2</v>
      </c>
      <c r="K34" s="618">
        <f>(Table310[[#This Row],[Target 2026 (1&amp;2) (3)50%]]-Table310[[#This Row],[Target 2025]])/Table310[[#This Row],[Target 2025]]</f>
        <v>-0.22158385941463116</v>
      </c>
      <c r="L34" s="619">
        <f>(Table310[[#This Row],[Requirement 2026 (1&amp;2) (3)50%]]-Table310[[#This Row],[Requirement 2025]])/Table310[[#This Row],[Requirement 2025]]</f>
        <v>-0.11837105705931175</v>
      </c>
      <c r="M34" s="620">
        <v>856.40000000000009</v>
      </c>
      <c r="N34" s="621">
        <f>Table310[[#This Row],[Requirement 2026 (1&amp;2) (3)50%]]-Table310[[#This Row],[New Requirement 2026 (Priority 1,2 and 50% of 3)]]</f>
        <v>225.16355819634555</v>
      </c>
    </row>
    <row r="35" spans="1:14" s="598" customFormat="1" ht="20.399999999999999" thickBot="1" x14ac:dyDescent="0.75">
      <c r="A35" s="622" t="s">
        <v>503</v>
      </c>
      <c r="B35" s="623">
        <f t="shared" ref="B35:I35" si="13">B15/1000000</f>
        <v>9.2900878602003782</v>
      </c>
      <c r="C35" s="624">
        <f t="shared" si="13"/>
        <v>5.3769820874516991</v>
      </c>
      <c r="D35" s="625">
        <f t="shared" si="13"/>
        <v>10.007865011232836</v>
      </c>
      <c r="E35" s="626">
        <f t="shared" si="13"/>
        <v>3.7920566734797392</v>
      </c>
      <c r="F35" s="627">
        <f t="shared" si="13"/>
        <v>4.2490546689127608</v>
      </c>
      <c r="G35" s="623">
        <f t="shared" si="13"/>
        <v>1694.7786429387993</v>
      </c>
      <c r="H35" s="626">
        <f t="shared" si="13"/>
        <v>1466.3494862288433</v>
      </c>
      <c r="I35" s="627">
        <f t="shared" si="13"/>
        <v>1581.5635581963456</v>
      </c>
      <c r="J35" s="628">
        <f>(Table310[[#This Row],[PiN 2026]]-Table310[[#This Row],[PiN 2025]])/Table310[[#This Row],[PiN 2025]]</f>
        <v>7.7262687052453316E-2</v>
      </c>
      <c r="K35" s="629">
        <f>(Table310[[#This Row],[Target 2026 (1&amp;2) (3)50%]]-Table310[[#This Row],[Target 2025]])/Table310[[#This Row],[Target 2025]]</f>
        <v>-0.20976960685273444</v>
      </c>
      <c r="L35" s="630">
        <f>(Table310[[#This Row],[Requirement 2026 (1&amp;2) (3)50%]]-Table310[[#This Row],[Requirement 2025]])/Table310[[#This Row],[Requirement 2025]]</f>
        <v>-6.6802284306660339E-2</v>
      </c>
      <c r="M35" s="631">
        <f>SUM(M22:M33)</f>
        <v>1041.4000000000001</v>
      </c>
      <c r="N35" s="632">
        <f>Table310[[#This Row],[Requirement 2026 (1&amp;2) (3)50%]]-Table310[[#This Row],[New Requirement 2026 (Priority 1,2 and 50% of 3)]]</f>
        <v>540.16355819634555</v>
      </c>
    </row>
  </sheetData>
  <phoneticPr fontId="9" type="noConversion"/>
  <pageMargins left="0.7" right="0.7" top="0.75" bottom="0.75" header="0.3" footer="0.3"/>
  <ignoredErrors>
    <ignoredError sqref="F2:F7 B13:B15 F8:F12 B2:B11 D2:D11 D13:D15 F14:F15 D22 B22 F22" calculatedColumn="1"/>
    <ignoredError sqref="M35 N14" formulaRange="1"/>
  </ignoredErrors>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A8BF-B7C7-4874-A505-B8416B0FD610}">
  <sheetPr>
    <tabColor rgb="FF0D39C8"/>
  </sheetPr>
  <dimension ref="A1:AP81"/>
  <sheetViews>
    <sheetView topLeftCell="U1" workbookViewId="0">
      <selection activeCell="C2" sqref="C2"/>
    </sheetView>
  </sheetViews>
  <sheetFormatPr defaultColWidth="8.83984375" defaultRowHeight="14.4" x14ac:dyDescent="0.55000000000000004"/>
  <cols>
    <col min="1" max="1" width="21.15625" bestFit="1" customWidth="1"/>
    <col min="2" max="2" width="21.15625" customWidth="1"/>
    <col min="3" max="3" width="8.68359375" customWidth="1"/>
    <col min="4" max="4" width="11" customWidth="1"/>
    <col min="5" max="5" width="14.15625" bestFit="1" customWidth="1"/>
    <col min="6" max="6" width="15.41796875" bestFit="1" customWidth="1"/>
    <col min="7" max="7" width="18.68359375" style="433" bestFit="1" customWidth="1"/>
    <col min="8" max="12" width="12" customWidth="1"/>
    <col min="13" max="13" width="17.15625" bestFit="1" customWidth="1"/>
    <col min="14" max="14" width="12" customWidth="1"/>
    <col min="15" max="15" width="17.15625" bestFit="1" customWidth="1"/>
    <col min="16" max="16" width="12" customWidth="1"/>
    <col min="17" max="17" width="16.41796875" bestFit="1" customWidth="1"/>
    <col min="18" max="18" width="12" customWidth="1"/>
    <col min="19" max="19" width="17.41796875" bestFit="1" customWidth="1"/>
    <col min="20" max="23" width="12" customWidth="1"/>
    <col min="24" max="24" width="17.15625" bestFit="1" customWidth="1"/>
    <col min="27" max="29" width="9.41796875" bestFit="1" customWidth="1"/>
    <col min="30" max="30" width="11.83984375" bestFit="1" customWidth="1"/>
    <col min="31" max="32" width="11.83984375" customWidth="1"/>
    <col min="35" max="35" width="13.26171875" bestFit="1" customWidth="1"/>
    <col min="36" max="37" width="7.68359375" bestFit="1" customWidth="1"/>
    <col min="39" max="39" width="9.41796875" customWidth="1"/>
    <col min="40" max="40" width="9.26171875" customWidth="1"/>
  </cols>
  <sheetData>
    <row r="1" spans="1:42" ht="33.6" customHeight="1" thickTop="1" thickBot="1" x14ac:dyDescent="0.8">
      <c r="E1" s="703">
        <f>SUM(Table6[Refugees])</f>
        <v>741303</v>
      </c>
      <c r="F1" s="703">
        <f>SUM(Table6[Overall PiN])</f>
        <v>9266561.0112328362</v>
      </c>
      <c r="G1" s="703">
        <f>SUM(Table6[Overall PiN with REFUGEES])</f>
        <v>10007864.011232838</v>
      </c>
      <c r="H1" s="703"/>
      <c r="I1" s="703">
        <f>SUM(Table6[No. of Male children under 5])</f>
        <v>957747.92476483143</v>
      </c>
      <c r="J1" s="703"/>
      <c r="K1" s="703">
        <f>SUM(Table6[No. of Female children under 5])</f>
        <v>895858.379497085</v>
      </c>
      <c r="L1" s="703"/>
      <c r="M1" s="703">
        <f>SUM(Table6[No. of Male children aged 5 - 17 years])</f>
        <v>1763969.2222743991</v>
      </c>
      <c r="N1" s="703"/>
      <c r="O1" s="703">
        <f>SUM(Table6[No. of Female children aged 5 - 17 years])</f>
        <v>1742443.1200192464</v>
      </c>
      <c r="P1" s="703"/>
      <c r="Q1" s="703">
        <f>SUM(Table6[No. of  Male adults aged 18 - 60])</f>
        <v>1909446.9069445373</v>
      </c>
      <c r="R1" s="703"/>
      <c r="S1" s="703">
        <f>SUM(Table6[No. of Female adults aged 18 - 60])</f>
        <v>2006959.6486653904</v>
      </c>
      <c r="T1" s="703"/>
      <c r="U1" s="703">
        <f>SUM(Table6[No. of Male adults aged over 60])</f>
        <v>347699.23523378232</v>
      </c>
      <c r="V1" s="703"/>
      <c r="W1" s="703">
        <f>SUM(Table6[No. Female adults aged over 60])</f>
        <v>383739.57383356441</v>
      </c>
      <c r="X1" s="703">
        <f>SUM(Table6[Persons with disability])</f>
        <v>1393513.1790300575</v>
      </c>
      <c r="AA1" s="734">
        <f>SUM(I1,M1,Q1,U1)</f>
        <v>4978863.2892175503</v>
      </c>
      <c r="AB1" s="734">
        <f>SUM(K1,O1,S1,W1)</f>
        <v>5029000.7220152859</v>
      </c>
      <c r="AC1" s="737">
        <f>SUM(I1,K1,M1,O1)</f>
        <v>5360018.6465555616</v>
      </c>
      <c r="AD1" s="737">
        <f>SUM(S1,W1)</f>
        <v>2390699.2224989547</v>
      </c>
      <c r="AE1" s="737">
        <f>SUM(Q1,U1)</f>
        <v>2257146.1421783194</v>
      </c>
      <c r="AF1" s="704">
        <f>SUM(Q1,S1,U1,W1)</f>
        <v>4647845.3646772746</v>
      </c>
      <c r="AG1" s="704">
        <f>SUM(U1,W1)</f>
        <v>731438.80906734674</v>
      </c>
      <c r="AJ1" s="122">
        <f>SUM(AJ3:AJ81)</f>
        <v>2721717.1470392291</v>
      </c>
      <c r="AK1" s="122">
        <f t="shared" ref="AK1:AP1" si="0">SUM(AK3:AK81)</f>
        <v>2638301.4995163325</v>
      </c>
      <c r="AL1" s="122">
        <f t="shared" si="0"/>
        <v>1909446.9069445373</v>
      </c>
      <c r="AM1" s="122">
        <f t="shared" si="0"/>
        <v>2006959.6486653904</v>
      </c>
      <c r="AN1" s="122">
        <f t="shared" si="0"/>
        <v>347699.23523378232</v>
      </c>
      <c r="AO1" s="122">
        <f t="shared" si="0"/>
        <v>383739.57383356441</v>
      </c>
      <c r="AP1" s="122">
        <f t="shared" si="0"/>
        <v>10007864.011232838</v>
      </c>
    </row>
    <row r="2" spans="1:42" s="707" customFormat="1" ht="74.25" customHeight="1" thickTop="1" thickBot="1" x14ac:dyDescent="0.6">
      <c r="A2" s="705" t="s">
        <v>75</v>
      </c>
      <c r="B2" s="705" t="s">
        <v>77</v>
      </c>
      <c r="C2" s="705" t="s">
        <v>537</v>
      </c>
      <c r="D2" s="705" t="s">
        <v>536</v>
      </c>
      <c r="E2" s="705" t="s">
        <v>501</v>
      </c>
      <c r="F2" s="706" t="s">
        <v>7</v>
      </c>
      <c r="G2" s="706" t="s">
        <v>518</v>
      </c>
      <c r="H2" s="705" t="s">
        <v>454</v>
      </c>
      <c r="I2" s="705" t="s">
        <v>455</v>
      </c>
      <c r="J2" s="705" t="s">
        <v>456</v>
      </c>
      <c r="K2" s="705" t="s">
        <v>457</v>
      </c>
      <c r="L2" s="705" t="s">
        <v>458</v>
      </c>
      <c r="M2" s="705" t="s">
        <v>459</v>
      </c>
      <c r="N2" s="705" t="s">
        <v>460</v>
      </c>
      <c r="O2" s="705" t="s">
        <v>461</v>
      </c>
      <c r="P2" s="705" t="s">
        <v>462</v>
      </c>
      <c r="Q2" s="705" t="s">
        <v>463</v>
      </c>
      <c r="R2" s="705" t="s">
        <v>464</v>
      </c>
      <c r="S2" s="705" t="s">
        <v>465</v>
      </c>
      <c r="T2" s="705" t="s">
        <v>466</v>
      </c>
      <c r="U2" s="705" t="s">
        <v>467</v>
      </c>
      <c r="V2" s="705" t="s">
        <v>468</v>
      </c>
      <c r="W2" s="705" t="s">
        <v>469</v>
      </c>
      <c r="X2" s="705" t="s">
        <v>470</v>
      </c>
      <c r="AA2" s="735" t="s">
        <v>519</v>
      </c>
      <c r="AB2" s="735" t="s">
        <v>520</v>
      </c>
      <c r="AC2" s="738" t="s">
        <v>521</v>
      </c>
      <c r="AD2" s="738" t="s">
        <v>522</v>
      </c>
      <c r="AE2" s="738" t="s">
        <v>523</v>
      </c>
      <c r="AF2" s="708" t="s">
        <v>524</v>
      </c>
      <c r="AG2" s="708" t="s">
        <v>525</v>
      </c>
      <c r="AJ2" s="709" t="s">
        <v>526</v>
      </c>
      <c r="AK2" s="710" t="s">
        <v>527</v>
      </c>
      <c r="AL2" s="711" t="s">
        <v>528</v>
      </c>
      <c r="AM2" s="711" t="s">
        <v>529</v>
      </c>
      <c r="AN2" s="712" t="s">
        <v>530</v>
      </c>
      <c r="AO2" s="713" t="s">
        <v>531</v>
      </c>
    </row>
    <row r="3" spans="1:42" ht="15" thickTop="1" thickBot="1" x14ac:dyDescent="0.6">
      <c r="A3" t="s">
        <v>233</v>
      </c>
      <c r="B3" t="s">
        <v>233</v>
      </c>
      <c r="C3">
        <v>4</v>
      </c>
      <c r="D3">
        <v>1</v>
      </c>
      <c r="E3" s="22"/>
      <c r="F3" s="433">
        <v>109100.64650775465</v>
      </c>
      <c r="G3" s="433">
        <f>Table6[[#This Row],[Overall PiN]]+Table6[[#This Row],[Refugees]]</f>
        <v>109100.64650775465</v>
      </c>
      <c r="H3" s="714">
        <v>9.6000000000000002E-2</v>
      </c>
      <c r="I3" s="715">
        <f>Table6[[#This Row],[Overall PiN with REFUGEES]]*Table6[[#This Row],[% Male children under 5]]</f>
        <v>10473.662064744447</v>
      </c>
      <c r="J3" s="714">
        <v>8.8999999999999996E-2</v>
      </c>
      <c r="K3" s="715">
        <f>Table6[[#This Row],[Overall PiN with REFUGEES]]*Table6[[#This Row],[% Female children under 5]]</f>
        <v>9709.9575391901635</v>
      </c>
      <c r="L3" s="714">
        <v>0.17699999999999999</v>
      </c>
      <c r="M3" s="715">
        <f>Table6[[#This Row],[Overall PiN with REFUGEES]]*Table6[[#This Row],[% Male children aged 5 - 17 years]]</f>
        <v>19310.814431872572</v>
      </c>
      <c r="N3" s="714">
        <v>0.17299999999999999</v>
      </c>
      <c r="O3" s="715">
        <f>Table6[[#This Row],[Overall PiN with REFUGEES]]*Table6[[#This Row],[% Female children aged 5 - 17 years]]</f>
        <v>18874.411845841551</v>
      </c>
      <c r="P3" s="716">
        <v>0.19</v>
      </c>
      <c r="Q3" s="715">
        <f>Table6[[#This Row],[Overall PiN with REFUGEES]]*Table6[[#This Row],[% Male adults aged 18 - 60]]</f>
        <v>20729.122836473383</v>
      </c>
      <c r="R3" s="714">
        <v>0.20200000000000001</v>
      </c>
      <c r="S3" s="715">
        <f>Table6[[#This Row],[Overall PiN with REFUGEES]]*Table6[[#This Row],[% Female adults aged 18 - 60]]</f>
        <v>22038.33059456644</v>
      </c>
      <c r="T3" s="714">
        <v>3.4000000000000002E-2</v>
      </c>
      <c r="U3" s="715">
        <f>Table6[[#This Row],[Overall PiN with REFUGEES]]*Table6[[#This Row],[% Male adults aged over 60]]</f>
        <v>3709.4219812636584</v>
      </c>
      <c r="V3" s="714">
        <v>3.9E-2</v>
      </c>
      <c r="W3" s="715">
        <f>Table6[[#This Row],[Overall PiN with REFUGEES]]*Table6[[#This Row],[% Female adults aged over 60]]</f>
        <v>4254.9252138024312</v>
      </c>
      <c r="X3" s="412">
        <v>15109.199999999999</v>
      </c>
      <c r="AA3" s="740">
        <f>AA1/G1</f>
        <v>0.49749509821768845</v>
      </c>
      <c r="AB3" s="740">
        <f>AB1/G1</f>
        <v>0.50250490178231133</v>
      </c>
      <c r="AC3" s="739">
        <f>AC1/G1</f>
        <v>0.5355806834045177</v>
      </c>
      <c r="AD3" s="739">
        <f>AD1/G1</f>
        <v>0.23888206512554838</v>
      </c>
      <c r="AE3" s="739">
        <f>AE1/G1</f>
        <v>0.22553725146993364</v>
      </c>
      <c r="AF3" s="717">
        <f>AF1/G1</f>
        <v>0.46441931659548208</v>
      </c>
      <c r="AG3" s="717">
        <f>AG1/G1</f>
        <v>7.3086405675214905E-2</v>
      </c>
      <c r="AI3" t="s">
        <v>532</v>
      </c>
      <c r="AJ3" s="718">
        <f>SUM(I3,M3)</f>
        <v>29784.476496617019</v>
      </c>
      <c r="AK3" s="122">
        <f>SUM(K3,O3)</f>
        <v>28584.369385031714</v>
      </c>
      <c r="AL3" s="122">
        <f>SUM(Table6[[#This Row],[No. of  Male adults aged 18 - 60]])</f>
        <v>20729.122836473383</v>
      </c>
      <c r="AM3" s="122">
        <f>Table6[[#This Row],[No. of Female adults aged 18 - 60]]</f>
        <v>22038.33059456644</v>
      </c>
      <c r="AN3" s="122">
        <f>Table6[[#This Row],[No. of Male adults aged over 60]]</f>
        <v>3709.4219812636584</v>
      </c>
      <c r="AO3" s="719">
        <f>Table6[[#This Row],[No. Female adults aged over 60]]</f>
        <v>4254.9252138024312</v>
      </c>
      <c r="AP3" s="122">
        <f>SUM(AJ3:AO3)</f>
        <v>109100.64650775465</v>
      </c>
    </row>
    <row r="4" spans="1:42" ht="15" thickTop="1" thickBot="1" x14ac:dyDescent="0.6">
      <c r="A4" t="s">
        <v>236</v>
      </c>
      <c r="B4" t="s">
        <v>238</v>
      </c>
      <c r="C4">
        <v>3</v>
      </c>
      <c r="D4">
        <v>4</v>
      </c>
      <c r="E4" s="22">
        <v>52654</v>
      </c>
      <c r="F4" s="433">
        <v>428164.11086743476</v>
      </c>
      <c r="G4" s="433">
        <f>Table6[[#This Row],[Overall PiN]]+Table6[[#This Row],[Refugees]]</f>
        <v>480818.11086743476</v>
      </c>
      <c r="H4" s="19">
        <v>7.3999999999999996E-2</v>
      </c>
      <c r="I4" s="715">
        <f>Table6[[#This Row],[Overall PiN with REFUGEES]]*Table6[[#This Row],[% Male children under 5]]</f>
        <v>35580.540204190169</v>
      </c>
      <c r="J4" s="19">
        <v>9.74E-2</v>
      </c>
      <c r="K4" s="715">
        <f>Table6[[#This Row],[Overall PiN with REFUGEES]]*Table6[[#This Row],[% Female children under 5]]</f>
        <v>46831.683998488144</v>
      </c>
      <c r="L4" s="19">
        <v>0.154</v>
      </c>
      <c r="M4" s="715">
        <f>Table6[[#This Row],[Overall PiN with REFUGEES]]*Table6[[#This Row],[% Male children aged 5 - 17 years]]</f>
        <v>74045.989073584948</v>
      </c>
      <c r="N4" s="19">
        <v>0.159</v>
      </c>
      <c r="O4" s="715">
        <f>Table6[[#This Row],[Overall PiN with REFUGEES]]*Table6[[#This Row],[% Female children aged 5 - 17 years]]</f>
        <v>76450.079627922125</v>
      </c>
      <c r="P4" s="19">
        <v>0.23199999999999998</v>
      </c>
      <c r="Q4" s="715">
        <f>Table6[[#This Row],[Overall PiN with REFUGEES]]*Table6[[#This Row],[% Male adults aged 18 - 60]]</f>
        <v>111549.80172124486</v>
      </c>
      <c r="R4" s="19">
        <v>0.24099999999999999</v>
      </c>
      <c r="S4" s="715">
        <f>Table6[[#This Row],[Overall PiN with REFUGEES]]*Table6[[#This Row],[% Female adults aged 18 - 60]]</f>
        <v>115877.16471905177</v>
      </c>
      <c r="T4" s="19">
        <v>2.3499999999999997E-2</v>
      </c>
      <c r="U4" s="715">
        <f>Table6[[#This Row],[Overall PiN with REFUGEES]]*Table6[[#This Row],[% Male adults aged over 60]]</f>
        <v>11299.225605384716</v>
      </c>
      <c r="V4" s="19">
        <v>1.9099999999999999E-2</v>
      </c>
      <c r="W4" s="715">
        <f>Table6[[#This Row],[Overall PiN with REFUGEES]]*Table6[[#This Row],[% Female adults aged over 60]]</f>
        <v>9183.6259175680043</v>
      </c>
      <c r="X4" s="412">
        <v>57561.667844051335</v>
      </c>
      <c r="AI4" t="s">
        <v>238</v>
      </c>
      <c r="AJ4" s="718">
        <f t="shared" ref="AJ4:AJ67" si="1">SUM(I4,M4)</f>
        <v>109626.52927777512</v>
      </c>
      <c r="AK4" s="122">
        <f t="shared" ref="AK4:AK67" si="2">SUM(K4,O4)</f>
        <v>123281.76362641028</v>
      </c>
      <c r="AL4" s="122">
        <f>SUM(Table6[[#This Row],[No. of  Male adults aged 18 - 60]])</f>
        <v>111549.80172124486</v>
      </c>
      <c r="AM4" s="122">
        <f>Table6[[#This Row],[No. of Female adults aged 18 - 60]]</f>
        <v>115877.16471905177</v>
      </c>
      <c r="AN4" s="122">
        <f>Table6[[#This Row],[No. of Male adults aged over 60]]</f>
        <v>11299.225605384716</v>
      </c>
      <c r="AO4" s="719">
        <f>Table6[[#This Row],[No. Female adults aged over 60]]</f>
        <v>9183.6259175680043</v>
      </c>
      <c r="AP4" s="122">
        <f t="shared" ref="AP4:AP67" si="3">SUM(AJ4:AO4)</f>
        <v>480818.11086743471</v>
      </c>
    </row>
    <row r="5" spans="1:42" x14ac:dyDescent="0.55000000000000004">
      <c r="A5" t="s">
        <v>236</v>
      </c>
      <c r="B5" t="s">
        <v>240</v>
      </c>
      <c r="C5">
        <v>3</v>
      </c>
      <c r="D5">
        <v>5</v>
      </c>
      <c r="E5" s="22"/>
      <c r="F5" s="433">
        <v>160421.01515238851</v>
      </c>
      <c r="G5" s="433">
        <f>Table6[[#This Row],[Overall PiN]]+Table6[[#This Row],[Refugees]]</f>
        <v>160421.01515238851</v>
      </c>
      <c r="H5" s="19">
        <v>1.6299999999999999E-2</v>
      </c>
      <c r="I5" s="715">
        <f>Table6[[#This Row],[Overall PiN with REFUGEES]]*Table6[[#This Row],[% Male children under 5]]</f>
        <v>2614.8625469839326</v>
      </c>
      <c r="J5" s="19">
        <v>3.0099999999999998E-2</v>
      </c>
      <c r="K5" s="715">
        <f>Table6[[#This Row],[Overall PiN with REFUGEES]]*Table6[[#This Row],[% Female children under 5]]</f>
        <v>4828.6725560868936</v>
      </c>
      <c r="L5" s="19">
        <v>5.7500000000000002E-2</v>
      </c>
      <c r="M5" s="715">
        <f>Table6[[#This Row],[Overall PiN with REFUGEES]]*Table6[[#This Row],[% Male children aged 5 - 17 years]]</f>
        <v>9224.2083712623407</v>
      </c>
      <c r="N5" s="19">
        <v>5.8099999999999999E-2</v>
      </c>
      <c r="O5" s="715">
        <f>Table6[[#This Row],[Overall PiN with REFUGEES]]*Table6[[#This Row],[% Female children aged 5 - 17 years]]</f>
        <v>9320.4609803537733</v>
      </c>
      <c r="P5" s="19">
        <v>0.32800000000000001</v>
      </c>
      <c r="Q5" s="715">
        <f>Table6[[#This Row],[Overall PiN with REFUGEES]]*Table6[[#This Row],[% Male adults aged 18 - 60]]</f>
        <v>52618.092969983438</v>
      </c>
      <c r="R5" s="19">
        <v>0.32</v>
      </c>
      <c r="S5" s="715">
        <f>Table6[[#This Row],[Overall PiN with REFUGEES]]*Table6[[#This Row],[% Female adults aged 18 - 60]]</f>
        <v>51334.724848764323</v>
      </c>
      <c r="T5" s="19">
        <v>0.127</v>
      </c>
      <c r="U5" s="715">
        <f>Table6[[#This Row],[Overall PiN with REFUGEES]]*Table6[[#This Row],[% Male adults aged over 60]]</f>
        <v>20373.468924353343</v>
      </c>
      <c r="V5" s="19">
        <v>6.3E-2</v>
      </c>
      <c r="W5" s="715">
        <f>Table6[[#This Row],[Overall PiN with REFUGEES]]*Table6[[#This Row],[% Female adults aged over 60]]</f>
        <v>10106.523954600476</v>
      </c>
      <c r="X5" s="412">
        <v>22170.06548298736</v>
      </c>
      <c r="AA5" s="724" t="s">
        <v>520</v>
      </c>
      <c r="AB5" s="725" t="s">
        <v>534</v>
      </c>
      <c r="AC5" s="725" t="s">
        <v>524</v>
      </c>
      <c r="AD5" s="726" t="s">
        <v>521</v>
      </c>
      <c r="AI5" t="s">
        <v>240</v>
      </c>
      <c r="AJ5" s="718">
        <f t="shared" si="1"/>
        <v>11839.070918246274</v>
      </c>
      <c r="AK5" s="122">
        <f t="shared" si="2"/>
        <v>14149.133536440666</v>
      </c>
      <c r="AL5" s="122">
        <f>SUM(Table6[[#This Row],[No. of  Male adults aged 18 - 60]])</f>
        <v>52618.092969983438</v>
      </c>
      <c r="AM5" s="122">
        <f>Table6[[#This Row],[No. of Female adults aged 18 - 60]]</f>
        <v>51334.724848764323</v>
      </c>
      <c r="AN5" s="122">
        <f>Table6[[#This Row],[No. of Male adults aged over 60]]</f>
        <v>20373.468924353343</v>
      </c>
      <c r="AO5" s="719">
        <f>Table6[[#This Row],[No. Female adults aged over 60]]</f>
        <v>10106.523954600476</v>
      </c>
      <c r="AP5" s="122">
        <f t="shared" si="3"/>
        <v>160421.01515238851</v>
      </c>
    </row>
    <row r="6" spans="1:42" x14ac:dyDescent="0.55000000000000004">
      <c r="A6" t="s">
        <v>236</v>
      </c>
      <c r="B6" t="s">
        <v>242</v>
      </c>
      <c r="C6">
        <v>3</v>
      </c>
      <c r="D6">
        <v>5</v>
      </c>
      <c r="E6" s="22"/>
      <c r="F6" s="433">
        <v>62991.967154464714</v>
      </c>
      <c r="G6" s="433">
        <f>Table6[[#This Row],[Overall PiN]]+Table6[[#This Row],[Refugees]]</f>
        <v>62991.967154464714</v>
      </c>
      <c r="H6" s="19">
        <v>0.105</v>
      </c>
      <c r="I6" s="715">
        <f>Table6[[#This Row],[Overall PiN with REFUGEES]]*Table6[[#This Row],[% Male children under 5]]</f>
        <v>6614.1565512187944</v>
      </c>
      <c r="J6" s="19">
        <v>0.10100000000000001</v>
      </c>
      <c r="K6" s="715">
        <f>Table6[[#This Row],[Overall PiN with REFUGEES]]*Table6[[#This Row],[% Female children under 5]]</f>
        <v>6362.1886826009368</v>
      </c>
      <c r="L6" s="19">
        <v>0.11</v>
      </c>
      <c r="M6" s="715">
        <f>Table6[[#This Row],[Overall PiN with REFUGEES]]*Table6[[#This Row],[% Male children aged 5 - 17 years]]</f>
        <v>6929.1163869911188</v>
      </c>
      <c r="N6" s="19">
        <v>0.104</v>
      </c>
      <c r="O6" s="715">
        <f>Table6[[#This Row],[Overall PiN with REFUGEES]]*Table6[[#This Row],[% Female children aged 5 - 17 years]]</f>
        <v>6551.1645840643296</v>
      </c>
      <c r="P6" s="19">
        <v>0.28600000000000003</v>
      </c>
      <c r="Q6" s="715">
        <f>Table6[[#This Row],[Overall PiN with REFUGEES]]*Table6[[#This Row],[% Male adults aged 18 - 60]]</f>
        <v>18015.70260617691</v>
      </c>
      <c r="R6" s="19">
        <v>0.23400000000000001</v>
      </c>
      <c r="S6" s="715">
        <f>Table6[[#This Row],[Overall PiN with REFUGEES]]*Table6[[#This Row],[% Female adults aged 18 - 60]]</f>
        <v>14740.120314144744</v>
      </c>
      <c r="T6" s="19">
        <v>2.6999999999999996E-2</v>
      </c>
      <c r="U6" s="715">
        <f>Table6[[#This Row],[Overall PiN with REFUGEES]]*Table6[[#This Row],[% Male adults aged over 60]]</f>
        <v>1700.783113170547</v>
      </c>
      <c r="V6" s="19">
        <v>3.3000000000000002E-2</v>
      </c>
      <c r="W6" s="715">
        <f>Table6[[#This Row],[Overall PiN with REFUGEES]]*Table6[[#This Row],[% Female adults aged over 60]]</f>
        <v>2078.7349160973358</v>
      </c>
      <c r="X6" s="412">
        <v>10730.446484382164</v>
      </c>
      <c r="AA6" s="727"/>
      <c r="AB6" s="728">
        <f>W1/G1</f>
        <v>3.8343803772998383E-2</v>
      </c>
      <c r="AC6" s="728">
        <f>(S1)/G1</f>
        <v>0.20053826135255001</v>
      </c>
      <c r="AD6" s="729">
        <f>(K1+O1)/G1</f>
        <v>0.263622836656763</v>
      </c>
      <c r="AI6" t="s">
        <v>242</v>
      </c>
      <c r="AJ6" s="718">
        <f t="shared" si="1"/>
        <v>13543.272938209913</v>
      </c>
      <c r="AK6" s="122">
        <f t="shared" si="2"/>
        <v>12913.353266665266</v>
      </c>
      <c r="AL6" s="122">
        <f>SUM(Table6[[#This Row],[No. of  Male adults aged 18 - 60]])</f>
        <v>18015.70260617691</v>
      </c>
      <c r="AM6" s="122">
        <f>Table6[[#This Row],[No. of Female adults aged 18 - 60]]</f>
        <v>14740.120314144744</v>
      </c>
      <c r="AN6" s="122">
        <f>Table6[[#This Row],[No. of Male adults aged over 60]]</f>
        <v>1700.783113170547</v>
      </c>
      <c r="AO6" s="719">
        <f>Table6[[#This Row],[No. Female adults aged over 60]]</f>
        <v>2078.7349160973358</v>
      </c>
      <c r="AP6" s="122">
        <f t="shared" si="3"/>
        <v>62991.967154464728</v>
      </c>
    </row>
    <row r="7" spans="1:42" x14ac:dyDescent="0.55000000000000004">
      <c r="A7" t="s">
        <v>236</v>
      </c>
      <c r="B7" t="s">
        <v>244</v>
      </c>
      <c r="C7">
        <v>3</v>
      </c>
      <c r="D7">
        <v>5</v>
      </c>
      <c r="E7" s="22">
        <v>2573</v>
      </c>
      <c r="F7" s="433">
        <v>72379.637363534348</v>
      </c>
      <c r="G7" s="433">
        <f>Table6[[#This Row],[Overall PiN]]+Table6[[#This Row],[Refugees]]</f>
        <v>74952.637363534348</v>
      </c>
      <c r="H7" s="19">
        <v>8.1500000000000003E-2</v>
      </c>
      <c r="I7" s="715">
        <f>Table6[[#This Row],[Overall PiN with REFUGEES]]*Table6[[#This Row],[% Male children under 5]]</f>
        <v>6108.6399451280495</v>
      </c>
      <c r="J7" s="19">
        <v>0.105</v>
      </c>
      <c r="K7" s="715">
        <f>Table6[[#This Row],[Overall PiN with REFUGEES]]*Table6[[#This Row],[% Female children under 5]]</f>
        <v>7870.0269231711063</v>
      </c>
      <c r="L7" s="19">
        <v>0.17800000000000002</v>
      </c>
      <c r="M7" s="715">
        <f>Table6[[#This Row],[Overall PiN with REFUGEES]]*Table6[[#This Row],[% Male children aged 5 - 17 years]]</f>
        <v>13341.569450709116</v>
      </c>
      <c r="N7" s="19">
        <v>0.16300000000000001</v>
      </c>
      <c r="O7" s="715">
        <f>Table6[[#This Row],[Overall PiN with REFUGEES]]*Table6[[#This Row],[% Female children aged 5 - 17 years]]</f>
        <v>12217.279890256099</v>
      </c>
      <c r="P7" s="19">
        <v>0.21799999999999997</v>
      </c>
      <c r="Q7" s="715">
        <f>Table6[[#This Row],[Overall PiN with REFUGEES]]*Table6[[#This Row],[% Male adults aged 18 - 60]]</f>
        <v>16339.674945250486</v>
      </c>
      <c r="R7" s="19">
        <v>0.20300000000000001</v>
      </c>
      <c r="S7" s="715">
        <f>Table6[[#This Row],[Overall PiN with REFUGEES]]*Table6[[#This Row],[% Female adults aged 18 - 60]]</f>
        <v>15215.385384797473</v>
      </c>
      <c r="T7" s="19">
        <v>3.2600000000000004E-2</v>
      </c>
      <c r="U7" s="715">
        <f>Table6[[#This Row],[Overall PiN with REFUGEES]]*Table6[[#This Row],[% Male adults aged over 60]]</f>
        <v>2443.45597805122</v>
      </c>
      <c r="V7" s="19">
        <v>1.89E-2</v>
      </c>
      <c r="W7" s="715">
        <f>Table6[[#This Row],[Overall PiN with REFUGEES]]*Table6[[#This Row],[% Female adults aged over 60]]</f>
        <v>1416.6048461707992</v>
      </c>
      <c r="X7" s="412">
        <v>10709.647733705473</v>
      </c>
      <c r="AA7" s="727"/>
      <c r="AD7" s="730"/>
      <c r="AI7" t="s">
        <v>244</v>
      </c>
      <c r="AJ7" s="718">
        <f t="shared" si="1"/>
        <v>19450.209395837166</v>
      </c>
      <c r="AK7" s="122">
        <f t="shared" si="2"/>
        <v>20087.306813427203</v>
      </c>
      <c r="AL7" s="122">
        <f>SUM(Table6[[#This Row],[No. of  Male adults aged 18 - 60]])</f>
        <v>16339.674945250486</v>
      </c>
      <c r="AM7" s="122">
        <f>Table6[[#This Row],[No. of Female adults aged 18 - 60]]</f>
        <v>15215.385384797473</v>
      </c>
      <c r="AN7" s="122">
        <f>Table6[[#This Row],[No. of Male adults aged over 60]]</f>
        <v>2443.45597805122</v>
      </c>
      <c r="AO7" s="719">
        <f>Table6[[#This Row],[No. Female adults aged over 60]]</f>
        <v>1416.6048461707992</v>
      </c>
      <c r="AP7" s="122">
        <f t="shared" si="3"/>
        <v>74952.637363534348</v>
      </c>
    </row>
    <row r="8" spans="1:42" ht="14.7" thickBot="1" x14ac:dyDescent="0.6">
      <c r="A8" t="s">
        <v>236</v>
      </c>
      <c r="B8" t="s">
        <v>246</v>
      </c>
      <c r="C8">
        <v>3</v>
      </c>
      <c r="D8">
        <v>4</v>
      </c>
      <c r="E8" s="22"/>
      <c r="F8" s="433">
        <v>163462.05708244268</v>
      </c>
      <c r="G8" s="433">
        <f>Table6[[#This Row],[Overall PiN]]+Table6[[#This Row],[Refugees]]</f>
        <v>163462.05708244268</v>
      </c>
      <c r="H8" s="19">
        <v>8.8499999999999995E-2</v>
      </c>
      <c r="I8" s="715">
        <f>Table6[[#This Row],[Overall PiN with REFUGEES]]*Table6[[#This Row],[% Male children under 5]]</f>
        <v>14466.392051796176</v>
      </c>
      <c r="J8" s="19">
        <v>8.3099999999999993E-2</v>
      </c>
      <c r="K8" s="715">
        <f>Table6[[#This Row],[Overall PiN with REFUGEES]]*Table6[[#This Row],[% Female children under 5]]</f>
        <v>13583.696943550985</v>
      </c>
      <c r="L8" s="19">
        <v>0.18099999999999997</v>
      </c>
      <c r="M8" s="715">
        <f>Table6[[#This Row],[Overall PiN with REFUGEES]]*Table6[[#This Row],[% Male children aged 5 - 17 years]]</f>
        <v>29586.632331922119</v>
      </c>
      <c r="N8" s="19">
        <v>0.16400000000000001</v>
      </c>
      <c r="O8" s="715">
        <f>Table6[[#This Row],[Overall PiN with REFUGEES]]*Table6[[#This Row],[% Female children aged 5 - 17 years]]</f>
        <v>26807.777361520602</v>
      </c>
      <c r="P8" s="19">
        <v>0.19339999999999999</v>
      </c>
      <c r="Q8" s="715">
        <f>Table6[[#This Row],[Overall PiN with REFUGEES]]*Table6[[#This Row],[% Male adults aged 18 - 60]]</f>
        <v>31613.561839744412</v>
      </c>
      <c r="R8" s="19">
        <v>0.23100000000000001</v>
      </c>
      <c r="S8" s="715">
        <f>Table6[[#This Row],[Overall PiN with REFUGEES]]*Table6[[#This Row],[% Female adults aged 18 - 60]]</f>
        <v>37759.735186044265</v>
      </c>
      <c r="T8" s="19">
        <v>1.8599999999999998E-2</v>
      </c>
      <c r="U8" s="715">
        <f>Table6[[#This Row],[Overall PiN with REFUGEES]]*Table6[[#This Row],[% Male adults aged over 60]]</f>
        <v>3040.3942617334337</v>
      </c>
      <c r="V8" s="19">
        <v>4.0399999999999998E-2</v>
      </c>
      <c r="W8" s="715">
        <f>Table6[[#This Row],[Overall PiN with REFUGEES]]*Table6[[#This Row],[% Female adults aged over 60]]</f>
        <v>6603.8671061306841</v>
      </c>
      <c r="X8" s="412">
        <v>20086.909139292216</v>
      </c>
      <c r="AA8" s="731" t="s">
        <v>519</v>
      </c>
      <c r="AB8" s="732">
        <f>U1/G1</f>
        <v>3.4742601902216529E-2</v>
      </c>
      <c r="AC8" s="732">
        <f>(Q1)/G1</f>
        <v>0.19079464956771713</v>
      </c>
      <c r="AD8" s="733">
        <f>(I1+M1)/G1</f>
        <v>0.27195784674775475</v>
      </c>
      <c r="AI8" t="s">
        <v>246</v>
      </c>
      <c r="AJ8" s="718">
        <f t="shared" si="1"/>
        <v>44053.024383718293</v>
      </c>
      <c r="AK8" s="122">
        <f t="shared" si="2"/>
        <v>40391.474305071592</v>
      </c>
      <c r="AL8" s="122">
        <f>SUM(Table6[[#This Row],[No. of  Male adults aged 18 - 60]])</f>
        <v>31613.561839744412</v>
      </c>
      <c r="AM8" s="122">
        <f>Table6[[#This Row],[No. of Female adults aged 18 - 60]]</f>
        <v>37759.735186044265</v>
      </c>
      <c r="AN8" s="122">
        <f>Table6[[#This Row],[No. of Male adults aged over 60]]</f>
        <v>3040.3942617334337</v>
      </c>
      <c r="AO8" s="719">
        <f>Table6[[#This Row],[No. Female adults aged over 60]]</f>
        <v>6603.8671061306841</v>
      </c>
      <c r="AP8" s="122">
        <f t="shared" si="3"/>
        <v>163462.05708244268</v>
      </c>
    </row>
    <row r="9" spans="1:42" x14ac:dyDescent="0.55000000000000004">
      <c r="A9" t="s">
        <v>236</v>
      </c>
      <c r="B9" t="s">
        <v>248</v>
      </c>
      <c r="C9">
        <v>3</v>
      </c>
      <c r="D9">
        <v>5</v>
      </c>
      <c r="E9" s="22">
        <v>3199</v>
      </c>
      <c r="F9" s="433">
        <v>213876.65830153931</v>
      </c>
      <c r="G9" s="433">
        <f>Table6[[#This Row],[Overall PiN]]+Table6[[#This Row],[Refugees]]</f>
        <v>217075.65830153931</v>
      </c>
      <c r="H9" s="19">
        <v>9.3799999999999994E-2</v>
      </c>
      <c r="I9" s="715">
        <f>Table6[[#This Row],[Overall PiN with REFUGEES]]*Table6[[#This Row],[% Male children under 5]]</f>
        <v>20361.696748684386</v>
      </c>
      <c r="J9" s="19">
        <v>0.122</v>
      </c>
      <c r="K9" s="715">
        <f>Table6[[#This Row],[Overall PiN with REFUGEES]]*Table6[[#This Row],[% Female children under 5]]</f>
        <v>26483.230312787797</v>
      </c>
      <c r="L9" s="19">
        <v>0.14600000000000002</v>
      </c>
      <c r="M9" s="715">
        <f>Table6[[#This Row],[Overall PiN with REFUGEES]]*Table6[[#This Row],[% Male children aged 5 - 17 years]]</f>
        <v>31693.046112024742</v>
      </c>
      <c r="N9" s="19">
        <v>0.189</v>
      </c>
      <c r="O9" s="715">
        <f>Table6[[#This Row],[Overall PiN with REFUGEES]]*Table6[[#This Row],[% Female children aged 5 - 17 years]]</f>
        <v>41027.29941899093</v>
      </c>
      <c r="P9" s="19">
        <v>0.17399999999999999</v>
      </c>
      <c r="Q9" s="715">
        <f>Table6[[#This Row],[Overall PiN with REFUGEES]]*Table6[[#This Row],[% Male adults aged 18 - 60]]</f>
        <v>37771.164544467836</v>
      </c>
      <c r="R9" s="19">
        <v>0.193</v>
      </c>
      <c r="S9" s="715">
        <f>Table6[[#This Row],[Overall PiN with REFUGEES]]*Table6[[#This Row],[% Female adults aged 18 - 60]]</f>
        <v>41895.602052197086</v>
      </c>
      <c r="T9" s="19">
        <v>5.3199999999999997E-2</v>
      </c>
      <c r="U9" s="715">
        <f>Table6[[#This Row],[Overall PiN with REFUGEES]]*Table6[[#This Row],[% Male adults aged over 60]]</f>
        <v>11548.425021641891</v>
      </c>
      <c r="V9" s="19">
        <v>2.9000000000000001E-2</v>
      </c>
      <c r="W9" s="715">
        <f>Table6[[#This Row],[Overall PiN with REFUGEES]]*Table6[[#This Row],[% Female adults aged over 60]]</f>
        <v>6295.1940907446406</v>
      </c>
      <c r="X9" s="412">
        <v>25430.680740088439</v>
      </c>
      <c r="AI9" t="s">
        <v>248</v>
      </c>
      <c r="AJ9" s="718">
        <f t="shared" si="1"/>
        <v>52054.742860709128</v>
      </c>
      <c r="AK9" s="122">
        <f t="shared" si="2"/>
        <v>67510.529731778719</v>
      </c>
      <c r="AL9" s="122">
        <f>SUM(Table6[[#This Row],[No. of  Male adults aged 18 - 60]])</f>
        <v>37771.164544467836</v>
      </c>
      <c r="AM9" s="122">
        <f>Table6[[#This Row],[No. of Female adults aged 18 - 60]]</f>
        <v>41895.602052197086</v>
      </c>
      <c r="AN9" s="122">
        <f>Table6[[#This Row],[No. of Male adults aged over 60]]</f>
        <v>11548.425021641891</v>
      </c>
      <c r="AO9" s="719">
        <f>Table6[[#This Row],[No. Female adults aged over 60]]</f>
        <v>6295.1940907446406</v>
      </c>
      <c r="AP9" s="122">
        <f t="shared" si="3"/>
        <v>217075.65830153931</v>
      </c>
    </row>
    <row r="10" spans="1:42" x14ac:dyDescent="0.55000000000000004">
      <c r="A10" t="s">
        <v>250</v>
      </c>
      <c r="B10" t="s">
        <v>252</v>
      </c>
      <c r="C10">
        <v>3</v>
      </c>
      <c r="D10">
        <v>4</v>
      </c>
      <c r="E10" s="22"/>
      <c r="F10" s="433">
        <v>65755.44493525791</v>
      </c>
      <c r="G10" s="433">
        <f>Table6[[#This Row],[Overall PiN]]+Table6[[#This Row],[Refugees]]</f>
        <v>65755.44493525791</v>
      </c>
      <c r="H10" s="19">
        <v>0.1036</v>
      </c>
      <c r="I10" s="715">
        <f>Table6[[#This Row],[Overall PiN with REFUGEES]]*Table6[[#This Row],[% Male children under 5]]</f>
        <v>6812.2640952927195</v>
      </c>
      <c r="J10" s="19">
        <v>9.7799999999999998E-2</v>
      </c>
      <c r="K10" s="715">
        <f>Table6[[#This Row],[Overall PiN with REFUGEES]]*Table6[[#This Row],[% Female children under 5]]</f>
        <v>6430.8825146682238</v>
      </c>
      <c r="L10" s="19">
        <v>0.189</v>
      </c>
      <c r="M10" s="715">
        <f>Table6[[#This Row],[Overall PiN with REFUGEES]]*Table6[[#This Row],[% Male children aged 5 - 17 years]]</f>
        <v>12427.779092763745</v>
      </c>
      <c r="N10" s="19">
        <v>0.17299999999999999</v>
      </c>
      <c r="O10" s="715">
        <f>Table6[[#This Row],[Overall PiN with REFUGEES]]*Table6[[#This Row],[% Female children aged 5 - 17 years]]</f>
        <v>11375.691973799618</v>
      </c>
      <c r="P10" s="19">
        <v>0.16</v>
      </c>
      <c r="Q10" s="715">
        <f>Table6[[#This Row],[Overall PiN with REFUGEES]]*Table6[[#This Row],[% Male adults aged 18 - 60]]</f>
        <v>10520.871189641266</v>
      </c>
      <c r="R10" s="19">
        <v>0.22</v>
      </c>
      <c r="S10" s="715">
        <f>Table6[[#This Row],[Overall PiN with REFUGEES]]*Table6[[#This Row],[% Female adults aged 18 - 60]]</f>
        <v>14466.197885756741</v>
      </c>
      <c r="T10" s="19">
        <v>1.8099999999999998E-2</v>
      </c>
      <c r="U10" s="715">
        <f>Table6[[#This Row],[Overall PiN with REFUGEES]]*Table6[[#This Row],[% Male adults aged over 60]]</f>
        <v>1190.1735533281681</v>
      </c>
      <c r="V10" s="19">
        <v>3.85E-2</v>
      </c>
      <c r="W10" s="715">
        <f>Table6[[#This Row],[Overall PiN with REFUGEES]]*Table6[[#This Row],[% Female adults aged over 60]]</f>
        <v>2531.5846300074295</v>
      </c>
      <c r="X10" s="412">
        <v>8146.2142949999998</v>
      </c>
      <c r="AI10" t="s">
        <v>252</v>
      </c>
      <c r="AJ10" s="718">
        <f t="shared" si="1"/>
        <v>19240.043188056465</v>
      </c>
      <c r="AK10" s="122">
        <f t="shared" si="2"/>
        <v>17806.574488467842</v>
      </c>
      <c r="AL10" s="122">
        <f>SUM(Table6[[#This Row],[No. of  Male adults aged 18 - 60]])</f>
        <v>10520.871189641266</v>
      </c>
      <c r="AM10" s="122">
        <f>Table6[[#This Row],[No. of Female adults aged 18 - 60]]</f>
        <v>14466.197885756741</v>
      </c>
      <c r="AN10" s="122">
        <f>Table6[[#This Row],[No. of Male adults aged over 60]]</f>
        <v>1190.1735533281681</v>
      </c>
      <c r="AO10" s="719">
        <f>Table6[[#This Row],[No. Female adults aged over 60]]</f>
        <v>2531.5846300074295</v>
      </c>
      <c r="AP10" s="122">
        <f t="shared" si="3"/>
        <v>65755.44493525791</v>
      </c>
    </row>
    <row r="11" spans="1:42" x14ac:dyDescent="0.55000000000000004">
      <c r="A11" t="s">
        <v>250</v>
      </c>
      <c r="B11" t="s">
        <v>254</v>
      </c>
      <c r="C11">
        <v>3</v>
      </c>
      <c r="D11">
        <v>4</v>
      </c>
      <c r="E11" s="22"/>
      <c r="F11" s="433">
        <v>51453.491459357952</v>
      </c>
      <c r="G11" s="433">
        <f>Table6[[#This Row],[Overall PiN]]+Table6[[#This Row],[Refugees]]</f>
        <v>51453.491459357952</v>
      </c>
      <c r="H11" s="19">
        <v>0.11609999999999999</v>
      </c>
      <c r="I11" s="715">
        <f>Table6[[#This Row],[Overall PiN with REFUGEES]]*Table6[[#This Row],[% Male children under 5]]</f>
        <v>5973.7503584314582</v>
      </c>
      <c r="J11" s="19">
        <v>0.105</v>
      </c>
      <c r="K11" s="715">
        <f>Table6[[#This Row],[Overall PiN with REFUGEES]]*Table6[[#This Row],[% Female children under 5]]</f>
        <v>5402.6166032325846</v>
      </c>
      <c r="L11" s="19">
        <v>0.158</v>
      </c>
      <c r="M11" s="715">
        <f>Table6[[#This Row],[Overall PiN with REFUGEES]]*Table6[[#This Row],[% Male children aged 5 - 17 years]]</f>
        <v>8129.6516505785567</v>
      </c>
      <c r="N11" s="19">
        <v>0.156</v>
      </c>
      <c r="O11" s="715">
        <f>Table6[[#This Row],[Overall PiN with REFUGEES]]*Table6[[#This Row],[% Female children aged 5 - 17 years]]</f>
        <v>8026.7446676598402</v>
      </c>
      <c r="P11" s="19">
        <v>0.17100000000000001</v>
      </c>
      <c r="Q11" s="715">
        <f>Table6[[#This Row],[Overall PiN with REFUGEES]]*Table6[[#This Row],[% Male adults aged 18 - 60]]</f>
        <v>8798.5470395502107</v>
      </c>
      <c r="R11" s="19">
        <v>0.218</v>
      </c>
      <c r="S11" s="715">
        <f>Table6[[#This Row],[Overall PiN with REFUGEES]]*Table6[[#This Row],[% Female adults aged 18 - 60]]</f>
        <v>11216.861138140033</v>
      </c>
      <c r="T11" s="19">
        <v>2.7799999999999998E-2</v>
      </c>
      <c r="U11" s="715">
        <f>Table6[[#This Row],[Overall PiN with REFUGEES]]*Table6[[#This Row],[% Male adults aged over 60]]</f>
        <v>1430.4070625701511</v>
      </c>
      <c r="V11" s="19">
        <v>4.8099999999999997E-2</v>
      </c>
      <c r="W11" s="715">
        <f>Table6[[#This Row],[Overall PiN with REFUGEES]]*Table6[[#This Row],[% Female adults aged over 60]]</f>
        <v>2474.9129391951174</v>
      </c>
      <c r="X11" s="412">
        <v>6662.4424583761765</v>
      </c>
      <c r="AI11" t="s">
        <v>254</v>
      </c>
      <c r="AJ11" s="718">
        <f t="shared" si="1"/>
        <v>14103.402009010015</v>
      </c>
      <c r="AK11" s="122">
        <f t="shared" si="2"/>
        <v>13429.361270892425</v>
      </c>
      <c r="AL11" s="122">
        <f>SUM(Table6[[#This Row],[No. of  Male adults aged 18 - 60]])</f>
        <v>8798.5470395502107</v>
      </c>
      <c r="AM11" s="122">
        <f>Table6[[#This Row],[No. of Female adults aged 18 - 60]]</f>
        <v>11216.861138140033</v>
      </c>
      <c r="AN11" s="122">
        <f>Table6[[#This Row],[No. of Male adults aged over 60]]</f>
        <v>1430.4070625701511</v>
      </c>
      <c r="AO11" s="719">
        <f>Table6[[#This Row],[No. Female adults aged over 60]]</f>
        <v>2474.9129391951174</v>
      </c>
      <c r="AP11" s="122">
        <f t="shared" si="3"/>
        <v>51453.491459357945</v>
      </c>
    </row>
    <row r="12" spans="1:42" x14ac:dyDescent="0.55000000000000004">
      <c r="A12" t="s">
        <v>250</v>
      </c>
      <c r="B12" t="s">
        <v>256</v>
      </c>
      <c r="C12">
        <v>3</v>
      </c>
      <c r="D12">
        <v>2</v>
      </c>
      <c r="E12" s="22"/>
      <c r="F12" s="433">
        <v>112777.58854951971</v>
      </c>
      <c r="G12" s="433">
        <f>Table6[[#This Row],[Overall PiN]]+Table6[[#This Row],[Refugees]]</f>
        <v>112777.58854951971</v>
      </c>
      <c r="H12" s="19">
        <v>0.13200000000000001</v>
      </c>
      <c r="I12" s="715">
        <f>Table6[[#This Row],[Overall PiN with REFUGEES]]*Table6[[#This Row],[% Male children under 5]]</f>
        <v>14886.641688536603</v>
      </c>
      <c r="J12" s="19">
        <v>8.7099999999999997E-2</v>
      </c>
      <c r="K12" s="715">
        <f>Table6[[#This Row],[Overall PiN with REFUGEES]]*Table6[[#This Row],[% Female children under 5]]</f>
        <v>9822.9279626631669</v>
      </c>
      <c r="L12" s="19">
        <v>0.1716</v>
      </c>
      <c r="M12" s="715">
        <f>Table6[[#This Row],[Overall PiN with REFUGEES]]*Table6[[#This Row],[% Male children aged 5 - 17 years]]</f>
        <v>19352.634195097584</v>
      </c>
      <c r="N12" s="19">
        <v>0.17</v>
      </c>
      <c r="O12" s="715">
        <f>Table6[[#This Row],[Overall PiN with REFUGEES]]*Table6[[#This Row],[% Female children aged 5 - 17 years]]</f>
        <v>19172.190053418351</v>
      </c>
      <c r="P12" s="19">
        <v>0.19300000000000003</v>
      </c>
      <c r="Q12" s="715">
        <f>Table6[[#This Row],[Overall PiN with REFUGEES]]*Table6[[#This Row],[% Male adults aged 18 - 60]]</f>
        <v>21766.074590057309</v>
      </c>
      <c r="R12" s="19">
        <v>0.21099999999999999</v>
      </c>
      <c r="S12" s="715">
        <f>Table6[[#This Row],[Overall PiN with REFUGEES]]*Table6[[#This Row],[% Female adults aged 18 - 60]]</f>
        <v>23796.071183948658</v>
      </c>
      <c r="T12" s="19">
        <v>1.9199999999999998E-2</v>
      </c>
      <c r="U12" s="715">
        <f>Table6[[#This Row],[Overall PiN with REFUGEES]]*Table6[[#This Row],[% Male adults aged over 60]]</f>
        <v>2165.3297001507785</v>
      </c>
      <c r="V12" s="19">
        <v>1.61E-2</v>
      </c>
      <c r="W12" s="715">
        <f>Table6[[#This Row],[Overall PiN with REFUGEES]]*Table6[[#This Row],[% Female adults aged over 60]]</f>
        <v>1815.7191756472673</v>
      </c>
      <c r="X12" s="412">
        <v>17070.149999999998</v>
      </c>
      <c r="AI12" t="s">
        <v>256</v>
      </c>
      <c r="AJ12" s="718">
        <f t="shared" si="1"/>
        <v>34239.275883634189</v>
      </c>
      <c r="AK12" s="122">
        <f t="shared" si="2"/>
        <v>28995.11801608152</v>
      </c>
      <c r="AL12" s="122">
        <f>SUM(Table6[[#This Row],[No. of  Male adults aged 18 - 60]])</f>
        <v>21766.074590057309</v>
      </c>
      <c r="AM12" s="122">
        <f>Table6[[#This Row],[No. of Female adults aged 18 - 60]]</f>
        <v>23796.071183948658</v>
      </c>
      <c r="AN12" s="122">
        <f>Table6[[#This Row],[No. of Male adults aged over 60]]</f>
        <v>2165.3297001507785</v>
      </c>
      <c r="AO12" s="719">
        <f>Table6[[#This Row],[No. Female adults aged over 60]]</f>
        <v>1815.7191756472673</v>
      </c>
      <c r="AP12" s="122">
        <f t="shared" si="3"/>
        <v>112777.58854951971</v>
      </c>
    </row>
    <row r="13" spans="1:42" x14ac:dyDescent="0.55000000000000004">
      <c r="A13" t="s">
        <v>250</v>
      </c>
      <c r="B13" t="s">
        <v>258</v>
      </c>
      <c r="C13">
        <v>3</v>
      </c>
      <c r="D13">
        <v>3</v>
      </c>
      <c r="E13" s="22"/>
      <c r="F13" s="433">
        <v>97955.279485915249</v>
      </c>
      <c r="G13" s="433">
        <f>Table6[[#This Row],[Overall PiN]]+Table6[[#This Row],[Refugees]]</f>
        <v>97955.279485915249</v>
      </c>
      <c r="H13" s="19">
        <v>0.109</v>
      </c>
      <c r="I13" s="715">
        <f>Table6[[#This Row],[Overall PiN with REFUGEES]]*Table6[[#This Row],[% Male children under 5]]</f>
        <v>10677.125463964761</v>
      </c>
      <c r="J13" s="19">
        <v>0.107</v>
      </c>
      <c r="K13" s="715">
        <f>Table6[[#This Row],[Overall PiN with REFUGEES]]*Table6[[#This Row],[% Female children under 5]]</f>
        <v>10481.214904992932</v>
      </c>
      <c r="L13" s="19">
        <v>0.21199999999999999</v>
      </c>
      <c r="M13" s="715">
        <f>Table6[[#This Row],[Overall PiN with REFUGEES]]*Table6[[#This Row],[% Male children aged 5 - 17 years]]</f>
        <v>20766.519251014033</v>
      </c>
      <c r="N13" s="19">
        <v>0.16700000000000001</v>
      </c>
      <c r="O13" s="715">
        <f>Table6[[#This Row],[Overall PiN with REFUGEES]]*Table6[[#This Row],[% Female children aged 5 - 17 years]]</f>
        <v>16358.531674147847</v>
      </c>
      <c r="P13" s="19">
        <v>0.16200000000000001</v>
      </c>
      <c r="Q13" s="715">
        <f>Table6[[#This Row],[Overall PiN with REFUGEES]]*Table6[[#This Row],[% Male adults aged 18 - 60]]</f>
        <v>15868.755276718271</v>
      </c>
      <c r="R13" s="19">
        <v>0.17100000000000001</v>
      </c>
      <c r="S13" s="715">
        <f>Table6[[#This Row],[Overall PiN with REFUGEES]]*Table6[[#This Row],[% Female adults aged 18 - 60]]</f>
        <v>16750.352792091508</v>
      </c>
      <c r="T13" s="19">
        <v>3.4299999999999997E-2</v>
      </c>
      <c r="U13" s="715">
        <f>Table6[[#This Row],[Overall PiN with REFUGEES]]*Table6[[#This Row],[% Male adults aged over 60]]</f>
        <v>3359.8660863668929</v>
      </c>
      <c r="V13" s="19">
        <v>3.7699999999999997E-2</v>
      </c>
      <c r="W13" s="715">
        <f>Table6[[#This Row],[Overall PiN with REFUGEES]]*Table6[[#This Row],[% Female adults aged over 60]]</f>
        <v>3692.9140366190045</v>
      </c>
      <c r="X13" s="412">
        <v>17240.39404101286</v>
      </c>
      <c r="AI13" t="s">
        <v>258</v>
      </c>
      <c r="AJ13" s="718">
        <f t="shared" si="1"/>
        <v>31443.644714978793</v>
      </c>
      <c r="AK13" s="122">
        <f t="shared" si="2"/>
        <v>26839.746579140781</v>
      </c>
      <c r="AL13" s="122">
        <f>SUM(Table6[[#This Row],[No. of  Male adults aged 18 - 60]])</f>
        <v>15868.755276718271</v>
      </c>
      <c r="AM13" s="122">
        <f>Table6[[#This Row],[No. of Female adults aged 18 - 60]]</f>
        <v>16750.352792091508</v>
      </c>
      <c r="AN13" s="122">
        <f>Table6[[#This Row],[No. of Male adults aged over 60]]</f>
        <v>3359.8660863668929</v>
      </c>
      <c r="AO13" s="719">
        <f>Table6[[#This Row],[No. Female adults aged over 60]]</f>
        <v>3692.9140366190045</v>
      </c>
      <c r="AP13" s="122">
        <f t="shared" si="3"/>
        <v>97955.279485915264</v>
      </c>
    </row>
    <row r="14" spans="1:42" x14ac:dyDescent="0.55000000000000004">
      <c r="A14" t="s">
        <v>250</v>
      </c>
      <c r="B14" t="s">
        <v>260</v>
      </c>
      <c r="C14">
        <v>3</v>
      </c>
      <c r="D14">
        <v>3</v>
      </c>
      <c r="E14" s="22"/>
      <c r="F14" s="433">
        <v>92426.648236087407</v>
      </c>
      <c r="G14" s="433">
        <f>Table6[[#This Row],[Overall PiN]]+Table6[[#This Row],[Refugees]]</f>
        <v>92426.648236087407</v>
      </c>
      <c r="H14" s="19">
        <v>9.2999999999999999E-2</v>
      </c>
      <c r="I14" s="715">
        <f>Table6[[#This Row],[Overall PiN with REFUGEES]]*Table6[[#This Row],[% Male children under 5]]</f>
        <v>8595.6782859561281</v>
      </c>
      <c r="J14" s="19">
        <v>0.10199999999999999</v>
      </c>
      <c r="K14" s="715">
        <f>Table6[[#This Row],[Overall PiN with REFUGEES]]*Table6[[#This Row],[% Female children under 5]]</f>
        <v>9427.5181200809147</v>
      </c>
      <c r="L14" s="19">
        <v>0.21879999999999999</v>
      </c>
      <c r="M14" s="715">
        <f>Table6[[#This Row],[Overall PiN with REFUGEES]]*Table6[[#This Row],[% Male children aged 5 - 17 years]]</f>
        <v>20222.950634055924</v>
      </c>
      <c r="N14" s="19">
        <v>0.20499999999999999</v>
      </c>
      <c r="O14" s="715">
        <f>Table6[[#This Row],[Overall PiN with REFUGEES]]*Table6[[#This Row],[% Female children aged 5 - 17 years]]</f>
        <v>18947.462888397917</v>
      </c>
      <c r="P14" s="19">
        <v>0.183</v>
      </c>
      <c r="Q14" s="715">
        <f>Table6[[#This Row],[Overall PiN with REFUGEES]]*Table6[[#This Row],[% Male adults aged 18 - 60]]</f>
        <v>16914.076627203995</v>
      </c>
      <c r="R14" s="19">
        <v>0.188</v>
      </c>
      <c r="S14" s="715">
        <f>Table6[[#This Row],[Overall PiN with REFUGEES]]*Table6[[#This Row],[% Female adults aged 18 - 60]]</f>
        <v>17376.209868384434</v>
      </c>
      <c r="T14" s="19">
        <v>6.2600000000000008E-3</v>
      </c>
      <c r="U14" s="715">
        <f>Table6[[#This Row],[Overall PiN with REFUGEES]]*Table6[[#This Row],[% Male adults aged over 60]]</f>
        <v>578.59081795790723</v>
      </c>
      <c r="V14" s="19">
        <v>3.9399999999999999E-3</v>
      </c>
      <c r="W14" s="715">
        <f>Table6[[#This Row],[Overall PiN with REFUGEES]]*Table6[[#This Row],[% Female adults aged over 60]]</f>
        <v>364.1609940501844</v>
      </c>
      <c r="X14" s="412">
        <v>10203.873128824498</v>
      </c>
      <c r="AI14" t="s">
        <v>260</v>
      </c>
      <c r="AJ14" s="718">
        <f t="shared" si="1"/>
        <v>28818.628920012052</v>
      </c>
      <c r="AK14" s="122">
        <f t="shared" si="2"/>
        <v>28374.981008478833</v>
      </c>
      <c r="AL14" s="122">
        <f>SUM(Table6[[#This Row],[No. of  Male adults aged 18 - 60]])</f>
        <v>16914.076627203995</v>
      </c>
      <c r="AM14" s="122">
        <f>Table6[[#This Row],[No. of Female adults aged 18 - 60]]</f>
        <v>17376.209868384434</v>
      </c>
      <c r="AN14" s="122">
        <f>Table6[[#This Row],[No. of Male adults aged over 60]]</f>
        <v>578.59081795790723</v>
      </c>
      <c r="AO14" s="719">
        <f>Table6[[#This Row],[No. Female adults aged over 60]]</f>
        <v>364.1609940501844</v>
      </c>
      <c r="AP14" s="122">
        <f t="shared" si="3"/>
        <v>92426.648236087407</v>
      </c>
    </row>
    <row r="15" spans="1:42" x14ac:dyDescent="0.55000000000000004">
      <c r="A15" t="s">
        <v>250</v>
      </c>
      <c r="B15" t="s">
        <v>262</v>
      </c>
      <c r="C15">
        <v>3</v>
      </c>
      <c r="D15">
        <v>3</v>
      </c>
      <c r="E15" s="22"/>
      <c r="F15" s="433">
        <v>91920.224522515113</v>
      </c>
      <c r="G15" s="433">
        <f>Table6[[#This Row],[Overall PiN]]+Table6[[#This Row],[Refugees]]</f>
        <v>91920.224522515113</v>
      </c>
      <c r="H15" s="19">
        <v>0.121</v>
      </c>
      <c r="I15" s="715">
        <f>Table6[[#This Row],[Overall PiN with REFUGEES]]*Table6[[#This Row],[% Male children under 5]]</f>
        <v>11122.347167224329</v>
      </c>
      <c r="J15" s="19">
        <v>0.13500000000000001</v>
      </c>
      <c r="K15" s="715">
        <f>Table6[[#This Row],[Overall PiN with REFUGEES]]*Table6[[#This Row],[% Female children under 5]]</f>
        <v>12409.23031053954</v>
      </c>
      <c r="L15" s="19">
        <v>0.14600000000000002</v>
      </c>
      <c r="M15" s="715">
        <f>Table6[[#This Row],[Overall PiN with REFUGEES]]*Table6[[#This Row],[% Male children aged 5 - 17 years]]</f>
        <v>13420.352780287209</v>
      </c>
      <c r="N15" s="19">
        <v>0.184</v>
      </c>
      <c r="O15" s="715">
        <f>Table6[[#This Row],[Overall PiN with REFUGEES]]*Table6[[#This Row],[% Female children aged 5 - 17 years]]</f>
        <v>16913.32131214278</v>
      </c>
      <c r="P15" s="19">
        <v>0.188</v>
      </c>
      <c r="Q15" s="715">
        <f>Table6[[#This Row],[Overall PiN with REFUGEES]]*Table6[[#This Row],[% Male adults aged 18 - 60]]</f>
        <v>17281.00221023284</v>
      </c>
      <c r="R15" s="19">
        <v>0.193</v>
      </c>
      <c r="S15" s="715">
        <f>Table6[[#This Row],[Overall PiN with REFUGEES]]*Table6[[#This Row],[% Female adults aged 18 - 60]]</f>
        <v>17740.603332845418</v>
      </c>
      <c r="T15" s="19">
        <v>9.0000000000000011E-3</v>
      </c>
      <c r="U15" s="715">
        <f>Table6[[#This Row],[Overall PiN with REFUGEES]]*Table6[[#This Row],[% Male adults aged over 60]]</f>
        <v>827.28202070263615</v>
      </c>
      <c r="V15" s="19">
        <v>2.4E-2</v>
      </c>
      <c r="W15" s="715">
        <f>Table6[[#This Row],[Overall PiN with REFUGEES]]*Table6[[#This Row],[% Female adults aged over 60]]</f>
        <v>2206.0853885403626</v>
      </c>
      <c r="X15" s="412">
        <v>13850.25</v>
      </c>
      <c r="AI15" t="s">
        <v>262</v>
      </c>
      <c r="AJ15" s="718">
        <f t="shared" si="1"/>
        <v>24542.699947511537</v>
      </c>
      <c r="AK15" s="122">
        <f t="shared" si="2"/>
        <v>29322.55162268232</v>
      </c>
      <c r="AL15" s="122">
        <f>SUM(Table6[[#This Row],[No. of  Male adults aged 18 - 60]])</f>
        <v>17281.00221023284</v>
      </c>
      <c r="AM15" s="122">
        <f>Table6[[#This Row],[No. of Female adults aged 18 - 60]]</f>
        <v>17740.603332845418</v>
      </c>
      <c r="AN15" s="122">
        <f>Table6[[#This Row],[No. of Male adults aged over 60]]</f>
        <v>827.28202070263615</v>
      </c>
      <c r="AO15" s="719">
        <f>Table6[[#This Row],[No. Female adults aged over 60]]</f>
        <v>2206.0853885403626</v>
      </c>
      <c r="AP15" s="122">
        <f t="shared" si="3"/>
        <v>91920.224522515113</v>
      </c>
    </row>
    <row r="16" spans="1:42" x14ac:dyDescent="0.55000000000000004">
      <c r="A16" t="s">
        <v>250</v>
      </c>
      <c r="B16" t="s">
        <v>264</v>
      </c>
      <c r="C16">
        <v>3</v>
      </c>
      <c r="D16">
        <v>4</v>
      </c>
      <c r="E16" s="22"/>
      <c r="F16" s="433">
        <v>133131.483891593</v>
      </c>
      <c r="G16" s="433">
        <f>Table6[[#This Row],[Overall PiN]]+Table6[[#This Row],[Refugees]]</f>
        <v>133131.483891593</v>
      </c>
      <c r="H16" s="19">
        <v>0.13</v>
      </c>
      <c r="I16" s="715">
        <f>Table6[[#This Row],[Overall PiN with REFUGEES]]*Table6[[#This Row],[% Male children under 5]]</f>
        <v>17307.092905907091</v>
      </c>
      <c r="J16" s="19">
        <v>9.1800000000000007E-2</v>
      </c>
      <c r="K16" s="715">
        <f>Table6[[#This Row],[Overall PiN with REFUGEES]]*Table6[[#This Row],[% Female children under 5]]</f>
        <v>12221.470221248239</v>
      </c>
      <c r="L16" s="19">
        <v>0.16370000000000001</v>
      </c>
      <c r="M16" s="715">
        <f>Table6[[#This Row],[Overall PiN with REFUGEES]]*Table6[[#This Row],[% Male children aged 5 - 17 years]]</f>
        <v>21793.623913053776</v>
      </c>
      <c r="N16" s="19">
        <v>0.14799999999999999</v>
      </c>
      <c r="O16" s="715">
        <f>Table6[[#This Row],[Overall PiN with REFUGEES]]*Table6[[#This Row],[% Female children aged 5 - 17 years]]</f>
        <v>19703.459615955762</v>
      </c>
      <c r="P16" s="19">
        <v>0.185</v>
      </c>
      <c r="Q16" s="715">
        <f>Table6[[#This Row],[Overall PiN with REFUGEES]]*Table6[[#This Row],[% Male adults aged 18 - 60]]</f>
        <v>24629.324519944705</v>
      </c>
      <c r="R16" s="19">
        <v>0.20300000000000001</v>
      </c>
      <c r="S16" s="715">
        <f>Table6[[#This Row],[Overall PiN with REFUGEES]]*Table6[[#This Row],[% Female adults aged 18 - 60]]</f>
        <v>27025.691229993383</v>
      </c>
      <c r="T16" s="19">
        <v>3.4299999999999997E-2</v>
      </c>
      <c r="U16" s="715">
        <f>Table6[[#This Row],[Overall PiN with REFUGEES]]*Table6[[#This Row],[% Male adults aged over 60]]</f>
        <v>4566.4098974816397</v>
      </c>
      <c r="V16" s="19">
        <v>4.4200000000000003E-2</v>
      </c>
      <c r="W16" s="715">
        <f>Table6[[#This Row],[Overall PiN with REFUGEES]]*Table6[[#This Row],[% Female adults aged over 60]]</f>
        <v>5884.4115880084109</v>
      </c>
      <c r="X16" s="412">
        <v>18943.314016333039</v>
      </c>
      <c r="AI16" t="s">
        <v>264</v>
      </c>
      <c r="AJ16" s="718">
        <f t="shared" si="1"/>
        <v>39100.716818960864</v>
      </c>
      <c r="AK16" s="122">
        <f t="shared" si="2"/>
        <v>31924.929837203999</v>
      </c>
      <c r="AL16" s="122">
        <f>SUM(Table6[[#This Row],[No. of  Male adults aged 18 - 60]])</f>
        <v>24629.324519944705</v>
      </c>
      <c r="AM16" s="122">
        <f>Table6[[#This Row],[No. of Female adults aged 18 - 60]]</f>
        <v>27025.691229993383</v>
      </c>
      <c r="AN16" s="122">
        <f>Table6[[#This Row],[No. of Male adults aged over 60]]</f>
        <v>4566.4098974816397</v>
      </c>
      <c r="AO16" s="719">
        <f>Table6[[#This Row],[No. Female adults aged over 60]]</f>
        <v>5884.4115880084109</v>
      </c>
      <c r="AP16" s="122">
        <f t="shared" si="3"/>
        <v>133131.483891593</v>
      </c>
    </row>
    <row r="17" spans="1:42" x14ac:dyDescent="0.55000000000000004">
      <c r="A17" t="s">
        <v>250</v>
      </c>
      <c r="B17" t="s">
        <v>266</v>
      </c>
      <c r="C17">
        <v>3</v>
      </c>
      <c r="D17">
        <v>4</v>
      </c>
      <c r="E17" s="22"/>
      <c r="F17" s="433">
        <v>47466.746661684665</v>
      </c>
      <c r="G17" s="433">
        <f>Table6[[#This Row],[Overall PiN]]+Table6[[#This Row],[Refugees]]</f>
        <v>47466.746661684665</v>
      </c>
      <c r="H17" s="19">
        <v>0.107</v>
      </c>
      <c r="I17" s="715">
        <f>Table6[[#This Row],[Overall PiN with REFUGEES]]*Table6[[#This Row],[% Male children under 5]]</f>
        <v>5078.9418928002588</v>
      </c>
      <c r="J17" s="19">
        <v>0.11700000000000001</v>
      </c>
      <c r="K17" s="715">
        <f>Table6[[#This Row],[Overall PiN with REFUGEES]]*Table6[[#This Row],[% Female children under 5]]</f>
        <v>5553.6093594171061</v>
      </c>
      <c r="L17" s="19">
        <v>0.14699999999999999</v>
      </c>
      <c r="M17" s="715">
        <f>Table6[[#This Row],[Overall PiN with REFUGEES]]*Table6[[#This Row],[% Male children aged 5 - 17 years]]</f>
        <v>6977.6117592676455</v>
      </c>
      <c r="N17" s="19">
        <v>0.184</v>
      </c>
      <c r="O17" s="715">
        <f>Table6[[#This Row],[Overall PiN with REFUGEES]]*Table6[[#This Row],[% Female children aged 5 - 17 years]]</f>
        <v>8733.881385749979</v>
      </c>
      <c r="P17" s="19">
        <v>0.19900000000000004</v>
      </c>
      <c r="Q17" s="715">
        <f>Table6[[#This Row],[Overall PiN with REFUGEES]]*Table6[[#This Row],[% Male adults aged 18 - 60]]</f>
        <v>9445.8825856752501</v>
      </c>
      <c r="R17" s="19">
        <v>0.20699999999999999</v>
      </c>
      <c r="S17" s="715">
        <f>Table6[[#This Row],[Overall PiN with REFUGEES]]*Table6[[#This Row],[% Female adults aged 18 - 60]]</f>
        <v>9825.6165589687243</v>
      </c>
      <c r="T17" s="19">
        <v>1.0999999999999999E-2</v>
      </c>
      <c r="U17" s="715">
        <f>Table6[[#This Row],[Overall PiN with REFUGEES]]*Table6[[#This Row],[% Male adults aged over 60]]</f>
        <v>522.13421327853132</v>
      </c>
      <c r="V17" s="19">
        <v>2.8000000000000001E-2</v>
      </c>
      <c r="W17" s="715">
        <f>Table6[[#This Row],[Overall PiN with REFUGEES]]*Table6[[#This Row],[% Female adults aged over 60]]</f>
        <v>1329.0689065271706</v>
      </c>
      <c r="X17" s="412">
        <v>6460.5790776438844</v>
      </c>
      <c r="AI17" t="s">
        <v>266</v>
      </c>
      <c r="AJ17" s="718">
        <f t="shared" si="1"/>
        <v>12056.553652067905</v>
      </c>
      <c r="AK17" s="122">
        <f t="shared" si="2"/>
        <v>14287.490745167084</v>
      </c>
      <c r="AL17" s="122">
        <f>SUM(Table6[[#This Row],[No. of  Male adults aged 18 - 60]])</f>
        <v>9445.8825856752501</v>
      </c>
      <c r="AM17" s="122">
        <f>Table6[[#This Row],[No. of Female adults aged 18 - 60]]</f>
        <v>9825.6165589687243</v>
      </c>
      <c r="AN17" s="122">
        <f>Table6[[#This Row],[No. of Male adults aged over 60]]</f>
        <v>522.13421327853132</v>
      </c>
      <c r="AO17" s="719">
        <f>Table6[[#This Row],[No. Female adults aged over 60]]</f>
        <v>1329.0689065271706</v>
      </c>
      <c r="AP17" s="122">
        <f t="shared" si="3"/>
        <v>47466.746661684665</v>
      </c>
    </row>
    <row r="18" spans="1:42" x14ac:dyDescent="0.55000000000000004">
      <c r="A18" t="s">
        <v>268</v>
      </c>
      <c r="B18" t="s">
        <v>270</v>
      </c>
      <c r="C18">
        <v>4</v>
      </c>
      <c r="D18">
        <v>1</v>
      </c>
      <c r="E18" s="22"/>
      <c r="F18" s="433">
        <v>173652.62771251536</v>
      </c>
      <c r="G18" s="433">
        <f>Table6[[#This Row],[Overall PiN]]+Table6[[#This Row],[Refugees]]</f>
        <v>173652.62771251536</v>
      </c>
      <c r="H18" s="19">
        <v>9.3700000000000006E-2</v>
      </c>
      <c r="I18" s="715">
        <f>Table6[[#This Row],[Overall PiN with REFUGEES]]*Table6[[#This Row],[% Male children under 5]]</f>
        <v>16271.251216662689</v>
      </c>
      <c r="J18" s="19">
        <v>7.6600000000000001E-2</v>
      </c>
      <c r="K18" s="715">
        <f>Table6[[#This Row],[Overall PiN with REFUGEES]]*Table6[[#This Row],[% Female children under 5]]</f>
        <v>13301.791282778677</v>
      </c>
      <c r="L18" s="19">
        <v>0.17700000000000002</v>
      </c>
      <c r="M18" s="715">
        <f>Table6[[#This Row],[Overall PiN with REFUGEES]]*Table6[[#This Row],[% Male children aged 5 - 17 years]]</f>
        <v>30736.515105115221</v>
      </c>
      <c r="N18" s="19">
        <v>0.159</v>
      </c>
      <c r="O18" s="715">
        <f>Table6[[#This Row],[Overall PiN with REFUGEES]]*Table6[[#This Row],[% Female children aged 5 - 17 years]]</f>
        <v>27610.767806289943</v>
      </c>
      <c r="P18" s="19">
        <v>0.1767</v>
      </c>
      <c r="Q18" s="715">
        <f>Table6[[#This Row],[Overall PiN with REFUGEES]]*Table6[[#This Row],[% Male adults aged 18 - 60]]</f>
        <v>30684.419316801464</v>
      </c>
      <c r="R18" s="19">
        <v>0.21</v>
      </c>
      <c r="S18" s="715">
        <f>Table6[[#This Row],[Overall PiN with REFUGEES]]*Table6[[#This Row],[% Female adults aged 18 - 60]]</f>
        <v>36467.051819628221</v>
      </c>
      <c r="T18" s="19">
        <v>4.1200000000000001E-2</v>
      </c>
      <c r="U18" s="715">
        <f>Table6[[#This Row],[Overall PiN with REFUGEES]]*Table6[[#This Row],[% Male adults aged over 60]]</f>
        <v>7154.4882617556332</v>
      </c>
      <c r="V18" s="19">
        <v>6.5799999999999997E-2</v>
      </c>
      <c r="W18" s="715">
        <f>Table6[[#This Row],[Overall PiN with REFUGEES]]*Table6[[#This Row],[% Female adults aged over 60]]</f>
        <v>11426.34290348351</v>
      </c>
      <c r="X18" s="412">
        <v>25077</v>
      </c>
      <c r="AI18" t="s">
        <v>270</v>
      </c>
      <c r="AJ18" s="718">
        <f t="shared" si="1"/>
        <v>47007.766321777912</v>
      </c>
      <c r="AK18" s="122">
        <f t="shared" si="2"/>
        <v>40912.559089068622</v>
      </c>
      <c r="AL18" s="122">
        <f>SUM(Table6[[#This Row],[No. of  Male adults aged 18 - 60]])</f>
        <v>30684.419316801464</v>
      </c>
      <c r="AM18" s="122">
        <f>Table6[[#This Row],[No. of Female adults aged 18 - 60]]</f>
        <v>36467.051819628221</v>
      </c>
      <c r="AN18" s="122">
        <f>Table6[[#This Row],[No. of Male adults aged over 60]]</f>
        <v>7154.4882617556332</v>
      </c>
      <c r="AO18" s="719">
        <f>Table6[[#This Row],[No. Female adults aged over 60]]</f>
        <v>11426.34290348351</v>
      </c>
      <c r="AP18" s="122">
        <f t="shared" si="3"/>
        <v>173652.62771251536</v>
      </c>
    </row>
    <row r="19" spans="1:42" x14ac:dyDescent="0.55000000000000004">
      <c r="A19" t="s">
        <v>268</v>
      </c>
      <c r="B19" t="s">
        <v>272</v>
      </c>
      <c r="C19">
        <v>4</v>
      </c>
      <c r="D19">
        <v>2</v>
      </c>
      <c r="E19" s="22"/>
      <c r="F19" s="433">
        <v>143453.87582602742</v>
      </c>
      <c r="G19" s="433">
        <f>Table6[[#This Row],[Overall PiN]]+Table6[[#This Row],[Refugees]]</f>
        <v>143453.87582602742</v>
      </c>
      <c r="H19" s="19">
        <v>8.8499999999999995E-2</v>
      </c>
      <c r="I19" s="715">
        <f>Table6[[#This Row],[Overall PiN with REFUGEES]]*Table6[[#This Row],[% Male children under 5]]</f>
        <v>12695.668010603426</v>
      </c>
      <c r="J19" s="19">
        <v>9.6199999999999994E-2</v>
      </c>
      <c r="K19" s="715">
        <f>Table6[[#This Row],[Overall PiN with REFUGEES]]*Table6[[#This Row],[% Female children under 5]]</f>
        <v>13800.262854463837</v>
      </c>
      <c r="L19" s="19">
        <v>0.16800000000000001</v>
      </c>
      <c r="M19" s="715">
        <f>Table6[[#This Row],[Overall PiN with REFUGEES]]*Table6[[#This Row],[% Male children aged 5 - 17 years]]</f>
        <v>24100.251138772608</v>
      </c>
      <c r="N19" s="19">
        <v>0.151</v>
      </c>
      <c r="O19" s="715">
        <f>Table6[[#This Row],[Overall PiN with REFUGEES]]*Table6[[#This Row],[% Female children aged 5 - 17 years]]</f>
        <v>21661.535249730139</v>
      </c>
      <c r="P19" s="19">
        <v>0.21</v>
      </c>
      <c r="Q19" s="715">
        <f>Table6[[#This Row],[Overall PiN with REFUGEES]]*Table6[[#This Row],[% Male adults aged 18 - 60]]</f>
        <v>30125.313923465757</v>
      </c>
      <c r="R19" s="19">
        <v>0.20699999999999999</v>
      </c>
      <c r="S19" s="715">
        <f>Table6[[#This Row],[Overall PiN with REFUGEES]]*Table6[[#This Row],[% Female adults aged 18 - 60]]</f>
        <v>29694.952295987674</v>
      </c>
      <c r="T19" s="19">
        <v>3.0300000000000001E-2</v>
      </c>
      <c r="U19" s="715">
        <f>Table6[[#This Row],[Overall PiN with REFUGEES]]*Table6[[#This Row],[% Male adults aged over 60]]</f>
        <v>4346.6524375286308</v>
      </c>
      <c r="V19" s="19">
        <v>4.9000000000000002E-2</v>
      </c>
      <c r="W19" s="715">
        <f>Table6[[#This Row],[Overall PiN with REFUGEES]]*Table6[[#This Row],[% Female adults aged over 60]]</f>
        <v>7029.2399154753439</v>
      </c>
      <c r="X19" s="412">
        <v>21003.585554244703</v>
      </c>
      <c r="AI19" t="s">
        <v>272</v>
      </c>
      <c r="AJ19" s="718">
        <f t="shared" si="1"/>
        <v>36795.91914937603</v>
      </c>
      <c r="AK19" s="122">
        <f t="shared" si="2"/>
        <v>35461.798104193978</v>
      </c>
      <c r="AL19" s="122">
        <f>SUM(Table6[[#This Row],[No. of  Male adults aged 18 - 60]])</f>
        <v>30125.313923465757</v>
      </c>
      <c r="AM19" s="122">
        <f>Table6[[#This Row],[No. of Female adults aged 18 - 60]]</f>
        <v>29694.952295987674</v>
      </c>
      <c r="AN19" s="122">
        <f>Table6[[#This Row],[No. of Male adults aged over 60]]</f>
        <v>4346.6524375286308</v>
      </c>
      <c r="AO19" s="719">
        <f>Table6[[#This Row],[No. Female adults aged over 60]]</f>
        <v>7029.2399154753439</v>
      </c>
      <c r="AP19" s="122">
        <f t="shared" si="3"/>
        <v>143453.87582602739</v>
      </c>
    </row>
    <row r="20" spans="1:42" x14ac:dyDescent="0.55000000000000004">
      <c r="A20" t="s">
        <v>268</v>
      </c>
      <c r="B20" t="s">
        <v>274</v>
      </c>
      <c r="C20">
        <v>3</v>
      </c>
      <c r="D20">
        <v>4</v>
      </c>
      <c r="E20" s="22"/>
      <c r="F20" s="433">
        <v>245748.02377893255</v>
      </c>
      <c r="G20" s="433">
        <f>Table6[[#This Row],[Overall PiN]]+Table6[[#This Row],[Refugees]]</f>
        <v>245748.02377893255</v>
      </c>
      <c r="H20" s="19">
        <v>0.1333</v>
      </c>
      <c r="I20" s="715">
        <f>Table6[[#This Row],[Overall PiN with REFUGEES]]*Table6[[#This Row],[% Male children under 5]]</f>
        <v>32758.211569731709</v>
      </c>
      <c r="J20" s="19">
        <v>9.0399999999999994E-2</v>
      </c>
      <c r="K20" s="715">
        <f>Table6[[#This Row],[Overall PiN with REFUGEES]]*Table6[[#This Row],[% Female children under 5]]</f>
        <v>22215.6213496155</v>
      </c>
      <c r="L20" s="19">
        <v>0.16600000000000001</v>
      </c>
      <c r="M20" s="715">
        <f>Table6[[#This Row],[Overall PiN with REFUGEES]]*Table6[[#This Row],[% Male children aged 5 - 17 years]]</f>
        <v>40794.171947302806</v>
      </c>
      <c r="N20" s="19">
        <v>0.155</v>
      </c>
      <c r="O20" s="715">
        <f>Table6[[#This Row],[Overall PiN with REFUGEES]]*Table6[[#This Row],[% Female children aged 5 - 17 years]]</f>
        <v>38090.943685734543</v>
      </c>
      <c r="P20" s="19">
        <v>0.17100000000000001</v>
      </c>
      <c r="Q20" s="715">
        <f>Table6[[#This Row],[Overall PiN with REFUGEES]]*Table6[[#This Row],[% Male adults aged 18 - 60]]</f>
        <v>42022.912066197467</v>
      </c>
      <c r="R20" s="19">
        <v>0.224</v>
      </c>
      <c r="S20" s="715">
        <f>Table6[[#This Row],[Overall PiN with REFUGEES]]*Table6[[#This Row],[% Female adults aged 18 - 60]]</f>
        <v>55047.557326480892</v>
      </c>
      <c r="T20" s="19">
        <v>3.73E-2</v>
      </c>
      <c r="U20" s="715">
        <f>Table6[[#This Row],[Overall PiN with REFUGEES]]*Table6[[#This Row],[% Male adults aged over 60]]</f>
        <v>9166.4012869541839</v>
      </c>
      <c r="V20" s="19">
        <v>2.3E-2</v>
      </c>
      <c r="W20" s="715">
        <f>Table6[[#This Row],[Overall PiN with REFUGEES]]*Table6[[#This Row],[% Female adults aged over 60]]</f>
        <v>5652.2045469154482</v>
      </c>
      <c r="X20" s="412">
        <v>25317.725991797215</v>
      </c>
      <c r="AI20" t="s">
        <v>274</v>
      </c>
      <c r="AJ20" s="718">
        <f t="shared" si="1"/>
        <v>73552.383517034512</v>
      </c>
      <c r="AK20" s="122">
        <f t="shared" si="2"/>
        <v>60306.565035350039</v>
      </c>
      <c r="AL20" s="122">
        <f>SUM(Table6[[#This Row],[No. of  Male adults aged 18 - 60]])</f>
        <v>42022.912066197467</v>
      </c>
      <c r="AM20" s="122">
        <f>Table6[[#This Row],[No. of Female adults aged 18 - 60]]</f>
        <v>55047.557326480892</v>
      </c>
      <c r="AN20" s="122">
        <f>Table6[[#This Row],[No. of Male adults aged over 60]]</f>
        <v>9166.4012869541839</v>
      </c>
      <c r="AO20" s="719">
        <f>Table6[[#This Row],[No. Female adults aged over 60]]</f>
        <v>5652.2045469154482</v>
      </c>
      <c r="AP20" s="122">
        <f t="shared" si="3"/>
        <v>245748.02377893255</v>
      </c>
    </row>
    <row r="21" spans="1:42" x14ac:dyDescent="0.55000000000000004">
      <c r="A21" t="s">
        <v>268</v>
      </c>
      <c r="B21" t="s">
        <v>276</v>
      </c>
      <c r="C21">
        <v>4</v>
      </c>
      <c r="D21">
        <v>1</v>
      </c>
      <c r="E21" s="22"/>
      <c r="F21" s="433">
        <v>101750.36561723871</v>
      </c>
      <c r="G21" s="433">
        <f>Table6[[#This Row],[Overall PiN]]+Table6[[#This Row],[Refugees]]</f>
        <v>101750.36561723871</v>
      </c>
      <c r="H21" s="19">
        <v>9.0800000000000006E-2</v>
      </c>
      <c r="I21" s="715">
        <f>Table6[[#This Row],[Overall PiN with REFUGEES]]*Table6[[#This Row],[% Male children under 5]]</f>
        <v>9238.9331980452753</v>
      </c>
      <c r="J21" s="19">
        <v>6.4100000000000004E-2</v>
      </c>
      <c r="K21" s="715">
        <f>Table6[[#This Row],[Overall PiN with REFUGEES]]*Table6[[#This Row],[% Female children under 5]]</f>
        <v>6522.1984360650022</v>
      </c>
      <c r="L21" s="19">
        <v>0.14099999999999999</v>
      </c>
      <c r="M21" s="715">
        <f>Table6[[#This Row],[Overall PiN with REFUGEES]]*Table6[[#This Row],[% Male children aged 5 - 17 years]]</f>
        <v>14346.801552030656</v>
      </c>
      <c r="N21" s="19">
        <v>0.154</v>
      </c>
      <c r="O21" s="715">
        <f>Table6[[#This Row],[Overall PiN with REFUGEES]]*Table6[[#This Row],[% Female children aged 5 - 17 years]]</f>
        <v>15669.556305054761</v>
      </c>
      <c r="P21" s="19">
        <v>0.21300000000000002</v>
      </c>
      <c r="Q21" s="715">
        <f>Table6[[#This Row],[Overall PiN with REFUGEES]]*Table6[[#This Row],[% Male adults aged 18 - 60]]</f>
        <v>21672.827876471849</v>
      </c>
      <c r="R21" s="19">
        <v>0.24099999999999999</v>
      </c>
      <c r="S21" s="715">
        <f>Table6[[#This Row],[Overall PiN with REFUGEES]]*Table6[[#This Row],[% Female adults aged 18 - 60]]</f>
        <v>24521.838113754529</v>
      </c>
      <c r="T21" s="19">
        <v>4.6600000000000003E-2</v>
      </c>
      <c r="U21" s="715">
        <f>Table6[[#This Row],[Overall PiN with REFUGEES]]*Table6[[#This Row],[% Male adults aged over 60]]</f>
        <v>4741.5670377633242</v>
      </c>
      <c r="V21" s="19">
        <v>4.9500000000000002E-2</v>
      </c>
      <c r="W21" s="715">
        <f>Table6[[#This Row],[Overall PiN with REFUGEES]]*Table6[[#This Row],[% Female adults aged over 60]]</f>
        <v>5036.6430980533169</v>
      </c>
      <c r="X21" s="412">
        <v>11790.307768019324</v>
      </c>
      <c r="AI21" t="s">
        <v>276</v>
      </c>
      <c r="AJ21" s="718">
        <f t="shared" si="1"/>
        <v>23585.734750075932</v>
      </c>
      <c r="AK21" s="122">
        <f t="shared" si="2"/>
        <v>22191.754741119763</v>
      </c>
      <c r="AL21" s="122">
        <f>SUM(Table6[[#This Row],[No. of  Male adults aged 18 - 60]])</f>
        <v>21672.827876471849</v>
      </c>
      <c r="AM21" s="122">
        <f>Table6[[#This Row],[No. of Female adults aged 18 - 60]]</f>
        <v>24521.838113754529</v>
      </c>
      <c r="AN21" s="122">
        <f>Table6[[#This Row],[No. of Male adults aged over 60]]</f>
        <v>4741.5670377633242</v>
      </c>
      <c r="AO21" s="719">
        <f>Table6[[#This Row],[No. Female adults aged over 60]]</f>
        <v>5036.6430980533169</v>
      </c>
      <c r="AP21" s="122">
        <f t="shared" si="3"/>
        <v>101750.3656172387</v>
      </c>
    </row>
    <row r="22" spans="1:42" x14ac:dyDescent="0.55000000000000004">
      <c r="A22" t="s">
        <v>268</v>
      </c>
      <c r="B22" t="s">
        <v>278</v>
      </c>
      <c r="C22">
        <v>4</v>
      </c>
      <c r="D22">
        <v>2</v>
      </c>
      <c r="E22" s="22"/>
      <c r="F22" s="433">
        <v>177131.14935337502</v>
      </c>
      <c r="G22" s="433">
        <f>Table6[[#This Row],[Overall PiN]]+Table6[[#This Row],[Refugees]]</f>
        <v>177131.14935337502</v>
      </c>
      <c r="H22" s="19">
        <v>0.112</v>
      </c>
      <c r="I22" s="715">
        <f>Table6[[#This Row],[Overall PiN with REFUGEES]]*Table6[[#This Row],[% Male children under 5]]</f>
        <v>19838.688727578003</v>
      </c>
      <c r="J22" s="19">
        <v>9.5799999999999996E-2</v>
      </c>
      <c r="K22" s="715">
        <f>Table6[[#This Row],[Overall PiN with REFUGEES]]*Table6[[#This Row],[% Female children under 5]]</f>
        <v>16969.164108053326</v>
      </c>
      <c r="L22" s="19">
        <v>0.17600000000000002</v>
      </c>
      <c r="M22" s="715">
        <f>Table6[[#This Row],[Overall PiN with REFUGEES]]*Table6[[#This Row],[% Male children aged 5 - 17 years]]</f>
        <v>31175.082286194007</v>
      </c>
      <c r="N22" s="19">
        <v>0.159</v>
      </c>
      <c r="O22" s="715">
        <f>Table6[[#This Row],[Overall PiN with REFUGEES]]*Table6[[#This Row],[% Female children aged 5 - 17 years]]</f>
        <v>28163.852747186629</v>
      </c>
      <c r="P22" s="19">
        <v>0.18729999999999999</v>
      </c>
      <c r="Q22" s="715">
        <f>Table6[[#This Row],[Overall PiN with REFUGEES]]*Table6[[#This Row],[% Male adults aged 18 - 60]]</f>
        <v>33176.664273887138</v>
      </c>
      <c r="R22" s="19">
        <v>0.20899999999999999</v>
      </c>
      <c r="S22" s="715">
        <f>Table6[[#This Row],[Overall PiN with REFUGEES]]*Table6[[#This Row],[% Female adults aged 18 - 60]]</f>
        <v>37020.410214855379</v>
      </c>
      <c r="T22" s="19">
        <v>2.4500000000000001E-2</v>
      </c>
      <c r="U22" s="715">
        <f>Table6[[#This Row],[Overall PiN with REFUGEES]]*Table6[[#This Row],[% Male adults aged over 60]]</f>
        <v>4339.7131591576881</v>
      </c>
      <c r="V22" s="19">
        <v>3.6400000000000002E-2</v>
      </c>
      <c r="W22" s="715">
        <f>Table6[[#This Row],[Overall PiN with REFUGEES]]*Table6[[#This Row],[% Female adults aged over 60]]</f>
        <v>6447.5738364628514</v>
      </c>
      <c r="X22" s="412">
        <v>21621.369219565287</v>
      </c>
      <c r="AI22" t="s">
        <v>278</v>
      </c>
      <c r="AJ22" s="718">
        <f t="shared" si="1"/>
        <v>51013.771013772013</v>
      </c>
      <c r="AK22" s="122">
        <f t="shared" si="2"/>
        <v>45133.016855239955</v>
      </c>
      <c r="AL22" s="122">
        <f>SUM(Table6[[#This Row],[No. of  Male adults aged 18 - 60]])</f>
        <v>33176.664273887138</v>
      </c>
      <c r="AM22" s="122">
        <f>Table6[[#This Row],[No. of Female adults aged 18 - 60]]</f>
        <v>37020.410214855379</v>
      </c>
      <c r="AN22" s="122">
        <f>Table6[[#This Row],[No. of Male adults aged over 60]]</f>
        <v>4339.7131591576881</v>
      </c>
      <c r="AO22" s="719">
        <f>Table6[[#This Row],[No. Female adults aged over 60]]</f>
        <v>6447.5738364628514</v>
      </c>
      <c r="AP22" s="122">
        <f t="shared" si="3"/>
        <v>177131.14935337505</v>
      </c>
    </row>
    <row r="23" spans="1:42" x14ac:dyDescent="0.55000000000000004">
      <c r="A23" t="s">
        <v>268</v>
      </c>
      <c r="B23" t="s">
        <v>280</v>
      </c>
      <c r="C23">
        <v>5</v>
      </c>
      <c r="D23">
        <v>1</v>
      </c>
      <c r="E23" s="22"/>
      <c r="F23" s="433">
        <v>186418.49237037671</v>
      </c>
      <c r="G23" s="433">
        <f>Table6[[#This Row],[Overall PiN]]+Table6[[#This Row],[Refugees]]</f>
        <v>186418.49237037671</v>
      </c>
      <c r="H23" s="19">
        <v>9.8900000000000002E-2</v>
      </c>
      <c r="I23" s="715">
        <f>Table6[[#This Row],[Overall PiN with REFUGEES]]*Table6[[#This Row],[% Male children under 5]]</f>
        <v>18436.788895430258</v>
      </c>
      <c r="J23" s="19">
        <v>0.111</v>
      </c>
      <c r="K23" s="715">
        <f>Table6[[#This Row],[Overall PiN with REFUGEES]]*Table6[[#This Row],[% Female children under 5]]</f>
        <v>20692.452653111814</v>
      </c>
      <c r="L23" s="19">
        <v>0.21099999999999999</v>
      </c>
      <c r="M23" s="715">
        <f>Table6[[#This Row],[Overall PiN with REFUGEES]]*Table6[[#This Row],[% Male children aged 5 - 17 years]]</f>
        <v>39334.301890149487</v>
      </c>
      <c r="N23" s="19">
        <v>0.16300000000000001</v>
      </c>
      <c r="O23" s="715">
        <f>Table6[[#This Row],[Overall PiN with REFUGEES]]*Table6[[#This Row],[% Female children aged 5 - 17 years]]</f>
        <v>30386.214256371404</v>
      </c>
      <c r="P23" s="19">
        <v>0.18820000000000001</v>
      </c>
      <c r="Q23" s="715">
        <f>Table6[[#This Row],[Overall PiN with REFUGEES]]*Table6[[#This Row],[% Male adults aged 18 - 60]]</f>
        <v>35083.960264104899</v>
      </c>
      <c r="R23" s="19">
        <v>0.14799999999999999</v>
      </c>
      <c r="S23" s="715">
        <f>Table6[[#This Row],[Overall PiN with REFUGEES]]*Table6[[#This Row],[% Female adults aged 18 - 60]]</f>
        <v>27589.936870815753</v>
      </c>
      <c r="T23" s="19">
        <v>3.2099999999999997E-2</v>
      </c>
      <c r="U23" s="715">
        <f>Table6[[#This Row],[Overall PiN with REFUGEES]]*Table6[[#This Row],[% Male adults aged over 60]]</f>
        <v>5984.0336050890919</v>
      </c>
      <c r="V23" s="19">
        <v>4.7800000000000002E-2</v>
      </c>
      <c r="W23" s="715">
        <f>Table6[[#This Row],[Overall PiN with REFUGEES]]*Table6[[#This Row],[% Female adults aged over 60]]</f>
        <v>8910.8039353040076</v>
      </c>
      <c r="X23" s="412">
        <v>23207.677351286442</v>
      </c>
      <c r="AI23" t="s">
        <v>280</v>
      </c>
      <c r="AJ23" s="718">
        <f t="shared" si="1"/>
        <v>57771.090785579741</v>
      </c>
      <c r="AK23" s="122">
        <f t="shared" si="2"/>
        <v>51078.666909483218</v>
      </c>
      <c r="AL23" s="122">
        <f>SUM(Table6[[#This Row],[No. of  Male adults aged 18 - 60]])</f>
        <v>35083.960264104899</v>
      </c>
      <c r="AM23" s="122">
        <f>Table6[[#This Row],[No. of Female adults aged 18 - 60]]</f>
        <v>27589.936870815753</v>
      </c>
      <c r="AN23" s="122">
        <f>Table6[[#This Row],[No. of Male adults aged over 60]]</f>
        <v>5984.0336050890919</v>
      </c>
      <c r="AO23" s="719">
        <f>Table6[[#This Row],[No. Female adults aged over 60]]</f>
        <v>8910.8039353040076</v>
      </c>
      <c r="AP23" s="122">
        <f t="shared" si="3"/>
        <v>186418.49237037671</v>
      </c>
    </row>
    <row r="24" spans="1:42" x14ac:dyDescent="0.55000000000000004">
      <c r="A24" t="s">
        <v>268</v>
      </c>
      <c r="B24" t="s">
        <v>282</v>
      </c>
      <c r="C24">
        <v>3</v>
      </c>
      <c r="D24">
        <v>2</v>
      </c>
      <c r="E24" s="22"/>
      <c r="F24" s="433">
        <v>105588.65481760415</v>
      </c>
      <c r="G24" s="433">
        <f>Table6[[#This Row],[Overall PiN]]+Table6[[#This Row],[Refugees]]</f>
        <v>105588.65481760415</v>
      </c>
      <c r="H24" s="19">
        <v>0.09</v>
      </c>
      <c r="I24" s="715">
        <f>Table6[[#This Row],[Overall PiN with REFUGEES]]*Table6[[#This Row],[% Male children under 5]]</f>
        <v>9502.9789335843743</v>
      </c>
      <c r="J24" s="19">
        <v>7.6499999999999999E-2</v>
      </c>
      <c r="K24" s="715">
        <f>Table6[[#This Row],[Overall PiN with REFUGEES]]*Table6[[#This Row],[% Female children under 5]]</f>
        <v>8077.532093546718</v>
      </c>
      <c r="L24" s="19">
        <v>0.21799999999999997</v>
      </c>
      <c r="M24" s="715">
        <f>Table6[[#This Row],[Overall PiN with REFUGEES]]*Table6[[#This Row],[% Male children aged 5 - 17 years]]</f>
        <v>23018.326750237702</v>
      </c>
      <c r="N24" s="19">
        <v>0.19139999999999999</v>
      </c>
      <c r="O24" s="715">
        <f>Table6[[#This Row],[Overall PiN with REFUGEES]]*Table6[[#This Row],[% Female children aged 5 - 17 years]]</f>
        <v>20209.668532089432</v>
      </c>
      <c r="P24" s="19">
        <v>0.15999999999999998</v>
      </c>
      <c r="Q24" s="715">
        <f>Table6[[#This Row],[Overall PiN with REFUGEES]]*Table6[[#This Row],[% Male adults aged 18 - 60]]</f>
        <v>16894.184770816661</v>
      </c>
      <c r="R24" s="19">
        <v>0.186</v>
      </c>
      <c r="S24" s="715">
        <f>Table6[[#This Row],[Overall PiN with REFUGEES]]*Table6[[#This Row],[% Female adults aged 18 - 60]]</f>
        <v>19639.489796074373</v>
      </c>
      <c r="T24" s="19">
        <v>2.8000000000000004E-2</v>
      </c>
      <c r="U24" s="715">
        <f>Table6[[#This Row],[Overall PiN with REFUGEES]]*Table6[[#This Row],[% Male adults aged over 60]]</f>
        <v>2956.4823348929167</v>
      </c>
      <c r="V24" s="19">
        <v>5.0099999999999999E-2</v>
      </c>
      <c r="W24" s="715">
        <f>Table6[[#This Row],[Overall PiN with REFUGEES]]*Table6[[#This Row],[% Female adults aged over 60]]</f>
        <v>5289.9916063619676</v>
      </c>
      <c r="X24" s="412">
        <v>18630.45</v>
      </c>
      <c r="AI24" t="s">
        <v>282</v>
      </c>
      <c r="AJ24" s="718">
        <f t="shared" si="1"/>
        <v>32521.305683822076</v>
      </c>
      <c r="AK24" s="122">
        <f t="shared" si="2"/>
        <v>28287.200625636149</v>
      </c>
      <c r="AL24" s="122">
        <f>SUM(Table6[[#This Row],[No. of  Male adults aged 18 - 60]])</f>
        <v>16894.184770816661</v>
      </c>
      <c r="AM24" s="122">
        <f>Table6[[#This Row],[No. of Female adults aged 18 - 60]]</f>
        <v>19639.489796074373</v>
      </c>
      <c r="AN24" s="122">
        <f>Table6[[#This Row],[No. of Male adults aged over 60]]</f>
        <v>2956.4823348929167</v>
      </c>
      <c r="AO24" s="719">
        <f>Table6[[#This Row],[No. Female adults aged over 60]]</f>
        <v>5289.9916063619676</v>
      </c>
      <c r="AP24" s="122">
        <f t="shared" si="3"/>
        <v>105588.65481760414</v>
      </c>
    </row>
    <row r="25" spans="1:42" x14ac:dyDescent="0.55000000000000004">
      <c r="A25" t="s">
        <v>268</v>
      </c>
      <c r="B25" t="s">
        <v>284</v>
      </c>
      <c r="C25">
        <v>4</v>
      </c>
      <c r="D25">
        <v>1</v>
      </c>
      <c r="E25" s="22"/>
      <c r="F25" s="433">
        <v>160651.56924990375</v>
      </c>
      <c r="G25" s="433">
        <f>Table6[[#This Row],[Overall PiN]]+Table6[[#This Row],[Refugees]]</f>
        <v>160651.56924990375</v>
      </c>
      <c r="H25" s="19">
        <v>0.13700000000000001</v>
      </c>
      <c r="I25" s="715">
        <f>Table6[[#This Row],[Overall PiN with REFUGEES]]*Table6[[#This Row],[% Male children under 5]]</f>
        <v>22009.264987236817</v>
      </c>
      <c r="J25" s="19">
        <v>0.11700000000000001</v>
      </c>
      <c r="K25" s="715">
        <f>Table6[[#This Row],[Overall PiN with REFUGEES]]*Table6[[#This Row],[% Female children under 5]]</f>
        <v>18796.233602238739</v>
      </c>
      <c r="L25" s="19">
        <v>0.13799999999999998</v>
      </c>
      <c r="M25" s="715">
        <f>Table6[[#This Row],[Overall PiN with REFUGEES]]*Table6[[#This Row],[% Male children aged 5 - 17 years]]</f>
        <v>22169.916556486714</v>
      </c>
      <c r="N25" s="19">
        <v>0.155</v>
      </c>
      <c r="O25" s="715">
        <f>Table6[[#This Row],[Overall PiN with REFUGEES]]*Table6[[#This Row],[% Female children aged 5 - 17 years]]</f>
        <v>24900.99323373508</v>
      </c>
      <c r="P25" s="19">
        <v>0.17169999999999999</v>
      </c>
      <c r="Q25" s="715">
        <f>Table6[[#This Row],[Overall PiN with REFUGEES]]*Table6[[#This Row],[% Male adults aged 18 - 60]]</f>
        <v>27583.874440208474</v>
      </c>
      <c r="R25" s="19">
        <v>0.19600000000000001</v>
      </c>
      <c r="S25" s="715">
        <f>Table6[[#This Row],[Overall PiN with REFUGEES]]*Table6[[#This Row],[% Female adults aged 18 - 60]]</f>
        <v>31487.707572981137</v>
      </c>
      <c r="T25" s="19">
        <v>3.1100000000000003E-2</v>
      </c>
      <c r="U25" s="715">
        <f>Table6[[#This Row],[Overall PiN with REFUGEES]]*Table6[[#This Row],[% Male adults aged over 60]]</f>
        <v>4996.2638036720073</v>
      </c>
      <c r="V25" s="19">
        <v>5.4199999999999998E-2</v>
      </c>
      <c r="W25" s="715">
        <f>Table6[[#This Row],[Overall PiN with REFUGEES]]*Table6[[#This Row],[% Female adults aged over 60]]</f>
        <v>8707.3150533447824</v>
      </c>
      <c r="X25" s="412">
        <v>28419.712429124167</v>
      </c>
      <c r="AI25" t="s">
        <v>284</v>
      </c>
      <c r="AJ25" s="718">
        <f t="shared" si="1"/>
        <v>44179.181543723535</v>
      </c>
      <c r="AK25" s="122">
        <f t="shared" si="2"/>
        <v>43697.226835973823</v>
      </c>
      <c r="AL25" s="122">
        <f>SUM(Table6[[#This Row],[No. of  Male adults aged 18 - 60]])</f>
        <v>27583.874440208474</v>
      </c>
      <c r="AM25" s="122">
        <f>Table6[[#This Row],[No. of Female adults aged 18 - 60]]</f>
        <v>31487.707572981137</v>
      </c>
      <c r="AN25" s="122">
        <f>Table6[[#This Row],[No. of Male adults aged over 60]]</f>
        <v>4996.2638036720073</v>
      </c>
      <c r="AO25" s="719">
        <f>Table6[[#This Row],[No. Female adults aged over 60]]</f>
        <v>8707.3150533447824</v>
      </c>
      <c r="AP25" s="122">
        <f t="shared" si="3"/>
        <v>160651.56924990378</v>
      </c>
    </row>
    <row r="26" spans="1:42" x14ac:dyDescent="0.55000000000000004">
      <c r="A26" t="s">
        <v>268</v>
      </c>
      <c r="B26" t="s">
        <v>286</v>
      </c>
      <c r="C26">
        <v>3</v>
      </c>
      <c r="D26">
        <v>3</v>
      </c>
      <c r="E26" s="22">
        <v>2761</v>
      </c>
      <c r="F26" s="433">
        <v>55176.475856796111</v>
      </c>
      <c r="G26" s="433">
        <f>Table6[[#This Row],[Overall PiN]]+Table6[[#This Row],[Refugees]]</f>
        <v>57937.475856796111</v>
      </c>
      <c r="H26" s="19">
        <v>0.13600000000000001</v>
      </c>
      <c r="I26" s="715">
        <f>Table6[[#This Row],[Overall PiN with REFUGEES]]*Table6[[#This Row],[% Male children under 5]]</f>
        <v>7879.4967165242715</v>
      </c>
      <c r="J26" s="19">
        <v>0.1032</v>
      </c>
      <c r="K26" s="715">
        <f>Table6[[#This Row],[Overall PiN with REFUGEES]]*Table6[[#This Row],[% Female children under 5]]</f>
        <v>5979.1475084213589</v>
      </c>
      <c r="L26" s="19">
        <v>0.19500000000000001</v>
      </c>
      <c r="M26" s="715">
        <f>Table6[[#This Row],[Overall PiN with REFUGEES]]*Table6[[#This Row],[% Male children aged 5 - 17 years]]</f>
        <v>11297.807792075242</v>
      </c>
      <c r="N26" s="19">
        <v>0.17399999999999999</v>
      </c>
      <c r="O26" s="715">
        <f>Table6[[#This Row],[Overall PiN with REFUGEES]]*Table6[[#This Row],[% Female children aged 5 - 17 years]]</f>
        <v>10081.120799082522</v>
      </c>
      <c r="P26" s="19">
        <v>0.10499999999999998</v>
      </c>
      <c r="Q26" s="715">
        <f>Table6[[#This Row],[Overall PiN with REFUGEES]]*Table6[[#This Row],[% Male adults aged 18 - 60]]</f>
        <v>6083.4349649635906</v>
      </c>
      <c r="R26" s="19">
        <v>0.27200000000000002</v>
      </c>
      <c r="S26" s="715">
        <f>Table6[[#This Row],[Overall PiN with REFUGEES]]*Table6[[#This Row],[% Female adults aged 18 - 60]]</f>
        <v>15758.993433048543</v>
      </c>
      <c r="T26" s="19">
        <v>6.4400000000000013E-3</v>
      </c>
      <c r="U26" s="715">
        <f>Table6[[#This Row],[Overall PiN with REFUGEES]]*Table6[[#This Row],[% Male adults aged over 60]]</f>
        <v>373.11734451776704</v>
      </c>
      <c r="V26" s="19">
        <v>8.3599999999999994E-3</v>
      </c>
      <c r="W26" s="715">
        <f>Table6[[#This Row],[Overall PiN with REFUGEES]]*Table6[[#This Row],[% Female adults aged over 60]]</f>
        <v>484.35729816281543</v>
      </c>
      <c r="X26" s="412">
        <v>8449.637407182332</v>
      </c>
      <c r="AI26" t="s">
        <v>286</v>
      </c>
      <c r="AJ26" s="718">
        <f t="shared" si="1"/>
        <v>19177.304508599515</v>
      </c>
      <c r="AK26" s="122">
        <f t="shared" si="2"/>
        <v>16060.26830750388</v>
      </c>
      <c r="AL26" s="122">
        <f>SUM(Table6[[#This Row],[No. of  Male adults aged 18 - 60]])</f>
        <v>6083.4349649635906</v>
      </c>
      <c r="AM26" s="122">
        <f>Table6[[#This Row],[No. of Female adults aged 18 - 60]]</f>
        <v>15758.993433048543</v>
      </c>
      <c r="AN26" s="122">
        <f>Table6[[#This Row],[No. of Male adults aged over 60]]</f>
        <v>373.11734451776704</v>
      </c>
      <c r="AO26" s="719">
        <f>Table6[[#This Row],[No. Female adults aged over 60]]</f>
        <v>484.35729816281543</v>
      </c>
      <c r="AP26" s="122">
        <f t="shared" si="3"/>
        <v>57937.475856796111</v>
      </c>
    </row>
    <row r="27" spans="1:42" x14ac:dyDescent="0.55000000000000004">
      <c r="A27" t="s">
        <v>268</v>
      </c>
      <c r="B27" t="s">
        <v>288</v>
      </c>
      <c r="C27">
        <v>4</v>
      </c>
      <c r="D27">
        <v>2</v>
      </c>
      <c r="E27" s="22"/>
      <c r="F27" s="433">
        <v>104970.60793683259</v>
      </c>
      <c r="G27" s="433">
        <f>Table6[[#This Row],[Overall PiN]]+Table6[[#This Row],[Refugees]]</f>
        <v>104970.60793683259</v>
      </c>
      <c r="H27" s="19">
        <v>7.3700000000000002E-2</v>
      </c>
      <c r="I27" s="715">
        <f>Table6[[#This Row],[Overall PiN with REFUGEES]]*Table6[[#This Row],[% Male children under 5]]</f>
        <v>7736.333804944562</v>
      </c>
      <c r="J27" s="19">
        <v>8.3400000000000002E-2</v>
      </c>
      <c r="K27" s="715">
        <f>Table6[[#This Row],[Overall PiN with REFUGEES]]*Table6[[#This Row],[% Female children under 5]]</f>
        <v>8754.5487019318389</v>
      </c>
      <c r="L27" s="19">
        <v>0.15200000000000002</v>
      </c>
      <c r="M27" s="715">
        <f>Table6[[#This Row],[Overall PiN with REFUGEES]]*Table6[[#This Row],[% Male children aged 5 - 17 years]]</f>
        <v>15955.532406398555</v>
      </c>
      <c r="N27" s="19">
        <v>0.17299999999999999</v>
      </c>
      <c r="O27" s="715">
        <f>Table6[[#This Row],[Overall PiN with REFUGEES]]*Table6[[#This Row],[% Female children aged 5 - 17 years]]</f>
        <v>18159.915173072037</v>
      </c>
      <c r="P27" s="19">
        <v>0.18</v>
      </c>
      <c r="Q27" s="715">
        <f>Table6[[#This Row],[Overall PiN with REFUGEES]]*Table6[[#This Row],[% Male adults aged 18 - 60]]</f>
        <v>18894.709428629863</v>
      </c>
      <c r="R27" s="19">
        <v>0.25600000000000001</v>
      </c>
      <c r="S27" s="715">
        <f>Table6[[#This Row],[Overall PiN with REFUGEES]]*Table6[[#This Row],[% Female adults aged 18 - 60]]</f>
        <v>26872.475631829144</v>
      </c>
      <c r="T27" s="19">
        <v>4.1200000000000001E-2</v>
      </c>
      <c r="U27" s="715">
        <f>Table6[[#This Row],[Overall PiN with REFUGEES]]*Table6[[#This Row],[% Male adults aged over 60]]</f>
        <v>4324.7890469975027</v>
      </c>
      <c r="V27" s="19">
        <v>4.07E-2</v>
      </c>
      <c r="W27" s="715">
        <f>Table6[[#This Row],[Overall PiN with REFUGEES]]*Table6[[#This Row],[% Female adults aged over 60]]</f>
        <v>4272.303743029086</v>
      </c>
      <c r="X27" s="412">
        <v>13762.705648628531</v>
      </c>
      <c r="AI27" t="s">
        <v>288</v>
      </c>
      <c r="AJ27" s="718">
        <f t="shared" si="1"/>
        <v>23691.866211343116</v>
      </c>
      <c r="AK27" s="122">
        <f t="shared" si="2"/>
        <v>26914.463875003876</v>
      </c>
      <c r="AL27" s="122">
        <f>SUM(Table6[[#This Row],[No. of  Male adults aged 18 - 60]])</f>
        <v>18894.709428629863</v>
      </c>
      <c r="AM27" s="122">
        <f>Table6[[#This Row],[No. of Female adults aged 18 - 60]]</f>
        <v>26872.475631829144</v>
      </c>
      <c r="AN27" s="122">
        <f>Table6[[#This Row],[No. of Male adults aged over 60]]</f>
        <v>4324.7890469975027</v>
      </c>
      <c r="AO27" s="719">
        <f>Table6[[#This Row],[No. Female adults aged over 60]]</f>
        <v>4272.303743029086</v>
      </c>
      <c r="AP27" s="122">
        <f t="shared" si="3"/>
        <v>104970.6079368326</v>
      </c>
    </row>
    <row r="28" spans="1:42" x14ac:dyDescent="0.55000000000000004">
      <c r="A28" t="s">
        <v>268</v>
      </c>
      <c r="B28" t="s">
        <v>290</v>
      </c>
      <c r="C28">
        <v>4</v>
      </c>
      <c r="D28">
        <v>2</v>
      </c>
      <c r="E28" s="22"/>
      <c r="F28" s="433">
        <v>142477.82280630368</v>
      </c>
      <c r="G28" s="433">
        <f>Table6[[#This Row],[Overall PiN]]+Table6[[#This Row],[Refugees]]</f>
        <v>142477.82280630368</v>
      </c>
      <c r="H28" s="19">
        <v>0.14360000000000001</v>
      </c>
      <c r="I28" s="715">
        <f>Table6[[#This Row],[Overall PiN with REFUGEES]]*Table6[[#This Row],[% Male children under 5]]</f>
        <v>20459.81535498521</v>
      </c>
      <c r="J28" s="19">
        <v>0.129</v>
      </c>
      <c r="K28" s="715">
        <f>Table6[[#This Row],[Overall PiN with REFUGEES]]*Table6[[#This Row],[% Female children under 5]]</f>
        <v>18379.639142013177</v>
      </c>
      <c r="L28" s="19">
        <v>0.14400000000000002</v>
      </c>
      <c r="M28" s="715">
        <f>Table6[[#This Row],[Overall PiN with REFUGEES]]*Table6[[#This Row],[% Male children aged 5 - 17 years]]</f>
        <v>20516.806484107732</v>
      </c>
      <c r="N28" s="19">
        <v>0.17799999999999999</v>
      </c>
      <c r="O28" s="715">
        <f>Table6[[#This Row],[Overall PiN with REFUGEES]]*Table6[[#This Row],[% Female children aged 5 - 17 years]]</f>
        <v>25361.052459522052</v>
      </c>
      <c r="P28" s="19">
        <v>0.183</v>
      </c>
      <c r="Q28" s="715">
        <f>Table6[[#This Row],[Overall PiN with REFUGEES]]*Table6[[#This Row],[% Male adults aged 18 - 60]]</f>
        <v>26073.441573553573</v>
      </c>
      <c r="R28" s="19">
        <v>0.193</v>
      </c>
      <c r="S28" s="715">
        <f>Table6[[#This Row],[Overall PiN with REFUGEES]]*Table6[[#This Row],[% Female adults aged 18 - 60]]</f>
        <v>27498.219801616611</v>
      </c>
      <c r="T28" s="19">
        <v>1.26E-2</v>
      </c>
      <c r="U28" s="715">
        <f>Table6[[#This Row],[Overall PiN with REFUGEES]]*Table6[[#This Row],[% Male adults aged over 60]]</f>
        <v>1795.2205673594265</v>
      </c>
      <c r="V28" s="19">
        <v>1.6799999999999999E-2</v>
      </c>
      <c r="W28" s="715">
        <f>Table6[[#This Row],[Overall PiN with REFUGEES]]*Table6[[#This Row],[% Female adults aged over 60]]</f>
        <v>2393.6274231459015</v>
      </c>
      <c r="X28" s="412">
        <v>21605.25</v>
      </c>
      <c r="AI28" t="s">
        <v>290</v>
      </c>
      <c r="AJ28" s="718">
        <f t="shared" si="1"/>
        <v>40976.621839092943</v>
      </c>
      <c r="AK28" s="122">
        <f t="shared" si="2"/>
        <v>43740.691601535233</v>
      </c>
      <c r="AL28" s="122">
        <f>SUM(Table6[[#This Row],[No. of  Male adults aged 18 - 60]])</f>
        <v>26073.441573553573</v>
      </c>
      <c r="AM28" s="122">
        <f>Table6[[#This Row],[No. of Female adults aged 18 - 60]]</f>
        <v>27498.219801616611</v>
      </c>
      <c r="AN28" s="122">
        <f>Table6[[#This Row],[No. of Male adults aged over 60]]</f>
        <v>1795.2205673594265</v>
      </c>
      <c r="AO28" s="719">
        <f>Table6[[#This Row],[No. Female adults aged over 60]]</f>
        <v>2393.6274231459015</v>
      </c>
      <c r="AP28" s="122">
        <f t="shared" si="3"/>
        <v>142477.82280630368</v>
      </c>
    </row>
    <row r="29" spans="1:42" x14ac:dyDescent="0.55000000000000004">
      <c r="A29" t="s">
        <v>292</v>
      </c>
      <c r="B29" t="s">
        <v>294</v>
      </c>
      <c r="C29">
        <v>3</v>
      </c>
      <c r="D29">
        <v>3</v>
      </c>
      <c r="E29" s="22"/>
      <c r="F29" s="433">
        <v>97204.031767964043</v>
      </c>
      <c r="G29" s="433">
        <f>Table6[[#This Row],[Overall PiN]]+Table6[[#This Row],[Refugees]]</f>
        <v>97204.031767964043</v>
      </c>
      <c r="H29" s="19">
        <v>6.3399999999999998E-2</v>
      </c>
      <c r="I29" s="715">
        <f>Table6[[#This Row],[Overall PiN with REFUGEES]]*Table6[[#This Row],[% Male children under 5]]</f>
        <v>6162.7356140889206</v>
      </c>
      <c r="J29" s="19">
        <v>6.0999999999999999E-2</v>
      </c>
      <c r="K29" s="715">
        <f>Table6[[#This Row],[Overall PiN with REFUGEES]]*Table6[[#This Row],[% Female children under 5]]</f>
        <v>5929.4459378458068</v>
      </c>
      <c r="L29" s="19">
        <v>0.22700000000000001</v>
      </c>
      <c r="M29" s="715">
        <f>Table6[[#This Row],[Overall PiN with REFUGEES]]*Table6[[#This Row],[% Male children aged 5 - 17 years]]</f>
        <v>22065.315211327837</v>
      </c>
      <c r="N29" s="19">
        <v>0.23400000000000001</v>
      </c>
      <c r="O29" s="715">
        <f>Table6[[#This Row],[Overall PiN with REFUGEES]]*Table6[[#This Row],[% Female children aged 5 - 17 years]]</f>
        <v>22745.743433703588</v>
      </c>
      <c r="P29" s="19">
        <v>0.1774</v>
      </c>
      <c r="Q29" s="715">
        <f>Table6[[#This Row],[Overall PiN with REFUGEES]]*Table6[[#This Row],[% Male adults aged 18 - 60]]</f>
        <v>17243.995235636823</v>
      </c>
      <c r="R29" s="19">
        <v>0.19400000000000001</v>
      </c>
      <c r="S29" s="715">
        <f>Table6[[#This Row],[Overall PiN with REFUGEES]]*Table6[[#This Row],[% Female adults aged 18 - 60]]</f>
        <v>18857.582162985025</v>
      </c>
      <c r="T29" s="19">
        <v>1.9200000000000002E-2</v>
      </c>
      <c r="U29" s="715">
        <f>Table6[[#This Row],[Overall PiN with REFUGEES]]*Table6[[#This Row],[% Male adults aged over 60]]</f>
        <v>1866.3174099449097</v>
      </c>
      <c r="V29" s="19">
        <v>2.4E-2</v>
      </c>
      <c r="W29" s="715">
        <f>Table6[[#This Row],[Overall PiN with REFUGEES]]*Table6[[#This Row],[% Female adults aged over 60]]</f>
        <v>2332.8967624311372</v>
      </c>
      <c r="X29" s="412">
        <v>12980.25</v>
      </c>
      <c r="AI29" t="s">
        <v>294</v>
      </c>
      <c r="AJ29" s="718">
        <f t="shared" si="1"/>
        <v>28228.050825416758</v>
      </c>
      <c r="AK29" s="122">
        <f t="shared" si="2"/>
        <v>28675.189371549393</v>
      </c>
      <c r="AL29" s="122">
        <f>SUM(Table6[[#This Row],[No. of  Male adults aged 18 - 60]])</f>
        <v>17243.995235636823</v>
      </c>
      <c r="AM29" s="122">
        <f>Table6[[#This Row],[No. of Female adults aged 18 - 60]]</f>
        <v>18857.582162985025</v>
      </c>
      <c r="AN29" s="122">
        <f>Table6[[#This Row],[No. of Male adults aged over 60]]</f>
        <v>1866.3174099449097</v>
      </c>
      <c r="AO29" s="719">
        <f>Table6[[#This Row],[No. Female adults aged over 60]]</f>
        <v>2332.8967624311372</v>
      </c>
      <c r="AP29" s="122">
        <f t="shared" si="3"/>
        <v>97204.031767964043</v>
      </c>
    </row>
    <row r="30" spans="1:42" x14ac:dyDescent="0.55000000000000004">
      <c r="A30" t="s">
        <v>292</v>
      </c>
      <c r="B30" t="s">
        <v>296</v>
      </c>
      <c r="C30">
        <v>3</v>
      </c>
      <c r="D30">
        <v>5</v>
      </c>
      <c r="E30" s="22"/>
      <c r="F30" s="433">
        <v>98940.401789595548</v>
      </c>
      <c r="G30" s="433">
        <f>Table6[[#This Row],[Overall PiN]]+Table6[[#This Row],[Refugees]]</f>
        <v>98940.401789595548</v>
      </c>
      <c r="H30" s="19">
        <v>7.5399999999999995E-2</v>
      </c>
      <c r="I30" s="715">
        <f>Table6[[#This Row],[Overall PiN with REFUGEES]]*Table6[[#This Row],[% Male children under 5]]</f>
        <v>7460.1062949355037</v>
      </c>
      <c r="J30" s="19">
        <v>4.2599999999999999E-2</v>
      </c>
      <c r="K30" s="715">
        <f>Table6[[#This Row],[Overall PiN with REFUGEES]]*Table6[[#This Row],[% Female children under 5]]</f>
        <v>4214.8611162367706</v>
      </c>
      <c r="L30" s="19">
        <v>0.22500000000000001</v>
      </c>
      <c r="M30" s="715">
        <f>Table6[[#This Row],[Overall PiN with REFUGEES]]*Table6[[#This Row],[% Male children aged 5 - 17 years]]</f>
        <v>22261.590402659</v>
      </c>
      <c r="N30" s="19">
        <v>0.20399999999999999</v>
      </c>
      <c r="O30" s="715">
        <f>Table6[[#This Row],[Overall PiN with REFUGEES]]*Table6[[#This Row],[% Female children aged 5 - 17 years]]</f>
        <v>20183.841965077492</v>
      </c>
      <c r="P30" s="19">
        <v>0.17700000000000002</v>
      </c>
      <c r="Q30" s="715">
        <f>Table6[[#This Row],[Overall PiN with REFUGEES]]*Table6[[#This Row],[% Male adults aged 18 - 60]]</f>
        <v>17512.451116758413</v>
      </c>
      <c r="R30" s="19">
        <v>0.16600000000000001</v>
      </c>
      <c r="S30" s="715">
        <f>Table6[[#This Row],[Overall PiN with REFUGEES]]*Table6[[#This Row],[% Female adults aged 18 - 60]]</f>
        <v>16424.106697072861</v>
      </c>
      <c r="T30" s="19">
        <v>4.9800000000000004E-2</v>
      </c>
      <c r="U30" s="715">
        <f>Table6[[#This Row],[Overall PiN with REFUGEES]]*Table6[[#This Row],[% Male adults aged over 60]]</f>
        <v>4927.2320091218589</v>
      </c>
      <c r="V30" s="19">
        <v>6.0199999999999997E-2</v>
      </c>
      <c r="W30" s="715">
        <f>Table6[[#This Row],[Overall PiN with REFUGEES]]*Table6[[#This Row],[% Female adults aged over 60]]</f>
        <v>5956.2121877336513</v>
      </c>
      <c r="X30" s="412">
        <v>17199.599999999999</v>
      </c>
      <c r="AI30" t="s">
        <v>296</v>
      </c>
      <c r="AJ30" s="718">
        <f t="shared" si="1"/>
        <v>29721.696697594503</v>
      </c>
      <c r="AK30" s="122">
        <f t="shared" si="2"/>
        <v>24398.703081314263</v>
      </c>
      <c r="AL30" s="122">
        <f>SUM(Table6[[#This Row],[No. of  Male adults aged 18 - 60]])</f>
        <v>17512.451116758413</v>
      </c>
      <c r="AM30" s="122">
        <f>Table6[[#This Row],[No. of Female adults aged 18 - 60]]</f>
        <v>16424.106697072861</v>
      </c>
      <c r="AN30" s="122">
        <f>Table6[[#This Row],[No. of Male adults aged over 60]]</f>
        <v>4927.2320091218589</v>
      </c>
      <c r="AO30" s="719">
        <f>Table6[[#This Row],[No. Female adults aged over 60]]</f>
        <v>5956.2121877336513</v>
      </c>
      <c r="AP30" s="122">
        <f t="shared" si="3"/>
        <v>98940.401789595548</v>
      </c>
    </row>
    <row r="31" spans="1:42" x14ac:dyDescent="0.55000000000000004">
      <c r="A31" t="s">
        <v>292</v>
      </c>
      <c r="B31" t="s">
        <v>298</v>
      </c>
      <c r="C31">
        <v>3</v>
      </c>
      <c r="D31">
        <v>4</v>
      </c>
      <c r="E31" s="22"/>
      <c r="F31" s="433">
        <v>129678.37858589775</v>
      </c>
      <c r="G31" s="433">
        <f>Table6[[#This Row],[Overall PiN]]+Table6[[#This Row],[Refugees]]</f>
        <v>129678.37858589775</v>
      </c>
      <c r="H31" s="19">
        <v>8.1100000000000005E-2</v>
      </c>
      <c r="I31" s="715">
        <f>Table6[[#This Row],[Overall PiN with REFUGEES]]*Table6[[#This Row],[% Male children under 5]]</f>
        <v>10516.916503316308</v>
      </c>
      <c r="J31" s="19">
        <v>5.57E-2</v>
      </c>
      <c r="K31" s="715">
        <f>Table6[[#This Row],[Overall PiN with REFUGEES]]*Table6[[#This Row],[% Female children under 5]]</f>
        <v>7223.0856872345048</v>
      </c>
      <c r="L31" s="19">
        <v>0.221</v>
      </c>
      <c r="M31" s="715">
        <f>Table6[[#This Row],[Overall PiN with REFUGEES]]*Table6[[#This Row],[% Male children aged 5 - 17 years]]</f>
        <v>28658.921667483402</v>
      </c>
      <c r="N31" s="19">
        <v>0.22600000000000001</v>
      </c>
      <c r="O31" s="715">
        <f>Table6[[#This Row],[Overall PiN with REFUGEES]]*Table6[[#This Row],[% Female children aged 5 - 17 years]]</f>
        <v>29307.313560412891</v>
      </c>
      <c r="P31" s="19">
        <v>0.19600000000000001</v>
      </c>
      <c r="Q31" s="715">
        <f>Table6[[#This Row],[Overall PiN with REFUGEES]]*Table6[[#This Row],[% Male adults aged 18 - 60]]</f>
        <v>25416.962202835959</v>
      </c>
      <c r="R31" s="19">
        <v>0.193</v>
      </c>
      <c r="S31" s="715">
        <f>Table6[[#This Row],[Overall PiN with REFUGEES]]*Table6[[#This Row],[% Female adults aged 18 - 60]]</f>
        <v>25027.927067078268</v>
      </c>
      <c r="T31" s="19">
        <v>1.03E-2</v>
      </c>
      <c r="U31" s="715">
        <f>Table6[[#This Row],[Overall PiN with REFUGEES]]*Table6[[#This Row],[% Male adults aged over 60]]</f>
        <v>1335.6872994347468</v>
      </c>
      <c r="V31" s="19">
        <v>1.6899999999999998E-2</v>
      </c>
      <c r="W31" s="715">
        <f>Table6[[#This Row],[Overall PiN with REFUGEES]]*Table6[[#This Row],[% Female adults aged over 60]]</f>
        <v>2191.5645981016719</v>
      </c>
      <c r="X31" s="412">
        <v>18361.87</v>
      </c>
      <c r="AI31" t="s">
        <v>298</v>
      </c>
      <c r="AJ31" s="718">
        <f t="shared" si="1"/>
        <v>39175.83817079971</v>
      </c>
      <c r="AK31" s="122">
        <f t="shared" si="2"/>
        <v>36530.399247647394</v>
      </c>
      <c r="AL31" s="122">
        <f>SUM(Table6[[#This Row],[No. of  Male adults aged 18 - 60]])</f>
        <v>25416.962202835959</v>
      </c>
      <c r="AM31" s="122">
        <f>Table6[[#This Row],[No. of Female adults aged 18 - 60]]</f>
        <v>25027.927067078268</v>
      </c>
      <c r="AN31" s="122">
        <f>Table6[[#This Row],[No. of Male adults aged over 60]]</f>
        <v>1335.6872994347468</v>
      </c>
      <c r="AO31" s="719">
        <f>Table6[[#This Row],[No. Female adults aged over 60]]</f>
        <v>2191.5645981016719</v>
      </c>
      <c r="AP31" s="122">
        <f t="shared" si="3"/>
        <v>129678.37858589775</v>
      </c>
    </row>
    <row r="32" spans="1:42" x14ac:dyDescent="0.55000000000000004">
      <c r="A32" t="s">
        <v>292</v>
      </c>
      <c r="B32" t="s">
        <v>300</v>
      </c>
      <c r="C32">
        <v>3</v>
      </c>
      <c r="D32">
        <v>4</v>
      </c>
      <c r="E32" s="22"/>
      <c r="F32" s="433">
        <v>125842.20185315629</v>
      </c>
      <c r="G32" s="433">
        <f>Table6[[#This Row],[Overall PiN]]+Table6[[#This Row],[Refugees]]</f>
        <v>125842.20185315629</v>
      </c>
      <c r="H32" s="19">
        <v>9.2799999999999994E-2</v>
      </c>
      <c r="I32" s="715">
        <f>Table6[[#This Row],[Overall PiN with REFUGEES]]*Table6[[#This Row],[% Male children under 5]]</f>
        <v>11678.156331972903</v>
      </c>
      <c r="J32" s="19">
        <v>7.8200000000000006E-2</v>
      </c>
      <c r="K32" s="715">
        <f>Table6[[#This Row],[Overall PiN with REFUGEES]]*Table6[[#This Row],[% Female children under 5]]</f>
        <v>9840.8601849168226</v>
      </c>
      <c r="L32" s="19">
        <v>0.18290000000000001</v>
      </c>
      <c r="M32" s="715">
        <f>Table6[[#This Row],[Overall PiN with REFUGEES]]*Table6[[#This Row],[% Male children aged 5 - 17 years]]</f>
        <v>23016.538718942287</v>
      </c>
      <c r="N32" s="19">
        <v>0.20399999999999999</v>
      </c>
      <c r="O32" s="715">
        <f>Table6[[#This Row],[Overall PiN with REFUGEES]]*Table6[[#This Row],[% Female children aged 5 - 17 years]]</f>
        <v>25671.809178043881</v>
      </c>
      <c r="P32" s="19">
        <v>0.19900000000000001</v>
      </c>
      <c r="Q32" s="715">
        <f>Table6[[#This Row],[Overall PiN with REFUGEES]]*Table6[[#This Row],[% Male adults aged 18 - 60]]</f>
        <v>25042.598168778102</v>
      </c>
      <c r="R32" s="19">
        <v>0.2</v>
      </c>
      <c r="S32" s="715">
        <f>Table6[[#This Row],[Overall PiN with REFUGEES]]*Table6[[#This Row],[% Female adults aged 18 - 60]]</f>
        <v>25168.440370631259</v>
      </c>
      <c r="T32" s="19">
        <v>1.5799999999999998E-2</v>
      </c>
      <c r="U32" s="715">
        <f>Table6[[#This Row],[Overall PiN with REFUGEES]]*Table6[[#This Row],[% Male adults aged over 60]]</f>
        <v>1988.3067892798692</v>
      </c>
      <c r="V32" s="19">
        <v>2.7300000000000001E-2</v>
      </c>
      <c r="W32" s="715">
        <f>Table6[[#This Row],[Overall PiN with REFUGEES]]*Table6[[#This Row],[% Female adults aged over 60]]</f>
        <v>3435.4921105911671</v>
      </c>
      <c r="X32" s="412">
        <v>19612.649999999998</v>
      </c>
      <c r="AI32" t="s">
        <v>300</v>
      </c>
      <c r="AJ32" s="718">
        <f t="shared" si="1"/>
        <v>34694.695050915194</v>
      </c>
      <c r="AK32" s="122">
        <f t="shared" si="2"/>
        <v>35512.669362960703</v>
      </c>
      <c r="AL32" s="122">
        <f>SUM(Table6[[#This Row],[No. of  Male adults aged 18 - 60]])</f>
        <v>25042.598168778102</v>
      </c>
      <c r="AM32" s="122">
        <f>Table6[[#This Row],[No. of Female adults aged 18 - 60]]</f>
        <v>25168.440370631259</v>
      </c>
      <c r="AN32" s="122">
        <f>Table6[[#This Row],[No. of Male adults aged over 60]]</f>
        <v>1988.3067892798692</v>
      </c>
      <c r="AO32" s="719">
        <f>Table6[[#This Row],[No. Female adults aged over 60]]</f>
        <v>3435.4921105911671</v>
      </c>
      <c r="AP32" s="122">
        <f t="shared" si="3"/>
        <v>125842.20185315629</v>
      </c>
    </row>
    <row r="33" spans="1:42" x14ac:dyDescent="0.55000000000000004">
      <c r="A33" t="s">
        <v>292</v>
      </c>
      <c r="B33" t="s">
        <v>302</v>
      </c>
      <c r="C33">
        <v>3</v>
      </c>
      <c r="D33">
        <v>3</v>
      </c>
      <c r="E33" s="22"/>
      <c r="F33" s="433">
        <v>46885.09612894772</v>
      </c>
      <c r="G33" s="433">
        <f>Table6[[#This Row],[Overall PiN]]+Table6[[#This Row],[Refugees]]</f>
        <v>46885.09612894772</v>
      </c>
      <c r="H33" s="19">
        <v>9.5500000000000002E-2</v>
      </c>
      <c r="I33" s="715">
        <f>Table6[[#This Row],[Overall PiN with REFUGEES]]*Table6[[#This Row],[% Male children under 5]]</f>
        <v>4477.5266803145078</v>
      </c>
      <c r="J33" s="19">
        <v>9.7600000000000006E-2</v>
      </c>
      <c r="K33" s="715">
        <f>Table6[[#This Row],[Overall PiN with REFUGEES]]*Table6[[#This Row],[% Female children under 5]]</f>
        <v>4575.9853821852976</v>
      </c>
      <c r="L33" s="19">
        <v>0.20299999999999999</v>
      </c>
      <c r="M33" s="715">
        <f>Table6[[#This Row],[Overall PiN with REFUGEES]]*Table6[[#This Row],[% Male children aged 5 - 17 years]]</f>
        <v>9517.6745141763859</v>
      </c>
      <c r="N33" s="19">
        <v>0.216</v>
      </c>
      <c r="O33" s="715">
        <f>Table6[[#This Row],[Overall PiN with REFUGEES]]*Table6[[#This Row],[% Female children aged 5 - 17 years]]</f>
        <v>10127.180763852708</v>
      </c>
      <c r="P33" s="19">
        <v>0.151</v>
      </c>
      <c r="Q33" s="715">
        <f>Table6[[#This Row],[Overall PiN with REFUGEES]]*Table6[[#This Row],[% Male adults aged 18 - 60]]</f>
        <v>7079.6495154711056</v>
      </c>
      <c r="R33" s="19">
        <v>0.17</v>
      </c>
      <c r="S33" s="715">
        <f>Table6[[#This Row],[Overall PiN with REFUGEES]]*Table6[[#This Row],[% Female adults aged 18 - 60]]</f>
        <v>7970.4663419211129</v>
      </c>
      <c r="T33" s="19">
        <v>3.1699999999999999E-2</v>
      </c>
      <c r="U33" s="715">
        <f>Table6[[#This Row],[Overall PiN with REFUGEES]]*Table6[[#This Row],[% Male adults aged over 60]]</f>
        <v>1486.2575472876426</v>
      </c>
      <c r="V33" s="19">
        <v>3.5200000000000002E-2</v>
      </c>
      <c r="W33" s="715">
        <f>Table6[[#This Row],[Overall PiN with REFUGEES]]*Table6[[#This Row],[% Female adults aged over 60]]</f>
        <v>1650.3553837389597</v>
      </c>
      <c r="X33" s="412">
        <v>7317.15</v>
      </c>
      <c r="AI33" t="s">
        <v>302</v>
      </c>
      <c r="AJ33" s="718">
        <f t="shared" si="1"/>
        <v>13995.201194490894</v>
      </c>
      <c r="AK33" s="122">
        <f t="shared" si="2"/>
        <v>14703.166146038006</v>
      </c>
      <c r="AL33" s="122">
        <f>SUM(Table6[[#This Row],[No. of  Male adults aged 18 - 60]])</f>
        <v>7079.6495154711056</v>
      </c>
      <c r="AM33" s="122">
        <f>Table6[[#This Row],[No. of Female adults aged 18 - 60]]</f>
        <v>7970.4663419211129</v>
      </c>
      <c r="AN33" s="122">
        <f>Table6[[#This Row],[No. of Male adults aged over 60]]</f>
        <v>1486.2575472876426</v>
      </c>
      <c r="AO33" s="719">
        <f>Table6[[#This Row],[No. Female adults aged over 60]]</f>
        <v>1650.3553837389597</v>
      </c>
      <c r="AP33" s="122">
        <f t="shared" si="3"/>
        <v>46885.096128947727</v>
      </c>
    </row>
    <row r="34" spans="1:42" x14ac:dyDescent="0.55000000000000004">
      <c r="A34" t="s">
        <v>292</v>
      </c>
      <c r="B34" t="s">
        <v>304</v>
      </c>
      <c r="C34">
        <v>3</v>
      </c>
      <c r="D34">
        <v>5</v>
      </c>
      <c r="E34" s="22"/>
      <c r="F34" s="433">
        <v>45006.022858078628</v>
      </c>
      <c r="G34" s="433">
        <f>Table6[[#This Row],[Overall PiN]]+Table6[[#This Row],[Refugees]]</f>
        <v>45006.022858078628</v>
      </c>
      <c r="H34" s="19">
        <v>8.0500000000000002E-2</v>
      </c>
      <c r="I34" s="715">
        <f>Table6[[#This Row],[Overall PiN with REFUGEES]]*Table6[[#This Row],[% Male children under 5]]</f>
        <v>3622.9848400753294</v>
      </c>
      <c r="J34" s="19">
        <v>7.0599999999999996E-2</v>
      </c>
      <c r="K34" s="715">
        <f>Table6[[#This Row],[Overall PiN with REFUGEES]]*Table6[[#This Row],[% Female children under 5]]</f>
        <v>3177.425213780351</v>
      </c>
      <c r="L34" s="19">
        <v>0.21700000000000003</v>
      </c>
      <c r="M34" s="715">
        <f>Table6[[#This Row],[Overall PiN with REFUGEES]]*Table6[[#This Row],[% Male children aged 5 - 17 years]]</f>
        <v>9766.3069602030628</v>
      </c>
      <c r="N34" s="19">
        <v>0.184</v>
      </c>
      <c r="O34" s="715">
        <f>Table6[[#This Row],[Overall PiN with REFUGEES]]*Table6[[#This Row],[% Female children aged 5 - 17 years]]</f>
        <v>8281.1082058864667</v>
      </c>
      <c r="P34" s="19">
        <v>0.19800000000000001</v>
      </c>
      <c r="Q34" s="715">
        <f>Table6[[#This Row],[Overall PiN with REFUGEES]]*Table6[[#This Row],[% Male adults aged 18 - 60]]</f>
        <v>8911.1925258995689</v>
      </c>
      <c r="R34" s="19">
        <v>0.188</v>
      </c>
      <c r="S34" s="715">
        <f>Table6[[#This Row],[Overall PiN with REFUGEES]]*Table6[[#This Row],[% Female adults aged 18 - 60]]</f>
        <v>8461.1322973187816</v>
      </c>
      <c r="T34" s="19">
        <v>2.8199999999999996E-2</v>
      </c>
      <c r="U34" s="715">
        <f>Table6[[#This Row],[Overall PiN with REFUGEES]]*Table6[[#This Row],[% Male adults aged over 60]]</f>
        <v>1269.169844597817</v>
      </c>
      <c r="V34" s="19">
        <v>3.3700000000000001E-2</v>
      </c>
      <c r="W34" s="715">
        <f>Table6[[#This Row],[Overall PiN with REFUGEES]]*Table6[[#This Row],[% Female adults aged over 60]]</f>
        <v>1516.7029703172498</v>
      </c>
      <c r="X34" s="412">
        <v>8086.998407274592</v>
      </c>
      <c r="AI34" t="s">
        <v>304</v>
      </c>
      <c r="AJ34" s="718">
        <f t="shared" si="1"/>
        <v>13389.291800278392</v>
      </c>
      <c r="AK34" s="122">
        <f t="shared" si="2"/>
        <v>11458.533419666817</v>
      </c>
      <c r="AL34" s="122">
        <f>SUM(Table6[[#This Row],[No. of  Male adults aged 18 - 60]])</f>
        <v>8911.1925258995689</v>
      </c>
      <c r="AM34" s="122">
        <f>Table6[[#This Row],[No. of Female adults aged 18 - 60]]</f>
        <v>8461.1322973187816</v>
      </c>
      <c r="AN34" s="122">
        <f>Table6[[#This Row],[No. of Male adults aged over 60]]</f>
        <v>1269.169844597817</v>
      </c>
      <c r="AO34" s="719">
        <f>Table6[[#This Row],[No. Female adults aged over 60]]</f>
        <v>1516.7029703172498</v>
      </c>
      <c r="AP34" s="122">
        <f t="shared" si="3"/>
        <v>45006.022858078635</v>
      </c>
    </row>
    <row r="35" spans="1:42" x14ac:dyDescent="0.55000000000000004">
      <c r="A35" t="s">
        <v>292</v>
      </c>
      <c r="B35" t="s">
        <v>306</v>
      </c>
      <c r="C35">
        <v>3</v>
      </c>
      <c r="D35">
        <v>3</v>
      </c>
      <c r="E35" s="22"/>
      <c r="F35" s="433">
        <v>106895.23580970432</v>
      </c>
      <c r="G35" s="433">
        <f>Table6[[#This Row],[Overall PiN]]+Table6[[#This Row],[Refugees]]</f>
        <v>106895.23580970432</v>
      </c>
      <c r="H35" s="19">
        <v>0.108</v>
      </c>
      <c r="I35" s="715">
        <f>Table6[[#This Row],[Overall PiN with REFUGEES]]*Table6[[#This Row],[% Male children under 5]]</f>
        <v>11544.685467448066</v>
      </c>
      <c r="J35" s="19">
        <v>9.6000000000000002E-2</v>
      </c>
      <c r="K35" s="715">
        <f>Table6[[#This Row],[Overall PiN with REFUGEES]]*Table6[[#This Row],[% Female children under 5]]</f>
        <v>10261.942637731614</v>
      </c>
      <c r="L35" s="19">
        <v>0.159</v>
      </c>
      <c r="M35" s="715">
        <f>Table6[[#This Row],[Overall PiN with REFUGEES]]*Table6[[#This Row],[% Male children aged 5 - 17 years]]</f>
        <v>16996.342493742988</v>
      </c>
      <c r="N35" s="19">
        <v>0.17100000000000001</v>
      </c>
      <c r="O35" s="715">
        <f>Table6[[#This Row],[Overall PiN with REFUGEES]]*Table6[[#This Row],[% Female children aged 5 - 17 years]]</f>
        <v>18279.08532345944</v>
      </c>
      <c r="P35" s="19">
        <v>0.20300000000000001</v>
      </c>
      <c r="Q35" s="715">
        <f>Table6[[#This Row],[Overall PiN with REFUGEES]]*Table6[[#This Row],[% Male adults aged 18 - 60]]</f>
        <v>21699.732869369978</v>
      </c>
      <c r="R35" s="19">
        <v>0.19600000000000001</v>
      </c>
      <c r="S35" s="715">
        <f>Table6[[#This Row],[Overall PiN with REFUGEES]]*Table6[[#This Row],[% Female adults aged 18 - 60]]</f>
        <v>20951.466218702048</v>
      </c>
      <c r="T35" s="19">
        <v>2.5600000000000005E-2</v>
      </c>
      <c r="U35" s="715">
        <f>Table6[[#This Row],[Overall PiN with REFUGEES]]*Table6[[#This Row],[% Male adults aged over 60]]</f>
        <v>2736.5180367284311</v>
      </c>
      <c r="V35" s="19">
        <v>4.1399999999999999E-2</v>
      </c>
      <c r="W35" s="715">
        <f>Table6[[#This Row],[Overall PiN with REFUGEES]]*Table6[[#This Row],[% Female adults aged over 60]]</f>
        <v>4425.462762521759</v>
      </c>
      <c r="X35" s="412">
        <v>12958.895667775107</v>
      </c>
      <c r="AI35" t="s">
        <v>306</v>
      </c>
      <c r="AJ35" s="718">
        <f t="shared" si="1"/>
        <v>28541.027961191052</v>
      </c>
      <c r="AK35" s="122">
        <f t="shared" si="2"/>
        <v>28541.027961191052</v>
      </c>
      <c r="AL35" s="122">
        <f>SUM(Table6[[#This Row],[No. of  Male adults aged 18 - 60]])</f>
        <v>21699.732869369978</v>
      </c>
      <c r="AM35" s="122">
        <f>Table6[[#This Row],[No. of Female adults aged 18 - 60]]</f>
        <v>20951.466218702048</v>
      </c>
      <c r="AN35" s="122">
        <f>Table6[[#This Row],[No. of Male adults aged over 60]]</f>
        <v>2736.5180367284311</v>
      </c>
      <c r="AO35" s="719">
        <f>Table6[[#This Row],[No. Female adults aged over 60]]</f>
        <v>4425.462762521759</v>
      </c>
      <c r="AP35" s="122">
        <f t="shared" si="3"/>
        <v>106895.23580970432</v>
      </c>
    </row>
    <row r="36" spans="1:42" x14ac:dyDescent="0.55000000000000004">
      <c r="A36" t="s">
        <v>292</v>
      </c>
      <c r="B36" t="s">
        <v>308</v>
      </c>
      <c r="C36">
        <v>3</v>
      </c>
      <c r="D36">
        <v>4</v>
      </c>
      <c r="E36" s="22"/>
      <c r="F36" s="433">
        <v>105020.74424347078</v>
      </c>
      <c r="G36" s="433">
        <f>Table6[[#This Row],[Overall PiN]]+Table6[[#This Row],[Refugees]]</f>
        <v>105020.74424347078</v>
      </c>
      <c r="H36" s="19">
        <v>8.9200000000000002E-2</v>
      </c>
      <c r="I36" s="715">
        <f>Table6[[#This Row],[Overall PiN with REFUGEES]]*Table6[[#This Row],[% Male children under 5]]</f>
        <v>9367.8503865175935</v>
      </c>
      <c r="J36" s="19">
        <v>7.8E-2</v>
      </c>
      <c r="K36" s="715">
        <f>Table6[[#This Row],[Overall PiN with REFUGEES]]*Table6[[#This Row],[% Female children under 5]]</f>
        <v>8191.6180509907208</v>
      </c>
      <c r="L36" s="19">
        <v>0.16700000000000001</v>
      </c>
      <c r="M36" s="715">
        <f>Table6[[#This Row],[Overall PiN with REFUGEES]]*Table6[[#This Row],[% Male children aged 5 - 17 years]]</f>
        <v>17538.464288659619</v>
      </c>
      <c r="N36" s="19">
        <v>0.20499999999999999</v>
      </c>
      <c r="O36" s="715">
        <f>Table6[[#This Row],[Overall PiN with REFUGEES]]*Table6[[#This Row],[% Female children aged 5 - 17 years]]</f>
        <v>21529.252569911507</v>
      </c>
      <c r="P36" s="19">
        <v>0.21000000000000002</v>
      </c>
      <c r="Q36" s="715">
        <f>Table6[[#This Row],[Overall PiN with REFUGEES]]*Table6[[#This Row],[% Male adults aged 18 - 60]]</f>
        <v>22054.356291128865</v>
      </c>
      <c r="R36" s="19">
        <v>0.17199999999999999</v>
      </c>
      <c r="S36" s="715">
        <f>Table6[[#This Row],[Overall PiN with REFUGEES]]*Table6[[#This Row],[% Female adults aged 18 - 60]]</f>
        <v>18063.568009876974</v>
      </c>
      <c r="T36" s="19">
        <v>3.0799999999999994E-2</v>
      </c>
      <c r="U36" s="715">
        <f>Table6[[#This Row],[Overall PiN with REFUGEES]]*Table6[[#This Row],[% Male adults aged over 60]]</f>
        <v>3234.6389226988995</v>
      </c>
      <c r="V36" s="19">
        <v>4.8000000000000001E-2</v>
      </c>
      <c r="W36" s="715">
        <f>Table6[[#This Row],[Overall PiN with REFUGEES]]*Table6[[#This Row],[% Female adults aged over 60]]</f>
        <v>5040.9957236865976</v>
      </c>
      <c r="X36" s="412">
        <v>16066.669432070976</v>
      </c>
      <c r="AI36" t="s">
        <v>308</v>
      </c>
      <c r="AJ36" s="718">
        <f t="shared" si="1"/>
        <v>26906.314675177215</v>
      </c>
      <c r="AK36" s="122">
        <f t="shared" si="2"/>
        <v>29720.870620902228</v>
      </c>
      <c r="AL36" s="122">
        <f>SUM(Table6[[#This Row],[No. of  Male adults aged 18 - 60]])</f>
        <v>22054.356291128865</v>
      </c>
      <c r="AM36" s="122">
        <f>Table6[[#This Row],[No. of Female adults aged 18 - 60]]</f>
        <v>18063.568009876974</v>
      </c>
      <c r="AN36" s="122">
        <f>Table6[[#This Row],[No. of Male adults aged over 60]]</f>
        <v>3234.6389226988995</v>
      </c>
      <c r="AO36" s="719">
        <f>Table6[[#This Row],[No. Female adults aged over 60]]</f>
        <v>5040.9957236865976</v>
      </c>
      <c r="AP36" s="122">
        <f t="shared" si="3"/>
        <v>105020.74424347078</v>
      </c>
    </row>
    <row r="37" spans="1:42" x14ac:dyDescent="0.55000000000000004">
      <c r="A37" t="s">
        <v>310</v>
      </c>
      <c r="B37" t="s">
        <v>312</v>
      </c>
      <c r="C37">
        <v>3</v>
      </c>
      <c r="D37">
        <v>4</v>
      </c>
      <c r="E37" s="22"/>
      <c r="F37" s="433">
        <v>69025.01551156216</v>
      </c>
      <c r="G37" s="433">
        <f>Table6[[#This Row],[Overall PiN]]+Table6[[#This Row],[Refugees]]</f>
        <v>69025.01551156216</v>
      </c>
      <c r="H37" s="19">
        <v>0.17699999999999999</v>
      </c>
      <c r="I37" s="715">
        <f>Table6[[#This Row],[Overall PiN with REFUGEES]]*Table6[[#This Row],[% Male children under 5]]</f>
        <v>12217.427745546502</v>
      </c>
      <c r="J37" s="19">
        <v>0.13900000000000001</v>
      </c>
      <c r="K37" s="715">
        <f>Table6[[#This Row],[Overall PiN with REFUGEES]]*Table6[[#This Row],[% Female children under 5]]</f>
        <v>9594.4771561071411</v>
      </c>
      <c r="L37" s="19">
        <v>0.14069999999999999</v>
      </c>
      <c r="M37" s="715">
        <f>Table6[[#This Row],[Overall PiN with REFUGEES]]*Table6[[#This Row],[% Male children aged 5 - 17 years]]</f>
        <v>9711.8196824767947</v>
      </c>
      <c r="N37" s="19">
        <v>0.13300000000000001</v>
      </c>
      <c r="O37" s="715">
        <f>Table6[[#This Row],[Overall PiN with REFUGEES]]*Table6[[#This Row],[% Female children aged 5 - 17 years]]</f>
        <v>9180.3270630377683</v>
      </c>
      <c r="P37" s="19">
        <v>0.14899999999999999</v>
      </c>
      <c r="Q37" s="715">
        <f>Table6[[#This Row],[Overall PiN with REFUGEES]]*Table6[[#This Row],[% Male adults aged 18 - 60]]</f>
        <v>10284.727311222761</v>
      </c>
      <c r="R37" s="19">
        <v>0.16900000000000001</v>
      </c>
      <c r="S37" s="715">
        <f>Table6[[#This Row],[Overall PiN with REFUGEES]]*Table6[[#This Row],[% Female adults aged 18 - 60]]</f>
        <v>11665.227621454005</v>
      </c>
      <c r="T37" s="19">
        <v>3.7099999999999994E-2</v>
      </c>
      <c r="U37" s="715">
        <f>Table6[[#This Row],[Overall PiN with REFUGEES]]*Table6[[#This Row],[% Male adults aged over 60]]</f>
        <v>2560.8280754789557</v>
      </c>
      <c r="V37" s="19">
        <v>5.5199999999999999E-2</v>
      </c>
      <c r="W37" s="715">
        <f>Table6[[#This Row],[Overall PiN with REFUGEES]]*Table6[[#This Row],[% Female adults aged over 60]]</f>
        <v>3810.1808562382312</v>
      </c>
      <c r="X37" s="412">
        <v>6840.0510098714994</v>
      </c>
      <c r="AI37" t="s">
        <v>312</v>
      </c>
      <c r="AJ37" s="718">
        <f t="shared" si="1"/>
        <v>21929.247428023296</v>
      </c>
      <c r="AK37" s="122">
        <f t="shared" si="2"/>
        <v>18774.804219144909</v>
      </c>
      <c r="AL37" s="122">
        <f>SUM(Table6[[#This Row],[No. of  Male adults aged 18 - 60]])</f>
        <v>10284.727311222761</v>
      </c>
      <c r="AM37" s="122">
        <f>Table6[[#This Row],[No. of Female adults aged 18 - 60]]</f>
        <v>11665.227621454005</v>
      </c>
      <c r="AN37" s="122">
        <f>Table6[[#This Row],[No. of Male adults aged over 60]]</f>
        <v>2560.8280754789557</v>
      </c>
      <c r="AO37" s="719">
        <f>Table6[[#This Row],[No. Female adults aged over 60]]</f>
        <v>3810.1808562382312</v>
      </c>
      <c r="AP37" s="122">
        <f t="shared" si="3"/>
        <v>69025.01551156216</v>
      </c>
    </row>
    <row r="38" spans="1:42" x14ac:dyDescent="0.55000000000000004">
      <c r="A38" t="s">
        <v>310</v>
      </c>
      <c r="B38" t="s">
        <v>314</v>
      </c>
      <c r="C38">
        <v>4</v>
      </c>
      <c r="D38">
        <v>2</v>
      </c>
      <c r="E38" s="22"/>
      <c r="F38" s="433">
        <v>307356.87637771934</v>
      </c>
      <c r="G38" s="433">
        <f>Table6[[#This Row],[Overall PiN]]+Table6[[#This Row],[Refugees]]</f>
        <v>307356.87637771934</v>
      </c>
      <c r="H38" s="19">
        <v>8.5400000000000004E-2</v>
      </c>
      <c r="I38" s="715">
        <f>Table6[[#This Row],[Overall PiN with REFUGEES]]*Table6[[#This Row],[% Male children under 5]]</f>
        <v>26248.277242657234</v>
      </c>
      <c r="J38" s="19">
        <v>9.3399999999999997E-2</v>
      </c>
      <c r="K38" s="715">
        <f>Table6[[#This Row],[Overall PiN with REFUGEES]]*Table6[[#This Row],[% Female children under 5]]</f>
        <v>28707.132253678985</v>
      </c>
      <c r="L38" s="19">
        <v>0.20280000000000001</v>
      </c>
      <c r="M38" s="715">
        <f>Table6[[#This Row],[Overall PiN with REFUGEES]]*Table6[[#This Row],[% Male children aged 5 - 17 years]]</f>
        <v>62331.974529401487</v>
      </c>
      <c r="N38" s="19">
        <v>0.21299999999999999</v>
      </c>
      <c r="O38" s="715">
        <f>Table6[[#This Row],[Overall PiN with REFUGEES]]*Table6[[#This Row],[% Female children aged 5 - 17 years]]</f>
        <v>65467.01466845422</v>
      </c>
      <c r="P38" s="19">
        <v>0.15600000000000003</v>
      </c>
      <c r="Q38" s="715">
        <f>Table6[[#This Row],[Overall PiN with REFUGEES]]*Table6[[#This Row],[% Male adults aged 18 - 60]]</f>
        <v>47947.672714924229</v>
      </c>
      <c r="R38" s="19">
        <v>0.18</v>
      </c>
      <c r="S38" s="715">
        <f>Table6[[#This Row],[Overall PiN with REFUGEES]]*Table6[[#This Row],[% Female adults aged 18 - 60]]</f>
        <v>55324.237747989479</v>
      </c>
      <c r="T38" s="19">
        <v>2.7000000000000003E-2</v>
      </c>
      <c r="U38" s="715">
        <f>Table6[[#This Row],[Overall PiN with REFUGEES]]*Table6[[#This Row],[% Male adults aged over 60]]</f>
        <v>8298.6356621984232</v>
      </c>
      <c r="V38" s="19">
        <v>4.24E-2</v>
      </c>
      <c r="W38" s="715">
        <f>Table6[[#This Row],[Overall PiN with REFUGEES]]*Table6[[#This Row],[% Female adults aged over 60]]</f>
        <v>13031.931558415299</v>
      </c>
      <c r="X38" s="412">
        <v>39048.412499999999</v>
      </c>
      <c r="AI38" t="s">
        <v>314</v>
      </c>
      <c r="AJ38" s="718">
        <f t="shared" si="1"/>
        <v>88580.25177205872</v>
      </c>
      <c r="AK38" s="122">
        <f t="shared" si="2"/>
        <v>94174.146922133208</v>
      </c>
      <c r="AL38" s="122">
        <f>SUM(Table6[[#This Row],[No. of  Male adults aged 18 - 60]])</f>
        <v>47947.672714924229</v>
      </c>
      <c r="AM38" s="122">
        <f>Table6[[#This Row],[No. of Female adults aged 18 - 60]]</f>
        <v>55324.237747989479</v>
      </c>
      <c r="AN38" s="122">
        <f>Table6[[#This Row],[No. of Male adults aged over 60]]</f>
        <v>8298.6356621984232</v>
      </c>
      <c r="AO38" s="719">
        <f>Table6[[#This Row],[No. Female adults aged over 60]]</f>
        <v>13031.931558415299</v>
      </c>
      <c r="AP38" s="122">
        <f t="shared" si="3"/>
        <v>307356.87637771934</v>
      </c>
    </row>
    <row r="39" spans="1:42" x14ac:dyDescent="0.55000000000000004">
      <c r="A39" t="s">
        <v>310</v>
      </c>
      <c r="B39" t="s">
        <v>316</v>
      </c>
      <c r="C39">
        <v>3</v>
      </c>
      <c r="D39">
        <v>2</v>
      </c>
      <c r="E39" s="22"/>
      <c r="F39" s="433">
        <v>127686.57318651944</v>
      </c>
      <c r="G39" s="433">
        <f>Table6[[#This Row],[Overall PiN]]+Table6[[#This Row],[Refugees]]</f>
        <v>127686.57318651944</v>
      </c>
      <c r="H39" s="19">
        <v>7.9600000000000004E-2</v>
      </c>
      <c r="I39" s="715">
        <f>Table6[[#This Row],[Overall PiN with REFUGEES]]*Table6[[#This Row],[% Male children under 5]]</f>
        <v>10163.851225646948</v>
      </c>
      <c r="J39" s="19">
        <v>6.7799999999999999E-2</v>
      </c>
      <c r="K39" s="715">
        <f>Table6[[#This Row],[Overall PiN with REFUGEES]]*Table6[[#This Row],[% Female children under 5]]</f>
        <v>8657.1496620460184</v>
      </c>
      <c r="L39" s="19">
        <v>0.20219999999999999</v>
      </c>
      <c r="M39" s="715">
        <f>Table6[[#This Row],[Overall PiN with REFUGEES]]*Table6[[#This Row],[% Male children aged 5 - 17 years]]</f>
        <v>25818.225098314229</v>
      </c>
      <c r="N39" s="19">
        <v>0.23599999999999999</v>
      </c>
      <c r="O39" s="715">
        <f>Table6[[#This Row],[Overall PiN with REFUGEES]]*Table6[[#This Row],[% Female children aged 5 - 17 years]]</f>
        <v>30134.031272018587</v>
      </c>
      <c r="P39" s="19">
        <v>0.15400000000000003</v>
      </c>
      <c r="Q39" s="715">
        <f>Table6[[#This Row],[Overall PiN with REFUGEES]]*Table6[[#This Row],[% Male adults aged 18 - 60]]</f>
        <v>19663.732270723998</v>
      </c>
      <c r="R39" s="19">
        <v>0.188</v>
      </c>
      <c r="S39" s="715">
        <f>Table6[[#This Row],[Overall PiN with REFUGEES]]*Table6[[#This Row],[% Female adults aged 18 - 60]]</f>
        <v>24005.075759065654</v>
      </c>
      <c r="T39" s="19">
        <v>3.6700000000000003E-2</v>
      </c>
      <c r="U39" s="715">
        <f>Table6[[#This Row],[Overall PiN with REFUGEES]]*Table6[[#This Row],[% Male adults aged over 60]]</f>
        <v>4686.0972359452635</v>
      </c>
      <c r="V39" s="19">
        <v>3.5700000000000003E-2</v>
      </c>
      <c r="W39" s="715">
        <f>Table6[[#This Row],[Overall PiN with REFUGEES]]*Table6[[#This Row],[% Female adults aged over 60]]</f>
        <v>4558.4106627587444</v>
      </c>
      <c r="X39" s="412">
        <v>21163.200000000001</v>
      </c>
      <c r="AI39" t="s">
        <v>316</v>
      </c>
      <c r="AJ39" s="718">
        <f t="shared" si="1"/>
        <v>35982.076323961177</v>
      </c>
      <c r="AK39" s="122">
        <f t="shared" si="2"/>
        <v>38791.180934064607</v>
      </c>
      <c r="AL39" s="122">
        <f>SUM(Table6[[#This Row],[No. of  Male adults aged 18 - 60]])</f>
        <v>19663.732270723998</v>
      </c>
      <c r="AM39" s="122">
        <f>Table6[[#This Row],[No. of Female adults aged 18 - 60]]</f>
        <v>24005.075759065654</v>
      </c>
      <c r="AN39" s="122">
        <f>Table6[[#This Row],[No. of Male adults aged over 60]]</f>
        <v>4686.0972359452635</v>
      </c>
      <c r="AO39" s="719">
        <f>Table6[[#This Row],[No. Female adults aged over 60]]</f>
        <v>4558.4106627587444</v>
      </c>
      <c r="AP39" s="122">
        <f t="shared" si="3"/>
        <v>127686.57318651944</v>
      </c>
    </row>
    <row r="40" spans="1:42" x14ac:dyDescent="0.55000000000000004">
      <c r="A40" t="s">
        <v>310</v>
      </c>
      <c r="B40" t="s">
        <v>318</v>
      </c>
      <c r="C40">
        <v>3</v>
      </c>
      <c r="D40">
        <v>2</v>
      </c>
      <c r="E40" s="22"/>
      <c r="F40" s="433">
        <v>93495.862062403394</v>
      </c>
      <c r="G40" s="433">
        <f>Table6[[#This Row],[Overall PiN]]+Table6[[#This Row],[Refugees]]</f>
        <v>93495.862062403394</v>
      </c>
      <c r="H40" s="19">
        <v>0.11</v>
      </c>
      <c r="I40" s="715">
        <f>Table6[[#This Row],[Overall PiN with REFUGEES]]*Table6[[#This Row],[% Male children under 5]]</f>
        <v>10284.544826864374</v>
      </c>
      <c r="J40" s="19">
        <v>8.6599999999999996E-2</v>
      </c>
      <c r="K40" s="715">
        <f>Table6[[#This Row],[Overall PiN with REFUGEES]]*Table6[[#This Row],[% Female children under 5]]</f>
        <v>8096.7416546041331</v>
      </c>
      <c r="L40" s="19">
        <v>0.1585</v>
      </c>
      <c r="M40" s="715">
        <f>Table6[[#This Row],[Overall PiN with REFUGEES]]*Table6[[#This Row],[% Male children aged 5 - 17 years]]</f>
        <v>14819.094136890939</v>
      </c>
      <c r="N40" s="19">
        <v>0.189</v>
      </c>
      <c r="O40" s="715">
        <f>Table6[[#This Row],[Overall PiN with REFUGEES]]*Table6[[#This Row],[% Female children aged 5 - 17 years]]</f>
        <v>17670.717929794242</v>
      </c>
      <c r="P40" s="19">
        <v>0.19399999999999998</v>
      </c>
      <c r="Q40" s="715">
        <f>Table6[[#This Row],[Overall PiN with REFUGEES]]*Table6[[#This Row],[% Male adults aged 18 - 60]]</f>
        <v>18138.197240106256</v>
      </c>
      <c r="R40" s="19">
        <v>0.23</v>
      </c>
      <c r="S40" s="715">
        <f>Table6[[#This Row],[Overall PiN with REFUGEES]]*Table6[[#This Row],[% Female adults aged 18 - 60]]</f>
        <v>21504.048274352783</v>
      </c>
      <c r="T40" s="19">
        <v>1.5699999999999999E-2</v>
      </c>
      <c r="U40" s="715">
        <f>Table6[[#This Row],[Overall PiN with REFUGEES]]*Table6[[#This Row],[% Male adults aged over 60]]</f>
        <v>1467.8850343797333</v>
      </c>
      <c r="V40" s="19">
        <v>1.6199999999999999E-2</v>
      </c>
      <c r="W40" s="715">
        <f>Table6[[#This Row],[Overall PiN with REFUGEES]]*Table6[[#This Row],[% Female adults aged over 60]]</f>
        <v>1514.632965410935</v>
      </c>
      <c r="X40" s="412">
        <v>20840.399999999998</v>
      </c>
      <c r="AI40" t="s">
        <v>318</v>
      </c>
      <c r="AJ40" s="718">
        <f t="shared" si="1"/>
        <v>25103.638963755315</v>
      </c>
      <c r="AK40" s="122">
        <f t="shared" si="2"/>
        <v>25767.459584398377</v>
      </c>
      <c r="AL40" s="122">
        <f>SUM(Table6[[#This Row],[No. of  Male adults aged 18 - 60]])</f>
        <v>18138.197240106256</v>
      </c>
      <c r="AM40" s="122">
        <f>Table6[[#This Row],[No. of Female adults aged 18 - 60]]</f>
        <v>21504.048274352783</v>
      </c>
      <c r="AN40" s="122">
        <f>Table6[[#This Row],[No. of Male adults aged over 60]]</f>
        <v>1467.8850343797333</v>
      </c>
      <c r="AO40" s="719">
        <f>Table6[[#This Row],[No. Female adults aged over 60]]</f>
        <v>1514.632965410935</v>
      </c>
      <c r="AP40" s="122">
        <f t="shared" si="3"/>
        <v>93495.862062403394</v>
      </c>
    </row>
    <row r="41" spans="1:42" x14ac:dyDescent="0.55000000000000004">
      <c r="A41" t="s">
        <v>310</v>
      </c>
      <c r="B41" t="s">
        <v>320</v>
      </c>
      <c r="C41">
        <v>3</v>
      </c>
      <c r="D41">
        <v>3</v>
      </c>
      <c r="E41" s="22">
        <v>35551</v>
      </c>
      <c r="F41" s="433">
        <v>126804.3026040337</v>
      </c>
      <c r="G41" s="433">
        <f>Table6[[#This Row],[Overall PiN]]+Table6[[#This Row],[Refugees]]</f>
        <v>162355.3026040337</v>
      </c>
      <c r="H41" s="19">
        <v>0.10199999999999999</v>
      </c>
      <c r="I41" s="715">
        <f>Table6[[#This Row],[Overall PiN with REFUGEES]]*Table6[[#This Row],[% Male children under 5]]</f>
        <v>16560.240865611435</v>
      </c>
      <c r="J41" s="19">
        <v>0.11600000000000001</v>
      </c>
      <c r="K41" s="715">
        <f>Table6[[#This Row],[Overall PiN with REFUGEES]]*Table6[[#This Row],[% Female children under 5]]</f>
        <v>18833.215102067908</v>
      </c>
      <c r="L41" s="19">
        <v>0.191</v>
      </c>
      <c r="M41" s="715">
        <f>Table6[[#This Row],[Overall PiN with REFUGEES]]*Table6[[#This Row],[% Male children aged 5 - 17 years]]</f>
        <v>31009.862797370439</v>
      </c>
      <c r="N41" s="19">
        <v>0.193</v>
      </c>
      <c r="O41" s="715">
        <f>Table6[[#This Row],[Overall PiN with REFUGEES]]*Table6[[#This Row],[% Female children aged 5 - 17 years]]</f>
        <v>31334.573402578506</v>
      </c>
      <c r="P41" s="19">
        <v>0.17399999999999999</v>
      </c>
      <c r="Q41" s="715">
        <f>Table6[[#This Row],[Overall PiN with REFUGEES]]*Table6[[#This Row],[% Male adults aged 18 - 60]]</f>
        <v>28249.822653101863</v>
      </c>
      <c r="R41" s="19">
        <v>0.18</v>
      </c>
      <c r="S41" s="715">
        <f>Table6[[#This Row],[Overall PiN with REFUGEES]]*Table6[[#This Row],[% Female adults aged 18 - 60]]</f>
        <v>29223.954468726064</v>
      </c>
      <c r="T41" s="19">
        <v>2.18E-2</v>
      </c>
      <c r="U41" s="715">
        <f>Table6[[#This Row],[Overall PiN with REFUGEES]]*Table6[[#This Row],[% Male adults aged over 60]]</f>
        <v>3539.3455967679347</v>
      </c>
      <c r="V41" s="19">
        <v>2.2200000000000001E-2</v>
      </c>
      <c r="W41" s="715">
        <f>Table6[[#This Row],[Overall PiN with REFUGEES]]*Table6[[#This Row],[% Female adults aged over 60]]</f>
        <v>3604.2877178095482</v>
      </c>
      <c r="X41" s="412">
        <v>21579.45</v>
      </c>
      <c r="AI41" t="s">
        <v>320</v>
      </c>
      <c r="AJ41" s="718">
        <f t="shared" si="1"/>
        <v>47570.10366298187</v>
      </c>
      <c r="AK41" s="122">
        <f t="shared" si="2"/>
        <v>50167.788504646414</v>
      </c>
      <c r="AL41" s="122">
        <f>SUM(Table6[[#This Row],[No. of  Male adults aged 18 - 60]])</f>
        <v>28249.822653101863</v>
      </c>
      <c r="AM41" s="122">
        <f>Table6[[#This Row],[No. of Female adults aged 18 - 60]]</f>
        <v>29223.954468726064</v>
      </c>
      <c r="AN41" s="122">
        <f>Table6[[#This Row],[No. of Male adults aged over 60]]</f>
        <v>3539.3455967679347</v>
      </c>
      <c r="AO41" s="719">
        <f>Table6[[#This Row],[No. Female adults aged over 60]]</f>
        <v>3604.2877178095482</v>
      </c>
      <c r="AP41" s="122">
        <f t="shared" si="3"/>
        <v>162355.3026040337</v>
      </c>
    </row>
    <row r="42" spans="1:42" x14ac:dyDescent="0.55000000000000004">
      <c r="A42" t="s">
        <v>322</v>
      </c>
      <c r="B42" t="s">
        <v>324</v>
      </c>
      <c r="C42">
        <v>3</v>
      </c>
      <c r="D42">
        <v>4</v>
      </c>
      <c r="E42" s="22"/>
      <c r="F42" s="433">
        <v>38384.348927410378</v>
      </c>
      <c r="G42" s="433">
        <f>Table6[[#This Row],[Overall PiN]]+Table6[[#This Row],[Refugees]]</f>
        <v>38384.348927410378</v>
      </c>
      <c r="H42" s="19">
        <v>9.9299999999999999E-2</v>
      </c>
      <c r="I42" s="715">
        <f>Table6[[#This Row],[Overall PiN with REFUGEES]]*Table6[[#This Row],[% Male children under 5]]</f>
        <v>3811.5658484918504</v>
      </c>
      <c r="J42" s="19">
        <v>8.5199999999999998E-2</v>
      </c>
      <c r="K42" s="715">
        <f>Table6[[#This Row],[Overall PiN with REFUGEES]]*Table6[[#This Row],[% Female children under 5]]</f>
        <v>3270.3465286153642</v>
      </c>
      <c r="L42" s="19">
        <v>0.1832</v>
      </c>
      <c r="M42" s="715">
        <f>Table6[[#This Row],[Overall PiN with REFUGEES]]*Table6[[#This Row],[% Male children aged 5 - 17 years]]</f>
        <v>7032.0127235015816</v>
      </c>
      <c r="N42" s="19">
        <v>0.16</v>
      </c>
      <c r="O42" s="715">
        <f>Table6[[#This Row],[Overall PiN with REFUGEES]]*Table6[[#This Row],[% Female children aged 5 - 17 years]]</f>
        <v>6141.4958283856604</v>
      </c>
      <c r="P42" s="19">
        <v>0.19899999999999998</v>
      </c>
      <c r="Q42" s="715">
        <f>Table6[[#This Row],[Overall PiN with REFUGEES]]*Table6[[#This Row],[% Male adults aged 18 - 60]]</f>
        <v>7638.4854365546644</v>
      </c>
      <c r="R42" s="19">
        <v>0.23300000000000001</v>
      </c>
      <c r="S42" s="715">
        <f>Table6[[#This Row],[Overall PiN with REFUGEES]]*Table6[[#This Row],[% Female adults aged 18 - 60]]</f>
        <v>8943.553300086618</v>
      </c>
      <c r="T42" s="19">
        <v>1.8200000000000001E-2</v>
      </c>
      <c r="U42" s="715">
        <f>Table6[[#This Row],[Overall PiN with REFUGEES]]*Table6[[#This Row],[% Male adults aged over 60]]</f>
        <v>698.59515047886896</v>
      </c>
      <c r="V42" s="19">
        <v>2.2100000000000002E-2</v>
      </c>
      <c r="W42" s="715">
        <f>Table6[[#This Row],[Overall PiN with REFUGEES]]*Table6[[#This Row],[% Female adults aged over 60]]</f>
        <v>848.29411129576943</v>
      </c>
      <c r="X42" s="412">
        <v>31159.443806062496</v>
      </c>
      <c r="AI42" t="s">
        <v>324</v>
      </c>
      <c r="AJ42" s="718">
        <f t="shared" si="1"/>
        <v>10843.578571993432</v>
      </c>
      <c r="AK42" s="122">
        <f t="shared" si="2"/>
        <v>9411.8423570010236</v>
      </c>
      <c r="AL42" s="122">
        <f>SUM(Table6[[#This Row],[No. of  Male adults aged 18 - 60]])</f>
        <v>7638.4854365546644</v>
      </c>
      <c r="AM42" s="122">
        <f>Table6[[#This Row],[No. of Female adults aged 18 - 60]]</f>
        <v>8943.553300086618</v>
      </c>
      <c r="AN42" s="122">
        <f>Table6[[#This Row],[No. of Male adults aged over 60]]</f>
        <v>698.59515047886896</v>
      </c>
      <c r="AO42" s="719">
        <f>Table6[[#This Row],[No. Female adults aged over 60]]</f>
        <v>848.29411129576943</v>
      </c>
      <c r="AP42" s="122">
        <f t="shared" si="3"/>
        <v>38384.348927410378</v>
      </c>
    </row>
    <row r="43" spans="1:42" x14ac:dyDescent="0.55000000000000004">
      <c r="A43" t="s">
        <v>322</v>
      </c>
      <c r="B43" t="s">
        <v>326</v>
      </c>
      <c r="C43">
        <v>3</v>
      </c>
      <c r="D43">
        <v>3</v>
      </c>
      <c r="E43" s="22"/>
      <c r="F43" s="433">
        <v>54530.580389204581</v>
      </c>
      <c r="G43" s="433">
        <f>Table6[[#This Row],[Overall PiN]]+Table6[[#This Row],[Refugees]]</f>
        <v>54530.580389204581</v>
      </c>
      <c r="H43" s="19">
        <v>0.11700000000000001</v>
      </c>
      <c r="I43" s="715">
        <f>Table6[[#This Row],[Overall PiN with REFUGEES]]*Table6[[#This Row],[% Male children under 5]]</f>
        <v>6380.0779055369367</v>
      </c>
      <c r="J43" s="19">
        <v>0.1009</v>
      </c>
      <c r="K43" s="715">
        <f>Table6[[#This Row],[Overall PiN with REFUGEES]]*Table6[[#This Row],[% Female children under 5]]</f>
        <v>5502.1355612707421</v>
      </c>
      <c r="L43" s="19">
        <v>0.18609999999999999</v>
      </c>
      <c r="M43" s="715">
        <f>Table6[[#This Row],[Overall PiN with REFUGEES]]*Table6[[#This Row],[% Male children aged 5 - 17 years]]</f>
        <v>10148.141010430973</v>
      </c>
      <c r="N43" s="19">
        <v>0.188</v>
      </c>
      <c r="O43" s="715">
        <f>Table6[[#This Row],[Overall PiN with REFUGEES]]*Table6[[#This Row],[% Female children aged 5 - 17 years]]</f>
        <v>10251.749113170461</v>
      </c>
      <c r="P43" s="19">
        <v>0.13899999999999998</v>
      </c>
      <c r="Q43" s="715">
        <f>Table6[[#This Row],[Overall PiN with REFUGEES]]*Table6[[#This Row],[% Male adults aged 18 - 60]]</f>
        <v>7579.7506740994359</v>
      </c>
      <c r="R43" s="19">
        <v>0.16500000000000001</v>
      </c>
      <c r="S43" s="715">
        <f>Table6[[#This Row],[Overall PiN with REFUGEES]]*Table6[[#This Row],[% Female adults aged 18 - 60]]</f>
        <v>8997.5457642187557</v>
      </c>
      <c r="T43" s="19">
        <v>4.6099999999999995E-2</v>
      </c>
      <c r="U43" s="715">
        <f>Table6[[#This Row],[Overall PiN with REFUGEES]]*Table6[[#This Row],[% Male adults aged over 60]]</f>
        <v>2513.859755942331</v>
      </c>
      <c r="V43" s="19">
        <v>5.79E-2</v>
      </c>
      <c r="W43" s="715">
        <f>Table6[[#This Row],[Overall PiN with REFUGEES]]*Table6[[#This Row],[% Female adults aged over 60]]</f>
        <v>3157.3206045349452</v>
      </c>
      <c r="X43" s="412">
        <v>9204.9543843319916</v>
      </c>
      <c r="AI43" t="s">
        <v>326</v>
      </c>
      <c r="AJ43" s="718">
        <f t="shared" si="1"/>
        <v>16528.218915967911</v>
      </c>
      <c r="AK43" s="122">
        <f t="shared" si="2"/>
        <v>15753.884674441204</v>
      </c>
      <c r="AL43" s="122">
        <f>SUM(Table6[[#This Row],[No. of  Male adults aged 18 - 60]])</f>
        <v>7579.7506740994359</v>
      </c>
      <c r="AM43" s="122">
        <f>Table6[[#This Row],[No. of Female adults aged 18 - 60]]</f>
        <v>8997.5457642187557</v>
      </c>
      <c r="AN43" s="122">
        <f>Table6[[#This Row],[No. of Male adults aged over 60]]</f>
        <v>2513.859755942331</v>
      </c>
      <c r="AO43" s="719">
        <f>Table6[[#This Row],[No. Female adults aged over 60]]</f>
        <v>3157.3206045349452</v>
      </c>
      <c r="AP43" s="122">
        <f t="shared" si="3"/>
        <v>54530.580389204581</v>
      </c>
    </row>
    <row r="44" spans="1:42" x14ac:dyDescent="0.55000000000000004">
      <c r="A44" t="s">
        <v>322</v>
      </c>
      <c r="B44" t="s">
        <v>328</v>
      </c>
      <c r="C44">
        <v>3</v>
      </c>
      <c r="D44">
        <v>3</v>
      </c>
      <c r="E44" s="22"/>
      <c r="F44" s="433">
        <v>75001.100725742581</v>
      </c>
      <c r="G44" s="433">
        <f>Table6[[#This Row],[Overall PiN]]+Table6[[#This Row],[Refugees]]</f>
        <v>75001.100725742581</v>
      </c>
      <c r="H44" s="19">
        <v>8.6999999999999994E-2</v>
      </c>
      <c r="I44" s="715">
        <f>Table6[[#This Row],[Overall PiN with REFUGEES]]*Table6[[#This Row],[% Male children under 5]]</f>
        <v>6525.0957631396041</v>
      </c>
      <c r="J44" s="19">
        <v>7.1599999999999997E-2</v>
      </c>
      <c r="K44" s="715">
        <f>Table6[[#This Row],[Overall PiN with REFUGEES]]*Table6[[#This Row],[% Female children under 5]]</f>
        <v>5370.0788119631688</v>
      </c>
      <c r="L44" s="19">
        <v>0.1714</v>
      </c>
      <c r="M44" s="715">
        <f>Table6[[#This Row],[Overall PiN with REFUGEES]]*Table6[[#This Row],[% Male children aged 5 - 17 years]]</f>
        <v>12855.188664392279</v>
      </c>
      <c r="N44" s="19">
        <v>0.20200000000000001</v>
      </c>
      <c r="O44" s="715">
        <f>Table6[[#This Row],[Overall PiN with REFUGEES]]*Table6[[#This Row],[% Female children aged 5 - 17 years]]</f>
        <v>15150.222346600001</v>
      </c>
      <c r="P44" s="19">
        <v>0.16400000000000003</v>
      </c>
      <c r="Q44" s="715">
        <f>Table6[[#This Row],[Overall PiN with REFUGEES]]*Table6[[#This Row],[% Male adults aged 18 - 60]]</f>
        <v>12300.180519021786</v>
      </c>
      <c r="R44" s="19">
        <v>0.17799999999999999</v>
      </c>
      <c r="S44" s="715">
        <f>Table6[[#This Row],[Overall PiN with REFUGEES]]*Table6[[#This Row],[% Female adults aged 18 - 60]]</f>
        <v>13350.195929182179</v>
      </c>
      <c r="T44" s="19">
        <v>3.2500000000000001E-2</v>
      </c>
      <c r="U44" s="715">
        <f>Table6[[#This Row],[Overall PiN with REFUGEES]]*Table6[[#This Row],[% Male adults aged over 60]]</f>
        <v>2437.5357735866341</v>
      </c>
      <c r="V44" s="19">
        <v>9.35E-2</v>
      </c>
      <c r="W44" s="715">
        <f>Table6[[#This Row],[Overall PiN with REFUGEES]]*Table6[[#This Row],[% Female adults aged over 60]]</f>
        <v>7012.6029178569315</v>
      </c>
      <c r="X44" s="412">
        <v>11719.65</v>
      </c>
      <c r="AI44" t="s">
        <v>328</v>
      </c>
      <c r="AJ44" s="718">
        <f t="shared" si="1"/>
        <v>19380.284427531882</v>
      </c>
      <c r="AK44" s="122">
        <f t="shared" si="2"/>
        <v>20520.301158563168</v>
      </c>
      <c r="AL44" s="122">
        <f>SUM(Table6[[#This Row],[No. of  Male adults aged 18 - 60]])</f>
        <v>12300.180519021786</v>
      </c>
      <c r="AM44" s="122">
        <f>Table6[[#This Row],[No. of Female adults aged 18 - 60]]</f>
        <v>13350.195929182179</v>
      </c>
      <c r="AN44" s="122">
        <f>Table6[[#This Row],[No. of Male adults aged over 60]]</f>
        <v>2437.5357735866341</v>
      </c>
      <c r="AO44" s="719">
        <f>Table6[[#This Row],[No. Female adults aged over 60]]</f>
        <v>7012.6029178569315</v>
      </c>
      <c r="AP44" s="122">
        <f t="shared" si="3"/>
        <v>75001.100725742581</v>
      </c>
    </row>
    <row r="45" spans="1:42" x14ac:dyDescent="0.55000000000000004">
      <c r="A45" t="s">
        <v>322</v>
      </c>
      <c r="B45" t="s">
        <v>330</v>
      </c>
      <c r="C45">
        <v>3</v>
      </c>
      <c r="D45">
        <v>2</v>
      </c>
      <c r="E45" s="22"/>
      <c r="F45" s="433">
        <v>68777.599191070694</v>
      </c>
      <c r="G45" s="433">
        <f>Table6[[#This Row],[Overall PiN]]+Table6[[#This Row],[Refugees]]</f>
        <v>68777.599191070694</v>
      </c>
      <c r="H45" s="19">
        <v>9.1499999999999998E-2</v>
      </c>
      <c r="I45" s="715">
        <f>Table6[[#This Row],[Overall PiN with REFUGEES]]*Table6[[#This Row],[% Male children under 5]]</f>
        <v>6293.1503259829688</v>
      </c>
      <c r="J45" s="19">
        <v>8.4000000000000005E-2</v>
      </c>
      <c r="K45" s="715">
        <f>Table6[[#This Row],[Overall PiN with REFUGEES]]*Table6[[#This Row],[% Female children under 5]]</f>
        <v>5777.3183320499384</v>
      </c>
      <c r="L45" s="19">
        <v>0.16699999999999998</v>
      </c>
      <c r="M45" s="715">
        <f>Table6[[#This Row],[Overall PiN with REFUGEES]]*Table6[[#This Row],[% Male children aged 5 - 17 years]]</f>
        <v>11485.859064908806</v>
      </c>
      <c r="N45" s="19">
        <v>0.182</v>
      </c>
      <c r="O45" s="715">
        <f>Table6[[#This Row],[Overall PiN with REFUGEES]]*Table6[[#This Row],[% Female children aged 5 - 17 years]]</f>
        <v>12517.523052774866</v>
      </c>
      <c r="P45" s="19">
        <v>0.19699999999999998</v>
      </c>
      <c r="Q45" s="715">
        <f>Table6[[#This Row],[Overall PiN with REFUGEES]]*Table6[[#This Row],[% Male adults aged 18 - 60]]</f>
        <v>13549.187040640925</v>
      </c>
      <c r="R45" s="19">
        <v>0.22600000000000001</v>
      </c>
      <c r="S45" s="715">
        <f>Table6[[#This Row],[Overall PiN with REFUGEES]]*Table6[[#This Row],[% Female adults aged 18 - 60]]</f>
        <v>15543.737417181977</v>
      </c>
      <c r="T45" s="19">
        <v>1.24E-2</v>
      </c>
      <c r="U45" s="715">
        <f>Table6[[#This Row],[Overall PiN with REFUGEES]]*Table6[[#This Row],[% Male adults aged over 60]]</f>
        <v>852.84222996927656</v>
      </c>
      <c r="V45" s="19">
        <v>4.0099999999999997E-2</v>
      </c>
      <c r="W45" s="715">
        <f>Table6[[#This Row],[Overall PiN with REFUGEES]]*Table6[[#This Row],[% Female adults aged over 60]]</f>
        <v>2757.9817275619348</v>
      </c>
      <c r="X45" s="412">
        <v>11064.965937472442</v>
      </c>
      <c r="AI45" t="s">
        <v>330</v>
      </c>
      <c r="AJ45" s="718">
        <f t="shared" si="1"/>
        <v>17779.009390891773</v>
      </c>
      <c r="AK45" s="122">
        <f t="shared" si="2"/>
        <v>18294.841384824806</v>
      </c>
      <c r="AL45" s="122">
        <f>SUM(Table6[[#This Row],[No. of  Male adults aged 18 - 60]])</f>
        <v>13549.187040640925</v>
      </c>
      <c r="AM45" s="122">
        <f>Table6[[#This Row],[No. of Female adults aged 18 - 60]]</f>
        <v>15543.737417181977</v>
      </c>
      <c r="AN45" s="122">
        <f>Table6[[#This Row],[No. of Male adults aged over 60]]</f>
        <v>852.84222996927656</v>
      </c>
      <c r="AO45" s="719">
        <f>Table6[[#This Row],[No. Female adults aged over 60]]</f>
        <v>2757.9817275619348</v>
      </c>
      <c r="AP45" s="122">
        <f t="shared" si="3"/>
        <v>68777.599191070694</v>
      </c>
    </row>
    <row r="46" spans="1:42" x14ac:dyDescent="0.55000000000000004">
      <c r="A46" t="s">
        <v>322</v>
      </c>
      <c r="B46" t="s">
        <v>332</v>
      </c>
      <c r="C46">
        <v>4</v>
      </c>
      <c r="D46">
        <v>2</v>
      </c>
      <c r="E46" s="22"/>
      <c r="F46" s="433">
        <v>57951.340587998966</v>
      </c>
      <c r="G46" s="433">
        <f>Table6[[#This Row],[Overall PiN]]+Table6[[#This Row],[Refugees]]</f>
        <v>57951.340587998966</v>
      </c>
      <c r="H46" s="19">
        <v>9.5600000000000004E-2</v>
      </c>
      <c r="I46" s="715">
        <f>Table6[[#This Row],[Overall PiN with REFUGEES]]*Table6[[#This Row],[% Male children under 5]]</f>
        <v>5540.1481602127014</v>
      </c>
      <c r="J46" s="19">
        <v>7.9399999999999998E-2</v>
      </c>
      <c r="K46" s="715">
        <f>Table6[[#This Row],[Overall PiN with REFUGEES]]*Table6[[#This Row],[% Female children under 5]]</f>
        <v>4601.3364426871176</v>
      </c>
      <c r="L46" s="19">
        <v>0.20180000000000001</v>
      </c>
      <c r="M46" s="715">
        <f>Table6[[#This Row],[Overall PiN with REFUGEES]]*Table6[[#This Row],[% Male children aged 5 - 17 years]]</f>
        <v>11694.580530658191</v>
      </c>
      <c r="N46" s="19">
        <v>0.17599999999999999</v>
      </c>
      <c r="O46" s="715">
        <f>Table6[[#This Row],[Overall PiN with REFUGEES]]*Table6[[#This Row],[% Female children aged 5 - 17 years]]</f>
        <v>10199.435943487817</v>
      </c>
      <c r="P46" s="19">
        <v>0.17699999999999999</v>
      </c>
      <c r="Q46" s="715">
        <f>Table6[[#This Row],[Overall PiN with REFUGEES]]*Table6[[#This Row],[% Male adults aged 18 - 60]]</f>
        <v>10257.387284075816</v>
      </c>
      <c r="R46" s="19">
        <v>0.17699999999999999</v>
      </c>
      <c r="S46" s="715">
        <f>Table6[[#This Row],[Overall PiN with REFUGEES]]*Table6[[#This Row],[% Female adults aged 18 - 60]]</f>
        <v>10257.387284075816</v>
      </c>
      <c r="T46" s="19">
        <v>3.2200000000000006E-2</v>
      </c>
      <c r="U46" s="715">
        <f>Table6[[#This Row],[Overall PiN with REFUGEES]]*Table6[[#This Row],[% Male adults aged over 60]]</f>
        <v>1866.0331669335671</v>
      </c>
      <c r="V46" s="19">
        <v>6.0999999999999999E-2</v>
      </c>
      <c r="W46" s="715">
        <f>Table6[[#This Row],[Overall PiN with REFUGEES]]*Table6[[#This Row],[% Female adults aged over 60]]</f>
        <v>3535.0317758679366</v>
      </c>
      <c r="X46" s="412">
        <v>8327.7722243338594</v>
      </c>
      <c r="AI46" t="s">
        <v>332</v>
      </c>
      <c r="AJ46" s="718">
        <f t="shared" si="1"/>
        <v>17234.728690870892</v>
      </c>
      <c r="AK46" s="122">
        <f t="shared" si="2"/>
        <v>14800.772386174935</v>
      </c>
      <c r="AL46" s="122">
        <f>SUM(Table6[[#This Row],[No. of  Male adults aged 18 - 60]])</f>
        <v>10257.387284075816</v>
      </c>
      <c r="AM46" s="122">
        <f>Table6[[#This Row],[No. of Female adults aged 18 - 60]]</f>
        <v>10257.387284075816</v>
      </c>
      <c r="AN46" s="122">
        <f>Table6[[#This Row],[No. of Male adults aged over 60]]</f>
        <v>1866.0331669335671</v>
      </c>
      <c r="AO46" s="719">
        <f>Table6[[#This Row],[No. Female adults aged over 60]]</f>
        <v>3535.0317758679366</v>
      </c>
      <c r="AP46" s="122">
        <f t="shared" si="3"/>
        <v>57951.340587998959</v>
      </c>
    </row>
    <row r="47" spans="1:42" x14ac:dyDescent="0.55000000000000004">
      <c r="A47" t="s">
        <v>322</v>
      </c>
      <c r="B47" t="s">
        <v>334</v>
      </c>
      <c r="C47">
        <v>3</v>
      </c>
      <c r="D47">
        <v>3</v>
      </c>
      <c r="E47" s="22"/>
      <c r="F47" s="433">
        <v>98438.381740705023</v>
      </c>
      <c r="G47" s="433">
        <f>Table6[[#This Row],[Overall PiN]]+Table6[[#This Row],[Refugees]]</f>
        <v>98438.381740705023</v>
      </c>
      <c r="H47" s="19">
        <v>0.11600000000000001</v>
      </c>
      <c r="I47" s="715">
        <f>Table6[[#This Row],[Overall PiN with REFUGEES]]*Table6[[#This Row],[% Male children under 5]]</f>
        <v>11418.852281921783</v>
      </c>
      <c r="J47" s="19">
        <v>9.2899999999999996E-2</v>
      </c>
      <c r="K47" s="715">
        <f>Table6[[#This Row],[Overall PiN with REFUGEES]]*Table6[[#This Row],[% Female children under 5]]</f>
        <v>9144.9256637114959</v>
      </c>
      <c r="L47" s="19">
        <v>0.16599999999999998</v>
      </c>
      <c r="M47" s="715">
        <f>Table6[[#This Row],[Overall PiN with REFUGEES]]*Table6[[#This Row],[% Male children aged 5 - 17 years]]</f>
        <v>16340.771368957032</v>
      </c>
      <c r="N47" s="19">
        <v>0.19700000000000001</v>
      </c>
      <c r="O47" s="715">
        <f>Table6[[#This Row],[Overall PiN with REFUGEES]]*Table6[[#This Row],[% Female children aged 5 - 17 years]]</f>
        <v>19392.361202918892</v>
      </c>
      <c r="P47" s="19">
        <v>0.13600000000000001</v>
      </c>
      <c r="Q47" s="715">
        <f>Table6[[#This Row],[Overall PiN with REFUGEES]]*Table6[[#This Row],[% Male adults aged 18 - 60]]</f>
        <v>13387.619916735885</v>
      </c>
      <c r="R47" s="19">
        <v>0.1361</v>
      </c>
      <c r="S47" s="715">
        <f>Table6[[#This Row],[Overall PiN with REFUGEES]]*Table6[[#This Row],[% Female adults aged 18 - 60]]</f>
        <v>13397.463754909953</v>
      </c>
      <c r="T47" s="19">
        <v>7.4300000000000005E-2</v>
      </c>
      <c r="U47" s="715">
        <f>Table6[[#This Row],[Overall PiN with REFUGEES]]*Table6[[#This Row],[% Male adults aged over 60]]</f>
        <v>7313.9717633343835</v>
      </c>
      <c r="V47" s="19">
        <v>8.1699999999999995E-2</v>
      </c>
      <c r="W47" s="715">
        <f>Table6[[#This Row],[Overall PiN with REFUGEES]]*Table6[[#This Row],[% Female adults aged over 60]]</f>
        <v>8042.4157882155996</v>
      </c>
      <c r="X47" s="412">
        <v>15677.427878734072</v>
      </c>
      <c r="AI47" t="s">
        <v>334</v>
      </c>
      <c r="AJ47" s="718">
        <f t="shared" si="1"/>
        <v>27759.623650878813</v>
      </c>
      <c r="AK47" s="122">
        <f t="shared" si="2"/>
        <v>28537.286866630388</v>
      </c>
      <c r="AL47" s="122">
        <f>SUM(Table6[[#This Row],[No. of  Male adults aged 18 - 60]])</f>
        <v>13387.619916735885</v>
      </c>
      <c r="AM47" s="122">
        <f>Table6[[#This Row],[No. of Female adults aged 18 - 60]]</f>
        <v>13397.463754909953</v>
      </c>
      <c r="AN47" s="122">
        <f>Table6[[#This Row],[No. of Male adults aged over 60]]</f>
        <v>7313.9717633343835</v>
      </c>
      <c r="AO47" s="719">
        <f>Table6[[#This Row],[No. Female adults aged over 60]]</f>
        <v>8042.4157882155996</v>
      </c>
      <c r="AP47" s="122">
        <f t="shared" si="3"/>
        <v>98438.381740705023</v>
      </c>
    </row>
    <row r="48" spans="1:42" x14ac:dyDescent="0.55000000000000004">
      <c r="A48" t="s">
        <v>322</v>
      </c>
      <c r="B48" t="s">
        <v>336</v>
      </c>
      <c r="C48">
        <v>4</v>
      </c>
      <c r="D48">
        <v>1</v>
      </c>
      <c r="E48" s="22"/>
      <c r="F48" s="433">
        <v>92114.078490573695</v>
      </c>
      <c r="G48" s="433">
        <f>Table6[[#This Row],[Overall PiN]]+Table6[[#This Row],[Refugees]]</f>
        <v>92114.078490573695</v>
      </c>
      <c r="H48" s="19">
        <v>7.6200000000000004E-2</v>
      </c>
      <c r="I48" s="715">
        <f>Table6[[#This Row],[Overall PiN with REFUGEES]]*Table6[[#This Row],[% Male children under 5]]</f>
        <v>7019.0927809817158</v>
      </c>
      <c r="J48" s="19">
        <v>9.9299999999999999E-2</v>
      </c>
      <c r="K48" s="715">
        <f>Table6[[#This Row],[Overall PiN with REFUGEES]]*Table6[[#This Row],[% Female children under 5]]</f>
        <v>9146.9279941139685</v>
      </c>
      <c r="L48" s="19">
        <v>0.1842</v>
      </c>
      <c r="M48" s="715">
        <f>Table6[[#This Row],[Overall PiN with REFUGEES]]*Table6[[#This Row],[% Male children aged 5 - 17 years]]</f>
        <v>16967.413257963675</v>
      </c>
      <c r="N48" s="19">
        <v>0.223</v>
      </c>
      <c r="O48" s="715">
        <f>Table6[[#This Row],[Overall PiN with REFUGEES]]*Table6[[#This Row],[% Female children aged 5 - 17 years]]</f>
        <v>20541.439503397934</v>
      </c>
      <c r="P48" s="19">
        <v>0.20900000000000002</v>
      </c>
      <c r="Q48" s="715">
        <f>Table6[[#This Row],[Overall PiN with REFUGEES]]*Table6[[#This Row],[% Male adults aged 18 - 60]]</f>
        <v>19251.842404529903</v>
      </c>
      <c r="R48" s="19">
        <v>0.17199999999999999</v>
      </c>
      <c r="S48" s="715">
        <f>Table6[[#This Row],[Overall PiN with REFUGEES]]*Table6[[#This Row],[% Female adults aged 18 - 60]]</f>
        <v>15843.621500378675</v>
      </c>
      <c r="T48" s="19">
        <v>3.0550000000000001E-2</v>
      </c>
      <c r="U48" s="715">
        <f>Table6[[#This Row],[Overall PiN with REFUGEES]]*Table6[[#This Row],[% Male adults aged over 60]]</f>
        <v>2814.0850978870262</v>
      </c>
      <c r="V48" s="19">
        <v>5.7499999999999999E-3</v>
      </c>
      <c r="W48" s="715">
        <f>Table6[[#This Row],[Overall PiN with REFUGEES]]*Table6[[#This Row],[% Female adults aged over 60]]</f>
        <v>529.65595132079875</v>
      </c>
      <c r="X48" s="412">
        <v>13738.711077973969</v>
      </c>
      <c r="AI48" t="s">
        <v>336</v>
      </c>
      <c r="AJ48" s="718">
        <f t="shared" si="1"/>
        <v>23986.50603894539</v>
      </c>
      <c r="AK48" s="122">
        <f t="shared" si="2"/>
        <v>29688.367497511903</v>
      </c>
      <c r="AL48" s="122">
        <f>SUM(Table6[[#This Row],[No. of  Male adults aged 18 - 60]])</f>
        <v>19251.842404529903</v>
      </c>
      <c r="AM48" s="122">
        <f>Table6[[#This Row],[No. of Female adults aged 18 - 60]]</f>
        <v>15843.621500378675</v>
      </c>
      <c r="AN48" s="122">
        <f>Table6[[#This Row],[No. of Male adults aged over 60]]</f>
        <v>2814.0850978870262</v>
      </c>
      <c r="AO48" s="719">
        <f>Table6[[#This Row],[No. Female adults aged over 60]]</f>
        <v>529.65595132079875</v>
      </c>
      <c r="AP48" s="122">
        <f t="shared" si="3"/>
        <v>92114.078490573709</v>
      </c>
    </row>
    <row r="49" spans="1:42" x14ac:dyDescent="0.55000000000000004">
      <c r="A49" t="s">
        <v>322</v>
      </c>
      <c r="B49" t="s">
        <v>338</v>
      </c>
      <c r="C49">
        <v>3</v>
      </c>
      <c r="D49">
        <v>2</v>
      </c>
      <c r="E49" s="22">
        <v>192053</v>
      </c>
      <c r="F49" s="433">
        <v>100251.15206384021</v>
      </c>
      <c r="G49" s="433">
        <f>Table6[[#This Row],[Overall PiN]]+Table6[[#This Row],[Refugees]]</f>
        <v>292304.15206384019</v>
      </c>
      <c r="H49" s="19">
        <v>0.123</v>
      </c>
      <c r="I49" s="715">
        <f>Table6[[#This Row],[Overall PiN with REFUGEES]]*Table6[[#This Row],[% Male children under 5]]</f>
        <v>35953.410703852343</v>
      </c>
      <c r="J49" s="19">
        <v>9.6299999999999997E-2</v>
      </c>
      <c r="K49" s="715">
        <f>Table6[[#This Row],[Overall PiN with REFUGEES]]*Table6[[#This Row],[% Female children under 5]]</f>
        <v>28148.889843747809</v>
      </c>
      <c r="L49" s="19">
        <v>0.17</v>
      </c>
      <c r="M49" s="715">
        <f>Table6[[#This Row],[Overall PiN with REFUGEES]]*Table6[[#This Row],[% Male children aged 5 - 17 years]]</f>
        <v>49691.705850852835</v>
      </c>
      <c r="N49" s="19">
        <v>0.16700000000000001</v>
      </c>
      <c r="O49" s="715">
        <f>Table6[[#This Row],[Overall PiN with REFUGEES]]*Table6[[#This Row],[% Female children aged 5 - 17 years]]</f>
        <v>48814.793394661312</v>
      </c>
      <c r="P49" s="19">
        <v>0.17499999999999999</v>
      </c>
      <c r="Q49" s="715">
        <f>Table6[[#This Row],[Overall PiN with REFUGEES]]*Table6[[#This Row],[% Male adults aged 18 - 60]]</f>
        <v>51153.226611172031</v>
      </c>
      <c r="R49" s="19">
        <v>0.192</v>
      </c>
      <c r="S49" s="715">
        <f>Table6[[#This Row],[Overall PiN with REFUGEES]]*Table6[[#This Row],[% Female adults aged 18 - 60]]</f>
        <v>56122.39719625732</v>
      </c>
      <c r="T49" s="19">
        <v>2.9600000000000001E-2</v>
      </c>
      <c r="U49" s="715">
        <f>Table6[[#This Row],[Overall PiN with REFUGEES]]*Table6[[#This Row],[% Male adults aged over 60]]</f>
        <v>8652.2029010896695</v>
      </c>
      <c r="V49" s="19">
        <v>4.7100000000000003E-2</v>
      </c>
      <c r="W49" s="715">
        <f>Table6[[#This Row],[Overall PiN with REFUGEES]]*Table6[[#This Row],[% Female adults aged over 60]]</f>
        <v>13767.525562206874</v>
      </c>
      <c r="X49" s="412">
        <v>11795.699999999999</v>
      </c>
      <c r="AI49" t="s">
        <v>338</v>
      </c>
      <c r="AJ49" s="718">
        <f t="shared" si="1"/>
        <v>85645.116554705179</v>
      </c>
      <c r="AK49" s="122">
        <f t="shared" si="2"/>
        <v>76963.683238409125</v>
      </c>
      <c r="AL49" s="122">
        <f>SUM(Table6[[#This Row],[No. of  Male adults aged 18 - 60]])</f>
        <v>51153.226611172031</v>
      </c>
      <c r="AM49" s="122">
        <f>Table6[[#This Row],[No. of Female adults aged 18 - 60]]</f>
        <v>56122.39719625732</v>
      </c>
      <c r="AN49" s="122">
        <f>Table6[[#This Row],[No. of Male adults aged over 60]]</f>
        <v>8652.2029010896695</v>
      </c>
      <c r="AO49" s="719">
        <f>Table6[[#This Row],[No. Female adults aged over 60]]</f>
        <v>13767.525562206874</v>
      </c>
      <c r="AP49" s="122">
        <f t="shared" si="3"/>
        <v>292304.15206384019</v>
      </c>
    </row>
    <row r="50" spans="1:42" x14ac:dyDescent="0.55000000000000004">
      <c r="A50" t="s">
        <v>322</v>
      </c>
      <c r="B50" t="s">
        <v>340</v>
      </c>
      <c r="C50">
        <v>4</v>
      </c>
      <c r="D50">
        <v>1</v>
      </c>
      <c r="E50" s="22"/>
      <c r="F50" s="433">
        <v>352767.15414452087</v>
      </c>
      <c r="G50" s="433">
        <f>Table6[[#This Row],[Overall PiN]]+Table6[[#This Row],[Refugees]]</f>
        <v>352767.15414452087</v>
      </c>
      <c r="H50" s="19">
        <v>0.10199999999999999</v>
      </c>
      <c r="I50" s="715">
        <f>Table6[[#This Row],[Overall PiN with REFUGEES]]*Table6[[#This Row],[% Male children under 5]]</f>
        <v>35982.24972274113</v>
      </c>
      <c r="J50" s="19">
        <v>9.9199999999999997E-2</v>
      </c>
      <c r="K50" s="715">
        <f>Table6[[#This Row],[Overall PiN with REFUGEES]]*Table6[[#This Row],[% Female children under 5]]</f>
        <v>34994.501691136473</v>
      </c>
      <c r="L50" s="19">
        <v>0.161</v>
      </c>
      <c r="M50" s="715">
        <f>Table6[[#This Row],[Overall PiN with REFUGEES]]*Table6[[#This Row],[% Male children aged 5 - 17 years]]</f>
        <v>56795.511817267863</v>
      </c>
      <c r="N50" s="19">
        <v>0.16719999999999999</v>
      </c>
      <c r="O50" s="715">
        <f>Table6[[#This Row],[Overall PiN with REFUGEES]]*Table6[[#This Row],[% Female children aged 5 - 17 years]]</f>
        <v>58982.668172963888</v>
      </c>
      <c r="P50" s="19">
        <v>0.193</v>
      </c>
      <c r="Q50" s="715">
        <f>Table6[[#This Row],[Overall PiN with REFUGEES]]*Table6[[#This Row],[% Male adults aged 18 - 60]]</f>
        <v>68084.060749892524</v>
      </c>
      <c r="R50" s="19">
        <v>0.186</v>
      </c>
      <c r="S50" s="715">
        <f>Table6[[#This Row],[Overall PiN with REFUGEES]]*Table6[[#This Row],[% Female adults aged 18 - 60]]</f>
        <v>65614.690670880882</v>
      </c>
      <c r="T50" s="19">
        <v>3.8100000000000002E-2</v>
      </c>
      <c r="U50" s="715">
        <f>Table6[[#This Row],[Overall PiN with REFUGEES]]*Table6[[#This Row],[% Male adults aged over 60]]</f>
        <v>13440.428572906247</v>
      </c>
      <c r="V50" s="19">
        <v>5.3499999999999999E-2</v>
      </c>
      <c r="W50" s="715">
        <f>Table6[[#This Row],[Overall PiN with REFUGEES]]*Table6[[#This Row],[% Female adults aged over 60]]</f>
        <v>18873.042746731866</v>
      </c>
      <c r="X50" s="412">
        <v>45191.458185163836</v>
      </c>
      <c r="AI50" t="s">
        <v>340</v>
      </c>
      <c r="AJ50" s="718">
        <f t="shared" si="1"/>
        <v>92777.761540009</v>
      </c>
      <c r="AK50" s="122">
        <f t="shared" si="2"/>
        <v>93977.16986410036</v>
      </c>
      <c r="AL50" s="122">
        <f>SUM(Table6[[#This Row],[No. of  Male adults aged 18 - 60]])</f>
        <v>68084.060749892524</v>
      </c>
      <c r="AM50" s="122">
        <f>Table6[[#This Row],[No. of Female adults aged 18 - 60]]</f>
        <v>65614.690670880882</v>
      </c>
      <c r="AN50" s="122">
        <f>Table6[[#This Row],[No. of Male adults aged over 60]]</f>
        <v>13440.428572906247</v>
      </c>
      <c r="AO50" s="719">
        <f>Table6[[#This Row],[No. Female adults aged over 60]]</f>
        <v>18873.042746731866</v>
      </c>
      <c r="AP50" s="122">
        <f t="shared" si="3"/>
        <v>352767.15414452087</v>
      </c>
    </row>
    <row r="51" spans="1:42" x14ac:dyDescent="0.55000000000000004">
      <c r="A51" t="s">
        <v>342</v>
      </c>
      <c r="B51" t="s">
        <v>344</v>
      </c>
      <c r="C51">
        <v>4</v>
      </c>
      <c r="D51">
        <v>2</v>
      </c>
      <c r="E51" s="22"/>
      <c r="F51" s="433">
        <v>44608.873370174304</v>
      </c>
      <c r="G51" s="433">
        <f>Table6[[#This Row],[Overall PiN]]+Table6[[#This Row],[Refugees]]</f>
        <v>44608.873370174304</v>
      </c>
      <c r="H51" s="19">
        <v>7.6499999999999999E-2</v>
      </c>
      <c r="I51" s="715">
        <f>Table6[[#This Row],[Overall PiN with REFUGEES]]*Table6[[#This Row],[% Male children under 5]]</f>
        <v>3412.578812818334</v>
      </c>
      <c r="J51" s="19">
        <v>5.7500000000000002E-2</v>
      </c>
      <c r="K51" s="715">
        <f>Table6[[#This Row],[Overall PiN with REFUGEES]]*Table6[[#This Row],[% Female children under 5]]</f>
        <v>2565.0102187850225</v>
      </c>
      <c r="L51" s="19">
        <v>0.251</v>
      </c>
      <c r="M51" s="715">
        <f>Table6[[#This Row],[Overall PiN with REFUGEES]]*Table6[[#This Row],[% Male children aged 5 - 17 years]]</f>
        <v>11196.82721591375</v>
      </c>
      <c r="N51" s="19">
        <v>0.22600000000000001</v>
      </c>
      <c r="O51" s="715">
        <f>Table6[[#This Row],[Overall PiN with REFUGEES]]*Table6[[#This Row],[% Female children aged 5 - 17 years]]</f>
        <v>10081.605381659392</v>
      </c>
      <c r="P51" s="19">
        <v>0.15199999999999997</v>
      </c>
      <c r="Q51" s="715">
        <f>Table6[[#This Row],[Overall PiN with REFUGEES]]*Table6[[#This Row],[% Male adults aged 18 - 60]]</f>
        <v>6780.5487522664926</v>
      </c>
      <c r="R51" s="19">
        <v>0.13500000000000001</v>
      </c>
      <c r="S51" s="715">
        <f>Table6[[#This Row],[Overall PiN with REFUGEES]]*Table6[[#This Row],[% Female adults aged 18 - 60]]</f>
        <v>6022.1979049735319</v>
      </c>
      <c r="T51" s="19">
        <v>5.609999999999999E-2</v>
      </c>
      <c r="U51" s="715">
        <f>Table6[[#This Row],[Overall PiN with REFUGEES]]*Table6[[#This Row],[% Male adults aged over 60]]</f>
        <v>2502.5577960667779</v>
      </c>
      <c r="V51" s="19">
        <v>4.5900000000000003E-2</v>
      </c>
      <c r="W51" s="715">
        <f>Table6[[#This Row],[Overall PiN with REFUGEES]]*Table6[[#This Row],[% Female adults aged over 60]]</f>
        <v>2047.5472876910007</v>
      </c>
      <c r="X51" s="412">
        <v>14971.371436589869</v>
      </c>
      <c r="AI51" t="s">
        <v>344</v>
      </c>
      <c r="AJ51" s="718">
        <f t="shared" si="1"/>
        <v>14609.406028732084</v>
      </c>
      <c r="AK51" s="122">
        <f t="shared" si="2"/>
        <v>12646.615600444415</v>
      </c>
      <c r="AL51" s="122">
        <f>SUM(Table6[[#This Row],[No. of  Male adults aged 18 - 60]])</f>
        <v>6780.5487522664926</v>
      </c>
      <c r="AM51" s="122">
        <f>Table6[[#This Row],[No. of Female adults aged 18 - 60]]</f>
        <v>6022.1979049735319</v>
      </c>
      <c r="AN51" s="122">
        <f>Table6[[#This Row],[No. of Male adults aged over 60]]</f>
        <v>2502.5577960667779</v>
      </c>
      <c r="AO51" s="719">
        <f>Table6[[#This Row],[No. Female adults aged over 60]]</f>
        <v>2047.5472876910007</v>
      </c>
      <c r="AP51" s="122">
        <f t="shared" si="3"/>
        <v>44608.873370174304</v>
      </c>
    </row>
    <row r="52" spans="1:42" x14ac:dyDescent="0.55000000000000004">
      <c r="A52" t="s">
        <v>342</v>
      </c>
      <c r="B52" t="s">
        <v>346</v>
      </c>
      <c r="C52">
        <v>4</v>
      </c>
      <c r="D52">
        <v>1</v>
      </c>
      <c r="E52" s="22">
        <v>2639</v>
      </c>
      <c r="F52" s="433">
        <v>85903.872336765548</v>
      </c>
      <c r="G52" s="433">
        <f>Table6[[#This Row],[Overall PiN]]+Table6[[#This Row],[Refugees]]</f>
        <v>88542.872336765548</v>
      </c>
      <c r="H52" s="19">
        <v>0.10299999999999999</v>
      </c>
      <c r="I52" s="715">
        <f>Table6[[#This Row],[Overall PiN with REFUGEES]]*Table6[[#This Row],[% Male children under 5]]</f>
        <v>9119.9158506868516</v>
      </c>
      <c r="J52" s="19">
        <v>8.5999999999999993E-2</v>
      </c>
      <c r="K52" s="715">
        <f>Table6[[#This Row],[Overall PiN with REFUGEES]]*Table6[[#This Row],[% Female children under 5]]</f>
        <v>7614.6870209618364</v>
      </c>
      <c r="L52" s="19">
        <v>0.19199999999999998</v>
      </c>
      <c r="M52" s="715">
        <f>Table6[[#This Row],[Overall PiN with REFUGEES]]*Table6[[#This Row],[% Male children aged 5 - 17 years]]</f>
        <v>17000.231488658985</v>
      </c>
      <c r="N52" s="19">
        <v>0.16400000000000001</v>
      </c>
      <c r="O52" s="715">
        <f>Table6[[#This Row],[Overall PiN with REFUGEES]]*Table6[[#This Row],[% Female children aged 5 - 17 years]]</f>
        <v>14521.03106322955</v>
      </c>
      <c r="P52" s="19">
        <v>0.124</v>
      </c>
      <c r="Q52" s="715">
        <f>Table6[[#This Row],[Overall PiN with REFUGEES]]*Table6[[#This Row],[% Male adults aged 18 - 60]]</f>
        <v>10979.316169758928</v>
      </c>
      <c r="R52" s="19">
        <v>0.17399999999999999</v>
      </c>
      <c r="S52" s="715">
        <f>Table6[[#This Row],[Overall PiN with REFUGEES]]*Table6[[#This Row],[% Female adults aged 18 - 60]]</f>
        <v>15406.459786597205</v>
      </c>
      <c r="T52" s="19">
        <v>0.05</v>
      </c>
      <c r="U52" s="715">
        <f>Table6[[#This Row],[Overall PiN with REFUGEES]]*Table6[[#This Row],[% Male adults aged over 60]]</f>
        <v>4427.1436168382779</v>
      </c>
      <c r="V52" s="19">
        <v>0.107</v>
      </c>
      <c r="W52" s="715">
        <f>Table6[[#This Row],[Overall PiN with REFUGEES]]*Table6[[#This Row],[% Female adults aged over 60]]</f>
        <v>9474.0873400339133</v>
      </c>
      <c r="X52" s="412">
        <v>9917.955574911668</v>
      </c>
      <c r="AI52" t="s">
        <v>346</v>
      </c>
      <c r="AJ52" s="718">
        <f t="shared" si="1"/>
        <v>26120.147339345836</v>
      </c>
      <c r="AK52" s="122">
        <f t="shared" si="2"/>
        <v>22135.718084191387</v>
      </c>
      <c r="AL52" s="122">
        <f>SUM(Table6[[#This Row],[No. of  Male adults aged 18 - 60]])</f>
        <v>10979.316169758928</v>
      </c>
      <c r="AM52" s="122">
        <f>Table6[[#This Row],[No. of Female adults aged 18 - 60]]</f>
        <v>15406.459786597205</v>
      </c>
      <c r="AN52" s="122">
        <f>Table6[[#This Row],[No. of Male adults aged over 60]]</f>
        <v>4427.1436168382779</v>
      </c>
      <c r="AO52" s="719">
        <f>Table6[[#This Row],[No. Female adults aged over 60]]</f>
        <v>9474.0873400339133</v>
      </c>
      <c r="AP52" s="122">
        <f t="shared" si="3"/>
        <v>88542.872336765548</v>
      </c>
    </row>
    <row r="53" spans="1:42" x14ac:dyDescent="0.55000000000000004">
      <c r="A53" t="s">
        <v>342</v>
      </c>
      <c r="B53" t="s">
        <v>348</v>
      </c>
      <c r="C53">
        <v>4</v>
      </c>
      <c r="D53">
        <v>2</v>
      </c>
      <c r="E53" s="22"/>
      <c r="F53" s="433">
        <v>64387.420514727375</v>
      </c>
      <c r="G53" s="433">
        <f>Table6[[#This Row],[Overall PiN]]+Table6[[#This Row],[Refugees]]</f>
        <v>64387.420514727375</v>
      </c>
      <c r="H53" s="19">
        <v>0.11799999999999999</v>
      </c>
      <c r="I53" s="715">
        <f>Table6[[#This Row],[Overall PiN with REFUGEES]]*Table6[[#This Row],[% Male children under 5]]</f>
        <v>7597.7156207378302</v>
      </c>
      <c r="J53" s="19">
        <v>8.4199999999999997E-2</v>
      </c>
      <c r="K53" s="715">
        <f>Table6[[#This Row],[Overall PiN with REFUGEES]]*Table6[[#This Row],[% Female children under 5]]</f>
        <v>5421.420807340045</v>
      </c>
      <c r="L53" s="19">
        <v>0.17449999999999999</v>
      </c>
      <c r="M53" s="715">
        <f>Table6[[#This Row],[Overall PiN with REFUGEES]]*Table6[[#This Row],[% Male children aged 5 - 17 years]]</f>
        <v>11235.604879819926</v>
      </c>
      <c r="N53" s="19">
        <v>0.17599999999999999</v>
      </c>
      <c r="O53" s="715">
        <f>Table6[[#This Row],[Overall PiN with REFUGEES]]*Table6[[#This Row],[% Female children aged 5 - 17 years]]</f>
        <v>11332.186010592017</v>
      </c>
      <c r="P53" s="19">
        <v>0.17900000000000002</v>
      </c>
      <c r="Q53" s="715">
        <f>Table6[[#This Row],[Overall PiN with REFUGEES]]*Table6[[#This Row],[% Male adults aged 18 - 60]]</f>
        <v>11525.348272136202</v>
      </c>
      <c r="R53" s="19">
        <v>0.20899999999999999</v>
      </c>
      <c r="S53" s="715">
        <f>Table6[[#This Row],[Overall PiN with REFUGEES]]*Table6[[#This Row],[% Female adults aged 18 - 60]]</f>
        <v>13456.970887578022</v>
      </c>
      <c r="T53" s="19">
        <v>2.1999999999999999E-2</v>
      </c>
      <c r="U53" s="715">
        <f>Table6[[#This Row],[Overall PiN with REFUGEES]]*Table6[[#This Row],[% Male adults aged over 60]]</f>
        <v>1416.5232513240021</v>
      </c>
      <c r="V53" s="19">
        <v>3.73E-2</v>
      </c>
      <c r="W53" s="715">
        <f>Table6[[#This Row],[Overall PiN with REFUGEES]]*Table6[[#This Row],[% Female adults aged over 60]]</f>
        <v>2401.650785199331</v>
      </c>
      <c r="X53" s="412">
        <v>10593.24364470169</v>
      </c>
      <c r="AI53" t="s">
        <v>348</v>
      </c>
      <c r="AJ53" s="718">
        <f t="shared" si="1"/>
        <v>18833.320500557755</v>
      </c>
      <c r="AK53" s="122">
        <f t="shared" si="2"/>
        <v>16753.606817932061</v>
      </c>
      <c r="AL53" s="122">
        <f>SUM(Table6[[#This Row],[No. of  Male adults aged 18 - 60]])</f>
        <v>11525.348272136202</v>
      </c>
      <c r="AM53" s="122">
        <f>Table6[[#This Row],[No. of Female adults aged 18 - 60]]</f>
        <v>13456.970887578022</v>
      </c>
      <c r="AN53" s="122">
        <f>Table6[[#This Row],[No. of Male adults aged over 60]]</f>
        <v>1416.5232513240021</v>
      </c>
      <c r="AO53" s="719">
        <f>Table6[[#This Row],[No. Female adults aged over 60]]</f>
        <v>2401.650785199331</v>
      </c>
      <c r="AP53" s="122">
        <f t="shared" si="3"/>
        <v>64387.420514727375</v>
      </c>
    </row>
    <row r="54" spans="1:42" x14ac:dyDescent="0.55000000000000004">
      <c r="A54" t="s">
        <v>342</v>
      </c>
      <c r="B54" t="s">
        <v>350</v>
      </c>
      <c r="C54">
        <v>5</v>
      </c>
      <c r="D54">
        <v>1</v>
      </c>
      <c r="E54" s="22"/>
      <c r="F54" s="433">
        <v>263736.3091278614</v>
      </c>
      <c r="G54" s="433">
        <f>Table6[[#This Row],[Overall PiN]]+Table6[[#This Row],[Refugees]]</f>
        <v>263736.3091278614</v>
      </c>
      <c r="H54" s="19">
        <v>0.113</v>
      </c>
      <c r="I54" s="715">
        <f>Table6[[#This Row],[Overall PiN with REFUGEES]]*Table6[[#This Row],[% Male children under 5]]</f>
        <v>29802.202931448341</v>
      </c>
      <c r="J54" s="19">
        <v>0.11799999999999999</v>
      </c>
      <c r="K54" s="715">
        <f>Table6[[#This Row],[Overall PiN with REFUGEES]]*Table6[[#This Row],[% Female children under 5]]</f>
        <v>31120.884477087642</v>
      </c>
      <c r="L54" s="19">
        <v>0.16550000000000001</v>
      </c>
      <c r="M54" s="715">
        <f>Table6[[#This Row],[Overall PiN with REFUGEES]]*Table6[[#This Row],[% Male children aged 5 - 17 years]]</f>
        <v>43648.359160661064</v>
      </c>
      <c r="N54" s="19">
        <v>0.183</v>
      </c>
      <c r="O54" s="715">
        <f>Table6[[#This Row],[Overall PiN with REFUGEES]]*Table6[[#This Row],[% Female children aged 5 - 17 years]]</f>
        <v>48263.744570398638</v>
      </c>
      <c r="P54" s="19">
        <v>0.16199999999999998</v>
      </c>
      <c r="Q54" s="715">
        <f>Table6[[#This Row],[Overall PiN with REFUGEES]]*Table6[[#This Row],[% Male adults aged 18 - 60]]</f>
        <v>42725.282078713542</v>
      </c>
      <c r="R54" s="19">
        <v>0.19</v>
      </c>
      <c r="S54" s="715">
        <f>Table6[[#This Row],[Overall PiN with REFUGEES]]*Table6[[#This Row],[% Female adults aged 18 - 60]]</f>
        <v>50109.898734293667</v>
      </c>
      <c r="T54" s="19">
        <v>3.0200000000000005E-2</v>
      </c>
      <c r="U54" s="715">
        <f>Table6[[#This Row],[Overall PiN with REFUGEES]]*Table6[[#This Row],[% Male adults aged over 60]]</f>
        <v>7964.8365356614158</v>
      </c>
      <c r="V54" s="19">
        <v>3.8300000000000001E-2</v>
      </c>
      <c r="W54" s="715">
        <f>Table6[[#This Row],[Overall PiN with REFUGEES]]*Table6[[#This Row],[% Female adults aged over 60]]</f>
        <v>10101.100639597093</v>
      </c>
      <c r="X54" s="412">
        <v>37890.299999999996</v>
      </c>
      <c r="AI54" t="s">
        <v>350</v>
      </c>
      <c r="AJ54" s="718">
        <f t="shared" si="1"/>
        <v>73450.562092109409</v>
      </c>
      <c r="AK54" s="122">
        <f t="shared" si="2"/>
        <v>79384.629047486276</v>
      </c>
      <c r="AL54" s="122">
        <f>SUM(Table6[[#This Row],[No. of  Male adults aged 18 - 60]])</f>
        <v>42725.282078713542</v>
      </c>
      <c r="AM54" s="122">
        <f>Table6[[#This Row],[No. of Female adults aged 18 - 60]]</f>
        <v>50109.898734293667</v>
      </c>
      <c r="AN54" s="122">
        <f>Table6[[#This Row],[No. of Male adults aged over 60]]</f>
        <v>7964.8365356614158</v>
      </c>
      <c r="AO54" s="719">
        <f>Table6[[#This Row],[No. Female adults aged over 60]]</f>
        <v>10101.100639597093</v>
      </c>
      <c r="AP54" s="122">
        <f t="shared" si="3"/>
        <v>263736.3091278614</v>
      </c>
    </row>
    <row r="55" spans="1:42" x14ac:dyDescent="0.55000000000000004">
      <c r="A55" t="s">
        <v>342</v>
      </c>
      <c r="B55" t="s">
        <v>352</v>
      </c>
      <c r="C55">
        <v>4</v>
      </c>
      <c r="D55">
        <v>1</v>
      </c>
      <c r="E55" s="22">
        <v>303193</v>
      </c>
      <c r="F55" s="433">
        <v>65513.741594576248</v>
      </c>
      <c r="G55" s="433">
        <f>Table6[[#This Row],[Overall PiN]]+Table6[[#This Row],[Refugees]]</f>
        <v>368706.74159457628</v>
      </c>
      <c r="H55" s="19">
        <v>8.0399999999999999E-2</v>
      </c>
      <c r="I55" s="715">
        <f>Table6[[#This Row],[Overall PiN with REFUGEES]]*Table6[[#This Row],[% Male children under 5]]</f>
        <v>29644.022024203932</v>
      </c>
      <c r="J55" s="19">
        <v>8.4900000000000003E-2</v>
      </c>
      <c r="K55" s="715">
        <f>Table6[[#This Row],[Overall PiN with REFUGEES]]*Table6[[#This Row],[% Female children under 5]]</f>
        <v>31303.202361379528</v>
      </c>
      <c r="L55" s="19">
        <v>0.20399999999999999</v>
      </c>
      <c r="M55" s="715">
        <f>Table6[[#This Row],[Overall PiN with REFUGEES]]*Table6[[#This Row],[% Male children aged 5 - 17 years]]</f>
        <v>75216.175285293561</v>
      </c>
      <c r="N55" s="19">
        <v>0.20749999999999999</v>
      </c>
      <c r="O55" s="715">
        <f>Table6[[#This Row],[Overall PiN with REFUGEES]]*Table6[[#This Row],[% Female children aged 5 - 17 years]]</f>
        <v>76506.648880874578</v>
      </c>
      <c r="P55" s="19">
        <v>0.18899999999999997</v>
      </c>
      <c r="Q55" s="715">
        <f>Table6[[#This Row],[Overall PiN with REFUGEES]]*Table6[[#This Row],[% Male adults aged 18 - 60]]</f>
        <v>69685.574161374912</v>
      </c>
      <c r="R55" s="19">
        <v>0.17100000000000001</v>
      </c>
      <c r="S55" s="715">
        <f>Table6[[#This Row],[Overall PiN with REFUGEES]]*Table6[[#This Row],[% Female adults aged 18 - 60]]</f>
        <v>63048.85281267255</v>
      </c>
      <c r="T55" s="19">
        <v>2.6500000000000003E-2</v>
      </c>
      <c r="U55" s="715">
        <f>Table6[[#This Row],[Overall PiN with REFUGEES]]*Table6[[#This Row],[% Male adults aged over 60]]</f>
        <v>9770.7286522562717</v>
      </c>
      <c r="V55" s="19">
        <v>3.6700000000000003E-2</v>
      </c>
      <c r="W55" s="715">
        <f>Table6[[#This Row],[Overall PiN with REFUGEES]]*Table6[[#This Row],[% Female adults aged over 60]]</f>
        <v>13531.537416520951</v>
      </c>
      <c r="X55" s="412">
        <v>9857.1</v>
      </c>
      <c r="AI55" t="s">
        <v>352</v>
      </c>
      <c r="AJ55" s="718">
        <f t="shared" si="1"/>
        <v>104860.1973094975</v>
      </c>
      <c r="AK55" s="122">
        <f t="shared" si="2"/>
        <v>107809.85124225411</v>
      </c>
      <c r="AL55" s="122">
        <f>SUM(Table6[[#This Row],[No. of  Male adults aged 18 - 60]])</f>
        <v>69685.574161374912</v>
      </c>
      <c r="AM55" s="122">
        <f>Table6[[#This Row],[No. of Female adults aged 18 - 60]]</f>
        <v>63048.85281267255</v>
      </c>
      <c r="AN55" s="122">
        <f>Table6[[#This Row],[No. of Male adults aged over 60]]</f>
        <v>9770.7286522562717</v>
      </c>
      <c r="AO55" s="719">
        <f>Table6[[#This Row],[No. Female adults aged over 60]]</f>
        <v>13531.537416520951</v>
      </c>
      <c r="AP55" s="122">
        <f t="shared" si="3"/>
        <v>368706.74159457622</v>
      </c>
    </row>
    <row r="56" spans="1:42" x14ac:dyDescent="0.55000000000000004">
      <c r="A56" t="s">
        <v>342</v>
      </c>
      <c r="B56" t="s">
        <v>354</v>
      </c>
      <c r="C56">
        <v>3</v>
      </c>
      <c r="D56">
        <v>4</v>
      </c>
      <c r="E56" s="22"/>
      <c r="F56" s="433">
        <v>96445.734803822153</v>
      </c>
      <c r="G56" s="433">
        <f>Table6[[#This Row],[Overall PiN]]+Table6[[#This Row],[Refugees]]</f>
        <v>96445.734803822153</v>
      </c>
      <c r="H56" s="19">
        <v>0.14000000000000001</v>
      </c>
      <c r="I56" s="715">
        <f>Table6[[#This Row],[Overall PiN with REFUGEES]]*Table6[[#This Row],[% Male children under 5]]</f>
        <v>13502.402872535104</v>
      </c>
      <c r="J56" s="19">
        <v>9.8100000000000007E-2</v>
      </c>
      <c r="K56" s="715">
        <f>Table6[[#This Row],[Overall PiN with REFUGEES]]*Table6[[#This Row],[% Female children under 5]]</f>
        <v>9461.3265842549536</v>
      </c>
      <c r="L56" s="19">
        <v>0.17810000000000001</v>
      </c>
      <c r="M56" s="715">
        <f>Table6[[#This Row],[Overall PiN with REFUGEES]]*Table6[[#This Row],[% Male children aged 5 - 17 years]]</f>
        <v>17176.985368560727</v>
      </c>
      <c r="N56" s="19">
        <v>0.129</v>
      </c>
      <c r="O56" s="715">
        <f>Table6[[#This Row],[Overall PiN with REFUGEES]]*Table6[[#This Row],[% Female children aged 5 - 17 years]]</f>
        <v>12441.499789693058</v>
      </c>
      <c r="P56" s="19">
        <v>0.183</v>
      </c>
      <c r="Q56" s="715">
        <f>Table6[[#This Row],[Overall PiN with REFUGEES]]*Table6[[#This Row],[% Male adults aged 18 - 60]]</f>
        <v>17649.569469099453</v>
      </c>
      <c r="R56" s="19">
        <v>0.192</v>
      </c>
      <c r="S56" s="715">
        <f>Table6[[#This Row],[Overall PiN with REFUGEES]]*Table6[[#This Row],[% Female adults aged 18 - 60]]</f>
        <v>18517.581082333854</v>
      </c>
      <c r="T56" s="19">
        <v>3.1399999999999997E-2</v>
      </c>
      <c r="U56" s="715">
        <f>Table6[[#This Row],[Overall PiN with REFUGEES]]*Table6[[#This Row],[% Male adults aged over 60]]</f>
        <v>3028.3960728400152</v>
      </c>
      <c r="V56" s="19">
        <v>4.8399999999999999E-2</v>
      </c>
      <c r="W56" s="715">
        <f>Table6[[#This Row],[Overall PiN with REFUGEES]]*Table6[[#This Row],[% Female adults aged over 60]]</f>
        <v>4667.9735645049923</v>
      </c>
      <c r="X56" s="412">
        <v>60332.399999999994</v>
      </c>
      <c r="AI56" t="s">
        <v>354</v>
      </c>
      <c r="AJ56" s="718">
        <f t="shared" si="1"/>
        <v>30679.388241095832</v>
      </c>
      <c r="AK56" s="122">
        <f t="shared" si="2"/>
        <v>21902.82637394801</v>
      </c>
      <c r="AL56" s="122">
        <f>SUM(Table6[[#This Row],[No. of  Male adults aged 18 - 60]])</f>
        <v>17649.569469099453</v>
      </c>
      <c r="AM56" s="122">
        <f>Table6[[#This Row],[No. of Female adults aged 18 - 60]]</f>
        <v>18517.581082333854</v>
      </c>
      <c r="AN56" s="122">
        <f>Table6[[#This Row],[No. of Male adults aged over 60]]</f>
        <v>3028.3960728400152</v>
      </c>
      <c r="AO56" s="719">
        <f>Table6[[#This Row],[No. Female adults aged over 60]]</f>
        <v>4667.9735645049923</v>
      </c>
      <c r="AP56" s="122">
        <f t="shared" si="3"/>
        <v>96445.734803822153</v>
      </c>
    </row>
    <row r="57" spans="1:42" x14ac:dyDescent="0.55000000000000004">
      <c r="A57" t="s">
        <v>342</v>
      </c>
      <c r="B57" t="s">
        <v>356</v>
      </c>
      <c r="C57">
        <v>4</v>
      </c>
      <c r="D57">
        <v>1</v>
      </c>
      <c r="E57" s="22"/>
      <c r="F57" s="433">
        <v>199413.39665665437</v>
      </c>
      <c r="G57" s="433">
        <f>Table6[[#This Row],[Overall PiN]]+Table6[[#This Row],[Refugees]]</f>
        <v>199413.39665665437</v>
      </c>
      <c r="H57" s="19">
        <v>4.1799999999999997E-2</v>
      </c>
      <c r="I57" s="715">
        <f>Table6[[#This Row],[Overall PiN with REFUGEES]]*Table6[[#This Row],[% Male children under 5]]</f>
        <v>8335.4799802481521</v>
      </c>
      <c r="J57" s="19">
        <v>3.1E-2</v>
      </c>
      <c r="K57" s="715">
        <f>Table6[[#This Row],[Overall PiN with REFUGEES]]*Table6[[#This Row],[% Female children under 5]]</f>
        <v>6181.8152963562852</v>
      </c>
      <c r="L57" s="19">
        <v>9.1800000000000007E-2</v>
      </c>
      <c r="M57" s="715">
        <f>Table6[[#This Row],[Overall PiN with REFUGEES]]*Table6[[#This Row],[% Male children aged 5 - 17 years]]</f>
        <v>18306.149813080872</v>
      </c>
      <c r="N57" s="19">
        <v>6.7400000000000002E-2</v>
      </c>
      <c r="O57" s="715">
        <f>Table6[[#This Row],[Overall PiN with REFUGEES]]*Table6[[#This Row],[% Female children aged 5 - 17 years]]</f>
        <v>13440.462934658504</v>
      </c>
      <c r="P57" s="19">
        <v>0.30000000000000004</v>
      </c>
      <c r="Q57" s="715">
        <f>Table6[[#This Row],[Overall PiN with REFUGEES]]*Table6[[#This Row],[% Male adults aged 18 - 60]]</f>
        <v>59824.018996996318</v>
      </c>
      <c r="R57" s="19">
        <v>0.255</v>
      </c>
      <c r="S57" s="715">
        <f>Table6[[#This Row],[Overall PiN with REFUGEES]]*Table6[[#This Row],[% Female adults aged 18 - 60]]</f>
        <v>50850.416147446864</v>
      </c>
      <c r="T57" s="19">
        <v>0.16200000000000001</v>
      </c>
      <c r="U57" s="715">
        <f>Table6[[#This Row],[Overall PiN with REFUGEES]]*Table6[[#This Row],[% Male adults aged over 60]]</f>
        <v>32304.970258378009</v>
      </c>
      <c r="V57" s="19">
        <v>5.0999999999999997E-2</v>
      </c>
      <c r="W57" s="715">
        <f>Table6[[#This Row],[Overall PiN with REFUGEES]]*Table6[[#This Row],[% Female adults aged over 60]]</f>
        <v>10170.083229489372</v>
      </c>
      <c r="X57" s="412">
        <v>24789.510029744368</v>
      </c>
      <c r="AI57" t="s">
        <v>356</v>
      </c>
      <c r="AJ57" s="718">
        <f t="shared" si="1"/>
        <v>26641.629793329026</v>
      </c>
      <c r="AK57" s="122">
        <f t="shared" si="2"/>
        <v>19622.278231014789</v>
      </c>
      <c r="AL57" s="122">
        <f>SUM(Table6[[#This Row],[No. of  Male adults aged 18 - 60]])</f>
        <v>59824.018996996318</v>
      </c>
      <c r="AM57" s="122">
        <f>Table6[[#This Row],[No. of Female adults aged 18 - 60]]</f>
        <v>50850.416147446864</v>
      </c>
      <c r="AN57" s="122">
        <f>Table6[[#This Row],[No. of Male adults aged over 60]]</f>
        <v>32304.970258378009</v>
      </c>
      <c r="AO57" s="719">
        <f>Table6[[#This Row],[No. Female adults aged over 60]]</f>
        <v>10170.083229489372</v>
      </c>
      <c r="AP57" s="122">
        <f t="shared" si="3"/>
        <v>199413.39665665437</v>
      </c>
    </row>
    <row r="58" spans="1:42" x14ac:dyDescent="0.55000000000000004">
      <c r="A58" t="s">
        <v>342</v>
      </c>
      <c r="B58" t="s">
        <v>358</v>
      </c>
      <c r="C58">
        <v>3</v>
      </c>
      <c r="D58">
        <v>3</v>
      </c>
      <c r="E58" s="22"/>
      <c r="F58" s="433">
        <v>84339.04348609646</v>
      </c>
      <c r="G58" s="433">
        <f>Table6[[#This Row],[Overall PiN]]+Table6[[#This Row],[Refugees]]</f>
        <v>84339.04348609646</v>
      </c>
      <c r="H58" s="19">
        <v>0.10299999999999999</v>
      </c>
      <c r="I58" s="715">
        <f>Table6[[#This Row],[Overall PiN with REFUGEES]]*Table6[[#This Row],[% Male children under 5]]</f>
        <v>8686.9214790679343</v>
      </c>
      <c r="J58" s="19">
        <v>9.6299999999999997E-2</v>
      </c>
      <c r="K58" s="715">
        <f>Table6[[#This Row],[Overall PiN with REFUGEES]]*Table6[[#This Row],[% Female children under 5]]</f>
        <v>8121.8498877110887</v>
      </c>
      <c r="L58" s="19">
        <v>0.105</v>
      </c>
      <c r="M58" s="715">
        <f>Table6[[#This Row],[Overall PiN with REFUGEES]]*Table6[[#This Row],[% Male children aged 5 - 17 years]]</f>
        <v>8855.5995660401277</v>
      </c>
      <c r="N58" s="19">
        <v>0.111</v>
      </c>
      <c r="O58" s="715">
        <f>Table6[[#This Row],[Overall PiN with REFUGEES]]*Table6[[#This Row],[% Female children aged 5 - 17 years]]</f>
        <v>9361.6338269567077</v>
      </c>
      <c r="P58" s="19">
        <v>0.26850000000000002</v>
      </c>
      <c r="Q58" s="715">
        <f>Table6[[#This Row],[Overall PiN with REFUGEES]]*Table6[[#This Row],[% Male adults aged 18 - 60]]</f>
        <v>22645.033176016899</v>
      </c>
      <c r="R58" s="19">
        <v>0.246</v>
      </c>
      <c r="S58" s="715">
        <f>Table6[[#This Row],[Overall PiN with REFUGEES]]*Table6[[#This Row],[% Female adults aged 18 - 60]]</f>
        <v>20747.404697579728</v>
      </c>
      <c r="T58" s="19">
        <v>3.5400000000000001E-2</v>
      </c>
      <c r="U58" s="715">
        <f>Table6[[#This Row],[Overall PiN with REFUGEES]]*Table6[[#This Row],[% Male adults aged over 60]]</f>
        <v>2985.6021394078148</v>
      </c>
      <c r="V58" s="19">
        <v>3.4799999999999998E-2</v>
      </c>
      <c r="W58" s="715">
        <f>Table6[[#This Row],[Overall PiN with REFUGEES]]*Table6[[#This Row],[% Female adults aged over 60]]</f>
        <v>2934.9987133161567</v>
      </c>
      <c r="X58" s="412">
        <v>11661.958343625814</v>
      </c>
      <c r="AI58" t="s">
        <v>358</v>
      </c>
      <c r="AJ58" s="718">
        <f t="shared" si="1"/>
        <v>17542.521045108064</v>
      </c>
      <c r="AK58" s="122">
        <f t="shared" si="2"/>
        <v>17483.483714667796</v>
      </c>
      <c r="AL58" s="122">
        <f>SUM(Table6[[#This Row],[No. of  Male adults aged 18 - 60]])</f>
        <v>22645.033176016899</v>
      </c>
      <c r="AM58" s="122">
        <f>Table6[[#This Row],[No. of Female adults aged 18 - 60]]</f>
        <v>20747.404697579728</v>
      </c>
      <c r="AN58" s="122">
        <f>Table6[[#This Row],[No. of Male adults aged over 60]]</f>
        <v>2985.6021394078148</v>
      </c>
      <c r="AO58" s="719">
        <f>Table6[[#This Row],[No. Female adults aged over 60]]</f>
        <v>2934.9987133161567</v>
      </c>
      <c r="AP58" s="122">
        <f t="shared" si="3"/>
        <v>84339.04348609646</v>
      </c>
    </row>
    <row r="59" spans="1:42" x14ac:dyDescent="0.55000000000000004">
      <c r="A59" t="s">
        <v>342</v>
      </c>
      <c r="B59" t="s">
        <v>360</v>
      </c>
      <c r="C59">
        <v>3</v>
      </c>
      <c r="D59">
        <v>4</v>
      </c>
      <c r="E59" s="22"/>
      <c r="F59" s="433">
        <v>85205.450934591106</v>
      </c>
      <c r="G59" s="433">
        <f>Table6[[#This Row],[Overall PiN]]+Table6[[#This Row],[Refugees]]</f>
        <v>85205.450934591106</v>
      </c>
      <c r="H59" s="19">
        <v>0.10299999999999999</v>
      </c>
      <c r="I59" s="715">
        <f>Table6[[#This Row],[Overall PiN with REFUGEES]]*Table6[[#This Row],[% Male children under 5]]</f>
        <v>8776.1614462628841</v>
      </c>
      <c r="J59" s="19">
        <v>0.104</v>
      </c>
      <c r="K59" s="715">
        <f>Table6[[#This Row],[Overall PiN with REFUGEES]]*Table6[[#This Row],[% Female children under 5]]</f>
        <v>8861.3668971974748</v>
      </c>
      <c r="L59" s="19">
        <v>0.22199999999999998</v>
      </c>
      <c r="M59" s="715">
        <f>Table6[[#This Row],[Overall PiN with REFUGEES]]*Table6[[#This Row],[% Male children aged 5 - 17 years]]</f>
        <v>18915.610107479224</v>
      </c>
      <c r="N59" s="19">
        <v>0.18870000000000001</v>
      </c>
      <c r="O59" s="715">
        <f>Table6[[#This Row],[Overall PiN with REFUGEES]]*Table6[[#This Row],[% Female children aged 5 - 17 years]]</f>
        <v>16078.268591357342</v>
      </c>
      <c r="P59" s="19">
        <v>0.16600000000000004</v>
      </c>
      <c r="Q59" s="715">
        <f>Table6[[#This Row],[Overall PiN with REFUGEES]]*Table6[[#This Row],[% Male adults aged 18 - 60]]</f>
        <v>14144.104855142126</v>
      </c>
      <c r="R59" s="19">
        <v>0.17499999999999999</v>
      </c>
      <c r="S59" s="715">
        <f>Table6[[#This Row],[Overall PiN with REFUGEES]]*Table6[[#This Row],[% Female adults aged 18 - 60]]</f>
        <v>14910.953913553443</v>
      </c>
      <c r="T59" s="19">
        <v>1.1400000000000004E-2</v>
      </c>
      <c r="U59" s="715">
        <f>Table6[[#This Row],[Overall PiN with REFUGEES]]*Table6[[#This Row],[% Male adults aged over 60]]</f>
        <v>971.34214065433889</v>
      </c>
      <c r="V59" s="19">
        <v>2.9899999999999999E-2</v>
      </c>
      <c r="W59" s="715">
        <f>Table6[[#This Row],[Overall PiN with REFUGEES]]*Table6[[#This Row],[% Female adults aged over 60]]</f>
        <v>2547.6429829442741</v>
      </c>
      <c r="X59" s="412">
        <v>11484.549228334497</v>
      </c>
      <c r="AI59" t="s">
        <v>360</v>
      </c>
      <c r="AJ59" s="718">
        <f t="shared" si="1"/>
        <v>27691.77155374211</v>
      </c>
      <c r="AK59" s="122">
        <f t="shared" si="2"/>
        <v>24939.635488554817</v>
      </c>
      <c r="AL59" s="122">
        <f>SUM(Table6[[#This Row],[No. of  Male adults aged 18 - 60]])</f>
        <v>14144.104855142126</v>
      </c>
      <c r="AM59" s="122">
        <f>Table6[[#This Row],[No. of Female adults aged 18 - 60]]</f>
        <v>14910.953913553443</v>
      </c>
      <c r="AN59" s="122">
        <f>Table6[[#This Row],[No. of Male adults aged over 60]]</f>
        <v>971.34214065433889</v>
      </c>
      <c r="AO59" s="719">
        <f>Table6[[#This Row],[No. Female adults aged over 60]]</f>
        <v>2547.6429829442741</v>
      </c>
      <c r="AP59" s="122">
        <f t="shared" si="3"/>
        <v>85205.450934591106</v>
      </c>
    </row>
    <row r="60" spans="1:42" x14ac:dyDescent="0.55000000000000004">
      <c r="A60" t="s">
        <v>342</v>
      </c>
      <c r="B60" t="s">
        <v>362</v>
      </c>
      <c r="C60">
        <v>4</v>
      </c>
      <c r="D60">
        <v>2</v>
      </c>
      <c r="E60" s="22"/>
      <c r="F60" s="433">
        <v>58626.337606534376</v>
      </c>
      <c r="G60" s="433">
        <f>Table6[[#This Row],[Overall PiN]]+Table6[[#This Row],[Refugees]]</f>
        <v>58626.337606534376</v>
      </c>
      <c r="H60" s="19">
        <v>3.3300000000000003E-2</v>
      </c>
      <c r="I60" s="715">
        <f>Table6[[#This Row],[Overall PiN with REFUGEES]]*Table6[[#This Row],[% Male children under 5]]</f>
        <v>1952.257042297595</v>
      </c>
      <c r="J60" s="19">
        <v>3.0300000000000001E-2</v>
      </c>
      <c r="K60" s="715">
        <f>Table6[[#This Row],[Overall PiN with REFUGEES]]*Table6[[#This Row],[% Female children under 5]]</f>
        <v>1776.3780294779917</v>
      </c>
      <c r="L60" s="19">
        <v>0.10730000000000001</v>
      </c>
      <c r="M60" s="715">
        <f>Table6[[#This Row],[Overall PiN with REFUGEES]]*Table6[[#This Row],[% Male children aged 5 - 17 years]]</f>
        <v>6290.6060251811386</v>
      </c>
      <c r="N60" s="19">
        <v>6.6100000000000006E-2</v>
      </c>
      <c r="O60" s="715">
        <f>Table6[[#This Row],[Overall PiN with REFUGEES]]*Table6[[#This Row],[% Female children aged 5 - 17 years]]</f>
        <v>3875.2009157919229</v>
      </c>
      <c r="P60" s="19">
        <v>0.29399999999999998</v>
      </c>
      <c r="Q60" s="715">
        <f>Table6[[#This Row],[Overall PiN with REFUGEES]]*Table6[[#This Row],[% Male adults aged 18 - 60]]</f>
        <v>17236.143256321106</v>
      </c>
      <c r="R60" s="19">
        <v>0.19500000000000001</v>
      </c>
      <c r="S60" s="715">
        <f>Table6[[#This Row],[Overall PiN with REFUGEES]]*Table6[[#This Row],[% Female adults aged 18 - 60]]</f>
        <v>11432.135833274204</v>
      </c>
      <c r="T60" s="19">
        <v>0.14700000000000002</v>
      </c>
      <c r="U60" s="715">
        <f>Table6[[#This Row],[Overall PiN with REFUGEES]]*Table6[[#This Row],[% Male adults aged over 60]]</f>
        <v>8618.0716281605546</v>
      </c>
      <c r="V60" s="19">
        <v>0.127</v>
      </c>
      <c r="W60" s="715">
        <f>Table6[[#This Row],[Overall PiN with REFUGEES]]*Table6[[#This Row],[% Female adults aged over 60]]</f>
        <v>7445.5448760298659</v>
      </c>
      <c r="X60" s="412">
        <v>8201.8070162516033</v>
      </c>
      <c r="AI60" t="s">
        <v>362</v>
      </c>
      <c r="AJ60" s="718">
        <f t="shared" si="1"/>
        <v>8242.8630674787346</v>
      </c>
      <c r="AK60" s="122">
        <f t="shared" si="2"/>
        <v>5651.5789452699146</v>
      </c>
      <c r="AL60" s="122">
        <f>SUM(Table6[[#This Row],[No. of  Male adults aged 18 - 60]])</f>
        <v>17236.143256321106</v>
      </c>
      <c r="AM60" s="122">
        <f>Table6[[#This Row],[No. of Female adults aged 18 - 60]]</f>
        <v>11432.135833274204</v>
      </c>
      <c r="AN60" s="122">
        <f>Table6[[#This Row],[No. of Male adults aged over 60]]</f>
        <v>8618.0716281605546</v>
      </c>
      <c r="AO60" s="719">
        <f>Table6[[#This Row],[No. Female adults aged over 60]]</f>
        <v>7445.5448760298659</v>
      </c>
      <c r="AP60" s="122">
        <f t="shared" si="3"/>
        <v>58626.337606534384</v>
      </c>
    </row>
    <row r="61" spans="1:42" x14ac:dyDescent="0.55000000000000004">
      <c r="A61" t="s">
        <v>342</v>
      </c>
      <c r="B61" t="s">
        <v>364</v>
      </c>
      <c r="C61">
        <v>4</v>
      </c>
      <c r="D61">
        <v>1</v>
      </c>
      <c r="E61" s="22">
        <v>96477</v>
      </c>
      <c r="F61" s="433">
        <v>380493.05192058062</v>
      </c>
      <c r="G61" s="433">
        <f>Table6[[#This Row],[Overall PiN]]+Table6[[#This Row],[Refugees]]</f>
        <v>476970.05192058062</v>
      </c>
      <c r="H61" s="19">
        <v>9.6100000000000005E-2</v>
      </c>
      <c r="I61" s="715">
        <f>Table6[[#This Row],[Overall PiN with REFUGEES]]*Table6[[#This Row],[% Male children under 5]]</f>
        <v>45836.821989567798</v>
      </c>
      <c r="J61" s="19">
        <v>8.0600000000000005E-2</v>
      </c>
      <c r="K61" s="715">
        <f>Table6[[#This Row],[Overall PiN with REFUGEES]]*Table6[[#This Row],[% Female children under 5]]</f>
        <v>38443.786184798802</v>
      </c>
      <c r="L61" s="19">
        <v>0.22699999999999998</v>
      </c>
      <c r="M61" s="715">
        <f>Table6[[#This Row],[Overall PiN with REFUGEES]]*Table6[[#This Row],[% Male children aged 5 - 17 years]]</f>
        <v>108272.20178597179</v>
      </c>
      <c r="N61" s="19">
        <v>0.18</v>
      </c>
      <c r="O61" s="715">
        <f>Table6[[#This Row],[Overall PiN with REFUGEES]]*Table6[[#This Row],[% Female children aged 5 - 17 years]]</f>
        <v>85854.609345704506</v>
      </c>
      <c r="P61" s="19">
        <v>0.17180000000000001</v>
      </c>
      <c r="Q61" s="715">
        <f>Table6[[#This Row],[Overall PiN with REFUGEES]]*Table6[[#This Row],[% Male adults aged 18 - 60]]</f>
        <v>81943.454919955751</v>
      </c>
      <c r="R61" s="19">
        <v>0.17399999999999999</v>
      </c>
      <c r="S61" s="715">
        <f>Table6[[#This Row],[Overall PiN with REFUGEES]]*Table6[[#This Row],[% Female adults aged 18 - 60]]</f>
        <v>82992.789034181027</v>
      </c>
      <c r="T61" s="19">
        <v>3.4999999999999996E-2</v>
      </c>
      <c r="U61" s="715">
        <f>Table6[[#This Row],[Overall PiN with REFUGEES]]*Table6[[#This Row],[% Male adults aged over 60]]</f>
        <v>16693.951817220321</v>
      </c>
      <c r="V61" s="19">
        <v>3.5499999999999997E-2</v>
      </c>
      <c r="W61" s="715">
        <f>Table6[[#This Row],[Overall PiN with REFUGEES]]*Table6[[#This Row],[% Female adults aged over 60]]</f>
        <v>16932.436843180611</v>
      </c>
      <c r="X61" s="412">
        <v>40716.440934246544</v>
      </c>
      <c r="AI61" t="s">
        <v>364</v>
      </c>
      <c r="AJ61" s="718">
        <f t="shared" si="1"/>
        <v>154109.02377553959</v>
      </c>
      <c r="AK61" s="122">
        <f t="shared" si="2"/>
        <v>124298.3955305033</v>
      </c>
      <c r="AL61" s="122">
        <f>SUM(Table6[[#This Row],[No. of  Male adults aged 18 - 60]])</f>
        <v>81943.454919955751</v>
      </c>
      <c r="AM61" s="122">
        <f>Table6[[#This Row],[No. of Female adults aged 18 - 60]]</f>
        <v>82992.789034181027</v>
      </c>
      <c r="AN61" s="122">
        <f>Table6[[#This Row],[No. of Male adults aged over 60]]</f>
        <v>16693.951817220321</v>
      </c>
      <c r="AO61" s="719">
        <f>Table6[[#This Row],[No. Female adults aged over 60]]</f>
        <v>16932.436843180611</v>
      </c>
      <c r="AP61" s="122">
        <f t="shared" si="3"/>
        <v>476970.05192058062</v>
      </c>
    </row>
    <row r="62" spans="1:42" x14ac:dyDescent="0.55000000000000004">
      <c r="A62" t="s">
        <v>342</v>
      </c>
      <c r="B62" t="s">
        <v>366</v>
      </c>
      <c r="C62">
        <v>5</v>
      </c>
      <c r="D62">
        <v>1</v>
      </c>
      <c r="E62" s="22"/>
      <c r="F62" s="433">
        <v>117286.74213361579</v>
      </c>
      <c r="G62" s="433">
        <f>Table6[[#This Row],[Overall PiN]]+Table6[[#This Row],[Refugees]]</f>
        <v>117286.74213361579</v>
      </c>
      <c r="H62" s="19">
        <v>7.8700000000000006E-2</v>
      </c>
      <c r="I62" s="715">
        <f>Table6[[#This Row],[Overall PiN with REFUGEES]]*Table6[[#This Row],[% Male children under 5]]</f>
        <v>9230.4666059155625</v>
      </c>
      <c r="J62" s="19">
        <v>6.4500000000000002E-2</v>
      </c>
      <c r="K62" s="715">
        <f>Table6[[#This Row],[Overall PiN with REFUGEES]]*Table6[[#This Row],[% Female children under 5]]</f>
        <v>7564.9948676182184</v>
      </c>
      <c r="L62" s="19">
        <v>0.17299999999999999</v>
      </c>
      <c r="M62" s="715">
        <f>Table6[[#This Row],[Overall PiN with REFUGEES]]*Table6[[#This Row],[% Male children aged 5 - 17 years]]</f>
        <v>20290.606389115528</v>
      </c>
      <c r="N62" s="19">
        <v>0.19700000000000001</v>
      </c>
      <c r="O62" s="715">
        <f>Table6[[#This Row],[Overall PiN with REFUGEES]]*Table6[[#This Row],[% Female children aged 5 - 17 years]]</f>
        <v>23105.48820032231</v>
      </c>
      <c r="P62" s="19">
        <v>0.19389999999999999</v>
      </c>
      <c r="Q62" s="715">
        <f>Table6[[#This Row],[Overall PiN with REFUGEES]]*Table6[[#This Row],[% Male adults aged 18 - 60]]</f>
        <v>22741.8992997081</v>
      </c>
      <c r="R62" s="19">
        <v>0.20799999999999999</v>
      </c>
      <c r="S62" s="715">
        <f>Table6[[#This Row],[Overall PiN with REFUGEES]]*Table6[[#This Row],[% Female adults aged 18 - 60]]</f>
        <v>24395.642363792082</v>
      </c>
      <c r="T62" s="19">
        <v>3.3600000000000005E-2</v>
      </c>
      <c r="U62" s="715">
        <f>Table6[[#This Row],[Overall PiN with REFUGEES]]*Table6[[#This Row],[% Male adults aged over 60]]</f>
        <v>3940.8345356894911</v>
      </c>
      <c r="V62" s="19">
        <v>5.1299999999999998E-2</v>
      </c>
      <c r="W62" s="715">
        <f>Table6[[#This Row],[Overall PiN with REFUGEES]]*Table6[[#This Row],[% Female adults aged over 60]]</f>
        <v>6016.8098714544894</v>
      </c>
      <c r="X62" s="412">
        <v>18245.099999999999</v>
      </c>
      <c r="AI62" t="s">
        <v>366</v>
      </c>
      <c r="AJ62" s="718">
        <f t="shared" si="1"/>
        <v>29521.072995031092</v>
      </c>
      <c r="AK62" s="122">
        <f t="shared" si="2"/>
        <v>30670.483067940528</v>
      </c>
      <c r="AL62" s="122">
        <f>SUM(Table6[[#This Row],[No. of  Male adults aged 18 - 60]])</f>
        <v>22741.8992997081</v>
      </c>
      <c r="AM62" s="122">
        <f>Table6[[#This Row],[No. of Female adults aged 18 - 60]]</f>
        <v>24395.642363792082</v>
      </c>
      <c r="AN62" s="122">
        <f>Table6[[#This Row],[No. of Male adults aged over 60]]</f>
        <v>3940.8345356894911</v>
      </c>
      <c r="AO62" s="719">
        <f>Table6[[#This Row],[No. Female adults aged over 60]]</f>
        <v>6016.8098714544894</v>
      </c>
      <c r="AP62" s="122">
        <f t="shared" si="3"/>
        <v>117286.74213361579</v>
      </c>
    </row>
    <row r="63" spans="1:42" x14ac:dyDescent="0.55000000000000004">
      <c r="A63" t="s">
        <v>368</v>
      </c>
      <c r="B63" t="s">
        <v>370</v>
      </c>
      <c r="C63">
        <v>3</v>
      </c>
      <c r="D63">
        <v>3</v>
      </c>
      <c r="E63" s="22">
        <v>1089</v>
      </c>
      <c r="F63" s="433">
        <v>77980.508892184589</v>
      </c>
      <c r="G63" s="433">
        <f>Table6[[#This Row],[Overall PiN]]+Table6[[#This Row],[Refugees]]</f>
        <v>79069.508892184589</v>
      </c>
      <c r="H63" s="19">
        <v>9.1399999999999995E-2</v>
      </c>
      <c r="I63" s="715">
        <f>Table6[[#This Row],[Overall PiN with REFUGEES]]*Table6[[#This Row],[% Male children under 5]]</f>
        <v>7226.9531127456712</v>
      </c>
      <c r="J63" s="19">
        <v>9.0999999999999998E-2</v>
      </c>
      <c r="K63" s="715">
        <f>Table6[[#This Row],[Overall PiN with REFUGEES]]*Table6[[#This Row],[% Female children under 5]]</f>
        <v>7195.3253091887973</v>
      </c>
      <c r="L63" s="19">
        <v>0.19400000000000001</v>
      </c>
      <c r="M63" s="715">
        <f>Table6[[#This Row],[Overall PiN with REFUGEES]]*Table6[[#This Row],[% Male children aged 5 - 17 years]]</f>
        <v>15339.48472508381</v>
      </c>
      <c r="N63" s="19">
        <v>0.18240000000000001</v>
      </c>
      <c r="O63" s="715">
        <f>Table6[[#This Row],[Overall PiN with REFUGEES]]*Table6[[#This Row],[% Female children aged 5 - 17 years]]</f>
        <v>14422.27842193447</v>
      </c>
      <c r="P63" s="19">
        <v>0.19099999999999998</v>
      </c>
      <c r="Q63" s="715">
        <f>Table6[[#This Row],[Overall PiN with REFUGEES]]*Table6[[#This Row],[% Male adults aged 18 - 60]]</f>
        <v>15102.276198407255</v>
      </c>
      <c r="R63" s="19">
        <v>0.16800000000000001</v>
      </c>
      <c r="S63" s="715">
        <f>Table6[[#This Row],[Overall PiN with REFUGEES]]*Table6[[#This Row],[% Female adults aged 18 - 60]]</f>
        <v>13283.677493887011</v>
      </c>
      <c r="T63" s="19">
        <v>3.5699999999999996E-2</v>
      </c>
      <c r="U63" s="715">
        <f>Table6[[#This Row],[Overall PiN with REFUGEES]]*Table6[[#This Row],[% Male adults aged over 60]]</f>
        <v>2822.7814674509896</v>
      </c>
      <c r="V63" s="19">
        <v>4.65E-2</v>
      </c>
      <c r="W63" s="715">
        <f>Table6[[#This Row],[Overall PiN with REFUGEES]]*Table6[[#This Row],[% Female adults aged over 60]]</f>
        <v>3676.7321634865834</v>
      </c>
      <c r="X63" s="412">
        <v>14503.949999999999</v>
      </c>
      <c r="AI63" t="s">
        <v>370</v>
      </c>
      <c r="AJ63" s="718">
        <f t="shared" si="1"/>
        <v>22566.437837829482</v>
      </c>
      <c r="AK63" s="122">
        <f t="shared" si="2"/>
        <v>21617.603731123269</v>
      </c>
      <c r="AL63" s="122">
        <f>SUM(Table6[[#This Row],[No. of  Male adults aged 18 - 60]])</f>
        <v>15102.276198407255</v>
      </c>
      <c r="AM63" s="122">
        <f>Table6[[#This Row],[No. of Female adults aged 18 - 60]]</f>
        <v>13283.677493887011</v>
      </c>
      <c r="AN63" s="122">
        <f>Table6[[#This Row],[No. of Male adults aged over 60]]</f>
        <v>2822.7814674509896</v>
      </c>
      <c r="AO63" s="719">
        <f>Table6[[#This Row],[No. Female adults aged over 60]]</f>
        <v>3676.7321634865834</v>
      </c>
      <c r="AP63" s="122">
        <f t="shared" si="3"/>
        <v>79069.508892184589</v>
      </c>
    </row>
    <row r="64" spans="1:42" x14ac:dyDescent="0.55000000000000004">
      <c r="A64" t="s">
        <v>368</v>
      </c>
      <c r="B64" t="s">
        <v>372</v>
      </c>
      <c r="C64">
        <v>3</v>
      </c>
      <c r="D64">
        <v>3</v>
      </c>
      <c r="E64" s="22"/>
      <c r="F64" s="433">
        <v>175356.48474647276</v>
      </c>
      <c r="G64" s="433">
        <f>Table6[[#This Row],[Overall PiN]]+Table6[[#This Row],[Refugees]]</f>
        <v>175356.48474647276</v>
      </c>
      <c r="H64" s="19">
        <v>8.3900000000000002E-2</v>
      </c>
      <c r="I64" s="715">
        <f>Table6[[#This Row],[Overall PiN with REFUGEES]]*Table6[[#This Row],[% Male children under 5]]</f>
        <v>14712.409070229065</v>
      </c>
      <c r="J64" s="19">
        <v>6.7000000000000004E-2</v>
      </c>
      <c r="K64" s="715">
        <f>Table6[[#This Row],[Overall PiN with REFUGEES]]*Table6[[#This Row],[% Female children under 5]]</f>
        <v>11748.884478013675</v>
      </c>
      <c r="L64" s="19">
        <v>0.21809999999999999</v>
      </c>
      <c r="M64" s="715">
        <f>Table6[[#This Row],[Overall PiN with REFUGEES]]*Table6[[#This Row],[% Male children aged 5 - 17 years]]</f>
        <v>38245.24932320571</v>
      </c>
      <c r="N64" s="19">
        <v>0.189</v>
      </c>
      <c r="O64" s="715">
        <f>Table6[[#This Row],[Overall PiN with REFUGEES]]*Table6[[#This Row],[% Female children aged 5 - 17 years]]</f>
        <v>33142.375617083351</v>
      </c>
      <c r="P64" s="19">
        <v>0.193</v>
      </c>
      <c r="Q64" s="715">
        <f>Table6[[#This Row],[Overall PiN with REFUGEES]]*Table6[[#This Row],[% Male adults aged 18 - 60]]</f>
        <v>33843.801556069244</v>
      </c>
      <c r="R64" s="19">
        <v>0.184</v>
      </c>
      <c r="S64" s="715">
        <f>Table6[[#This Row],[Overall PiN with REFUGEES]]*Table6[[#This Row],[% Female adults aged 18 - 60]]</f>
        <v>32265.593193350989</v>
      </c>
      <c r="T64" s="19">
        <v>2.2200000000000004E-2</v>
      </c>
      <c r="U64" s="715">
        <f>Table6[[#This Row],[Overall PiN with REFUGEES]]*Table6[[#This Row],[% Male adults aged over 60]]</f>
        <v>3892.9139613716961</v>
      </c>
      <c r="V64" s="19">
        <v>4.2799999999999998E-2</v>
      </c>
      <c r="W64" s="715">
        <f>Table6[[#This Row],[Overall PiN with REFUGEES]]*Table6[[#This Row],[% Female adults aged over 60]]</f>
        <v>7505.2575471490336</v>
      </c>
      <c r="X64" s="412">
        <v>31624.269230769227</v>
      </c>
      <c r="AI64" t="s">
        <v>372</v>
      </c>
      <c r="AJ64" s="718">
        <f t="shared" si="1"/>
        <v>52957.658393434773</v>
      </c>
      <c r="AK64" s="122">
        <f t="shared" si="2"/>
        <v>44891.260095097023</v>
      </c>
      <c r="AL64" s="122">
        <f>SUM(Table6[[#This Row],[No. of  Male adults aged 18 - 60]])</f>
        <v>33843.801556069244</v>
      </c>
      <c r="AM64" s="122">
        <f>Table6[[#This Row],[No. of Female adults aged 18 - 60]]</f>
        <v>32265.593193350989</v>
      </c>
      <c r="AN64" s="122">
        <f>Table6[[#This Row],[No. of Male adults aged over 60]]</f>
        <v>3892.9139613716961</v>
      </c>
      <c r="AO64" s="719">
        <f>Table6[[#This Row],[No. Female adults aged over 60]]</f>
        <v>7505.2575471490336</v>
      </c>
      <c r="AP64" s="122">
        <f t="shared" si="3"/>
        <v>175356.48474647276</v>
      </c>
    </row>
    <row r="65" spans="1:42" x14ac:dyDescent="0.55000000000000004">
      <c r="A65" t="s">
        <v>368</v>
      </c>
      <c r="B65" t="s">
        <v>374</v>
      </c>
      <c r="C65">
        <v>4</v>
      </c>
      <c r="D65">
        <v>2</v>
      </c>
      <c r="E65" s="22"/>
      <c r="F65" s="433">
        <v>124761.74664395823</v>
      </c>
      <c r="G65" s="433">
        <f>Table6[[#This Row],[Overall PiN]]+Table6[[#This Row],[Refugees]]</f>
        <v>124761.74664395823</v>
      </c>
      <c r="H65" s="19">
        <v>8.1199999999999994E-2</v>
      </c>
      <c r="I65" s="715">
        <f>Table6[[#This Row],[Overall PiN with REFUGEES]]*Table6[[#This Row],[% Male children under 5]]</f>
        <v>10130.653827489408</v>
      </c>
      <c r="J65" s="19">
        <v>7.9799999999999996E-2</v>
      </c>
      <c r="K65" s="715">
        <f>Table6[[#This Row],[Overall PiN with REFUGEES]]*Table6[[#This Row],[% Female children under 5]]</f>
        <v>9955.9873821878664</v>
      </c>
      <c r="L65" s="19">
        <v>0.21240000000000001</v>
      </c>
      <c r="M65" s="715">
        <f>Table6[[#This Row],[Overall PiN with REFUGEES]]*Table6[[#This Row],[% Male children aged 5 - 17 years]]</f>
        <v>26499.394987176729</v>
      </c>
      <c r="N65" s="19">
        <v>0.19500000000000001</v>
      </c>
      <c r="O65" s="715">
        <f>Table6[[#This Row],[Overall PiN with REFUGEES]]*Table6[[#This Row],[% Female children aged 5 - 17 years]]</f>
        <v>24328.540595571856</v>
      </c>
      <c r="P65" s="19">
        <v>0.21</v>
      </c>
      <c r="Q65" s="715">
        <f>Table6[[#This Row],[Overall PiN with REFUGEES]]*Table6[[#This Row],[% Male adults aged 18 - 60]]</f>
        <v>26199.966795231227</v>
      </c>
      <c r="R65" s="19">
        <v>0.153</v>
      </c>
      <c r="S65" s="715">
        <f>Table6[[#This Row],[Overall PiN with REFUGEES]]*Table6[[#This Row],[% Female adults aged 18 - 60]]</f>
        <v>19088.54723652561</v>
      </c>
      <c r="T65" s="19">
        <v>4.6099999999999995E-2</v>
      </c>
      <c r="U65" s="715">
        <f>Table6[[#This Row],[Overall PiN with REFUGEES]]*Table6[[#This Row],[% Male adults aged over 60]]</f>
        <v>5751.5165202864737</v>
      </c>
      <c r="V65" s="19">
        <v>2.2499999999999999E-2</v>
      </c>
      <c r="W65" s="715">
        <f>Table6[[#This Row],[Overall PiN with REFUGEES]]*Table6[[#This Row],[% Female adults aged over 60]]</f>
        <v>2807.1392994890602</v>
      </c>
      <c r="X65" s="412">
        <v>21587.776739779936</v>
      </c>
      <c r="AI65" t="s">
        <v>374</v>
      </c>
      <c r="AJ65" s="718">
        <f t="shared" si="1"/>
        <v>36630.048814666137</v>
      </c>
      <c r="AK65" s="122">
        <f t="shared" si="2"/>
        <v>34284.527977759724</v>
      </c>
      <c r="AL65" s="122">
        <f>SUM(Table6[[#This Row],[No. of  Male adults aged 18 - 60]])</f>
        <v>26199.966795231227</v>
      </c>
      <c r="AM65" s="122">
        <f>Table6[[#This Row],[No. of Female adults aged 18 - 60]]</f>
        <v>19088.54723652561</v>
      </c>
      <c r="AN65" s="122">
        <f>Table6[[#This Row],[No. of Male adults aged over 60]]</f>
        <v>5751.5165202864737</v>
      </c>
      <c r="AO65" s="719">
        <f>Table6[[#This Row],[No. Female adults aged over 60]]</f>
        <v>2807.1392994890602</v>
      </c>
      <c r="AP65" s="122">
        <f t="shared" si="3"/>
        <v>124761.74664395823</v>
      </c>
    </row>
    <row r="66" spans="1:42" x14ac:dyDescent="0.55000000000000004">
      <c r="A66" t="s">
        <v>368</v>
      </c>
      <c r="B66" t="s">
        <v>376</v>
      </c>
      <c r="C66">
        <v>3</v>
      </c>
      <c r="D66">
        <v>3</v>
      </c>
      <c r="E66" s="22"/>
      <c r="F66" s="433">
        <v>143843.93183973787</v>
      </c>
      <c r="G66" s="433">
        <f>Table6[[#This Row],[Overall PiN]]+Table6[[#This Row],[Refugees]]</f>
        <v>143843.93183973787</v>
      </c>
      <c r="H66" s="19">
        <v>7.5800000000000006E-2</v>
      </c>
      <c r="I66" s="715">
        <f>Table6[[#This Row],[Overall PiN with REFUGEES]]*Table6[[#This Row],[% Male children under 5]]</f>
        <v>10903.370033452131</v>
      </c>
      <c r="J66" s="19">
        <v>8.3900000000000002E-2</v>
      </c>
      <c r="K66" s="715">
        <f>Table6[[#This Row],[Overall PiN with REFUGEES]]*Table6[[#This Row],[% Female children under 5]]</f>
        <v>12068.505881354007</v>
      </c>
      <c r="L66" s="19">
        <v>0.18099999999999999</v>
      </c>
      <c r="M66" s="715">
        <f>Table6[[#This Row],[Overall PiN with REFUGEES]]*Table6[[#This Row],[% Male children aged 5 - 17 years]]</f>
        <v>26035.751662992552</v>
      </c>
      <c r="N66" s="19">
        <v>0.17299999999999999</v>
      </c>
      <c r="O66" s="715">
        <f>Table6[[#This Row],[Overall PiN with REFUGEES]]*Table6[[#This Row],[% Female children aged 5 - 17 years]]</f>
        <v>24885.000208274651</v>
      </c>
      <c r="P66" s="19">
        <v>0.184</v>
      </c>
      <c r="Q66" s="715">
        <f>Table6[[#This Row],[Overall PiN with REFUGEES]]*Table6[[#This Row],[% Male adults aged 18 - 60]]</f>
        <v>26467.283458511767</v>
      </c>
      <c r="R66" s="19">
        <v>0.184</v>
      </c>
      <c r="S66" s="715">
        <f>Table6[[#This Row],[Overall PiN with REFUGEES]]*Table6[[#This Row],[% Female adults aged 18 - 60]]</f>
        <v>26467.283458511767</v>
      </c>
      <c r="T66" s="19">
        <v>4.9099999999999998E-2</v>
      </c>
      <c r="U66" s="715">
        <f>Table6[[#This Row],[Overall PiN with REFUGEES]]*Table6[[#This Row],[% Male adults aged over 60]]</f>
        <v>7062.7370533311287</v>
      </c>
      <c r="V66" s="19">
        <v>6.9199999999999998E-2</v>
      </c>
      <c r="W66" s="715">
        <f>Table6[[#This Row],[Overall PiN with REFUGEES]]*Table6[[#This Row],[% Female adults aged over 60]]</f>
        <v>9954.0000833098602</v>
      </c>
      <c r="X66" s="412">
        <v>22667.616666666665</v>
      </c>
      <c r="AI66" t="s">
        <v>376</v>
      </c>
      <c r="AJ66" s="718">
        <f t="shared" si="1"/>
        <v>36939.121696444679</v>
      </c>
      <c r="AK66" s="122">
        <f t="shared" si="2"/>
        <v>36953.50608962866</v>
      </c>
      <c r="AL66" s="122">
        <f>SUM(Table6[[#This Row],[No. of  Male adults aged 18 - 60]])</f>
        <v>26467.283458511767</v>
      </c>
      <c r="AM66" s="122">
        <f>Table6[[#This Row],[No. of Female adults aged 18 - 60]]</f>
        <v>26467.283458511767</v>
      </c>
      <c r="AN66" s="122">
        <f>Table6[[#This Row],[No. of Male adults aged over 60]]</f>
        <v>7062.7370533311287</v>
      </c>
      <c r="AO66" s="719">
        <f>Table6[[#This Row],[No. Female adults aged over 60]]</f>
        <v>9954.0000833098602</v>
      </c>
      <c r="AP66" s="122">
        <f t="shared" si="3"/>
        <v>143843.93183973787</v>
      </c>
    </row>
    <row r="67" spans="1:42" x14ac:dyDescent="0.55000000000000004">
      <c r="A67" t="s">
        <v>368</v>
      </c>
      <c r="B67" t="s">
        <v>378</v>
      </c>
      <c r="C67">
        <v>3</v>
      </c>
      <c r="D67">
        <v>4</v>
      </c>
      <c r="E67" s="22"/>
      <c r="F67" s="433">
        <v>78098.240914659807</v>
      </c>
      <c r="G67" s="433">
        <f>Table6[[#This Row],[Overall PiN]]+Table6[[#This Row],[Refugees]]</f>
        <v>78098.240914659807</v>
      </c>
      <c r="H67" s="19">
        <v>6.9699999999999998E-2</v>
      </c>
      <c r="I67" s="715">
        <f>Table6[[#This Row],[Overall PiN with REFUGEES]]*Table6[[#This Row],[% Male children under 5]]</f>
        <v>5443.447391751788</v>
      </c>
      <c r="J67" s="19">
        <v>8.2500000000000004E-2</v>
      </c>
      <c r="K67" s="715">
        <f>Table6[[#This Row],[Overall PiN with REFUGEES]]*Table6[[#This Row],[% Female children under 5]]</f>
        <v>6443.104875459434</v>
      </c>
      <c r="L67" s="19">
        <v>0.185</v>
      </c>
      <c r="M67" s="715">
        <f>Table6[[#This Row],[Overall PiN with REFUGEES]]*Table6[[#This Row],[% Male children aged 5 - 17 years]]</f>
        <v>14448.174569212064</v>
      </c>
      <c r="N67" s="19">
        <v>0.19850000000000001</v>
      </c>
      <c r="O67" s="715">
        <f>Table6[[#This Row],[Overall PiN with REFUGEES]]*Table6[[#This Row],[% Female children aged 5 - 17 years]]</f>
        <v>15502.500821559972</v>
      </c>
      <c r="P67" s="19">
        <v>0.20900000000000002</v>
      </c>
      <c r="Q67" s="715">
        <f>Table6[[#This Row],[Overall PiN with REFUGEES]]*Table6[[#This Row],[% Male adults aged 18 - 60]]</f>
        <v>16322.532351163902</v>
      </c>
      <c r="R67" s="19">
        <v>0.185</v>
      </c>
      <c r="S67" s="715">
        <f>Table6[[#This Row],[Overall PiN with REFUGEES]]*Table6[[#This Row],[% Female adults aged 18 - 60]]</f>
        <v>14448.174569212064</v>
      </c>
      <c r="T67" s="19">
        <v>5.1400000000000001E-2</v>
      </c>
      <c r="U67" s="715">
        <f>Table6[[#This Row],[Overall PiN with REFUGEES]]*Table6[[#This Row],[% Male adults aged over 60]]</f>
        <v>4014.249583013514</v>
      </c>
      <c r="V67" s="19">
        <v>1.89E-2</v>
      </c>
      <c r="W67" s="715">
        <f>Table6[[#This Row],[Overall PiN with REFUGEES]]*Table6[[#This Row],[% Female adults aged over 60]]</f>
        <v>1476.0567532870705</v>
      </c>
      <c r="X67" s="412">
        <v>8483.7113017444353</v>
      </c>
      <c r="AI67" t="s">
        <v>378</v>
      </c>
      <c r="AJ67" s="718">
        <f t="shared" si="1"/>
        <v>19891.62196096385</v>
      </c>
      <c r="AK67" s="122">
        <f t="shared" si="2"/>
        <v>21945.605697019404</v>
      </c>
      <c r="AL67" s="122">
        <f>SUM(Table6[[#This Row],[No. of  Male adults aged 18 - 60]])</f>
        <v>16322.532351163902</v>
      </c>
      <c r="AM67" s="122">
        <f>Table6[[#This Row],[No. of Female adults aged 18 - 60]]</f>
        <v>14448.174569212064</v>
      </c>
      <c r="AN67" s="122">
        <f>Table6[[#This Row],[No. of Male adults aged over 60]]</f>
        <v>4014.249583013514</v>
      </c>
      <c r="AO67" s="719">
        <f>Table6[[#This Row],[No. Female adults aged over 60]]</f>
        <v>1476.0567532870705</v>
      </c>
      <c r="AP67" s="122">
        <f t="shared" si="3"/>
        <v>78098.240914659807</v>
      </c>
    </row>
    <row r="68" spans="1:42" x14ac:dyDescent="0.55000000000000004">
      <c r="A68" t="s">
        <v>368</v>
      </c>
      <c r="B68" t="s">
        <v>380</v>
      </c>
      <c r="C68">
        <v>4</v>
      </c>
      <c r="D68">
        <v>1</v>
      </c>
      <c r="E68" s="22">
        <v>650</v>
      </c>
      <c r="F68" s="433">
        <v>198416.68701142352</v>
      </c>
      <c r="G68" s="433">
        <f>Table6[[#This Row],[Overall PiN]]+Table6[[#This Row],[Refugees]]</f>
        <v>199066.68701142352</v>
      </c>
      <c r="H68" s="19">
        <v>8.4000000000000005E-2</v>
      </c>
      <c r="I68" s="715">
        <f>Table6[[#This Row],[Overall PiN with REFUGEES]]*Table6[[#This Row],[% Male children under 5]]</f>
        <v>16721.601708959577</v>
      </c>
      <c r="J68" s="19">
        <v>5.9499999999999997E-2</v>
      </c>
      <c r="K68" s="715">
        <f>Table6[[#This Row],[Overall PiN with REFUGEES]]*Table6[[#This Row],[% Female children under 5]]</f>
        <v>11844.467877179699</v>
      </c>
      <c r="L68" s="19">
        <v>0.20299999999999999</v>
      </c>
      <c r="M68" s="715">
        <f>Table6[[#This Row],[Overall PiN with REFUGEES]]*Table6[[#This Row],[% Male children aged 5 - 17 years]]</f>
        <v>40410.537463318971</v>
      </c>
      <c r="N68" s="19">
        <v>0.219</v>
      </c>
      <c r="O68" s="715">
        <f>Table6[[#This Row],[Overall PiN with REFUGEES]]*Table6[[#This Row],[% Female children aged 5 - 17 years]]</f>
        <v>43595.604455501751</v>
      </c>
      <c r="P68" s="19">
        <v>0.17299999999999999</v>
      </c>
      <c r="Q68" s="715">
        <f>Table6[[#This Row],[Overall PiN with REFUGEES]]*Table6[[#This Row],[% Male adults aged 18 - 60]]</f>
        <v>34438.536852976264</v>
      </c>
      <c r="R68" s="19">
        <v>0.1908</v>
      </c>
      <c r="S68" s="715">
        <f>Table6[[#This Row],[Overall PiN with REFUGEES]]*Table6[[#This Row],[% Female adults aged 18 - 60]]</f>
        <v>37981.923881779607</v>
      </c>
      <c r="T68" s="19">
        <v>3.0899999999999997E-2</v>
      </c>
      <c r="U68" s="715">
        <f>Table6[[#This Row],[Overall PiN with REFUGEES]]*Table6[[#This Row],[% Male adults aged over 60]]</f>
        <v>6151.1606286529859</v>
      </c>
      <c r="V68" s="19">
        <v>3.9800000000000002E-2</v>
      </c>
      <c r="W68" s="715">
        <f>Table6[[#This Row],[Overall PiN with REFUGEES]]*Table6[[#This Row],[% Female adults aged over 60]]</f>
        <v>7922.8541430546566</v>
      </c>
      <c r="X68" s="412">
        <v>30202.949999999997</v>
      </c>
      <c r="AI68" t="s">
        <v>380</v>
      </c>
      <c r="AJ68" s="718">
        <f t="shared" ref="AJ68:AJ81" si="4">SUM(I68,M68)</f>
        <v>57132.139172278548</v>
      </c>
      <c r="AK68" s="122">
        <f t="shared" ref="AK68:AK81" si="5">SUM(K68,O68)</f>
        <v>55440.072332681448</v>
      </c>
      <c r="AL68" s="122">
        <f>SUM(Table6[[#This Row],[No. of  Male adults aged 18 - 60]])</f>
        <v>34438.536852976264</v>
      </c>
      <c r="AM68" s="122">
        <f>Table6[[#This Row],[No. of Female adults aged 18 - 60]]</f>
        <v>37981.923881779607</v>
      </c>
      <c r="AN68" s="122">
        <f>Table6[[#This Row],[No. of Male adults aged over 60]]</f>
        <v>6151.1606286529859</v>
      </c>
      <c r="AO68" s="719">
        <f>Table6[[#This Row],[No. Female adults aged over 60]]</f>
        <v>7922.8541430546566</v>
      </c>
      <c r="AP68" s="122">
        <f t="shared" ref="AP68:AP81" si="6">SUM(AJ68:AO68)</f>
        <v>199066.68701142352</v>
      </c>
    </row>
    <row r="69" spans="1:42" x14ac:dyDescent="0.55000000000000004">
      <c r="A69" t="s">
        <v>382</v>
      </c>
      <c r="B69" t="s">
        <v>384</v>
      </c>
      <c r="C69">
        <v>3</v>
      </c>
      <c r="D69">
        <v>4</v>
      </c>
      <c r="E69" s="22"/>
      <c r="F69" s="433">
        <v>175633.36126487245</v>
      </c>
      <c r="G69" s="433">
        <f>Table6[[#This Row],[Overall PiN]]+Table6[[#This Row],[Refugees]]</f>
        <v>175633.36126487245</v>
      </c>
      <c r="H69" s="19">
        <v>8.7099999999999997E-2</v>
      </c>
      <c r="I69" s="715">
        <f>Table6[[#This Row],[Overall PiN with REFUGEES]]*Table6[[#This Row],[% Male children under 5]]</f>
        <v>15297.66576617039</v>
      </c>
      <c r="J69" s="19">
        <v>0.109</v>
      </c>
      <c r="K69" s="715">
        <f>Table6[[#This Row],[Overall PiN with REFUGEES]]*Table6[[#This Row],[% Female children under 5]]</f>
        <v>19144.036377871096</v>
      </c>
      <c r="L69" s="19">
        <v>0.19769999999999999</v>
      </c>
      <c r="M69" s="715">
        <f>Table6[[#This Row],[Overall PiN with REFUGEES]]*Table6[[#This Row],[% Male children aged 5 - 17 years]]</f>
        <v>34722.715522065278</v>
      </c>
      <c r="N69" s="19">
        <v>0.19700000000000001</v>
      </c>
      <c r="O69" s="715">
        <f>Table6[[#This Row],[Overall PiN with REFUGEES]]*Table6[[#This Row],[% Female children aged 5 - 17 years]]</f>
        <v>34599.772169179872</v>
      </c>
      <c r="P69" s="19">
        <v>0.16799999999999998</v>
      </c>
      <c r="Q69" s="715">
        <f>Table6[[#This Row],[Overall PiN with REFUGEES]]*Table6[[#This Row],[% Male adults aged 18 - 60]]</f>
        <v>29506.404692498571</v>
      </c>
      <c r="R69" s="19">
        <v>0.19500000000000001</v>
      </c>
      <c r="S69" s="715">
        <f>Table6[[#This Row],[Overall PiN with REFUGEES]]*Table6[[#This Row],[% Female adults aged 18 - 60]]</f>
        <v>34248.505446650131</v>
      </c>
      <c r="T69" s="19">
        <v>2.1599999999999998E-2</v>
      </c>
      <c r="U69" s="715">
        <f>Table6[[#This Row],[Overall PiN with REFUGEES]]*Table6[[#This Row],[% Male adults aged over 60]]</f>
        <v>3793.6806033212447</v>
      </c>
      <c r="V69" s="19">
        <v>2.46E-2</v>
      </c>
      <c r="W69" s="715">
        <f>Table6[[#This Row],[Overall PiN with REFUGEES]]*Table6[[#This Row],[% Female adults aged over 60]]</f>
        <v>4320.580687115862</v>
      </c>
      <c r="X69" s="412">
        <v>24336.486335900347</v>
      </c>
      <c r="AI69" t="s">
        <v>384</v>
      </c>
      <c r="AJ69" s="718">
        <f t="shared" si="4"/>
        <v>50020.381288235672</v>
      </c>
      <c r="AK69" s="122">
        <f t="shared" si="5"/>
        <v>53743.808547050969</v>
      </c>
      <c r="AL69" s="122">
        <f>SUM(Table6[[#This Row],[No. of  Male adults aged 18 - 60]])</f>
        <v>29506.404692498571</v>
      </c>
      <c r="AM69" s="122">
        <f>Table6[[#This Row],[No. of Female adults aged 18 - 60]]</f>
        <v>34248.505446650131</v>
      </c>
      <c r="AN69" s="122">
        <f>Table6[[#This Row],[No. of Male adults aged over 60]]</f>
        <v>3793.6806033212447</v>
      </c>
      <c r="AO69" s="719">
        <f>Table6[[#This Row],[No. Female adults aged over 60]]</f>
        <v>4320.580687115862</v>
      </c>
      <c r="AP69" s="122">
        <f t="shared" si="6"/>
        <v>175633.36126487245</v>
      </c>
    </row>
    <row r="70" spans="1:42" x14ac:dyDescent="0.55000000000000004">
      <c r="A70" t="s">
        <v>382</v>
      </c>
      <c r="B70" t="s">
        <v>386</v>
      </c>
      <c r="C70">
        <v>3</v>
      </c>
      <c r="D70">
        <v>3</v>
      </c>
      <c r="E70" s="22">
        <v>9342</v>
      </c>
      <c r="F70" s="433">
        <v>46836.12976398578</v>
      </c>
      <c r="G70" s="433">
        <f>Table6[[#This Row],[Overall PiN]]+Table6[[#This Row],[Refugees]]</f>
        <v>56178.12976398578</v>
      </c>
      <c r="H70" s="19">
        <v>9.5500000000000002E-2</v>
      </c>
      <c r="I70" s="715">
        <f>Table6[[#This Row],[Overall PiN with REFUGEES]]*Table6[[#This Row],[% Male children under 5]]</f>
        <v>5365.0113924606421</v>
      </c>
      <c r="J70" s="19">
        <v>7.9600000000000004E-2</v>
      </c>
      <c r="K70" s="715">
        <f>Table6[[#This Row],[Overall PiN with REFUGEES]]*Table6[[#This Row],[% Female children under 5]]</f>
        <v>4471.7791292132688</v>
      </c>
      <c r="L70" s="19">
        <v>0.20250000000000001</v>
      </c>
      <c r="M70" s="715">
        <f>Table6[[#This Row],[Overall PiN with REFUGEES]]*Table6[[#This Row],[% Male children aged 5 - 17 years]]</f>
        <v>11376.071277207122</v>
      </c>
      <c r="N70" s="19">
        <v>0.184</v>
      </c>
      <c r="O70" s="715">
        <f>Table6[[#This Row],[Overall PiN with REFUGEES]]*Table6[[#This Row],[% Female children aged 5 - 17 years]]</f>
        <v>10336.775876573383</v>
      </c>
      <c r="P70" s="19">
        <v>0.19400000000000001</v>
      </c>
      <c r="Q70" s="715">
        <f>Table6[[#This Row],[Overall PiN with REFUGEES]]*Table6[[#This Row],[% Male adults aged 18 - 60]]</f>
        <v>10898.557174213242</v>
      </c>
      <c r="R70" s="19">
        <v>0.193</v>
      </c>
      <c r="S70" s="715">
        <f>Table6[[#This Row],[Overall PiN with REFUGEES]]*Table6[[#This Row],[% Female adults aged 18 - 60]]</f>
        <v>10842.379044449255</v>
      </c>
      <c r="T70" s="19">
        <v>1.8300000000000004E-2</v>
      </c>
      <c r="U70" s="715">
        <f>Table6[[#This Row],[Overall PiN with REFUGEES]]*Table6[[#This Row],[% Male adults aged over 60]]</f>
        <v>1028.0597746809399</v>
      </c>
      <c r="V70" s="19">
        <v>3.3099999999999997E-2</v>
      </c>
      <c r="W70" s="715">
        <f>Table6[[#This Row],[Overall PiN with REFUGEES]]*Table6[[#This Row],[% Female adults aged over 60]]</f>
        <v>1859.4960951879291</v>
      </c>
      <c r="X70" s="412">
        <v>12187.1625</v>
      </c>
      <c r="AI70" t="s">
        <v>386</v>
      </c>
      <c r="AJ70" s="718">
        <f t="shared" si="4"/>
        <v>16741.082669667765</v>
      </c>
      <c r="AK70" s="122">
        <f t="shared" si="5"/>
        <v>14808.555005786653</v>
      </c>
      <c r="AL70" s="122">
        <f>SUM(Table6[[#This Row],[No. of  Male adults aged 18 - 60]])</f>
        <v>10898.557174213242</v>
      </c>
      <c r="AM70" s="122">
        <f>Table6[[#This Row],[No. of Female adults aged 18 - 60]]</f>
        <v>10842.379044449255</v>
      </c>
      <c r="AN70" s="122">
        <f>Table6[[#This Row],[No. of Male adults aged over 60]]</f>
        <v>1028.0597746809399</v>
      </c>
      <c r="AO70" s="719">
        <f>Table6[[#This Row],[No. Female adults aged over 60]]</f>
        <v>1859.4960951879291</v>
      </c>
      <c r="AP70" s="122">
        <f t="shared" si="6"/>
        <v>56178.129763985788</v>
      </c>
    </row>
    <row r="71" spans="1:42" x14ac:dyDescent="0.55000000000000004">
      <c r="A71" t="s">
        <v>382</v>
      </c>
      <c r="B71" t="s">
        <v>388</v>
      </c>
      <c r="C71">
        <v>3</v>
      </c>
      <c r="D71">
        <v>4</v>
      </c>
      <c r="E71" s="22">
        <v>13571</v>
      </c>
      <c r="F71" s="433">
        <v>155737.9526547264</v>
      </c>
      <c r="G71" s="433">
        <f>Table6[[#This Row],[Overall PiN]]+Table6[[#This Row],[Refugees]]</f>
        <v>169308.9526547264</v>
      </c>
      <c r="H71" s="19">
        <v>0.13200000000000001</v>
      </c>
      <c r="I71" s="715">
        <f>Table6[[#This Row],[Overall PiN with REFUGEES]]*Table6[[#This Row],[% Male children under 5]]</f>
        <v>22348.781750423885</v>
      </c>
      <c r="J71" s="19">
        <v>0.124</v>
      </c>
      <c r="K71" s="715">
        <f>Table6[[#This Row],[Overall PiN with REFUGEES]]*Table6[[#This Row],[% Female children under 5]]</f>
        <v>20994.310129186073</v>
      </c>
      <c r="L71" s="19">
        <v>0.13500000000000001</v>
      </c>
      <c r="M71" s="715">
        <f>Table6[[#This Row],[Overall PiN with REFUGEES]]*Table6[[#This Row],[% Male children aged 5 - 17 years]]</f>
        <v>22856.708608388064</v>
      </c>
      <c r="N71" s="19">
        <v>0.1762</v>
      </c>
      <c r="O71" s="715">
        <f>Table6[[#This Row],[Overall PiN with REFUGEES]]*Table6[[#This Row],[% Female children aged 5 - 17 years]]</f>
        <v>29832.237457762789</v>
      </c>
      <c r="P71" s="19">
        <v>0.18799999999999997</v>
      </c>
      <c r="Q71" s="715">
        <f>Table6[[#This Row],[Overall PiN with REFUGEES]]*Table6[[#This Row],[% Male adults aged 18 - 60]]</f>
        <v>31830.083099088559</v>
      </c>
      <c r="R71" s="19">
        <v>0.224</v>
      </c>
      <c r="S71" s="715">
        <f>Table6[[#This Row],[Overall PiN with REFUGEES]]*Table6[[#This Row],[% Female adults aged 18 - 60]]</f>
        <v>37925.205394658711</v>
      </c>
      <c r="T71" s="19">
        <v>1.286E-2</v>
      </c>
      <c r="U71" s="715">
        <f>Table6[[#This Row],[Overall PiN with REFUGEES]]*Table6[[#This Row],[% Male adults aged over 60]]</f>
        <v>2177.3131311397815</v>
      </c>
      <c r="V71" s="19">
        <v>7.9399999999999991E-3</v>
      </c>
      <c r="W71" s="715">
        <f>Table6[[#This Row],[Overall PiN with REFUGEES]]*Table6[[#This Row],[% Female adults aged over 60]]</f>
        <v>1344.3130840785275</v>
      </c>
      <c r="X71" s="412">
        <v>27836.83386833371</v>
      </c>
      <c r="AI71" t="s">
        <v>388</v>
      </c>
      <c r="AJ71" s="718">
        <f t="shared" si="4"/>
        <v>45205.490358811949</v>
      </c>
      <c r="AK71" s="122">
        <f t="shared" si="5"/>
        <v>50826.547586948858</v>
      </c>
      <c r="AL71" s="122">
        <f>SUM(Table6[[#This Row],[No. of  Male adults aged 18 - 60]])</f>
        <v>31830.083099088559</v>
      </c>
      <c r="AM71" s="122">
        <f>Table6[[#This Row],[No. of Female adults aged 18 - 60]]</f>
        <v>37925.205394658711</v>
      </c>
      <c r="AN71" s="122">
        <f>Table6[[#This Row],[No. of Male adults aged over 60]]</f>
        <v>2177.3131311397815</v>
      </c>
      <c r="AO71" s="719">
        <f>Table6[[#This Row],[No. Female adults aged over 60]]</f>
        <v>1344.3130840785275</v>
      </c>
      <c r="AP71" s="122">
        <f t="shared" si="6"/>
        <v>169308.95265472637</v>
      </c>
    </row>
    <row r="72" spans="1:42" x14ac:dyDescent="0.55000000000000004">
      <c r="A72" t="s">
        <v>390</v>
      </c>
      <c r="B72" t="s">
        <v>392</v>
      </c>
      <c r="C72">
        <v>3</v>
      </c>
      <c r="D72">
        <v>3</v>
      </c>
      <c r="E72" s="22">
        <v>3776</v>
      </c>
      <c r="F72" s="433">
        <v>89851.346539668011</v>
      </c>
      <c r="G72" s="433">
        <f>Table6[[#This Row],[Overall PiN]]+Table6[[#This Row],[Refugees]]</f>
        <v>93627.346539668011</v>
      </c>
      <c r="H72" s="19">
        <v>5.8999999999999997E-2</v>
      </c>
      <c r="I72" s="715">
        <f>Table6[[#This Row],[Overall PiN with REFUGEES]]*Table6[[#This Row],[% Male children under 5]]</f>
        <v>5524.0134458404127</v>
      </c>
      <c r="J72" s="19">
        <v>8.5800000000000001E-2</v>
      </c>
      <c r="K72" s="715">
        <f>Table6[[#This Row],[Overall PiN with REFUGEES]]*Table6[[#This Row],[% Female children under 5]]</f>
        <v>8033.2263331035156</v>
      </c>
      <c r="L72" s="19">
        <v>0.17299999999999999</v>
      </c>
      <c r="M72" s="715">
        <f>Table6[[#This Row],[Overall PiN with REFUGEES]]*Table6[[#This Row],[% Male children aged 5 - 17 years]]</f>
        <v>16197.530951362565</v>
      </c>
      <c r="N72" s="19">
        <v>0.1835</v>
      </c>
      <c r="O72" s="715">
        <f>Table6[[#This Row],[Overall PiN with REFUGEES]]*Table6[[#This Row],[% Female children aged 5 - 17 years]]</f>
        <v>17180.618090029078</v>
      </c>
      <c r="P72" s="19">
        <v>0.18199999999999997</v>
      </c>
      <c r="Q72" s="715">
        <f>Table6[[#This Row],[Overall PiN with REFUGEES]]*Table6[[#This Row],[% Male adults aged 18 - 60]]</f>
        <v>17040.177070219575</v>
      </c>
      <c r="R72" s="19">
        <v>0.22900000000000001</v>
      </c>
      <c r="S72" s="715">
        <f>Table6[[#This Row],[Overall PiN with REFUGEES]]*Table6[[#This Row],[% Female adults aged 18 - 60]]</f>
        <v>21440.662357583977</v>
      </c>
      <c r="T72" s="19">
        <v>5.4100000000000002E-2</v>
      </c>
      <c r="U72" s="715">
        <f>Table6[[#This Row],[Overall PiN with REFUGEES]]*Table6[[#This Row],[% Male adults aged over 60]]</f>
        <v>5065.2394477960397</v>
      </c>
      <c r="V72" s="19">
        <v>3.3599999999999998E-2</v>
      </c>
      <c r="W72" s="715">
        <f>Table6[[#This Row],[Overall PiN with REFUGEES]]*Table6[[#This Row],[% Female adults aged over 60]]</f>
        <v>3145.8788437328449</v>
      </c>
      <c r="X72" s="412">
        <v>16681.804416866416</v>
      </c>
      <c r="AI72" t="s">
        <v>392</v>
      </c>
      <c r="AJ72" s="718">
        <f t="shared" si="4"/>
        <v>21721.544397202979</v>
      </c>
      <c r="AK72" s="122">
        <f t="shared" si="5"/>
        <v>25213.844423132592</v>
      </c>
      <c r="AL72" s="122">
        <f>SUM(Table6[[#This Row],[No. of  Male adults aged 18 - 60]])</f>
        <v>17040.177070219575</v>
      </c>
      <c r="AM72" s="122">
        <f>Table6[[#This Row],[No. of Female adults aged 18 - 60]]</f>
        <v>21440.662357583977</v>
      </c>
      <c r="AN72" s="122">
        <f>Table6[[#This Row],[No. of Male adults aged over 60]]</f>
        <v>5065.2394477960397</v>
      </c>
      <c r="AO72" s="719">
        <f>Table6[[#This Row],[No. Female adults aged over 60]]</f>
        <v>3145.8788437328449</v>
      </c>
      <c r="AP72" s="122">
        <f t="shared" si="6"/>
        <v>93627.346539668011</v>
      </c>
    </row>
    <row r="73" spans="1:42" x14ac:dyDescent="0.55000000000000004">
      <c r="A73" t="s">
        <v>390</v>
      </c>
      <c r="B73" t="s">
        <v>394</v>
      </c>
      <c r="C73">
        <v>3</v>
      </c>
      <c r="D73">
        <v>5</v>
      </c>
      <c r="E73" s="22"/>
      <c r="F73" s="433">
        <v>47736.473876471369</v>
      </c>
      <c r="G73" s="433">
        <f>Table6[[#This Row],[Overall PiN]]+Table6[[#This Row],[Refugees]]</f>
        <v>47736.473876471369</v>
      </c>
      <c r="H73" s="19">
        <v>8.8599999999999998E-2</v>
      </c>
      <c r="I73" s="715">
        <f>Table6[[#This Row],[Overall PiN with REFUGEES]]*Table6[[#This Row],[% Male children under 5]]</f>
        <v>4229.4515854553629</v>
      </c>
      <c r="J73" s="19">
        <v>6.6000000000000003E-2</v>
      </c>
      <c r="K73" s="715">
        <f>Table6[[#This Row],[Overall PiN with REFUGEES]]*Table6[[#This Row],[% Female children under 5]]</f>
        <v>3150.6072758471105</v>
      </c>
      <c r="L73" s="19">
        <v>0.20699999999999999</v>
      </c>
      <c r="M73" s="715">
        <f>Table6[[#This Row],[Overall PiN with REFUGEES]]*Table6[[#This Row],[% Male children aged 5 - 17 years]]</f>
        <v>9881.4500924295735</v>
      </c>
      <c r="N73" s="19">
        <v>0.17100000000000001</v>
      </c>
      <c r="O73" s="715">
        <f>Table6[[#This Row],[Overall PiN with REFUGEES]]*Table6[[#This Row],[% Female children aged 5 - 17 years]]</f>
        <v>8162.9370328766045</v>
      </c>
      <c r="P73" s="19">
        <v>0.223</v>
      </c>
      <c r="Q73" s="715">
        <f>Table6[[#This Row],[Overall PiN with REFUGEES]]*Table6[[#This Row],[% Male adults aged 18 - 60]]</f>
        <v>10645.233674453115</v>
      </c>
      <c r="R73" s="19">
        <v>0.20499999999999999</v>
      </c>
      <c r="S73" s="715">
        <f>Table6[[#This Row],[Overall PiN with REFUGEES]]*Table6[[#This Row],[% Female adults aged 18 - 60]]</f>
        <v>9785.9771446766299</v>
      </c>
      <c r="T73" s="19">
        <v>1.7599999999999998E-2</v>
      </c>
      <c r="U73" s="715">
        <f>Table6[[#This Row],[Overall PiN with REFUGEES]]*Table6[[#This Row],[% Male adults aged over 60]]</f>
        <v>840.16194022589593</v>
      </c>
      <c r="V73" s="19">
        <v>2.18E-2</v>
      </c>
      <c r="W73" s="715">
        <f>Table6[[#This Row],[Overall PiN with REFUGEES]]*Table6[[#This Row],[% Female adults aged over 60]]</f>
        <v>1040.6551305070759</v>
      </c>
      <c r="X73" s="412">
        <v>6715.5955617969448</v>
      </c>
      <c r="AI73" t="s">
        <v>394</v>
      </c>
      <c r="AJ73" s="718">
        <f t="shared" si="4"/>
        <v>14110.901677884936</v>
      </c>
      <c r="AK73" s="122">
        <f t="shared" si="5"/>
        <v>11313.544308723714</v>
      </c>
      <c r="AL73" s="122">
        <f>SUM(Table6[[#This Row],[No. of  Male adults aged 18 - 60]])</f>
        <v>10645.233674453115</v>
      </c>
      <c r="AM73" s="122">
        <f>Table6[[#This Row],[No. of Female adults aged 18 - 60]]</f>
        <v>9785.9771446766299</v>
      </c>
      <c r="AN73" s="122">
        <f>Table6[[#This Row],[No. of Male adults aged over 60]]</f>
        <v>840.16194022589593</v>
      </c>
      <c r="AO73" s="719">
        <f>Table6[[#This Row],[No. Female adults aged over 60]]</f>
        <v>1040.6551305070759</v>
      </c>
      <c r="AP73" s="122">
        <f t="shared" si="6"/>
        <v>47736.473876471369</v>
      </c>
    </row>
    <row r="74" spans="1:42" x14ac:dyDescent="0.55000000000000004">
      <c r="A74" t="s">
        <v>390</v>
      </c>
      <c r="B74" t="s">
        <v>396</v>
      </c>
      <c r="C74">
        <v>3</v>
      </c>
      <c r="D74">
        <v>5</v>
      </c>
      <c r="E74" s="22">
        <v>147</v>
      </c>
      <c r="F74" s="433">
        <v>66799.741121868283</v>
      </c>
      <c r="G74" s="433">
        <f>Table6[[#This Row],[Overall PiN]]+Table6[[#This Row],[Refugees]]</f>
        <v>66946.741121868283</v>
      </c>
      <c r="H74" s="19">
        <v>9.9299999999999999E-2</v>
      </c>
      <c r="I74" s="715">
        <f>Table6[[#This Row],[Overall PiN with REFUGEES]]*Table6[[#This Row],[% Male children under 5]]</f>
        <v>6647.81139340152</v>
      </c>
      <c r="J74" s="19">
        <v>8.4199999999999997E-2</v>
      </c>
      <c r="K74" s="715">
        <f>Table6[[#This Row],[Overall PiN with REFUGEES]]*Table6[[#This Row],[% Female children under 5]]</f>
        <v>5636.9156024613094</v>
      </c>
      <c r="L74" s="19">
        <v>0.159</v>
      </c>
      <c r="M74" s="715">
        <f>Table6[[#This Row],[Overall PiN with REFUGEES]]*Table6[[#This Row],[% Male children aged 5 - 17 years]]</f>
        <v>10644.531838377057</v>
      </c>
      <c r="N74" s="19">
        <v>0.16769999999999999</v>
      </c>
      <c r="O74" s="715">
        <f>Table6[[#This Row],[Overall PiN with REFUGEES]]*Table6[[#This Row],[% Female children aged 5 - 17 years]]</f>
        <v>11226.96848613731</v>
      </c>
      <c r="P74" s="19">
        <v>0.188</v>
      </c>
      <c r="Q74" s="715">
        <f>Table6[[#This Row],[Overall PiN with REFUGEES]]*Table6[[#This Row],[% Male adults aged 18 - 60]]</f>
        <v>12585.987330911237</v>
      </c>
      <c r="R74" s="19">
        <v>0.23899999999999999</v>
      </c>
      <c r="S74" s="715">
        <f>Table6[[#This Row],[Overall PiN with REFUGEES]]*Table6[[#This Row],[% Female adults aged 18 - 60]]</f>
        <v>16000.271128126518</v>
      </c>
      <c r="T74" s="19">
        <v>1.8599999999999992E-2</v>
      </c>
      <c r="U74" s="715">
        <f>Table6[[#This Row],[Overall PiN with REFUGEES]]*Table6[[#This Row],[% Male adults aged over 60]]</f>
        <v>1245.2093848667496</v>
      </c>
      <c r="V74" s="19">
        <v>4.4200000000000003E-2</v>
      </c>
      <c r="W74" s="715">
        <f>Table6[[#This Row],[Overall PiN with REFUGEES]]*Table6[[#This Row],[% Female adults aged over 60]]</f>
        <v>2959.0459575865784</v>
      </c>
      <c r="X74" s="412">
        <v>9223.3956699305418</v>
      </c>
      <c r="AI74" t="s">
        <v>396</v>
      </c>
      <c r="AJ74" s="718">
        <f t="shared" si="4"/>
        <v>17292.343231778577</v>
      </c>
      <c r="AK74" s="122">
        <f t="shared" si="5"/>
        <v>16863.884088598621</v>
      </c>
      <c r="AL74" s="122">
        <f>SUM(Table6[[#This Row],[No. of  Male adults aged 18 - 60]])</f>
        <v>12585.987330911237</v>
      </c>
      <c r="AM74" s="122">
        <f>Table6[[#This Row],[No. of Female adults aged 18 - 60]]</f>
        <v>16000.271128126518</v>
      </c>
      <c r="AN74" s="122">
        <f>Table6[[#This Row],[No. of Male adults aged over 60]]</f>
        <v>1245.2093848667496</v>
      </c>
      <c r="AO74" s="719">
        <f>Table6[[#This Row],[No. Female adults aged over 60]]</f>
        <v>2959.0459575865784</v>
      </c>
      <c r="AP74" s="122">
        <f t="shared" si="6"/>
        <v>66946.741121868283</v>
      </c>
    </row>
    <row r="75" spans="1:42" x14ac:dyDescent="0.55000000000000004">
      <c r="A75" t="s">
        <v>390</v>
      </c>
      <c r="B75" t="s">
        <v>398</v>
      </c>
      <c r="C75">
        <v>3</v>
      </c>
      <c r="D75">
        <v>5</v>
      </c>
      <c r="E75" s="22"/>
      <c r="F75" s="433">
        <v>55943.221447987526</v>
      </c>
      <c r="G75" s="433">
        <f>Table6[[#This Row],[Overall PiN]]+Table6[[#This Row],[Refugees]]</f>
        <v>55943.221447987526</v>
      </c>
      <c r="H75" s="19">
        <v>9.8799999999999999E-2</v>
      </c>
      <c r="I75" s="715">
        <f>Table6[[#This Row],[Overall PiN with REFUGEES]]*Table6[[#This Row],[% Male children under 5]]</f>
        <v>5527.1902790611675</v>
      </c>
      <c r="J75" s="19">
        <v>9.1200000000000003E-2</v>
      </c>
      <c r="K75" s="715">
        <f>Table6[[#This Row],[Overall PiN with REFUGEES]]*Table6[[#This Row],[% Female children under 5]]</f>
        <v>5102.0217960564623</v>
      </c>
      <c r="L75" s="19">
        <v>0.15670000000000001</v>
      </c>
      <c r="M75" s="715">
        <f>Table6[[#This Row],[Overall PiN with REFUGEES]]*Table6[[#This Row],[% Male children aged 5 - 17 years]]</f>
        <v>8766.3028008996462</v>
      </c>
      <c r="N75" s="19">
        <v>0.124</v>
      </c>
      <c r="O75" s="715">
        <f>Table6[[#This Row],[Overall PiN with REFUGEES]]*Table6[[#This Row],[% Female children aged 5 - 17 years]]</f>
        <v>6936.9594595504532</v>
      </c>
      <c r="P75" s="19">
        <v>0.23500000000000001</v>
      </c>
      <c r="Q75" s="715">
        <f>Table6[[#This Row],[Overall PiN with REFUGEES]]*Table6[[#This Row],[% Male adults aged 18 - 60]]</f>
        <v>13146.657040277069</v>
      </c>
      <c r="R75" s="19">
        <v>0.22800000000000001</v>
      </c>
      <c r="S75" s="715">
        <f>Table6[[#This Row],[Overall PiN with REFUGEES]]*Table6[[#This Row],[% Female adults aged 18 - 60]]</f>
        <v>12755.054490141156</v>
      </c>
      <c r="T75" s="19">
        <v>3.6799999999999999E-2</v>
      </c>
      <c r="U75" s="715">
        <f>Table6[[#This Row],[Overall PiN with REFUGEES]]*Table6[[#This Row],[% Male adults aged over 60]]</f>
        <v>2058.7105492859409</v>
      </c>
      <c r="V75" s="19">
        <v>2.9499999999999998E-2</v>
      </c>
      <c r="W75" s="715">
        <f>Table6[[#This Row],[Overall PiN with REFUGEES]]*Table6[[#This Row],[% Female adults aged over 60]]</f>
        <v>1650.325032715632</v>
      </c>
      <c r="X75" s="412">
        <v>6392.1205207090879</v>
      </c>
      <c r="AI75" t="s">
        <v>398</v>
      </c>
      <c r="AJ75" s="718">
        <f t="shared" si="4"/>
        <v>14293.493079960814</v>
      </c>
      <c r="AK75" s="122">
        <f t="shared" si="5"/>
        <v>12038.981255606916</v>
      </c>
      <c r="AL75" s="122">
        <f>SUM(Table6[[#This Row],[No. of  Male adults aged 18 - 60]])</f>
        <v>13146.657040277069</v>
      </c>
      <c r="AM75" s="122">
        <f>Table6[[#This Row],[No. of Female adults aged 18 - 60]]</f>
        <v>12755.054490141156</v>
      </c>
      <c r="AN75" s="122">
        <f>Table6[[#This Row],[No. of Male adults aged over 60]]</f>
        <v>2058.7105492859409</v>
      </c>
      <c r="AO75" s="719">
        <f>Table6[[#This Row],[No. Female adults aged over 60]]</f>
        <v>1650.325032715632</v>
      </c>
      <c r="AP75" s="122">
        <f t="shared" si="6"/>
        <v>55943.221447987526</v>
      </c>
    </row>
    <row r="76" spans="1:42" x14ac:dyDescent="0.55000000000000004">
      <c r="A76" t="s">
        <v>390</v>
      </c>
      <c r="B76" t="s">
        <v>400</v>
      </c>
      <c r="C76">
        <v>3</v>
      </c>
      <c r="D76">
        <v>5</v>
      </c>
      <c r="E76" s="22"/>
      <c r="F76" s="433">
        <v>23308.621437400583</v>
      </c>
      <c r="G76" s="433">
        <f>Table6[[#This Row],[Overall PiN]]+Table6[[#This Row],[Refugees]]</f>
        <v>23308.621437400583</v>
      </c>
      <c r="H76" s="19">
        <v>9.4700000000000006E-2</v>
      </c>
      <c r="I76" s="715">
        <f>Table6[[#This Row],[Overall PiN with REFUGEES]]*Table6[[#This Row],[% Male children under 5]]</f>
        <v>2207.3264501218355</v>
      </c>
      <c r="J76" s="19">
        <v>9.0800000000000006E-2</v>
      </c>
      <c r="K76" s="715">
        <f>Table6[[#This Row],[Overall PiN with REFUGEES]]*Table6[[#This Row],[% Female children under 5]]</f>
        <v>2116.4228265159732</v>
      </c>
      <c r="L76" s="19">
        <v>0.2175</v>
      </c>
      <c r="M76" s="715">
        <f>Table6[[#This Row],[Overall PiN with REFUGEES]]*Table6[[#This Row],[% Male children aged 5 - 17 years]]</f>
        <v>5069.6251626346266</v>
      </c>
      <c r="N76" s="19">
        <v>0.16300000000000001</v>
      </c>
      <c r="O76" s="715">
        <f>Table6[[#This Row],[Overall PiN with REFUGEES]]*Table6[[#This Row],[% Female children aged 5 - 17 years]]</f>
        <v>3799.305294296295</v>
      </c>
      <c r="P76" s="19">
        <v>0.19020000000000001</v>
      </c>
      <c r="Q76" s="715">
        <f>Table6[[#This Row],[Overall PiN with REFUGEES]]*Table6[[#This Row],[% Male adults aged 18 - 60]]</f>
        <v>4433.2997973935908</v>
      </c>
      <c r="R76" s="19">
        <v>0.20499999999999999</v>
      </c>
      <c r="S76" s="715">
        <f>Table6[[#This Row],[Overall PiN with REFUGEES]]*Table6[[#This Row],[% Female adults aged 18 - 60]]</f>
        <v>4778.2673946671193</v>
      </c>
      <c r="T76" s="19">
        <v>1.54E-2</v>
      </c>
      <c r="U76" s="715">
        <f>Table6[[#This Row],[Overall PiN with REFUGEES]]*Table6[[#This Row],[% Male adults aged over 60]]</f>
        <v>358.95277013596899</v>
      </c>
      <c r="V76" s="19">
        <v>2.3400000000000001E-2</v>
      </c>
      <c r="W76" s="715">
        <f>Table6[[#This Row],[Overall PiN with REFUGEES]]*Table6[[#This Row],[% Female adults aged over 60]]</f>
        <v>545.4217416351737</v>
      </c>
      <c r="X76" s="412">
        <v>5571.9</v>
      </c>
      <c r="AI76" t="s">
        <v>400</v>
      </c>
      <c r="AJ76" s="718">
        <f t="shared" si="4"/>
        <v>7276.9516127564621</v>
      </c>
      <c r="AK76" s="122">
        <f t="shared" si="5"/>
        <v>5915.7281208122677</v>
      </c>
      <c r="AL76" s="122">
        <f>SUM(Table6[[#This Row],[No. of  Male adults aged 18 - 60]])</f>
        <v>4433.2997973935908</v>
      </c>
      <c r="AM76" s="122">
        <f>Table6[[#This Row],[No. of Female adults aged 18 - 60]]</f>
        <v>4778.2673946671193</v>
      </c>
      <c r="AN76" s="122">
        <f>Table6[[#This Row],[No. of Male adults aged over 60]]</f>
        <v>358.95277013596899</v>
      </c>
      <c r="AO76" s="719">
        <f>Table6[[#This Row],[No. Female adults aged over 60]]</f>
        <v>545.4217416351737</v>
      </c>
      <c r="AP76" s="122">
        <f t="shared" si="6"/>
        <v>23308.621437400587</v>
      </c>
    </row>
    <row r="77" spans="1:42" x14ac:dyDescent="0.55000000000000004">
      <c r="A77" t="s">
        <v>390</v>
      </c>
      <c r="B77" t="s">
        <v>402</v>
      </c>
      <c r="C77">
        <v>3</v>
      </c>
      <c r="D77">
        <v>5</v>
      </c>
      <c r="E77" s="22"/>
      <c r="F77" s="433">
        <v>43379.187852958959</v>
      </c>
      <c r="G77" s="433">
        <f>Table6[[#This Row],[Overall PiN]]+Table6[[#This Row],[Refugees]]</f>
        <v>43379.187852958959</v>
      </c>
      <c r="H77" s="19">
        <v>0.109</v>
      </c>
      <c r="I77" s="715">
        <f>Table6[[#This Row],[Overall PiN with REFUGEES]]*Table6[[#This Row],[% Male children under 5]]</f>
        <v>4728.3314759725263</v>
      </c>
      <c r="J77" s="19">
        <v>0.08</v>
      </c>
      <c r="K77" s="715">
        <f>Table6[[#This Row],[Overall PiN with REFUGEES]]*Table6[[#This Row],[% Female children under 5]]</f>
        <v>3470.3350282367169</v>
      </c>
      <c r="L77" s="19">
        <v>0.19339999999999999</v>
      </c>
      <c r="M77" s="715">
        <f>Table6[[#This Row],[Overall PiN with REFUGEES]]*Table6[[#This Row],[% Male children aged 5 - 17 years]]</f>
        <v>8389.5349307622619</v>
      </c>
      <c r="N77" s="19">
        <v>0.17499999999999999</v>
      </c>
      <c r="O77" s="715">
        <f>Table6[[#This Row],[Overall PiN with REFUGEES]]*Table6[[#This Row],[% Female children aged 5 - 17 years]]</f>
        <v>7591.3578742678174</v>
      </c>
      <c r="P77" s="19">
        <v>0.17599999999999999</v>
      </c>
      <c r="Q77" s="715">
        <f>Table6[[#This Row],[Overall PiN with REFUGEES]]*Table6[[#This Row],[% Male adults aged 18 - 60]]</f>
        <v>7634.7370621207765</v>
      </c>
      <c r="R77" s="19">
        <v>0.19800000000000001</v>
      </c>
      <c r="S77" s="715">
        <f>Table6[[#This Row],[Overall PiN with REFUGEES]]*Table6[[#This Row],[% Female adults aged 18 - 60]]</f>
        <v>8589.079194885875</v>
      </c>
      <c r="T77" s="19">
        <v>3.2999999999999995E-2</v>
      </c>
      <c r="U77" s="715">
        <f>Table6[[#This Row],[Overall PiN with REFUGEES]]*Table6[[#This Row],[% Male adults aged over 60]]</f>
        <v>1431.5131991476455</v>
      </c>
      <c r="V77" s="19">
        <v>3.56E-2</v>
      </c>
      <c r="W77" s="715">
        <f>Table6[[#This Row],[Overall PiN with REFUGEES]]*Table6[[#This Row],[% Female adults aged over 60]]</f>
        <v>1544.2990875653391</v>
      </c>
      <c r="X77" s="412">
        <v>5820.75</v>
      </c>
      <c r="AI77" t="s">
        <v>402</v>
      </c>
      <c r="AJ77" s="718">
        <f t="shared" si="4"/>
        <v>13117.866406734789</v>
      </c>
      <c r="AK77" s="122">
        <f t="shared" si="5"/>
        <v>11061.692902504534</v>
      </c>
      <c r="AL77" s="122">
        <f>SUM(Table6[[#This Row],[No. of  Male adults aged 18 - 60]])</f>
        <v>7634.7370621207765</v>
      </c>
      <c r="AM77" s="122">
        <f>Table6[[#This Row],[No. of Female adults aged 18 - 60]]</f>
        <v>8589.079194885875</v>
      </c>
      <c r="AN77" s="122">
        <f>Table6[[#This Row],[No. of Male adults aged over 60]]</f>
        <v>1431.5131991476455</v>
      </c>
      <c r="AO77" s="719">
        <f>Table6[[#This Row],[No. Female adults aged over 60]]</f>
        <v>1544.2990875653391</v>
      </c>
      <c r="AP77" s="122">
        <f t="shared" si="6"/>
        <v>43379.187852958959</v>
      </c>
    </row>
    <row r="78" spans="1:42" x14ac:dyDescent="0.55000000000000004">
      <c r="A78" t="s">
        <v>390</v>
      </c>
      <c r="B78" t="s">
        <v>404</v>
      </c>
      <c r="C78">
        <v>4</v>
      </c>
      <c r="D78">
        <v>2</v>
      </c>
      <c r="E78" s="22"/>
      <c r="F78" s="433">
        <v>38376.997336818924</v>
      </c>
      <c r="G78" s="433">
        <f>Table6[[#This Row],[Overall PiN]]+Table6[[#This Row],[Refugees]]</f>
        <v>38376.997336818924</v>
      </c>
      <c r="H78" s="19">
        <v>6.0100000000000001E-2</v>
      </c>
      <c r="I78" s="715">
        <f>Table6[[#This Row],[Overall PiN with REFUGEES]]*Table6[[#This Row],[% Male children under 5]]</f>
        <v>2306.4575399428172</v>
      </c>
      <c r="J78" s="19">
        <v>5.8099999999999999E-2</v>
      </c>
      <c r="K78" s="715">
        <f>Table6[[#This Row],[Overall PiN with REFUGEES]]*Table6[[#This Row],[% Female children under 5]]</f>
        <v>2229.7035452691794</v>
      </c>
      <c r="L78" s="19">
        <v>0.17600000000000002</v>
      </c>
      <c r="M78" s="715">
        <f>Table6[[#This Row],[Overall PiN with REFUGEES]]*Table6[[#This Row],[% Male children aged 5 - 17 years]]</f>
        <v>6754.351531280131</v>
      </c>
      <c r="N78" s="19">
        <v>0.14380000000000001</v>
      </c>
      <c r="O78" s="715">
        <f>Table6[[#This Row],[Overall PiN with REFUGEES]]*Table6[[#This Row],[% Female children aged 5 - 17 years]]</f>
        <v>5518.6122170345616</v>
      </c>
      <c r="P78" s="19">
        <v>0.22000000000000003</v>
      </c>
      <c r="Q78" s="715">
        <f>Table6[[#This Row],[Overall PiN with REFUGEES]]*Table6[[#This Row],[% Male adults aged 18 - 60]]</f>
        <v>8442.9394141001649</v>
      </c>
      <c r="R78" s="19">
        <v>0.31</v>
      </c>
      <c r="S78" s="715">
        <f>Table6[[#This Row],[Overall PiN with REFUGEES]]*Table6[[#This Row],[% Female adults aged 18 - 60]]</f>
        <v>11896.869174413867</v>
      </c>
      <c r="T78" s="19">
        <v>2.4460000000000003E-2</v>
      </c>
      <c r="U78" s="715">
        <f>Table6[[#This Row],[Overall PiN with REFUGEES]]*Table6[[#This Row],[% Male adults aged over 60]]</f>
        <v>938.701354858591</v>
      </c>
      <c r="V78" s="19">
        <v>7.5399999999999998E-3</v>
      </c>
      <c r="W78" s="715">
        <f>Table6[[#This Row],[Overall PiN with REFUGEES]]*Table6[[#This Row],[% Female adults aged over 60]]</f>
        <v>289.36255991961468</v>
      </c>
      <c r="X78" s="412">
        <v>5877.8866666666654</v>
      </c>
      <c r="AI78" t="s">
        <v>404</v>
      </c>
      <c r="AJ78" s="718">
        <f t="shared" si="4"/>
        <v>9060.8090712229478</v>
      </c>
      <c r="AK78" s="122">
        <f t="shared" si="5"/>
        <v>7748.3157623037405</v>
      </c>
      <c r="AL78" s="122">
        <f>SUM(Table6[[#This Row],[No. of  Male adults aged 18 - 60]])</f>
        <v>8442.9394141001649</v>
      </c>
      <c r="AM78" s="122">
        <f>Table6[[#This Row],[No. of Female adults aged 18 - 60]]</f>
        <v>11896.869174413867</v>
      </c>
      <c r="AN78" s="122">
        <f>Table6[[#This Row],[No. of Male adults aged over 60]]</f>
        <v>938.701354858591</v>
      </c>
      <c r="AO78" s="719">
        <f>Table6[[#This Row],[No. Female adults aged over 60]]</f>
        <v>289.36255991961468</v>
      </c>
      <c r="AP78" s="122">
        <f t="shared" si="6"/>
        <v>38376.997336818924</v>
      </c>
    </row>
    <row r="79" spans="1:42" x14ac:dyDescent="0.55000000000000004">
      <c r="A79" t="s">
        <v>390</v>
      </c>
      <c r="B79" t="s">
        <v>406</v>
      </c>
      <c r="C79">
        <v>3</v>
      </c>
      <c r="D79">
        <v>5</v>
      </c>
      <c r="E79" s="22"/>
      <c r="F79" s="433">
        <v>54687.711917006745</v>
      </c>
      <c r="G79" s="433">
        <f>Table6[[#This Row],[Overall PiN]]+Table6[[#This Row],[Refugees]]</f>
        <v>54687.711917006745</v>
      </c>
      <c r="H79" s="19">
        <v>9.4200000000000006E-2</v>
      </c>
      <c r="I79" s="715">
        <f>Table6[[#This Row],[Overall PiN with REFUGEES]]*Table6[[#This Row],[% Male children under 5]]</f>
        <v>5151.582462582036</v>
      </c>
      <c r="J79" s="19">
        <v>0.113</v>
      </c>
      <c r="K79" s="715">
        <f>Table6[[#This Row],[Overall PiN with REFUGEES]]*Table6[[#This Row],[% Female children under 5]]</f>
        <v>6179.7114466217627</v>
      </c>
      <c r="L79" s="19">
        <v>0.1709</v>
      </c>
      <c r="M79" s="715">
        <f>Table6[[#This Row],[Overall PiN with REFUGEES]]*Table6[[#This Row],[% Male children aged 5 - 17 years]]</f>
        <v>9346.1299666164523</v>
      </c>
      <c r="N79" s="19">
        <v>0.16400000000000001</v>
      </c>
      <c r="O79" s="715">
        <f>Table6[[#This Row],[Overall PiN with REFUGEES]]*Table6[[#This Row],[% Female children aged 5 - 17 years]]</f>
        <v>8968.7847543891057</v>
      </c>
      <c r="P79" s="19">
        <v>0.17900000000000002</v>
      </c>
      <c r="Q79" s="715">
        <f>Table6[[#This Row],[Overall PiN with REFUGEES]]*Table6[[#This Row],[% Male adults aged 18 - 60]]</f>
        <v>9789.1004331442091</v>
      </c>
      <c r="R79" s="19">
        <v>0.216</v>
      </c>
      <c r="S79" s="715">
        <f>Table6[[#This Row],[Overall PiN with REFUGEES]]*Table6[[#This Row],[% Female adults aged 18 - 60]]</f>
        <v>11812.545774073456</v>
      </c>
      <c r="T79" s="19">
        <v>3.8399999999999997E-2</v>
      </c>
      <c r="U79" s="715">
        <f>Table6[[#This Row],[Overall PiN with REFUGEES]]*Table6[[#This Row],[% Male adults aged over 60]]</f>
        <v>2100.0081376130588</v>
      </c>
      <c r="V79" s="19">
        <v>2.4500000000000001E-2</v>
      </c>
      <c r="W79" s="715">
        <f>Table6[[#This Row],[Overall PiN with REFUGEES]]*Table6[[#This Row],[% Female adults aged over 60]]</f>
        <v>1339.8489419666653</v>
      </c>
      <c r="X79" s="412">
        <v>6124.8218672246476</v>
      </c>
      <c r="AI79" t="s">
        <v>406</v>
      </c>
      <c r="AJ79" s="718">
        <f t="shared" si="4"/>
        <v>14497.712429198487</v>
      </c>
      <c r="AK79" s="122">
        <f t="shared" si="5"/>
        <v>15148.496201010868</v>
      </c>
      <c r="AL79" s="122">
        <f>SUM(Table6[[#This Row],[No. of  Male adults aged 18 - 60]])</f>
        <v>9789.1004331442091</v>
      </c>
      <c r="AM79" s="122">
        <f>Table6[[#This Row],[No. of Female adults aged 18 - 60]]</f>
        <v>11812.545774073456</v>
      </c>
      <c r="AN79" s="122">
        <f>Table6[[#This Row],[No. of Male adults aged over 60]]</f>
        <v>2100.0081376130588</v>
      </c>
      <c r="AO79" s="719">
        <f>Table6[[#This Row],[No. Female adults aged over 60]]</f>
        <v>1339.8489419666653</v>
      </c>
      <c r="AP79" s="122">
        <f t="shared" si="6"/>
        <v>54687.711917006745</v>
      </c>
    </row>
    <row r="80" spans="1:42" x14ac:dyDescent="0.55000000000000004">
      <c r="A80" t="s">
        <v>390</v>
      </c>
      <c r="B80" t="s">
        <v>408</v>
      </c>
      <c r="C80">
        <v>4</v>
      </c>
      <c r="D80">
        <v>2</v>
      </c>
      <c r="E80" s="22">
        <v>1848</v>
      </c>
      <c r="F80" s="433">
        <v>98816.729354343406</v>
      </c>
      <c r="G80" s="433">
        <f>Table6[[#This Row],[Overall PiN]]+Table6[[#This Row],[Refugees]]</f>
        <v>100664.72935434341</v>
      </c>
      <c r="H80" s="19">
        <v>0.1166</v>
      </c>
      <c r="I80" s="715">
        <f>Table6[[#This Row],[Overall PiN with REFUGEES]]*Table6[[#This Row],[% Male children under 5]]</f>
        <v>11737.50744271644</v>
      </c>
      <c r="J80" s="19">
        <v>0.105</v>
      </c>
      <c r="K80" s="715">
        <f>Table6[[#This Row],[Overall PiN with REFUGEES]]*Table6[[#This Row],[% Female children under 5]]</f>
        <v>10569.796582206058</v>
      </c>
      <c r="L80" s="19">
        <v>0.13800000000000001</v>
      </c>
      <c r="M80" s="715">
        <f>Table6[[#This Row],[Overall PiN with REFUGEES]]*Table6[[#This Row],[% Male children aged 5 - 17 years]]</f>
        <v>13891.732650899392</v>
      </c>
      <c r="N80" s="19">
        <v>0.16300000000000001</v>
      </c>
      <c r="O80" s="715">
        <f>Table6[[#This Row],[Overall PiN with REFUGEES]]*Table6[[#This Row],[% Female children aged 5 - 17 years]]</f>
        <v>16408.350884757976</v>
      </c>
      <c r="P80" s="19">
        <v>0.20300000000000001</v>
      </c>
      <c r="Q80" s="715">
        <f>Table6[[#This Row],[Overall PiN with REFUGEES]]*Table6[[#This Row],[% Male adults aged 18 - 60]]</f>
        <v>20434.940058931712</v>
      </c>
      <c r="R80" s="19">
        <v>0.23599999999999999</v>
      </c>
      <c r="S80" s="715">
        <f>Table6[[#This Row],[Overall PiN with REFUGEES]]*Table6[[#This Row],[% Female adults aged 18 - 60]]</f>
        <v>23756.876127625044</v>
      </c>
      <c r="T80" s="19">
        <v>1.7399999999999995E-2</v>
      </c>
      <c r="U80" s="715">
        <f>Table6[[#This Row],[Overall PiN with REFUGEES]]*Table6[[#This Row],[% Male adults aged over 60]]</f>
        <v>1751.5662907655749</v>
      </c>
      <c r="V80" s="19">
        <v>2.1000000000000001E-2</v>
      </c>
      <c r="W80" s="715">
        <f>Table6[[#This Row],[Overall PiN with REFUGEES]]*Table6[[#This Row],[% Female adults aged over 60]]</f>
        <v>2113.9593164412117</v>
      </c>
      <c r="X80" s="412">
        <v>9343.5965371389884</v>
      </c>
      <c r="AI80" t="s">
        <v>408</v>
      </c>
      <c r="AJ80" s="718">
        <f t="shared" si="4"/>
        <v>25629.24009361583</v>
      </c>
      <c r="AK80" s="122">
        <f t="shared" si="5"/>
        <v>26978.147466964034</v>
      </c>
      <c r="AL80" s="122">
        <f>SUM(Table6[[#This Row],[No. of  Male adults aged 18 - 60]])</f>
        <v>20434.940058931712</v>
      </c>
      <c r="AM80" s="122">
        <f>Table6[[#This Row],[No. of Female adults aged 18 - 60]]</f>
        <v>23756.876127625044</v>
      </c>
      <c r="AN80" s="122">
        <f>Table6[[#This Row],[No. of Male adults aged over 60]]</f>
        <v>1751.5662907655749</v>
      </c>
      <c r="AO80" s="719">
        <f>Table6[[#This Row],[No. Female adults aged over 60]]</f>
        <v>2113.9593164412117</v>
      </c>
      <c r="AP80" s="122">
        <f t="shared" si="6"/>
        <v>100664.72935434341</v>
      </c>
    </row>
    <row r="81" spans="1:42" ht="14.7" thickBot="1" x14ac:dyDescent="0.6">
      <c r="A81" t="s">
        <v>390</v>
      </c>
      <c r="B81" t="s">
        <v>410</v>
      </c>
      <c r="C81">
        <v>3</v>
      </c>
      <c r="D81">
        <v>5</v>
      </c>
      <c r="E81" s="22">
        <v>19780</v>
      </c>
      <c r="F81" s="433">
        <v>106676.81759277431</v>
      </c>
      <c r="G81" s="433">
        <f>Table6[[#This Row],[Overall PiN]]+Table6[[#This Row],[Refugees]]</f>
        <v>126456.81759277431</v>
      </c>
      <c r="H81" s="19">
        <v>0.1021</v>
      </c>
      <c r="I81" s="715">
        <f>Table6[[#This Row],[Overall PiN with REFUGEES]]*Table6[[#This Row],[% Male children under 5]]</f>
        <v>12911.241076222257</v>
      </c>
      <c r="J81" s="19">
        <v>0.10199999999999999</v>
      </c>
      <c r="K81" s="715">
        <f>Table6[[#This Row],[Overall PiN with REFUGEES]]*Table6[[#This Row],[% Female children under 5]]</f>
        <v>12898.59539446298</v>
      </c>
      <c r="L81" s="19">
        <v>0.17</v>
      </c>
      <c r="M81" s="715">
        <f>Table6[[#This Row],[Overall PiN with REFUGEES]]*Table6[[#This Row],[% Male children aged 5 - 17 years]]</f>
        <v>21497.658990771633</v>
      </c>
      <c r="N81" s="19">
        <v>0.14599999999999999</v>
      </c>
      <c r="O81" s="715">
        <f>Table6[[#This Row],[Overall PiN with REFUGEES]]*Table6[[#This Row],[% Female children aged 5 - 17 years]]</f>
        <v>18462.69536854505</v>
      </c>
      <c r="P81" s="19">
        <v>0.223</v>
      </c>
      <c r="Q81" s="715">
        <f>Table6[[#This Row],[Overall PiN with REFUGEES]]*Table6[[#This Row],[% Male adults aged 18 - 60]]</f>
        <v>28199.870323188672</v>
      </c>
      <c r="R81" s="19">
        <v>0.224</v>
      </c>
      <c r="S81" s="715">
        <f>Table6[[#This Row],[Overall PiN with REFUGEES]]*Table6[[#This Row],[% Female adults aged 18 - 60]]</f>
        <v>28326.327140781446</v>
      </c>
      <c r="T81" s="19">
        <v>1.32E-2</v>
      </c>
      <c r="U81" s="715">
        <f>Table6[[#This Row],[Overall PiN with REFUGEES]]*Table6[[#This Row],[% Male adults aged over 60]]</f>
        <v>1669.2299922246209</v>
      </c>
      <c r="V81" s="19">
        <v>1.9699999999999999E-2</v>
      </c>
      <c r="W81" s="715">
        <f>Table6[[#This Row],[Overall PiN with REFUGEES]]*Table6[[#This Row],[% Female adults aged over 60]]</f>
        <v>2491.1993065776537</v>
      </c>
      <c r="X81" s="412">
        <v>10471.878615513391</v>
      </c>
      <c r="AI81" t="s">
        <v>410</v>
      </c>
      <c r="AJ81" s="720">
        <f t="shared" si="4"/>
        <v>34408.900066993891</v>
      </c>
      <c r="AK81" s="721">
        <f t="shared" si="5"/>
        <v>31361.29076300803</v>
      </c>
      <c r="AL81" s="721">
        <f>SUM(Table6[[#This Row],[No. of  Male adults aged 18 - 60]])</f>
        <v>28199.870323188672</v>
      </c>
      <c r="AM81" s="721">
        <f>Table6[[#This Row],[No. of Female adults aged 18 - 60]]</f>
        <v>28326.327140781446</v>
      </c>
      <c r="AN81" s="721">
        <f>Table6[[#This Row],[No. of Male adults aged over 60]]</f>
        <v>1669.2299922246209</v>
      </c>
      <c r="AO81" s="722">
        <f>Table6[[#This Row],[No. Female adults aged over 60]]</f>
        <v>2491.1993065776537</v>
      </c>
      <c r="AP81" s="122">
        <f t="shared" si="6"/>
        <v>126456.81759277431</v>
      </c>
    </row>
  </sheetData>
  <conditionalFormatting sqref="A2">
    <cfRule type="colorScale" priority="2">
      <colorScale>
        <cfvo type="min"/>
        <cfvo type="percentile" val="50"/>
        <cfvo type="max"/>
        <color rgb="FF63BE7B"/>
        <color rgb="FFFCFCFF"/>
        <color rgb="FFF8696B"/>
      </colorScale>
    </cfRule>
  </conditionalFormatting>
  <conditionalFormatting sqref="C2:D2">
    <cfRule type="colorScale" priority="1">
      <colorScale>
        <cfvo type="min"/>
        <cfvo type="percentile" val="50"/>
        <cfvo type="max"/>
        <color rgb="FF63BE7B"/>
        <color rgb="FFFCFCFF"/>
        <color rgb="FFF8696B"/>
      </colorScale>
    </cfRule>
  </conditionalFormatting>
  <conditionalFormatting sqref="E2:S2 B2">
    <cfRule type="colorScale" priority="5">
      <colorScale>
        <cfvo type="min"/>
        <cfvo type="percentile" val="50"/>
        <cfvo type="max"/>
        <color rgb="FF63BE7B"/>
        <color rgb="FFFCFCFF"/>
        <color rgb="FFF8696B"/>
      </colorScale>
    </cfRule>
  </conditionalFormatting>
  <conditionalFormatting sqref="T2:W2">
    <cfRule type="colorScale" priority="4">
      <colorScale>
        <cfvo type="min"/>
        <cfvo type="percentile" val="50"/>
        <cfvo type="max"/>
        <color rgb="FF63BE7B"/>
        <color rgb="FFFCFCFF"/>
        <color rgb="FFF8696B"/>
      </colorScale>
    </cfRule>
  </conditionalFormatting>
  <conditionalFormatting sqref="X2">
    <cfRule type="colorScale" priority="3">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EE1D-4A45-4C10-8B5F-090B55870A58}">
  <sheetPr>
    <tabColor rgb="FF0D39C8"/>
  </sheetPr>
  <dimension ref="A1:AO81"/>
  <sheetViews>
    <sheetView topLeftCell="L1" workbookViewId="0">
      <selection activeCell="AB20" sqref="AB20"/>
    </sheetView>
  </sheetViews>
  <sheetFormatPr defaultColWidth="8.83984375" defaultRowHeight="14.4" x14ac:dyDescent="0.55000000000000004"/>
  <cols>
    <col min="1" max="1" width="22.68359375" customWidth="1"/>
    <col min="2" max="2" width="21.15625" bestFit="1" customWidth="1"/>
    <col min="3" max="4" width="10.41796875" customWidth="1"/>
    <col min="5" max="5" width="11.83984375" customWidth="1"/>
    <col min="6" max="6" width="15" customWidth="1"/>
    <col min="7" max="7" width="13.41796875" style="433" customWidth="1"/>
    <col min="8" max="16" width="10.26171875" customWidth="1"/>
    <col min="17" max="17" width="14.41796875" bestFit="1" customWidth="1"/>
    <col min="18" max="18" width="10.26171875" customWidth="1"/>
    <col min="19" max="19" width="14.41796875" bestFit="1" customWidth="1"/>
    <col min="20" max="23" width="10.26171875" customWidth="1"/>
    <col min="24" max="24" width="12.68359375" customWidth="1"/>
    <col min="27" max="27" width="9.68359375" bestFit="1" customWidth="1"/>
    <col min="28" max="28" width="11" bestFit="1" customWidth="1"/>
    <col min="29" max="29" width="9.68359375" bestFit="1" customWidth="1"/>
    <col min="30" max="30" width="9.578125" bestFit="1" customWidth="1"/>
    <col min="31" max="32" width="9.68359375" bestFit="1" customWidth="1"/>
    <col min="33" max="33" width="8.15625" bestFit="1" customWidth="1"/>
  </cols>
  <sheetData>
    <row r="1" spans="1:41" ht="30.75" customHeight="1" thickTop="1" thickBot="1" x14ac:dyDescent="0.75">
      <c r="E1" s="723">
        <f>SUM(Table12[Refugees])</f>
        <v>592851</v>
      </c>
      <c r="F1" s="723">
        <f>SUM(Table12[Target(1&amp;2)50% (3)priority])</f>
        <v>3656206.6689127637</v>
      </c>
      <c r="G1" s="723">
        <f>SUM(Table12[Target(1-3)priority with REFUGEES])</f>
        <v>4249057.6689127637</v>
      </c>
      <c r="H1" s="723"/>
      <c r="I1" s="723">
        <f>SUM(Table12[No. of Male children under 5])</f>
        <v>406776.67140266311</v>
      </c>
      <c r="J1" s="723"/>
      <c r="K1" s="723">
        <f>SUM(Table12[No. of Female children under 5])</f>
        <v>373545.34242717124</v>
      </c>
      <c r="L1" s="723"/>
      <c r="M1" s="723">
        <f>SUM(Table12[No. of Male children aged 5 - 17 years])</f>
        <v>757819.30565034121</v>
      </c>
      <c r="N1" s="723"/>
      <c r="O1" s="723">
        <f>SUM(Table12[No. of Female children aged 5 - 17 years])</f>
        <v>748727.12711158278</v>
      </c>
      <c r="P1" s="723"/>
      <c r="Q1" s="723">
        <f>SUM(Table12[No. of  Male adults aged 18 - 60])</f>
        <v>794962.22872711474</v>
      </c>
      <c r="R1" s="723"/>
      <c r="S1" s="723">
        <f>SUM(Table12[No. of Female adults aged 18 - 60])</f>
        <v>824942.82394311822</v>
      </c>
      <c r="T1" s="723"/>
      <c r="U1" s="723">
        <f>SUM(Table12[No. of Male adults aged over 60])</f>
        <v>159267.14580233485</v>
      </c>
      <c r="V1" s="723"/>
      <c r="W1" s="723">
        <f>SUM(Table12[No. Female adults aged over 60])</f>
        <v>183017.02384843479</v>
      </c>
      <c r="X1" s="723">
        <f>SUM(Table12[Persons with disability])</f>
        <v>808047.31311775465</v>
      </c>
      <c r="AA1" s="734">
        <f>SUM(I1,M1,Q1,U1)</f>
        <v>2118825.3515824541</v>
      </c>
      <c r="AB1" s="734">
        <f>SUM(K1,O1,S1,W1)</f>
        <v>2130232.3173303073</v>
      </c>
      <c r="AC1" s="737">
        <f>SUM(I1,K1,M1,O1)</f>
        <v>2286868.4465917582</v>
      </c>
      <c r="AD1" s="737">
        <f>SUM(S1,W1)</f>
        <v>1007959.847791553</v>
      </c>
      <c r="AE1" s="737">
        <f>SUM(Q1,U1)</f>
        <v>954229.37452944962</v>
      </c>
      <c r="AF1" s="704">
        <f>SUM(Q1,S1,U1,W1)</f>
        <v>1962189.2223210027</v>
      </c>
      <c r="AG1" s="704">
        <f>SUM(U1,W1)</f>
        <v>342284.16965076968</v>
      </c>
      <c r="AI1" s="122">
        <f>SUM(AI3:AI81)</f>
        <v>1164595.9770530041</v>
      </c>
      <c r="AJ1" s="122">
        <f t="shared" ref="AJ1:AO1" si="0">SUM(AJ3:AJ81)</f>
        <v>1122272.4695387543</v>
      </c>
      <c r="AK1" s="122">
        <f t="shared" si="0"/>
        <v>794962.22872711474</v>
      </c>
      <c r="AL1" s="122">
        <f t="shared" si="0"/>
        <v>824942.82394311822</v>
      </c>
      <c r="AM1" s="122">
        <f t="shared" si="0"/>
        <v>159267.14580233485</v>
      </c>
      <c r="AN1" s="122">
        <f t="shared" si="0"/>
        <v>183017.02384843479</v>
      </c>
      <c r="AO1" s="122">
        <f t="shared" si="0"/>
        <v>4249057.6689127637</v>
      </c>
    </row>
    <row r="2" spans="1:41" ht="72.599999999999994" thickTop="1" thickBot="1" x14ac:dyDescent="0.6">
      <c r="A2" s="705" t="s">
        <v>75</v>
      </c>
      <c r="B2" s="705" t="s">
        <v>77</v>
      </c>
      <c r="C2" s="705" t="s">
        <v>537</v>
      </c>
      <c r="D2" s="705" t="s">
        <v>536</v>
      </c>
      <c r="E2" s="705" t="s">
        <v>501</v>
      </c>
      <c r="F2" s="706" t="s">
        <v>535</v>
      </c>
      <c r="G2" s="706" t="s">
        <v>533</v>
      </c>
      <c r="H2" s="705" t="s">
        <v>454</v>
      </c>
      <c r="I2" s="705" t="s">
        <v>455</v>
      </c>
      <c r="J2" s="705" t="s">
        <v>456</v>
      </c>
      <c r="K2" s="705" t="s">
        <v>457</v>
      </c>
      <c r="L2" s="705" t="s">
        <v>458</v>
      </c>
      <c r="M2" s="705" t="s">
        <v>459</v>
      </c>
      <c r="N2" s="705" t="s">
        <v>460</v>
      </c>
      <c r="O2" s="705" t="s">
        <v>461</v>
      </c>
      <c r="P2" s="705" t="s">
        <v>462</v>
      </c>
      <c r="Q2" s="705" t="s">
        <v>463</v>
      </c>
      <c r="R2" s="705" t="s">
        <v>464</v>
      </c>
      <c r="S2" s="705" t="s">
        <v>465</v>
      </c>
      <c r="T2" s="705" t="s">
        <v>466</v>
      </c>
      <c r="U2" s="705" t="s">
        <v>467</v>
      </c>
      <c r="V2" s="705" t="s">
        <v>468</v>
      </c>
      <c r="W2" s="705" t="s">
        <v>469</v>
      </c>
      <c r="X2" s="705" t="s">
        <v>470</v>
      </c>
      <c r="AA2" s="735" t="s">
        <v>519</v>
      </c>
      <c r="AB2" s="735" t="s">
        <v>520</v>
      </c>
      <c r="AC2" s="738" t="s">
        <v>521</v>
      </c>
      <c r="AD2" s="738" t="s">
        <v>522</v>
      </c>
      <c r="AE2" s="738" t="s">
        <v>523</v>
      </c>
      <c r="AF2" s="708" t="s">
        <v>524</v>
      </c>
      <c r="AG2" s="708" t="s">
        <v>525</v>
      </c>
      <c r="AI2" s="709" t="s">
        <v>526</v>
      </c>
      <c r="AJ2" s="710" t="s">
        <v>527</v>
      </c>
      <c r="AK2" s="711" t="s">
        <v>528</v>
      </c>
      <c r="AL2" s="711" t="s">
        <v>529</v>
      </c>
      <c r="AM2" s="712" t="s">
        <v>530</v>
      </c>
      <c r="AN2" s="713" t="s">
        <v>531</v>
      </c>
    </row>
    <row r="3" spans="1:41" ht="15" thickTop="1" thickBot="1" x14ac:dyDescent="0.6">
      <c r="A3" t="s">
        <v>233</v>
      </c>
      <c r="B3" t="s">
        <v>233</v>
      </c>
      <c r="C3">
        <v>4</v>
      </c>
      <c r="D3">
        <v>1</v>
      </c>
      <c r="E3" s="22"/>
      <c r="F3" s="433">
        <v>76370.452555428245</v>
      </c>
      <c r="G3" s="433">
        <f>SUM(Table12[[#This Row],[Refugees]:[Target(1&amp;2)50% (3)priority]])</f>
        <v>76370.452555428245</v>
      </c>
      <c r="H3" s="714">
        <v>9.6000000000000002E-2</v>
      </c>
      <c r="I3" s="715">
        <f>Table12[[#This Row],[Target(1-3)priority with REFUGEES]]*Table12[[#This Row],[% Male children under 5]]</f>
        <v>7331.5634453211114</v>
      </c>
      <c r="J3" s="714">
        <v>8.8999999999999996E-2</v>
      </c>
      <c r="K3" s="715">
        <f>Table12[[#This Row],[Target(1-3)priority with REFUGEES]]*Table12[[#This Row],[% Female children under 5]]</f>
        <v>6796.9702774331136</v>
      </c>
      <c r="L3" s="714">
        <v>0.17699999999999999</v>
      </c>
      <c r="M3" s="715">
        <f>Table12[[#This Row],[Target(1-3)priority with REFUGEES]]*Table12[[#This Row],[% Male children aged 5 - 17 years]]</f>
        <v>13517.570102310798</v>
      </c>
      <c r="N3" s="714">
        <v>0.17299999999999999</v>
      </c>
      <c r="O3" s="715">
        <f>Table12[[#This Row],[Target(1-3)priority with REFUGEES]]*Table12[[#This Row],[% Female children aged 5 - 17 years]]</f>
        <v>13212.088292089085</v>
      </c>
      <c r="P3" s="716">
        <v>0.19</v>
      </c>
      <c r="Q3" s="715">
        <f>Table12[[#This Row],[Target(1-3)priority with REFUGEES]]*Table12[[#This Row],[% Male adults aged 18 - 60]]</f>
        <v>14510.385985531366</v>
      </c>
      <c r="R3" s="714">
        <v>0.20200000000000001</v>
      </c>
      <c r="S3" s="715">
        <f>Table12[[#This Row],[Target(1-3)priority with REFUGEES]]*Table12[[#This Row],[% Female adults aged 18 - 60]]</f>
        <v>15426.831416196506</v>
      </c>
      <c r="T3" s="714">
        <v>3.4000000000000002E-2</v>
      </c>
      <c r="U3" s="715">
        <f>Table12[[#This Row],[Target(1-3)priority with REFUGEES]]*Table12[[#This Row],[% Male adults aged over 60]]</f>
        <v>2596.5953868845604</v>
      </c>
      <c r="V3" s="714">
        <v>3.9E-2</v>
      </c>
      <c r="W3" s="715">
        <f>Table12[[#This Row],[Target(1-3)priority with REFUGEES]]*Table12[[#This Row],[% Female adults aged over 60]]</f>
        <v>2978.4476496617017</v>
      </c>
      <c r="X3" s="412">
        <v>9204.7055976551801</v>
      </c>
      <c r="Z3" s="715"/>
      <c r="AA3" s="736">
        <f>AA1/G1</f>
        <v>0.49865770640966911</v>
      </c>
      <c r="AB3" s="736">
        <f>AB1/G1</f>
        <v>0.50134229359033033</v>
      </c>
      <c r="AC3" s="739">
        <f>AC1/G1</f>
        <v>0.53820602702643838</v>
      </c>
      <c r="AD3" s="739">
        <f>AD1/G1</f>
        <v>0.23721962052105233</v>
      </c>
      <c r="AE3" s="739">
        <f>AE1/G1</f>
        <v>0.22457435245250862</v>
      </c>
      <c r="AF3" s="717">
        <f>AF1/G1</f>
        <v>0.46179397297356095</v>
      </c>
      <c r="AG3" s="717">
        <f>AG1/G1</f>
        <v>8.0555312806180931E-2</v>
      </c>
      <c r="AH3" t="s">
        <v>233</v>
      </c>
      <c r="AI3" s="718">
        <f t="shared" ref="AI3:AI66" si="1">SUM(I3,M3)</f>
        <v>20849.133547631907</v>
      </c>
      <c r="AJ3" s="122">
        <f t="shared" ref="AJ3:AJ66" si="2">SUM(K3,O3)</f>
        <v>20009.0585695222</v>
      </c>
      <c r="AK3" s="122">
        <f>Table12[[#This Row],[No. of  Male adults aged 18 - 60]]</f>
        <v>14510.385985531366</v>
      </c>
      <c r="AL3" s="122">
        <f>Table12[[#This Row],[No. of Female adults aged 18 - 60]]</f>
        <v>15426.831416196506</v>
      </c>
      <c r="AM3" s="122">
        <f>Table12[[#This Row],[No. of Male adults aged over 60]]</f>
        <v>2596.5953868845604</v>
      </c>
      <c r="AN3" s="719">
        <f>Table12[[#This Row],[No. Female adults aged over 60]]</f>
        <v>2978.4476496617017</v>
      </c>
      <c r="AO3" s="122">
        <f>SUM(AI3:AN3)</f>
        <v>76370.45255542823</v>
      </c>
    </row>
    <row r="4" spans="1:41" ht="15" thickTop="1" thickBot="1" x14ac:dyDescent="0.6">
      <c r="A4" t="s">
        <v>236</v>
      </c>
      <c r="B4" t="s">
        <v>238</v>
      </c>
      <c r="C4">
        <v>3</v>
      </c>
      <c r="D4">
        <v>4</v>
      </c>
      <c r="E4" s="22">
        <v>34503</v>
      </c>
      <c r="F4" s="433">
        <v>0</v>
      </c>
      <c r="G4" s="433">
        <f>SUM(Table12[[#This Row],[Refugees]:[Target(1&amp;2)50% (3)priority]])</f>
        <v>34503</v>
      </c>
      <c r="H4" s="19">
        <v>7.3999999999999996E-2</v>
      </c>
      <c r="I4" s="715">
        <f>Table12[[#This Row],[Target(1-3)priority with REFUGEES]]*Table12[[#This Row],[% Male children under 5]]</f>
        <v>2553.2219999999998</v>
      </c>
      <c r="J4" s="19">
        <v>9.74E-2</v>
      </c>
      <c r="K4" s="715">
        <f>Table12[[#This Row],[Target(1-3)priority with REFUGEES]]*Table12[[#This Row],[% Female children under 5]]</f>
        <v>3360.5922</v>
      </c>
      <c r="L4" s="19">
        <v>0.154</v>
      </c>
      <c r="M4" s="715">
        <f>Table12[[#This Row],[Target(1-3)priority with REFUGEES]]*Table12[[#This Row],[% Male children aged 5 - 17 years]]</f>
        <v>5313.4619999999995</v>
      </c>
      <c r="N4" s="19">
        <v>0.159</v>
      </c>
      <c r="O4" s="715">
        <f>Table12[[#This Row],[Target(1-3)priority with REFUGEES]]*Table12[[#This Row],[% Female children aged 5 - 17 years]]</f>
        <v>5485.9769999999999</v>
      </c>
      <c r="P4" s="19">
        <v>0.23199999999999998</v>
      </c>
      <c r="Q4" s="715">
        <f>Table12[[#This Row],[Target(1-3)priority with REFUGEES]]*Table12[[#This Row],[% Male adults aged 18 - 60]]</f>
        <v>8004.695999999999</v>
      </c>
      <c r="R4" s="19">
        <v>0.24099999999999999</v>
      </c>
      <c r="S4" s="715">
        <f>Table12[[#This Row],[Target(1-3)priority with REFUGEES]]*Table12[[#This Row],[% Female adults aged 18 - 60]]</f>
        <v>8315.223</v>
      </c>
      <c r="T4" s="19">
        <v>2.3499999999999997E-2</v>
      </c>
      <c r="U4" s="715">
        <f>Table12[[#This Row],[Target(1-3)priority with REFUGEES]]*Table12[[#This Row],[% Male adults aged over 60]]</f>
        <v>810.82049999999992</v>
      </c>
      <c r="V4" s="19">
        <v>1.9099999999999999E-2</v>
      </c>
      <c r="W4" s="715">
        <f>Table12[[#This Row],[Target(1-3)priority with REFUGEES]]*Table12[[#This Row],[% Female adults aged over 60]]</f>
        <v>659.00729999999999</v>
      </c>
      <c r="X4" s="412">
        <v>42398.056258241842</v>
      </c>
      <c r="Z4" s="715"/>
      <c r="AH4" t="s">
        <v>238</v>
      </c>
      <c r="AI4" s="718">
        <f t="shared" si="1"/>
        <v>7866.6839999999993</v>
      </c>
      <c r="AJ4" s="122">
        <f t="shared" si="2"/>
        <v>8846.5691999999999</v>
      </c>
      <c r="AK4" s="122">
        <f>Table12[[#This Row],[No. of  Male adults aged 18 - 60]]</f>
        <v>8004.695999999999</v>
      </c>
      <c r="AL4" s="122">
        <f>Table12[[#This Row],[No. of Female adults aged 18 - 60]]</f>
        <v>8315.223</v>
      </c>
      <c r="AM4" s="122">
        <f>Table12[[#This Row],[No. of Male adults aged over 60]]</f>
        <v>810.82049999999992</v>
      </c>
      <c r="AN4" s="719">
        <f>Table12[[#This Row],[No. Female adults aged over 60]]</f>
        <v>659.00729999999999</v>
      </c>
      <c r="AO4" s="122">
        <f t="shared" ref="AO4:AO67" si="3">SUM(AI4:AN4)</f>
        <v>34503</v>
      </c>
    </row>
    <row r="5" spans="1:41" x14ac:dyDescent="0.55000000000000004">
      <c r="A5" t="s">
        <v>236</v>
      </c>
      <c r="B5" t="s">
        <v>240</v>
      </c>
      <c r="C5">
        <v>3</v>
      </c>
      <c r="D5">
        <v>5</v>
      </c>
      <c r="E5" s="22"/>
      <c r="F5" s="433">
        <v>0</v>
      </c>
      <c r="G5" s="433">
        <f>SUM(Table12[[#This Row],[Refugees]:[Target(1&amp;2)50% (3)priority]])</f>
        <v>0</v>
      </c>
      <c r="H5" s="19">
        <v>1.6299999999999999E-2</v>
      </c>
      <c r="I5" s="715">
        <f>Table12[[#This Row],[Target(1-3)priority with REFUGEES]]*Table12[[#This Row],[% Male children under 5]]</f>
        <v>0</v>
      </c>
      <c r="J5" s="19">
        <v>3.0099999999999998E-2</v>
      </c>
      <c r="K5" s="715">
        <f>Table12[[#This Row],[Target(1-3)priority with REFUGEES]]*Table12[[#This Row],[% Female children under 5]]</f>
        <v>0</v>
      </c>
      <c r="L5" s="19">
        <v>5.7500000000000002E-2</v>
      </c>
      <c r="M5" s="715">
        <f>Table12[[#This Row],[Target(1-3)priority with REFUGEES]]*Table12[[#This Row],[% Male children aged 5 - 17 years]]</f>
        <v>0</v>
      </c>
      <c r="N5" s="19">
        <v>5.8099999999999999E-2</v>
      </c>
      <c r="O5" s="715">
        <f>Table12[[#This Row],[Target(1-3)priority with REFUGEES]]*Table12[[#This Row],[% Female children aged 5 - 17 years]]</f>
        <v>0</v>
      </c>
      <c r="P5" s="19">
        <v>0.32800000000000001</v>
      </c>
      <c r="Q5" s="715">
        <f>Table12[[#This Row],[Target(1-3)priority with REFUGEES]]*Table12[[#This Row],[% Male adults aged 18 - 60]]</f>
        <v>0</v>
      </c>
      <c r="R5" s="19">
        <v>0.32</v>
      </c>
      <c r="S5" s="715">
        <f>Table12[[#This Row],[Target(1-3)priority with REFUGEES]]*Table12[[#This Row],[% Female adults aged 18 - 60]]</f>
        <v>0</v>
      </c>
      <c r="T5" s="19">
        <v>0.127</v>
      </c>
      <c r="U5" s="715">
        <f>Table12[[#This Row],[Target(1-3)priority with REFUGEES]]*Table12[[#This Row],[% Male adults aged over 60]]</f>
        <v>0</v>
      </c>
      <c r="V5" s="19">
        <v>6.3E-2</v>
      </c>
      <c r="W5" s="715">
        <f>Table12[[#This Row],[Target(1-3)priority with REFUGEES]]*Table12[[#This Row],[% Female adults aged over 60]]</f>
        <v>0</v>
      </c>
      <c r="X5" s="412">
        <v>0</v>
      </c>
      <c r="AA5" s="747" t="s">
        <v>520</v>
      </c>
      <c r="AB5" s="748" t="s">
        <v>534</v>
      </c>
      <c r="AC5" s="748" t="s">
        <v>524</v>
      </c>
      <c r="AD5" s="749" t="s">
        <v>521</v>
      </c>
      <c r="AH5" t="s">
        <v>240</v>
      </c>
      <c r="AI5" s="718">
        <f t="shared" si="1"/>
        <v>0</v>
      </c>
      <c r="AJ5" s="122">
        <f t="shared" si="2"/>
        <v>0</v>
      </c>
      <c r="AK5" s="122">
        <f>Table12[[#This Row],[No. of  Male adults aged 18 - 60]]</f>
        <v>0</v>
      </c>
      <c r="AL5" s="122">
        <f>Table12[[#This Row],[No. of Female adults aged 18 - 60]]</f>
        <v>0</v>
      </c>
      <c r="AM5" s="122">
        <f>Table12[[#This Row],[No. of Male adults aged over 60]]</f>
        <v>0</v>
      </c>
      <c r="AN5" s="719">
        <f>Table12[[#This Row],[No. Female adults aged over 60]]</f>
        <v>0</v>
      </c>
      <c r="AO5" s="122">
        <f t="shared" si="3"/>
        <v>0</v>
      </c>
    </row>
    <row r="6" spans="1:41" ht="14.7" thickBot="1" x14ac:dyDescent="0.6">
      <c r="A6" t="s">
        <v>236</v>
      </c>
      <c r="B6" t="s">
        <v>242</v>
      </c>
      <c r="C6">
        <v>3</v>
      </c>
      <c r="D6">
        <v>5</v>
      </c>
      <c r="E6" s="22"/>
      <c r="F6" s="433">
        <v>0</v>
      </c>
      <c r="G6" s="433">
        <f>SUM(Table12[[#This Row],[Refugees]:[Target(1&amp;2)50% (3)priority]])</f>
        <v>0</v>
      </c>
      <c r="H6" s="19">
        <v>0.105</v>
      </c>
      <c r="I6" s="715">
        <f>Table12[[#This Row],[Target(1-3)priority with REFUGEES]]*Table12[[#This Row],[% Male children under 5]]</f>
        <v>0</v>
      </c>
      <c r="J6" s="19">
        <v>0.10100000000000001</v>
      </c>
      <c r="K6" s="715">
        <f>Table12[[#This Row],[Target(1-3)priority with REFUGEES]]*Table12[[#This Row],[% Female children under 5]]</f>
        <v>0</v>
      </c>
      <c r="L6" s="19">
        <v>0.11</v>
      </c>
      <c r="M6" s="715">
        <f>Table12[[#This Row],[Target(1-3)priority with REFUGEES]]*Table12[[#This Row],[% Male children aged 5 - 17 years]]</f>
        <v>0</v>
      </c>
      <c r="N6" s="19">
        <v>0.104</v>
      </c>
      <c r="O6" s="715">
        <f>Table12[[#This Row],[Target(1-3)priority with REFUGEES]]*Table12[[#This Row],[% Female children aged 5 - 17 years]]</f>
        <v>0</v>
      </c>
      <c r="P6" s="19">
        <v>0.28600000000000003</v>
      </c>
      <c r="Q6" s="715">
        <f>Table12[[#This Row],[Target(1-3)priority with REFUGEES]]*Table12[[#This Row],[% Male adults aged 18 - 60]]</f>
        <v>0</v>
      </c>
      <c r="R6" s="19">
        <v>0.23400000000000001</v>
      </c>
      <c r="S6" s="715">
        <f>Table12[[#This Row],[Target(1-3)priority with REFUGEES]]*Table12[[#This Row],[% Female adults aged 18 - 60]]</f>
        <v>0</v>
      </c>
      <c r="T6" s="19">
        <v>2.6999999999999996E-2</v>
      </c>
      <c r="U6" s="715">
        <f>Table12[[#This Row],[Target(1-3)priority with REFUGEES]]*Table12[[#This Row],[% Male adults aged over 60]]</f>
        <v>0</v>
      </c>
      <c r="V6" s="19">
        <v>3.3000000000000002E-2</v>
      </c>
      <c r="W6" s="715">
        <f>Table12[[#This Row],[Target(1-3)priority with REFUGEES]]*Table12[[#This Row],[% Female adults aged over 60]]</f>
        <v>0</v>
      </c>
      <c r="X6" s="412">
        <v>5632.5088601421803</v>
      </c>
      <c r="AA6" s="727" t="s">
        <v>520</v>
      </c>
      <c r="AB6" s="750">
        <f>W1/G1</f>
        <v>4.3072379362472775E-2</v>
      </c>
      <c r="AC6" s="750">
        <f>(S1)/G1</f>
        <v>0.19414724115857956</v>
      </c>
      <c r="AD6" s="751">
        <f>(K1+O1)/G1</f>
        <v>0.26412267306927795</v>
      </c>
      <c r="AH6" t="s">
        <v>242</v>
      </c>
      <c r="AI6" s="718">
        <f t="shared" si="1"/>
        <v>0</v>
      </c>
      <c r="AJ6" s="122">
        <f t="shared" si="2"/>
        <v>0</v>
      </c>
      <c r="AK6" s="122">
        <f>Table12[[#This Row],[No. of  Male adults aged 18 - 60]]</f>
        <v>0</v>
      </c>
      <c r="AL6" s="122">
        <f>Table12[[#This Row],[No. of Female adults aged 18 - 60]]</f>
        <v>0</v>
      </c>
      <c r="AM6" s="122">
        <f>Table12[[#This Row],[No. of Male adults aged over 60]]</f>
        <v>0</v>
      </c>
      <c r="AN6" s="719">
        <f>Table12[[#This Row],[No. Female adults aged over 60]]</f>
        <v>0</v>
      </c>
      <c r="AO6" s="122">
        <f t="shared" si="3"/>
        <v>0</v>
      </c>
    </row>
    <row r="7" spans="1:41" x14ac:dyDescent="0.55000000000000004">
      <c r="A7" t="s">
        <v>236</v>
      </c>
      <c r="B7" t="s">
        <v>244</v>
      </c>
      <c r="C7">
        <v>3</v>
      </c>
      <c r="D7">
        <v>5</v>
      </c>
      <c r="E7" s="22">
        <v>1145</v>
      </c>
      <c r="F7" s="433">
        <v>0</v>
      </c>
      <c r="G7" s="433">
        <f>SUM(Table12[[#This Row],[Refugees]:[Target(1&amp;2)50% (3)priority]])</f>
        <v>1145</v>
      </c>
      <c r="H7" s="19">
        <v>8.1500000000000003E-2</v>
      </c>
      <c r="I7" s="715">
        <f>Table12[[#This Row],[Target(1-3)priority with REFUGEES]]*Table12[[#This Row],[% Male children under 5]]</f>
        <v>93.31750000000001</v>
      </c>
      <c r="J7" s="19">
        <v>0.105</v>
      </c>
      <c r="K7" s="715">
        <f>Table12[[#This Row],[Target(1-3)priority with REFUGEES]]*Table12[[#This Row],[% Female children under 5]]</f>
        <v>120.22499999999999</v>
      </c>
      <c r="L7" s="19">
        <v>0.17800000000000002</v>
      </c>
      <c r="M7" s="715">
        <f>Table12[[#This Row],[Target(1-3)priority with REFUGEES]]*Table12[[#This Row],[% Male children aged 5 - 17 years]]</f>
        <v>203.81000000000003</v>
      </c>
      <c r="N7" s="19">
        <v>0.16300000000000001</v>
      </c>
      <c r="O7" s="715">
        <f>Table12[[#This Row],[Target(1-3)priority with REFUGEES]]*Table12[[#This Row],[% Female children aged 5 - 17 years]]</f>
        <v>186.63500000000002</v>
      </c>
      <c r="P7" s="19">
        <v>0.21799999999999997</v>
      </c>
      <c r="Q7" s="715">
        <f>Table12[[#This Row],[Target(1-3)priority with REFUGEES]]*Table12[[#This Row],[% Male adults aged 18 - 60]]</f>
        <v>249.60999999999996</v>
      </c>
      <c r="R7" s="19">
        <v>0.20300000000000001</v>
      </c>
      <c r="S7" s="715">
        <f>Table12[[#This Row],[Target(1-3)priority with REFUGEES]]*Table12[[#This Row],[% Female adults aged 18 - 60]]</f>
        <v>232.435</v>
      </c>
      <c r="T7" s="19">
        <v>3.2600000000000004E-2</v>
      </c>
      <c r="U7" s="715">
        <f>Table12[[#This Row],[Target(1-3)priority with REFUGEES]]*Table12[[#This Row],[% Male adults aged over 60]]</f>
        <v>37.327000000000005</v>
      </c>
      <c r="V7" s="19">
        <v>1.89E-2</v>
      </c>
      <c r="W7" s="715">
        <f>Table12[[#This Row],[Target(1-3)priority with REFUGEES]]*Table12[[#This Row],[% Female adults aged over 60]]</f>
        <v>21.640499999999999</v>
      </c>
      <c r="X7" s="412">
        <v>5746.5611650625005</v>
      </c>
      <c r="AA7" s="747" t="s">
        <v>519</v>
      </c>
      <c r="AB7" s="748" t="s">
        <v>534</v>
      </c>
      <c r="AC7" s="748" t="s">
        <v>524</v>
      </c>
      <c r="AD7" s="749" t="s">
        <v>521</v>
      </c>
      <c r="AH7" t="s">
        <v>244</v>
      </c>
      <c r="AI7" s="718">
        <f t="shared" si="1"/>
        <v>297.12750000000005</v>
      </c>
      <c r="AJ7" s="122">
        <f t="shared" si="2"/>
        <v>306.86</v>
      </c>
      <c r="AK7" s="122">
        <f>Table12[[#This Row],[No. of  Male adults aged 18 - 60]]</f>
        <v>249.60999999999996</v>
      </c>
      <c r="AL7" s="122">
        <f>Table12[[#This Row],[No. of Female adults aged 18 - 60]]</f>
        <v>232.435</v>
      </c>
      <c r="AM7" s="122">
        <f>Table12[[#This Row],[No. of Male adults aged over 60]]</f>
        <v>37.327000000000005</v>
      </c>
      <c r="AN7" s="719">
        <f>Table12[[#This Row],[No. Female adults aged over 60]]</f>
        <v>21.640499999999999</v>
      </c>
      <c r="AO7" s="122">
        <f t="shared" si="3"/>
        <v>1145</v>
      </c>
    </row>
    <row r="8" spans="1:41" ht="14.7" thickBot="1" x14ac:dyDescent="0.6">
      <c r="A8" t="s">
        <v>236</v>
      </c>
      <c r="B8" t="s">
        <v>246</v>
      </c>
      <c r="C8">
        <v>3</v>
      </c>
      <c r="D8">
        <v>4</v>
      </c>
      <c r="E8" s="22"/>
      <c r="F8" s="433">
        <v>0</v>
      </c>
      <c r="G8" s="433">
        <f>SUM(Table12[[#This Row],[Refugees]:[Target(1&amp;2)50% (3)priority]])</f>
        <v>0</v>
      </c>
      <c r="H8" s="19">
        <v>8.8499999999999995E-2</v>
      </c>
      <c r="I8" s="715">
        <f>Table12[[#This Row],[Target(1-3)priority with REFUGEES]]*Table12[[#This Row],[% Male children under 5]]</f>
        <v>0</v>
      </c>
      <c r="J8" s="19">
        <v>8.3099999999999993E-2</v>
      </c>
      <c r="K8" s="715">
        <f>Table12[[#This Row],[Target(1-3)priority with REFUGEES]]*Table12[[#This Row],[% Female children under 5]]</f>
        <v>0</v>
      </c>
      <c r="L8" s="19">
        <v>0.18099999999999997</v>
      </c>
      <c r="M8" s="715">
        <f>Table12[[#This Row],[Target(1-3)priority with REFUGEES]]*Table12[[#This Row],[% Male children aged 5 - 17 years]]</f>
        <v>0</v>
      </c>
      <c r="N8" s="19">
        <v>0.16400000000000001</v>
      </c>
      <c r="O8" s="715">
        <f>Table12[[#This Row],[Target(1-3)priority with REFUGEES]]*Table12[[#This Row],[% Female children aged 5 - 17 years]]</f>
        <v>0</v>
      </c>
      <c r="P8" s="19">
        <v>0.19339999999999999</v>
      </c>
      <c r="Q8" s="715">
        <f>Table12[[#This Row],[Target(1-3)priority with REFUGEES]]*Table12[[#This Row],[% Male adults aged 18 - 60]]</f>
        <v>0</v>
      </c>
      <c r="R8" s="19">
        <v>0.23100000000000001</v>
      </c>
      <c r="S8" s="715">
        <f>Table12[[#This Row],[Target(1-3)priority with REFUGEES]]*Table12[[#This Row],[% Female adults aged 18 - 60]]</f>
        <v>0</v>
      </c>
      <c r="T8" s="19">
        <v>1.8599999999999998E-2</v>
      </c>
      <c r="U8" s="715">
        <f>Table12[[#This Row],[Target(1-3)priority with REFUGEES]]*Table12[[#This Row],[% Male adults aged over 60]]</f>
        <v>0</v>
      </c>
      <c r="V8" s="19">
        <v>4.0399999999999998E-2</v>
      </c>
      <c r="W8" s="715">
        <f>Table12[[#This Row],[Target(1-3)priority with REFUGEES]]*Table12[[#This Row],[% Female adults aged over 60]]</f>
        <v>0</v>
      </c>
      <c r="X8" s="412">
        <v>11028.81316928478</v>
      </c>
      <c r="AA8" s="731" t="s">
        <v>519</v>
      </c>
      <c r="AB8" s="752">
        <f>U1/G1</f>
        <v>3.7482933443708157E-2</v>
      </c>
      <c r="AC8" s="752">
        <f>(Q1)/G1</f>
        <v>0.18709141900880044</v>
      </c>
      <c r="AD8" s="753">
        <f>(I1+M1)/G1</f>
        <v>0.27408335395716049</v>
      </c>
      <c r="AH8" t="s">
        <v>246</v>
      </c>
      <c r="AI8" s="718">
        <f t="shared" si="1"/>
        <v>0</v>
      </c>
      <c r="AJ8" s="122">
        <f t="shared" si="2"/>
        <v>0</v>
      </c>
      <c r="AK8" s="122">
        <f>Table12[[#This Row],[No. of  Male adults aged 18 - 60]]</f>
        <v>0</v>
      </c>
      <c r="AL8" s="122">
        <f>Table12[[#This Row],[No. of Female adults aged 18 - 60]]</f>
        <v>0</v>
      </c>
      <c r="AM8" s="122">
        <f>Table12[[#This Row],[No. of Male adults aged over 60]]</f>
        <v>0</v>
      </c>
      <c r="AN8" s="719">
        <f>Table12[[#This Row],[No. Female adults aged over 60]]</f>
        <v>0</v>
      </c>
      <c r="AO8" s="122">
        <f t="shared" si="3"/>
        <v>0</v>
      </c>
    </row>
    <row r="9" spans="1:41" x14ac:dyDescent="0.55000000000000004">
      <c r="A9" t="s">
        <v>236</v>
      </c>
      <c r="B9" t="s">
        <v>248</v>
      </c>
      <c r="C9">
        <v>3</v>
      </c>
      <c r="D9">
        <v>5</v>
      </c>
      <c r="E9" s="22">
        <v>1427</v>
      </c>
      <c r="F9" s="433">
        <v>0</v>
      </c>
      <c r="G9" s="433">
        <f>SUM(Table12[[#This Row],[Refugees]:[Target(1&amp;2)50% (3)priority]])</f>
        <v>1427</v>
      </c>
      <c r="H9" s="19">
        <v>9.3799999999999994E-2</v>
      </c>
      <c r="I9" s="715">
        <f>Table12[[#This Row],[Target(1-3)priority with REFUGEES]]*Table12[[#This Row],[% Male children under 5]]</f>
        <v>133.8526</v>
      </c>
      <c r="J9" s="19">
        <v>0.122</v>
      </c>
      <c r="K9" s="715">
        <f>Table12[[#This Row],[Target(1-3)priority with REFUGEES]]*Table12[[#This Row],[% Female children under 5]]</f>
        <v>174.09399999999999</v>
      </c>
      <c r="L9" s="19">
        <v>0.14600000000000002</v>
      </c>
      <c r="M9" s="715">
        <f>Table12[[#This Row],[Target(1-3)priority with REFUGEES]]*Table12[[#This Row],[% Male children aged 5 - 17 years]]</f>
        <v>208.34200000000001</v>
      </c>
      <c r="N9" s="19">
        <v>0.189</v>
      </c>
      <c r="O9" s="715">
        <f>Table12[[#This Row],[Target(1-3)priority with REFUGEES]]*Table12[[#This Row],[% Female children aged 5 - 17 years]]</f>
        <v>269.70299999999997</v>
      </c>
      <c r="P9" s="19">
        <v>0.17399999999999999</v>
      </c>
      <c r="Q9" s="715">
        <f>Table12[[#This Row],[Target(1-3)priority with REFUGEES]]*Table12[[#This Row],[% Male adults aged 18 - 60]]</f>
        <v>248.29799999999997</v>
      </c>
      <c r="R9" s="19">
        <v>0.193</v>
      </c>
      <c r="S9" s="715">
        <f>Table12[[#This Row],[Target(1-3)priority with REFUGEES]]*Table12[[#This Row],[% Female adults aged 18 - 60]]</f>
        <v>275.411</v>
      </c>
      <c r="T9" s="19">
        <v>5.3199999999999997E-2</v>
      </c>
      <c r="U9" s="715">
        <f>Table12[[#This Row],[Target(1-3)priority with REFUGEES]]*Table12[[#This Row],[% Male adults aged over 60]]</f>
        <v>75.916399999999996</v>
      </c>
      <c r="V9" s="19">
        <v>2.9000000000000001E-2</v>
      </c>
      <c r="W9" s="715">
        <f>Table12[[#This Row],[Target(1-3)priority with REFUGEES]]*Table12[[#This Row],[% Female adults aged over 60]]</f>
        <v>41.383000000000003</v>
      </c>
      <c r="X9" s="412">
        <v>307.2</v>
      </c>
      <c r="Z9" s="715"/>
      <c r="AH9" t="s">
        <v>248</v>
      </c>
      <c r="AI9" s="718">
        <f t="shared" si="1"/>
        <v>342.19460000000004</v>
      </c>
      <c r="AJ9" s="122">
        <f t="shared" si="2"/>
        <v>443.79699999999997</v>
      </c>
      <c r="AK9" s="122">
        <f>Table12[[#This Row],[No. of  Male adults aged 18 - 60]]</f>
        <v>248.29799999999997</v>
      </c>
      <c r="AL9" s="122">
        <f>Table12[[#This Row],[No. of Female adults aged 18 - 60]]</f>
        <v>275.411</v>
      </c>
      <c r="AM9" s="122">
        <f>Table12[[#This Row],[No. of Male adults aged over 60]]</f>
        <v>75.916399999999996</v>
      </c>
      <c r="AN9" s="719">
        <f>Table12[[#This Row],[No. Female adults aged over 60]]</f>
        <v>41.383000000000003</v>
      </c>
      <c r="AO9" s="122">
        <f t="shared" si="3"/>
        <v>1427.0000000000002</v>
      </c>
    </row>
    <row r="10" spans="1:41" x14ac:dyDescent="0.55000000000000004">
      <c r="A10" t="s">
        <v>250</v>
      </c>
      <c r="B10" t="s">
        <v>252</v>
      </c>
      <c r="C10">
        <v>3</v>
      </c>
      <c r="D10">
        <v>4</v>
      </c>
      <c r="E10" s="22"/>
      <c r="F10" s="433">
        <v>0</v>
      </c>
      <c r="G10" s="433">
        <f>SUM(Table12[[#This Row],[Refugees]:[Target(1&amp;2)50% (3)priority]])</f>
        <v>0</v>
      </c>
      <c r="H10" s="19">
        <v>0.1036</v>
      </c>
      <c r="I10" s="715">
        <f>Table12[[#This Row],[Target(1-3)priority with REFUGEES]]*Table12[[#This Row],[% Male children under 5]]</f>
        <v>0</v>
      </c>
      <c r="J10" s="19">
        <v>9.7799999999999998E-2</v>
      </c>
      <c r="K10" s="715">
        <f>Table12[[#This Row],[Target(1-3)priority with REFUGEES]]*Table12[[#This Row],[% Female children under 5]]</f>
        <v>0</v>
      </c>
      <c r="L10" s="19">
        <v>0.189</v>
      </c>
      <c r="M10" s="715">
        <f>Table12[[#This Row],[Target(1-3)priority with REFUGEES]]*Table12[[#This Row],[% Male children aged 5 - 17 years]]</f>
        <v>0</v>
      </c>
      <c r="N10" s="19">
        <v>0.17299999999999999</v>
      </c>
      <c r="O10" s="715">
        <f>Table12[[#This Row],[Target(1-3)priority with REFUGEES]]*Table12[[#This Row],[% Female children aged 5 - 17 years]]</f>
        <v>0</v>
      </c>
      <c r="P10" s="19">
        <v>0.16</v>
      </c>
      <c r="Q10" s="715">
        <f>Table12[[#This Row],[Target(1-3)priority with REFUGEES]]*Table12[[#This Row],[% Male adults aged 18 - 60]]</f>
        <v>0</v>
      </c>
      <c r="R10" s="19">
        <v>0.22</v>
      </c>
      <c r="S10" s="715">
        <f>Table12[[#This Row],[Target(1-3)priority with REFUGEES]]*Table12[[#This Row],[% Female adults aged 18 - 60]]</f>
        <v>0</v>
      </c>
      <c r="T10" s="19">
        <v>1.8099999999999998E-2</v>
      </c>
      <c r="U10" s="715">
        <f>Table12[[#This Row],[Target(1-3)priority with REFUGEES]]*Table12[[#This Row],[% Male adults aged over 60]]</f>
        <v>0</v>
      </c>
      <c r="V10" s="19">
        <v>3.85E-2</v>
      </c>
      <c r="W10" s="715">
        <f>Table12[[#This Row],[Target(1-3)priority with REFUGEES]]*Table12[[#This Row],[% Female adults aged over 60]]</f>
        <v>0</v>
      </c>
      <c r="X10" s="412">
        <v>0</v>
      </c>
      <c r="Z10" s="715"/>
      <c r="AH10" t="s">
        <v>252</v>
      </c>
      <c r="AI10" s="718">
        <f t="shared" si="1"/>
        <v>0</v>
      </c>
      <c r="AJ10" s="122">
        <f t="shared" si="2"/>
        <v>0</v>
      </c>
      <c r="AK10" s="122">
        <f>Table12[[#This Row],[No. of  Male adults aged 18 - 60]]</f>
        <v>0</v>
      </c>
      <c r="AL10" s="122">
        <f>Table12[[#This Row],[No. of Female adults aged 18 - 60]]</f>
        <v>0</v>
      </c>
      <c r="AM10" s="122">
        <f>Table12[[#This Row],[No. of Male adults aged over 60]]</f>
        <v>0</v>
      </c>
      <c r="AN10" s="719">
        <f>Table12[[#This Row],[No. Female adults aged over 60]]</f>
        <v>0</v>
      </c>
      <c r="AO10" s="122">
        <f t="shared" si="3"/>
        <v>0</v>
      </c>
    </row>
    <row r="11" spans="1:41" x14ac:dyDescent="0.55000000000000004">
      <c r="A11" t="s">
        <v>250</v>
      </c>
      <c r="B11" t="s">
        <v>254</v>
      </c>
      <c r="C11">
        <v>3</v>
      </c>
      <c r="D11">
        <v>4</v>
      </c>
      <c r="E11" s="22"/>
      <c r="F11" s="433">
        <v>0</v>
      </c>
      <c r="G11" s="433">
        <f>SUM(Table12[[#This Row],[Refugees]:[Target(1&amp;2)50% (3)priority]])</f>
        <v>0</v>
      </c>
      <c r="H11" s="19">
        <v>0.11609999999999999</v>
      </c>
      <c r="I11" s="715">
        <f>Table12[[#This Row],[Target(1-3)priority with REFUGEES]]*Table12[[#This Row],[% Male children under 5]]</f>
        <v>0</v>
      </c>
      <c r="J11" s="19">
        <v>0.105</v>
      </c>
      <c r="K11" s="715">
        <f>Table12[[#This Row],[Target(1-3)priority with REFUGEES]]*Table12[[#This Row],[% Female children under 5]]</f>
        <v>0</v>
      </c>
      <c r="L11" s="19">
        <v>0.158</v>
      </c>
      <c r="M11" s="715">
        <f>Table12[[#This Row],[Target(1-3)priority with REFUGEES]]*Table12[[#This Row],[% Male children aged 5 - 17 years]]</f>
        <v>0</v>
      </c>
      <c r="N11" s="19">
        <v>0.156</v>
      </c>
      <c r="O11" s="715">
        <f>Table12[[#This Row],[Target(1-3)priority with REFUGEES]]*Table12[[#This Row],[% Female children aged 5 - 17 years]]</f>
        <v>0</v>
      </c>
      <c r="P11" s="19">
        <v>0.17100000000000001</v>
      </c>
      <c r="Q11" s="715">
        <f>Table12[[#This Row],[Target(1-3)priority with REFUGEES]]*Table12[[#This Row],[% Male adults aged 18 - 60]]</f>
        <v>0</v>
      </c>
      <c r="R11" s="19">
        <v>0.218</v>
      </c>
      <c r="S11" s="715">
        <f>Table12[[#This Row],[Target(1-3)priority with REFUGEES]]*Table12[[#This Row],[% Female adults aged 18 - 60]]</f>
        <v>0</v>
      </c>
      <c r="T11" s="19">
        <v>2.7799999999999998E-2</v>
      </c>
      <c r="U11" s="715">
        <f>Table12[[#This Row],[Target(1-3)priority with REFUGEES]]*Table12[[#This Row],[% Male adults aged over 60]]</f>
        <v>0</v>
      </c>
      <c r="V11" s="19">
        <v>4.8099999999999997E-2</v>
      </c>
      <c r="W11" s="715">
        <f>Table12[[#This Row],[Target(1-3)priority with REFUGEES]]*Table12[[#This Row],[% Female adults aged over 60]]</f>
        <v>0</v>
      </c>
      <c r="X11" s="412">
        <v>0</v>
      </c>
      <c r="Z11" s="715"/>
      <c r="AH11" t="s">
        <v>254</v>
      </c>
      <c r="AI11" s="718">
        <f t="shared" si="1"/>
        <v>0</v>
      </c>
      <c r="AJ11" s="122">
        <f t="shared" si="2"/>
        <v>0</v>
      </c>
      <c r="AK11" s="122">
        <f>Table12[[#This Row],[No. of  Male adults aged 18 - 60]]</f>
        <v>0</v>
      </c>
      <c r="AL11" s="122">
        <f>Table12[[#This Row],[No. of Female adults aged 18 - 60]]</f>
        <v>0</v>
      </c>
      <c r="AM11" s="122">
        <f>Table12[[#This Row],[No. of Male adults aged over 60]]</f>
        <v>0</v>
      </c>
      <c r="AN11" s="719">
        <f>Table12[[#This Row],[No. Female adults aged over 60]]</f>
        <v>0</v>
      </c>
      <c r="AO11" s="122">
        <f t="shared" si="3"/>
        <v>0</v>
      </c>
    </row>
    <row r="12" spans="1:41" x14ac:dyDescent="0.55000000000000004">
      <c r="A12" t="s">
        <v>250</v>
      </c>
      <c r="B12" t="s">
        <v>256</v>
      </c>
      <c r="C12">
        <v>3</v>
      </c>
      <c r="D12">
        <v>2</v>
      </c>
      <c r="E12" s="22"/>
      <c r="F12" s="433">
        <v>79362.006757069437</v>
      </c>
      <c r="G12" s="433">
        <f>SUM(Table12[[#This Row],[Refugees]:[Target(1&amp;2)50% (3)priority]])</f>
        <v>79362.006757069437</v>
      </c>
      <c r="H12" s="19">
        <v>0.13200000000000001</v>
      </c>
      <c r="I12" s="715">
        <f>Table12[[#This Row],[Target(1-3)priority with REFUGEES]]*Table12[[#This Row],[% Male children under 5]]</f>
        <v>10475.784891933166</v>
      </c>
      <c r="J12" s="19">
        <v>8.7099999999999997E-2</v>
      </c>
      <c r="K12" s="715">
        <f>Table12[[#This Row],[Target(1-3)priority with REFUGEES]]*Table12[[#This Row],[% Female children under 5]]</f>
        <v>6912.4307885407479</v>
      </c>
      <c r="L12" s="19">
        <v>0.1716</v>
      </c>
      <c r="M12" s="715">
        <f>Table12[[#This Row],[Target(1-3)priority with REFUGEES]]*Table12[[#This Row],[% Male children aged 5 - 17 years]]</f>
        <v>13618.520359513115</v>
      </c>
      <c r="N12" s="19">
        <v>0.17</v>
      </c>
      <c r="O12" s="715">
        <f>Table12[[#This Row],[Target(1-3)priority with REFUGEES]]*Table12[[#This Row],[% Female children aged 5 - 17 years]]</f>
        <v>13491.541148701805</v>
      </c>
      <c r="P12" s="19">
        <v>0.19300000000000003</v>
      </c>
      <c r="Q12" s="715">
        <f>Table12[[#This Row],[Target(1-3)priority with REFUGEES]]*Table12[[#This Row],[% Male adults aged 18 - 60]]</f>
        <v>15316.867304114405</v>
      </c>
      <c r="R12" s="19">
        <v>0.21099999999999999</v>
      </c>
      <c r="S12" s="715">
        <f>Table12[[#This Row],[Target(1-3)priority with REFUGEES]]*Table12[[#This Row],[% Female adults aged 18 - 60]]</f>
        <v>16745.383425741649</v>
      </c>
      <c r="T12" s="19">
        <v>1.9199999999999998E-2</v>
      </c>
      <c r="U12" s="715">
        <f>Table12[[#This Row],[Target(1-3)priority with REFUGEES]]*Table12[[#This Row],[% Male adults aged over 60]]</f>
        <v>1523.7505297357332</v>
      </c>
      <c r="V12" s="19">
        <v>1.61E-2</v>
      </c>
      <c r="W12" s="715">
        <f>Table12[[#This Row],[Target(1-3)priority with REFUGEES]]*Table12[[#This Row],[% Female adults aged over 60]]</f>
        <v>1277.7283087888179</v>
      </c>
      <c r="X12" s="412">
        <v>9539.2005498736016</v>
      </c>
      <c r="Z12" s="715"/>
      <c r="AH12" t="s">
        <v>256</v>
      </c>
      <c r="AI12" s="718">
        <f t="shared" si="1"/>
        <v>24094.305251446283</v>
      </c>
      <c r="AJ12" s="122">
        <f t="shared" si="2"/>
        <v>20403.971937242553</v>
      </c>
      <c r="AK12" s="122">
        <f>Table12[[#This Row],[No. of  Male adults aged 18 - 60]]</f>
        <v>15316.867304114405</v>
      </c>
      <c r="AL12" s="122">
        <f>Table12[[#This Row],[No. of Female adults aged 18 - 60]]</f>
        <v>16745.383425741649</v>
      </c>
      <c r="AM12" s="122">
        <f>Table12[[#This Row],[No. of Male adults aged over 60]]</f>
        <v>1523.7505297357332</v>
      </c>
      <c r="AN12" s="719">
        <f>Table12[[#This Row],[No. Female adults aged over 60]]</f>
        <v>1277.7283087888179</v>
      </c>
      <c r="AO12" s="122">
        <f t="shared" si="3"/>
        <v>79362.006757069437</v>
      </c>
    </row>
    <row r="13" spans="1:41" x14ac:dyDescent="0.55000000000000004">
      <c r="A13" t="s">
        <v>250</v>
      </c>
      <c r="B13" t="s">
        <v>258</v>
      </c>
      <c r="C13">
        <v>3</v>
      </c>
      <c r="D13">
        <v>3</v>
      </c>
      <c r="E13" s="22"/>
      <c r="F13" s="433">
        <v>28389.855246486957</v>
      </c>
      <c r="G13" s="433">
        <f>SUM(Table12[[#This Row],[Refugees]:[Target(1&amp;2)50% (3)priority]])</f>
        <v>28389.855246486957</v>
      </c>
      <c r="H13" s="19">
        <v>0.109</v>
      </c>
      <c r="I13" s="715">
        <f>Table12[[#This Row],[Target(1-3)priority with REFUGEES]]*Table12[[#This Row],[% Male children under 5]]</f>
        <v>3094.4942218670785</v>
      </c>
      <c r="J13" s="19">
        <v>0.107</v>
      </c>
      <c r="K13" s="715">
        <f>Table12[[#This Row],[Target(1-3)priority with REFUGEES]]*Table12[[#This Row],[% Female children under 5]]</f>
        <v>3037.7145113741044</v>
      </c>
      <c r="L13" s="19">
        <v>0.21199999999999999</v>
      </c>
      <c r="M13" s="715">
        <f>Table12[[#This Row],[Target(1-3)priority with REFUGEES]]*Table12[[#This Row],[% Male children aged 5 - 17 years]]</f>
        <v>6018.6493122552347</v>
      </c>
      <c r="N13" s="19">
        <v>0.16700000000000001</v>
      </c>
      <c r="O13" s="715">
        <f>Table12[[#This Row],[Target(1-3)priority with REFUGEES]]*Table12[[#This Row],[% Female children aged 5 - 17 years]]</f>
        <v>4741.1058261633225</v>
      </c>
      <c r="P13" s="19">
        <v>0.16200000000000001</v>
      </c>
      <c r="Q13" s="715">
        <f>Table12[[#This Row],[Target(1-3)priority with REFUGEES]]*Table12[[#This Row],[% Male adults aged 18 - 60]]</f>
        <v>4599.1565499308872</v>
      </c>
      <c r="R13" s="19">
        <v>0.17100000000000001</v>
      </c>
      <c r="S13" s="715">
        <f>Table12[[#This Row],[Target(1-3)priority with REFUGEES]]*Table12[[#This Row],[% Female adults aged 18 - 60]]</f>
        <v>4854.6652471492698</v>
      </c>
      <c r="T13" s="19">
        <v>3.4299999999999997E-2</v>
      </c>
      <c r="U13" s="715">
        <f>Table12[[#This Row],[Target(1-3)priority with REFUGEES]]*Table12[[#This Row],[% Male adults aged over 60]]</f>
        <v>973.7720349545026</v>
      </c>
      <c r="V13" s="19">
        <v>3.7699999999999997E-2</v>
      </c>
      <c r="W13" s="715">
        <f>Table12[[#This Row],[Target(1-3)priority with REFUGEES]]*Table12[[#This Row],[% Female adults aged over 60]]</f>
        <v>1070.2975427925583</v>
      </c>
      <c r="X13" s="412">
        <v>8159.1581116846401</v>
      </c>
      <c r="Z13" s="715"/>
      <c r="AH13" t="s">
        <v>258</v>
      </c>
      <c r="AI13" s="718">
        <f t="shared" si="1"/>
        <v>9113.1435341223132</v>
      </c>
      <c r="AJ13" s="122">
        <f t="shared" si="2"/>
        <v>7778.8203375374269</v>
      </c>
      <c r="AK13" s="122">
        <f>Table12[[#This Row],[No. of  Male adults aged 18 - 60]]</f>
        <v>4599.1565499308872</v>
      </c>
      <c r="AL13" s="122">
        <f>Table12[[#This Row],[No. of Female adults aged 18 - 60]]</f>
        <v>4854.6652471492698</v>
      </c>
      <c r="AM13" s="122">
        <f>Table12[[#This Row],[No. of Male adults aged over 60]]</f>
        <v>973.7720349545026</v>
      </c>
      <c r="AN13" s="719">
        <f>Table12[[#This Row],[No. Female adults aged over 60]]</f>
        <v>1070.2975427925583</v>
      </c>
      <c r="AO13" s="122">
        <f t="shared" si="3"/>
        <v>28389.855246486957</v>
      </c>
    </row>
    <row r="14" spans="1:41" x14ac:dyDescent="0.55000000000000004">
      <c r="A14" t="s">
        <v>250</v>
      </c>
      <c r="B14" t="s">
        <v>260</v>
      </c>
      <c r="C14">
        <v>3</v>
      </c>
      <c r="D14">
        <v>3</v>
      </c>
      <c r="E14" s="22"/>
      <c r="F14" s="433">
        <v>41720.362051011689</v>
      </c>
      <c r="G14" s="433">
        <f>SUM(Table12[[#This Row],[Refugees]:[Target(1&amp;2)50% (3)priority]])</f>
        <v>41720.362051011689</v>
      </c>
      <c r="H14" s="19">
        <v>9.2999999999999999E-2</v>
      </c>
      <c r="I14" s="715">
        <f>Table12[[#This Row],[Target(1-3)priority with REFUGEES]]*Table12[[#This Row],[% Male children under 5]]</f>
        <v>3879.993670744087</v>
      </c>
      <c r="J14" s="19">
        <v>0.10199999999999999</v>
      </c>
      <c r="K14" s="715">
        <f>Table12[[#This Row],[Target(1-3)priority with REFUGEES]]*Table12[[#This Row],[% Female children under 5]]</f>
        <v>4255.4769292031924</v>
      </c>
      <c r="L14" s="19">
        <v>0.21879999999999999</v>
      </c>
      <c r="M14" s="715">
        <f>Table12[[#This Row],[Target(1-3)priority with REFUGEES]]*Table12[[#This Row],[% Male children aged 5 - 17 years]]</f>
        <v>9128.4152167613574</v>
      </c>
      <c r="N14" s="19">
        <v>0.20499999999999999</v>
      </c>
      <c r="O14" s="715">
        <f>Table12[[#This Row],[Target(1-3)priority with REFUGEES]]*Table12[[#This Row],[% Female children aged 5 - 17 years]]</f>
        <v>8552.6742204573966</v>
      </c>
      <c r="P14" s="19">
        <v>0.183</v>
      </c>
      <c r="Q14" s="715">
        <f>Table12[[#This Row],[Target(1-3)priority with REFUGEES]]*Table12[[#This Row],[% Male adults aged 18 - 60]]</f>
        <v>7634.8262553351387</v>
      </c>
      <c r="R14" s="19">
        <v>0.188</v>
      </c>
      <c r="S14" s="715">
        <f>Table12[[#This Row],[Target(1-3)priority with REFUGEES]]*Table12[[#This Row],[% Female adults aged 18 - 60]]</f>
        <v>7843.4280655901975</v>
      </c>
      <c r="T14" s="19">
        <v>6.2600000000000008E-3</v>
      </c>
      <c r="U14" s="715">
        <f>Table12[[#This Row],[Target(1-3)priority with REFUGEES]]*Table12[[#This Row],[% Male adults aged over 60]]</f>
        <v>261.16946643933318</v>
      </c>
      <c r="V14" s="19">
        <v>3.9399999999999999E-3</v>
      </c>
      <c r="W14" s="715">
        <f>Table12[[#This Row],[Target(1-3)priority with REFUGEES]]*Table12[[#This Row],[% Female adults aged over 60]]</f>
        <v>164.37822648098606</v>
      </c>
      <c r="X14" s="412">
        <v>0</v>
      </c>
      <c r="Z14" s="715"/>
      <c r="AH14" t="s">
        <v>260</v>
      </c>
      <c r="AI14" s="718">
        <f t="shared" si="1"/>
        <v>13008.408887505444</v>
      </c>
      <c r="AJ14" s="122">
        <f t="shared" si="2"/>
        <v>12808.151149660589</v>
      </c>
      <c r="AK14" s="122">
        <f>Table12[[#This Row],[No. of  Male adults aged 18 - 60]]</f>
        <v>7634.8262553351387</v>
      </c>
      <c r="AL14" s="122">
        <f>Table12[[#This Row],[No. of Female adults aged 18 - 60]]</f>
        <v>7843.4280655901975</v>
      </c>
      <c r="AM14" s="122">
        <f>Table12[[#This Row],[No. of Male adults aged over 60]]</f>
        <v>261.16946643933318</v>
      </c>
      <c r="AN14" s="719">
        <f>Table12[[#This Row],[No. Female adults aged over 60]]</f>
        <v>164.37822648098606</v>
      </c>
      <c r="AO14" s="122">
        <f t="shared" si="3"/>
        <v>41720.362051011689</v>
      </c>
    </row>
    <row r="15" spans="1:41" x14ac:dyDescent="0.55000000000000004">
      <c r="A15" t="s">
        <v>250</v>
      </c>
      <c r="B15" t="s">
        <v>262</v>
      </c>
      <c r="C15">
        <v>3</v>
      </c>
      <c r="D15">
        <v>3</v>
      </c>
      <c r="E15" s="22"/>
      <c r="F15" s="433">
        <v>28425.10917057042</v>
      </c>
      <c r="G15" s="433">
        <f>SUM(Table12[[#This Row],[Refugees]:[Target(1&amp;2)50% (3)priority]])</f>
        <v>28425.10917057042</v>
      </c>
      <c r="H15" s="19">
        <v>0.121</v>
      </c>
      <c r="I15" s="715">
        <f>Table12[[#This Row],[Target(1-3)priority with REFUGEES]]*Table12[[#This Row],[% Male children under 5]]</f>
        <v>3439.4382096390209</v>
      </c>
      <c r="J15" s="19">
        <v>0.13500000000000001</v>
      </c>
      <c r="K15" s="715">
        <f>Table12[[#This Row],[Target(1-3)priority with REFUGEES]]*Table12[[#This Row],[% Female children under 5]]</f>
        <v>3837.3897380270068</v>
      </c>
      <c r="L15" s="19">
        <v>0.14600000000000002</v>
      </c>
      <c r="M15" s="715">
        <f>Table12[[#This Row],[Target(1-3)priority with REFUGEES]]*Table12[[#This Row],[% Male children aged 5 - 17 years]]</f>
        <v>4150.0659389032817</v>
      </c>
      <c r="N15" s="19">
        <v>0.184</v>
      </c>
      <c r="O15" s="715">
        <f>Table12[[#This Row],[Target(1-3)priority with REFUGEES]]*Table12[[#This Row],[% Female children aged 5 - 17 years]]</f>
        <v>5230.220087384957</v>
      </c>
      <c r="P15" s="19">
        <v>0.188</v>
      </c>
      <c r="Q15" s="715">
        <f>Table12[[#This Row],[Target(1-3)priority with REFUGEES]]*Table12[[#This Row],[% Male adults aged 18 - 60]]</f>
        <v>5343.9205240672391</v>
      </c>
      <c r="R15" s="19">
        <v>0.193</v>
      </c>
      <c r="S15" s="715">
        <f>Table12[[#This Row],[Target(1-3)priority with REFUGEES]]*Table12[[#This Row],[% Female adults aged 18 - 60]]</f>
        <v>5486.0460699200912</v>
      </c>
      <c r="T15" s="19">
        <v>9.0000000000000011E-3</v>
      </c>
      <c r="U15" s="715">
        <f>Table12[[#This Row],[Target(1-3)priority with REFUGEES]]*Table12[[#This Row],[% Male adults aged over 60]]</f>
        <v>255.82598253513382</v>
      </c>
      <c r="V15" s="19">
        <v>2.4E-2</v>
      </c>
      <c r="W15" s="715">
        <f>Table12[[#This Row],[Target(1-3)priority with REFUGEES]]*Table12[[#This Row],[% Female adults aged over 60]]</f>
        <v>682.20262009369014</v>
      </c>
      <c r="X15" s="412">
        <v>8312.0249999999996</v>
      </c>
      <c r="Z15" s="715"/>
      <c r="AH15" t="s">
        <v>262</v>
      </c>
      <c r="AI15" s="718">
        <f t="shared" si="1"/>
        <v>7589.5041485423026</v>
      </c>
      <c r="AJ15" s="122">
        <f t="shared" si="2"/>
        <v>9067.6098254119643</v>
      </c>
      <c r="AK15" s="122">
        <f>Table12[[#This Row],[No. of  Male adults aged 18 - 60]]</f>
        <v>5343.9205240672391</v>
      </c>
      <c r="AL15" s="122">
        <f>Table12[[#This Row],[No. of Female adults aged 18 - 60]]</f>
        <v>5486.0460699200912</v>
      </c>
      <c r="AM15" s="122">
        <f>Table12[[#This Row],[No. of Male adults aged over 60]]</f>
        <v>255.82598253513382</v>
      </c>
      <c r="AN15" s="719">
        <f>Table12[[#This Row],[No. Female adults aged over 60]]</f>
        <v>682.20262009369014</v>
      </c>
      <c r="AO15" s="122">
        <f t="shared" si="3"/>
        <v>28425.10917057042</v>
      </c>
    </row>
    <row r="16" spans="1:41" x14ac:dyDescent="0.55000000000000004">
      <c r="A16" t="s">
        <v>250</v>
      </c>
      <c r="B16" t="s">
        <v>264</v>
      </c>
      <c r="C16">
        <v>3</v>
      </c>
      <c r="D16">
        <v>4</v>
      </c>
      <c r="E16" s="22"/>
      <c r="F16" s="433">
        <v>0</v>
      </c>
      <c r="G16" s="433">
        <f>SUM(Table12[[#This Row],[Refugees]:[Target(1&amp;2)50% (3)priority]])</f>
        <v>0</v>
      </c>
      <c r="H16" s="19">
        <v>0.13</v>
      </c>
      <c r="I16" s="715">
        <f>Table12[[#This Row],[Target(1-3)priority with REFUGEES]]*Table12[[#This Row],[% Male children under 5]]</f>
        <v>0</v>
      </c>
      <c r="J16" s="19">
        <v>9.1800000000000007E-2</v>
      </c>
      <c r="K16" s="715">
        <f>Table12[[#This Row],[Target(1-3)priority with REFUGEES]]*Table12[[#This Row],[% Female children under 5]]</f>
        <v>0</v>
      </c>
      <c r="L16" s="19">
        <v>0.16370000000000001</v>
      </c>
      <c r="M16" s="715">
        <f>Table12[[#This Row],[Target(1-3)priority with REFUGEES]]*Table12[[#This Row],[% Male children aged 5 - 17 years]]</f>
        <v>0</v>
      </c>
      <c r="N16" s="19">
        <v>0.14799999999999999</v>
      </c>
      <c r="O16" s="715">
        <f>Table12[[#This Row],[Target(1-3)priority with REFUGEES]]*Table12[[#This Row],[% Female children aged 5 - 17 years]]</f>
        <v>0</v>
      </c>
      <c r="P16" s="19">
        <v>0.185</v>
      </c>
      <c r="Q16" s="715">
        <f>Table12[[#This Row],[Target(1-3)priority with REFUGEES]]*Table12[[#This Row],[% Male adults aged 18 - 60]]</f>
        <v>0</v>
      </c>
      <c r="R16" s="19">
        <v>0.20300000000000001</v>
      </c>
      <c r="S16" s="715">
        <f>Table12[[#This Row],[Target(1-3)priority with REFUGEES]]*Table12[[#This Row],[% Female adults aged 18 - 60]]</f>
        <v>0</v>
      </c>
      <c r="T16" s="19">
        <v>3.4299999999999997E-2</v>
      </c>
      <c r="U16" s="715">
        <f>Table12[[#This Row],[Target(1-3)priority with REFUGEES]]*Table12[[#This Row],[% Male adults aged over 60]]</f>
        <v>0</v>
      </c>
      <c r="V16" s="19">
        <v>4.4200000000000003E-2</v>
      </c>
      <c r="W16" s="715">
        <f>Table12[[#This Row],[Target(1-3)priority with REFUGEES]]*Table12[[#This Row],[% Female adults aged over 60]]</f>
        <v>0</v>
      </c>
      <c r="X16" s="412">
        <v>0</v>
      </c>
      <c r="Z16" s="715"/>
      <c r="AH16" t="s">
        <v>264</v>
      </c>
      <c r="AI16" s="718">
        <f t="shared" si="1"/>
        <v>0</v>
      </c>
      <c r="AJ16" s="122">
        <f t="shared" si="2"/>
        <v>0</v>
      </c>
      <c r="AK16" s="122">
        <f>Table12[[#This Row],[No. of  Male adults aged 18 - 60]]</f>
        <v>0</v>
      </c>
      <c r="AL16" s="122">
        <f>Table12[[#This Row],[No. of Female adults aged 18 - 60]]</f>
        <v>0</v>
      </c>
      <c r="AM16" s="122">
        <f>Table12[[#This Row],[No. of Male adults aged over 60]]</f>
        <v>0</v>
      </c>
      <c r="AN16" s="719">
        <f>Table12[[#This Row],[No. Female adults aged over 60]]</f>
        <v>0</v>
      </c>
      <c r="AO16" s="122">
        <f t="shared" si="3"/>
        <v>0</v>
      </c>
    </row>
    <row r="17" spans="1:41" x14ac:dyDescent="0.55000000000000004">
      <c r="A17" t="s">
        <v>250</v>
      </c>
      <c r="B17" t="s">
        <v>266</v>
      </c>
      <c r="C17">
        <v>3</v>
      </c>
      <c r="D17">
        <v>4</v>
      </c>
      <c r="E17" s="22"/>
      <c r="F17" s="433">
        <v>0</v>
      </c>
      <c r="G17" s="433">
        <f>SUM(Table12[[#This Row],[Refugees]:[Target(1&amp;2)50% (3)priority]])</f>
        <v>0</v>
      </c>
      <c r="H17" s="19">
        <v>0.107</v>
      </c>
      <c r="I17" s="715">
        <f>Table12[[#This Row],[Target(1-3)priority with REFUGEES]]*Table12[[#This Row],[% Male children under 5]]</f>
        <v>0</v>
      </c>
      <c r="J17" s="19">
        <v>0.11700000000000001</v>
      </c>
      <c r="K17" s="715">
        <f>Table12[[#This Row],[Target(1-3)priority with REFUGEES]]*Table12[[#This Row],[% Female children under 5]]</f>
        <v>0</v>
      </c>
      <c r="L17" s="19">
        <v>0.14699999999999999</v>
      </c>
      <c r="M17" s="715">
        <f>Table12[[#This Row],[Target(1-3)priority with REFUGEES]]*Table12[[#This Row],[% Male children aged 5 - 17 years]]</f>
        <v>0</v>
      </c>
      <c r="N17" s="19">
        <v>0.184</v>
      </c>
      <c r="O17" s="715">
        <f>Table12[[#This Row],[Target(1-3)priority with REFUGEES]]*Table12[[#This Row],[% Female children aged 5 - 17 years]]</f>
        <v>0</v>
      </c>
      <c r="P17" s="19">
        <v>0.19900000000000004</v>
      </c>
      <c r="Q17" s="715">
        <f>Table12[[#This Row],[Target(1-3)priority with REFUGEES]]*Table12[[#This Row],[% Male adults aged 18 - 60]]</f>
        <v>0</v>
      </c>
      <c r="R17" s="19">
        <v>0.20699999999999999</v>
      </c>
      <c r="S17" s="715">
        <f>Table12[[#This Row],[Target(1-3)priority with REFUGEES]]*Table12[[#This Row],[% Female adults aged 18 - 60]]</f>
        <v>0</v>
      </c>
      <c r="T17" s="19">
        <v>1.0999999999999999E-2</v>
      </c>
      <c r="U17" s="715">
        <f>Table12[[#This Row],[Target(1-3)priority with REFUGEES]]*Table12[[#This Row],[% Male adults aged over 60]]</f>
        <v>0</v>
      </c>
      <c r="V17" s="19">
        <v>2.8000000000000001E-2</v>
      </c>
      <c r="W17" s="715">
        <f>Table12[[#This Row],[Target(1-3)priority with REFUGEES]]*Table12[[#This Row],[% Female adults aged over 60]]</f>
        <v>0</v>
      </c>
      <c r="X17" s="412">
        <v>0</v>
      </c>
      <c r="Z17" s="715"/>
      <c r="AH17" t="s">
        <v>266</v>
      </c>
      <c r="AI17" s="718">
        <f t="shared" si="1"/>
        <v>0</v>
      </c>
      <c r="AJ17" s="122">
        <f t="shared" si="2"/>
        <v>0</v>
      </c>
      <c r="AK17" s="122">
        <f>Table12[[#This Row],[No. of  Male adults aged 18 - 60]]</f>
        <v>0</v>
      </c>
      <c r="AL17" s="122">
        <f>Table12[[#This Row],[No. of Female adults aged 18 - 60]]</f>
        <v>0</v>
      </c>
      <c r="AM17" s="122">
        <f>Table12[[#This Row],[No. of Male adults aged over 60]]</f>
        <v>0</v>
      </c>
      <c r="AN17" s="719">
        <f>Table12[[#This Row],[No. Female adults aged over 60]]</f>
        <v>0</v>
      </c>
      <c r="AO17" s="122">
        <f t="shared" si="3"/>
        <v>0</v>
      </c>
    </row>
    <row r="18" spans="1:41" x14ac:dyDescent="0.55000000000000004">
      <c r="A18" t="s">
        <v>268</v>
      </c>
      <c r="B18" t="s">
        <v>270</v>
      </c>
      <c r="C18">
        <v>4</v>
      </c>
      <c r="D18">
        <v>1</v>
      </c>
      <c r="E18" s="22"/>
      <c r="F18" s="433">
        <v>112167.40300988813</v>
      </c>
      <c r="G18" s="433">
        <f>SUM(Table12[[#This Row],[Refugees]:[Target(1&amp;2)50% (3)priority]])</f>
        <v>112167.40300988813</v>
      </c>
      <c r="H18" s="19">
        <v>9.3700000000000006E-2</v>
      </c>
      <c r="I18" s="715">
        <f>Table12[[#This Row],[Target(1-3)priority with REFUGEES]]*Table12[[#This Row],[% Male children under 5]]</f>
        <v>10510.085662026519</v>
      </c>
      <c r="J18" s="19">
        <v>7.6600000000000001E-2</v>
      </c>
      <c r="K18" s="715">
        <f>Table12[[#This Row],[Target(1-3)priority with REFUGEES]]*Table12[[#This Row],[% Female children under 5]]</f>
        <v>8592.0230705574304</v>
      </c>
      <c r="L18" s="19">
        <v>0.17700000000000002</v>
      </c>
      <c r="M18" s="715">
        <f>Table12[[#This Row],[Target(1-3)priority with REFUGEES]]*Table12[[#This Row],[% Male children aged 5 - 17 years]]</f>
        <v>19853.630332750203</v>
      </c>
      <c r="N18" s="19">
        <v>0.159</v>
      </c>
      <c r="O18" s="715">
        <f>Table12[[#This Row],[Target(1-3)priority with REFUGEES]]*Table12[[#This Row],[% Female children aged 5 - 17 years]]</f>
        <v>17834.617078572213</v>
      </c>
      <c r="P18" s="19">
        <v>0.1767</v>
      </c>
      <c r="Q18" s="715">
        <f>Table12[[#This Row],[Target(1-3)priority with REFUGEES]]*Table12[[#This Row],[% Male adults aged 18 - 60]]</f>
        <v>19819.980111847231</v>
      </c>
      <c r="R18" s="19">
        <v>0.21</v>
      </c>
      <c r="S18" s="715">
        <f>Table12[[#This Row],[Target(1-3)priority with REFUGEES]]*Table12[[#This Row],[% Female adults aged 18 - 60]]</f>
        <v>23555.154632076508</v>
      </c>
      <c r="T18" s="19">
        <v>4.1200000000000001E-2</v>
      </c>
      <c r="U18" s="715">
        <f>Table12[[#This Row],[Target(1-3)priority with REFUGEES]]*Table12[[#This Row],[% Male adults aged over 60]]</f>
        <v>4621.2970040073915</v>
      </c>
      <c r="V18" s="19">
        <v>6.5799999999999997E-2</v>
      </c>
      <c r="W18" s="715">
        <f>Table12[[#This Row],[Target(1-3)priority with REFUGEES]]*Table12[[#This Row],[% Female adults aged over 60]]</f>
        <v>7380.6151180506386</v>
      </c>
      <c r="X18" s="412">
        <v>14155.8</v>
      </c>
      <c r="Z18" s="715"/>
      <c r="AH18" t="s">
        <v>270</v>
      </c>
      <c r="AI18" s="718">
        <f t="shared" si="1"/>
        <v>30363.715994776721</v>
      </c>
      <c r="AJ18" s="122">
        <f t="shared" si="2"/>
        <v>26426.640149129642</v>
      </c>
      <c r="AK18" s="122">
        <f>Table12[[#This Row],[No. of  Male adults aged 18 - 60]]</f>
        <v>19819.980111847231</v>
      </c>
      <c r="AL18" s="122">
        <f>Table12[[#This Row],[No. of Female adults aged 18 - 60]]</f>
        <v>23555.154632076508</v>
      </c>
      <c r="AM18" s="122">
        <f>Table12[[#This Row],[No. of Male adults aged over 60]]</f>
        <v>4621.2970040073915</v>
      </c>
      <c r="AN18" s="719">
        <f>Table12[[#This Row],[No. Female adults aged over 60]]</f>
        <v>7380.6151180506386</v>
      </c>
      <c r="AO18" s="122">
        <f t="shared" si="3"/>
        <v>112167.40300988812</v>
      </c>
    </row>
    <row r="19" spans="1:41" x14ac:dyDescent="0.55000000000000004">
      <c r="A19" t="s">
        <v>268</v>
      </c>
      <c r="B19" t="s">
        <v>272</v>
      </c>
      <c r="C19">
        <v>4</v>
      </c>
      <c r="D19">
        <v>2</v>
      </c>
      <c r="E19" s="22"/>
      <c r="F19" s="433">
        <v>116337.59441988808</v>
      </c>
      <c r="G19" s="433">
        <f>SUM(Table12[[#This Row],[Refugees]:[Target(1&amp;2)50% (3)priority]])</f>
        <v>116337.59441988808</v>
      </c>
      <c r="H19" s="19">
        <v>8.8499999999999995E-2</v>
      </c>
      <c r="I19" s="715">
        <f>Table12[[#This Row],[Target(1-3)priority with REFUGEES]]*Table12[[#This Row],[% Male children under 5]]</f>
        <v>10295.877106160095</v>
      </c>
      <c r="J19" s="19">
        <v>9.6199999999999994E-2</v>
      </c>
      <c r="K19" s="715">
        <f>Table12[[#This Row],[Target(1-3)priority with REFUGEES]]*Table12[[#This Row],[% Female children under 5]]</f>
        <v>11191.676583193232</v>
      </c>
      <c r="L19" s="19">
        <v>0.16800000000000001</v>
      </c>
      <c r="M19" s="715">
        <f>Table12[[#This Row],[Target(1-3)priority with REFUGEES]]*Table12[[#This Row],[% Male children aged 5 - 17 years]]</f>
        <v>19544.715862541198</v>
      </c>
      <c r="N19" s="19">
        <v>0.151</v>
      </c>
      <c r="O19" s="715">
        <f>Table12[[#This Row],[Target(1-3)priority with REFUGEES]]*Table12[[#This Row],[% Female children aged 5 - 17 years]]</f>
        <v>17566.976757403099</v>
      </c>
      <c r="P19" s="19">
        <v>0.21</v>
      </c>
      <c r="Q19" s="715">
        <f>Table12[[#This Row],[Target(1-3)priority with REFUGEES]]*Table12[[#This Row],[% Male adults aged 18 - 60]]</f>
        <v>24430.894828176493</v>
      </c>
      <c r="R19" s="19">
        <v>0.20699999999999999</v>
      </c>
      <c r="S19" s="715">
        <f>Table12[[#This Row],[Target(1-3)priority with REFUGEES]]*Table12[[#This Row],[% Female adults aged 18 - 60]]</f>
        <v>24081.882044916831</v>
      </c>
      <c r="T19" s="19">
        <v>3.0300000000000001E-2</v>
      </c>
      <c r="U19" s="715">
        <f>Table12[[#This Row],[Target(1-3)priority with REFUGEES]]*Table12[[#This Row],[% Male adults aged over 60]]</f>
        <v>3525.0291109226087</v>
      </c>
      <c r="V19" s="19">
        <v>4.9000000000000002E-2</v>
      </c>
      <c r="W19" s="715">
        <f>Table12[[#This Row],[Target(1-3)priority with REFUGEES]]*Table12[[#This Row],[% Female adults aged over 60]]</f>
        <v>5700.5421265745163</v>
      </c>
      <c r="X19" s="412">
        <v>10812.031009517157</v>
      </c>
      <c r="Z19" s="715"/>
      <c r="AH19" t="s">
        <v>272</v>
      </c>
      <c r="AI19" s="718">
        <f t="shared" si="1"/>
        <v>29840.59296870129</v>
      </c>
      <c r="AJ19" s="122">
        <f t="shared" si="2"/>
        <v>28758.653340596331</v>
      </c>
      <c r="AK19" s="122">
        <f>Table12[[#This Row],[No. of  Male adults aged 18 - 60]]</f>
        <v>24430.894828176493</v>
      </c>
      <c r="AL19" s="122">
        <f>Table12[[#This Row],[No. of Female adults aged 18 - 60]]</f>
        <v>24081.882044916831</v>
      </c>
      <c r="AM19" s="122">
        <f>Table12[[#This Row],[No. of Male adults aged over 60]]</f>
        <v>3525.0291109226087</v>
      </c>
      <c r="AN19" s="719">
        <f>Table12[[#This Row],[No. Female adults aged over 60]]</f>
        <v>5700.5421265745163</v>
      </c>
      <c r="AO19" s="122">
        <f t="shared" si="3"/>
        <v>116337.59441988806</v>
      </c>
    </row>
    <row r="20" spans="1:41" x14ac:dyDescent="0.55000000000000004">
      <c r="A20" t="s">
        <v>268</v>
      </c>
      <c r="B20" t="s">
        <v>274</v>
      </c>
      <c r="C20">
        <v>3</v>
      </c>
      <c r="D20">
        <v>4</v>
      </c>
      <c r="E20" s="22"/>
      <c r="F20" s="433">
        <v>0</v>
      </c>
      <c r="G20" s="433">
        <f>SUM(Table12[[#This Row],[Refugees]:[Target(1&amp;2)50% (3)priority]])</f>
        <v>0</v>
      </c>
      <c r="H20" s="19">
        <v>0.1333</v>
      </c>
      <c r="I20" s="715">
        <f>Table12[[#This Row],[Target(1-3)priority with REFUGEES]]*Table12[[#This Row],[% Male children under 5]]</f>
        <v>0</v>
      </c>
      <c r="J20" s="19">
        <v>9.0399999999999994E-2</v>
      </c>
      <c r="K20" s="715">
        <f>Table12[[#This Row],[Target(1-3)priority with REFUGEES]]*Table12[[#This Row],[% Female children under 5]]</f>
        <v>0</v>
      </c>
      <c r="L20" s="19">
        <v>0.16600000000000001</v>
      </c>
      <c r="M20" s="715">
        <f>Table12[[#This Row],[Target(1-3)priority with REFUGEES]]*Table12[[#This Row],[% Male children aged 5 - 17 years]]</f>
        <v>0</v>
      </c>
      <c r="N20" s="19">
        <v>0.155</v>
      </c>
      <c r="O20" s="715">
        <f>Table12[[#This Row],[Target(1-3)priority with REFUGEES]]*Table12[[#This Row],[% Female children aged 5 - 17 years]]</f>
        <v>0</v>
      </c>
      <c r="P20" s="19">
        <v>0.17100000000000001</v>
      </c>
      <c r="Q20" s="715">
        <f>Table12[[#This Row],[Target(1-3)priority with REFUGEES]]*Table12[[#This Row],[% Male adults aged 18 - 60]]</f>
        <v>0</v>
      </c>
      <c r="R20" s="19">
        <v>0.224</v>
      </c>
      <c r="S20" s="715">
        <f>Table12[[#This Row],[Target(1-3)priority with REFUGEES]]*Table12[[#This Row],[% Female adults aged 18 - 60]]</f>
        <v>0</v>
      </c>
      <c r="T20" s="19">
        <v>3.73E-2</v>
      </c>
      <c r="U20" s="715">
        <f>Table12[[#This Row],[Target(1-3)priority with REFUGEES]]*Table12[[#This Row],[% Male adults aged over 60]]</f>
        <v>0</v>
      </c>
      <c r="V20" s="19">
        <v>2.3E-2</v>
      </c>
      <c r="W20" s="715">
        <f>Table12[[#This Row],[Target(1-3)priority with REFUGEES]]*Table12[[#This Row],[% Female adults aged over 60]]</f>
        <v>0</v>
      </c>
      <c r="X20" s="412">
        <v>18954.202462806232</v>
      </c>
      <c r="Z20" s="715"/>
      <c r="AH20" t="s">
        <v>274</v>
      </c>
      <c r="AI20" s="718">
        <f t="shared" si="1"/>
        <v>0</v>
      </c>
      <c r="AJ20" s="122">
        <f t="shared" si="2"/>
        <v>0</v>
      </c>
      <c r="AK20" s="122">
        <f>Table12[[#This Row],[No. of  Male adults aged 18 - 60]]</f>
        <v>0</v>
      </c>
      <c r="AL20" s="122">
        <f>Table12[[#This Row],[No. of Female adults aged 18 - 60]]</f>
        <v>0</v>
      </c>
      <c r="AM20" s="122">
        <f>Table12[[#This Row],[No. of Male adults aged over 60]]</f>
        <v>0</v>
      </c>
      <c r="AN20" s="719">
        <f>Table12[[#This Row],[No. Female adults aged over 60]]</f>
        <v>0</v>
      </c>
      <c r="AO20" s="122">
        <f t="shared" si="3"/>
        <v>0</v>
      </c>
    </row>
    <row r="21" spans="1:41" x14ac:dyDescent="0.55000000000000004">
      <c r="A21" t="s">
        <v>268</v>
      </c>
      <c r="B21" t="s">
        <v>276</v>
      </c>
      <c r="C21">
        <v>4</v>
      </c>
      <c r="D21">
        <v>1</v>
      </c>
      <c r="E21" s="22"/>
      <c r="F21" s="433">
        <v>95060.282703017539</v>
      </c>
      <c r="G21" s="433">
        <f>SUM(Table12[[#This Row],[Refugees]:[Target(1&amp;2)50% (3)priority]])</f>
        <v>95060.282703017539</v>
      </c>
      <c r="H21" s="19">
        <v>9.0800000000000006E-2</v>
      </c>
      <c r="I21" s="715">
        <f>Table12[[#This Row],[Target(1-3)priority with REFUGEES]]*Table12[[#This Row],[% Male children under 5]]</f>
        <v>8631.4736694339936</v>
      </c>
      <c r="J21" s="19">
        <v>6.4100000000000004E-2</v>
      </c>
      <c r="K21" s="715">
        <f>Table12[[#This Row],[Target(1-3)priority with REFUGEES]]*Table12[[#This Row],[% Female children under 5]]</f>
        <v>6093.3641212634247</v>
      </c>
      <c r="L21" s="19">
        <v>0.14099999999999999</v>
      </c>
      <c r="M21" s="715">
        <f>Table12[[#This Row],[Target(1-3)priority with REFUGEES]]*Table12[[#This Row],[% Male children aged 5 - 17 years]]</f>
        <v>13403.499861125472</v>
      </c>
      <c r="N21" s="19">
        <v>0.154</v>
      </c>
      <c r="O21" s="715">
        <f>Table12[[#This Row],[Target(1-3)priority with REFUGEES]]*Table12[[#This Row],[% Female children aged 5 - 17 years]]</f>
        <v>14639.2835362647</v>
      </c>
      <c r="P21" s="19">
        <v>0.21300000000000002</v>
      </c>
      <c r="Q21" s="715">
        <f>Table12[[#This Row],[Target(1-3)priority with REFUGEES]]*Table12[[#This Row],[% Male adults aged 18 - 60]]</f>
        <v>20247.840215742737</v>
      </c>
      <c r="R21" s="19">
        <v>0.24099999999999999</v>
      </c>
      <c r="S21" s="715">
        <f>Table12[[#This Row],[Target(1-3)priority with REFUGEES]]*Table12[[#This Row],[% Female adults aged 18 - 60]]</f>
        <v>22909.528131427225</v>
      </c>
      <c r="T21" s="19">
        <v>4.6600000000000003E-2</v>
      </c>
      <c r="U21" s="715">
        <f>Table12[[#This Row],[Target(1-3)priority with REFUGEES]]*Table12[[#This Row],[% Male adults aged over 60]]</f>
        <v>4429.809173960618</v>
      </c>
      <c r="V21" s="19">
        <v>4.9500000000000002E-2</v>
      </c>
      <c r="W21" s="715">
        <f>Table12[[#This Row],[Target(1-3)priority with REFUGEES]]*Table12[[#This Row],[% Female adults aged over 60]]</f>
        <v>4705.4839937993684</v>
      </c>
      <c r="X21" s="412">
        <v>6444</v>
      </c>
      <c r="Z21" s="715"/>
      <c r="AH21" t="s">
        <v>276</v>
      </c>
      <c r="AI21" s="718">
        <f t="shared" si="1"/>
        <v>22034.973530559466</v>
      </c>
      <c r="AJ21" s="122">
        <f t="shared" si="2"/>
        <v>20732.647657528127</v>
      </c>
      <c r="AK21" s="122">
        <f>Table12[[#This Row],[No. of  Male adults aged 18 - 60]]</f>
        <v>20247.840215742737</v>
      </c>
      <c r="AL21" s="122">
        <f>Table12[[#This Row],[No. of Female adults aged 18 - 60]]</f>
        <v>22909.528131427225</v>
      </c>
      <c r="AM21" s="122">
        <f>Table12[[#This Row],[No. of Male adults aged over 60]]</f>
        <v>4429.809173960618</v>
      </c>
      <c r="AN21" s="719">
        <f>Table12[[#This Row],[No. Female adults aged over 60]]</f>
        <v>4705.4839937993684</v>
      </c>
      <c r="AO21" s="122">
        <f t="shared" si="3"/>
        <v>95060.282703017539</v>
      </c>
    </row>
    <row r="22" spans="1:41" x14ac:dyDescent="0.55000000000000004">
      <c r="A22" t="s">
        <v>268</v>
      </c>
      <c r="B22" t="s">
        <v>278</v>
      </c>
      <c r="C22">
        <v>4</v>
      </c>
      <c r="D22">
        <v>2</v>
      </c>
      <c r="E22" s="22"/>
      <c r="F22" s="433">
        <v>109092.92627520308</v>
      </c>
      <c r="G22" s="433">
        <f>SUM(Table12[[#This Row],[Refugees]:[Target(1&amp;2)50% (3)priority]])</f>
        <v>109092.92627520308</v>
      </c>
      <c r="H22" s="19">
        <v>0.112</v>
      </c>
      <c r="I22" s="715">
        <f>Table12[[#This Row],[Target(1-3)priority with REFUGEES]]*Table12[[#This Row],[% Male children under 5]]</f>
        <v>12218.407742822745</v>
      </c>
      <c r="J22" s="19">
        <v>9.5799999999999996E-2</v>
      </c>
      <c r="K22" s="715">
        <f>Table12[[#This Row],[Target(1-3)priority with REFUGEES]]*Table12[[#This Row],[% Female children under 5]]</f>
        <v>10451.102337164455</v>
      </c>
      <c r="L22" s="19">
        <v>0.17600000000000002</v>
      </c>
      <c r="M22" s="715">
        <f>Table12[[#This Row],[Target(1-3)priority with REFUGEES]]*Table12[[#This Row],[% Male children aged 5 - 17 years]]</f>
        <v>19200.355024435743</v>
      </c>
      <c r="N22" s="19">
        <v>0.159</v>
      </c>
      <c r="O22" s="715">
        <f>Table12[[#This Row],[Target(1-3)priority with REFUGEES]]*Table12[[#This Row],[% Female children aged 5 - 17 years]]</f>
        <v>17345.77527775729</v>
      </c>
      <c r="P22" s="19">
        <v>0.18729999999999999</v>
      </c>
      <c r="Q22" s="715">
        <f>Table12[[#This Row],[Target(1-3)priority with REFUGEES]]*Table12[[#This Row],[% Male adults aged 18 - 60]]</f>
        <v>20433.105091345536</v>
      </c>
      <c r="R22" s="19">
        <v>0.20899999999999999</v>
      </c>
      <c r="S22" s="715">
        <f>Table12[[#This Row],[Target(1-3)priority with REFUGEES]]*Table12[[#This Row],[% Female adults aged 18 - 60]]</f>
        <v>22800.421591517443</v>
      </c>
      <c r="T22" s="19">
        <v>2.4500000000000001E-2</v>
      </c>
      <c r="U22" s="715">
        <f>Table12[[#This Row],[Target(1-3)priority with REFUGEES]]*Table12[[#This Row],[% Male adults aged over 60]]</f>
        <v>2672.7766937424753</v>
      </c>
      <c r="V22" s="19">
        <v>3.6400000000000002E-2</v>
      </c>
      <c r="W22" s="715">
        <f>Table12[[#This Row],[Target(1-3)priority with REFUGEES]]*Table12[[#This Row],[% Female adults aged over 60]]</f>
        <v>3970.9825164173922</v>
      </c>
      <c r="X22" s="412">
        <v>15339.503154279182</v>
      </c>
      <c r="Z22" s="715"/>
      <c r="AH22" t="s">
        <v>278</v>
      </c>
      <c r="AI22" s="718">
        <f t="shared" si="1"/>
        <v>31418.762767258486</v>
      </c>
      <c r="AJ22" s="122">
        <f t="shared" si="2"/>
        <v>27796.877614921745</v>
      </c>
      <c r="AK22" s="122">
        <f>Table12[[#This Row],[No. of  Male adults aged 18 - 60]]</f>
        <v>20433.105091345536</v>
      </c>
      <c r="AL22" s="122">
        <f>Table12[[#This Row],[No. of Female adults aged 18 - 60]]</f>
        <v>22800.421591517443</v>
      </c>
      <c r="AM22" s="122">
        <f>Table12[[#This Row],[No. of Male adults aged over 60]]</f>
        <v>2672.7766937424753</v>
      </c>
      <c r="AN22" s="719">
        <f>Table12[[#This Row],[No. Female adults aged over 60]]</f>
        <v>3970.9825164173922</v>
      </c>
      <c r="AO22" s="122">
        <f t="shared" si="3"/>
        <v>109092.92627520308</v>
      </c>
    </row>
    <row r="23" spans="1:41" x14ac:dyDescent="0.55000000000000004">
      <c r="A23" t="s">
        <v>268</v>
      </c>
      <c r="B23" t="s">
        <v>280</v>
      </c>
      <c r="C23">
        <v>5</v>
      </c>
      <c r="D23">
        <v>1</v>
      </c>
      <c r="E23" s="22"/>
      <c r="F23" s="433">
        <v>122945.47645289435</v>
      </c>
      <c r="G23" s="433">
        <f>SUM(Table12[[#This Row],[Refugees]:[Target(1&amp;2)50% (3)priority]])</f>
        <v>122945.47645289435</v>
      </c>
      <c r="H23" s="19">
        <v>9.8900000000000002E-2</v>
      </c>
      <c r="I23" s="715">
        <f>Table12[[#This Row],[Target(1-3)priority with REFUGEES]]*Table12[[#This Row],[% Male children under 5]]</f>
        <v>12159.307621191252</v>
      </c>
      <c r="J23" s="19">
        <v>0.111</v>
      </c>
      <c r="K23" s="715">
        <f>Table12[[#This Row],[Target(1-3)priority with REFUGEES]]*Table12[[#This Row],[% Female children under 5]]</f>
        <v>13646.947886271273</v>
      </c>
      <c r="L23" s="19">
        <v>0.21099999999999999</v>
      </c>
      <c r="M23" s="715">
        <f>Table12[[#This Row],[Target(1-3)priority with REFUGEES]]*Table12[[#This Row],[% Male children aged 5 - 17 years]]</f>
        <v>25941.495531560708</v>
      </c>
      <c r="N23" s="19">
        <v>0.16300000000000001</v>
      </c>
      <c r="O23" s="715">
        <f>Table12[[#This Row],[Target(1-3)priority with REFUGEES]]*Table12[[#This Row],[% Female children aged 5 - 17 years]]</f>
        <v>20040.112661821779</v>
      </c>
      <c r="P23" s="19">
        <v>0.18820000000000001</v>
      </c>
      <c r="Q23" s="715">
        <f>Table12[[#This Row],[Target(1-3)priority with REFUGEES]]*Table12[[#This Row],[% Male adults aged 18 - 60]]</f>
        <v>23138.338668434717</v>
      </c>
      <c r="R23" s="19">
        <v>0.14799999999999999</v>
      </c>
      <c r="S23" s="715">
        <f>Table12[[#This Row],[Target(1-3)priority with REFUGEES]]*Table12[[#This Row],[% Female adults aged 18 - 60]]</f>
        <v>18195.930515028362</v>
      </c>
      <c r="T23" s="19">
        <v>3.2099999999999997E-2</v>
      </c>
      <c r="U23" s="715">
        <f>Table12[[#This Row],[Target(1-3)priority with REFUGEES]]*Table12[[#This Row],[% Male adults aged over 60]]</f>
        <v>3946.5497941379081</v>
      </c>
      <c r="V23" s="19">
        <v>4.7800000000000002E-2</v>
      </c>
      <c r="W23" s="715">
        <f>Table12[[#This Row],[Target(1-3)priority with REFUGEES]]*Table12[[#This Row],[% Female adults aged over 60]]</f>
        <v>5876.7937744483497</v>
      </c>
      <c r="X23" s="412">
        <v>18713.055285557952</v>
      </c>
      <c r="Z23" s="715"/>
      <c r="AH23" t="s">
        <v>280</v>
      </c>
      <c r="AI23" s="718">
        <f t="shared" si="1"/>
        <v>38100.803152751963</v>
      </c>
      <c r="AJ23" s="122">
        <f t="shared" si="2"/>
        <v>33687.060548093054</v>
      </c>
      <c r="AK23" s="122">
        <f>Table12[[#This Row],[No. of  Male adults aged 18 - 60]]</f>
        <v>23138.338668434717</v>
      </c>
      <c r="AL23" s="122">
        <f>Table12[[#This Row],[No. of Female adults aged 18 - 60]]</f>
        <v>18195.930515028362</v>
      </c>
      <c r="AM23" s="122">
        <f>Table12[[#This Row],[No. of Male adults aged over 60]]</f>
        <v>3946.5497941379081</v>
      </c>
      <c r="AN23" s="719">
        <f>Table12[[#This Row],[No. Female adults aged over 60]]</f>
        <v>5876.7937744483497</v>
      </c>
      <c r="AO23" s="122">
        <f t="shared" si="3"/>
        <v>122945.47645289436</v>
      </c>
    </row>
    <row r="24" spans="1:41" x14ac:dyDescent="0.55000000000000004">
      <c r="A24" t="s">
        <v>268</v>
      </c>
      <c r="B24" t="s">
        <v>282</v>
      </c>
      <c r="C24">
        <v>3</v>
      </c>
      <c r="D24">
        <v>2</v>
      </c>
      <c r="E24" s="22"/>
      <c r="F24" s="433">
        <v>83314.341557450127</v>
      </c>
      <c r="G24" s="433">
        <f>SUM(Table12[[#This Row],[Refugees]:[Target(1&amp;2)50% (3)priority]])</f>
        <v>83314.341557450127</v>
      </c>
      <c r="H24" s="19">
        <v>0.09</v>
      </c>
      <c r="I24" s="715">
        <f>Table12[[#This Row],[Target(1-3)priority with REFUGEES]]*Table12[[#This Row],[% Male children under 5]]</f>
        <v>7498.2907401705115</v>
      </c>
      <c r="J24" s="19">
        <v>7.6499999999999999E-2</v>
      </c>
      <c r="K24" s="715">
        <f>Table12[[#This Row],[Target(1-3)priority with REFUGEES]]*Table12[[#This Row],[% Female children under 5]]</f>
        <v>6373.5471291449348</v>
      </c>
      <c r="L24" s="19">
        <v>0.21799999999999997</v>
      </c>
      <c r="M24" s="715">
        <f>Table12[[#This Row],[Target(1-3)priority with REFUGEES]]*Table12[[#This Row],[% Male children aged 5 - 17 years]]</f>
        <v>18162.526459524124</v>
      </c>
      <c r="N24" s="19">
        <v>0.19139999999999999</v>
      </c>
      <c r="O24" s="715">
        <f>Table12[[#This Row],[Target(1-3)priority with REFUGEES]]*Table12[[#This Row],[% Female children aged 5 - 17 years]]</f>
        <v>15946.364974095954</v>
      </c>
      <c r="P24" s="19">
        <v>0.15999999999999998</v>
      </c>
      <c r="Q24" s="715">
        <f>Table12[[#This Row],[Target(1-3)priority with REFUGEES]]*Table12[[#This Row],[% Male adults aged 18 - 60]]</f>
        <v>13330.294649192017</v>
      </c>
      <c r="R24" s="19">
        <v>0.186</v>
      </c>
      <c r="S24" s="715">
        <f>Table12[[#This Row],[Target(1-3)priority with REFUGEES]]*Table12[[#This Row],[% Female adults aged 18 - 60]]</f>
        <v>15496.467529685724</v>
      </c>
      <c r="T24" s="19">
        <v>2.8000000000000004E-2</v>
      </c>
      <c r="U24" s="715">
        <f>Table12[[#This Row],[Target(1-3)priority with REFUGEES]]*Table12[[#This Row],[% Male adults aged over 60]]</f>
        <v>2332.8015636086038</v>
      </c>
      <c r="V24" s="19">
        <v>5.0099999999999999E-2</v>
      </c>
      <c r="W24" s="715">
        <f>Table12[[#This Row],[Target(1-3)priority with REFUGEES]]*Table12[[#This Row],[% Female adults aged over 60]]</f>
        <v>4174.048512028251</v>
      </c>
      <c r="X24" s="412">
        <v>13118.175000000001</v>
      </c>
      <c r="Z24" s="715"/>
      <c r="AH24" t="s">
        <v>282</v>
      </c>
      <c r="AI24" s="718">
        <f t="shared" si="1"/>
        <v>25660.817199694637</v>
      </c>
      <c r="AJ24" s="122">
        <f t="shared" si="2"/>
        <v>22319.912103240888</v>
      </c>
      <c r="AK24" s="122">
        <f>Table12[[#This Row],[No. of  Male adults aged 18 - 60]]</f>
        <v>13330.294649192017</v>
      </c>
      <c r="AL24" s="122">
        <f>Table12[[#This Row],[No. of Female adults aged 18 - 60]]</f>
        <v>15496.467529685724</v>
      </c>
      <c r="AM24" s="122">
        <f>Table12[[#This Row],[No. of Male adults aged over 60]]</f>
        <v>2332.8015636086038</v>
      </c>
      <c r="AN24" s="719">
        <f>Table12[[#This Row],[No. Female adults aged over 60]]</f>
        <v>4174.048512028251</v>
      </c>
      <c r="AO24" s="122">
        <f t="shared" si="3"/>
        <v>83314.341557450112</v>
      </c>
    </row>
    <row r="25" spans="1:41" x14ac:dyDescent="0.55000000000000004">
      <c r="A25" t="s">
        <v>268</v>
      </c>
      <c r="B25" t="s">
        <v>284</v>
      </c>
      <c r="C25">
        <v>4</v>
      </c>
      <c r="D25">
        <v>1</v>
      </c>
      <c r="E25" s="22"/>
      <c r="F25" s="433">
        <v>129413.76411797802</v>
      </c>
      <c r="G25" s="433">
        <f>SUM(Table12[[#This Row],[Refugees]:[Target(1&amp;2)50% (3)priority]])</f>
        <v>129413.76411797802</v>
      </c>
      <c r="H25" s="19">
        <v>0.13700000000000001</v>
      </c>
      <c r="I25" s="715">
        <f>Table12[[#This Row],[Target(1-3)priority with REFUGEES]]*Table12[[#This Row],[% Male children under 5]]</f>
        <v>17729.685684162989</v>
      </c>
      <c r="J25" s="19">
        <v>0.11700000000000001</v>
      </c>
      <c r="K25" s="715">
        <f>Table12[[#This Row],[Target(1-3)priority with REFUGEES]]*Table12[[#This Row],[% Female children under 5]]</f>
        <v>15141.410401803429</v>
      </c>
      <c r="L25" s="19">
        <v>0.13799999999999998</v>
      </c>
      <c r="M25" s="715">
        <f>Table12[[#This Row],[Target(1-3)priority with REFUGEES]]*Table12[[#This Row],[% Male children aged 5 - 17 years]]</f>
        <v>17859.099448280966</v>
      </c>
      <c r="N25" s="19">
        <v>0.155</v>
      </c>
      <c r="O25" s="715">
        <f>Table12[[#This Row],[Target(1-3)priority with REFUGEES]]*Table12[[#This Row],[% Female children aged 5 - 17 years]]</f>
        <v>20059.133438286593</v>
      </c>
      <c r="P25" s="19">
        <v>0.17169999999999999</v>
      </c>
      <c r="Q25" s="715">
        <f>Table12[[#This Row],[Target(1-3)priority with REFUGEES]]*Table12[[#This Row],[% Male adults aged 18 - 60]]</f>
        <v>22220.343299056825</v>
      </c>
      <c r="R25" s="19">
        <v>0.19600000000000001</v>
      </c>
      <c r="S25" s="715">
        <f>Table12[[#This Row],[Target(1-3)priority with REFUGEES]]*Table12[[#This Row],[% Female adults aged 18 - 60]]</f>
        <v>25365.097767123694</v>
      </c>
      <c r="T25" s="19">
        <v>3.1100000000000003E-2</v>
      </c>
      <c r="U25" s="715">
        <f>Table12[[#This Row],[Target(1-3)priority with REFUGEES]]*Table12[[#This Row],[% Male adults aged over 60]]</f>
        <v>4024.7680640691169</v>
      </c>
      <c r="V25" s="19">
        <v>5.4199999999999998E-2</v>
      </c>
      <c r="W25" s="715">
        <f>Table12[[#This Row],[Target(1-3)priority with REFUGEES]]*Table12[[#This Row],[% Female adults aged over 60]]</f>
        <v>7014.2260151944083</v>
      </c>
      <c r="X25" s="412">
        <v>18306.477777777778</v>
      </c>
      <c r="Z25" s="715"/>
      <c r="AH25" t="s">
        <v>284</v>
      </c>
      <c r="AI25" s="718">
        <f t="shared" si="1"/>
        <v>35588.785132443954</v>
      </c>
      <c r="AJ25" s="122">
        <f t="shared" si="2"/>
        <v>35200.543840090024</v>
      </c>
      <c r="AK25" s="122">
        <f>Table12[[#This Row],[No. of  Male adults aged 18 - 60]]</f>
        <v>22220.343299056825</v>
      </c>
      <c r="AL25" s="122">
        <f>Table12[[#This Row],[No. of Female adults aged 18 - 60]]</f>
        <v>25365.097767123694</v>
      </c>
      <c r="AM25" s="122">
        <f>Table12[[#This Row],[No. of Male adults aged over 60]]</f>
        <v>4024.7680640691169</v>
      </c>
      <c r="AN25" s="719">
        <f>Table12[[#This Row],[No. Female adults aged over 60]]</f>
        <v>7014.2260151944083</v>
      </c>
      <c r="AO25" s="122">
        <f t="shared" si="3"/>
        <v>129413.76411797802</v>
      </c>
    </row>
    <row r="26" spans="1:41" x14ac:dyDescent="0.55000000000000004">
      <c r="A26" t="s">
        <v>268</v>
      </c>
      <c r="B26" t="s">
        <v>286</v>
      </c>
      <c r="C26">
        <v>3</v>
      </c>
      <c r="D26">
        <v>3</v>
      </c>
      <c r="E26" s="22">
        <v>1229</v>
      </c>
      <c r="F26" s="433">
        <v>23208.154705872985</v>
      </c>
      <c r="G26" s="433">
        <f>SUM(Table12[[#This Row],[Refugees]:[Target(1&amp;2)50% (3)priority]])</f>
        <v>24437.154705872985</v>
      </c>
      <c r="H26" s="19">
        <v>0.13600000000000001</v>
      </c>
      <c r="I26" s="715">
        <f>Table12[[#This Row],[Target(1-3)priority with REFUGEES]]*Table12[[#This Row],[% Male children under 5]]</f>
        <v>3323.4530399987261</v>
      </c>
      <c r="J26" s="19">
        <v>0.1032</v>
      </c>
      <c r="K26" s="715">
        <f>Table12[[#This Row],[Target(1-3)priority with REFUGEES]]*Table12[[#This Row],[% Female children under 5]]</f>
        <v>2521.9143656460919</v>
      </c>
      <c r="L26" s="19">
        <v>0.19500000000000001</v>
      </c>
      <c r="M26" s="715">
        <f>Table12[[#This Row],[Target(1-3)priority with REFUGEES]]*Table12[[#This Row],[% Male children aged 5 - 17 years]]</f>
        <v>4765.245167645232</v>
      </c>
      <c r="N26" s="19">
        <v>0.17399999999999999</v>
      </c>
      <c r="O26" s="715">
        <f>Table12[[#This Row],[Target(1-3)priority with REFUGEES]]*Table12[[#This Row],[% Female children aged 5 - 17 years]]</f>
        <v>4252.0649188218995</v>
      </c>
      <c r="P26" s="19">
        <v>0.10499999999999998</v>
      </c>
      <c r="Q26" s="715">
        <f>Table12[[#This Row],[Target(1-3)priority with REFUGEES]]*Table12[[#This Row],[% Male adults aged 18 - 60]]</f>
        <v>2565.9012441166628</v>
      </c>
      <c r="R26" s="19">
        <v>0.27200000000000002</v>
      </c>
      <c r="S26" s="715">
        <f>Table12[[#This Row],[Target(1-3)priority with REFUGEES]]*Table12[[#This Row],[% Female adults aged 18 - 60]]</f>
        <v>6646.9060799974523</v>
      </c>
      <c r="T26" s="19">
        <v>6.4400000000000013E-3</v>
      </c>
      <c r="U26" s="715">
        <f>Table12[[#This Row],[Target(1-3)priority with REFUGEES]]*Table12[[#This Row],[% Male adults aged over 60]]</f>
        <v>157.37527630582204</v>
      </c>
      <c r="V26" s="19">
        <v>8.3599999999999994E-3</v>
      </c>
      <c r="W26" s="715">
        <f>Table12[[#This Row],[Target(1-3)priority with REFUGEES]]*Table12[[#This Row],[% Female adults aged over 60]]</f>
        <v>204.29461334109814</v>
      </c>
      <c r="X26" s="412">
        <v>4557.110136878021</v>
      </c>
      <c r="Z26" s="715"/>
      <c r="AH26" t="s">
        <v>286</v>
      </c>
      <c r="AI26" s="718">
        <f t="shared" si="1"/>
        <v>8088.6982076439581</v>
      </c>
      <c r="AJ26" s="122">
        <f t="shared" si="2"/>
        <v>6773.9792844679914</v>
      </c>
      <c r="AK26" s="122">
        <f>Table12[[#This Row],[No. of  Male adults aged 18 - 60]]</f>
        <v>2565.9012441166628</v>
      </c>
      <c r="AL26" s="122">
        <f>Table12[[#This Row],[No. of Female adults aged 18 - 60]]</f>
        <v>6646.9060799974523</v>
      </c>
      <c r="AM26" s="122">
        <f>Table12[[#This Row],[No. of Male adults aged over 60]]</f>
        <v>157.37527630582204</v>
      </c>
      <c r="AN26" s="719">
        <f>Table12[[#This Row],[No. Female adults aged over 60]]</f>
        <v>204.29461334109814</v>
      </c>
      <c r="AO26" s="122">
        <f t="shared" si="3"/>
        <v>24437.154705872988</v>
      </c>
    </row>
    <row r="27" spans="1:41" x14ac:dyDescent="0.55000000000000004">
      <c r="A27" t="s">
        <v>268</v>
      </c>
      <c r="B27" t="s">
        <v>288</v>
      </c>
      <c r="C27">
        <v>4</v>
      </c>
      <c r="D27">
        <v>2</v>
      </c>
      <c r="E27" s="22"/>
      <c r="F27" s="433">
        <v>56108.016051008046</v>
      </c>
      <c r="G27" s="433">
        <f>SUM(Table12[[#This Row],[Refugees]:[Target(1&amp;2)50% (3)priority]])</f>
        <v>56108.016051008046</v>
      </c>
      <c r="H27" s="19">
        <v>7.3700000000000002E-2</v>
      </c>
      <c r="I27" s="715">
        <f>Table12[[#This Row],[Target(1-3)priority with REFUGEES]]*Table12[[#This Row],[% Male children under 5]]</f>
        <v>4135.1607829592931</v>
      </c>
      <c r="J27" s="19">
        <v>8.3400000000000002E-2</v>
      </c>
      <c r="K27" s="715">
        <f>Table12[[#This Row],[Target(1-3)priority with REFUGEES]]*Table12[[#This Row],[% Female children under 5]]</f>
        <v>4679.408538654071</v>
      </c>
      <c r="L27" s="19">
        <v>0.15200000000000002</v>
      </c>
      <c r="M27" s="715">
        <f>Table12[[#This Row],[Target(1-3)priority with REFUGEES]]*Table12[[#This Row],[% Male children aged 5 - 17 years]]</f>
        <v>8528.4184397532244</v>
      </c>
      <c r="N27" s="19">
        <v>0.17299999999999999</v>
      </c>
      <c r="O27" s="715">
        <f>Table12[[#This Row],[Target(1-3)priority with REFUGEES]]*Table12[[#This Row],[% Female children aged 5 - 17 years]]</f>
        <v>9706.6867768243919</v>
      </c>
      <c r="P27" s="19">
        <v>0.18</v>
      </c>
      <c r="Q27" s="715">
        <f>Table12[[#This Row],[Target(1-3)priority with REFUGEES]]*Table12[[#This Row],[% Male adults aged 18 - 60]]</f>
        <v>10099.442889181448</v>
      </c>
      <c r="R27" s="19">
        <v>0.25600000000000001</v>
      </c>
      <c r="S27" s="715">
        <f>Table12[[#This Row],[Target(1-3)priority with REFUGEES]]*Table12[[#This Row],[% Female adults aged 18 - 60]]</f>
        <v>14363.652109058061</v>
      </c>
      <c r="T27" s="19">
        <v>4.1200000000000001E-2</v>
      </c>
      <c r="U27" s="715">
        <f>Table12[[#This Row],[Target(1-3)priority with REFUGEES]]*Table12[[#This Row],[% Male adults aged over 60]]</f>
        <v>2311.6502613015314</v>
      </c>
      <c r="V27" s="19">
        <v>4.07E-2</v>
      </c>
      <c r="W27" s="715">
        <f>Table12[[#This Row],[Target(1-3)priority with REFUGEES]]*Table12[[#This Row],[% Female adults aged over 60]]</f>
        <v>2283.5962532760273</v>
      </c>
      <c r="X27" s="412">
        <v>8458.3598900003326</v>
      </c>
      <c r="Z27" s="715"/>
      <c r="AH27" t="s">
        <v>288</v>
      </c>
      <c r="AI27" s="718">
        <f t="shared" si="1"/>
        <v>12663.579222712517</v>
      </c>
      <c r="AJ27" s="122">
        <f t="shared" si="2"/>
        <v>14386.095315478462</v>
      </c>
      <c r="AK27" s="122">
        <f>Table12[[#This Row],[No. of  Male adults aged 18 - 60]]</f>
        <v>10099.442889181448</v>
      </c>
      <c r="AL27" s="122">
        <f>Table12[[#This Row],[No. of Female adults aged 18 - 60]]</f>
        <v>14363.652109058061</v>
      </c>
      <c r="AM27" s="122">
        <f>Table12[[#This Row],[No. of Male adults aged over 60]]</f>
        <v>2311.6502613015314</v>
      </c>
      <c r="AN27" s="719">
        <f>Table12[[#This Row],[No. Female adults aged over 60]]</f>
        <v>2283.5962532760273</v>
      </c>
      <c r="AO27" s="122">
        <f t="shared" si="3"/>
        <v>56108.016051008039</v>
      </c>
    </row>
    <row r="28" spans="1:41" x14ac:dyDescent="0.55000000000000004">
      <c r="A28" t="s">
        <v>268</v>
      </c>
      <c r="B28" t="s">
        <v>290</v>
      </c>
      <c r="C28">
        <v>4</v>
      </c>
      <c r="D28">
        <v>2</v>
      </c>
      <c r="E28" s="22"/>
      <c r="F28" s="433">
        <v>95526.800998071456</v>
      </c>
      <c r="G28" s="433">
        <f>SUM(Table12[[#This Row],[Refugees]:[Target(1&amp;2)50% (3)priority]])</f>
        <v>95526.800998071456</v>
      </c>
      <c r="H28" s="19">
        <v>0.14360000000000001</v>
      </c>
      <c r="I28" s="715">
        <f>Table12[[#This Row],[Target(1-3)priority with REFUGEES]]*Table12[[#This Row],[% Male children under 5]]</f>
        <v>13717.648623323061</v>
      </c>
      <c r="J28" s="19">
        <v>0.129</v>
      </c>
      <c r="K28" s="715">
        <f>Table12[[#This Row],[Target(1-3)priority with REFUGEES]]*Table12[[#This Row],[% Female children under 5]]</f>
        <v>12322.957328751218</v>
      </c>
      <c r="L28" s="19">
        <v>0.14400000000000002</v>
      </c>
      <c r="M28" s="715">
        <f>Table12[[#This Row],[Target(1-3)priority with REFUGEES]]*Table12[[#This Row],[% Male children aged 5 - 17 years]]</f>
        <v>13755.859343722292</v>
      </c>
      <c r="N28" s="19">
        <v>0.17799999999999999</v>
      </c>
      <c r="O28" s="715">
        <f>Table12[[#This Row],[Target(1-3)priority with REFUGEES]]*Table12[[#This Row],[% Female children aged 5 - 17 years]]</f>
        <v>17003.77057765672</v>
      </c>
      <c r="P28" s="19">
        <v>0.183</v>
      </c>
      <c r="Q28" s="715">
        <f>Table12[[#This Row],[Target(1-3)priority with REFUGEES]]*Table12[[#This Row],[% Male adults aged 18 - 60]]</f>
        <v>17481.404582647076</v>
      </c>
      <c r="R28" s="19">
        <v>0.193</v>
      </c>
      <c r="S28" s="715">
        <f>Table12[[#This Row],[Target(1-3)priority with REFUGEES]]*Table12[[#This Row],[% Female adults aged 18 - 60]]</f>
        <v>18436.67259262779</v>
      </c>
      <c r="T28" s="19">
        <v>1.26E-2</v>
      </c>
      <c r="U28" s="715">
        <f>Table12[[#This Row],[Target(1-3)priority with REFUGEES]]*Table12[[#This Row],[% Male adults aged over 60]]</f>
        <v>1203.6376925757004</v>
      </c>
      <c r="V28" s="19">
        <v>1.6799999999999999E-2</v>
      </c>
      <c r="W28" s="715">
        <f>Table12[[#This Row],[Target(1-3)priority with REFUGEES]]*Table12[[#This Row],[% Female adults aged over 60]]</f>
        <v>1604.8502567676003</v>
      </c>
      <c r="X28" s="412">
        <v>14699.20901027025</v>
      </c>
      <c r="Z28" s="715"/>
      <c r="AH28" t="s">
        <v>290</v>
      </c>
      <c r="AI28" s="718">
        <f t="shared" si="1"/>
        <v>27473.507967045352</v>
      </c>
      <c r="AJ28" s="122">
        <f t="shared" si="2"/>
        <v>29326.727906407938</v>
      </c>
      <c r="AK28" s="122">
        <f>Table12[[#This Row],[No. of  Male adults aged 18 - 60]]</f>
        <v>17481.404582647076</v>
      </c>
      <c r="AL28" s="122">
        <f>Table12[[#This Row],[No. of Female adults aged 18 - 60]]</f>
        <v>18436.67259262779</v>
      </c>
      <c r="AM28" s="122">
        <f>Table12[[#This Row],[No. of Male adults aged over 60]]</f>
        <v>1203.6376925757004</v>
      </c>
      <c r="AN28" s="719">
        <f>Table12[[#This Row],[No. Female adults aged over 60]]</f>
        <v>1604.8502567676003</v>
      </c>
      <c r="AO28" s="122">
        <f t="shared" si="3"/>
        <v>95526.800998071471</v>
      </c>
    </row>
    <row r="29" spans="1:41" x14ac:dyDescent="0.55000000000000004">
      <c r="A29" t="s">
        <v>292</v>
      </c>
      <c r="B29" t="s">
        <v>294</v>
      </c>
      <c r="C29">
        <v>3</v>
      </c>
      <c r="D29">
        <v>3</v>
      </c>
      <c r="E29" s="22"/>
      <c r="F29" s="433">
        <v>31414.810727892342</v>
      </c>
      <c r="G29" s="433">
        <f>SUM(Table12[[#This Row],[Refugees]:[Target(1&amp;2)50% (3)priority]])</f>
        <v>31414.810727892342</v>
      </c>
      <c r="H29" s="19">
        <v>6.3399999999999998E-2</v>
      </c>
      <c r="I29" s="715">
        <f>Table12[[#This Row],[Target(1-3)priority with REFUGEES]]*Table12[[#This Row],[% Male children under 5]]</f>
        <v>1991.6990001483744</v>
      </c>
      <c r="J29" s="19">
        <v>6.0999999999999999E-2</v>
      </c>
      <c r="K29" s="715">
        <f>Table12[[#This Row],[Target(1-3)priority with REFUGEES]]*Table12[[#This Row],[% Female children under 5]]</f>
        <v>1916.3034544014329</v>
      </c>
      <c r="L29" s="19">
        <v>0.22700000000000001</v>
      </c>
      <c r="M29" s="715">
        <f>Table12[[#This Row],[Target(1-3)priority with REFUGEES]]*Table12[[#This Row],[% Male children aged 5 - 17 years]]</f>
        <v>7131.1620352315622</v>
      </c>
      <c r="N29" s="19">
        <v>0.23400000000000001</v>
      </c>
      <c r="O29" s="715">
        <f>Table12[[#This Row],[Target(1-3)priority with REFUGEES]]*Table12[[#This Row],[% Female children aged 5 - 17 years]]</f>
        <v>7351.0657103268086</v>
      </c>
      <c r="P29" s="19">
        <v>0.1774</v>
      </c>
      <c r="Q29" s="715">
        <f>Table12[[#This Row],[Target(1-3)priority with REFUGEES]]*Table12[[#This Row],[% Male adults aged 18 - 60]]</f>
        <v>5572.9874231281019</v>
      </c>
      <c r="R29" s="19">
        <v>0.19400000000000001</v>
      </c>
      <c r="S29" s="715">
        <f>Table12[[#This Row],[Target(1-3)priority with REFUGEES]]*Table12[[#This Row],[% Female adults aged 18 - 60]]</f>
        <v>6094.4732812111142</v>
      </c>
      <c r="T29" s="19">
        <v>1.9200000000000002E-2</v>
      </c>
      <c r="U29" s="715">
        <f>Table12[[#This Row],[Target(1-3)priority with REFUGEES]]*Table12[[#This Row],[% Male adults aged over 60]]</f>
        <v>603.16436597553297</v>
      </c>
      <c r="V29" s="19">
        <v>2.4E-2</v>
      </c>
      <c r="W29" s="715">
        <f>Table12[[#This Row],[Target(1-3)priority with REFUGEES]]*Table12[[#This Row],[% Female adults aged over 60]]</f>
        <v>753.95545746941616</v>
      </c>
      <c r="X29" s="412">
        <v>8931.04582064028</v>
      </c>
      <c r="Z29" s="715"/>
      <c r="AH29" t="s">
        <v>294</v>
      </c>
      <c r="AI29" s="718">
        <f t="shared" si="1"/>
        <v>9122.8610353799359</v>
      </c>
      <c r="AJ29" s="122">
        <f t="shared" si="2"/>
        <v>9267.3691647282412</v>
      </c>
      <c r="AK29" s="122">
        <f>Table12[[#This Row],[No. of  Male adults aged 18 - 60]]</f>
        <v>5572.9874231281019</v>
      </c>
      <c r="AL29" s="122">
        <f>Table12[[#This Row],[No. of Female adults aged 18 - 60]]</f>
        <v>6094.4732812111142</v>
      </c>
      <c r="AM29" s="122">
        <f>Table12[[#This Row],[No. of Male adults aged over 60]]</f>
        <v>603.16436597553297</v>
      </c>
      <c r="AN29" s="719">
        <f>Table12[[#This Row],[No. Female adults aged over 60]]</f>
        <v>753.95545746941616</v>
      </c>
      <c r="AO29" s="122">
        <f t="shared" si="3"/>
        <v>31414.810727892342</v>
      </c>
    </row>
    <row r="30" spans="1:41" x14ac:dyDescent="0.55000000000000004">
      <c r="A30" t="s">
        <v>292</v>
      </c>
      <c r="B30" t="s">
        <v>296</v>
      </c>
      <c r="C30">
        <v>3</v>
      </c>
      <c r="D30">
        <v>5</v>
      </c>
      <c r="E30" s="22"/>
      <c r="F30" s="433">
        <v>0</v>
      </c>
      <c r="G30" s="433">
        <f>SUM(Table12[[#This Row],[Refugees]:[Target(1&amp;2)50% (3)priority]])</f>
        <v>0</v>
      </c>
      <c r="H30" s="19">
        <v>7.5399999999999995E-2</v>
      </c>
      <c r="I30" s="715">
        <f>Table12[[#This Row],[Target(1-3)priority with REFUGEES]]*Table12[[#This Row],[% Male children under 5]]</f>
        <v>0</v>
      </c>
      <c r="J30" s="19">
        <v>4.2599999999999999E-2</v>
      </c>
      <c r="K30" s="715">
        <f>Table12[[#This Row],[Target(1-3)priority with REFUGEES]]*Table12[[#This Row],[% Female children under 5]]</f>
        <v>0</v>
      </c>
      <c r="L30" s="19">
        <v>0.22500000000000001</v>
      </c>
      <c r="M30" s="715">
        <f>Table12[[#This Row],[Target(1-3)priority with REFUGEES]]*Table12[[#This Row],[% Male children aged 5 - 17 years]]</f>
        <v>0</v>
      </c>
      <c r="N30" s="19">
        <v>0.20399999999999999</v>
      </c>
      <c r="O30" s="715">
        <f>Table12[[#This Row],[Target(1-3)priority with REFUGEES]]*Table12[[#This Row],[% Female children aged 5 - 17 years]]</f>
        <v>0</v>
      </c>
      <c r="P30" s="19">
        <v>0.17700000000000002</v>
      </c>
      <c r="Q30" s="715">
        <f>Table12[[#This Row],[Target(1-3)priority with REFUGEES]]*Table12[[#This Row],[% Male adults aged 18 - 60]]</f>
        <v>0</v>
      </c>
      <c r="R30" s="19">
        <v>0.16600000000000001</v>
      </c>
      <c r="S30" s="715">
        <f>Table12[[#This Row],[Target(1-3)priority with REFUGEES]]*Table12[[#This Row],[% Female adults aged 18 - 60]]</f>
        <v>0</v>
      </c>
      <c r="T30" s="19">
        <v>4.9800000000000004E-2</v>
      </c>
      <c r="U30" s="715">
        <f>Table12[[#This Row],[Target(1-3)priority with REFUGEES]]*Table12[[#This Row],[% Male adults aged over 60]]</f>
        <v>0</v>
      </c>
      <c r="V30" s="19">
        <v>6.0199999999999997E-2</v>
      </c>
      <c r="W30" s="715">
        <f>Table12[[#This Row],[Target(1-3)priority with REFUGEES]]*Table12[[#This Row],[% Female adults aged over 60]]</f>
        <v>0</v>
      </c>
      <c r="X30" s="412">
        <v>11231.650631670247</v>
      </c>
      <c r="Z30" s="715"/>
      <c r="AH30" t="s">
        <v>296</v>
      </c>
      <c r="AI30" s="718">
        <f t="shared" si="1"/>
        <v>0</v>
      </c>
      <c r="AJ30" s="122">
        <f t="shared" si="2"/>
        <v>0</v>
      </c>
      <c r="AK30" s="122">
        <f>Table12[[#This Row],[No. of  Male adults aged 18 - 60]]</f>
        <v>0</v>
      </c>
      <c r="AL30" s="122">
        <f>Table12[[#This Row],[No. of Female adults aged 18 - 60]]</f>
        <v>0</v>
      </c>
      <c r="AM30" s="122">
        <f>Table12[[#This Row],[No. of Male adults aged over 60]]</f>
        <v>0</v>
      </c>
      <c r="AN30" s="719">
        <f>Table12[[#This Row],[No. Female adults aged over 60]]</f>
        <v>0</v>
      </c>
      <c r="AO30" s="122">
        <f t="shared" si="3"/>
        <v>0</v>
      </c>
    </row>
    <row r="31" spans="1:41" x14ac:dyDescent="0.55000000000000004">
      <c r="A31" t="s">
        <v>292</v>
      </c>
      <c r="B31" t="s">
        <v>298</v>
      </c>
      <c r="C31">
        <v>3</v>
      </c>
      <c r="D31">
        <v>4</v>
      </c>
      <c r="E31" s="22"/>
      <c r="F31" s="433">
        <v>0</v>
      </c>
      <c r="G31" s="433">
        <f>SUM(Table12[[#This Row],[Refugees]:[Target(1&amp;2)50% (3)priority]])</f>
        <v>0</v>
      </c>
      <c r="H31" s="19">
        <v>8.1100000000000005E-2</v>
      </c>
      <c r="I31" s="715">
        <f>Table12[[#This Row],[Target(1-3)priority with REFUGEES]]*Table12[[#This Row],[% Male children under 5]]</f>
        <v>0</v>
      </c>
      <c r="J31" s="19">
        <v>5.57E-2</v>
      </c>
      <c r="K31" s="715">
        <f>Table12[[#This Row],[Target(1-3)priority with REFUGEES]]*Table12[[#This Row],[% Female children under 5]]</f>
        <v>0</v>
      </c>
      <c r="L31" s="19">
        <v>0.221</v>
      </c>
      <c r="M31" s="715">
        <f>Table12[[#This Row],[Target(1-3)priority with REFUGEES]]*Table12[[#This Row],[% Male children aged 5 - 17 years]]</f>
        <v>0</v>
      </c>
      <c r="N31" s="19">
        <v>0.22600000000000001</v>
      </c>
      <c r="O31" s="715">
        <f>Table12[[#This Row],[Target(1-3)priority with REFUGEES]]*Table12[[#This Row],[% Female children aged 5 - 17 years]]</f>
        <v>0</v>
      </c>
      <c r="P31" s="19">
        <v>0.19600000000000001</v>
      </c>
      <c r="Q31" s="715">
        <f>Table12[[#This Row],[Target(1-3)priority with REFUGEES]]*Table12[[#This Row],[% Male adults aged 18 - 60]]</f>
        <v>0</v>
      </c>
      <c r="R31" s="19">
        <v>0.193</v>
      </c>
      <c r="S31" s="715">
        <f>Table12[[#This Row],[Target(1-3)priority with REFUGEES]]*Table12[[#This Row],[% Female adults aged 18 - 60]]</f>
        <v>0</v>
      </c>
      <c r="T31" s="19">
        <v>1.03E-2</v>
      </c>
      <c r="U31" s="715">
        <f>Table12[[#This Row],[Target(1-3)priority with REFUGEES]]*Table12[[#This Row],[% Male adults aged over 60]]</f>
        <v>0</v>
      </c>
      <c r="V31" s="19">
        <v>1.6899999999999998E-2</v>
      </c>
      <c r="W31" s="715">
        <f>Table12[[#This Row],[Target(1-3)priority with REFUGEES]]*Table12[[#This Row],[% Female adults aged over 60]]</f>
        <v>0</v>
      </c>
      <c r="X31" s="412">
        <v>10908.200228092875</v>
      </c>
      <c r="Z31" s="715"/>
      <c r="AH31" t="s">
        <v>298</v>
      </c>
      <c r="AI31" s="718">
        <f t="shared" si="1"/>
        <v>0</v>
      </c>
      <c r="AJ31" s="122">
        <f t="shared" si="2"/>
        <v>0</v>
      </c>
      <c r="AK31" s="122">
        <f>Table12[[#This Row],[No. of  Male adults aged 18 - 60]]</f>
        <v>0</v>
      </c>
      <c r="AL31" s="122">
        <f>Table12[[#This Row],[No. of Female adults aged 18 - 60]]</f>
        <v>0</v>
      </c>
      <c r="AM31" s="122">
        <f>Table12[[#This Row],[No. of Male adults aged over 60]]</f>
        <v>0</v>
      </c>
      <c r="AN31" s="719">
        <f>Table12[[#This Row],[No. Female adults aged over 60]]</f>
        <v>0</v>
      </c>
      <c r="AO31" s="122">
        <f t="shared" si="3"/>
        <v>0</v>
      </c>
    </row>
    <row r="32" spans="1:41" x14ac:dyDescent="0.55000000000000004">
      <c r="A32" t="s">
        <v>292</v>
      </c>
      <c r="B32" t="s">
        <v>300</v>
      </c>
      <c r="C32">
        <v>3</v>
      </c>
      <c r="D32">
        <v>4</v>
      </c>
      <c r="E32" s="22"/>
      <c r="F32" s="433">
        <v>0</v>
      </c>
      <c r="G32" s="433">
        <f>SUM(Table12[[#This Row],[Refugees]:[Target(1&amp;2)50% (3)priority]])</f>
        <v>0</v>
      </c>
      <c r="H32" s="19">
        <v>9.2799999999999994E-2</v>
      </c>
      <c r="I32" s="715">
        <f>Table12[[#This Row],[Target(1-3)priority with REFUGEES]]*Table12[[#This Row],[% Male children under 5]]</f>
        <v>0</v>
      </c>
      <c r="J32" s="19">
        <v>7.8200000000000006E-2</v>
      </c>
      <c r="K32" s="715">
        <f>Table12[[#This Row],[Target(1-3)priority with REFUGEES]]*Table12[[#This Row],[% Female children under 5]]</f>
        <v>0</v>
      </c>
      <c r="L32" s="19">
        <v>0.18290000000000001</v>
      </c>
      <c r="M32" s="715">
        <f>Table12[[#This Row],[Target(1-3)priority with REFUGEES]]*Table12[[#This Row],[% Male children aged 5 - 17 years]]</f>
        <v>0</v>
      </c>
      <c r="N32" s="19">
        <v>0.20399999999999999</v>
      </c>
      <c r="O32" s="715">
        <f>Table12[[#This Row],[Target(1-3)priority with REFUGEES]]*Table12[[#This Row],[% Female children aged 5 - 17 years]]</f>
        <v>0</v>
      </c>
      <c r="P32" s="19">
        <v>0.19900000000000001</v>
      </c>
      <c r="Q32" s="715">
        <f>Table12[[#This Row],[Target(1-3)priority with REFUGEES]]*Table12[[#This Row],[% Male adults aged 18 - 60]]</f>
        <v>0</v>
      </c>
      <c r="R32" s="19">
        <v>0.2</v>
      </c>
      <c r="S32" s="715">
        <f>Table12[[#This Row],[Target(1-3)priority with REFUGEES]]*Table12[[#This Row],[% Female adults aged 18 - 60]]</f>
        <v>0</v>
      </c>
      <c r="T32" s="19">
        <v>1.5799999999999998E-2</v>
      </c>
      <c r="U32" s="715">
        <f>Table12[[#This Row],[Target(1-3)priority with REFUGEES]]*Table12[[#This Row],[% Male adults aged over 60]]</f>
        <v>0</v>
      </c>
      <c r="V32" s="19">
        <v>2.7300000000000001E-2</v>
      </c>
      <c r="W32" s="715">
        <f>Table12[[#This Row],[Target(1-3)priority with REFUGEES]]*Table12[[#This Row],[% Female adults aged over 60]]</f>
        <v>0</v>
      </c>
      <c r="X32" s="412">
        <v>10044</v>
      </c>
      <c r="Z32" s="715"/>
      <c r="AH32" t="s">
        <v>300</v>
      </c>
      <c r="AI32" s="718">
        <f t="shared" si="1"/>
        <v>0</v>
      </c>
      <c r="AJ32" s="122">
        <f t="shared" si="2"/>
        <v>0</v>
      </c>
      <c r="AK32" s="122">
        <f>Table12[[#This Row],[No. of  Male adults aged 18 - 60]]</f>
        <v>0</v>
      </c>
      <c r="AL32" s="122">
        <f>Table12[[#This Row],[No. of Female adults aged 18 - 60]]</f>
        <v>0</v>
      </c>
      <c r="AM32" s="122">
        <f>Table12[[#This Row],[No. of Male adults aged over 60]]</f>
        <v>0</v>
      </c>
      <c r="AN32" s="719">
        <f>Table12[[#This Row],[No. Female adults aged over 60]]</f>
        <v>0</v>
      </c>
      <c r="AO32" s="122">
        <f t="shared" si="3"/>
        <v>0</v>
      </c>
    </row>
    <row r="33" spans="1:41" x14ac:dyDescent="0.55000000000000004">
      <c r="A33" t="s">
        <v>292</v>
      </c>
      <c r="B33" t="s">
        <v>302</v>
      </c>
      <c r="C33">
        <v>3</v>
      </c>
      <c r="D33">
        <v>3</v>
      </c>
      <c r="E33" s="22"/>
      <c r="F33" s="433">
        <v>15720.675547155803</v>
      </c>
      <c r="G33" s="433">
        <f>SUM(Table12[[#This Row],[Refugees]:[Target(1&amp;2)50% (3)priority]])</f>
        <v>15720.675547155803</v>
      </c>
      <c r="H33" s="19">
        <v>9.5500000000000002E-2</v>
      </c>
      <c r="I33" s="715">
        <f>Table12[[#This Row],[Target(1-3)priority with REFUGEES]]*Table12[[#This Row],[% Male children under 5]]</f>
        <v>1501.3245147533792</v>
      </c>
      <c r="J33" s="19">
        <v>9.7600000000000006E-2</v>
      </c>
      <c r="K33" s="715">
        <f>Table12[[#This Row],[Target(1-3)priority with REFUGEES]]*Table12[[#This Row],[% Female children under 5]]</f>
        <v>1534.3379334024064</v>
      </c>
      <c r="L33" s="19">
        <v>0.20299999999999999</v>
      </c>
      <c r="M33" s="715">
        <f>Table12[[#This Row],[Target(1-3)priority with REFUGEES]]*Table12[[#This Row],[% Male children aged 5 - 17 years]]</f>
        <v>3191.2971360726278</v>
      </c>
      <c r="N33" s="19">
        <v>0.216</v>
      </c>
      <c r="O33" s="715">
        <f>Table12[[#This Row],[Target(1-3)priority with REFUGEES]]*Table12[[#This Row],[% Female children aged 5 - 17 years]]</f>
        <v>3395.6659181856535</v>
      </c>
      <c r="P33" s="19">
        <v>0.151</v>
      </c>
      <c r="Q33" s="715">
        <f>Table12[[#This Row],[Target(1-3)priority with REFUGEES]]*Table12[[#This Row],[% Male adults aged 18 - 60]]</f>
        <v>2373.8220076205262</v>
      </c>
      <c r="R33" s="19">
        <v>0.17</v>
      </c>
      <c r="S33" s="715">
        <f>Table12[[#This Row],[Target(1-3)priority with REFUGEES]]*Table12[[#This Row],[% Female adults aged 18 - 60]]</f>
        <v>2672.5148430164868</v>
      </c>
      <c r="T33" s="19">
        <v>3.1699999999999999E-2</v>
      </c>
      <c r="U33" s="715">
        <f>Table12[[#This Row],[Target(1-3)priority with REFUGEES]]*Table12[[#This Row],[% Male adults aged over 60]]</f>
        <v>498.34541484483896</v>
      </c>
      <c r="V33" s="19">
        <v>3.5200000000000002E-2</v>
      </c>
      <c r="W33" s="715">
        <f>Table12[[#This Row],[Target(1-3)priority with REFUGEES]]*Table12[[#This Row],[% Female adults aged over 60]]</f>
        <v>553.36777925988429</v>
      </c>
      <c r="X33" s="412">
        <v>4071.6312520718625</v>
      </c>
      <c r="Z33" s="715"/>
      <c r="AH33" t="s">
        <v>302</v>
      </c>
      <c r="AI33" s="718">
        <f t="shared" si="1"/>
        <v>4692.6216508260068</v>
      </c>
      <c r="AJ33" s="122">
        <f t="shared" si="2"/>
        <v>4930.0038515880597</v>
      </c>
      <c r="AK33" s="122">
        <f>Table12[[#This Row],[No. of  Male adults aged 18 - 60]]</f>
        <v>2373.8220076205262</v>
      </c>
      <c r="AL33" s="122">
        <f>Table12[[#This Row],[No. of Female adults aged 18 - 60]]</f>
        <v>2672.5148430164868</v>
      </c>
      <c r="AM33" s="122">
        <f>Table12[[#This Row],[No. of Male adults aged over 60]]</f>
        <v>498.34541484483896</v>
      </c>
      <c r="AN33" s="719">
        <f>Table12[[#This Row],[No. Female adults aged over 60]]</f>
        <v>553.36777925988429</v>
      </c>
      <c r="AO33" s="122">
        <f t="shared" si="3"/>
        <v>15720.675547155801</v>
      </c>
    </row>
    <row r="34" spans="1:41" x14ac:dyDescent="0.55000000000000004">
      <c r="A34" t="s">
        <v>292</v>
      </c>
      <c r="B34" t="s">
        <v>304</v>
      </c>
      <c r="C34">
        <v>3</v>
      </c>
      <c r="D34">
        <v>5</v>
      </c>
      <c r="E34" s="22"/>
      <c r="F34" s="433">
        <v>0</v>
      </c>
      <c r="G34" s="433">
        <f>SUM(Table12[[#This Row],[Refugees]:[Target(1&amp;2)50% (3)priority]])</f>
        <v>0</v>
      </c>
      <c r="H34" s="19">
        <v>8.0500000000000002E-2</v>
      </c>
      <c r="I34" s="715">
        <f>Table12[[#This Row],[Target(1-3)priority with REFUGEES]]*Table12[[#This Row],[% Male children under 5]]</f>
        <v>0</v>
      </c>
      <c r="J34" s="19">
        <v>7.0599999999999996E-2</v>
      </c>
      <c r="K34" s="715">
        <f>Table12[[#This Row],[Target(1-3)priority with REFUGEES]]*Table12[[#This Row],[% Female children under 5]]</f>
        <v>0</v>
      </c>
      <c r="L34" s="19">
        <v>0.21700000000000003</v>
      </c>
      <c r="M34" s="715">
        <f>Table12[[#This Row],[Target(1-3)priority with REFUGEES]]*Table12[[#This Row],[% Male children aged 5 - 17 years]]</f>
        <v>0</v>
      </c>
      <c r="N34" s="19">
        <v>0.184</v>
      </c>
      <c r="O34" s="715">
        <f>Table12[[#This Row],[Target(1-3)priority with REFUGEES]]*Table12[[#This Row],[% Female children aged 5 - 17 years]]</f>
        <v>0</v>
      </c>
      <c r="P34" s="19">
        <v>0.19800000000000001</v>
      </c>
      <c r="Q34" s="715">
        <f>Table12[[#This Row],[Target(1-3)priority with REFUGEES]]*Table12[[#This Row],[% Male adults aged 18 - 60]]</f>
        <v>0</v>
      </c>
      <c r="R34" s="19">
        <v>0.188</v>
      </c>
      <c r="S34" s="715">
        <f>Table12[[#This Row],[Target(1-3)priority with REFUGEES]]*Table12[[#This Row],[% Female adults aged 18 - 60]]</f>
        <v>0</v>
      </c>
      <c r="T34" s="19">
        <v>2.8199999999999996E-2</v>
      </c>
      <c r="U34" s="715">
        <f>Table12[[#This Row],[Target(1-3)priority with REFUGEES]]*Table12[[#This Row],[% Male adults aged over 60]]</f>
        <v>0</v>
      </c>
      <c r="V34" s="19">
        <v>3.3700000000000001E-2</v>
      </c>
      <c r="W34" s="715">
        <f>Table12[[#This Row],[Target(1-3)priority with REFUGEES]]*Table12[[#This Row],[% Female adults aged over 60]]</f>
        <v>0</v>
      </c>
      <c r="X34" s="412">
        <v>0</v>
      </c>
      <c r="Z34" s="715"/>
      <c r="AH34" t="s">
        <v>304</v>
      </c>
      <c r="AI34" s="718">
        <f t="shared" si="1"/>
        <v>0</v>
      </c>
      <c r="AJ34" s="122">
        <f t="shared" si="2"/>
        <v>0</v>
      </c>
      <c r="AK34" s="122">
        <f>Table12[[#This Row],[No. of  Male adults aged 18 - 60]]</f>
        <v>0</v>
      </c>
      <c r="AL34" s="122">
        <f>Table12[[#This Row],[No. of Female adults aged 18 - 60]]</f>
        <v>0</v>
      </c>
      <c r="AM34" s="122">
        <f>Table12[[#This Row],[No. of Male adults aged over 60]]</f>
        <v>0</v>
      </c>
      <c r="AN34" s="719">
        <f>Table12[[#This Row],[No. Female adults aged over 60]]</f>
        <v>0</v>
      </c>
      <c r="AO34" s="122">
        <f t="shared" si="3"/>
        <v>0</v>
      </c>
    </row>
    <row r="35" spans="1:41" x14ac:dyDescent="0.55000000000000004">
      <c r="A35" t="s">
        <v>292</v>
      </c>
      <c r="B35" t="s">
        <v>306</v>
      </c>
      <c r="C35">
        <v>3</v>
      </c>
      <c r="D35">
        <v>3</v>
      </c>
      <c r="E35" s="22"/>
      <c r="F35" s="433">
        <v>28700.174548798881</v>
      </c>
      <c r="G35" s="433">
        <f>SUM(Table12[[#This Row],[Refugees]:[Target(1&amp;2)50% (3)priority]])</f>
        <v>28700.174548798881</v>
      </c>
      <c r="H35" s="19">
        <v>0.108</v>
      </c>
      <c r="I35" s="715">
        <f>Table12[[#This Row],[Target(1-3)priority with REFUGEES]]*Table12[[#This Row],[% Male children under 5]]</f>
        <v>3099.6188512702793</v>
      </c>
      <c r="J35" s="19">
        <v>9.6000000000000002E-2</v>
      </c>
      <c r="K35" s="715">
        <f>Table12[[#This Row],[Target(1-3)priority with REFUGEES]]*Table12[[#This Row],[% Female children under 5]]</f>
        <v>2755.2167566846924</v>
      </c>
      <c r="L35" s="19">
        <v>0.159</v>
      </c>
      <c r="M35" s="715">
        <f>Table12[[#This Row],[Target(1-3)priority with REFUGEES]]*Table12[[#This Row],[% Male children aged 5 - 17 years]]</f>
        <v>4563.3277532590218</v>
      </c>
      <c r="N35" s="19">
        <v>0.17100000000000001</v>
      </c>
      <c r="O35" s="715">
        <f>Table12[[#This Row],[Target(1-3)priority with REFUGEES]]*Table12[[#This Row],[% Female children aged 5 - 17 years]]</f>
        <v>4907.7298478446091</v>
      </c>
      <c r="P35" s="19">
        <v>0.20300000000000001</v>
      </c>
      <c r="Q35" s="715">
        <f>Table12[[#This Row],[Target(1-3)priority with REFUGEES]]*Table12[[#This Row],[% Male adults aged 18 - 60]]</f>
        <v>5826.1354334061734</v>
      </c>
      <c r="R35" s="19">
        <v>0.19600000000000001</v>
      </c>
      <c r="S35" s="715">
        <f>Table12[[#This Row],[Target(1-3)priority with REFUGEES]]*Table12[[#This Row],[% Female adults aged 18 - 60]]</f>
        <v>5625.2342115645806</v>
      </c>
      <c r="T35" s="19">
        <v>2.5600000000000005E-2</v>
      </c>
      <c r="U35" s="715">
        <f>Table12[[#This Row],[Target(1-3)priority with REFUGEES]]*Table12[[#This Row],[% Male adults aged over 60]]</f>
        <v>734.7244684492515</v>
      </c>
      <c r="V35" s="19">
        <v>4.1399999999999999E-2</v>
      </c>
      <c r="W35" s="715">
        <f>Table12[[#This Row],[Target(1-3)priority with REFUGEES]]*Table12[[#This Row],[% Female adults aged over 60]]</f>
        <v>1188.1872263202736</v>
      </c>
      <c r="X35" s="412">
        <v>7180.1950561239255</v>
      </c>
      <c r="Z35" s="715"/>
      <c r="AH35" t="s">
        <v>306</v>
      </c>
      <c r="AI35" s="718">
        <f t="shared" si="1"/>
        <v>7662.9466045293011</v>
      </c>
      <c r="AJ35" s="122">
        <f t="shared" si="2"/>
        <v>7662.9466045293011</v>
      </c>
      <c r="AK35" s="122">
        <f>Table12[[#This Row],[No. of  Male adults aged 18 - 60]]</f>
        <v>5826.1354334061734</v>
      </c>
      <c r="AL35" s="122">
        <f>Table12[[#This Row],[No. of Female adults aged 18 - 60]]</f>
        <v>5625.2342115645806</v>
      </c>
      <c r="AM35" s="122">
        <f>Table12[[#This Row],[No. of Male adults aged over 60]]</f>
        <v>734.7244684492515</v>
      </c>
      <c r="AN35" s="719">
        <f>Table12[[#This Row],[No. Female adults aged over 60]]</f>
        <v>1188.1872263202736</v>
      </c>
      <c r="AO35" s="122">
        <f t="shared" si="3"/>
        <v>28700.174548798881</v>
      </c>
    </row>
    <row r="36" spans="1:41" x14ac:dyDescent="0.55000000000000004">
      <c r="A36" t="s">
        <v>292</v>
      </c>
      <c r="B36" t="s">
        <v>308</v>
      </c>
      <c r="C36">
        <v>3</v>
      </c>
      <c r="D36">
        <v>4</v>
      </c>
      <c r="E36" s="22"/>
      <c r="F36" s="433">
        <v>0</v>
      </c>
      <c r="G36" s="433">
        <f>SUM(Table12[[#This Row],[Refugees]:[Target(1&amp;2)50% (3)priority]])</f>
        <v>0</v>
      </c>
      <c r="H36" s="19">
        <v>8.9200000000000002E-2</v>
      </c>
      <c r="I36" s="715">
        <f>Table12[[#This Row],[Target(1-3)priority with REFUGEES]]*Table12[[#This Row],[% Male children under 5]]</f>
        <v>0</v>
      </c>
      <c r="J36" s="19">
        <v>7.8E-2</v>
      </c>
      <c r="K36" s="715">
        <f>Table12[[#This Row],[Target(1-3)priority with REFUGEES]]*Table12[[#This Row],[% Female children under 5]]</f>
        <v>0</v>
      </c>
      <c r="L36" s="19">
        <v>0.16700000000000001</v>
      </c>
      <c r="M36" s="715">
        <f>Table12[[#This Row],[Target(1-3)priority with REFUGEES]]*Table12[[#This Row],[% Male children aged 5 - 17 years]]</f>
        <v>0</v>
      </c>
      <c r="N36" s="19">
        <v>0.20499999999999999</v>
      </c>
      <c r="O36" s="715">
        <f>Table12[[#This Row],[Target(1-3)priority with REFUGEES]]*Table12[[#This Row],[% Female children aged 5 - 17 years]]</f>
        <v>0</v>
      </c>
      <c r="P36" s="19">
        <v>0.21000000000000002</v>
      </c>
      <c r="Q36" s="715">
        <f>Table12[[#This Row],[Target(1-3)priority with REFUGEES]]*Table12[[#This Row],[% Male adults aged 18 - 60]]</f>
        <v>0</v>
      </c>
      <c r="R36" s="19">
        <v>0.17199999999999999</v>
      </c>
      <c r="S36" s="715">
        <f>Table12[[#This Row],[Target(1-3)priority with REFUGEES]]*Table12[[#This Row],[% Female adults aged 18 - 60]]</f>
        <v>0</v>
      </c>
      <c r="T36" s="19">
        <v>3.0799999999999994E-2</v>
      </c>
      <c r="U36" s="715">
        <f>Table12[[#This Row],[Target(1-3)priority with REFUGEES]]*Table12[[#This Row],[% Male adults aged over 60]]</f>
        <v>0</v>
      </c>
      <c r="V36" s="19">
        <v>4.8000000000000001E-2</v>
      </c>
      <c r="W36" s="715">
        <f>Table12[[#This Row],[Target(1-3)priority with REFUGEES]]*Table12[[#This Row],[% Female adults aged over 60]]</f>
        <v>0</v>
      </c>
      <c r="X36" s="412">
        <v>8445.5047888726203</v>
      </c>
      <c r="Z36" s="715"/>
      <c r="AH36" t="s">
        <v>308</v>
      </c>
      <c r="AI36" s="718">
        <f t="shared" si="1"/>
        <v>0</v>
      </c>
      <c r="AJ36" s="122">
        <f t="shared" si="2"/>
        <v>0</v>
      </c>
      <c r="AK36" s="122">
        <f>Table12[[#This Row],[No. of  Male adults aged 18 - 60]]</f>
        <v>0</v>
      </c>
      <c r="AL36" s="122">
        <f>Table12[[#This Row],[No. of Female adults aged 18 - 60]]</f>
        <v>0</v>
      </c>
      <c r="AM36" s="122">
        <f>Table12[[#This Row],[No. of Male adults aged over 60]]</f>
        <v>0</v>
      </c>
      <c r="AN36" s="719">
        <f>Table12[[#This Row],[No. Female adults aged over 60]]</f>
        <v>0</v>
      </c>
      <c r="AO36" s="122">
        <f t="shared" si="3"/>
        <v>0</v>
      </c>
    </row>
    <row r="37" spans="1:41" x14ac:dyDescent="0.55000000000000004">
      <c r="A37" t="s">
        <v>310</v>
      </c>
      <c r="B37" t="s">
        <v>312</v>
      </c>
      <c r="C37">
        <v>3</v>
      </c>
      <c r="D37">
        <v>4</v>
      </c>
      <c r="E37" s="22"/>
      <c r="F37" s="433">
        <v>0</v>
      </c>
      <c r="G37" s="433">
        <f>SUM(Table12[[#This Row],[Refugees]:[Target(1&amp;2)50% (3)priority]])</f>
        <v>0</v>
      </c>
      <c r="H37" s="19">
        <v>0.17699999999999999</v>
      </c>
      <c r="I37" s="715">
        <f>Table12[[#This Row],[Target(1-3)priority with REFUGEES]]*Table12[[#This Row],[% Male children under 5]]</f>
        <v>0</v>
      </c>
      <c r="J37" s="19">
        <v>0.13900000000000001</v>
      </c>
      <c r="K37" s="715">
        <f>Table12[[#This Row],[Target(1-3)priority with REFUGEES]]*Table12[[#This Row],[% Female children under 5]]</f>
        <v>0</v>
      </c>
      <c r="L37" s="19">
        <v>0.14069999999999999</v>
      </c>
      <c r="M37" s="715">
        <f>Table12[[#This Row],[Target(1-3)priority with REFUGEES]]*Table12[[#This Row],[% Male children aged 5 - 17 years]]</f>
        <v>0</v>
      </c>
      <c r="N37" s="19">
        <v>0.13300000000000001</v>
      </c>
      <c r="O37" s="715">
        <f>Table12[[#This Row],[Target(1-3)priority with REFUGEES]]*Table12[[#This Row],[% Female children aged 5 - 17 years]]</f>
        <v>0</v>
      </c>
      <c r="P37" s="19">
        <v>0.14899999999999999</v>
      </c>
      <c r="Q37" s="715">
        <f>Table12[[#This Row],[Target(1-3)priority with REFUGEES]]*Table12[[#This Row],[% Male adults aged 18 - 60]]</f>
        <v>0</v>
      </c>
      <c r="R37" s="19">
        <v>0.16900000000000001</v>
      </c>
      <c r="S37" s="715">
        <f>Table12[[#This Row],[Target(1-3)priority with REFUGEES]]*Table12[[#This Row],[% Female adults aged 18 - 60]]</f>
        <v>0</v>
      </c>
      <c r="T37" s="19">
        <v>3.7099999999999994E-2</v>
      </c>
      <c r="U37" s="715">
        <f>Table12[[#This Row],[Target(1-3)priority with REFUGEES]]*Table12[[#This Row],[% Male adults aged over 60]]</f>
        <v>0</v>
      </c>
      <c r="V37" s="19">
        <v>5.5199999999999999E-2</v>
      </c>
      <c r="W37" s="715">
        <f>Table12[[#This Row],[Target(1-3)priority with REFUGEES]]*Table12[[#This Row],[% Female adults aged over 60]]</f>
        <v>0</v>
      </c>
      <c r="X37" s="412">
        <v>5793.9481055831857</v>
      </c>
      <c r="Z37" s="715"/>
      <c r="AH37" t="s">
        <v>312</v>
      </c>
      <c r="AI37" s="718">
        <f t="shared" si="1"/>
        <v>0</v>
      </c>
      <c r="AJ37" s="122">
        <f t="shared" si="2"/>
        <v>0</v>
      </c>
      <c r="AK37" s="122">
        <f>Table12[[#This Row],[No. of  Male adults aged 18 - 60]]</f>
        <v>0</v>
      </c>
      <c r="AL37" s="122">
        <f>Table12[[#This Row],[No. of Female adults aged 18 - 60]]</f>
        <v>0</v>
      </c>
      <c r="AM37" s="122">
        <f>Table12[[#This Row],[No. of Male adults aged over 60]]</f>
        <v>0</v>
      </c>
      <c r="AN37" s="719">
        <f>Table12[[#This Row],[No. Female adults aged over 60]]</f>
        <v>0</v>
      </c>
      <c r="AO37" s="122">
        <f t="shared" si="3"/>
        <v>0</v>
      </c>
    </row>
    <row r="38" spans="1:41" x14ac:dyDescent="0.55000000000000004">
      <c r="A38" t="s">
        <v>310</v>
      </c>
      <c r="B38" t="s">
        <v>314</v>
      </c>
      <c r="C38">
        <v>4</v>
      </c>
      <c r="D38">
        <v>2</v>
      </c>
      <c r="E38" s="22"/>
      <c r="F38" s="433">
        <v>156501.023632361</v>
      </c>
      <c r="G38" s="433">
        <f>SUM(Table12[[#This Row],[Refugees]:[Target(1&amp;2)50% (3)priority]])</f>
        <v>156501.023632361</v>
      </c>
      <c r="H38" s="19">
        <v>8.5400000000000004E-2</v>
      </c>
      <c r="I38" s="715">
        <f>Table12[[#This Row],[Target(1-3)priority with REFUGEES]]*Table12[[#This Row],[% Male children under 5]]</f>
        <v>13365.18741820363</v>
      </c>
      <c r="J38" s="19">
        <v>9.3399999999999997E-2</v>
      </c>
      <c r="K38" s="715">
        <f>Table12[[#This Row],[Target(1-3)priority with REFUGEES]]*Table12[[#This Row],[% Female children under 5]]</f>
        <v>14617.195607262516</v>
      </c>
      <c r="L38" s="19">
        <v>0.20280000000000001</v>
      </c>
      <c r="M38" s="715">
        <f>Table12[[#This Row],[Target(1-3)priority with REFUGEES]]*Table12[[#This Row],[% Male children aged 5 - 17 years]]</f>
        <v>31738.407592642812</v>
      </c>
      <c r="N38" s="19">
        <v>0.21299999999999999</v>
      </c>
      <c r="O38" s="715">
        <f>Table12[[#This Row],[Target(1-3)priority with REFUGEES]]*Table12[[#This Row],[% Female children aged 5 - 17 years]]</f>
        <v>33334.718033692894</v>
      </c>
      <c r="P38" s="19">
        <v>0.15600000000000003</v>
      </c>
      <c r="Q38" s="715">
        <f>Table12[[#This Row],[Target(1-3)priority with REFUGEES]]*Table12[[#This Row],[% Male adults aged 18 - 60]]</f>
        <v>24414.15968664832</v>
      </c>
      <c r="R38" s="19">
        <v>0.18</v>
      </c>
      <c r="S38" s="715">
        <f>Table12[[#This Row],[Target(1-3)priority with REFUGEES]]*Table12[[#This Row],[% Female adults aged 18 - 60]]</f>
        <v>28170.18425382498</v>
      </c>
      <c r="T38" s="19">
        <v>2.7000000000000003E-2</v>
      </c>
      <c r="U38" s="715">
        <f>Table12[[#This Row],[Target(1-3)priority with REFUGEES]]*Table12[[#This Row],[% Male adults aged over 60]]</f>
        <v>4225.5276380737478</v>
      </c>
      <c r="V38" s="19">
        <v>4.24E-2</v>
      </c>
      <c r="W38" s="715">
        <f>Table12[[#This Row],[Target(1-3)priority with REFUGEES]]*Table12[[#This Row],[% Female adults aged over 60]]</f>
        <v>6635.6434020121069</v>
      </c>
      <c r="X38" s="412">
        <v>26356.853556142541</v>
      </c>
      <c r="Z38" s="715"/>
      <c r="AH38" t="s">
        <v>314</v>
      </c>
      <c r="AI38" s="718">
        <f t="shared" si="1"/>
        <v>45103.595010846446</v>
      </c>
      <c r="AJ38" s="122">
        <f t="shared" si="2"/>
        <v>47951.913640955412</v>
      </c>
      <c r="AK38" s="122">
        <f>Table12[[#This Row],[No. of  Male adults aged 18 - 60]]</f>
        <v>24414.15968664832</v>
      </c>
      <c r="AL38" s="122">
        <f>Table12[[#This Row],[No. of Female adults aged 18 - 60]]</f>
        <v>28170.18425382498</v>
      </c>
      <c r="AM38" s="122">
        <f>Table12[[#This Row],[No. of Male adults aged over 60]]</f>
        <v>4225.5276380737478</v>
      </c>
      <c r="AN38" s="719">
        <f>Table12[[#This Row],[No. Female adults aged over 60]]</f>
        <v>6635.6434020121069</v>
      </c>
      <c r="AO38" s="122">
        <f t="shared" si="3"/>
        <v>156501.023632361</v>
      </c>
    </row>
    <row r="39" spans="1:41" x14ac:dyDescent="0.55000000000000004">
      <c r="A39" t="s">
        <v>310</v>
      </c>
      <c r="B39" t="s">
        <v>316</v>
      </c>
      <c r="C39">
        <v>3</v>
      </c>
      <c r="D39">
        <v>2</v>
      </c>
      <c r="E39" s="22"/>
      <c r="F39" s="433">
        <v>80557.063480570258</v>
      </c>
      <c r="G39" s="433">
        <f>SUM(Table12[[#This Row],[Refugees]:[Target(1&amp;2)50% (3)priority]])</f>
        <v>80557.063480570258</v>
      </c>
      <c r="H39" s="19">
        <v>7.9600000000000004E-2</v>
      </c>
      <c r="I39" s="715">
        <f>Table12[[#This Row],[Target(1-3)priority with REFUGEES]]*Table12[[#This Row],[% Male children under 5]]</f>
        <v>6412.3422530533926</v>
      </c>
      <c r="J39" s="19">
        <v>6.7799999999999999E-2</v>
      </c>
      <c r="K39" s="715">
        <f>Table12[[#This Row],[Target(1-3)priority with REFUGEES]]*Table12[[#This Row],[% Female children under 5]]</f>
        <v>5461.7689039826637</v>
      </c>
      <c r="L39" s="19">
        <v>0.20219999999999999</v>
      </c>
      <c r="M39" s="715">
        <f>Table12[[#This Row],[Target(1-3)priority with REFUGEES]]*Table12[[#This Row],[% Male children aged 5 - 17 years]]</f>
        <v>16288.638235771305</v>
      </c>
      <c r="N39" s="19">
        <v>0.23599999999999999</v>
      </c>
      <c r="O39" s="715">
        <f>Table12[[#This Row],[Target(1-3)priority with REFUGEES]]*Table12[[#This Row],[% Female children aged 5 - 17 years]]</f>
        <v>19011.466981414578</v>
      </c>
      <c r="P39" s="19">
        <v>0.15400000000000003</v>
      </c>
      <c r="Q39" s="715">
        <f>Table12[[#This Row],[Target(1-3)priority with REFUGEES]]*Table12[[#This Row],[% Male adults aged 18 - 60]]</f>
        <v>12405.787776007821</v>
      </c>
      <c r="R39" s="19">
        <v>0.188</v>
      </c>
      <c r="S39" s="715">
        <f>Table12[[#This Row],[Target(1-3)priority with REFUGEES]]*Table12[[#This Row],[% Female adults aged 18 - 60]]</f>
        <v>15144.727934347209</v>
      </c>
      <c r="T39" s="19">
        <v>3.6700000000000003E-2</v>
      </c>
      <c r="U39" s="715">
        <f>Table12[[#This Row],[Target(1-3)priority with REFUGEES]]*Table12[[#This Row],[% Male adults aged over 60]]</f>
        <v>2956.4442297369287</v>
      </c>
      <c r="V39" s="19">
        <v>3.5700000000000003E-2</v>
      </c>
      <c r="W39" s="715">
        <f>Table12[[#This Row],[Target(1-3)priority with REFUGEES]]*Table12[[#This Row],[% Female adults aged over 60]]</f>
        <v>2875.8871662563583</v>
      </c>
      <c r="X39" s="412">
        <v>10759.92193372275</v>
      </c>
      <c r="Z39" s="715"/>
      <c r="AH39" t="s">
        <v>316</v>
      </c>
      <c r="AI39" s="718">
        <f t="shared" si="1"/>
        <v>22700.980488824698</v>
      </c>
      <c r="AJ39" s="122">
        <f t="shared" si="2"/>
        <v>24473.23588539724</v>
      </c>
      <c r="AK39" s="122">
        <f>Table12[[#This Row],[No. of  Male adults aged 18 - 60]]</f>
        <v>12405.787776007821</v>
      </c>
      <c r="AL39" s="122">
        <f>Table12[[#This Row],[No. of Female adults aged 18 - 60]]</f>
        <v>15144.727934347209</v>
      </c>
      <c r="AM39" s="122">
        <f>Table12[[#This Row],[No. of Male adults aged over 60]]</f>
        <v>2956.4442297369287</v>
      </c>
      <c r="AN39" s="719">
        <f>Table12[[#This Row],[No. Female adults aged over 60]]</f>
        <v>2875.8871662563583</v>
      </c>
      <c r="AO39" s="122">
        <f t="shared" si="3"/>
        <v>80557.063480570258</v>
      </c>
    </row>
    <row r="40" spans="1:41" x14ac:dyDescent="0.55000000000000004">
      <c r="A40" t="s">
        <v>310</v>
      </c>
      <c r="B40" t="s">
        <v>318</v>
      </c>
      <c r="C40">
        <v>3</v>
      </c>
      <c r="D40">
        <v>2</v>
      </c>
      <c r="E40" s="22"/>
      <c r="F40" s="433">
        <v>54949.948256062409</v>
      </c>
      <c r="G40" s="433">
        <f>SUM(Table12[[#This Row],[Refugees]:[Target(1&amp;2)50% (3)priority]])</f>
        <v>54949.948256062409</v>
      </c>
      <c r="H40" s="19">
        <v>0.11</v>
      </c>
      <c r="I40" s="715">
        <f>Table12[[#This Row],[Target(1-3)priority with REFUGEES]]*Table12[[#This Row],[% Male children under 5]]</f>
        <v>6044.4943081668653</v>
      </c>
      <c r="J40" s="19">
        <v>8.6599999999999996E-2</v>
      </c>
      <c r="K40" s="715">
        <f>Table12[[#This Row],[Target(1-3)priority with REFUGEES]]*Table12[[#This Row],[% Female children under 5]]</f>
        <v>4758.6655189750045</v>
      </c>
      <c r="L40" s="19">
        <v>0.1585</v>
      </c>
      <c r="M40" s="715">
        <f>Table12[[#This Row],[Target(1-3)priority with REFUGEES]]*Table12[[#This Row],[% Male children aged 5 - 17 years]]</f>
        <v>8709.5667985858927</v>
      </c>
      <c r="N40" s="19">
        <v>0.189</v>
      </c>
      <c r="O40" s="715">
        <f>Table12[[#This Row],[Target(1-3)priority with REFUGEES]]*Table12[[#This Row],[% Female children aged 5 - 17 years]]</f>
        <v>10385.540220395795</v>
      </c>
      <c r="P40" s="19">
        <v>0.19399999999999998</v>
      </c>
      <c r="Q40" s="715">
        <f>Table12[[#This Row],[Target(1-3)priority with REFUGEES]]*Table12[[#This Row],[% Male adults aged 18 - 60]]</f>
        <v>10660.289961676106</v>
      </c>
      <c r="R40" s="19">
        <v>0.23</v>
      </c>
      <c r="S40" s="715">
        <f>Table12[[#This Row],[Target(1-3)priority with REFUGEES]]*Table12[[#This Row],[% Female adults aged 18 - 60]]</f>
        <v>12638.488098894355</v>
      </c>
      <c r="T40" s="19">
        <v>1.5699999999999999E-2</v>
      </c>
      <c r="U40" s="715">
        <f>Table12[[#This Row],[Target(1-3)priority with REFUGEES]]*Table12[[#This Row],[% Male adults aged over 60]]</f>
        <v>862.7141876201797</v>
      </c>
      <c r="V40" s="19">
        <v>1.6199999999999999E-2</v>
      </c>
      <c r="W40" s="715">
        <f>Table12[[#This Row],[Target(1-3)priority with REFUGEES]]*Table12[[#This Row],[% Female adults aged over 60]]</f>
        <v>890.18916174821095</v>
      </c>
      <c r="X40" s="412">
        <v>13687.973076923075</v>
      </c>
      <c r="Z40" s="715"/>
      <c r="AH40" t="s">
        <v>318</v>
      </c>
      <c r="AI40" s="718">
        <f t="shared" si="1"/>
        <v>14754.061106752757</v>
      </c>
      <c r="AJ40" s="122">
        <f t="shared" si="2"/>
        <v>15144.205739370798</v>
      </c>
      <c r="AK40" s="122">
        <f>Table12[[#This Row],[No. of  Male adults aged 18 - 60]]</f>
        <v>10660.289961676106</v>
      </c>
      <c r="AL40" s="122">
        <f>Table12[[#This Row],[No. of Female adults aged 18 - 60]]</f>
        <v>12638.488098894355</v>
      </c>
      <c r="AM40" s="122">
        <f>Table12[[#This Row],[No. of Male adults aged over 60]]</f>
        <v>862.7141876201797</v>
      </c>
      <c r="AN40" s="719">
        <f>Table12[[#This Row],[No. Female adults aged over 60]]</f>
        <v>890.18916174821095</v>
      </c>
      <c r="AO40" s="122">
        <f t="shared" si="3"/>
        <v>54949.948256062402</v>
      </c>
    </row>
    <row r="41" spans="1:41" x14ac:dyDescent="0.55000000000000004">
      <c r="A41" t="s">
        <v>310</v>
      </c>
      <c r="B41" t="s">
        <v>320</v>
      </c>
      <c r="C41">
        <v>3</v>
      </c>
      <c r="D41">
        <v>3</v>
      </c>
      <c r="E41" s="22">
        <v>32016</v>
      </c>
      <c r="F41" s="433">
        <v>41446.915518430375</v>
      </c>
      <c r="G41" s="433">
        <f>SUM(Table12[[#This Row],[Refugees]:[Target(1&amp;2)50% (3)priority]])</f>
        <v>73462.915518430382</v>
      </c>
      <c r="H41" s="19">
        <v>0.10199999999999999</v>
      </c>
      <c r="I41" s="715">
        <f>Table12[[#This Row],[Target(1-3)priority with REFUGEES]]*Table12[[#This Row],[% Male children under 5]]</f>
        <v>7493.2173828798987</v>
      </c>
      <c r="J41" s="19">
        <v>0.11600000000000001</v>
      </c>
      <c r="K41" s="715">
        <f>Table12[[#This Row],[Target(1-3)priority with REFUGEES]]*Table12[[#This Row],[% Female children under 5]]</f>
        <v>8521.6982001379256</v>
      </c>
      <c r="L41" s="19">
        <v>0.191</v>
      </c>
      <c r="M41" s="715">
        <f>Table12[[#This Row],[Target(1-3)priority with REFUGEES]]*Table12[[#This Row],[% Male children aged 5 - 17 years]]</f>
        <v>14031.416864020202</v>
      </c>
      <c r="N41" s="19">
        <v>0.193</v>
      </c>
      <c r="O41" s="715">
        <f>Table12[[#This Row],[Target(1-3)priority with REFUGEES]]*Table12[[#This Row],[% Female children aged 5 - 17 years]]</f>
        <v>14178.342695057065</v>
      </c>
      <c r="P41" s="19">
        <v>0.17399999999999999</v>
      </c>
      <c r="Q41" s="715">
        <f>Table12[[#This Row],[Target(1-3)priority with REFUGEES]]*Table12[[#This Row],[% Male adults aged 18 - 60]]</f>
        <v>12782.547300206885</v>
      </c>
      <c r="R41" s="19">
        <v>0.18</v>
      </c>
      <c r="S41" s="715">
        <f>Table12[[#This Row],[Target(1-3)priority with REFUGEES]]*Table12[[#This Row],[% Female adults aged 18 - 60]]</f>
        <v>13223.324793317468</v>
      </c>
      <c r="T41" s="19">
        <v>2.18E-2</v>
      </c>
      <c r="U41" s="715">
        <f>Table12[[#This Row],[Target(1-3)priority with REFUGEES]]*Table12[[#This Row],[% Male adults aged over 60]]</f>
        <v>1601.4915583017823</v>
      </c>
      <c r="V41" s="19">
        <v>2.2200000000000001E-2</v>
      </c>
      <c r="W41" s="715">
        <f>Table12[[#This Row],[Target(1-3)priority with REFUGEES]]*Table12[[#This Row],[% Female adults aged over 60]]</f>
        <v>1630.8767245091547</v>
      </c>
      <c r="X41" s="412">
        <v>10868.454873870045</v>
      </c>
      <c r="Z41" s="715"/>
      <c r="AH41" t="s">
        <v>320</v>
      </c>
      <c r="AI41" s="718">
        <f t="shared" si="1"/>
        <v>21524.634246900103</v>
      </c>
      <c r="AJ41" s="122">
        <f t="shared" si="2"/>
        <v>22700.04089519499</v>
      </c>
      <c r="AK41" s="122">
        <f>Table12[[#This Row],[No. of  Male adults aged 18 - 60]]</f>
        <v>12782.547300206885</v>
      </c>
      <c r="AL41" s="122">
        <f>Table12[[#This Row],[No. of Female adults aged 18 - 60]]</f>
        <v>13223.324793317468</v>
      </c>
      <c r="AM41" s="122">
        <f>Table12[[#This Row],[No. of Male adults aged over 60]]</f>
        <v>1601.4915583017823</v>
      </c>
      <c r="AN41" s="719">
        <f>Table12[[#This Row],[No. Female adults aged over 60]]</f>
        <v>1630.8767245091547</v>
      </c>
      <c r="AO41" s="122">
        <f t="shared" si="3"/>
        <v>73462.915518430382</v>
      </c>
    </row>
    <row r="42" spans="1:41" x14ac:dyDescent="0.55000000000000004">
      <c r="A42" t="s">
        <v>322</v>
      </c>
      <c r="B42" t="s">
        <v>324</v>
      </c>
      <c r="C42">
        <v>3</v>
      </c>
      <c r="D42">
        <v>4</v>
      </c>
      <c r="E42" s="22"/>
      <c r="F42" s="433">
        <v>0</v>
      </c>
      <c r="G42" s="433">
        <f>SUM(Table12[[#This Row],[Refugees]:[Target(1&amp;2)50% (3)priority]])</f>
        <v>0</v>
      </c>
      <c r="H42" s="19">
        <v>9.9299999999999999E-2</v>
      </c>
      <c r="I42" s="715">
        <f>Table12[[#This Row],[Target(1-3)priority with REFUGEES]]*Table12[[#This Row],[% Male children under 5]]</f>
        <v>0</v>
      </c>
      <c r="J42" s="19">
        <v>8.5199999999999998E-2</v>
      </c>
      <c r="K42" s="715">
        <f>Table12[[#This Row],[Target(1-3)priority with REFUGEES]]*Table12[[#This Row],[% Female children under 5]]</f>
        <v>0</v>
      </c>
      <c r="L42" s="19">
        <v>0.1832</v>
      </c>
      <c r="M42" s="715">
        <f>Table12[[#This Row],[Target(1-3)priority with REFUGEES]]*Table12[[#This Row],[% Male children aged 5 - 17 years]]</f>
        <v>0</v>
      </c>
      <c r="N42" s="19">
        <v>0.16</v>
      </c>
      <c r="O42" s="715">
        <f>Table12[[#This Row],[Target(1-3)priority with REFUGEES]]*Table12[[#This Row],[% Female children aged 5 - 17 years]]</f>
        <v>0</v>
      </c>
      <c r="P42" s="19">
        <v>0.19899999999999998</v>
      </c>
      <c r="Q42" s="715">
        <f>Table12[[#This Row],[Target(1-3)priority with REFUGEES]]*Table12[[#This Row],[% Male adults aged 18 - 60]]</f>
        <v>0</v>
      </c>
      <c r="R42" s="19">
        <v>0.23300000000000001</v>
      </c>
      <c r="S42" s="715">
        <f>Table12[[#This Row],[Target(1-3)priority with REFUGEES]]*Table12[[#This Row],[% Female adults aged 18 - 60]]</f>
        <v>0</v>
      </c>
      <c r="T42" s="19">
        <v>1.8200000000000001E-2</v>
      </c>
      <c r="U42" s="715">
        <f>Table12[[#This Row],[Target(1-3)priority with REFUGEES]]*Table12[[#This Row],[% Male adults aged over 60]]</f>
        <v>0</v>
      </c>
      <c r="V42" s="19">
        <v>2.2100000000000002E-2</v>
      </c>
      <c r="W42" s="715">
        <f>Table12[[#This Row],[Target(1-3)priority with REFUGEES]]*Table12[[#This Row],[% Female adults aged over 60]]</f>
        <v>0</v>
      </c>
      <c r="X42" s="412">
        <v>28517.057380812359</v>
      </c>
      <c r="Z42" s="715"/>
      <c r="AH42" t="s">
        <v>324</v>
      </c>
      <c r="AI42" s="718">
        <f t="shared" si="1"/>
        <v>0</v>
      </c>
      <c r="AJ42" s="122">
        <f t="shared" si="2"/>
        <v>0</v>
      </c>
      <c r="AK42" s="122">
        <f>Table12[[#This Row],[No. of  Male adults aged 18 - 60]]</f>
        <v>0</v>
      </c>
      <c r="AL42" s="122">
        <f>Table12[[#This Row],[No. of Female adults aged 18 - 60]]</f>
        <v>0</v>
      </c>
      <c r="AM42" s="122">
        <f>Table12[[#This Row],[No. of Male adults aged over 60]]</f>
        <v>0</v>
      </c>
      <c r="AN42" s="719">
        <f>Table12[[#This Row],[No. Female adults aged over 60]]</f>
        <v>0</v>
      </c>
      <c r="AO42" s="122">
        <f t="shared" si="3"/>
        <v>0</v>
      </c>
    </row>
    <row r="43" spans="1:41" x14ac:dyDescent="0.55000000000000004">
      <c r="A43" t="s">
        <v>322</v>
      </c>
      <c r="B43" t="s">
        <v>326</v>
      </c>
      <c r="C43">
        <v>3</v>
      </c>
      <c r="D43">
        <v>3</v>
      </c>
      <c r="E43" s="22"/>
      <c r="F43" s="433">
        <v>20252.370367495067</v>
      </c>
      <c r="G43" s="433">
        <f>SUM(Table12[[#This Row],[Refugees]:[Target(1&amp;2)50% (3)priority]])</f>
        <v>20252.370367495067</v>
      </c>
      <c r="H43" s="19">
        <v>0.11700000000000001</v>
      </c>
      <c r="I43" s="715">
        <f>Table12[[#This Row],[Target(1-3)priority with REFUGEES]]*Table12[[#This Row],[% Male children under 5]]</f>
        <v>2369.5273329969227</v>
      </c>
      <c r="J43" s="19">
        <v>0.1009</v>
      </c>
      <c r="K43" s="715">
        <f>Table12[[#This Row],[Target(1-3)priority with REFUGEES]]*Table12[[#This Row],[% Female children under 5]]</f>
        <v>2043.4641700802522</v>
      </c>
      <c r="L43" s="19">
        <v>0.18609999999999999</v>
      </c>
      <c r="M43" s="715">
        <f>Table12[[#This Row],[Target(1-3)priority with REFUGEES]]*Table12[[#This Row],[% Male children aged 5 - 17 years]]</f>
        <v>3768.9661253908316</v>
      </c>
      <c r="N43" s="19">
        <v>0.188</v>
      </c>
      <c r="O43" s="715">
        <f>Table12[[#This Row],[Target(1-3)priority with REFUGEES]]*Table12[[#This Row],[% Female children aged 5 - 17 years]]</f>
        <v>3807.4456290890726</v>
      </c>
      <c r="P43" s="19">
        <v>0.13899999999999998</v>
      </c>
      <c r="Q43" s="715">
        <f>Table12[[#This Row],[Target(1-3)priority with REFUGEES]]*Table12[[#This Row],[% Male adults aged 18 - 60]]</f>
        <v>2815.0794810818138</v>
      </c>
      <c r="R43" s="19">
        <v>0.16500000000000001</v>
      </c>
      <c r="S43" s="715">
        <f>Table12[[#This Row],[Target(1-3)priority with REFUGEES]]*Table12[[#This Row],[% Female adults aged 18 - 60]]</f>
        <v>3341.6411106366863</v>
      </c>
      <c r="T43" s="19">
        <v>4.6099999999999995E-2</v>
      </c>
      <c r="U43" s="715">
        <f>Table12[[#This Row],[Target(1-3)priority with REFUGEES]]*Table12[[#This Row],[% Male adults aged over 60]]</f>
        <v>933.63427394152245</v>
      </c>
      <c r="V43" s="19">
        <v>5.79E-2</v>
      </c>
      <c r="W43" s="715">
        <f>Table12[[#This Row],[Target(1-3)priority with REFUGEES]]*Table12[[#This Row],[% Female adults aged over 60]]</f>
        <v>1172.6122442779645</v>
      </c>
      <c r="X43" s="412">
        <v>5549.6837899747215</v>
      </c>
      <c r="Z43" s="715"/>
      <c r="AH43" t="s">
        <v>326</v>
      </c>
      <c r="AI43" s="718">
        <f t="shared" si="1"/>
        <v>6138.4934583877548</v>
      </c>
      <c r="AJ43" s="122">
        <f t="shared" si="2"/>
        <v>5850.9097991693252</v>
      </c>
      <c r="AK43" s="122">
        <f>Table12[[#This Row],[No. of  Male adults aged 18 - 60]]</f>
        <v>2815.0794810818138</v>
      </c>
      <c r="AL43" s="122">
        <f>Table12[[#This Row],[No. of Female adults aged 18 - 60]]</f>
        <v>3341.6411106366863</v>
      </c>
      <c r="AM43" s="122">
        <f>Table12[[#This Row],[No. of Male adults aged over 60]]</f>
        <v>933.63427394152245</v>
      </c>
      <c r="AN43" s="719">
        <f>Table12[[#This Row],[No. Female adults aged over 60]]</f>
        <v>1172.6122442779645</v>
      </c>
      <c r="AO43" s="122">
        <f t="shared" si="3"/>
        <v>20252.370367495067</v>
      </c>
    </row>
    <row r="44" spans="1:41" x14ac:dyDescent="0.55000000000000004">
      <c r="A44" t="s">
        <v>322</v>
      </c>
      <c r="B44" t="s">
        <v>328</v>
      </c>
      <c r="C44">
        <v>3</v>
      </c>
      <c r="D44">
        <v>3</v>
      </c>
      <c r="E44" s="22"/>
      <c r="F44" s="433">
        <v>22429.318666556188</v>
      </c>
      <c r="G44" s="433">
        <f>SUM(Table12[[#This Row],[Refugees]:[Target(1&amp;2)50% (3)priority]])</f>
        <v>22429.318666556188</v>
      </c>
      <c r="H44" s="19">
        <v>8.6999999999999994E-2</v>
      </c>
      <c r="I44" s="715">
        <f>Table12[[#This Row],[Target(1-3)priority with REFUGEES]]*Table12[[#This Row],[% Male children under 5]]</f>
        <v>1951.3507239903881</v>
      </c>
      <c r="J44" s="19">
        <v>7.1599999999999997E-2</v>
      </c>
      <c r="K44" s="715">
        <f>Table12[[#This Row],[Target(1-3)priority with REFUGEES]]*Table12[[#This Row],[% Female children under 5]]</f>
        <v>1605.939216525423</v>
      </c>
      <c r="L44" s="19">
        <v>0.1714</v>
      </c>
      <c r="M44" s="715">
        <f>Table12[[#This Row],[Target(1-3)priority with REFUGEES]]*Table12[[#This Row],[% Male children aged 5 - 17 years]]</f>
        <v>3844.3852194477304</v>
      </c>
      <c r="N44" s="19">
        <v>0.20200000000000001</v>
      </c>
      <c r="O44" s="715">
        <f>Table12[[#This Row],[Target(1-3)priority with REFUGEES]]*Table12[[#This Row],[% Female children aged 5 - 17 years]]</f>
        <v>4530.7223706443501</v>
      </c>
      <c r="P44" s="19">
        <v>0.16400000000000003</v>
      </c>
      <c r="Q44" s="715">
        <f>Table12[[#This Row],[Target(1-3)priority with REFUGEES]]*Table12[[#This Row],[% Male adults aged 18 - 60]]</f>
        <v>3678.4082613152154</v>
      </c>
      <c r="R44" s="19">
        <v>0.17799999999999999</v>
      </c>
      <c r="S44" s="715">
        <f>Table12[[#This Row],[Target(1-3)priority with REFUGEES]]*Table12[[#This Row],[% Female adults aged 18 - 60]]</f>
        <v>3992.4187226470012</v>
      </c>
      <c r="T44" s="19">
        <v>3.2500000000000001E-2</v>
      </c>
      <c r="U44" s="715">
        <f>Table12[[#This Row],[Target(1-3)priority with REFUGEES]]*Table12[[#This Row],[% Male adults aged over 60]]</f>
        <v>728.95285666307609</v>
      </c>
      <c r="V44" s="19">
        <v>9.35E-2</v>
      </c>
      <c r="W44" s="715">
        <f>Table12[[#This Row],[Target(1-3)priority with REFUGEES]]*Table12[[#This Row],[% Female adults aged over 60]]</f>
        <v>2097.1412953230038</v>
      </c>
      <c r="X44" s="412">
        <v>6017.8146262686232</v>
      </c>
      <c r="Z44" s="715"/>
      <c r="AH44" t="s">
        <v>328</v>
      </c>
      <c r="AI44" s="718">
        <f t="shared" si="1"/>
        <v>5795.7359434381187</v>
      </c>
      <c r="AJ44" s="122">
        <f t="shared" si="2"/>
        <v>6136.6615871697732</v>
      </c>
      <c r="AK44" s="122">
        <f>Table12[[#This Row],[No. of  Male adults aged 18 - 60]]</f>
        <v>3678.4082613152154</v>
      </c>
      <c r="AL44" s="122">
        <f>Table12[[#This Row],[No. of Female adults aged 18 - 60]]</f>
        <v>3992.4187226470012</v>
      </c>
      <c r="AM44" s="122">
        <f>Table12[[#This Row],[No. of Male adults aged over 60]]</f>
        <v>728.95285666307609</v>
      </c>
      <c r="AN44" s="719">
        <f>Table12[[#This Row],[No. Female adults aged over 60]]</f>
        <v>2097.1412953230038</v>
      </c>
      <c r="AO44" s="122">
        <f t="shared" si="3"/>
        <v>22429.318666556188</v>
      </c>
    </row>
    <row r="45" spans="1:41" x14ac:dyDescent="0.55000000000000004">
      <c r="A45" t="s">
        <v>322</v>
      </c>
      <c r="B45" t="s">
        <v>330</v>
      </c>
      <c r="C45">
        <v>3</v>
      </c>
      <c r="D45">
        <v>2</v>
      </c>
      <c r="E45" s="22"/>
      <c r="F45" s="433">
        <v>38673.319322190262</v>
      </c>
      <c r="G45" s="433">
        <f>SUM(Table12[[#This Row],[Refugees]:[Target(1&amp;2)50% (3)priority]])</f>
        <v>38673.319322190262</v>
      </c>
      <c r="H45" s="19">
        <v>9.1499999999999998E-2</v>
      </c>
      <c r="I45" s="715">
        <f>Table12[[#This Row],[Target(1-3)priority with REFUGEES]]*Table12[[#This Row],[% Male children under 5]]</f>
        <v>3538.608717980409</v>
      </c>
      <c r="J45" s="19">
        <v>8.4000000000000005E-2</v>
      </c>
      <c r="K45" s="715">
        <f>Table12[[#This Row],[Target(1-3)priority with REFUGEES]]*Table12[[#This Row],[% Female children under 5]]</f>
        <v>3248.5588230639823</v>
      </c>
      <c r="L45" s="19">
        <v>0.16699999999999998</v>
      </c>
      <c r="M45" s="715">
        <f>Table12[[#This Row],[Target(1-3)priority with REFUGEES]]*Table12[[#This Row],[% Male children aged 5 - 17 years]]</f>
        <v>6458.444326805773</v>
      </c>
      <c r="N45" s="19">
        <v>0.182</v>
      </c>
      <c r="O45" s="715">
        <f>Table12[[#This Row],[Target(1-3)priority with REFUGEES]]*Table12[[#This Row],[% Female children aged 5 - 17 years]]</f>
        <v>7038.5441166386272</v>
      </c>
      <c r="P45" s="19">
        <v>0.19699999999999998</v>
      </c>
      <c r="Q45" s="715">
        <f>Table12[[#This Row],[Target(1-3)priority with REFUGEES]]*Table12[[#This Row],[% Male adults aged 18 - 60]]</f>
        <v>7618.6439064714805</v>
      </c>
      <c r="R45" s="19">
        <v>0.22600000000000001</v>
      </c>
      <c r="S45" s="715">
        <f>Table12[[#This Row],[Target(1-3)priority with REFUGEES]]*Table12[[#This Row],[% Female adults aged 18 - 60]]</f>
        <v>8740.1701668149999</v>
      </c>
      <c r="T45" s="19">
        <v>1.24E-2</v>
      </c>
      <c r="U45" s="715">
        <f>Table12[[#This Row],[Target(1-3)priority with REFUGEES]]*Table12[[#This Row],[% Male adults aged over 60]]</f>
        <v>479.54915959515921</v>
      </c>
      <c r="V45" s="19">
        <v>4.0099999999999997E-2</v>
      </c>
      <c r="W45" s="715">
        <f>Table12[[#This Row],[Target(1-3)priority with REFUGEES]]*Table12[[#This Row],[% Female adults aged over 60]]</f>
        <v>1550.8001048198294</v>
      </c>
      <c r="X45" s="412">
        <v>8298.7244531043307</v>
      </c>
      <c r="Z45" s="715"/>
      <c r="AH45" t="s">
        <v>330</v>
      </c>
      <c r="AI45" s="718">
        <f t="shared" si="1"/>
        <v>9997.053044786182</v>
      </c>
      <c r="AJ45" s="122">
        <f t="shared" si="2"/>
        <v>10287.10293970261</v>
      </c>
      <c r="AK45" s="122">
        <f>Table12[[#This Row],[No. of  Male adults aged 18 - 60]]</f>
        <v>7618.6439064714805</v>
      </c>
      <c r="AL45" s="122">
        <f>Table12[[#This Row],[No. of Female adults aged 18 - 60]]</f>
        <v>8740.1701668149999</v>
      </c>
      <c r="AM45" s="122">
        <f>Table12[[#This Row],[No. of Male adults aged over 60]]</f>
        <v>479.54915959515921</v>
      </c>
      <c r="AN45" s="719">
        <f>Table12[[#This Row],[No. Female adults aged over 60]]</f>
        <v>1550.8001048198294</v>
      </c>
      <c r="AO45" s="122">
        <f t="shared" si="3"/>
        <v>38673.319322190262</v>
      </c>
    </row>
    <row r="46" spans="1:41" x14ac:dyDescent="0.55000000000000004">
      <c r="A46" t="s">
        <v>322</v>
      </c>
      <c r="B46" t="s">
        <v>332</v>
      </c>
      <c r="C46">
        <v>4</v>
      </c>
      <c r="D46">
        <v>2</v>
      </c>
      <c r="E46" s="22"/>
      <c r="F46" s="433">
        <v>28647.418694243723</v>
      </c>
      <c r="G46" s="433">
        <f>SUM(Table12[[#This Row],[Refugees]:[Target(1&amp;2)50% (3)priority]])</f>
        <v>28647.418694243723</v>
      </c>
      <c r="H46" s="19">
        <v>9.5600000000000004E-2</v>
      </c>
      <c r="I46" s="715">
        <f>Table12[[#This Row],[Target(1-3)priority with REFUGEES]]*Table12[[#This Row],[% Male children under 5]]</f>
        <v>2738.6932271697001</v>
      </c>
      <c r="J46" s="19">
        <v>7.9399999999999998E-2</v>
      </c>
      <c r="K46" s="715">
        <f>Table12[[#This Row],[Target(1-3)priority with REFUGEES]]*Table12[[#This Row],[% Female children under 5]]</f>
        <v>2274.6050443229515</v>
      </c>
      <c r="L46" s="19">
        <v>0.20180000000000001</v>
      </c>
      <c r="M46" s="715">
        <f>Table12[[#This Row],[Target(1-3)priority with REFUGEES]]*Table12[[#This Row],[% Male children aged 5 - 17 years]]</f>
        <v>5781.0490924983833</v>
      </c>
      <c r="N46" s="19">
        <v>0.17599999999999999</v>
      </c>
      <c r="O46" s="715">
        <f>Table12[[#This Row],[Target(1-3)priority with REFUGEES]]*Table12[[#This Row],[% Female children aged 5 - 17 years]]</f>
        <v>5041.9456901868953</v>
      </c>
      <c r="P46" s="19">
        <v>0.17699999999999999</v>
      </c>
      <c r="Q46" s="715">
        <f>Table12[[#This Row],[Target(1-3)priority with REFUGEES]]*Table12[[#This Row],[% Male adults aged 18 - 60]]</f>
        <v>5070.5931088811385</v>
      </c>
      <c r="R46" s="19">
        <v>0.17699999999999999</v>
      </c>
      <c r="S46" s="715">
        <f>Table12[[#This Row],[Target(1-3)priority with REFUGEES]]*Table12[[#This Row],[% Female adults aged 18 - 60]]</f>
        <v>5070.5931088811385</v>
      </c>
      <c r="T46" s="19">
        <v>3.2200000000000006E-2</v>
      </c>
      <c r="U46" s="715">
        <f>Table12[[#This Row],[Target(1-3)priority with REFUGEES]]*Table12[[#This Row],[% Male adults aged over 60]]</f>
        <v>922.44688195464801</v>
      </c>
      <c r="V46" s="19">
        <v>6.0999999999999999E-2</v>
      </c>
      <c r="W46" s="715">
        <f>Table12[[#This Row],[Target(1-3)priority with REFUGEES]]*Table12[[#This Row],[% Female adults aged over 60]]</f>
        <v>1747.4925403488671</v>
      </c>
      <c r="X46" s="412">
        <v>5193.0027479725477</v>
      </c>
      <c r="Z46" s="715"/>
      <c r="AH46" t="s">
        <v>332</v>
      </c>
      <c r="AI46" s="718">
        <f t="shared" si="1"/>
        <v>8519.7423196680829</v>
      </c>
      <c r="AJ46" s="122">
        <f t="shared" si="2"/>
        <v>7316.5507345098467</v>
      </c>
      <c r="AK46" s="122">
        <f>Table12[[#This Row],[No. of  Male adults aged 18 - 60]]</f>
        <v>5070.5931088811385</v>
      </c>
      <c r="AL46" s="122">
        <f>Table12[[#This Row],[No. of Female adults aged 18 - 60]]</f>
        <v>5070.5931088811385</v>
      </c>
      <c r="AM46" s="122">
        <f>Table12[[#This Row],[No. of Male adults aged over 60]]</f>
        <v>922.44688195464801</v>
      </c>
      <c r="AN46" s="719">
        <f>Table12[[#This Row],[No. Female adults aged over 60]]</f>
        <v>1747.4925403488671</v>
      </c>
      <c r="AO46" s="122">
        <f t="shared" si="3"/>
        <v>28647.418694243723</v>
      </c>
    </row>
    <row r="47" spans="1:41" x14ac:dyDescent="0.55000000000000004">
      <c r="A47" t="s">
        <v>322</v>
      </c>
      <c r="B47" t="s">
        <v>334</v>
      </c>
      <c r="C47">
        <v>3</v>
      </c>
      <c r="D47">
        <v>3</v>
      </c>
      <c r="E47" s="22"/>
      <c r="F47" s="433">
        <v>37527.066943151774</v>
      </c>
      <c r="G47" s="433">
        <f>SUM(Table12[[#This Row],[Refugees]:[Target(1&amp;2)50% (3)priority]])</f>
        <v>37527.066943151774</v>
      </c>
      <c r="H47" s="19">
        <v>0.11600000000000001</v>
      </c>
      <c r="I47" s="715">
        <f>Table12[[#This Row],[Target(1-3)priority with REFUGEES]]*Table12[[#This Row],[% Male children under 5]]</f>
        <v>4353.1397654056063</v>
      </c>
      <c r="J47" s="19">
        <v>9.2899999999999996E-2</v>
      </c>
      <c r="K47" s="715">
        <f>Table12[[#This Row],[Target(1-3)priority with REFUGEES]]*Table12[[#This Row],[% Female children under 5]]</f>
        <v>3486.2645190187995</v>
      </c>
      <c r="L47" s="19">
        <v>0.16599999999999998</v>
      </c>
      <c r="M47" s="715">
        <f>Table12[[#This Row],[Target(1-3)priority with REFUGEES]]*Table12[[#This Row],[% Male children aged 5 - 17 years]]</f>
        <v>6229.4931125631938</v>
      </c>
      <c r="N47" s="19">
        <v>0.19700000000000001</v>
      </c>
      <c r="O47" s="715">
        <f>Table12[[#This Row],[Target(1-3)priority with REFUGEES]]*Table12[[#This Row],[% Female children aged 5 - 17 years]]</f>
        <v>7392.8321878009001</v>
      </c>
      <c r="P47" s="19">
        <v>0.13600000000000001</v>
      </c>
      <c r="Q47" s="715">
        <f>Table12[[#This Row],[Target(1-3)priority with REFUGEES]]*Table12[[#This Row],[% Male adults aged 18 - 60]]</f>
        <v>5103.6811042686413</v>
      </c>
      <c r="R47" s="19">
        <v>0.1361</v>
      </c>
      <c r="S47" s="715">
        <f>Table12[[#This Row],[Target(1-3)priority with REFUGEES]]*Table12[[#This Row],[% Female adults aged 18 - 60]]</f>
        <v>5107.4338109629562</v>
      </c>
      <c r="T47" s="19">
        <v>7.4300000000000005E-2</v>
      </c>
      <c r="U47" s="715">
        <f>Table12[[#This Row],[Target(1-3)priority with REFUGEES]]*Table12[[#This Row],[% Male adults aged over 60]]</f>
        <v>2788.2610738761769</v>
      </c>
      <c r="V47" s="19">
        <v>8.1699999999999995E-2</v>
      </c>
      <c r="W47" s="715">
        <f>Table12[[#This Row],[Target(1-3)priority with REFUGEES]]*Table12[[#This Row],[% Female adults aged over 60]]</f>
        <v>3065.9613692554999</v>
      </c>
      <c r="X47" s="412">
        <v>12756.06129366594</v>
      </c>
      <c r="Z47" s="715"/>
      <c r="AH47" t="s">
        <v>334</v>
      </c>
      <c r="AI47" s="718">
        <f t="shared" si="1"/>
        <v>10582.632877968801</v>
      </c>
      <c r="AJ47" s="122">
        <f t="shared" si="2"/>
        <v>10879.096706819699</v>
      </c>
      <c r="AK47" s="122">
        <f>Table12[[#This Row],[No. of  Male adults aged 18 - 60]]</f>
        <v>5103.6811042686413</v>
      </c>
      <c r="AL47" s="122">
        <f>Table12[[#This Row],[No. of Female adults aged 18 - 60]]</f>
        <v>5107.4338109629562</v>
      </c>
      <c r="AM47" s="122">
        <f>Table12[[#This Row],[No. of Male adults aged over 60]]</f>
        <v>2788.2610738761769</v>
      </c>
      <c r="AN47" s="719">
        <f>Table12[[#This Row],[No. Female adults aged over 60]]</f>
        <v>3065.9613692554999</v>
      </c>
      <c r="AO47" s="122">
        <f t="shared" si="3"/>
        <v>37527.066943151774</v>
      </c>
    </row>
    <row r="48" spans="1:41" x14ac:dyDescent="0.55000000000000004">
      <c r="A48" t="s">
        <v>322</v>
      </c>
      <c r="B48" t="s">
        <v>336</v>
      </c>
      <c r="C48">
        <v>4</v>
      </c>
      <c r="D48">
        <v>1</v>
      </c>
      <c r="E48" s="22"/>
      <c r="F48" s="433">
        <v>66846.558201903477</v>
      </c>
      <c r="G48" s="433">
        <f>SUM(Table12[[#This Row],[Refugees]:[Target(1&amp;2)50% (3)priority]])</f>
        <v>66846.558201903477</v>
      </c>
      <c r="H48" s="19">
        <v>7.6200000000000004E-2</v>
      </c>
      <c r="I48" s="715">
        <f>Table12[[#This Row],[Target(1-3)priority with REFUGEES]]*Table12[[#This Row],[% Male children under 5]]</f>
        <v>5093.7077349850451</v>
      </c>
      <c r="J48" s="19">
        <v>9.9299999999999999E-2</v>
      </c>
      <c r="K48" s="715">
        <f>Table12[[#This Row],[Target(1-3)priority with REFUGEES]]*Table12[[#This Row],[% Female children under 5]]</f>
        <v>6637.8632294490153</v>
      </c>
      <c r="L48" s="19">
        <v>0.1842</v>
      </c>
      <c r="M48" s="715">
        <f>Table12[[#This Row],[Target(1-3)priority with REFUGEES]]*Table12[[#This Row],[% Male children aged 5 - 17 years]]</f>
        <v>12313.13602079062</v>
      </c>
      <c r="N48" s="19">
        <v>0.223</v>
      </c>
      <c r="O48" s="715">
        <f>Table12[[#This Row],[Target(1-3)priority with REFUGEES]]*Table12[[#This Row],[% Female children aged 5 - 17 years]]</f>
        <v>14906.782479024476</v>
      </c>
      <c r="P48" s="19">
        <v>0.20900000000000002</v>
      </c>
      <c r="Q48" s="715">
        <f>Table12[[#This Row],[Target(1-3)priority with REFUGEES]]*Table12[[#This Row],[% Male adults aged 18 - 60]]</f>
        <v>13970.930664197827</v>
      </c>
      <c r="R48" s="19">
        <v>0.17199999999999999</v>
      </c>
      <c r="S48" s="715">
        <f>Table12[[#This Row],[Target(1-3)priority with REFUGEES]]*Table12[[#This Row],[% Female adults aged 18 - 60]]</f>
        <v>11497.608010727397</v>
      </c>
      <c r="T48" s="19">
        <v>3.0550000000000001E-2</v>
      </c>
      <c r="U48" s="715">
        <f>Table12[[#This Row],[Target(1-3)priority with REFUGEES]]*Table12[[#This Row],[% Male adults aged over 60]]</f>
        <v>2042.1623530681513</v>
      </c>
      <c r="V48" s="19">
        <v>5.7499999999999999E-3</v>
      </c>
      <c r="W48" s="715">
        <f>Table12[[#This Row],[Target(1-3)priority with REFUGEES]]*Table12[[#This Row],[% Female adults aged over 60]]</f>
        <v>384.36770966094497</v>
      </c>
      <c r="X48" s="412">
        <v>9369.3610779739702</v>
      </c>
      <c r="Z48" s="715"/>
      <c r="AH48" t="s">
        <v>336</v>
      </c>
      <c r="AI48" s="718">
        <f t="shared" si="1"/>
        <v>17406.843755775666</v>
      </c>
      <c r="AJ48" s="122">
        <f t="shared" si="2"/>
        <v>21544.64570847349</v>
      </c>
      <c r="AK48" s="122">
        <f>Table12[[#This Row],[No. of  Male adults aged 18 - 60]]</f>
        <v>13970.930664197827</v>
      </c>
      <c r="AL48" s="122">
        <f>Table12[[#This Row],[No. of Female adults aged 18 - 60]]</f>
        <v>11497.608010727397</v>
      </c>
      <c r="AM48" s="122">
        <f>Table12[[#This Row],[No. of Male adults aged over 60]]</f>
        <v>2042.1623530681513</v>
      </c>
      <c r="AN48" s="719">
        <f>Table12[[#This Row],[No. Female adults aged over 60]]</f>
        <v>384.36770966094497</v>
      </c>
      <c r="AO48" s="122">
        <f t="shared" si="3"/>
        <v>66846.558201903477</v>
      </c>
    </row>
    <row r="49" spans="1:41" x14ac:dyDescent="0.55000000000000004">
      <c r="A49" t="s">
        <v>322</v>
      </c>
      <c r="B49" t="s">
        <v>338</v>
      </c>
      <c r="C49">
        <v>3</v>
      </c>
      <c r="D49">
        <v>2</v>
      </c>
      <c r="E49" s="22">
        <v>173031</v>
      </c>
      <c r="F49" s="433">
        <v>70175.806444688147</v>
      </c>
      <c r="G49" s="433">
        <f>SUM(Table12[[#This Row],[Refugees]:[Target(1&amp;2)50% (3)priority]])</f>
        <v>243206.80644468815</v>
      </c>
      <c r="H49" s="19">
        <v>0.123</v>
      </c>
      <c r="I49" s="715">
        <f>Table12[[#This Row],[Target(1-3)priority with REFUGEES]]*Table12[[#This Row],[% Male children under 5]]</f>
        <v>29914.437192696641</v>
      </c>
      <c r="J49" s="19">
        <v>9.6299999999999997E-2</v>
      </c>
      <c r="K49" s="715">
        <f>Table12[[#This Row],[Target(1-3)priority with REFUGEES]]*Table12[[#This Row],[% Female children under 5]]</f>
        <v>23420.815460623468</v>
      </c>
      <c r="L49" s="19">
        <v>0.17</v>
      </c>
      <c r="M49" s="715">
        <f>Table12[[#This Row],[Target(1-3)priority with REFUGEES]]*Table12[[#This Row],[% Male children aged 5 - 17 years]]</f>
        <v>41345.157095596987</v>
      </c>
      <c r="N49" s="19">
        <v>0.16700000000000001</v>
      </c>
      <c r="O49" s="715">
        <f>Table12[[#This Row],[Target(1-3)priority with REFUGEES]]*Table12[[#This Row],[% Female children aged 5 - 17 years]]</f>
        <v>40615.53667626292</v>
      </c>
      <c r="P49" s="19">
        <v>0.17499999999999999</v>
      </c>
      <c r="Q49" s="715">
        <f>Table12[[#This Row],[Target(1-3)priority with REFUGEES]]*Table12[[#This Row],[% Male adults aged 18 - 60]]</f>
        <v>42561.191127820421</v>
      </c>
      <c r="R49" s="19">
        <v>0.192</v>
      </c>
      <c r="S49" s="715">
        <f>Table12[[#This Row],[Target(1-3)priority with REFUGEES]]*Table12[[#This Row],[% Female adults aged 18 - 60]]</f>
        <v>46695.706837380123</v>
      </c>
      <c r="T49" s="19">
        <v>2.9600000000000001E-2</v>
      </c>
      <c r="U49" s="715">
        <f>Table12[[#This Row],[Target(1-3)priority with REFUGEES]]*Table12[[#This Row],[% Male adults aged over 60]]</f>
        <v>7198.9214707627698</v>
      </c>
      <c r="V49" s="19">
        <v>4.7100000000000003E-2</v>
      </c>
      <c r="W49" s="715">
        <f>Table12[[#This Row],[Target(1-3)priority with REFUGEES]]*Table12[[#This Row],[% Female adults aged over 60]]</f>
        <v>11455.040583544813</v>
      </c>
      <c r="X49" s="412">
        <v>7580.1281404733827</v>
      </c>
      <c r="Z49" s="715"/>
      <c r="AH49" t="s">
        <v>338</v>
      </c>
      <c r="AI49" s="718">
        <f t="shared" si="1"/>
        <v>71259.594288293622</v>
      </c>
      <c r="AJ49" s="122">
        <f t="shared" si="2"/>
        <v>64036.352136886388</v>
      </c>
      <c r="AK49" s="122">
        <f>Table12[[#This Row],[No. of  Male adults aged 18 - 60]]</f>
        <v>42561.191127820421</v>
      </c>
      <c r="AL49" s="122">
        <f>Table12[[#This Row],[No. of Female adults aged 18 - 60]]</f>
        <v>46695.706837380123</v>
      </c>
      <c r="AM49" s="122">
        <f>Table12[[#This Row],[No. of Male adults aged over 60]]</f>
        <v>7198.9214707627698</v>
      </c>
      <c r="AN49" s="719">
        <f>Table12[[#This Row],[No. Female adults aged over 60]]</f>
        <v>11455.040583544813</v>
      </c>
      <c r="AO49" s="122">
        <f t="shared" si="3"/>
        <v>243206.80644468815</v>
      </c>
    </row>
    <row r="50" spans="1:41" x14ac:dyDescent="0.55000000000000004">
      <c r="A50" t="s">
        <v>322</v>
      </c>
      <c r="B50" t="s">
        <v>340</v>
      </c>
      <c r="C50">
        <v>4</v>
      </c>
      <c r="D50">
        <v>1</v>
      </c>
      <c r="E50" s="22"/>
      <c r="F50" s="433">
        <v>298597.70531664358</v>
      </c>
      <c r="G50" s="433">
        <f>SUM(Table12[[#This Row],[Refugees]:[Target(1&amp;2)50% (3)priority]])</f>
        <v>298597.70531664358</v>
      </c>
      <c r="H50" s="19">
        <v>0.10199999999999999</v>
      </c>
      <c r="I50" s="715">
        <f>Table12[[#This Row],[Target(1-3)priority with REFUGEES]]*Table12[[#This Row],[% Male children under 5]]</f>
        <v>30456.965942297644</v>
      </c>
      <c r="J50" s="19">
        <v>9.9199999999999997E-2</v>
      </c>
      <c r="K50" s="715">
        <f>Table12[[#This Row],[Target(1-3)priority with REFUGEES]]*Table12[[#This Row],[% Female children under 5]]</f>
        <v>29620.892367411041</v>
      </c>
      <c r="L50" s="19">
        <v>0.161</v>
      </c>
      <c r="M50" s="715">
        <f>Table12[[#This Row],[Target(1-3)priority with REFUGEES]]*Table12[[#This Row],[% Male children aged 5 - 17 years]]</f>
        <v>48074.230555979615</v>
      </c>
      <c r="N50" s="19">
        <v>0.16719999999999999</v>
      </c>
      <c r="O50" s="715">
        <f>Table12[[#This Row],[Target(1-3)priority with REFUGEES]]*Table12[[#This Row],[% Female children aged 5 - 17 years]]</f>
        <v>49925.536328942806</v>
      </c>
      <c r="P50" s="19">
        <v>0.193</v>
      </c>
      <c r="Q50" s="715">
        <f>Table12[[#This Row],[Target(1-3)priority with REFUGEES]]*Table12[[#This Row],[% Male adults aged 18 - 60]]</f>
        <v>57629.357126112212</v>
      </c>
      <c r="R50" s="19">
        <v>0.186</v>
      </c>
      <c r="S50" s="715">
        <f>Table12[[#This Row],[Target(1-3)priority with REFUGEES]]*Table12[[#This Row],[% Female adults aged 18 - 60]]</f>
        <v>55539.173188895707</v>
      </c>
      <c r="T50" s="19">
        <v>3.8100000000000002E-2</v>
      </c>
      <c r="U50" s="715">
        <f>Table12[[#This Row],[Target(1-3)priority with REFUGEES]]*Table12[[#This Row],[% Male adults aged over 60]]</f>
        <v>11376.57257256412</v>
      </c>
      <c r="V50" s="19">
        <v>5.3499999999999999E-2</v>
      </c>
      <c r="W50" s="715">
        <f>Table12[[#This Row],[Target(1-3)priority with REFUGEES]]*Table12[[#This Row],[% Female adults aged over 60]]</f>
        <v>15974.977234440432</v>
      </c>
      <c r="X50" s="412">
        <v>38568.358185163837</v>
      </c>
      <c r="Z50" s="715"/>
      <c r="AH50" t="s">
        <v>340</v>
      </c>
      <c r="AI50" s="718">
        <f t="shared" si="1"/>
        <v>78531.196498277262</v>
      </c>
      <c r="AJ50" s="122">
        <f t="shared" si="2"/>
        <v>79546.428696353847</v>
      </c>
      <c r="AK50" s="122">
        <f>Table12[[#This Row],[No. of  Male adults aged 18 - 60]]</f>
        <v>57629.357126112212</v>
      </c>
      <c r="AL50" s="122">
        <f>Table12[[#This Row],[No. of Female adults aged 18 - 60]]</f>
        <v>55539.173188895707</v>
      </c>
      <c r="AM50" s="122">
        <f>Table12[[#This Row],[No. of Male adults aged over 60]]</f>
        <v>11376.57257256412</v>
      </c>
      <c r="AN50" s="719">
        <f>Table12[[#This Row],[No. Female adults aged over 60]]</f>
        <v>15974.977234440432</v>
      </c>
      <c r="AO50" s="122">
        <f t="shared" si="3"/>
        <v>298597.70531664358</v>
      </c>
    </row>
    <row r="51" spans="1:41" x14ac:dyDescent="0.55000000000000004">
      <c r="A51" t="s">
        <v>342</v>
      </c>
      <c r="B51" t="s">
        <v>344</v>
      </c>
      <c r="C51">
        <v>4</v>
      </c>
      <c r="D51">
        <v>2</v>
      </c>
      <c r="E51" s="22"/>
      <c r="F51" s="433">
        <v>41129.371101467361</v>
      </c>
      <c r="G51" s="433">
        <f>SUM(Table12[[#This Row],[Refugees]:[Target(1&amp;2)50% (3)priority]])</f>
        <v>41129.371101467361</v>
      </c>
      <c r="H51" s="19">
        <v>7.6499999999999999E-2</v>
      </c>
      <c r="I51" s="715">
        <f>Table12[[#This Row],[Target(1-3)priority with REFUGEES]]*Table12[[#This Row],[% Male children under 5]]</f>
        <v>3146.3968892622529</v>
      </c>
      <c r="J51" s="19">
        <v>5.7500000000000002E-2</v>
      </c>
      <c r="K51" s="715">
        <f>Table12[[#This Row],[Target(1-3)priority with REFUGEES]]*Table12[[#This Row],[% Female children under 5]]</f>
        <v>2364.9388383343735</v>
      </c>
      <c r="L51" s="19">
        <v>0.251</v>
      </c>
      <c r="M51" s="715">
        <f>Table12[[#This Row],[Target(1-3)priority with REFUGEES]]*Table12[[#This Row],[% Male children aged 5 - 17 years]]</f>
        <v>10323.472146468308</v>
      </c>
      <c r="N51" s="19">
        <v>0.22600000000000001</v>
      </c>
      <c r="O51" s="715">
        <f>Table12[[#This Row],[Target(1-3)priority with REFUGEES]]*Table12[[#This Row],[% Female children aged 5 - 17 years]]</f>
        <v>9295.2378689316247</v>
      </c>
      <c r="P51" s="19">
        <v>0.15199999999999997</v>
      </c>
      <c r="Q51" s="715">
        <f>Table12[[#This Row],[Target(1-3)priority with REFUGEES]]*Table12[[#This Row],[% Male adults aged 18 - 60]]</f>
        <v>6251.6644074230371</v>
      </c>
      <c r="R51" s="19">
        <v>0.13500000000000001</v>
      </c>
      <c r="S51" s="715">
        <f>Table12[[#This Row],[Target(1-3)priority with REFUGEES]]*Table12[[#This Row],[% Female adults aged 18 - 60]]</f>
        <v>5552.4650986980942</v>
      </c>
      <c r="T51" s="19">
        <v>5.609999999999999E-2</v>
      </c>
      <c r="U51" s="715">
        <f>Table12[[#This Row],[Target(1-3)priority with REFUGEES]]*Table12[[#This Row],[% Male adults aged over 60]]</f>
        <v>2307.3577187923183</v>
      </c>
      <c r="V51" s="19">
        <v>4.5900000000000003E-2</v>
      </c>
      <c r="W51" s="715">
        <f>Table12[[#This Row],[Target(1-3)priority with REFUGEES]]*Table12[[#This Row],[% Female adults aged over 60]]</f>
        <v>1887.838133557352</v>
      </c>
      <c r="X51" s="412">
        <v>10451.105227787892</v>
      </c>
      <c r="Z51" s="715"/>
      <c r="AH51" t="s">
        <v>344</v>
      </c>
      <c r="AI51" s="718">
        <f t="shared" si="1"/>
        <v>13469.86903573056</v>
      </c>
      <c r="AJ51" s="122">
        <f t="shared" si="2"/>
        <v>11660.176707265999</v>
      </c>
      <c r="AK51" s="122">
        <f>Table12[[#This Row],[No. of  Male adults aged 18 - 60]]</f>
        <v>6251.6644074230371</v>
      </c>
      <c r="AL51" s="122">
        <f>Table12[[#This Row],[No. of Female adults aged 18 - 60]]</f>
        <v>5552.4650986980942</v>
      </c>
      <c r="AM51" s="122">
        <f>Table12[[#This Row],[No. of Male adults aged over 60]]</f>
        <v>2307.3577187923183</v>
      </c>
      <c r="AN51" s="719">
        <f>Table12[[#This Row],[No. Female adults aged over 60]]</f>
        <v>1887.838133557352</v>
      </c>
      <c r="AO51" s="122">
        <f t="shared" si="3"/>
        <v>41129.371101467361</v>
      </c>
    </row>
    <row r="52" spans="1:41" x14ac:dyDescent="0.55000000000000004">
      <c r="A52" t="s">
        <v>342</v>
      </c>
      <c r="B52" t="s">
        <v>346</v>
      </c>
      <c r="C52">
        <v>4</v>
      </c>
      <c r="D52">
        <v>1</v>
      </c>
      <c r="E52" s="22">
        <v>1174</v>
      </c>
      <c r="F52" s="433">
        <v>81963.327734161649</v>
      </c>
      <c r="G52" s="433">
        <f>SUM(Table12[[#This Row],[Refugees]:[Target(1&amp;2)50% (3)priority]])</f>
        <v>83137.327734161649</v>
      </c>
      <c r="H52" s="19">
        <v>0.10299999999999999</v>
      </c>
      <c r="I52" s="715">
        <f>Table12[[#This Row],[Target(1-3)priority with REFUGEES]]*Table12[[#This Row],[% Male children under 5]]</f>
        <v>8563.1447566186489</v>
      </c>
      <c r="J52" s="19">
        <v>8.5999999999999993E-2</v>
      </c>
      <c r="K52" s="715">
        <f>Table12[[#This Row],[Target(1-3)priority with REFUGEES]]*Table12[[#This Row],[% Female children under 5]]</f>
        <v>7149.8101851379015</v>
      </c>
      <c r="L52" s="19">
        <v>0.19199999999999998</v>
      </c>
      <c r="M52" s="715">
        <f>Table12[[#This Row],[Target(1-3)priority with REFUGEES]]*Table12[[#This Row],[% Male children aged 5 - 17 years]]</f>
        <v>15962.366924959035</v>
      </c>
      <c r="N52" s="19">
        <v>0.16400000000000001</v>
      </c>
      <c r="O52" s="715">
        <f>Table12[[#This Row],[Target(1-3)priority with REFUGEES]]*Table12[[#This Row],[% Female children aged 5 - 17 years]]</f>
        <v>13634.521748402511</v>
      </c>
      <c r="P52" s="19">
        <v>0.124</v>
      </c>
      <c r="Q52" s="715">
        <f>Table12[[#This Row],[Target(1-3)priority with REFUGEES]]*Table12[[#This Row],[% Male adults aged 18 - 60]]</f>
        <v>10309.028639036045</v>
      </c>
      <c r="R52" s="19">
        <v>0.17399999999999999</v>
      </c>
      <c r="S52" s="715">
        <f>Table12[[#This Row],[Target(1-3)priority with REFUGEES]]*Table12[[#This Row],[% Female adults aged 18 - 60]]</f>
        <v>14465.895025744127</v>
      </c>
      <c r="T52" s="19">
        <v>0.05</v>
      </c>
      <c r="U52" s="715">
        <f>Table12[[#This Row],[Target(1-3)priority with REFUGEES]]*Table12[[#This Row],[% Male adults aged over 60]]</f>
        <v>4156.8663867080822</v>
      </c>
      <c r="V52" s="19">
        <v>0.107</v>
      </c>
      <c r="W52" s="715">
        <f>Table12[[#This Row],[Target(1-3)priority with REFUGEES]]*Table12[[#This Row],[% Female adults aged over 60]]</f>
        <v>8895.694067555296</v>
      </c>
      <c r="X52" s="412">
        <v>6928.4860551083848</v>
      </c>
      <c r="Z52" s="715"/>
      <c r="AH52" t="s">
        <v>346</v>
      </c>
      <c r="AI52" s="718">
        <f t="shared" si="1"/>
        <v>24525.511681577686</v>
      </c>
      <c r="AJ52" s="122">
        <f t="shared" si="2"/>
        <v>20784.331933540412</v>
      </c>
      <c r="AK52" s="122">
        <f>Table12[[#This Row],[No. of  Male adults aged 18 - 60]]</f>
        <v>10309.028639036045</v>
      </c>
      <c r="AL52" s="122">
        <f>Table12[[#This Row],[No. of Female adults aged 18 - 60]]</f>
        <v>14465.895025744127</v>
      </c>
      <c r="AM52" s="122">
        <f>Table12[[#This Row],[No. of Male adults aged over 60]]</f>
        <v>4156.8663867080822</v>
      </c>
      <c r="AN52" s="719">
        <f>Table12[[#This Row],[No. Female adults aged over 60]]</f>
        <v>8895.694067555296</v>
      </c>
      <c r="AO52" s="122">
        <f t="shared" si="3"/>
        <v>83137.327734161634</v>
      </c>
    </row>
    <row r="53" spans="1:41" x14ac:dyDescent="0.55000000000000004">
      <c r="A53" t="s">
        <v>342</v>
      </c>
      <c r="B53" t="s">
        <v>348</v>
      </c>
      <c r="C53">
        <v>4</v>
      </c>
      <c r="D53">
        <v>2</v>
      </c>
      <c r="E53" s="22"/>
      <c r="F53" s="433">
        <v>34517.641197181205</v>
      </c>
      <c r="G53" s="433">
        <f>SUM(Table12[[#This Row],[Refugees]:[Target(1&amp;2)50% (3)priority]])</f>
        <v>34517.641197181205</v>
      </c>
      <c r="H53" s="19">
        <v>0.11799999999999999</v>
      </c>
      <c r="I53" s="715">
        <f>Table12[[#This Row],[Target(1-3)priority with REFUGEES]]*Table12[[#This Row],[% Male children under 5]]</f>
        <v>4073.0816612673821</v>
      </c>
      <c r="J53" s="19">
        <v>8.4199999999999997E-2</v>
      </c>
      <c r="K53" s="715">
        <f>Table12[[#This Row],[Target(1-3)priority with REFUGEES]]*Table12[[#This Row],[% Female children under 5]]</f>
        <v>2906.3853888026574</v>
      </c>
      <c r="L53" s="19">
        <v>0.17449999999999999</v>
      </c>
      <c r="M53" s="715">
        <f>Table12[[#This Row],[Target(1-3)priority with REFUGEES]]*Table12[[#This Row],[% Male children aged 5 - 17 years]]</f>
        <v>6023.3283889081195</v>
      </c>
      <c r="N53" s="19">
        <v>0.17599999999999999</v>
      </c>
      <c r="O53" s="715">
        <f>Table12[[#This Row],[Target(1-3)priority with REFUGEES]]*Table12[[#This Row],[% Female children aged 5 - 17 years]]</f>
        <v>6075.1048507038913</v>
      </c>
      <c r="P53" s="19">
        <v>0.17900000000000002</v>
      </c>
      <c r="Q53" s="715">
        <f>Table12[[#This Row],[Target(1-3)priority with REFUGEES]]*Table12[[#This Row],[% Male adults aged 18 - 60]]</f>
        <v>6178.657774295436</v>
      </c>
      <c r="R53" s="19">
        <v>0.20899999999999999</v>
      </c>
      <c r="S53" s="715">
        <f>Table12[[#This Row],[Target(1-3)priority with REFUGEES]]*Table12[[#This Row],[% Female adults aged 18 - 60]]</f>
        <v>7214.1870102108714</v>
      </c>
      <c r="T53" s="19">
        <v>2.1999999999999999E-2</v>
      </c>
      <c r="U53" s="715">
        <f>Table12[[#This Row],[Target(1-3)priority with REFUGEES]]*Table12[[#This Row],[% Male adults aged over 60]]</f>
        <v>759.38810633798641</v>
      </c>
      <c r="V53" s="19">
        <v>3.73E-2</v>
      </c>
      <c r="W53" s="715">
        <f>Table12[[#This Row],[Target(1-3)priority with REFUGEES]]*Table12[[#This Row],[% Female adults aged over 60]]</f>
        <v>1287.5080166548589</v>
      </c>
      <c r="X53" s="412">
        <v>8732.9577335262675</v>
      </c>
      <c r="Z53" s="715"/>
      <c r="AH53" t="s">
        <v>348</v>
      </c>
      <c r="AI53" s="718">
        <f t="shared" si="1"/>
        <v>10096.410050175502</v>
      </c>
      <c r="AJ53" s="122">
        <f t="shared" si="2"/>
        <v>8981.4902395065492</v>
      </c>
      <c r="AK53" s="122">
        <f>Table12[[#This Row],[No. of  Male adults aged 18 - 60]]</f>
        <v>6178.657774295436</v>
      </c>
      <c r="AL53" s="122">
        <f>Table12[[#This Row],[No. of Female adults aged 18 - 60]]</f>
        <v>7214.1870102108714</v>
      </c>
      <c r="AM53" s="122">
        <f>Table12[[#This Row],[No. of Male adults aged over 60]]</f>
        <v>759.38810633798641</v>
      </c>
      <c r="AN53" s="719">
        <f>Table12[[#This Row],[No. Female adults aged over 60]]</f>
        <v>1287.5080166548589</v>
      </c>
      <c r="AO53" s="122">
        <f t="shared" si="3"/>
        <v>34517.641197181205</v>
      </c>
    </row>
    <row r="54" spans="1:41" x14ac:dyDescent="0.55000000000000004">
      <c r="A54" t="s">
        <v>342</v>
      </c>
      <c r="B54" t="s">
        <v>350</v>
      </c>
      <c r="C54">
        <v>5</v>
      </c>
      <c r="D54">
        <v>1</v>
      </c>
      <c r="E54" s="22"/>
      <c r="F54" s="433">
        <v>219988.99535390947</v>
      </c>
      <c r="G54" s="433">
        <f>SUM(Table12[[#This Row],[Refugees]:[Target(1&amp;2)50% (3)priority]])</f>
        <v>219988.99535390947</v>
      </c>
      <c r="H54" s="19">
        <v>0.113</v>
      </c>
      <c r="I54" s="715">
        <f>Table12[[#This Row],[Target(1-3)priority with REFUGEES]]*Table12[[#This Row],[% Male children under 5]]</f>
        <v>24858.756474991769</v>
      </c>
      <c r="J54" s="19">
        <v>0.11799999999999999</v>
      </c>
      <c r="K54" s="715">
        <f>Table12[[#This Row],[Target(1-3)priority with REFUGEES]]*Table12[[#This Row],[% Female children under 5]]</f>
        <v>25958.701451761317</v>
      </c>
      <c r="L54" s="19">
        <v>0.16550000000000001</v>
      </c>
      <c r="M54" s="715">
        <f>Table12[[#This Row],[Target(1-3)priority with REFUGEES]]*Table12[[#This Row],[% Male children aged 5 - 17 years]]</f>
        <v>36408.178731072017</v>
      </c>
      <c r="N54" s="19">
        <v>0.183</v>
      </c>
      <c r="O54" s="715">
        <f>Table12[[#This Row],[Target(1-3)priority with REFUGEES]]*Table12[[#This Row],[% Female children aged 5 - 17 years]]</f>
        <v>40257.986149765435</v>
      </c>
      <c r="P54" s="19">
        <v>0.16199999999999998</v>
      </c>
      <c r="Q54" s="715">
        <f>Table12[[#This Row],[Target(1-3)priority with REFUGEES]]*Table12[[#This Row],[% Male adults aged 18 - 60]]</f>
        <v>35638.217247333327</v>
      </c>
      <c r="R54" s="19">
        <v>0.19</v>
      </c>
      <c r="S54" s="715">
        <f>Table12[[#This Row],[Target(1-3)priority with REFUGEES]]*Table12[[#This Row],[% Female adults aged 18 - 60]]</f>
        <v>41797.909117242802</v>
      </c>
      <c r="T54" s="19">
        <v>3.0200000000000005E-2</v>
      </c>
      <c r="U54" s="715">
        <f>Table12[[#This Row],[Target(1-3)priority with REFUGEES]]*Table12[[#This Row],[% Male adults aged over 60]]</f>
        <v>6643.667659688067</v>
      </c>
      <c r="V54" s="19">
        <v>3.8300000000000001E-2</v>
      </c>
      <c r="W54" s="715">
        <f>Table12[[#This Row],[Target(1-3)priority with REFUGEES]]*Table12[[#This Row],[% Female adults aged over 60]]</f>
        <v>8425.5785220547332</v>
      </c>
      <c r="X54" s="412">
        <v>25904.110246568547</v>
      </c>
      <c r="Z54" s="715"/>
      <c r="AH54" t="s">
        <v>350</v>
      </c>
      <c r="AI54" s="718">
        <f t="shared" si="1"/>
        <v>61266.93520606379</v>
      </c>
      <c r="AJ54" s="122">
        <f t="shared" si="2"/>
        <v>66216.687601526748</v>
      </c>
      <c r="AK54" s="122">
        <f>Table12[[#This Row],[No. of  Male adults aged 18 - 60]]</f>
        <v>35638.217247333327</v>
      </c>
      <c r="AL54" s="122">
        <f>Table12[[#This Row],[No. of Female adults aged 18 - 60]]</f>
        <v>41797.909117242802</v>
      </c>
      <c r="AM54" s="122">
        <f>Table12[[#This Row],[No. of Male adults aged over 60]]</f>
        <v>6643.667659688067</v>
      </c>
      <c r="AN54" s="719">
        <f>Table12[[#This Row],[No. Female adults aged over 60]]</f>
        <v>8425.5785220547332</v>
      </c>
      <c r="AO54" s="122">
        <f t="shared" si="3"/>
        <v>219988.9953539095</v>
      </c>
    </row>
    <row r="55" spans="1:41" x14ac:dyDescent="0.55000000000000004">
      <c r="A55" t="s">
        <v>342</v>
      </c>
      <c r="B55" t="s">
        <v>352</v>
      </c>
      <c r="C55">
        <v>4</v>
      </c>
      <c r="D55">
        <v>1</v>
      </c>
      <c r="E55" s="22">
        <v>273191</v>
      </c>
      <c r="F55" s="433">
        <v>39025.644666713975</v>
      </c>
      <c r="G55" s="433">
        <f>SUM(Table12[[#This Row],[Refugees]:[Target(1&amp;2)50% (3)priority]])</f>
        <v>312216.64466671395</v>
      </c>
      <c r="H55" s="19">
        <v>8.0399999999999999E-2</v>
      </c>
      <c r="I55" s="715">
        <f>Table12[[#This Row],[Target(1-3)priority with REFUGEES]]*Table12[[#This Row],[% Male children under 5]]</f>
        <v>25102.218231203802</v>
      </c>
      <c r="J55" s="19">
        <v>8.4900000000000003E-2</v>
      </c>
      <c r="K55" s="715">
        <f>Table12[[#This Row],[Target(1-3)priority with REFUGEES]]*Table12[[#This Row],[% Female children under 5]]</f>
        <v>26507.193132204015</v>
      </c>
      <c r="L55" s="19">
        <v>0.20399999999999999</v>
      </c>
      <c r="M55" s="715">
        <f>Table12[[#This Row],[Target(1-3)priority with REFUGEES]]*Table12[[#This Row],[% Male children aged 5 - 17 years]]</f>
        <v>63692.195512009639</v>
      </c>
      <c r="N55" s="19">
        <v>0.20749999999999999</v>
      </c>
      <c r="O55" s="715">
        <f>Table12[[#This Row],[Target(1-3)priority with REFUGEES]]*Table12[[#This Row],[% Female children aged 5 - 17 years]]</f>
        <v>64784.953768343141</v>
      </c>
      <c r="P55" s="19">
        <v>0.18899999999999997</v>
      </c>
      <c r="Q55" s="715">
        <f>Table12[[#This Row],[Target(1-3)priority with REFUGEES]]*Table12[[#This Row],[% Male adults aged 18 - 60]]</f>
        <v>59008.945842008929</v>
      </c>
      <c r="R55" s="19">
        <v>0.17100000000000001</v>
      </c>
      <c r="S55" s="715">
        <f>Table12[[#This Row],[Target(1-3)priority with REFUGEES]]*Table12[[#This Row],[% Female adults aged 18 - 60]]</f>
        <v>53389.046238008093</v>
      </c>
      <c r="T55" s="19">
        <v>2.6500000000000003E-2</v>
      </c>
      <c r="U55" s="715">
        <f>Table12[[#This Row],[Target(1-3)priority with REFUGEES]]*Table12[[#This Row],[% Male adults aged over 60]]</f>
        <v>8273.741083667921</v>
      </c>
      <c r="V55" s="19">
        <v>3.6700000000000003E-2</v>
      </c>
      <c r="W55" s="715">
        <f>Table12[[#This Row],[Target(1-3)priority with REFUGEES]]*Table12[[#This Row],[% Female adults aged over 60]]</f>
        <v>11458.350859268403</v>
      </c>
      <c r="X55" s="412">
        <v>4776.0992862163685</v>
      </c>
      <c r="Z55" s="715"/>
      <c r="AH55" t="s">
        <v>352</v>
      </c>
      <c r="AI55" s="718">
        <f t="shared" si="1"/>
        <v>88794.413743213445</v>
      </c>
      <c r="AJ55" s="122">
        <f t="shared" si="2"/>
        <v>91292.146900547159</v>
      </c>
      <c r="AK55" s="122">
        <f>Table12[[#This Row],[No. of  Male adults aged 18 - 60]]</f>
        <v>59008.945842008929</v>
      </c>
      <c r="AL55" s="122">
        <f>Table12[[#This Row],[No. of Female adults aged 18 - 60]]</f>
        <v>53389.046238008093</v>
      </c>
      <c r="AM55" s="122">
        <f>Table12[[#This Row],[No. of Male adults aged over 60]]</f>
        <v>8273.741083667921</v>
      </c>
      <c r="AN55" s="719">
        <f>Table12[[#This Row],[No. Female adults aged over 60]]</f>
        <v>11458.350859268403</v>
      </c>
      <c r="AO55" s="122">
        <f t="shared" si="3"/>
        <v>312216.6446667139</v>
      </c>
    </row>
    <row r="56" spans="1:41" x14ac:dyDescent="0.55000000000000004">
      <c r="A56" t="s">
        <v>342</v>
      </c>
      <c r="B56" t="s">
        <v>354</v>
      </c>
      <c r="C56">
        <v>3</v>
      </c>
      <c r="D56">
        <v>4</v>
      </c>
      <c r="E56" s="22"/>
      <c r="F56" s="433">
        <v>0</v>
      </c>
      <c r="G56" s="433">
        <f>SUM(Table12[[#This Row],[Refugees]:[Target(1&amp;2)50% (3)priority]])</f>
        <v>0</v>
      </c>
      <c r="H56" s="19">
        <v>0.14000000000000001</v>
      </c>
      <c r="I56" s="715">
        <f>Table12[[#This Row],[Target(1-3)priority with REFUGEES]]*Table12[[#This Row],[% Male children under 5]]</f>
        <v>0</v>
      </c>
      <c r="J56" s="19">
        <v>9.8100000000000007E-2</v>
      </c>
      <c r="K56" s="715">
        <f>Table12[[#This Row],[Target(1-3)priority with REFUGEES]]*Table12[[#This Row],[% Female children under 5]]</f>
        <v>0</v>
      </c>
      <c r="L56" s="19">
        <v>0.17810000000000001</v>
      </c>
      <c r="M56" s="715">
        <f>Table12[[#This Row],[Target(1-3)priority with REFUGEES]]*Table12[[#This Row],[% Male children aged 5 - 17 years]]</f>
        <v>0</v>
      </c>
      <c r="N56" s="19">
        <v>0.129</v>
      </c>
      <c r="O56" s="715">
        <f>Table12[[#This Row],[Target(1-3)priority with REFUGEES]]*Table12[[#This Row],[% Female children aged 5 - 17 years]]</f>
        <v>0</v>
      </c>
      <c r="P56" s="19">
        <v>0.183</v>
      </c>
      <c r="Q56" s="715">
        <f>Table12[[#This Row],[Target(1-3)priority with REFUGEES]]*Table12[[#This Row],[% Male adults aged 18 - 60]]</f>
        <v>0</v>
      </c>
      <c r="R56" s="19">
        <v>0.192</v>
      </c>
      <c r="S56" s="715">
        <f>Table12[[#This Row],[Target(1-3)priority with REFUGEES]]*Table12[[#This Row],[% Female adults aged 18 - 60]]</f>
        <v>0</v>
      </c>
      <c r="T56" s="19">
        <v>3.1399999999999997E-2</v>
      </c>
      <c r="U56" s="715">
        <f>Table12[[#This Row],[Target(1-3)priority with REFUGEES]]*Table12[[#This Row],[% Male adults aged over 60]]</f>
        <v>0</v>
      </c>
      <c r="V56" s="19">
        <v>4.8399999999999999E-2</v>
      </c>
      <c r="W56" s="715">
        <f>Table12[[#This Row],[Target(1-3)priority with REFUGEES]]*Table12[[#This Row],[% Female adults aged over 60]]</f>
        <v>0</v>
      </c>
      <c r="X56" s="412">
        <v>55941.195109256209</v>
      </c>
      <c r="Z56" s="715"/>
      <c r="AH56" t="s">
        <v>354</v>
      </c>
      <c r="AI56" s="718">
        <f t="shared" si="1"/>
        <v>0</v>
      </c>
      <c r="AJ56" s="122">
        <f t="shared" si="2"/>
        <v>0</v>
      </c>
      <c r="AK56" s="122">
        <f>Table12[[#This Row],[No. of  Male adults aged 18 - 60]]</f>
        <v>0</v>
      </c>
      <c r="AL56" s="122">
        <f>Table12[[#This Row],[No. of Female adults aged 18 - 60]]</f>
        <v>0</v>
      </c>
      <c r="AM56" s="122">
        <f>Table12[[#This Row],[No. of Male adults aged over 60]]</f>
        <v>0</v>
      </c>
      <c r="AN56" s="719">
        <f>Table12[[#This Row],[No. Female adults aged over 60]]</f>
        <v>0</v>
      </c>
      <c r="AO56" s="122">
        <f t="shared" si="3"/>
        <v>0</v>
      </c>
    </row>
    <row r="57" spans="1:41" x14ac:dyDescent="0.55000000000000004">
      <c r="A57" t="s">
        <v>342</v>
      </c>
      <c r="B57" t="s">
        <v>356</v>
      </c>
      <c r="C57">
        <v>4</v>
      </c>
      <c r="D57">
        <v>1</v>
      </c>
      <c r="E57" s="22"/>
      <c r="F57" s="433">
        <v>153529.05875188275</v>
      </c>
      <c r="G57" s="433">
        <f>SUM(Table12[[#This Row],[Refugees]:[Target(1&amp;2)50% (3)priority]])</f>
        <v>153529.05875188275</v>
      </c>
      <c r="H57" s="19">
        <v>4.1799999999999997E-2</v>
      </c>
      <c r="I57" s="715">
        <f>Table12[[#This Row],[Target(1-3)priority with REFUGEES]]*Table12[[#This Row],[% Male children under 5]]</f>
        <v>6417.5146558286988</v>
      </c>
      <c r="J57" s="19">
        <v>3.1E-2</v>
      </c>
      <c r="K57" s="715">
        <f>Table12[[#This Row],[Target(1-3)priority with REFUGEES]]*Table12[[#This Row],[% Female children under 5]]</f>
        <v>4759.4008213083653</v>
      </c>
      <c r="L57" s="19">
        <v>9.1800000000000007E-2</v>
      </c>
      <c r="M57" s="715">
        <f>Table12[[#This Row],[Target(1-3)priority with REFUGEES]]*Table12[[#This Row],[% Male children aged 5 - 17 years]]</f>
        <v>14093.967593422838</v>
      </c>
      <c r="N57" s="19">
        <v>6.7400000000000002E-2</v>
      </c>
      <c r="O57" s="715">
        <f>Table12[[#This Row],[Target(1-3)priority with REFUGEES]]*Table12[[#This Row],[% Female children aged 5 - 17 years]]</f>
        <v>10347.858559876899</v>
      </c>
      <c r="P57" s="19">
        <v>0.30000000000000004</v>
      </c>
      <c r="Q57" s="715">
        <f>Table12[[#This Row],[Target(1-3)priority with REFUGEES]]*Table12[[#This Row],[% Male adults aged 18 - 60]]</f>
        <v>46058.71762556483</v>
      </c>
      <c r="R57" s="19">
        <v>0.255</v>
      </c>
      <c r="S57" s="715">
        <f>Table12[[#This Row],[Target(1-3)priority with REFUGEES]]*Table12[[#This Row],[% Female adults aged 18 - 60]]</f>
        <v>39149.909981730103</v>
      </c>
      <c r="T57" s="19">
        <v>0.16200000000000001</v>
      </c>
      <c r="U57" s="715">
        <f>Table12[[#This Row],[Target(1-3)priority with REFUGEES]]*Table12[[#This Row],[% Male adults aged over 60]]</f>
        <v>24871.707517805007</v>
      </c>
      <c r="V57" s="19">
        <v>5.0999999999999997E-2</v>
      </c>
      <c r="W57" s="715">
        <f>Table12[[#This Row],[Target(1-3)priority with REFUGEES]]*Table12[[#This Row],[% Female adults aged over 60]]</f>
        <v>7829.9819963460195</v>
      </c>
      <c r="X57" s="412">
        <v>18362.380935002937</v>
      </c>
      <c r="Z57" s="715"/>
      <c r="AH57" t="s">
        <v>356</v>
      </c>
      <c r="AI57" s="718">
        <f t="shared" si="1"/>
        <v>20511.482249251538</v>
      </c>
      <c r="AJ57" s="122">
        <f t="shared" si="2"/>
        <v>15107.259381185264</v>
      </c>
      <c r="AK57" s="122">
        <f>Table12[[#This Row],[No. of  Male adults aged 18 - 60]]</f>
        <v>46058.71762556483</v>
      </c>
      <c r="AL57" s="122">
        <f>Table12[[#This Row],[No. of Female adults aged 18 - 60]]</f>
        <v>39149.909981730103</v>
      </c>
      <c r="AM57" s="122">
        <f>Table12[[#This Row],[No. of Male adults aged over 60]]</f>
        <v>24871.707517805007</v>
      </c>
      <c r="AN57" s="719">
        <f>Table12[[#This Row],[No. Female adults aged over 60]]</f>
        <v>7829.9819963460195</v>
      </c>
      <c r="AO57" s="122">
        <f t="shared" si="3"/>
        <v>153529.05875188278</v>
      </c>
    </row>
    <row r="58" spans="1:41" x14ac:dyDescent="0.55000000000000004">
      <c r="A58" t="s">
        <v>342</v>
      </c>
      <c r="B58" t="s">
        <v>358</v>
      </c>
      <c r="C58">
        <v>3</v>
      </c>
      <c r="D58">
        <v>3</v>
      </c>
      <c r="E58" s="22"/>
      <c r="F58" s="433">
        <v>33188.975445917597</v>
      </c>
      <c r="G58" s="433">
        <f>SUM(Table12[[#This Row],[Refugees]:[Target(1&amp;2)50% (3)priority]])</f>
        <v>33188.975445917597</v>
      </c>
      <c r="H58" s="19">
        <v>0.10299999999999999</v>
      </c>
      <c r="I58" s="715">
        <f>Table12[[#This Row],[Target(1-3)priority with REFUGEES]]*Table12[[#This Row],[% Male children under 5]]</f>
        <v>3418.4644709295121</v>
      </c>
      <c r="J58" s="19">
        <v>9.6299999999999997E-2</v>
      </c>
      <c r="K58" s="715">
        <f>Table12[[#This Row],[Target(1-3)priority with REFUGEES]]*Table12[[#This Row],[% Female children under 5]]</f>
        <v>3196.0983354418645</v>
      </c>
      <c r="L58" s="19">
        <v>0.105</v>
      </c>
      <c r="M58" s="715">
        <f>Table12[[#This Row],[Target(1-3)priority with REFUGEES]]*Table12[[#This Row],[% Male children aged 5 - 17 years]]</f>
        <v>3484.8424218213477</v>
      </c>
      <c r="N58" s="19">
        <v>0.111</v>
      </c>
      <c r="O58" s="715">
        <f>Table12[[#This Row],[Target(1-3)priority with REFUGEES]]*Table12[[#This Row],[% Female children aged 5 - 17 years]]</f>
        <v>3683.9762744968534</v>
      </c>
      <c r="P58" s="19">
        <v>0.26850000000000002</v>
      </c>
      <c r="Q58" s="715">
        <f>Table12[[#This Row],[Target(1-3)priority with REFUGEES]]*Table12[[#This Row],[% Male adults aged 18 - 60]]</f>
        <v>8911.2399072288754</v>
      </c>
      <c r="R58" s="19">
        <v>0.246</v>
      </c>
      <c r="S58" s="715">
        <f>Table12[[#This Row],[Target(1-3)priority with REFUGEES]]*Table12[[#This Row],[% Female adults aged 18 - 60]]</f>
        <v>8164.4879596957289</v>
      </c>
      <c r="T58" s="19">
        <v>3.5400000000000001E-2</v>
      </c>
      <c r="U58" s="715">
        <f>Table12[[#This Row],[Target(1-3)priority with REFUGEES]]*Table12[[#This Row],[% Male adults aged over 60]]</f>
        <v>1174.8897307854829</v>
      </c>
      <c r="V58" s="19">
        <v>3.4799999999999998E-2</v>
      </c>
      <c r="W58" s="715">
        <f>Table12[[#This Row],[Target(1-3)priority with REFUGEES]]*Table12[[#This Row],[% Female adults aged over 60]]</f>
        <v>1154.9763455179323</v>
      </c>
      <c r="X58" s="412">
        <v>7005.0666600672803</v>
      </c>
      <c r="Z58" s="715"/>
      <c r="AH58" t="s">
        <v>358</v>
      </c>
      <c r="AI58" s="718">
        <f t="shared" si="1"/>
        <v>6903.3068927508593</v>
      </c>
      <c r="AJ58" s="122">
        <f t="shared" si="2"/>
        <v>6880.0746099387179</v>
      </c>
      <c r="AK58" s="122">
        <f>Table12[[#This Row],[No. of  Male adults aged 18 - 60]]</f>
        <v>8911.2399072288754</v>
      </c>
      <c r="AL58" s="122">
        <f>Table12[[#This Row],[No. of Female adults aged 18 - 60]]</f>
        <v>8164.4879596957289</v>
      </c>
      <c r="AM58" s="122">
        <f>Table12[[#This Row],[No. of Male adults aged over 60]]</f>
        <v>1174.8897307854829</v>
      </c>
      <c r="AN58" s="719">
        <f>Table12[[#This Row],[No. Female adults aged over 60]]</f>
        <v>1154.9763455179323</v>
      </c>
      <c r="AO58" s="122">
        <f t="shared" si="3"/>
        <v>33188.975445917597</v>
      </c>
    </row>
    <row r="59" spans="1:41" x14ac:dyDescent="0.55000000000000004">
      <c r="A59" t="s">
        <v>342</v>
      </c>
      <c r="B59" t="s">
        <v>360</v>
      </c>
      <c r="C59">
        <v>3</v>
      </c>
      <c r="D59">
        <v>4</v>
      </c>
      <c r="E59" s="22"/>
      <c r="F59" s="433">
        <v>0</v>
      </c>
      <c r="G59" s="433">
        <f>SUM(Table12[[#This Row],[Refugees]:[Target(1&amp;2)50% (3)priority]])</f>
        <v>0</v>
      </c>
      <c r="H59" s="19">
        <v>0.10299999999999999</v>
      </c>
      <c r="I59" s="715">
        <f>Table12[[#This Row],[Target(1-3)priority with REFUGEES]]*Table12[[#This Row],[% Male children under 5]]</f>
        <v>0</v>
      </c>
      <c r="J59" s="19">
        <v>0.104</v>
      </c>
      <c r="K59" s="715">
        <f>Table12[[#This Row],[Target(1-3)priority with REFUGEES]]*Table12[[#This Row],[% Female children under 5]]</f>
        <v>0</v>
      </c>
      <c r="L59" s="19">
        <v>0.22199999999999998</v>
      </c>
      <c r="M59" s="715">
        <f>Table12[[#This Row],[Target(1-3)priority with REFUGEES]]*Table12[[#This Row],[% Male children aged 5 - 17 years]]</f>
        <v>0</v>
      </c>
      <c r="N59" s="19">
        <v>0.18870000000000001</v>
      </c>
      <c r="O59" s="715">
        <f>Table12[[#This Row],[Target(1-3)priority with REFUGEES]]*Table12[[#This Row],[% Female children aged 5 - 17 years]]</f>
        <v>0</v>
      </c>
      <c r="P59" s="19">
        <v>0.16600000000000004</v>
      </c>
      <c r="Q59" s="715">
        <f>Table12[[#This Row],[Target(1-3)priority with REFUGEES]]*Table12[[#This Row],[% Male adults aged 18 - 60]]</f>
        <v>0</v>
      </c>
      <c r="R59" s="19">
        <v>0.17499999999999999</v>
      </c>
      <c r="S59" s="715">
        <f>Table12[[#This Row],[Target(1-3)priority with REFUGEES]]*Table12[[#This Row],[% Female adults aged 18 - 60]]</f>
        <v>0</v>
      </c>
      <c r="T59" s="19">
        <v>1.1400000000000004E-2</v>
      </c>
      <c r="U59" s="715">
        <f>Table12[[#This Row],[Target(1-3)priority with REFUGEES]]*Table12[[#This Row],[% Male adults aged over 60]]</f>
        <v>0</v>
      </c>
      <c r="V59" s="19">
        <v>2.9899999999999999E-2</v>
      </c>
      <c r="W59" s="715">
        <f>Table12[[#This Row],[Target(1-3)priority with REFUGEES]]*Table12[[#This Row],[% Female adults aged over 60]]</f>
        <v>0</v>
      </c>
      <c r="X59" s="412">
        <v>8384.2936000563641</v>
      </c>
      <c r="Z59" s="715"/>
      <c r="AH59" t="s">
        <v>360</v>
      </c>
      <c r="AI59" s="718">
        <f t="shared" si="1"/>
        <v>0</v>
      </c>
      <c r="AJ59" s="122">
        <f t="shared" si="2"/>
        <v>0</v>
      </c>
      <c r="AK59" s="122">
        <f>Table12[[#This Row],[No. of  Male adults aged 18 - 60]]</f>
        <v>0</v>
      </c>
      <c r="AL59" s="122">
        <f>Table12[[#This Row],[No. of Female adults aged 18 - 60]]</f>
        <v>0</v>
      </c>
      <c r="AM59" s="122">
        <f>Table12[[#This Row],[No. of Male adults aged over 60]]</f>
        <v>0</v>
      </c>
      <c r="AN59" s="719">
        <f>Table12[[#This Row],[No. Female adults aged over 60]]</f>
        <v>0</v>
      </c>
      <c r="AO59" s="122">
        <f t="shared" si="3"/>
        <v>0</v>
      </c>
    </row>
    <row r="60" spans="1:41" x14ac:dyDescent="0.55000000000000004">
      <c r="A60" t="s">
        <v>342</v>
      </c>
      <c r="B60" t="s">
        <v>362</v>
      </c>
      <c r="C60">
        <v>4</v>
      </c>
      <c r="D60">
        <v>2</v>
      </c>
      <c r="E60" s="22"/>
      <c r="F60" s="433">
        <v>55961.50407896463</v>
      </c>
      <c r="G60" s="433">
        <f>SUM(Table12[[#This Row],[Refugees]:[Target(1&amp;2)50% (3)priority]])</f>
        <v>55961.50407896463</v>
      </c>
      <c r="H60" s="19">
        <v>3.3300000000000003E-2</v>
      </c>
      <c r="I60" s="715">
        <f>Table12[[#This Row],[Target(1-3)priority with REFUGEES]]*Table12[[#This Row],[% Male children under 5]]</f>
        <v>1863.5180858295223</v>
      </c>
      <c r="J60" s="19">
        <v>3.0300000000000001E-2</v>
      </c>
      <c r="K60" s="715">
        <f>Table12[[#This Row],[Target(1-3)priority with REFUGEES]]*Table12[[#This Row],[% Female children under 5]]</f>
        <v>1695.6335735926284</v>
      </c>
      <c r="L60" s="19">
        <v>0.10730000000000001</v>
      </c>
      <c r="M60" s="715">
        <f>Table12[[#This Row],[Target(1-3)priority with REFUGEES]]*Table12[[#This Row],[% Male children aged 5 - 17 years]]</f>
        <v>6004.669387672905</v>
      </c>
      <c r="N60" s="19">
        <v>6.6100000000000006E-2</v>
      </c>
      <c r="O60" s="715">
        <f>Table12[[#This Row],[Target(1-3)priority with REFUGEES]]*Table12[[#This Row],[% Female children aged 5 - 17 years]]</f>
        <v>3699.0554196195626</v>
      </c>
      <c r="P60" s="19">
        <v>0.29399999999999998</v>
      </c>
      <c r="Q60" s="715">
        <f>Table12[[#This Row],[Target(1-3)priority with REFUGEES]]*Table12[[#This Row],[% Male adults aged 18 - 60]]</f>
        <v>16452.6821992156</v>
      </c>
      <c r="R60" s="19">
        <v>0.19500000000000001</v>
      </c>
      <c r="S60" s="715">
        <f>Table12[[#This Row],[Target(1-3)priority with REFUGEES]]*Table12[[#This Row],[% Female adults aged 18 - 60]]</f>
        <v>10912.493295398102</v>
      </c>
      <c r="T60" s="19">
        <v>0.14700000000000002</v>
      </c>
      <c r="U60" s="715">
        <f>Table12[[#This Row],[Target(1-3)priority with REFUGEES]]*Table12[[#This Row],[% Male adults aged over 60]]</f>
        <v>8226.3410996078019</v>
      </c>
      <c r="V60" s="19">
        <v>0.127</v>
      </c>
      <c r="W60" s="715">
        <f>Table12[[#This Row],[Target(1-3)priority with REFUGEES]]*Table12[[#This Row],[% Female adults aged over 60]]</f>
        <v>7107.1110180285077</v>
      </c>
      <c r="X60" s="412">
        <v>5994.6749999999984</v>
      </c>
      <c r="Z60" s="715"/>
      <c r="AH60" t="s">
        <v>362</v>
      </c>
      <c r="AI60" s="718">
        <f t="shared" si="1"/>
        <v>7868.1874735024276</v>
      </c>
      <c r="AJ60" s="122">
        <f t="shared" si="2"/>
        <v>5394.6889932121912</v>
      </c>
      <c r="AK60" s="122">
        <f>Table12[[#This Row],[No. of  Male adults aged 18 - 60]]</f>
        <v>16452.6821992156</v>
      </c>
      <c r="AL60" s="122">
        <f>Table12[[#This Row],[No. of Female adults aged 18 - 60]]</f>
        <v>10912.493295398102</v>
      </c>
      <c r="AM60" s="122">
        <f>Table12[[#This Row],[No. of Male adults aged over 60]]</f>
        <v>8226.3410996078019</v>
      </c>
      <c r="AN60" s="719">
        <f>Table12[[#This Row],[No. Female adults aged over 60]]</f>
        <v>7107.1110180285077</v>
      </c>
      <c r="AO60" s="122">
        <f t="shared" si="3"/>
        <v>55961.504078964637</v>
      </c>
    </row>
    <row r="61" spans="1:41" x14ac:dyDescent="0.55000000000000004">
      <c r="A61" t="s">
        <v>342</v>
      </c>
      <c r="B61" t="s">
        <v>364</v>
      </c>
      <c r="C61">
        <v>4</v>
      </c>
      <c r="D61">
        <v>1</v>
      </c>
      <c r="E61" s="22">
        <v>43602</v>
      </c>
      <c r="F61" s="433">
        <v>203449.18966152967</v>
      </c>
      <c r="G61" s="433">
        <f>SUM(Table12[[#This Row],[Refugees]:[Target(1&amp;2)50% (3)priority]])</f>
        <v>247051.18966152967</v>
      </c>
      <c r="H61" s="19">
        <v>9.6100000000000005E-2</v>
      </c>
      <c r="I61" s="715">
        <f>Table12[[#This Row],[Target(1-3)priority with REFUGEES]]*Table12[[#This Row],[% Male children under 5]]</f>
        <v>23741.619326473003</v>
      </c>
      <c r="J61" s="19">
        <v>8.0600000000000005E-2</v>
      </c>
      <c r="K61" s="715">
        <f>Table12[[#This Row],[Target(1-3)priority with REFUGEES]]*Table12[[#This Row],[% Female children under 5]]</f>
        <v>19912.325886719293</v>
      </c>
      <c r="L61" s="19">
        <v>0.22699999999999998</v>
      </c>
      <c r="M61" s="715">
        <f>Table12[[#This Row],[Target(1-3)priority with REFUGEES]]*Table12[[#This Row],[% Male children aged 5 - 17 years]]</f>
        <v>56080.620053167229</v>
      </c>
      <c r="N61" s="19">
        <v>0.18</v>
      </c>
      <c r="O61" s="715">
        <f>Table12[[#This Row],[Target(1-3)priority with REFUGEES]]*Table12[[#This Row],[% Female children aged 5 - 17 years]]</f>
        <v>44469.214139075339</v>
      </c>
      <c r="P61" s="19">
        <v>0.17180000000000001</v>
      </c>
      <c r="Q61" s="715">
        <f>Table12[[#This Row],[Target(1-3)priority with REFUGEES]]*Table12[[#This Row],[% Male adults aged 18 - 60]]</f>
        <v>42443.394383850798</v>
      </c>
      <c r="R61" s="19">
        <v>0.17399999999999999</v>
      </c>
      <c r="S61" s="715">
        <f>Table12[[#This Row],[Target(1-3)priority with REFUGEES]]*Table12[[#This Row],[% Female adults aged 18 - 60]]</f>
        <v>42986.907001106163</v>
      </c>
      <c r="T61" s="19">
        <v>3.4999999999999996E-2</v>
      </c>
      <c r="U61" s="715">
        <f>Table12[[#This Row],[Target(1-3)priority with REFUGEES]]*Table12[[#This Row],[% Male adults aged over 60]]</f>
        <v>8646.7916381535379</v>
      </c>
      <c r="V61" s="19">
        <v>3.5499999999999997E-2</v>
      </c>
      <c r="W61" s="715">
        <f>Table12[[#This Row],[Target(1-3)priority with REFUGEES]]*Table12[[#This Row],[% Female adults aged over 60]]</f>
        <v>8770.3172329843019</v>
      </c>
      <c r="X61" s="412">
        <v>34434.916829335343</v>
      </c>
      <c r="Z61" s="715"/>
      <c r="AH61" t="s">
        <v>364</v>
      </c>
      <c r="AI61" s="718">
        <f t="shared" si="1"/>
        <v>79822.239379640232</v>
      </c>
      <c r="AJ61" s="122">
        <f t="shared" si="2"/>
        <v>64381.540025794631</v>
      </c>
      <c r="AK61" s="122">
        <f>Table12[[#This Row],[No. of  Male adults aged 18 - 60]]</f>
        <v>42443.394383850798</v>
      </c>
      <c r="AL61" s="122">
        <f>Table12[[#This Row],[No. of Female adults aged 18 - 60]]</f>
        <v>42986.907001106163</v>
      </c>
      <c r="AM61" s="122">
        <f>Table12[[#This Row],[No. of Male adults aged over 60]]</f>
        <v>8646.7916381535379</v>
      </c>
      <c r="AN61" s="719">
        <f>Table12[[#This Row],[No. Female adults aged over 60]]</f>
        <v>8770.3172329843019</v>
      </c>
      <c r="AO61" s="122">
        <f t="shared" si="3"/>
        <v>247051.18966152964</v>
      </c>
    </row>
    <row r="62" spans="1:41" x14ac:dyDescent="0.55000000000000004">
      <c r="A62" t="s">
        <v>342</v>
      </c>
      <c r="B62" t="s">
        <v>366</v>
      </c>
      <c r="C62">
        <v>5</v>
      </c>
      <c r="D62">
        <v>1</v>
      </c>
      <c r="E62" s="22"/>
      <c r="F62" s="433">
        <v>103664.43855761312</v>
      </c>
      <c r="G62" s="433">
        <f>SUM(Table12[[#This Row],[Refugees]:[Target(1&amp;2)50% (3)priority]])</f>
        <v>103664.43855761312</v>
      </c>
      <c r="H62" s="19">
        <v>7.8700000000000006E-2</v>
      </c>
      <c r="I62" s="715">
        <f>Table12[[#This Row],[Target(1-3)priority with REFUGEES]]*Table12[[#This Row],[% Male children under 5]]</f>
        <v>8158.3913144841526</v>
      </c>
      <c r="J62" s="19">
        <v>6.4500000000000002E-2</v>
      </c>
      <c r="K62" s="715">
        <f>Table12[[#This Row],[Target(1-3)priority with REFUGEES]]*Table12[[#This Row],[% Female children under 5]]</f>
        <v>6686.3562869660464</v>
      </c>
      <c r="L62" s="19">
        <v>0.17299999999999999</v>
      </c>
      <c r="M62" s="715">
        <f>Table12[[#This Row],[Target(1-3)priority with REFUGEES]]*Table12[[#This Row],[% Male children aged 5 - 17 years]]</f>
        <v>17933.947870467069</v>
      </c>
      <c r="N62" s="19">
        <v>0.19700000000000001</v>
      </c>
      <c r="O62" s="715">
        <f>Table12[[#This Row],[Target(1-3)priority with REFUGEES]]*Table12[[#This Row],[% Female children aged 5 - 17 years]]</f>
        <v>20421.894395849784</v>
      </c>
      <c r="P62" s="19">
        <v>0.19389999999999999</v>
      </c>
      <c r="Q62" s="715">
        <f>Table12[[#This Row],[Target(1-3)priority with REFUGEES]]*Table12[[#This Row],[% Male adults aged 18 - 60]]</f>
        <v>20100.534636321183</v>
      </c>
      <c r="R62" s="19">
        <v>0.20799999999999999</v>
      </c>
      <c r="S62" s="715">
        <f>Table12[[#This Row],[Target(1-3)priority with REFUGEES]]*Table12[[#This Row],[% Female adults aged 18 - 60]]</f>
        <v>21562.203219983527</v>
      </c>
      <c r="T62" s="19">
        <v>3.3600000000000005E-2</v>
      </c>
      <c r="U62" s="715">
        <f>Table12[[#This Row],[Target(1-3)priority with REFUGEES]]*Table12[[#This Row],[% Male adults aged over 60]]</f>
        <v>3483.1251355358013</v>
      </c>
      <c r="V62" s="19">
        <v>5.1299999999999998E-2</v>
      </c>
      <c r="W62" s="715">
        <f>Table12[[#This Row],[Target(1-3)priority with REFUGEES]]*Table12[[#This Row],[% Female adults aged over 60]]</f>
        <v>5317.9856980055529</v>
      </c>
      <c r="X62" s="412">
        <v>11157.156841477385</v>
      </c>
      <c r="Z62" s="715"/>
      <c r="AH62" t="s">
        <v>366</v>
      </c>
      <c r="AI62" s="718">
        <f t="shared" si="1"/>
        <v>26092.339184951223</v>
      </c>
      <c r="AJ62" s="122">
        <f t="shared" si="2"/>
        <v>27108.250682815829</v>
      </c>
      <c r="AK62" s="122">
        <f>Table12[[#This Row],[No. of  Male adults aged 18 - 60]]</f>
        <v>20100.534636321183</v>
      </c>
      <c r="AL62" s="122">
        <f>Table12[[#This Row],[No. of Female adults aged 18 - 60]]</f>
        <v>21562.203219983527</v>
      </c>
      <c r="AM62" s="122">
        <f>Table12[[#This Row],[No. of Male adults aged over 60]]</f>
        <v>3483.1251355358013</v>
      </c>
      <c r="AN62" s="719">
        <f>Table12[[#This Row],[No. Female adults aged over 60]]</f>
        <v>5317.9856980055529</v>
      </c>
      <c r="AO62" s="122">
        <f t="shared" si="3"/>
        <v>103664.4385576131</v>
      </c>
    </row>
    <row r="63" spans="1:41" x14ac:dyDescent="0.55000000000000004">
      <c r="A63" t="s">
        <v>368</v>
      </c>
      <c r="B63" t="s">
        <v>370</v>
      </c>
      <c r="C63">
        <v>3</v>
      </c>
      <c r="D63">
        <v>3</v>
      </c>
      <c r="E63" s="22">
        <v>485</v>
      </c>
      <c r="F63" s="433">
        <v>25106.79383400215</v>
      </c>
      <c r="G63" s="433">
        <f>SUM(Table12[[#This Row],[Refugees]:[Target(1&amp;2)50% (3)priority]])</f>
        <v>25591.79383400215</v>
      </c>
      <c r="H63" s="19">
        <v>9.1399999999999995E-2</v>
      </c>
      <c r="I63" s="715">
        <f>Table12[[#This Row],[Target(1-3)priority with REFUGEES]]*Table12[[#This Row],[% Male children under 5]]</f>
        <v>2339.0899564277966</v>
      </c>
      <c r="J63" s="19">
        <v>9.0999999999999998E-2</v>
      </c>
      <c r="K63" s="715">
        <f>Table12[[#This Row],[Target(1-3)priority with REFUGEES]]*Table12[[#This Row],[% Female children under 5]]</f>
        <v>2328.8532388941958</v>
      </c>
      <c r="L63" s="19">
        <v>0.19400000000000001</v>
      </c>
      <c r="M63" s="715">
        <f>Table12[[#This Row],[Target(1-3)priority with REFUGEES]]*Table12[[#This Row],[% Male children aged 5 - 17 years]]</f>
        <v>4964.8080037964173</v>
      </c>
      <c r="N63" s="19">
        <v>0.18240000000000001</v>
      </c>
      <c r="O63" s="715">
        <f>Table12[[#This Row],[Target(1-3)priority with REFUGEES]]*Table12[[#This Row],[% Female children aged 5 - 17 years]]</f>
        <v>4667.9431953219928</v>
      </c>
      <c r="P63" s="19">
        <v>0.19099999999999998</v>
      </c>
      <c r="Q63" s="715">
        <f>Table12[[#This Row],[Target(1-3)priority with REFUGEES]]*Table12[[#This Row],[% Male adults aged 18 - 60]]</f>
        <v>4888.0326222944104</v>
      </c>
      <c r="R63" s="19">
        <v>0.16800000000000001</v>
      </c>
      <c r="S63" s="715">
        <f>Table12[[#This Row],[Target(1-3)priority with REFUGEES]]*Table12[[#This Row],[% Female adults aged 18 - 60]]</f>
        <v>4299.4213641123615</v>
      </c>
      <c r="T63" s="19">
        <v>3.5699999999999996E-2</v>
      </c>
      <c r="U63" s="715">
        <f>Table12[[#This Row],[Target(1-3)priority with REFUGEES]]*Table12[[#This Row],[% Male adults aged over 60]]</f>
        <v>913.6270398738767</v>
      </c>
      <c r="V63" s="19">
        <v>4.65E-2</v>
      </c>
      <c r="W63" s="715">
        <f>Table12[[#This Row],[Target(1-3)priority with REFUGEES]]*Table12[[#This Row],[% Female adults aged over 60]]</f>
        <v>1190.0184132811</v>
      </c>
      <c r="X63" s="412">
        <v>7950.15</v>
      </c>
      <c r="Z63" s="715"/>
      <c r="AH63" t="s">
        <v>370</v>
      </c>
      <c r="AI63" s="718">
        <f t="shared" si="1"/>
        <v>7303.8979602242143</v>
      </c>
      <c r="AJ63" s="122">
        <f t="shared" si="2"/>
        <v>6996.7964342161886</v>
      </c>
      <c r="AK63" s="122">
        <f>Table12[[#This Row],[No. of  Male adults aged 18 - 60]]</f>
        <v>4888.0326222944104</v>
      </c>
      <c r="AL63" s="122">
        <f>Table12[[#This Row],[No. of Female adults aged 18 - 60]]</f>
        <v>4299.4213641123615</v>
      </c>
      <c r="AM63" s="122">
        <f>Table12[[#This Row],[No. of Male adults aged over 60]]</f>
        <v>913.6270398738767</v>
      </c>
      <c r="AN63" s="719">
        <f>Table12[[#This Row],[No. Female adults aged over 60]]</f>
        <v>1190.0184132811</v>
      </c>
      <c r="AO63" s="122">
        <f t="shared" si="3"/>
        <v>25591.793834002154</v>
      </c>
    </row>
    <row r="64" spans="1:41" x14ac:dyDescent="0.55000000000000004">
      <c r="A64" t="s">
        <v>368</v>
      </c>
      <c r="B64" t="s">
        <v>372</v>
      </c>
      <c r="C64">
        <v>3</v>
      </c>
      <c r="D64">
        <v>3</v>
      </c>
      <c r="E64" s="22"/>
      <c r="F64" s="433">
        <v>62830.228426134476</v>
      </c>
      <c r="G64" s="433">
        <f>SUM(Table12[[#This Row],[Refugees]:[Target(1&amp;2)50% (3)priority]])</f>
        <v>62830.228426134476</v>
      </c>
      <c r="H64" s="19">
        <v>8.3900000000000002E-2</v>
      </c>
      <c r="I64" s="715">
        <f>Table12[[#This Row],[Target(1-3)priority with REFUGEES]]*Table12[[#This Row],[% Male children under 5]]</f>
        <v>5271.4561649526822</v>
      </c>
      <c r="J64" s="19">
        <v>6.7000000000000004E-2</v>
      </c>
      <c r="K64" s="715">
        <f>Table12[[#This Row],[Target(1-3)priority with REFUGEES]]*Table12[[#This Row],[% Female children under 5]]</f>
        <v>4209.6253045510102</v>
      </c>
      <c r="L64" s="19">
        <v>0.21809999999999999</v>
      </c>
      <c r="M64" s="715">
        <f>Table12[[#This Row],[Target(1-3)priority with REFUGEES]]*Table12[[#This Row],[% Male children aged 5 - 17 years]]</f>
        <v>13703.272819739928</v>
      </c>
      <c r="N64" s="19">
        <v>0.189</v>
      </c>
      <c r="O64" s="715">
        <f>Table12[[#This Row],[Target(1-3)priority with REFUGEES]]*Table12[[#This Row],[% Female children aged 5 - 17 years]]</f>
        <v>11874.913172539416</v>
      </c>
      <c r="P64" s="19">
        <v>0.193</v>
      </c>
      <c r="Q64" s="715">
        <f>Table12[[#This Row],[Target(1-3)priority with REFUGEES]]*Table12[[#This Row],[% Male adults aged 18 - 60]]</f>
        <v>12126.234086243954</v>
      </c>
      <c r="R64" s="19">
        <v>0.184</v>
      </c>
      <c r="S64" s="715">
        <f>Table12[[#This Row],[Target(1-3)priority with REFUGEES]]*Table12[[#This Row],[% Female adults aged 18 - 60]]</f>
        <v>11560.762030408743</v>
      </c>
      <c r="T64" s="19">
        <v>2.2200000000000004E-2</v>
      </c>
      <c r="U64" s="715">
        <f>Table12[[#This Row],[Target(1-3)priority with REFUGEES]]*Table12[[#This Row],[% Male adults aged over 60]]</f>
        <v>1394.8310710601856</v>
      </c>
      <c r="V64" s="19">
        <v>4.2799999999999998E-2</v>
      </c>
      <c r="W64" s="715">
        <f>Table12[[#This Row],[Target(1-3)priority with REFUGEES]]*Table12[[#This Row],[% Female adults aged over 60]]</f>
        <v>2689.1337766385554</v>
      </c>
      <c r="X64" s="412">
        <v>17041.168316573152</v>
      </c>
      <c r="Z64" s="715"/>
      <c r="AH64" t="s">
        <v>372</v>
      </c>
      <c r="AI64" s="718">
        <f t="shared" si="1"/>
        <v>18974.728984692611</v>
      </c>
      <c r="AJ64" s="122">
        <f t="shared" si="2"/>
        <v>16084.538477090427</v>
      </c>
      <c r="AK64" s="122">
        <f>Table12[[#This Row],[No. of  Male adults aged 18 - 60]]</f>
        <v>12126.234086243954</v>
      </c>
      <c r="AL64" s="122">
        <f>Table12[[#This Row],[No. of Female adults aged 18 - 60]]</f>
        <v>11560.762030408743</v>
      </c>
      <c r="AM64" s="122">
        <f>Table12[[#This Row],[No. of Male adults aged over 60]]</f>
        <v>1394.8310710601856</v>
      </c>
      <c r="AN64" s="719">
        <f>Table12[[#This Row],[No. Female adults aged over 60]]</f>
        <v>2689.1337766385554</v>
      </c>
      <c r="AO64" s="122">
        <f t="shared" si="3"/>
        <v>62830.228426134468</v>
      </c>
    </row>
    <row r="65" spans="1:41" x14ac:dyDescent="0.55000000000000004">
      <c r="A65" t="s">
        <v>368</v>
      </c>
      <c r="B65" t="s">
        <v>374</v>
      </c>
      <c r="C65">
        <v>4</v>
      </c>
      <c r="D65">
        <v>2</v>
      </c>
      <c r="E65" s="22"/>
      <c r="F65" s="433">
        <v>66575.887445625965</v>
      </c>
      <c r="G65" s="433">
        <f>SUM(Table12[[#This Row],[Refugees]:[Target(1&amp;2)50% (3)priority]])</f>
        <v>66575.887445625965</v>
      </c>
      <c r="H65" s="19">
        <v>8.1199999999999994E-2</v>
      </c>
      <c r="I65" s="715">
        <f>Table12[[#This Row],[Target(1-3)priority with REFUGEES]]*Table12[[#This Row],[% Male children under 5]]</f>
        <v>5405.9620605848277</v>
      </c>
      <c r="J65" s="19">
        <v>7.9799999999999996E-2</v>
      </c>
      <c r="K65" s="715">
        <f>Table12[[#This Row],[Target(1-3)priority with REFUGEES]]*Table12[[#This Row],[% Female children under 5]]</f>
        <v>5312.755818160952</v>
      </c>
      <c r="L65" s="19">
        <v>0.21240000000000001</v>
      </c>
      <c r="M65" s="715">
        <f>Table12[[#This Row],[Target(1-3)priority with REFUGEES]]*Table12[[#This Row],[% Male children aged 5 - 17 years]]</f>
        <v>14140.718493450955</v>
      </c>
      <c r="N65" s="19">
        <v>0.19500000000000001</v>
      </c>
      <c r="O65" s="715">
        <f>Table12[[#This Row],[Target(1-3)priority with REFUGEES]]*Table12[[#This Row],[% Female children aged 5 - 17 years]]</f>
        <v>12982.298051897063</v>
      </c>
      <c r="P65" s="19">
        <v>0.21</v>
      </c>
      <c r="Q65" s="715">
        <f>Table12[[#This Row],[Target(1-3)priority with REFUGEES]]*Table12[[#This Row],[% Male adults aged 18 - 60]]</f>
        <v>13980.936363581452</v>
      </c>
      <c r="R65" s="19">
        <v>0.153</v>
      </c>
      <c r="S65" s="715">
        <f>Table12[[#This Row],[Target(1-3)priority with REFUGEES]]*Table12[[#This Row],[% Female adults aged 18 - 60]]</f>
        <v>10186.110779180772</v>
      </c>
      <c r="T65" s="19">
        <v>4.6099999999999995E-2</v>
      </c>
      <c r="U65" s="715">
        <f>Table12[[#This Row],[Target(1-3)priority with REFUGEES]]*Table12[[#This Row],[% Male adults aged over 60]]</f>
        <v>3069.1484112433568</v>
      </c>
      <c r="V65" s="19">
        <v>2.2499999999999999E-2</v>
      </c>
      <c r="W65" s="715">
        <f>Table12[[#This Row],[Target(1-3)priority with REFUGEES]]*Table12[[#This Row],[% Female adults aged over 60]]</f>
        <v>1497.9574675265842</v>
      </c>
      <c r="X65" s="412">
        <v>16929.65755483495</v>
      </c>
      <c r="Z65" s="715"/>
      <c r="AH65" t="s">
        <v>374</v>
      </c>
      <c r="AI65" s="718">
        <f t="shared" si="1"/>
        <v>19546.680554035782</v>
      </c>
      <c r="AJ65" s="122">
        <f t="shared" si="2"/>
        <v>18295.053870058015</v>
      </c>
      <c r="AK65" s="122">
        <f>Table12[[#This Row],[No. of  Male adults aged 18 - 60]]</f>
        <v>13980.936363581452</v>
      </c>
      <c r="AL65" s="122">
        <f>Table12[[#This Row],[No. of Female adults aged 18 - 60]]</f>
        <v>10186.110779180772</v>
      </c>
      <c r="AM65" s="122">
        <f>Table12[[#This Row],[No. of Male adults aged over 60]]</f>
        <v>3069.1484112433568</v>
      </c>
      <c r="AN65" s="719">
        <f>Table12[[#This Row],[No. Female adults aged over 60]]</f>
        <v>1497.9574675265842</v>
      </c>
      <c r="AO65" s="122">
        <f t="shared" si="3"/>
        <v>66575.887445625965</v>
      </c>
    </row>
    <row r="66" spans="1:41" x14ac:dyDescent="0.55000000000000004">
      <c r="A66" t="s">
        <v>368</v>
      </c>
      <c r="B66" t="s">
        <v>376</v>
      </c>
      <c r="C66">
        <v>3</v>
      </c>
      <c r="D66">
        <v>3</v>
      </c>
      <c r="E66" s="22"/>
      <c r="F66" s="433">
        <v>53693.73440872728</v>
      </c>
      <c r="G66" s="433">
        <f>SUM(Table12[[#This Row],[Refugees]:[Target(1&amp;2)50% (3)priority]])</f>
        <v>53693.73440872728</v>
      </c>
      <c r="H66" s="19">
        <v>7.5800000000000006E-2</v>
      </c>
      <c r="I66" s="715">
        <f>Table12[[#This Row],[Target(1-3)priority with REFUGEES]]*Table12[[#This Row],[% Male children under 5]]</f>
        <v>4069.9850681815283</v>
      </c>
      <c r="J66" s="19">
        <v>8.3900000000000002E-2</v>
      </c>
      <c r="K66" s="715">
        <f>Table12[[#This Row],[Target(1-3)priority with REFUGEES]]*Table12[[#This Row],[% Female children under 5]]</f>
        <v>4504.904316892219</v>
      </c>
      <c r="L66" s="19">
        <v>0.18099999999999999</v>
      </c>
      <c r="M66" s="715">
        <f>Table12[[#This Row],[Target(1-3)priority with REFUGEES]]*Table12[[#This Row],[% Male children aged 5 - 17 years]]</f>
        <v>9718.5659279796364</v>
      </c>
      <c r="N66" s="19">
        <v>0.17299999999999999</v>
      </c>
      <c r="O66" s="715">
        <f>Table12[[#This Row],[Target(1-3)priority with REFUGEES]]*Table12[[#This Row],[% Female children aged 5 - 17 years]]</f>
        <v>9289.0160527098178</v>
      </c>
      <c r="P66" s="19">
        <v>0.184</v>
      </c>
      <c r="Q66" s="715">
        <f>Table12[[#This Row],[Target(1-3)priority with REFUGEES]]*Table12[[#This Row],[% Male adults aged 18 - 60]]</f>
        <v>9879.6471312058184</v>
      </c>
      <c r="R66" s="19">
        <v>0.184</v>
      </c>
      <c r="S66" s="715">
        <f>Table12[[#This Row],[Target(1-3)priority with REFUGEES]]*Table12[[#This Row],[% Female adults aged 18 - 60]]</f>
        <v>9879.6471312058184</v>
      </c>
      <c r="T66" s="19">
        <v>4.9099999999999998E-2</v>
      </c>
      <c r="U66" s="715">
        <f>Table12[[#This Row],[Target(1-3)priority with REFUGEES]]*Table12[[#This Row],[% Male adults aged over 60]]</f>
        <v>2636.3623594685091</v>
      </c>
      <c r="V66" s="19">
        <v>6.9199999999999998E-2</v>
      </c>
      <c r="W66" s="715">
        <f>Table12[[#This Row],[Target(1-3)priority with REFUGEES]]*Table12[[#This Row],[% Female adults aged over 60]]</f>
        <v>3715.6064210839277</v>
      </c>
      <c r="X66" s="412">
        <v>14896.076107502122</v>
      </c>
      <c r="Z66" s="715"/>
      <c r="AH66" t="s">
        <v>376</v>
      </c>
      <c r="AI66" s="718">
        <f t="shared" si="1"/>
        <v>13788.550996161164</v>
      </c>
      <c r="AJ66" s="122">
        <f t="shared" si="2"/>
        <v>13793.920369602038</v>
      </c>
      <c r="AK66" s="122">
        <f>Table12[[#This Row],[No. of  Male adults aged 18 - 60]]</f>
        <v>9879.6471312058184</v>
      </c>
      <c r="AL66" s="122">
        <f>Table12[[#This Row],[No. of Female adults aged 18 - 60]]</f>
        <v>9879.6471312058184</v>
      </c>
      <c r="AM66" s="122">
        <f>Table12[[#This Row],[No. of Male adults aged over 60]]</f>
        <v>2636.3623594685091</v>
      </c>
      <c r="AN66" s="719">
        <f>Table12[[#This Row],[No. Female adults aged over 60]]</f>
        <v>3715.6064210839277</v>
      </c>
      <c r="AO66" s="122">
        <f t="shared" si="3"/>
        <v>53693.73440872728</v>
      </c>
    </row>
    <row r="67" spans="1:41" x14ac:dyDescent="0.55000000000000004">
      <c r="A67" t="s">
        <v>368</v>
      </c>
      <c r="B67" t="s">
        <v>378</v>
      </c>
      <c r="C67">
        <v>3</v>
      </c>
      <c r="D67">
        <v>4</v>
      </c>
      <c r="E67" s="22"/>
      <c r="F67" s="433">
        <v>0</v>
      </c>
      <c r="G67" s="433">
        <f>SUM(Table12[[#This Row],[Refugees]:[Target(1&amp;2)50% (3)priority]])</f>
        <v>0</v>
      </c>
      <c r="H67" s="19">
        <v>6.9699999999999998E-2</v>
      </c>
      <c r="I67" s="715">
        <f>Table12[[#This Row],[Target(1-3)priority with REFUGEES]]*Table12[[#This Row],[% Male children under 5]]</f>
        <v>0</v>
      </c>
      <c r="J67" s="19">
        <v>8.2500000000000004E-2</v>
      </c>
      <c r="K67" s="715">
        <f>Table12[[#This Row],[Target(1-3)priority with REFUGEES]]*Table12[[#This Row],[% Female children under 5]]</f>
        <v>0</v>
      </c>
      <c r="L67" s="19">
        <v>0.185</v>
      </c>
      <c r="M67" s="715">
        <f>Table12[[#This Row],[Target(1-3)priority with REFUGEES]]*Table12[[#This Row],[% Male children aged 5 - 17 years]]</f>
        <v>0</v>
      </c>
      <c r="N67" s="19">
        <v>0.19850000000000001</v>
      </c>
      <c r="O67" s="715">
        <f>Table12[[#This Row],[Target(1-3)priority with REFUGEES]]*Table12[[#This Row],[% Female children aged 5 - 17 years]]</f>
        <v>0</v>
      </c>
      <c r="P67" s="19">
        <v>0.20900000000000002</v>
      </c>
      <c r="Q67" s="715">
        <f>Table12[[#This Row],[Target(1-3)priority with REFUGEES]]*Table12[[#This Row],[% Male adults aged 18 - 60]]</f>
        <v>0</v>
      </c>
      <c r="R67" s="19">
        <v>0.185</v>
      </c>
      <c r="S67" s="715">
        <f>Table12[[#This Row],[Target(1-3)priority with REFUGEES]]*Table12[[#This Row],[% Female adults aged 18 - 60]]</f>
        <v>0</v>
      </c>
      <c r="T67" s="19">
        <v>5.1400000000000001E-2</v>
      </c>
      <c r="U67" s="715">
        <f>Table12[[#This Row],[Target(1-3)priority with REFUGEES]]*Table12[[#This Row],[% Male adults aged over 60]]</f>
        <v>0</v>
      </c>
      <c r="V67" s="19">
        <v>1.89E-2</v>
      </c>
      <c r="W67" s="715">
        <f>Table12[[#This Row],[Target(1-3)priority with REFUGEES]]*Table12[[#This Row],[% Female adults aged over 60]]</f>
        <v>0</v>
      </c>
      <c r="X67" s="412">
        <v>4628.5286284684043</v>
      </c>
      <c r="Z67" s="715"/>
      <c r="AH67" t="s">
        <v>378</v>
      </c>
      <c r="AI67" s="718">
        <f t="shared" ref="AI67:AI81" si="4">SUM(I67,M67)</f>
        <v>0</v>
      </c>
      <c r="AJ67" s="122">
        <f t="shared" ref="AJ67:AJ81" si="5">SUM(K67,O67)</f>
        <v>0</v>
      </c>
      <c r="AK67" s="122">
        <f>Table12[[#This Row],[No. of  Male adults aged 18 - 60]]</f>
        <v>0</v>
      </c>
      <c r="AL67" s="122">
        <f>Table12[[#This Row],[No. of Female adults aged 18 - 60]]</f>
        <v>0</v>
      </c>
      <c r="AM67" s="122">
        <f>Table12[[#This Row],[No. of Male adults aged over 60]]</f>
        <v>0</v>
      </c>
      <c r="AN67" s="719">
        <f>Table12[[#This Row],[No. Female adults aged over 60]]</f>
        <v>0</v>
      </c>
      <c r="AO67" s="122">
        <f t="shared" si="3"/>
        <v>0</v>
      </c>
    </row>
    <row r="68" spans="1:41" x14ac:dyDescent="0.55000000000000004">
      <c r="A68" t="s">
        <v>368</v>
      </c>
      <c r="B68" t="s">
        <v>380</v>
      </c>
      <c r="C68">
        <v>4</v>
      </c>
      <c r="D68">
        <v>1</v>
      </c>
      <c r="E68" s="22">
        <v>289</v>
      </c>
      <c r="F68" s="433">
        <v>155870.48043419223</v>
      </c>
      <c r="G68" s="433">
        <f>SUM(Table12[[#This Row],[Refugees]:[Target(1&amp;2)50% (3)priority]])</f>
        <v>156159.48043419223</v>
      </c>
      <c r="H68" s="19">
        <v>8.4000000000000005E-2</v>
      </c>
      <c r="I68" s="715">
        <f>Table12[[#This Row],[Target(1-3)priority with REFUGEES]]*Table12[[#This Row],[% Male children under 5]]</f>
        <v>13117.396356472147</v>
      </c>
      <c r="J68" s="19">
        <v>5.9499999999999997E-2</v>
      </c>
      <c r="K68" s="715">
        <f>Table12[[#This Row],[Target(1-3)priority with REFUGEES]]*Table12[[#This Row],[% Female children under 5]]</f>
        <v>9291.489085834437</v>
      </c>
      <c r="L68" s="19">
        <v>0.20299999999999999</v>
      </c>
      <c r="M68" s="715">
        <f>Table12[[#This Row],[Target(1-3)priority with REFUGEES]]*Table12[[#This Row],[% Male children aged 5 - 17 years]]</f>
        <v>31700.374528141019</v>
      </c>
      <c r="N68" s="19">
        <v>0.219</v>
      </c>
      <c r="O68" s="715">
        <f>Table12[[#This Row],[Target(1-3)priority with REFUGEES]]*Table12[[#This Row],[% Female children aged 5 - 17 years]]</f>
        <v>34198.926215088097</v>
      </c>
      <c r="P68" s="19">
        <v>0.17299999999999999</v>
      </c>
      <c r="Q68" s="715">
        <f>Table12[[#This Row],[Target(1-3)priority with REFUGEES]]*Table12[[#This Row],[% Male adults aged 18 - 60]]</f>
        <v>27015.590115115254</v>
      </c>
      <c r="R68" s="19">
        <v>0.1908</v>
      </c>
      <c r="S68" s="715">
        <f>Table12[[#This Row],[Target(1-3)priority with REFUGEES]]*Table12[[#This Row],[% Female adults aged 18 - 60]]</f>
        <v>29795.228866843878</v>
      </c>
      <c r="T68" s="19">
        <v>3.0899999999999997E-2</v>
      </c>
      <c r="U68" s="715">
        <f>Table12[[#This Row],[Target(1-3)priority with REFUGEES]]*Table12[[#This Row],[% Male adults aged over 60]]</f>
        <v>4825.3279454165395</v>
      </c>
      <c r="V68" s="19">
        <v>3.9800000000000002E-2</v>
      </c>
      <c r="W68" s="715">
        <f>Table12[[#This Row],[Target(1-3)priority with REFUGEES]]*Table12[[#This Row],[% Female adults aged over 60]]</f>
        <v>6215.1473212808514</v>
      </c>
      <c r="X68" s="412">
        <v>20150.853830466604</v>
      </c>
      <c r="Z68" s="715"/>
      <c r="AH68" t="s">
        <v>380</v>
      </c>
      <c r="AI68" s="718">
        <f t="shared" si="4"/>
        <v>44817.770884613165</v>
      </c>
      <c r="AJ68" s="122">
        <f t="shared" si="5"/>
        <v>43490.415300922534</v>
      </c>
      <c r="AK68" s="122">
        <f>Table12[[#This Row],[No. of  Male adults aged 18 - 60]]</f>
        <v>27015.590115115254</v>
      </c>
      <c r="AL68" s="122">
        <f>Table12[[#This Row],[No. of Female adults aged 18 - 60]]</f>
        <v>29795.228866843878</v>
      </c>
      <c r="AM68" s="122">
        <f>Table12[[#This Row],[No. of Male adults aged over 60]]</f>
        <v>4825.3279454165395</v>
      </c>
      <c r="AN68" s="719">
        <f>Table12[[#This Row],[No. Female adults aged over 60]]</f>
        <v>6215.1473212808514</v>
      </c>
      <c r="AO68" s="122">
        <f t="shared" ref="AO68:AO81" si="6">SUM(AI68:AN68)</f>
        <v>156159.4804341922</v>
      </c>
    </row>
    <row r="69" spans="1:41" x14ac:dyDescent="0.55000000000000004">
      <c r="A69" t="s">
        <v>382</v>
      </c>
      <c r="B69" t="s">
        <v>384</v>
      </c>
      <c r="C69">
        <v>3</v>
      </c>
      <c r="D69">
        <v>4</v>
      </c>
      <c r="E69" s="22"/>
      <c r="F69" s="433">
        <v>0</v>
      </c>
      <c r="G69" s="433">
        <f>SUM(Table12[[#This Row],[Refugees]:[Target(1&amp;2)50% (3)priority]])</f>
        <v>0</v>
      </c>
      <c r="H69" s="19">
        <v>8.7099999999999997E-2</v>
      </c>
      <c r="I69" s="715">
        <f>Table12[[#This Row],[Target(1-3)priority with REFUGEES]]*Table12[[#This Row],[% Male children under 5]]</f>
        <v>0</v>
      </c>
      <c r="J69" s="19">
        <v>0.109</v>
      </c>
      <c r="K69" s="715">
        <f>Table12[[#This Row],[Target(1-3)priority with REFUGEES]]*Table12[[#This Row],[% Female children under 5]]</f>
        <v>0</v>
      </c>
      <c r="L69" s="19">
        <v>0.19769999999999999</v>
      </c>
      <c r="M69" s="715">
        <f>Table12[[#This Row],[Target(1-3)priority with REFUGEES]]*Table12[[#This Row],[% Male children aged 5 - 17 years]]</f>
        <v>0</v>
      </c>
      <c r="N69" s="19">
        <v>0.19700000000000001</v>
      </c>
      <c r="O69" s="715">
        <f>Table12[[#This Row],[Target(1-3)priority with REFUGEES]]*Table12[[#This Row],[% Female children aged 5 - 17 years]]</f>
        <v>0</v>
      </c>
      <c r="P69" s="19">
        <v>0.16799999999999998</v>
      </c>
      <c r="Q69" s="715">
        <f>Table12[[#This Row],[Target(1-3)priority with REFUGEES]]*Table12[[#This Row],[% Male adults aged 18 - 60]]</f>
        <v>0</v>
      </c>
      <c r="R69" s="19">
        <v>0.19500000000000001</v>
      </c>
      <c r="S69" s="715">
        <f>Table12[[#This Row],[Target(1-3)priority with REFUGEES]]*Table12[[#This Row],[% Female adults aged 18 - 60]]</f>
        <v>0</v>
      </c>
      <c r="T69" s="19">
        <v>2.1599999999999998E-2</v>
      </c>
      <c r="U69" s="715">
        <f>Table12[[#This Row],[Target(1-3)priority with REFUGEES]]*Table12[[#This Row],[% Male adults aged over 60]]</f>
        <v>0</v>
      </c>
      <c r="V69" s="19">
        <v>2.46E-2</v>
      </c>
      <c r="W69" s="715">
        <f>Table12[[#This Row],[Target(1-3)priority with REFUGEES]]*Table12[[#This Row],[% Female adults aged over 60]]</f>
        <v>0</v>
      </c>
      <c r="X69" s="412">
        <v>16772.977998208586</v>
      </c>
      <c r="Z69" s="715"/>
      <c r="AH69" t="s">
        <v>384</v>
      </c>
      <c r="AI69" s="718">
        <f t="shared" si="4"/>
        <v>0</v>
      </c>
      <c r="AJ69" s="122">
        <f t="shared" si="5"/>
        <v>0</v>
      </c>
      <c r="AK69" s="122">
        <f>Table12[[#This Row],[No. of  Male adults aged 18 - 60]]</f>
        <v>0</v>
      </c>
      <c r="AL69" s="122">
        <f>Table12[[#This Row],[No. of Female adults aged 18 - 60]]</f>
        <v>0</v>
      </c>
      <c r="AM69" s="122">
        <f>Table12[[#This Row],[No. of Male adults aged over 60]]</f>
        <v>0</v>
      </c>
      <c r="AN69" s="719">
        <f>Table12[[#This Row],[No. Female adults aged over 60]]</f>
        <v>0</v>
      </c>
      <c r="AO69" s="122">
        <f t="shared" si="6"/>
        <v>0</v>
      </c>
    </row>
    <row r="70" spans="1:41" x14ac:dyDescent="0.55000000000000004">
      <c r="A70" t="s">
        <v>382</v>
      </c>
      <c r="B70" t="s">
        <v>386</v>
      </c>
      <c r="C70">
        <v>3</v>
      </c>
      <c r="D70">
        <v>3</v>
      </c>
      <c r="E70" s="22">
        <v>4213</v>
      </c>
      <c r="F70" s="433">
        <v>17998.325265195625</v>
      </c>
      <c r="G70" s="433">
        <f>SUM(Table12[[#This Row],[Refugees]:[Target(1&amp;2)50% (3)priority]])</f>
        <v>22211.325265195625</v>
      </c>
      <c r="H70" s="19">
        <v>9.5500000000000002E-2</v>
      </c>
      <c r="I70" s="715">
        <f>Table12[[#This Row],[Target(1-3)priority with REFUGEES]]*Table12[[#This Row],[% Male children under 5]]</f>
        <v>2121.181562826182</v>
      </c>
      <c r="J70" s="19">
        <v>7.9600000000000004E-2</v>
      </c>
      <c r="K70" s="715">
        <f>Table12[[#This Row],[Target(1-3)priority with REFUGEES]]*Table12[[#This Row],[% Female children under 5]]</f>
        <v>1768.0214911095718</v>
      </c>
      <c r="L70" s="19">
        <v>0.20250000000000001</v>
      </c>
      <c r="M70" s="715">
        <f>Table12[[#This Row],[Target(1-3)priority with REFUGEES]]*Table12[[#This Row],[% Male children aged 5 - 17 years]]</f>
        <v>4497.7933662021142</v>
      </c>
      <c r="N70" s="19">
        <v>0.184</v>
      </c>
      <c r="O70" s="715">
        <f>Table12[[#This Row],[Target(1-3)priority with REFUGEES]]*Table12[[#This Row],[% Female children aged 5 - 17 years]]</f>
        <v>4086.8838487959947</v>
      </c>
      <c r="P70" s="19">
        <v>0.19400000000000001</v>
      </c>
      <c r="Q70" s="715">
        <f>Table12[[#This Row],[Target(1-3)priority with REFUGEES]]*Table12[[#This Row],[% Male adults aged 18 - 60]]</f>
        <v>4308.9971014479515</v>
      </c>
      <c r="R70" s="19">
        <v>0.193</v>
      </c>
      <c r="S70" s="715">
        <f>Table12[[#This Row],[Target(1-3)priority with REFUGEES]]*Table12[[#This Row],[% Female adults aged 18 - 60]]</f>
        <v>4286.7857761827554</v>
      </c>
      <c r="T70" s="19">
        <v>1.8300000000000004E-2</v>
      </c>
      <c r="U70" s="715">
        <f>Table12[[#This Row],[Target(1-3)priority with REFUGEES]]*Table12[[#This Row],[% Male adults aged over 60]]</f>
        <v>406.46725235308003</v>
      </c>
      <c r="V70" s="19">
        <v>3.3099999999999997E-2</v>
      </c>
      <c r="W70" s="715">
        <f>Table12[[#This Row],[Target(1-3)priority with REFUGEES]]*Table12[[#This Row],[% Female adults aged over 60]]</f>
        <v>735.19486627797517</v>
      </c>
      <c r="X70" s="412">
        <v>6910.6418887578684</v>
      </c>
      <c r="Z70" s="715"/>
      <c r="AH70" t="s">
        <v>386</v>
      </c>
      <c r="AI70" s="718">
        <f t="shared" si="4"/>
        <v>6618.9749290282962</v>
      </c>
      <c r="AJ70" s="122">
        <f t="shared" si="5"/>
        <v>5854.9053399055665</v>
      </c>
      <c r="AK70" s="122">
        <f>Table12[[#This Row],[No. of  Male adults aged 18 - 60]]</f>
        <v>4308.9971014479515</v>
      </c>
      <c r="AL70" s="122">
        <f>Table12[[#This Row],[No. of Female adults aged 18 - 60]]</f>
        <v>4286.7857761827554</v>
      </c>
      <c r="AM70" s="122">
        <f>Table12[[#This Row],[No. of Male adults aged over 60]]</f>
        <v>406.46725235308003</v>
      </c>
      <c r="AN70" s="719">
        <f>Table12[[#This Row],[No. Female adults aged over 60]]</f>
        <v>735.19486627797517</v>
      </c>
      <c r="AO70" s="122">
        <f t="shared" si="6"/>
        <v>22211.325265195625</v>
      </c>
    </row>
    <row r="71" spans="1:41" x14ac:dyDescent="0.55000000000000004">
      <c r="A71" t="s">
        <v>382</v>
      </c>
      <c r="B71" t="s">
        <v>388</v>
      </c>
      <c r="C71">
        <v>3</v>
      </c>
      <c r="D71">
        <v>4</v>
      </c>
      <c r="E71" s="22">
        <v>6164</v>
      </c>
      <c r="F71" s="433">
        <v>0</v>
      </c>
      <c r="G71" s="433">
        <f>SUM(Table12[[#This Row],[Refugees]:[Target(1&amp;2)50% (3)priority]])</f>
        <v>6164</v>
      </c>
      <c r="H71" s="19">
        <v>0.13200000000000001</v>
      </c>
      <c r="I71" s="715">
        <f>Table12[[#This Row],[Target(1-3)priority with REFUGEES]]*Table12[[#This Row],[% Male children under 5]]</f>
        <v>813.64800000000002</v>
      </c>
      <c r="J71" s="19">
        <v>0.124</v>
      </c>
      <c r="K71" s="715">
        <f>Table12[[#This Row],[Target(1-3)priority with REFUGEES]]*Table12[[#This Row],[% Female children under 5]]</f>
        <v>764.33600000000001</v>
      </c>
      <c r="L71" s="19">
        <v>0.13500000000000001</v>
      </c>
      <c r="M71" s="715">
        <f>Table12[[#This Row],[Target(1-3)priority with REFUGEES]]*Table12[[#This Row],[% Male children aged 5 - 17 years]]</f>
        <v>832.1400000000001</v>
      </c>
      <c r="N71" s="19">
        <v>0.1762</v>
      </c>
      <c r="O71" s="715">
        <f>Table12[[#This Row],[Target(1-3)priority with REFUGEES]]*Table12[[#This Row],[% Female children aged 5 - 17 years]]</f>
        <v>1086.0968</v>
      </c>
      <c r="P71" s="19">
        <v>0.18799999999999997</v>
      </c>
      <c r="Q71" s="715">
        <f>Table12[[#This Row],[Target(1-3)priority with REFUGEES]]*Table12[[#This Row],[% Male adults aged 18 - 60]]</f>
        <v>1158.8319999999999</v>
      </c>
      <c r="R71" s="19">
        <v>0.224</v>
      </c>
      <c r="S71" s="715">
        <f>Table12[[#This Row],[Target(1-3)priority with REFUGEES]]*Table12[[#This Row],[% Female adults aged 18 - 60]]</f>
        <v>1380.7360000000001</v>
      </c>
      <c r="T71" s="19">
        <v>1.286E-2</v>
      </c>
      <c r="U71" s="715">
        <f>Table12[[#This Row],[Target(1-3)priority with REFUGEES]]*Table12[[#This Row],[% Male adults aged over 60]]</f>
        <v>79.269040000000004</v>
      </c>
      <c r="V71" s="19">
        <v>7.9399999999999991E-3</v>
      </c>
      <c r="W71" s="715">
        <f>Table12[[#This Row],[Target(1-3)priority with REFUGEES]]*Table12[[#This Row],[% Female adults aged over 60]]</f>
        <v>48.942159999999994</v>
      </c>
      <c r="X71" s="412">
        <v>0</v>
      </c>
      <c r="Z71" s="715"/>
      <c r="AH71" t="s">
        <v>388</v>
      </c>
      <c r="AI71" s="718">
        <f t="shared" si="4"/>
        <v>1645.788</v>
      </c>
      <c r="AJ71" s="122">
        <f t="shared" si="5"/>
        <v>1850.4328</v>
      </c>
      <c r="AK71" s="122">
        <f>Table12[[#This Row],[No. of  Male adults aged 18 - 60]]</f>
        <v>1158.8319999999999</v>
      </c>
      <c r="AL71" s="122">
        <f>Table12[[#This Row],[No. of Female adults aged 18 - 60]]</f>
        <v>1380.7360000000001</v>
      </c>
      <c r="AM71" s="122">
        <f>Table12[[#This Row],[No. of Male adults aged over 60]]</f>
        <v>79.269040000000004</v>
      </c>
      <c r="AN71" s="719">
        <f>Table12[[#This Row],[No. Female adults aged over 60]]</f>
        <v>48.942159999999994</v>
      </c>
      <c r="AO71" s="122">
        <f t="shared" si="6"/>
        <v>6163.9999999999991</v>
      </c>
    </row>
    <row r="72" spans="1:41" x14ac:dyDescent="0.55000000000000004">
      <c r="A72" t="s">
        <v>390</v>
      </c>
      <c r="B72" t="s">
        <v>392</v>
      </c>
      <c r="C72">
        <v>3</v>
      </c>
      <c r="D72">
        <v>3</v>
      </c>
      <c r="E72" s="22">
        <v>1681</v>
      </c>
      <c r="F72" s="433">
        <v>31065.435151156871</v>
      </c>
      <c r="G72" s="433">
        <f>SUM(Table12[[#This Row],[Refugees]:[Target(1&amp;2)50% (3)priority]])</f>
        <v>32746.435151156871</v>
      </c>
      <c r="H72" s="19">
        <v>5.8999999999999997E-2</v>
      </c>
      <c r="I72" s="715">
        <f>Table12[[#This Row],[Target(1-3)priority with REFUGEES]]*Table12[[#This Row],[% Male children under 5]]</f>
        <v>1932.0396739182554</v>
      </c>
      <c r="J72" s="19">
        <v>8.5800000000000001E-2</v>
      </c>
      <c r="K72" s="715">
        <f>Table12[[#This Row],[Target(1-3)priority with REFUGEES]]*Table12[[#This Row],[% Female children under 5]]</f>
        <v>2809.6441359692594</v>
      </c>
      <c r="L72" s="19">
        <v>0.17299999999999999</v>
      </c>
      <c r="M72" s="715">
        <f>Table12[[#This Row],[Target(1-3)priority with REFUGEES]]*Table12[[#This Row],[% Male children aged 5 - 17 years]]</f>
        <v>5665.1332811501379</v>
      </c>
      <c r="N72" s="19">
        <v>0.1835</v>
      </c>
      <c r="O72" s="715">
        <f>Table12[[#This Row],[Target(1-3)priority with REFUGEES]]*Table12[[#This Row],[% Female children aged 5 - 17 years]]</f>
        <v>6008.970850237286</v>
      </c>
      <c r="P72" s="19">
        <v>0.18199999999999997</v>
      </c>
      <c r="Q72" s="715">
        <f>Table12[[#This Row],[Target(1-3)priority with REFUGEES]]*Table12[[#This Row],[% Male adults aged 18 - 60]]</f>
        <v>5959.8511975105494</v>
      </c>
      <c r="R72" s="19">
        <v>0.22900000000000001</v>
      </c>
      <c r="S72" s="715">
        <f>Table12[[#This Row],[Target(1-3)priority with REFUGEES]]*Table12[[#This Row],[% Female adults aged 18 - 60]]</f>
        <v>7498.9336496149235</v>
      </c>
      <c r="T72" s="19">
        <v>5.4100000000000002E-2</v>
      </c>
      <c r="U72" s="715">
        <f>Table12[[#This Row],[Target(1-3)priority with REFUGEES]]*Table12[[#This Row],[% Male adults aged over 60]]</f>
        <v>1771.5821416775868</v>
      </c>
      <c r="V72" s="19">
        <v>3.3599999999999998E-2</v>
      </c>
      <c r="W72" s="715">
        <f>Table12[[#This Row],[Target(1-3)priority with REFUGEES]]*Table12[[#This Row],[% Female adults aged over 60]]</f>
        <v>1100.2802210788709</v>
      </c>
      <c r="X72" s="412">
        <v>3320.25</v>
      </c>
      <c r="Z72" s="715"/>
      <c r="AH72" t="s">
        <v>392</v>
      </c>
      <c r="AI72" s="718">
        <f t="shared" si="4"/>
        <v>7597.1729550683931</v>
      </c>
      <c r="AJ72" s="122">
        <f t="shared" si="5"/>
        <v>8818.6149862065449</v>
      </c>
      <c r="AK72" s="122">
        <f>Table12[[#This Row],[No. of  Male adults aged 18 - 60]]</f>
        <v>5959.8511975105494</v>
      </c>
      <c r="AL72" s="122">
        <f>Table12[[#This Row],[No. of Female adults aged 18 - 60]]</f>
        <v>7498.9336496149235</v>
      </c>
      <c r="AM72" s="122">
        <f>Table12[[#This Row],[No. of Male adults aged over 60]]</f>
        <v>1771.5821416775868</v>
      </c>
      <c r="AN72" s="719">
        <f>Table12[[#This Row],[No. Female adults aged over 60]]</f>
        <v>1100.2802210788709</v>
      </c>
      <c r="AO72" s="122">
        <f t="shared" si="6"/>
        <v>32746.435151156871</v>
      </c>
    </row>
    <row r="73" spans="1:41" x14ac:dyDescent="0.55000000000000004">
      <c r="A73" t="s">
        <v>390</v>
      </c>
      <c r="B73" t="s">
        <v>394</v>
      </c>
      <c r="C73">
        <v>3</v>
      </c>
      <c r="D73">
        <v>5</v>
      </c>
      <c r="E73" s="22"/>
      <c r="F73" s="433">
        <v>0</v>
      </c>
      <c r="G73" s="433">
        <f>SUM(Table12[[#This Row],[Refugees]:[Target(1&amp;2)50% (3)priority]])</f>
        <v>0</v>
      </c>
      <c r="H73" s="19">
        <v>8.8599999999999998E-2</v>
      </c>
      <c r="I73" s="715">
        <f>Table12[[#This Row],[Target(1-3)priority with REFUGEES]]*Table12[[#This Row],[% Male children under 5]]</f>
        <v>0</v>
      </c>
      <c r="J73" s="19">
        <v>6.6000000000000003E-2</v>
      </c>
      <c r="K73" s="715">
        <f>Table12[[#This Row],[Target(1-3)priority with REFUGEES]]*Table12[[#This Row],[% Female children under 5]]</f>
        <v>0</v>
      </c>
      <c r="L73" s="19">
        <v>0.20699999999999999</v>
      </c>
      <c r="M73" s="715">
        <f>Table12[[#This Row],[Target(1-3)priority with REFUGEES]]*Table12[[#This Row],[% Male children aged 5 - 17 years]]</f>
        <v>0</v>
      </c>
      <c r="N73" s="19">
        <v>0.17100000000000001</v>
      </c>
      <c r="O73" s="715">
        <f>Table12[[#This Row],[Target(1-3)priority with REFUGEES]]*Table12[[#This Row],[% Female children aged 5 - 17 years]]</f>
        <v>0</v>
      </c>
      <c r="P73" s="19">
        <v>0.223</v>
      </c>
      <c r="Q73" s="715">
        <f>Table12[[#This Row],[Target(1-3)priority with REFUGEES]]*Table12[[#This Row],[% Male adults aged 18 - 60]]</f>
        <v>0</v>
      </c>
      <c r="R73" s="19">
        <v>0.20499999999999999</v>
      </c>
      <c r="S73" s="715">
        <f>Table12[[#This Row],[Target(1-3)priority with REFUGEES]]*Table12[[#This Row],[% Female adults aged 18 - 60]]</f>
        <v>0</v>
      </c>
      <c r="T73" s="19">
        <v>1.7599999999999998E-2</v>
      </c>
      <c r="U73" s="715">
        <f>Table12[[#This Row],[Target(1-3)priority with REFUGEES]]*Table12[[#This Row],[% Male adults aged over 60]]</f>
        <v>0</v>
      </c>
      <c r="V73" s="19">
        <v>2.18E-2</v>
      </c>
      <c r="W73" s="715">
        <f>Table12[[#This Row],[Target(1-3)priority with REFUGEES]]*Table12[[#This Row],[% Female adults aged over 60]]</f>
        <v>0</v>
      </c>
      <c r="X73" s="412">
        <v>205.5</v>
      </c>
      <c r="Z73" s="715"/>
      <c r="AH73" t="s">
        <v>394</v>
      </c>
      <c r="AI73" s="718">
        <f t="shared" si="4"/>
        <v>0</v>
      </c>
      <c r="AJ73" s="122">
        <f t="shared" si="5"/>
        <v>0</v>
      </c>
      <c r="AK73" s="122">
        <f>Table12[[#This Row],[No. of  Male adults aged 18 - 60]]</f>
        <v>0</v>
      </c>
      <c r="AL73" s="122">
        <f>Table12[[#This Row],[No. of Female adults aged 18 - 60]]</f>
        <v>0</v>
      </c>
      <c r="AM73" s="122">
        <f>Table12[[#This Row],[No. of Male adults aged over 60]]</f>
        <v>0</v>
      </c>
      <c r="AN73" s="719">
        <f>Table12[[#This Row],[No. Female adults aged over 60]]</f>
        <v>0</v>
      </c>
      <c r="AO73" s="122">
        <f t="shared" si="6"/>
        <v>0</v>
      </c>
    </row>
    <row r="74" spans="1:41" x14ac:dyDescent="0.55000000000000004">
      <c r="A74" t="s">
        <v>390</v>
      </c>
      <c r="B74" t="s">
        <v>396</v>
      </c>
      <c r="C74">
        <v>3</v>
      </c>
      <c r="D74">
        <v>5</v>
      </c>
      <c r="E74" s="22">
        <v>65</v>
      </c>
      <c r="F74" s="433">
        <v>0</v>
      </c>
      <c r="G74" s="433">
        <f>SUM(Table12[[#This Row],[Refugees]:[Target(1&amp;2)50% (3)priority]])</f>
        <v>65</v>
      </c>
      <c r="H74" s="19">
        <v>9.9299999999999999E-2</v>
      </c>
      <c r="I74" s="715">
        <f>Table12[[#This Row],[Target(1-3)priority with REFUGEES]]*Table12[[#This Row],[% Male children under 5]]</f>
        <v>6.4545000000000003</v>
      </c>
      <c r="J74" s="19">
        <v>8.4199999999999997E-2</v>
      </c>
      <c r="K74" s="715">
        <f>Table12[[#This Row],[Target(1-3)priority with REFUGEES]]*Table12[[#This Row],[% Female children under 5]]</f>
        <v>5.4729999999999999</v>
      </c>
      <c r="L74" s="19">
        <v>0.159</v>
      </c>
      <c r="M74" s="715">
        <f>Table12[[#This Row],[Target(1-3)priority with REFUGEES]]*Table12[[#This Row],[% Male children aged 5 - 17 years]]</f>
        <v>10.335000000000001</v>
      </c>
      <c r="N74" s="19">
        <v>0.16769999999999999</v>
      </c>
      <c r="O74" s="715">
        <f>Table12[[#This Row],[Target(1-3)priority with REFUGEES]]*Table12[[#This Row],[% Female children aged 5 - 17 years]]</f>
        <v>10.900499999999999</v>
      </c>
      <c r="P74" s="19">
        <v>0.188</v>
      </c>
      <c r="Q74" s="715">
        <f>Table12[[#This Row],[Target(1-3)priority with REFUGEES]]*Table12[[#This Row],[% Male adults aged 18 - 60]]</f>
        <v>12.22</v>
      </c>
      <c r="R74" s="19">
        <v>0.23899999999999999</v>
      </c>
      <c r="S74" s="715">
        <f>Table12[[#This Row],[Target(1-3)priority with REFUGEES]]*Table12[[#This Row],[% Female adults aged 18 - 60]]</f>
        <v>15.535</v>
      </c>
      <c r="T74" s="19">
        <v>1.8599999999999992E-2</v>
      </c>
      <c r="U74" s="715">
        <f>Table12[[#This Row],[Target(1-3)priority with REFUGEES]]*Table12[[#This Row],[% Male adults aged over 60]]</f>
        <v>1.2089999999999994</v>
      </c>
      <c r="V74" s="19">
        <v>4.4200000000000003E-2</v>
      </c>
      <c r="W74" s="715">
        <f>Table12[[#This Row],[Target(1-3)priority with REFUGEES]]*Table12[[#This Row],[% Female adults aged over 60]]</f>
        <v>2.8730000000000002</v>
      </c>
      <c r="X74" s="412">
        <v>0</v>
      </c>
      <c r="Z74" s="715"/>
      <c r="AH74" t="s">
        <v>396</v>
      </c>
      <c r="AI74" s="718">
        <f t="shared" si="4"/>
        <v>16.7895</v>
      </c>
      <c r="AJ74" s="122">
        <f t="shared" si="5"/>
        <v>16.3735</v>
      </c>
      <c r="AK74" s="122">
        <f>Table12[[#This Row],[No. of  Male adults aged 18 - 60]]</f>
        <v>12.22</v>
      </c>
      <c r="AL74" s="122">
        <f>Table12[[#This Row],[No. of Female adults aged 18 - 60]]</f>
        <v>15.535</v>
      </c>
      <c r="AM74" s="122">
        <f>Table12[[#This Row],[No. of Male adults aged over 60]]</f>
        <v>1.2089999999999994</v>
      </c>
      <c r="AN74" s="719">
        <f>Table12[[#This Row],[No. Female adults aged over 60]]</f>
        <v>2.8730000000000002</v>
      </c>
      <c r="AO74" s="122">
        <f t="shared" si="6"/>
        <v>64.999999999999986</v>
      </c>
    </row>
    <row r="75" spans="1:41" x14ac:dyDescent="0.55000000000000004">
      <c r="A75" t="s">
        <v>390</v>
      </c>
      <c r="B75" t="s">
        <v>398</v>
      </c>
      <c r="C75">
        <v>3</v>
      </c>
      <c r="D75">
        <v>5</v>
      </c>
      <c r="E75" s="22"/>
      <c r="F75" s="433">
        <v>0</v>
      </c>
      <c r="G75" s="433">
        <f>SUM(Table12[[#This Row],[Refugees]:[Target(1&amp;2)50% (3)priority]])</f>
        <v>0</v>
      </c>
      <c r="H75" s="19">
        <v>9.8799999999999999E-2</v>
      </c>
      <c r="I75" s="715">
        <f>Table12[[#This Row],[Target(1-3)priority with REFUGEES]]*Table12[[#This Row],[% Male children under 5]]</f>
        <v>0</v>
      </c>
      <c r="J75" s="19">
        <v>9.1200000000000003E-2</v>
      </c>
      <c r="K75" s="715">
        <f>Table12[[#This Row],[Target(1-3)priority with REFUGEES]]*Table12[[#This Row],[% Female children under 5]]</f>
        <v>0</v>
      </c>
      <c r="L75" s="19">
        <v>0.15670000000000001</v>
      </c>
      <c r="M75" s="715">
        <f>Table12[[#This Row],[Target(1-3)priority with REFUGEES]]*Table12[[#This Row],[% Male children aged 5 - 17 years]]</f>
        <v>0</v>
      </c>
      <c r="N75" s="19">
        <v>0.124</v>
      </c>
      <c r="O75" s="715">
        <f>Table12[[#This Row],[Target(1-3)priority with REFUGEES]]*Table12[[#This Row],[% Female children aged 5 - 17 years]]</f>
        <v>0</v>
      </c>
      <c r="P75" s="19">
        <v>0.23500000000000001</v>
      </c>
      <c r="Q75" s="715">
        <f>Table12[[#This Row],[Target(1-3)priority with REFUGEES]]*Table12[[#This Row],[% Male adults aged 18 - 60]]</f>
        <v>0</v>
      </c>
      <c r="R75" s="19">
        <v>0.22800000000000001</v>
      </c>
      <c r="S75" s="715">
        <f>Table12[[#This Row],[Target(1-3)priority with REFUGEES]]*Table12[[#This Row],[% Female adults aged 18 - 60]]</f>
        <v>0</v>
      </c>
      <c r="T75" s="19">
        <v>3.6799999999999999E-2</v>
      </c>
      <c r="U75" s="715">
        <f>Table12[[#This Row],[Target(1-3)priority with REFUGEES]]*Table12[[#This Row],[% Male adults aged over 60]]</f>
        <v>0</v>
      </c>
      <c r="V75" s="19">
        <v>2.9499999999999998E-2</v>
      </c>
      <c r="W75" s="715">
        <f>Table12[[#This Row],[Target(1-3)priority with REFUGEES]]*Table12[[#This Row],[% Female adults aged over 60]]</f>
        <v>0</v>
      </c>
      <c r="X75" s="412">
        <v>412.95</v>
      </c>
      <c r="Z75" s="715"/>
      <c r="AH75" t="s">
        <v>398</v>
      </c>
      <c r="AI75" s="718">
        <f t="shared" si="4"/>
        <v>0</v>
      </c>
      <c r="AJ75" s="122">
        <f t="shared" si="5"/>
        <v>0</v>
      </c>
      <c r="AK75" s="122">
        <f>Table12[[#This Row],[No. of  Male adults aged 18 - 60]]</f>
        <v>0</v>
      </c>
      <c r="AL75" s="122">
        <f>Table12[[#This Row],[No. of Female adults aged 18 - 60]]</f>
        <v>0</v>
      </c>
      <c r="AM75" s="122">
        <f>Table12[[#This Row],[No. of Male adults aged over 60]]</f>
        <v>0</v>
      </c>
      <c r="AN75" s="719">
        <f>Table12[[#This Row],[No. Female adults aged over 60]]</f>
        <v>0</v>
      </c>
      <c r="AO75" s="122">
        <f t="shared" si="6"/>
        <v>0</v>
      </c>
    </row>
    <row r="76" spans="1:41" x14ac:dyDescent="0.55000000000000004">
      <c r="A76" t="s">
        <v>390</v>
      </c>
      <c r="B76" t="s">
        <v>400</v>
      </c>
      <c r="C76">
        <v>3</v>
      </c>
      <c r="D76">
        <v>5</v>
      </c>
      <c r="E76" s="22"/>
      <c r="F76" s="433">
        <v>0</v>
      </c>
      <c r="G76" s="433">
        <f>SUM(Table12[[#This Row],[Refugees]:[Target(1&amp;2)50% (3)priority]])</f>
        <v>0</v>
      </c>
      <c r="H76" s="19">
        <v>9.4700000000000006E-2</v>
      </c>
      <c r="I76" s="715">
        <f>Table12[[#This Row],[Target(1-3)priority with REFUGEES]]*Table12[[#This Row],[% Male children under 5]]</f>
        <v>0</v>
      </c>
      <c r="J76" s="19">
        <v>9.0800000000000006E-2</v>
      </c>
      <c r="K76" s="715">
        <f>Table12[[#This Row],[Target(1-3)priority with REFUGEES]]*Table12[[#This Row],[% Female children under 5]]</f>
        <v>0</v>
      </c>
      <c r="L76" s="19">
        <v>0.2175</v>
      </c>
      <c r="M76" s="715">
        <f>Table12[[#This Row],[Target(1-3)priority with REFUGEES]]*Table12[[#This Row],[% Male children aged 5 - 17 years]]</f>
        <v>0</v>
      </c>
      <c r="N76" s="19">
        <v>0.16300000000000001</v>
      </c>
      <c r="O76" s="715">
        <f>Table12[[#This Row],[Target(1-3)priority with REFUGEES]]*Table12[[#This Row],[% Female children aged 5 - 17 years]]</f>
        <v>0</v>
      </c>
      <c r="P76" s="19">
        <v>0.19020000000000001</v>
      </c>
      <c r="Q76" s="715">
        <f>Table12[[#This Row],[Target(1-3)priority with REFUGEES]]*Table12[[#This Row],[% Male adults aged 18 - 60]]</f>
        <v>0</v>
      </c>
      <c r="R76" s="19">
        <v>0.20499999999999999</v>
      </c>
      <c r="S76" s="715">
        <f>Table12[[#This Row],[Target(1-3)priority with REFUGEES]]*Table12[[#This Row],[% Female adults aged 18 - 60]]</f>
        <v>0</v>
      </c>
      <c r="T76" s="19">
        <v>1.54E-2</v>
      </c>
      <c r="U76" s="715">
        <f>Table12[[#This Row],[Target(1-3)priority with REFUGEES]]*Table12[[#This Row],[% Male adults aged over 60]]</f>
        <v>0</v>
      </c>
      <c r="V76" s="19">
        <v>2.3400000000000001E-2</v>
      </c>
      <c r="W76" s="715">
        <f>Table12[[#This Row],[Target(1-3)priority with REFUGEES]]*Table12[[#This Row],[% Female adults aged over 60]]</f>
        <v>0</v>
      </c>
      <c r="X76" s="412">
        <v>0</v>
      </c>
      <c r="Z76" s="715"/>
      <c r="AH76" t="s">
        <v>400</v>
      </c>
      <c r="AI76" s="718">
        <f t="shared" si="4"/>
        <v>0</v>
      </c>
      <c r="AJ76" s="122">
        <f t="shared" si="5"/>
        <v>0</v>
      </c>
      <c r="AK76" s="122">
        <f>Table12[[#This Row],[No. of  Male adults aged 18 - 60]]</f>
        <v>0</v>
      </c>
      <c r="AL76" s="122">
        <f>Table12[[#This Row],[No. of Female adults aged 18 - 60]]</f>
        <v>0</v>
      </c>
      <c r="AM76" s="122">
        <f>Table12[[#This Row],[No. of Male adults aged over 60]]</f>
        <v>0</v>
      </c>
      <c r="AN76" s="719">
        <f>Table12[[#This Row],[No. Female adults aged over 60]]</f>
        <v>0</v>
      </c>
      <c r="AO76" s="122">
        <f t="shared" si="6"/>
        <v>0</v>
      </c>
    </row>
    <row r="77" spans="1:41" x14ac:dyDescent="0.55000000000000004">
      <c r="A77" t="s">
        <v>390</v>
      </c>
      <c r="B77" t="s">
        <v>402</v>
      </c>
      <c r="C77">
        <v>3</v>
      </c>
      <c r="D77">
        <v>5</v>
      </c>
      <c r="E77" s="22"/>
      <c r="F77" s="433">
        <v>0</v>
      </c>
      <c r="G77" s="433">
        <f>SUM(Table12[[#This Row],[Refugees]:[Target(1&amp;2)50% (3)priority]])</f>
        <v>0</v>
      </c>
      <c r="H77" s="19">
        <v>0.109</v>
      </c>
      <c r="I77" s="715">
        <f>Table12[[#This Row],[Target(1-3)priority with REFUGEES]]*Table12[[#This Row],[% Male children under 5]]</f>
        <v>0</v>
      </c>
      <c r="J77" s="19">
        <v>0.08</v>
      </c>
      <c r="K77" s="715">
        <f>Table12[[#This Row],[Target(1-3)priority with REFUGEES]]*Table12[[#This Row],[% Female children under 5]]</f>
        <v>0</v>
      </c>
      <c r="L77" s="19">
        <v>0.19339999999999999</v>
      </c>
      <c r="M77" s="715">
        <f>Table12[[#This Row],[Target(1-3)priority with REFUGEES]]*Table12[[#This Row],[% Male children aged 5 - 17 years]]</f>
        <v>0</v>
      </c>
      <c r="N77" s="19">
        <v>0.17499999999999999</v>
      </c>
      <c r="O77" s="715">
        <f>Table12[[#This Row],[Target(1-3)priority with REFUGEES]]*Table12[[#This Row],[% Female children aged 5 - 17 years]]</f>
        <v>0</v>
      </c>
      <c r="P77" s="19">
        <v>0.17599999999999999</v>
      </c>
      <c r="Q77" s="715">
        <f>Table12[[#This Row],[Target(1-3)priority with REFUGEES]]*Table12[[#This Row],[% Male adults aged 18 - 60]]</f>
        <v>0</v>
      </c>
      <c r="R77" s="19">
        <v>0.19800000000000001</v>
      </c>
      <c r="S77" s="715">
        <f>Table12[[#This Row],[Target(1-3)priority with REFUGEES]]*Table12[[#This Row],[% Female adults aged 18 - 60]]</f>
        <v>0</v>
      </c>
      <c r="T77" s="19">
        <v>3.2999999999999995E-2</v>
      </c>
      <c r="U77" s="715">
        <f>Table12[[#This Row],[Target(1-3)priority with REFUGEES]]*Table12[[#This Row],[% Male adults aged over 60]]</f>
        <v>0</v>
      </c>
      <c r="V77" s="19">
        <v>3.56E-2</v>
      </c>
      <c r="W77" s="715">
        <f>Table12[[#This Row],[Target(1-3)priority with REFUGEES]]*Table12[[#This Row],[% Female adults aged over 60]]</f>
        <v>0</v>
      </c>
      <c r="X77" s="412">
        <v>0</v>
      </c>
      <c r="Z77" s="715"/>
      <c r="AH77" t="s">
        <v>402</v>
      </c>
      <c r="AI77" s="718">
        <f t="shared" si="4"/>
        <v>0</v>
      </c>
      <c r="AJ77" s="122">
        <f t="shared" si="5"/>
        <v>0</v>
      </c>
      <c r="AK77" s="122">
        <f>Table12[[#This Row],[No. of  Male adults aged 18 - 60]]</f>
        <v>0</v>
      </c>
      <c r="AL77" s="122">
        <f>Table12[[#This Row],[No. of Female adults aged 18 - 60]]</f>
        <v>0</v>
      </c>
      <c r="AM77" s="122">
        <f>Table12[[#This Row],[No. of Male adults aged over 60]]</f>
        <v>0</v>
      </c>
      <c r="AN77" s="719">
        <f>Table12[[#This Row],[No. Female adults aged over 60]]</f>
        <v>0</v>
      </c>
      <c r="AO77" s="122">
        <f t="shared" si="6"/>
        <v>0</v>
      </c>
    </row>
    <row r="78" spans="1:41" x14ac:dyDescent="0.55000000000000004">
      <c r="A78" t="s">
        <v>390</v>
      </c>
      <c r="B78" t="s">
        <v>404</v>
      </c>
      <c r="C78">
        <v>4</v>
      </c>
      <c r="D78">
        <v>2</v>
      </c>
      <c r="E78" s="22"/>
      <c r="F78" s="433">
        <v>21601.117718773712</v>
      </c>
      <c r="G78" s="433">
        <f>SUM(Table12[[#This Row],[Refugees]:[Target(1&amp;2)50% (3)priority]])</f>
        <v>21601.117718773712</v>
      </c>
      <c r="H78" s="19">
        <v>6.0100000000000001E-2</v>
      </c>
      <c r="I78" s="715">
        <f>Table12[[#This Row],[Target(1-3)priority with REFUGEES]]*Table12[[#This Row],[% Male children under 5]]</f>
        <v>1298.2271748983001</v>
      </c>
      <c r="J78" s="19">
        <v>5.8099999999999999E-2</v>
      </c>
      <c r="K78" s="715">
        <f>Table12[[#This Row],[Target(1-3)priority with REFUGEES]]*Table12[[#This Row],[% Female children under 5]]</f>
        <v>1255.0249394607526</v>
      </c>
      <c r="L78" s="19">
        <v>0.17600000000000002</v>
      </c>
      <c r="M78" s="715">
        <f>Table12[[#This Row],[Target(1-3)priority with REFUGEES]]*Table12[[#This Row],[% Male children aged 5 - 17 years]]</f>
        <v>3801.7967185041739</v>
      </c>
      <c r="N78" s="19">
        <v>0.14380000000000001</v>
      </c>
      <c r="O78" s="715">
        <f>Table12[[#This Row],[Target(1-3)priority with REFUGEES]]*Table12[[#This Row],[% Female children aged 5 - 17 years]]</f>
        <v>3106.24072795966</v>
      </c>
      <c r="P78" s="19">
        <v>0.22000000000000003</v>
      </c>
      <c r="Q78" s="715">
        <f>Table12[[#This Row],[Target(1-3)priority with REFUGEES]]*Table12[[#This Row],[% Male adults aged 18 - 60]]</f>
        <v>4752.245898130217</v>
      </c>
      <c r="R78" s="19">
        <v>0.31</v>
      </c>
      <c r="S78" s="715">
        <f>Table12[[#This Row],[Target(1-3)priority with REFUGEES]]*Table12[[#This Row],[% Female adults aged 18 - 60]]</f>
        <v>6696.3464928198509</v>
      </c>
      <c r="T78" s="19">
        <v>2.4460000000000003E-2</v>
      </c>
      <c r="U78" s="715">
        <f>Table12[[#This Row],[Target(1-3)priority with REFUGEES]]*Table12[[#This Row],[% Male adults aged over 60]]</f>
        <v>528.36333940120505</v>
      </c>
      <c r="V78" s="19">
        <v>7.5399999999999998E-3</v>
      </c>
      <c r="W78" s="715">
        <f>Table12[[#This Row],[Target(1-3)priority with REFUGEES]]*Table12[[#This Row],[% Female adults aged over 60]]</f>
        <v>162.87242759955379</v>
      </c>
      <c r="X78" s="412">
        <v>0</v>
      </c>
      <c r="Z78" s="715"/>
      <c r="AH78" t="s">
        <v>404</v>
      </c>
      <c r="AI78" s="718">
        <f t="shared" si="4"/>
        <v>5100.0238934024737</v>
      </c>
      <c r="AJ78" s="122">
        <f t="shared" si="5"/>
        <v>4361.2656674204127</v>
      </c>
      <c r="AK78" s="122">
        <f>Table12[[#This Row],[No. of  Male adults aged 18 - 60]]</f>
        <v>4752.245898130217</v>
      </c>
      <c r="AL78" s="122">
        <f>Table12[[#This Row],[No. of Female adults aged 18 - 60]]</f>
        <v>6696.3464928198509</v>
      </c>
      <c r="AM78" s="122">
        <f>Table12[[#This Row],[No. of Male adults aged over 60]]</f>
        <v>528.36333940120505</v>
      </c>
      <c r="AN78" s="719">
        <f>Table12[[#This Row],[No. Female adults aged over 60]]</f>
        <v>162.87242759955379</v>
      </c>
      <c r="AO78" s="122">
        <f t="shared" si="6"/>
        <v>21601.117718773716</v>
      </c>
    </row>
    <row r="79" spans="1:41" x14ac:dyDescent="0.55000000000000004">
      <c r="A79" t="s">
        <v>390</v>
      </c>
      <c r="B79" t="s">
        <v>406</v>
      </c>
      <c r="C79">
        <v>3</v>
      </c>
      <c r="D79">
        <v>5</v>
      </c>
      <c r="E79" s="22"/>
      <c r="F79" s="433">
        <v>0</v>
      </c>
      <c r="G79" s="433">
        <f>SUM(Table12[[#This Row],[Refugees]:[Target(1&amp;2)50% (3)priority]])</f>
        <v>0</v>
      </c>
      <c r="H79" s="19">
        <v>9.4200000000000006E-2</v>
      </c>
      <c r="I79" s="715">
        <f>Table12[[#This Row],[Target(1-3)priority with REFUGEES]]*Table12[[#This Row],[% Male children under 5]]</f>
        <v>0</v>
      </c>
      <c r="J79" s="19">
        <v>0.113</v>
      </c>
      <c r="K79" s="715">
        <f>Table12[[#This Row],[Target(1-3)priority with REFUGEES]]*Table12[[#This Row],[% Female children under 5]]</f>
        <v>0</v>
      </c>
      <c r="L79" s="19">
        <v>0.1709</v>
      </c>
      <c r="M79" s="715">
        <f>Table12[[#This Row],[Target(1-3)priority with REFUGEES]]*Table12[[#This Row],[% Male children aged 5 - 17 years]]</f>
        <v>0</v>
      </c>
      <c r="N79" s="19">
        <v>0.16400000000000001</v>
      </c>
      <c r="O79" s="715">
        <f>Table12[[#This Row],[Target(1-3)priority with REFUGEES]]*Table12[[#This Row],[% Female children aged 5 - 17 years]]</f>
        <v>0</v>
      </c>
      <c r="P79" s="19">
        <v>0.17900000000000002</v>
      </c>
      <c r="Q79" s="715">
        <f>Table12[[#This Row],[Target(1-3)priority with REFUGEES]]*Table12[[#This Row],[% Male adults aged 18 - 60]]</f>
        <v>0</v>
      </c>
      <c r="R79" s="19">
        <v>0.216</v>
      </c>
      <c r="S79" s="715">
        <f>Table12[[#This Row],[Target(1-3)priority with REFUGEES]]*Table12[[#This Row],[% Female adults aged 18 - 60]]</f>
        <v>0</v>
      </c>
      <c r="T79" s="19">
        <v>3.8399999999999997E-2</v>
      </c>
      <c r="U79" s="715">
        <f>Table12[[#This Row],[Target(1-3)priority with REFUGEES]]*Table12[[#This Row],[% Male adults aged over 60]]</f>
        <v>0</v>
      </c>
      <c r="V79" s="19">
        <v>2.4500000000000001E-2</v>
      </c>
      <c r="W79" s="715">
        <f>Table12[[#This Row],[Target(1-3)priority with REFUGEES]]*Table12[[#This Row],[% Female adults aged over 60]]</f>
        <v>0</v>
      </c>
      <c r="X79" s="412">
        <v>0</v>
      </c>
      <c r="Z79" s="715"/>
      <c r="AH79" t="s">
        <v>406</v>
      </c>
      <c r="AI79" s="718">
        <f t="shared" si="4"/>
        <v>0</v>
      </c>
      <c r="AJ79" s="122">
        <f t="shared" si="5"/>
        <v>0</v>
      </c>
      <c r="AK79" s="122">
        <f>Table12[[#This Row],[No. of  Male adults aged 18 - 60]]</f>
        <v>0</v>
      </c>
      <c r="AL79" s="122">
        <f>Table12[[#This Row],[No. of Female adults aged 18 - 60]]</f>
        <v>0</v>
      </c>
      <c r="AM79" s="122">
        <f>Table12[[#This Row],[No. of Male adults aged over 60]]</f>
        <v>0</v>
      </c>
      <c r="AN79" s="719">
        <f>Table12[[#This Row],[No. Female adults aged over 60]]</f>
        <v>0</v>
      </c>
      <c r="AO79" s="122">
        <f t="shared" si="6"/>
        <v>0</v>
      </c>
    </row>
    <row r="80" spans="1:41" x14ac:dyDescent="0.55000000000000004">
      <c r="A80" t="s">
        <v>390</v>
      </c>
      <c r="B80" t="s">
        <v>408</v>
      </c>
      <c r="C80">
        <v>4</v>
      </c>
      <c r="D80">
        <v>2</v>
      </c>
      <c r="E80" s="22">
        <v>822</v>
      </c>
      <c r="F80" s="433">
        <v>65163.797939629643</v>
      </c>
      <c r="G80" s="433">
        <f>SUM(Table12[[#This Row],[Refugees]:[Target(1&amp;2)50% (3)priority]])</f>
        <v>65985.797939629643</v>
      </c>
      <c r="H80" s="19">
        <v>0.1166</v>
      </c>
      <c r="I80" s="715">
        <f>Table12[[#This Row],[Target(1-3)priority with REFUGEES]]*Table12[[#This Row],[% Male children under 5]]</f>
        <v>7693.9440397608159</v>
      </c>
      <c r="J80" s="19">
        <v>0.105</v>
      </c>
      <c r="K80" s="715">
        <f>Table12[[#This Row],[Target(1-3)priority with REFUGEES]]*Table12[[#This Row],[% Female children under 5]]</f>
        <v>6928.5087836611119</v>
      </c>
      <c r="L80" s="19">
        <v>0.13800000000000001</v>
      </c>
      <c r="M80" s="715">
        <f>Table12[[#This Row],[Target(1-3)priority with REFUGEES]]*Table12[[#This Row],[% Male children aged 5 - 17 years]]</f>
        <v>9106.0401156688913</v>
      </c>
      <c r="N80" s="19">
        <v>0.16300000000000001</v>
      </c>
      <c r="O80" s="715">
        <f>Table12[[#This Row],[Target(1-3)priority with REFUGEES]]*Table12[[#This Row],[% Female children aged 5 - 17 years]]</f>
        <v>10755.685064159632</v>
      </c>
      <c r="P80" s="19">
        <v>0.20300000000000001</v>
      </c>
      <c r="Q80" s="715">
        <f>Table12[[#This Row],[Target(1-3)priority with REFUGEES]]*Table12[[#This Row],[% Male adults aged 18 - 60]]</f>
        <v>13395.116981744819</v>
      </c>
      <c r="R80" s="19">
        <v>0.23599999999999999</v>
      </c>
      <c r="S80" s="715">
        <f>Table12[[#This Row],[Target(1-3)priority with REFUGEES]]*Table12[[#This Row],[% Female adults aged 18 - 60]]</f>
        <v>15572.648313752596</v>
      </c>
      <c r="T80" s="19">
        <v>1.7399999999999995E-2</v>
      </c>
      <c r="U80" s="715">
        <f>Table12[[#This Row],[Target(1-3)priority with REFUGEES]]*Table12[[#This Row],[% Male adults aged over 60]]</f>
        <v>1148.1528841495556</v>
      </c>
      <c r="V80" s="19">
        <v>2.1000000000000001E-2</v>
      </c>
      <c r="W80" s="715">
        <f>Table12[[#This Row],[Target(1-3)priority with REFUGEES]]*Table12[[#This Row],[% Female adults aged over 60]]</f>
        <v>1385.7017567322225</v>
      </c>
      <c r="X80" s="412">
        <v>6724.3418103852473</v>
      </c>
      <c r="Z80" s="715"/>
      <c r="AH80" t="s">
        <v>408</v>
      </c>
      <c r="AI80" s="718">
        <f t="shared" si="4"/>
        <v>16799.984155429709</v>
      </c>
      <c r="AJ80" s="122">
        <f t="shared" si="5"/>
        <v>17684.193847820745</v>
      </c>
      <c r="AK80" s="122">
        <f>Table12[[#This Row],[No. of  Male adults aged 18 - 60]]</f>
        <v>13395.116981744819</v>
      </c>
      <c r="AL80" s="122">
        <f>Table12[[#This Row],[No. of Female adults aged 18 - 60]]</f>
        <v>15572.648313752596</v>
      </c>
      <c r="AM80" s="122">
        <f>Table12[[#This Row],[No. of Male adults aged over 60]]</f>
        <v>1148.1528841495556</v>
      </c>
      <c r="AN80" s="719">
        <f>Table12[[#This Row],[No. Female adults aged over 60]]</f>
        <v>1385.7017567322225</v>
      </c>
      <c r="AO80" s="122">
        <f t="shared" si="6"/>
        <v>65985.797939629643</v>
      </c>
    </row>
    <row r="81" spans="1:41" ht="14.7" thickBot="1" x14ac:dyDescent="0.6">
      <c r="A81" t="s">
        <v>390</v>
      </c>
      <c r="B81" t="s">
        <v>410</v>
      </c>
      <c r="C81">
        <v>3</v>
      </c>
      <c r="D81">
        <v>5</v>
      </c>
      <c r="E81" s="22">
        <v>17814</v>
      </c>
      <c r="F81" s="433">
        <v>0</v>
      </c>
      <c r="G81" s="433">
        <f>SUM(Table12[[#This Row],[Refugees]:[Target(1&amp;2)50% (3)priority]])</f>
        <v>17814</v>
      </c>
      <c r="H81" s="19">
        <v>0.1021</v>
      </c>
      <c r="I81" s="715">
        <f>Table12[[#This Row],[Target(1-3)priority with REFUGEES]]*Table12[[#This Row],[% Male children under 5]]</f>
        <v>1818.8093999999999</v>
      </c>
      <c r="J81" s="19">
        <v>0.10199999999999999</v>
      </c>
      <c r="K81" s="715">
        <f>Table12[[#This Row],[Target(1-3)priority with REFUGEES]]*Table12[[#This Row],[% Female children under 5]]</f>
        <v>1817.0279999999998</v>
      </c>
      <c r="L81" s="19">
        <v>0.17</v>
      </c>
      <c r="M81" s="715">
        <f>Table12[[#This Row],[Target(1-3)priority with REFUGEES]]*Table12[[#This Row],[% Male children aged 5 - 17 years]]</f>
        <v>3028.38</v>
      </c>
      <c r="N81" s="19">
        <v>0.14599999999999999</v>
      </c>
      <c r="O81" s="715">
        <f>Table12[[#This Row],[Target(1-3)priority with REFUGEES]]*Table12[[#This Row],[% Female children aged 5 - 17 years]]</f>
        <v>2600.8440000000001</v>
      </c>
      <c r="P81" s="19">
        <v>0.223</v>
      </c>
      <c r="Q81" s="715">
        <f>Table12[[#This Row],[Target(1-3)priority with REFUGEES]]*Table12[[#This Row],[% Male adults aged 18 - 60]]</f>
        <v>3972.5219999999999</v>
      </c>
      <c r="R81" s="19">
        <v>0.224</v>
      </c>
      <c r="S81" s="715">
        <f>Table12[[#This Row],[Target(1-3)priority with REFUGEES]]*Table12[[#This Row],[% Female adults aged 18 - 60]]</f>
        <v>3990.3360000000002</v>
      </c>
      <c r="T81" s="19">
        <v>1.32E-2</v>
      </c>
      <c r="U81" s="715">
        <f>Table12[[#This Row],[Target(1-3)priority with REFUGEES]]*Table12[[#This Row],[% Male adults aged over 60]]</f>
        <v>235.1448</v>
      </c>
      <c r="V81" s="19">
        <v>1.9699999999999999E-2</v>
      </c>
      <c r="W81" s="715">
        <f>Table12[[#This Row],[Target(1-3)priority with REFUGEES]]*Table12[[#This Row],[% Female adults aged over 60]]</f>
        <v>350.93579999999997</v>
      </c>
      <c r="X81" s="412">
        <v>16.05</v>
      </c>
      <c r="Z81" s="715"/>
      <c r="AH81" t="s">
        <v>410</v>
      </c>
      <c r="AI81" s="720">
        <f t="shared" si="4"/>
        <v>4847.1894000000002</v>
      </c>
      <c r="AJ81" s="721">
        <f t="shared" si="5"/>
        <v>4417.8719999999994</v>
      </c>
      <c r="AK81" s="721">
        <f>Table12[[#This Row],[No. of  Male adults aged 18 - 60]]</f>
        <v>3972.5219999999999</v>
      </c>
      <c r="AL81" s="721">
        <f>Table12[[#This Row],[No. of Female adults aged 18 - 60]]</f>
        <v>3990.3360000000002</v>
      </c>
      <c r="AM81" s="721">
        <f>Table12[[#This Row],[No. of Male adults aged over 60]]</f>
        <v>235.1448</v>
      </c>
      <c r="AN81" s="722">
        <f>Table12[[#This Row],[No. Female adults aged over 60]]</f>
        <v>350.93579999999997</v>
      </c>
      <c r="AO81" s="122">
        <f t="shared" si="6"/>
        <v>17813.999999999996</v>
      </c>
    </row>
  </sheetData>
  <conditionalFormatting sqref="A2:B2 E2:S2">
    <cfRule type="colorScale" priority="4">
      <colorScale>
        <cfvo type="min"/>
        <cfvo type="percentile" val="50"/>
        <cfvo type="max"/>
        <color rgb="FF63BE7B"/>
        <color rgb="FFFCFCFF"/>
        <color rgb="FFF8696B"/>
      </colorScale>
    </cfRule>
  </conditionalFormatting>
  <conditionalFormatting sqref="C2:D2">
    <cfRule type="colorScale" priority="1">
      <colorScale>
        <cfvo type="min"/>
        <cfvo type="percentile" val="50"/>
        <cfvo type="max"/>
        <color rgb="FF63BE7B"/>
        <color rgb="FFFCFCFF"/>
        <color rgb="FFF8696B"/>
      </colorScale>
    </cfRule>
  </conditionalFormatting>
  <conditionalFormatting sqref="T2:W2">
    <cfRule type="colorScale" priority="3">
      <colorScale>
        <cfvo type="min"/>
        <cfvo type="percentile" val="50"/>
        <cfvo type="max"/>
        <color rgb="FF63BE7B"/>
        <color rgb="FFFCFCFF"/>
        <color rgb="FFF8696B"/>
      </colorScale>
    </cfRule>
  </conditionalFormatting>
  <conditionalFormatting sqref="X2">
    <cfRule type="colorScale" priority="2">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6CDE-AC72-490E-9F5A-32C5F565D275}">
  <sheetPr>
    <tabColor rgb="FFC00000"/>
  </sheetPr>
  <dimension ref="A1:AQ239"/>
  <sheetViews>
    <sheetView topLeftCell="X1" zoomScale="80" zoomScaleNormal="80" workbookViewId="0">
      <selection activeCell="AW25" sqref="AW25"/>
    </sheetView>
  </sheetViews>
  <sheetFormatPr defaultRowHeight="14.4" x14ac:dyDescent="0.55000000000000004"/>
  <cols>
    <col min="1" max="1" width="21.41796875" style="103" bestFit="1" customWidth="1"/>
    <col min="2" max="2" width="12.83984375" style="103" hidden="1" customWidth="1"/>
    <col min="3" max="3" width="22.578125" style="103" customWidth="1"/>
    <col min="4" max="4" width="13.578125" style="103" hidden="1" customWidth="1"/>
    <col min="5" max="5" width="6.83984375" style="20" hidden="1" customWidth="1"/>
    <col min="6" max="6" width="7.15625" style="20" hidden="1" customWidth="1"/>
    <col min="7" max="7" width="16.83984375" style="20" hidden="1" customWidth="1"/>
    <col min="8" max="8" width="12.15625" style="487" bestFit="1" customWidth="1"/>
    <col min="9" max="10" width="13.578125" style="487" customWidth="1"/>
    <col min="11" max="11" width="13.41796875" style="488" bestFit="1" customWidth="1"/>
    <col min="12" max="12" width="13.15625" style="488" bestFit="1" customWidth="1"/>
    <col min="13" max="13" width="11.41796875" style="488" bestFit="1" customWidth="1"/>
    <col min="14" max="14" width="13.41796875" style="491" customWidth="1"/>
    <col min="15" max="15" width="13.41796875" style="487" bestFit="1" customWidth="1"/>
    <col min="16" max="16" width="13.15625" style="487" bestFit="1" customWidth="1"/>
    <col min="17" max="17" width="11.41796875" style="487" bestFit="1" customWidth="1"/>
    <col min="18" max="18" width="13.41796875" style="492" customWidth="1"/>
    <col min="19" max="19" width="13.41796875" style="487" bestFit="1" customWidth="1"/>
    <col min="20" max="21" width="13.41796875" style="487" customWidth="1"/>
    <col min="22" max="22" width="13.41796875" style="492" customWidth="1"/>
    <col min="23" max="23" width="16" style="487" bestFit="1" customWidth="1"/>
    <col min="24" max="25" width="16" style="487" customWidth="1"/>
    <col min="26" max="26" width="16" style="492" customWidth="1"/>
    <col min="27" max="27" width="13.41796875" style="487" bestFit="1" customWidth="1"/>
    <col min="28" max="29" width="13.41796875" style="487" customWidth="1"/>
    <col min="30" max="30" width="13.41796875" style="492" customWidth="1"/>
    <col min="31" max="33" width="14" style="487" customWidth="1"/>
    <col min="34" max="34" width="14" style="492" customWidth="1"/>
    <col min="35" max="37" width="13.41796875" style="487" bestFit="1" customWidth="1"/>
    <col min="38" max="38" width="13.41796875" style="492" bestFit="1" customWidth="1"/>
    <col min="39" max="39" width="13.41796875" style="487" bestFit="1" customWidth="1"/>
    <col min="40" max="40" width="13.41796875" style="487" customWidth="1"/>
    <col min="41" max="41" width="13.41796875" style="487" bestFit="1" customWidth="1"/>
    <col min="42" max="42" width="13.41796875" style="492" customWidth="1"/>
    <col min="43" max="43" width="13.41796875" style="431" bestFit="1" customWidth="1"/>
  </cols>
  <sheetData>
    <row r="1" spans="1:43" ht="20.399999999999999" thickBot="1" x14ac:dyDescent="0.65">
      <c r="A1" s="773" t="s">
        <v>61</v>
      </c>
      <c r="B1" s="773"/>
      <c r="C1" s="773"/>
      <c r="D1" s="773"/>
      <c r="E1" s="773"/>
      <c r="F1" s="773"/>
      <c r="G1" s="468"/>
      <c r="H1" s="774" t="s">
        <v>62</v>
      </c>
      <c r="I1" s="774"/>
      <c r="J1" s="493"/>
      <c r="K1" s="499">
        <f>SUM(K4:K240)</f>
        <v>1329005.6654804838</v>
      </c>
      <c r="L1" s="500">
        <f t="shared" ref="L1:AQ1" si="0">SUM(L4:L240)</f>
        <v>797058.84236256115</v>
      </c>
      <c r="M1" s="500">
        <f t="shared" si="0"/>
        <v>265973.41155896144</v>
      </c>
      <c r="N1" s="507">
        <f t="shared" si="0"/>
        <v>1063032.2539215228</v>
      </c>
      <c r="O1" s="499">
        <f t="shared" si="0"/>
        <v>2409891.4885491864</v>
      </c>
      <c r="P1" s="500">
        <f t="shared" si="0"/>
        <v>995365.60617863992</v>
      </c>
      <c r="Q1" s="500">
        <f t="shared" si="0"/>
        <v>707262.94118527265</v>
      </c>
      <c r="R1" s="501">
        <f t="shared" si="0"/>
        <v>1702628.5473639127</v>
      </c>
      <c r="S1" s="499">
        <f t="shared" si="0"/>
        <v>5205676.4725711029</v>
      </c>
      <c r="T1" s="500">
        <f t="shared" si="0"/>
        <v>1941706.5033052613</v>
      </c>
      <c r="U1" s="500">
        <f t="shared" si="0"/>
        <v>1631984.9846329165</v>
      </c>
      <c r="V1" s="501">
        <f t="shared" si="0"/>
        <v>3573691.4879381824</v>
      </c>
      <c r="W1" s="499">
        <f t="shared" si="0"/>
        <v>7575518.4883703953</v>
      </c>
      <c r="X1" s="500">
        <f t="shared" si="0"/>
        <v>3390506.8361685337</v>
      </c>
      <c r="Y1" s="500">
        <f t="shared" si="0"/>
        <v>2092505.8261009331</v>
      </c>
      <c r="Z1" s="501">
        <f t="shared" si="0"/>
        <v>2092505.8261009331</v>
      </c>
      <c r="AA1" s="499">
        <f t="shared" si="0"/>
        <v>6184130.534368556</v>
      </c>
      <c r="AB1" s="500">
        <f t="shared" si="0"/>
        <v>2476104.517308034</v>
      </c>
      <c r="AC1" s="500">
        <f t="shared" si="0"/>
        <v>1854013.0085302629</v>
      </c>
      <c r="AD1" s="501">
        <f t="shared" si="0"/>
        <v>4330117.5258382941</v>
      </c>
      <c r="AE1" s="499">
        <f t="shared" si="0"/>
        <v>4782995</v>
      </c>
      <c r="AF1" s="500">
        <f t="shared" si="0"/>
        <v>2214957</v>
      </c>
      <c r="AG1" s="500">
        <f t="shared" si="0"/>
        <v>1284019</v>
      </c>
      <c r="AH1" s="501">
        <f t="shared" si="0"/>
        <v>3498976</v>
      </c>
      <c r="AI1" s="499">
        <f t="shared" si="0"/>
        <v>6593287.346912656</v>
      </c>
      <c r="AJ1" s="500">
        <f t="shared" si="0"/>
        <v>2733151.7226869459</v>
      </c>
      <c r="AK1" s="500">
        <f t="shared" si="0"/>
        <v>1930067.8121128557</v>
      </c>
      <c r="AL1" s="501">
        <f t="shared" si="0"/>
        <v>4663219.5347998012</v>
      </c>
      <c r="AM1" s="499">
        <f t="shared" si="0"/>
        <v>6758964.1225864412</v>
      </c>
      <c r="AN1" s="500">
        <f t="shared" si="0"/>
        <v>2751567.0465228148</v>
      </c>
      <c r="AO1" s="549">
        <f t="shared" si="0"/>
        <v>2003698.5380318132</v>
      </c>
      <c r="AP1" s="551">
        <f t="shared" si="0"/>
        <v>4755265.5845546238</v>
      </c>
      <c r="AQ1" s="551">
        <f t="shared" si="0"/>
        <v>6295991.0057795225</v>
      </c>
    </row>
    <row r="2" spans="1:43" ht="60.6" thickTop="1" thickBot="1" x14ac:dyDescent="0.6">
      <c r="A2" s="454" t="s">
        <v>75</v>
      </c>
      <c r="B2" s="452" t="s">
        <v>76</v>
      </c>
      <c r="C2" s="452" t="s">
        <v>77</v>
      </c>
      <c r="D2" s="452" t="s">
        <v>78</v>
      </c>
      <c r="E2" s="452" t="s">
        <v>79</v>
      </c>
      <c r="F2" s="452" t="s">
        <v>80</v>
      </c>
      <c r="G2" s="452" t="s">
        <v>228</v>
      </c>
      <c r="H2" s="477" t="s">
        <v>431</v>
      </c>
      <c r="I2" s="451" t="s">
        <v>82</v>
      </c>
      <c r="J2" s="460" t="s">
        <v>20</v>
      </c>
      <c r="K2" s="502" t="s">
        <v>83</v>
      </c>
      <c r="L2" s="478" t="s">
        <v>483</v>
      </c>
      <c r="M2" s="478" t="s">
        <v>484</v>
      </c>
      <c r="N2" s="508"/>
      <c r="O2" s="502" t="s">
        <v>56</v>
      </c>
      <c r="P2" s="478" t="s">
        <v>483</v>
      </c>
      <c r="Q2" s="478" t="s">
        <v>484</v>
      </c>
      <c r="R2" s="512"/>
      <c r="S2" s="502" t="s">
        <v>84</v>
      </c>
      <c r="T2" s="478" t="s">
        <v>483</v>
      </c>
      <c r="U2" s="478" t="s">
        <v>484</v>
      </c>
      <c r="V2" s="512"/>
      <c r="W2" s="502" t="s">
        <v>85</v>
      </c>
      <c r="X2" s="478" t="s">
        <v>483</v>
      </c>
      <c r="Y2" s="478" t="s">
        <v>484</v>
      </c>
      <c r="Z2" s="512"/>
      <c r="AA2" s="502" t="s">
        <v>86</v>
      </c>
      <c r="AB2" s="478" t="s">
        <v>483</v>
      </c>
      <c r="AC2" s="478" t="s">
        <v>484</v>
      </c>
      <c r="AD2" s="512"/>
      <c r="AE2" s="502" t="s">
        <v>87</v>
      </c>
      <c r="AF2" s="478" t="s">
        <v>483</v>
      </c>
      <c r="AG2" s="478" t="s">
        <v>484</v>
      </c>
      <c r="AH2" s="512"/>
      <c r="AI2" s="502" t="s">
        <v>88</v>
      </c>
      <c r="AJ2" s="478" t="s">
        <v>483</v>
      </c>
      <c r="AK2" s="478" t="s">
        <v>484</v>
      </c>
      <c r="AL2" s="512"/>
      <c r="AM2" s="523" t="s">
        <v>89</v>
      </c>
      <c r="AN2" s="478" t="s">
        <v>483</v>
      </c>
      <c r="AO2" s="478" t="s">
        <v>484</v>
      </c>
      <c r="AP2" s="524"/>
      <c r="AQ2" s="550" t="s">
        <v>476</v>
      </c>
    </row>
    <row r="3" spans="1:43" ht="27.9" thickTop="1" x14ac:dyDescent="0.55000000000000004">
      <c r="A3" s="259" t="s">
        <v>233</v>
      </c>
      <c r="B3" s="218" t="s">
        <v>234</v>
      </c>
      <c r="C3" s="260" t="s">
        <v>233</v>
      </c>
      <c r="D3" s="260" t="s">
        <v>235</v>
      </c>
      <c r="E3" s="100"/>
      <c r="F3" s="34"/>
      <c r="G3" s="34"/>
      <c r="H3" s="480">
        <v>122221.68957757292</v>
      </c>
      <c r="I3" s="481" t="s">
        <v>412</v>
      </c>
      <c r="J3" s="489">
        <v>4</v>
      </c>
      <c r="K3" s="503">
        <v>30000</v>
      </c>
      <c r="L3" s="482">
        <f>K3</f>
        <v>30000</v>
      </c>
      <c r="M3" s="482"/>
      <c r="N3" s="509">
        <f>SUM(L3:M3)</f>
        <v>30000</v>
      </c>
      <c r="O3" s="513">
        <v>26008.775542107513</v>
      </c>
      <c r="P3" s="483">
        <f>O3</f>
        <v>26008.775542107513</v>
      </c>
      <c r="Q3" s="483"/>
      <c r="R3" s="514">
        <f>SUM(P3:Q3)</f>
        <v>26008.775542107513</v>
      </c>
      <c r="S3" s="513">
        <v>45256.130915601672</v>
      </c>
      <c r="T3" s="483">
        <f>S3</f>
        <v>45256.130915601672</v>
      </c>
      <c r="U3" s="483"/>
      <c r="V3" s="514">
        <f>SUM(T3:U3)</f>
        <v>45256.130915601672</v>
      </c>
      <c r="W3" s="513">
        <v>75443.064683122982</v>
      </c>
      <c r="X3" s="483">
        <f>W3</f>
        <v>75443.064683122982</v>
      </c>
      <c r="Y3" s="483"/>
      <c r="Z3" s="514">
        <f>SUM(Y3)</f>
        <v>0</v>
      </c>
      <c r="AA3" s="513">
        <v>85561.698971807957</v>
      </c>
      <c r="AB3" s="483">
        <f>AA3</f>
        <v>85561.698971807957</v>
      </c>
      <c r="AC3" s="483"/>
      <c r="AD3" s="514">
        <f>SUM(AB3:AC3)</f>
        <v>85561.698971807957</v>
      </c>
      <c r="AE3" s="513">
        <v>84755</v>
      </c>
      <c r="AF3" s="483">
        <f>AE3</f>
        <v>84755</v>
      </c>
      <c r="AG3" s="483"/>
      <c r="AH3" s="514">
        <f>SUM(AF3:AG3)</f>
        <v>84755</v>
      </c>
      <c r="AI3" s="519">
        <v>76068.04456226567</v>
      </c>
      <c r="AJ3" s="484">
        <f>AI3</f>
        <v>76068.04456226567</v>
      </c>
      <c r="AK3" s="484"/>
      <c r="AL3" s="514">
        <f>SUM(AJ3:AK3)</f>
        <v>76068.04456226567</v>
      </c>
      <c r="AM3" s="525">
        <v>47530.65705794502</v>
      </c>
      <c r="AN3" s="485">
        <f>AM3</f>
        <v>47530.65705794502</v>
      </c>
      <c r="AO3" s="485"/>
      <c r="AP3" s="514">
        <f>SUM(AN3:AO3)</f>
        <v>47530.65705794502</v>
      </c>
      <c r="AQ3" s="530">
        <f>MAX(N3,R3,V3,Z3,AD3,AH3,AL3,AP3)</f>
        <v>85561.698971807957</v>
      </c>
    </row>
    <row r="4" spans="1:43" x14ac:dyDescent="0.55000000000000004">
      <c r="A4" s="259" t="s">
        <v>236</v>
      </c>
      <c r="B4" s="218" t="s">
        <v>237</v>
      </c>
      <c r="C4" s="260" t="s">
        <v>238</v>
      </c>
      <c r="D4" s="260" t="s">
        <v>239</v>
      </c>
      <c r="E4" s="100"/>
      <c r="F4" s="34"/>
      <c r="G4" s="34"/>
      <c r="H4" s="480">
        <v>185655.53028576757</v>
      </c>
      <c r="I4" s="481" t="s">
        <v>412</v>
      </c>
      <c r="J4" s="489">
        <v>3</v>
      </c>
      <c r="K4" s="503">
        <v>143125</v>
      </c>
      <c r="L4" s="482"/>
      <c r="M4" s="482">
        <f t="shared" ref="M4:M67" si="1">K4/2</f>
        <v>71562.5</v>
      </c>
      <c r="N4" s="509">
        <f t="shared" ref="N4:N67" si="2">SUM(L4:M4)</f>
        <v>71562.5</v>
      </c>
      <c r="O4" s="513">
        <v>20629.114247703066</v>
      </c>
      <c r="P4" s="483"/>
      <c r="Q4" s="483">
        <f t="shared" ref="Q4:Q67" si="3">O4/2</f>
        <v>10314.557123851533</v>
      </c>
      <c r="R4" s="514">
        <f t="shared" ref="R4:R67" si="4">SUM(P4:Q4)</f>
        <v>10314.557123851533</v>
      </c>
      <c r="S4" s="513">
        <v>55663.994410481486</v>
      </c>
      <c r="T4" s="483"/>
      <c r="U4" s="483">
        <f t="shared" ref="U4:U67" si="5">S4/2</f>
        <v>27831.997205240743</v>
      </c>
      <c r="V4" s="514">
        <f t="shared" ref="V4:V67" si="6">SUM(T4:U4)</f>
        <v>27831.997205240743</v>
      </c>
      <c r="W4" s="513">
        <v>130641.61559673256</v>
      </c>
      <c r="X4" s="483"/>
      <c r="Y4" s="483">
        <f t="shared" ref="Y4:Y67" si="7">W4/2</f>
        <v>65320.807798366281</v>
      </c>
      <c r="Z4" s="514">
        <f t="shared" ref="Z4:Z67" si="8">SUM(Y4)</f>
        <v>65320.807798366281</v>
      </c>
      <c r="AA4" s="513">
        <v>102957.42828930625</v>
      </c>
      <c r="AB4" s="483"/>
      <c r="AC4" s="483">
        <f t="shared" ref="AC4:AC67" si="9">AA4/2</f>
        <v>51478.714144653124</v>
      </c>
      <c r="AD4" s="514">
        <f t="shared" ref="AD4:AD67" si="10">SUM(AB4:AC4)</f>
        <v>51478.714144653124</v>
      </c>
      <c r="AE4" s="513">
        <v>125516</v>
      </c>
      <c r="AF4" s="483"/>
      <c r="AG4" s="483">
        <f t="shared" ref="AG4:AG67" si="11">AE4/2</f>
        <v>62758</v>
      </c>
      <c r="AH4" s="514">
        <f t="shared" ref="AH4:AH67" si="12">SUM(AF4:AG4)</f>
        <v>62758</v>
      </c>
      <c r="AI4" s="519">
        <v>156584.91344386805</v>
      </c>
      <c r="AJ4" s="484"/>
      <c r="AK4" s="484">
        <f t="shared" ref="AK4:AK67" si="13">AI4/2</f>
        <v>78292.456721934024</v>
      </c>
      <c r="AL4" s="514">
        <f t="shared" ref="AL4:AL67" si="14">SUM(AJ4:AK4)</f>
        <v>78292.456721934024</v>
      </c>
      <c r="AM4" s="525">
        <v>72574.434566254567</v>
      </c>
      <c r="AN4" s="485"/>
      <c r="AO4" s="485">
        <f t="shared" ref="AO4:AO67" si="15">AM4/2</f>
        <v>36287.217283127284</v>
      </c>
      <c r="AP4" s="514">
        <f t="shared" ref="AP4:AP67" si="16">SUM(AN4:AO4)</f>
        <v>36287.217283127284</v>
      </c>
      <c r="AQ4" s="530">
        <f t="shared" ref="AQ4:AQ67" si="17">MAX(N4,R4,V4,Z4,AD4,AH4,AL4,AP4)</f>
        <v>78292.456721934024</v>
      </c>
    </row>
    <row r="5" spans="1:43" x14ac:dyDescent="0.55000000000000004">
      <c r="A5" s="259" t="s">
        <v>236</v>
      </c>
      <c r="B5" s="218" t="s">
        <v>237</v>
      </c>
      <c r="C5" s="260" t="s">
        <v>240</v>
      </c>
      <c r="D5" s="105" t="s">
        <v>241</v>
      </c>
      <c r="E5" s="100"/>
      <c r="F5" s="34"/>
      <c r="G5" s="34"/>
      <c r="H5" s="480">
        <v>16311.747528959717</v>
      </c>
      <c r="I5" s="481" t="s">
        <v>412</v>
      </c>
      <c r="J5" s="489">
        <v>3</v>
      </c>
      <c r="K5" s="503">
        <v>0</v>
      </c>
      <c r="L5" s="482"/>
      <c r="M5" s="482">
        <f t="shared" si="1"/>
        <v>0</v>
      </c>
      <c r="N5" s="509">
        <f t="shared" si="2"/>
        <v>0</v>
      </c>
      <c r="O5" s="513">
        <v>1218.1221572686422</v>
      </c>
      <c r="P5" s="483"/>
      <c r="Q5" s="483">
        <f t="shared" si="3"/>
        <v>609.06107863432112</v>
      </c>
      <c r="R5" s="514">
        <f t="shared" si="4"/>
        <v>609.06107863432112</v>
      </c>
      <c r="S5" s="513">
        <v>5483.0313173129834</v>
      </c>
      <c r="T5" s="483"/>
      <c r="U5" s="483">
        <f t="shared" si="5"/>
        <v>2741.5156586564917</v>
      </c>
      <c r="V5" s="514">
        <f t="shared" si="6"/>
        <v>2741.5156586564917</v>
      </c>
      <c r="W5" s="513">
        <v>11295.239262162</v>
      </c>
      <c r="X5" s="483"/>
      <c r="Y5" s="483">
        <f t="shared" si="7"/>
        <v>5647.6196310810001</v>
      </c>
      <c r="Z5" s="514">
        <f t="shared" si="8"/>
        <v>5647.6196310810001</v>
      </c>
      <c r="AA5" s="513">
        <v>8641.7640411393641</v>
      </c>
      <c r="AB5" s="483"/>
      <c r="AC5" s="483">
        <f t="shared" si="9"/>
        <v>4320.882020569682</v>
      </c>
      <c r="AD5" s="514">
        <f t="shared" si="10"/>
        <v>4320.882020569682</v>
      </c>
      <c r="AE5" s="513">
        <v>12061</v>
      </c>
      <c r="AF5" s="483"/>
      <c r="AG5" s="483">
        <f t="shared" si="11"/>
        <v>6030.5</v>
      </c>
      <c r="AH5" s="514">
        <f t="shared" si="12"/>
        <v>6030.5</v>
      </c>
      <c r="AI5" s="519">
        <v>11514.174726324505</v>
      </c>
      <c r="AJ5" s="484"/>
      <c r="AK5" s="484">
        <f t="shared" si="13"/>
        <v>5757.0873631622526</v>
      </c>
      <c r="AL5" s="514">
        <f t="shared" si="14"/>
        <v>5757.0873631622526</v>
      </c>
      <c r="AM5" s="525">
        <v>13291.053542115327</v>
      </c>
      <c r="AN5" s="485"/>
      <c r="AO5" s="485">
        <f t="shared" si="15"/>
        <v>6645.5267710576636</v>
      </c>
      <c r="AP5" s="514">
        <f t="shared" si="16"/>
        <v>6645.5267710576636</v>
      </c>
      <c r="AQ5" s="530">
        <f t="shared" si="17"/>
        <v>6645.5267710576636</v>
      </c>
    </row>
    <row r="6" spans="1:43" x14ac:dyDescent="0.55000000000000004">
      <c r="A6" s="259" t="s">
        <v>236</v>
      </c>
      <c r="B6" s="218" t="s">
        <v>237</v>
      </c>
      <c r="C6" s="260" t="s">
        <v>242</v>
      </c>
      <c r="D6" s="105" t="s">
        <v>243</v>
      </c>
      <c r="E6" s="100"/>
      <c r="F6" s="34"/>
      <c r="G6" s="34"/>
      <c r="H6" s="480">
        <v>7434.8763775539119</v>
      </c>
      <c r="I6" s="481" t="s">
        <v>412</v>
      </c>
      <c r="J6" s="489">
        <v>3</v>
      </c>
      <c r="K6" s="503">
        <v>0</v>
      </c>
      <c r="L6" s="482"/>
      <c r="M6" s="482">
        <f t="shared" si="1"/>
        <v>0</v>
      </c>
      <c r="N6" s="509">
        <f t="shared" si="2"/>
        <v>0</v>
      </c>
      <c r="O6" s="513">
        <v>981.68620713946348</v>
      </c>
      <c r="P6" s="483"/>
      <c r="Q6" s="483">
        <f t="shared" si="3"/>
        <v>490.84310356973174</v>
      </c>
      <c r="R6" s="514">
        <f t="shared" si="4"/>
        <v>490.84310356973174</v>
      </c>
      <c r="S6" s="513">
        <v>3016.7293663498526</v>
      </c>
      <c r="T6" s="483"/>
      <c r="U6" s="483">
        <f t="shared" si="5"/>
        <v>1508.3646831749263</v>
      </c>
      <c r="V6" s="514">
        <f t="shared" si="6"/>
        <v>1508.3646831749263</v>
      </c>
      <c r="W6" s="513">
        <v>4690.9435850029386</v>
      </c>
      <c r="X6" s="483"/>
      <c r="Y6" s="483">
        <f t="shared" si="7"/>
        <v>2345.4717925014693</v>
      </c>
      <c r="Z6" s="514">
        <f t="shared" si="8"/>
        <v>2345.4717925014693</v>
      </c>
      <c r="AA6" s="513">
        <v>3386.0205108896025</v>
      </c>
      <c r="AB6" s="483"/>
      <c r="AC6" s="483">
        <f t="shared" si="9"/>
        <v>1693.0102554448013</v>
      </c>
      <c r="AD6" s="514">
        <f t="shared" si="10"/>
        <v>1693.0102554448013</v>
      </c>
      <c r="AE6" s="513">
        <v>5948</v>
      </c>
      <c r="AF6" s="483"/>
      <c r="AG6" s="483">
        <f t="shared" si="11"/>
        <v>2974</v>
      </c>
      <c r="AH6" s="514">
        <f t="shared" si="12"/>
        <v>2974</v>
      </c>
      <c r="AI6" s="519">
        <v>4687.2046728057267</v>
      </c>
      <c r="AJ6" s="484"/>
      <c r="AK6" s="484">
        <f t="shared" si="13"/>
        <v>2343.6023364028633</v>
      </c>
      <c r="AL6" s="514">
        <f t="shared" si="14"/>
        <v>2343.6023364028633</v>
      </c>
      <c r="AM6" s="525">
        <v>4405.8526681800959</v>
      </c>
      <c r="AN6" s="485"/>
      <c r="AO6" s="485">
        <f t="shared" si="15"/>
        <v>2202.9263340900479</v>
      </c>
      <c r="AP6" s="514">
        <f t="shared" si="16"/>
        <v>2202.9263340900479</v>
      </c>
      <c r="AQ6" s="530">
        <f t="shared" si="17"/>
        <v>2974</v>
      </c>
    </row>
    <row r="7" spans="1:43" x14ac:dyDescent="0.55000000000000004">
      <c r="A7" s="316" t="s">
        <v>236</v>
      </c>
      <c r="B7" s="218" t="s">
        <v>237</v>
      </c>
      <c r="C7" s="218" t="s">
        <v>244</v>
      </c>
      <c r="D7" s="105" t="s">
        <v>245</v>
      </c>
      <c r="E7" s="100"/>
      <c r="F7" s="34"/>
      <c r="G7" s="34"/>
      <c r="H7" s="480">
        <v>10995.852324765609</v>
      </c>
      <c r="I7" s="480" t="s">
        <v>412</v>
      </c>
      <c r="J7" s="490">
        <v>3</v>
      </c>
      <c r="K7" s="504">
        <v>10003.75</v>
      </c>
      <c r="L7" s="482"/>
      <c r="M7" s="482">
        <f t="shared" si="1"/>
        <v>5001.875</v>
      </c>
      <c r="N7" s="509">
        <f t="shared" si="2"/>
        <v>5001.875</v>
      </c>
      <c r="O7" s="515">
        <v>1946.0349485846925</v>
      </c>
      <c r="P7" s="483"/>
      <c r="Q7" s="483">
        <f t="shared" si="3"/>
        <v>973.01747429234626</v>
      </c>
      <c r="R7" s="514">
        <f t="shared" si="4"/>
        <v>973.01747429234626</v>
      </c>
      <c r="S7" s="515">
        <v>3652.351679331086</v>
      </c>
      <c r="T7" s="483"/>
      <c r="U7" s="483">
        <f t="shared" si="5"/>
        <v>1826.175839665543</v>
      </c>
      <c r="V7" s="514">
        <f t="shared" si="6"/>
        <v>1826.175839665543</v>
      </c>
      <c r="W7" s="515">
        <v>7470.4403267122298</v>
      </c>
      <c r="X7" s="483"/>
      <c r="Y7" s="483">
        <f t="shared" si="7"/>
        <v>3735.2201633561149</v>
      </c>
      <c r="Z7" s="514">
        <f t="shared" si="8"/>
        <v>3735.2201633561149</v>
      </c>
      <c r="AA7" s="515">
        <v>7139.7875687378446</v>
      </c>
      <c r="AB7" s="483"/>
      <c r="AC7" s="483">
        <f t="shared" si="9"/>
        <v>3569.8937843689223</v>
      </c>
      <c r="AD7" s="514">
        <f t="shared" si="10"/>
        <v>3569.8937843689223</v>
      </c>
      <c r="AE7" s="515">
        <v>8797</v>
      </c>
      <c r="AF7" s="483"/>
      <c r="AG7" s="483">
        <f t="shared" si="11"/>
        <v>4398.5</v>
      </c>
      <c r="AH7" s="514">
        <f t="shared" si="12"/>
        <v>4398.5</v>
      </c>
      <c r="AI7" s="520">
        <v>10472.24030930058</v>
      </c>
      <c r="AJ7" s="484"/>
      <c r="AK7" s="484">
        <f t="shared" si="13"/>
        <v>5236.1201546502898</v>
      </c>
      <c r="AL7" s="514">
        <f t="shared" si="14"/>
        <v>5236.1201546502898</v>
      </c>
      <c r="AM7" s="526">
        <v>6210.620294543538</v>
      </c>
      <c r="AN7" s="485"/>
      <c r="AO7" s="485">
        <f t="shared" si="15"/>
        <v>3105.310147271769</v>
      </c>
      <c r="AP7" s="514">
        <f t="shared" si="16"/>
        <v>3105.310147271769</v>
      </c>
      <c r="AQ7" s="530">
        <f t="shared" si="17"/>
        <v>5236.1201546502898</v>
      </c>
    </row>
    <row r="8" spans="1:43" x14ac:dyDescent="0.55000000000000004">
      <c r="A8" s="316" t="s">
        <v>236</v>
      </c>
      <c r="B8" s="218" t="s">
        <v>237</v>
      </c>
      <c r="C8" s="218" t="s">
        <v>246</v>
      </c>
      <c r="D8" s="105" t="s">
        <v>247</v>
      </c>
      <c r="E8" s="100"/>
      <c r="F8" s="34"/>
      <c r="G8" s="34"/>
      <c r="H8" s="480">
        <v>13333.613326350463</v>
      </c>
      <c r="I8" s="480" t="s">
        <v>412</v>
      </c>
      <c r="J8" s="490">
        <v>3</v>
      </c>
      <c r="K8" s="504">
        <v>0</v>
      </c>
      <c r="L8" s="482"/>
      <c r="M8" s="482">
        <f t="shared" si="1"/>
        <v>0</v>
      </c>
      <c r="N8" s="509">
        <f t="shared" si="2"/>
        <v>0</v>
      </c>
      <c r="O8" s="515">
        <v>3537.4742835474094</v>
      </c>
      <c r="P8" s="483"/>
      <c r="Q8" s="483">
        <f t="shared" si="3"/>
        <v>1768.7371417737047</v>
      </c>
      <c r="R8" s="514">
        <f t="shared" si="4"/>
        <v>1768.7371417737047</v>
      </c>
      <c r="S8" s="515">
        <v>3921.0295061368129</v>
      </c>
      <c r="T8" s="483"/>
      <c r="U8" s="483">
        <f t="shared" si="5"/>
        <v>1960.5147530684064</v>
      </c>
      <c r="V8" s="514">
        <f t="shared" si="6"/>
        <v>1960.5147530684064</v>
      </c>
      <c r="W8" s="515">
        <v>8587.0091798293361</v>
      </c>
      <c r="X8" s="483"/>
      <c r="Y8" s="483">
        <f t="shared" si="7"/>
        <v>4293.504589914668</v>
      </c>
      <c r="Z8" s="514">
        <f t="shared" si="8"/>
        <v>4293.504589914668</v>
      </c>
      <c r="AA8" s="515">
        <v>6819.088880858395</v>
      </c>
      <c r="AB8" s="483"/>
      <c r="AC8" s="483">
        <f t="shared" si="9"/>
        <v>3409.5444404291975</v>
      </c>
      <c r="AD8" s="514">
        <f t="shared" si="10"/>
        <v>3409.5444404291975</v>
      </c>
      <c r="AE8" s="515">
        <v>8429</v>
      </c>
      <c r="AF8" s="483"/>
      <c r="AG8" s="483">
        <f t="shared" si="11"/>
        <v>4214.5</v>
      </c>
      <c r="AH8" s="514">
        <f t="shared" si="12"/>
        <v>4214.5</v>
      </c>
      <c r="AI8" s="520">
        <v>11111.344438625387</v>
      </c>
      <c r="AJ8" s="484"/>
      <c r="AK8" s="484">
        <f t="shared" si="13"/>
        <v>5555.6722193126934</v>
      </c>
      <c r="AL8" s="514">
        <f t="shared" si="14"/>
        <v>5555.6722193126934</v>
      </c>
      <c r="AM8" s="526">
        <v>4814.9159234043336</v>
      </c>
      <c r="AN8" s="485"/>
      <c r="AO8" s="485">
        <f t="shared" si="15"/>
        <v>2407.4579617021668</v>
      </c>
      <c r="AP8" s="514">
        <f t="shared" si="16"/>
        <v>2407.4579617021668</v>
      </c>
      <c r="AQ8" s="530">
        <f t="shared" si="17"/>
        <v>5555.6722193126934</v>
      </c>
    </row>
    <row r="9" spans="1:43" x14ac:dyDescent="0.55000000000000004">
      <c r="A9" s="316" t="s">
        <v>236</v>
      </c>
      <c r="B9" s="218" t="s">
        <v>237</v>
      </c>
      <c r="C9" s="218" t="s">
        <v>248</v>
      </c>
      <c r="D9" s="105" t="s">
        <v>249</v>
      </c>
      <c r="E9" s="100"/>
      <c r="F9" s="34"/>
      <c r="G9" s="34"/>
      <c r="H9" s="480">
        <v>38535.006634969555</v>
      </c>
      <c r="I9" s="480" t="s">
        <v>412</v>
      </c>
      <c r="J9" s="490">
        <v>3</v>
      </c>
      <c r="K9" s="504">
        <v>6856.25</v>
      </c>
      <c r="L9" s="482"/>
      <c r="M9" s="482">
        <f t="shared" si="1"/>
        <v>3428.125</v>
      </c>
      <c r="N9" s="509">
        <f t="shared" si="2"/>
        <v>3428.125</v>
      </c>
      <c r="O9" s="515">
        <v>6751.5258374798414</v>
      </c>
      <c r="P9" s="483"/>
      <c r="Q9" s="483">
        <f t="shared" si="3"/>
        <v>3375.7629187399207</v>
      </c>
      <c r="R9" s="514">
        <f t="shared" si="4"/>
        <v>3375.7629187399207</v>
      </c>
      <c r="S9" s="515">
        <v>13241.129960863167</v>
      </c>
      <c r="T9" s="483"/>
      <c r="U9" s="483">
        <f t="shared" si="5"/>
        <v>6620.5649804315835</v>
      </c>
      <c r="V9" s="514">
        <f t="shared" si="6"/>
        <v>6620.5649804315835</v>
      </c>
      <c r="W9" s="515">
        <v>18936.823915437224</v>
      </c>
      <c r="X9" s="483"/>
      <c r="Y9" s="483">
        <f t="shared" si="7"/>
        <v>9468.411957718612</v>
      </c>
      <c r="Z9" s="514">
        <f t="shared" si="8"/>
        <v>9468.411957718612</v>
      </c>
      <c r="AA9" s="515">
        <v>17789.683120040547</v>
      </c>
      <c r="AB9" s="483"/>
      <c r="AC9" s="483">
        <f t="shared" si="9"/>
        <v>8894.8415600202734</v>
      </c>
      <c r="AD9" s="514">
        <f t="shared" si="10"/>
        <v>8894.8415600202734</v>
      </c>
      <c r="AE9" s="515">
        <v>15408</v>
      </c>
      <c r="AF9" s="483"/>
      <c r="AG9" s="483">
        <f t="shared" si="11"/>
        <v>7704</v>
      </c>
      <c r="AH9" s="514">
        <f t="shared" si="12"/>
        <v>7704</v>
      </c>
      <c r="AI9" s="520">
        <v>25047.754312730212</v>
      </c>
      <c r="AJ9" s="484"/>
      <c r="AK9" s="484">
        <f t="shared" si="13"/>
        <v>12523.877156365106</v>
      </c>
      <c r="AL9" s="514">
        <f t="shared" si="14"/>
        <v>12523.877156365106</v>
      </c>
      <c r="AM9" s="526">
        <v>31398.894295160375</v>
      </c>
      <c r="AN9" s="485"/>
      <c r="AO9" s="485">
        <f t="shared" si="15"/>
        <v>15699.447147580187</v>
      </c>
      <c r="AP9" s="514">
        <f t="shared" si="16"/>
        <v>15699.447147580187</v>
      </c>
      <c r="AQ9" s="530">
        <f t="shared" si="17"/>
        <v>15699.447147580187</v>
      </c>
    </row>
    <row r="10" spans="1:43" x14ac:dyDescent="0.55000000000000004">
      <c r="A10" s="316" t="s">
        <v>250</v>
      </c>
      <c r="B10" s="218" t="s">
        <v>251</v>
      </c>
      <c r="C10" s="218" t="s">
        <v>252</v>
      </c>
      <c r="D10" s="105" t="s">
        <v>253</v>
      </c>
      <c r="E10" s="100"/>
      <c r="F10" s="34"/>
      <c r="G10" s="34"/>
      <c r="H10" s="480">
        <v>4566.5835894145539</v>
      </c>
      <c r="I10" s="480" t="s">
        <v>412</v>
      </c>
      <c r="J10" s="490">
        <v>3</v>
      </c>
      <c r="K10" s="504">
        <v>0</v>
      </c>
      <c r="L10" s="482"/>
      <c r="M10" s="482">
        <f t="shared" si="1"/>
        <v>0</v>
      </c>
      <c r="N10" s="509">
        <f t="shared" si="2"/>
        <v>0</v>
      </c>
      <c r="O10" s="515">
        <v>1492.7522432093658</v>
      </c>
      <c r="P10" s="483"/>
      <c r="Q10" s="483">
        <f t="shared" si="3"/>
        <v>746.37612160468291</v>
      </c>
      <c r="R10" s="514">
        <f t="shared" si="4"/>
        <v>746.37612160468291</v>
      </c>
      <c r="S10" s="515">
        <v>1813.6109456368461</v>
      </c>
      <c r="T10" s="483"/>
      <c r="U10" s="483">
        <f t="shared" si="5"/>
        <v>906.80547281842303</v>
      </c>
      <c r="V10" s="514">
        <f t="shared" si="6"/>
        <v>906.80547281842303</v>
      </c>
      <c r="W10" s="515">
        <v>2934.7298505674235</v>
      </c>
      <c r="X10" s="483"/>
      <c r="Y10" s="483">
        <f t="shared" si="7"/>
        <v>1467.3649252837117</v>
      </c>
      <c r="Z10" s="514">
        <f t="shared" si="8"/>
        <v>1467.3649252837117</v>
      </c>
      <c r="AA10" s="515">
        <v>2000.988397539779</v>
      </c>
      <c r="AB10" s="483"/>
      <c r="AC10" s="483">
        <f t="shared" si="9"/>
        <v>1000.4941987698895</v>
      </c>
      <c r="AD10" s="514">
        <f t="shared" si="10"/>
        <v>1000.4941987698895</v>
      </c>
      <c r="AE10" s="515">
        <v>3197</v>
      </c>
      <c r="AF10" s="483"/>
      <c r="AG10" s="483">
        <f t="shared" si="11"/>
        <v>1598.5</v>
      </c>
      <c r="AH10" s="514">
        <f t="shared" si="12"/>
        <v>1598.5</v>
      </c>
      <c r="AI10" s="520">
        <v>3044.3890596097026</v>
      </c>
      <c r="AJ10" s="484"/>
      <c r="AK10" s="484">
        <f t="shared" si="13"/>
        <v>1522.1945298048513</v>
      </c>
      <c r="AL10" s="514">
        <f t="shared" si="14"/>
        <v>1522.1945298048513</v>
      </c>
      <c r="AM10" s="526">
        <v>3424.9376920609157</v>
      </c>
      <c r="AN10" s="485"/>
      <c r="AO10" s="485">
        <f t="shared" si="15"/>
        <v>1712.4688460304578</v>
      </c>
      <c r="AP10" s="514">
        <f t="shared" si="16"/>
        <v>1712.4688460304578</v>
      </c>
      <c r="AQ10" s="530">
        <f t="shared" si="17"/>
        <v>1712.4688460304578</v>
      </c>
    </row>
    <row r="11" spans="1:43" x14ac:dyDescent="0.55000000000000004">
      <c r="A11" s="316" t="s">
        <v>250</v>
      </c>
      <c r="B11" s="218" t="s">
        <v>251</v>
      </c>
      <c r="C11" s="218" t="s">
        <v>254</v>
      </c>
      <c r="D11" s="105" t="s">
        <v>255</v>
      </c>
      <c r="E11" s="100"/>
      <c r="F11" s="34"/>
      <c r="G11" s="34"/>
      <c r="H11" s="480">
        <v>6185.6711628854973</v>
      </c>
      <c r="I11" s="480" t="s">
        <v>412</v>
      </c>
      <c r="J11" s="490">
        <v>3</v>
      </c>
      <c r="K11" s="504">
        <v>0</v>
      </c>
      <c r="L11" s="482"/>
      <c r="M11" s="482">
        <f t="shared" si="1"/>
        <v>0</v>
      </c>
      <c r="N11" s="509">
        <f t="shared" si="2"/>
        <v>0</v>
      </c>
      <c r="O11" s="515">
        <v>693.40136601713857</v>
      </c>
      <c r="P11" s="483"/>
      <c r="Q11" s="483">
        <f t="shared" si="3"/>
        <v>346.70068300856929</v>
      </c>
      <c r="R11" s="514">
        <f t="shared" si="4"/>
        <v>346.70068300856929</v>
      </c>
      <c r="S11" s="515">
        <v>2509.0423214440798</v>
      </c>
      <c r="T11" s="483"/>
      <c r="U11" s="483">
        <f t="shared" si="5"/>
        <v>1254.5211607220399</v>
      </c>
      <c r="V11" s="514">
        <f t="shared" si="6"/>
        <v>1254.5211607220399</v>
      </c>
      <c r="W11" s="515">
        <v>2761.5031570219976</v>
      </c>
      <c r="X11" s="483"/>
      <c r="Y11" s="483">
        <f t="shared" si="7"/>
        <v>1380.7515785109988</v>
      </c>
      <c r="Z11" s="514">
        <f t="shared" si="8"/>
        <v>1380.7515785109988</v>
      </c>
      <c r="AA11" s="515">
        <v>3482.4856610790357</v>
      </c>
      <c r="AB11" s="483"/>
      <c r="AC11" s="483">
        <f t="shared" si="9"/>
        <v>1741.2428305395179</v>
      </c>
      <c r="AD11" s="514">
        <f t="shared" si="10"/>
        <v>1741.2428305395179</v>
      </c>
      <c r="AE11" s="515">
        <v>4315</v>
      </c>
      <c r="AF11" s="483"/>
      <c r="AG11" s="483">
        <f t="shared" si="11"/>
        <v>2157.5</v>
      </c>
      <c r="AH11" s="514">
        <f t="shared" si="12"/>
        <v>2157.5</v>
      </c>
      <c r="AI11" s="520">
        <v>2617.0147227592488</v>
      </c>
      <c r="AJ11" s="484"/>
      <c r="AK11" s="484">
        <f t="shared" si="13"/>
        <v>1308.5073613796244</v>
      </c>
      <c r="AL11" s="514">
        <f t="shared" si="14"/>
        <v>1308.5073613796244</v>
      </c>
      <c r="AM11" s="526">
        <v>3007.7116663571692</v>
      </c>
      <c r="AN11" s="485"/>
      <c r="AO11" s="485">
        <f t="shared" si="15"/>
        <v>1503.8558331785846</v>
      </c>
      <c r="AP11" s="514">
        <f t="shared" si="16"/>
        <v>1503.8558331785846</v>
      </c>
      <c r="AQ11" s="530">
        <f t="shared" si="17"/>
        <v>2157.5</v>
      </c>
    </row>
    <row r="12" spans="1:43" x14ac:dyDescent="0.55000000000000004">
      <c r="A12" s="316" t="s">
        <v>250</v>
      </c>
      <c r="B12" s="218" t="s">
        <v>251</v>
      </c>
      <c r="C12" s="218" t="s">
        <v>256</v>
      </c>
      <c r="D12" s="105" t="s">
        <v>257</v>
      </c>
      <c r="E12" s="100"/>
      <c r="F12" s="34"/>
      <c r="G12" s="34"/>
      <c r="H12" s="480">
        <v>2159.7729564411493</v>
      </c>
      <c r="I12" s="480" t="s">
        <v>412</v>
      </c>
      <c r="J12" s="490">
        <v>3</v>
      </c>
      <c r="K12" s="504">
        <v>0</v>
      </c>
      <c r="L12" s="482"/>
      <c r="M12" s="482">
        <f t="shared" si="1"/>
        <v>0</v>
      </c>
      <c r="N12" s="509">
        <f t="shared" si="2"/>
        <v>0</v>
      </c>
      <c r="O12" s="515">
        <v>737.7784419202967</v>
      </c>
      <c r="P12" s="483"/>
      <c r="Q12" s="483">
        <f t="shared" si="3"/>
        <v>368.88922096014835</v>
      </c>
      <c r="R12" s="514">
        <f t="shared" si="4"/>
        <v>368.88922096014835</v>
      </c>
      <c r="S12" s="515">
        <v>839.53465065268131</v>
      </c>
      <c r="T12" s="483"/>
      <c r="U12" s="483">
        <f t="shared" si="5"/>
        <v>419.76732532634065</v>
      </c>
      <c r="V12" s="514">
        <f t="shared" si="6"/>
        <v>419.76732532634065</v>
      </c>
      <c r="W12" s="515">
        <v>1540.0205724248333</v>
      </c>
      <c r="X12" s="483"/>
      <c r="Y12" s="483">
        <f t="shared" si="7"/>
        <v>770.01028621241664</v>
      </c>
      <c r="Z12" s="514">
        <f t="shared" si="8"/>
        <v>770.01028621241664</v>
      </c>
      <c r="AA12" s="515">
        <v>837.76655048938323</v>
      </c>
      <c r="AB12" s="483"/>
      <c r="AC12" s="483">
        <f t="shared" si="9"/>
        <v>418.88327524469162</v>
      </c>
      <c r="AD12" s="514">
        <f t="shared" si="10"/>
        <v>418.88327524469162</v>
      </c>
      <c r="AE12" s="515">
        <v>1512</v>
      </c>
      <c r="AF12" s="483"/>
      <c r="AG12" s="483">
        <f t="shared" si="11"/>
        <v>756</v>
      </c>
      <c r="AH12" s="514">
        <f t="shared" si="12"/>
        <v>756</v>
      </c>
      <c r="AI12" s="520">
        <v>0</v>
      </c>
      <c r="AJ12" s="484"/>
      <c r="AK12" s="484">
        <f t="shared" si="13"/>
        <v>0</v>
      </c>
      <c r="AL12" s="514">
        <f t="shared" si="14"/>
        <v>0</v>
      </c>
      <c r="AM12" s="526">
        <v>1719.8192060549893</v>
      </c>
      <c r="AN12" s="485"/>
      <c r="AO12" s="485">
        <f t="shared" si="15"/>
        <v>859.90960302749465</v>
      </c>
      <c r="AP12" s="514">
        <f t="shared" si="16"/>
        <v>859.90960302749465</v>
      </c>
      <c r="AQ12" s="530">
        <f t="shared" si="17"/>
        <v>859.90960302749465</v>
      </c>
    </row>
    <row r="13" spans="1:43" x14ac:dyDescent="0.55000000000000004">
      <c r="A13" s="316" t="s">
        <v>250</v>
      </c>
      <c r="B13" s="218" t="s">
        <v>251</v>
      </c>
      <c r="C13" s="218" t="s">
        <v>258</v>
      </c>
      <c r="D13" s="105" t="s">
        <v>259</v>
      </c>
      <c r="E13" s="100"/>
      <c r="F13" s="34"/>
      <c r="G13" s="34"/>
      <c r="H13" s="480">
        <v>8023.4115031633137</v>
      </c>
      <c r="I13" s="480" t="s">
        <v>412</v>
      </c>
      <c r="J13" s="490">
        <v>3</v>
      </c>
      <c r="K13" s="504">
        <v>0</v>
      </c>
      <c r="L13" s="482"/>
      <c r="M13" s="482">
        <f t="shared" si="1"/>
        <v>0</v>
      </c>
      <c r="N13" s="509">
        <f t="shared" si="2"/>
        <v>0</v>
      </c>
      <c r="O13" s="515">
        <v>3040.872959698896</v>
      </c>
      <c r="P13" s="483"/>
      <c r="Q13" s="483">
        <f t="shared" si="3"/>
        <v>1520.436479849448</v>
      </c>
      <c r="R13" s="514">
        <f t="shared" si="4"/>
        <v>1520.436479849448</v>
      </c>
      <c r="S13" s="515">
        <v>3020.3613084251488</v>
      </c>
      <c r="T13" s="483"/>
      <c r="U13" s="483">
        <f t="shared" si="5"/>
        <v>1510.1806542125744</v>
      </c>
      <c r="V13" s="514">
        <f t="shared" si="6"/>
        <v>1510.1806542125744</v>
      </c>
      <c r="W13" s="515">
        <v>5691.5355279765563</v>
      </c>
      <c r="X13" s="483"/>
      <c r="Y13" s="483">
        <f t="shared" si="7"/>
        <v>2845.7677639882781</v>
      </c>
      <c r="Z13" s="514">
        <f t="shared" si="8"/>
        <v>2845.7677639882781</v>
      </c>
      <c r="AA13" s="515">
        <v>2855.4831771933182</v>
      </c>
      <c r="AB13" s="483"/>
      <c r="AC13" s="483">
        <f t="shared" si="9"/>
        <v>1427.7415885966591</v>
      </c>
      <c r="AD13" s="514">
        <f t="shared" si="10"/>
        <v>1427.7415885966591</v>
      </c>
      <c r="AE13" s="515">
        <v>4057</v>
      </c>
      <c r="AF13" s="483"/>
      <c r="AG13" s="483">
        <f t="shared" si="11"/>
        <v>2028.5</v>
      </c>
      <c r="AH13" s="514">
        <f t="shared" si="12"/>
        <v>2028.5</v>
      </c>
      <c r="AI13" s="520">
        <v>8023.4115031633146</v>
      </c>
      <c r="AJ13" s="484"/>
      <c r="AK13" s="484">
        <f t="shared" si="13"/>
        <v>4011.7057515816573</v>
      </c>
      <c r="AL13" s="514">
        <f t="shared" si="14"/>
        <v>4011.7057515816573</v>
      </c>
      <c r="AM13" s="526">
        <v>4122.1196713499603</v>
      </c>
      <c r="AN13" s="485"/>
      <c r="AO13" s="485">
        <f t="shared" si="15"/>
        <v>2061.0598356749801</v>
      </c>
      <c r="AP13" s="514">
        <f t="shared" si="16"/>
        <v>2061.0598356749801</v>
      </c>
      <c r="AQ13" s="530">
        <f t="shared" si="17"/>
        <v>4011.7057515816573</v>
      </c>
    </row>
    <row r="14" spans="1:43" x14ac:dyDescent="0.55000000000000004">
      <c r="A14" s="316" t="s">
        <v>250</v>
      </c>
      <c r="B14" s="218" t="s">
        <v>251</v>
      </c>
      <c r="C14" s="218" t="s">
        <v>260</v>
      </c>
      <c r="D14" s="105" t="s">
        <v>261</v>
      </c>
      <c r="E14" s="100"/>
      <c r="F14" s="34"/>
      <c r="G14" s="34"/>
      <c r="H14" s="480">
        <v>4829.7886557975189</v>
      </c>
      <c r="I14" s="480" t="s">
        <v>412</v>
      </c>
      <c r="J14" s="490">
        <v>3</v>
      </c>
      <c r="K14" s="504">
        <v>0</v>
      </c>
      <c r="L14" s="482"/>
      <c r="M14" s="482">
        <f t="shared" si="1"/>
        <v>0</v>
      </c>
      <c r="N14" s="509">
        <f t="shared" si="2"/>
        <v>0</v>
      </c>
      <c r="O14" s="515">
        <v>1199.4625573436151</v>
      </c>
      <c r="P14" s="483"/>
      <c r="Q14" s="483">
        <f t="shared" si="3"/>
        <v>599.73127867180756</v>
      </c>
      <c r="R14" s="514">
        <f t="shared" si="4"/>
        <v>599.73127867180756</v>
      </c>
      <c r="S14" s="515">
        <v>1736.0189569086174</v>
      </c>
      <c r="T14" s="483"/>
      <c r="U14" s="483">
        <f t="shared" si="5"/>
        <v>868.00947845430869</v>
      </c>
      <c r="V14" s="514">
        <f t="shared" si="6"/>
        <v>868.00947845430869</v>
      </c>
      <c r="W14" s="515">
        <v>2134.1291226372955</v>
      </c>
      <c r="X14" s="483"/>
      <c r="Y14" s="483">
        <f t="shared" si="7"/>
        <v>1067.0645613186477</v>
      </c>
      <c r="Z14" s="514">
        <f t="shared" si="8"/>
        <v>1067.0645613186477</v>
      </c>
      <c r="AA14" s="515">
        <v>2357.176214784763</v>
      </c>
      <c r="AB14" s="483"/>
      <c r="AC14" s="483">
        <f t="shared" si="9"/>
        <v>1178.5881073923815</v>
      </c>
      <c r="AD14" s="514">
        <f t="shared" si="10"/>
        <v>1178.5881073923815</v>
      </c>
      <c r="AE14" s="515">
        <v>3381</v>
      </c>
      <c r="AF14" s="483"/>
      <c r="AG14" s="483">
        <f t="shared" si="11"/>
        <v>1690.5</v>
      </c>
      <c r="AH14" s="514">
        <f t="shared" si="12"/>
        <v>1690.5</v>
      </c>
      <c r="AI14" s="520">
        <v>3622.3414918481394</v>
      </c>
      <c r="AJ14" s="484"/>
      <c r="AK14" s="484">
        <f t="shared" si="13"/>
        <v>1811.1707459240697</v>
      </c>
      <c r="AL14" s="514">
        <f t="shared" si="14"/>
        <v>1811.1707459240697</v>
      </c>
      <c r="AM14" s="526">
        <v>4785.06839046606</v>
      </c>
      <c r="AN14" s="485"/>
      <c r="AO14" s="485">
        <f t="shared" si="15"/>
        <v>2392.53419523303</v>
      </c>
      <c r="AP14" s="514">
        <f t="shared" si="16"/>
        <v>2392.53419523303</v>
      </c>
      <c r="AQ14" s="530">
        <f t="shared" si="17"/>
        <v>2392.53419523303</v>
      </c>
    </row>
    <row r="15" spans="1:43" x14ac:dyDescent="0.55000000000000004">
      <c r="A15" s="316" t="s">
        <v>250</v>
      </c>
      <c r="B15" s="218" t="s">
        <v>251</v>
      </c>
      <c r="C15" s="218" t="s">
        <v>262</v>
      </c>
      <c r="D15" s="105" t="s">
        <v>263</v>
      </c>
      <c r="E15" s="100"/>
      <c r="F15" s="34"/>
      <c r="G15" s="34"/>
      <c r="H15" s="480">
        <v>21293.088674698796</v>
      </c>
      <c r="I15" s="480" t="s">
        <v>412</v>
      </c>
      <c r="J15" s="490">
        <v>3</v>
      </c>
      <c r="K15" s="504">
        <v>14262.5</v>
      </c>
      <c r="L15" s="482"/>
      <c r="M15" s="482">
        <f t="shared" si="1"/>
        <v>7131.25</v>
      </c>
      <c r="N15" s="509">
        <f t="shared" si="2"/>
        <v>7131.25</v>
      </c>
      <c r="O15" s="515">
        <v>1138.3285205493978</v>
      </c>
      <c r="P15" s="483"/>
      <c r="Q15" s="483">
        <f t="shared" si="3"/>
        <v>569.1642602746989</v>
      </c>
      <c r="R15" s="514">
        <f t="shared" si="4"/>
        <v>569.1642602746989</v>
      </c>
      <c r="S15" s="515">
        <v>6949.2517940572598</v>
      </c>
      <c r="T15" s="483"/>
      <c r="U15" s="483">
        <f t="shared" si="5"/>
        <v>3474.6258970286299</v>
      </c>
      <c r="V15" s="514">
        <f t="shared" si="6"/>
        <v>3474.6258970286299</v>
      </c>
      <c r="W15" s="515">
        <v>14604.061169572129</v>
      </c>
      <c r="X15" s="483"/>
      <c r="Y15" s="483">
        <f t="shared" si="7"/>
        <v>7302.0305847860645</v>
      </c>
      <c r="Z15" s="514">
        <f t="shared" si="8"/>
        <v>7302.0305847860645</v>
      </c>
      <c r="AA15" s="515">
        <v>8823.1210737882466</v>
      </c>
      <c r="AB15" s="483"/>
      <c r="AC15" s="483">
        <f t="shared" si="9"/>
        <v>4411.5605368941233</v>
      </c>
      <c r="AD15" s="514">
        <f t="shared" si="10"/>
        <v>4411.5605368941233</v>
      </c>
      <c r="AE15" s="515">
        <v>14039</v>
      </c>
      <c r="AF15" s="483"/>
      <c r="AG15" s="483">
        <f t="shared" si="11"/>
        <v>7019.5</v>
      </c>
      <c r="AH15" s="514">
        <f t="shared" si="12"/>
        <v>7019.5</v>
      </c>
      <c r="AI15" s="520">
        <v>7097.6962248995987</v>
      </c>
      <c r="AJ15" s="484"/>
      <c r="AK15" s="484">
        <f t="shared" si="13"/>
        <v>3548.8481124497994</v>
      </c>
      <c r="AL15" s="514">
        <f t="shared" si="14"/>
        <v>3548.8481124497994</v>
      </c>
      <c r="AM15" s="526">
        <v>6227.2240463741755</v>
      </c>
      <c r="AN15" s="485"/>
      <c r="AO15" s="485">
        <f t="shared" si="15"/>
        <v>3113.6120231870877</v>
      </c>
      <c r="AP15" s="514">
        <f t="shared" si="16"/>
        <v>3113.6120231870877</v>
      </c>
      <c r="AQ15" s="530">
        <f t="shared" si="17"/>
        <v>7302.0305847860645</v>
      </c>
    </row>
    <row r="16" spans="1:43" x14ac:dyDescent="0.55000000000000004">
      <c r="A16" s="316" t="s">
        <v>250</v>
      </c>
      <c r="B16" s="218" t="s">
        <v>251</v>
      </c>
      <c r="C16" s="218" t="s">
        <v>264</v>
      </c>
      <c r="D16" s="105" t="s">
        <v>265</v>
      </c>
      <c r="E16" s="100"/>
      <c r="F16" s="34"/>
      <c r="G16" s="34"/>
      <c r="H16" s="480">
        <v>40940.594481869215</v>
      </c>
      <c r="I16" s="480" t="s">
        <v>412</v>
      </c>
      <c r="J16" s="490">
        <v>3</v>
      </c>
      <c r="K16" s="504">
        <v>0</v>
      </c>
      <c r="L16" s="482"/>
      <c r="M16" s="482">
        <f t="shared" si="1"/>
        <v>0</v>
      </c>
      <c r="N16" s="509">
        <f t="shared" si="2"/>
        <v>0</v>
      </c>
      <c r="O16" s="515">
        <v>2692.6096762997117</v>
      </c>
      <c r="P16" s="483"/>
      <c r="Q16" s="483">
        <f t="shared" si="3"/>
        <v>1346.3048381498559</v>
      </c>
      <c r="R16" s="514">
        <f t="shared" si="4"/>
        <v>1346.3048381498559</v>
      </c>
      <c r="S16" s="515">
        <v>13324.992433803691</v>
      </c>
      <c r="T16" s="483"/>
      <c r="U16" s="483">
        <f t="shared" si="5"/>
        <v>6662.4962169018454</v>
      </c>
      <c r="V16" s="514">
        <f t="shared" si="6"/>
        <v>6662.4962169018454</v>
      </c>
      <c r="W16" s="515">
        <v>9914.5548055213094</v>
      </c>
      <c r="X16" s="483"/>
      <c r="Y16" s="483">
        <f t="shared" si="7"/>
        <v>4957.2774027606547</v>
      </c>
      <c r="Z16" s="514">
        <f t="shared" si="8"/>
        <v>4957.2774027606547</v>
      </c>
      <c r="AA16" s="515">
        <v>21383.94598798571</v>
      </c>
      <c r="AB16" s="483"/>
      <c r="AC16" s="483">
        <f t="shared" si="9"/>
        <v>10691.972993992855</v>
      </c>
      <c r="AD16" s="514">
        <f t="shared" si="10"/>
        <v>10691.972993992855</v>
      </c>
      <c r="AE16" s="515">
        <v>28480</v>
      </c>
      <c r="AF16" s="483"/>
      <c r="AG16" s="483">
        <f t="shared" si="11"/>
        <v>14240</v>
      </c>
      <c r="AH16" s="514">
        <f t="shared" si="12"/>
        <v>14240</v>
      </c>
      <c r="AI16" s="520">
        <v>2924.3281772763721</v>
      </c>
      <c r="AJ16" s="484"/>
      <c r="AK16" s="484">
        <f t="shared" si="13"/>
        <v>1462.1640886381861</v>
      </c>
      <c r="AL16" s="514">
        <f t="shared" si="14"/>
        <v>1462.1640886381861</v>
      </c>
      <c r="AM16" s="526">
        <v>14157.027998403373</v>
      </c>
      <c r="AN16" s="485"/>
      <c r="AO16" s="485">
        <f t="shared" si="15"/>
        <v>7078.5139992016866</v>
      </c>
      <c r="AP16" s="514">
        <f t="shared" si="16"/>
        <v>7078.5139992016866</v>
      </c>
      <c r="AQ16" s="530">
        <f t="shared" si="17"/>
        <v>14240</v>
      </c>
    </row>
    <row r="17" spans="1:43" x14ac:dyDescent="0.55000000000000004">
      <c r="A17" s="316" t="s">
        <v>250</v>
      </c>
      <c r="B17" s="218" t="s">
        <v>251</v>
      </c>
      <c r="C17" s="218" t="s">
        <v>266</v>
      </c>
      <c r="D17" s="105" t="s">
        <v>267</v>
      </c>
      <c r="E17" s="100"/>
      <c r="F17" s="34"/>
      <c r="G17" s="34"/>
      <c r="H17" s="480">
        <v>2501.5236312386551</v>
      </c>
      <c r="I17" s="480" t="s">
        <v>412</v>
      </c>
      <c r="J17" s="490">
        <v>3</v>
      </c>
      <c r="K17" s="504">
        <v>0</v>
      </c>
      <c r="L17" s="482"/>
      <c r="M17" s="482">
        <f t="shared" si="1"/>
        <v>0</v>
      </c>
      <c r="N17" s="509">
        <f t="shared" si="2"/>
        <v>0</v>
      </c>
      <c r="O17" s="515">
        <v>279.86546081571822</v>
      </c>
      <c r="P17" s="483"/>
      <c r="Q17" s="483">
        <f t="shared" si="3"/>
        <v>139.93273040785911</v>
      </c>
      <c r="R17" s="514">
        <f t="shared" si="4"/>
        <v>139.93273040785911</v>
      </c>
      <c r="S17" s="515">
        <v>1219.1162945708784</v>
      </c>
      <c r="T17" s="483"/>
      <c r="U17" s="483">
        <f t="shared" si="5"/>
        <v>609.55814728543919</v>
      </c>
      <c r="V17" s="514">
        <f t="shared" si="6"/>
        <v>609.55814728543919</v>
      </c>
      <c r="W17" s="515">
        <v>1404.6058331272616</v>
      </c>
      <c r="X17" s="483"/>
      <c r="Y17" s="483">
        <f t="shared" si="7"/>
        <v>702.30291656363079</v>
      </c>
      <c r="Z17" s="514">
        <f t="shared" si="8"/>
        <v>702.30291656363079</v>
      </c>
      <c r="AA17" s="515">
        <v>1981.0929952949004</v>
      </c>
      <c r="AB17" s="483"/>
      <c r="AC17" s="483">
        <f t="shared" si="9"/>
        <v>990.54649764745022</v>
      </c>
      <c r="AD17" s="514">
        <f t="shared" si="10"/>
        <v>990.54649764745022</v>
      </c>
      <c r="AE17" s="515">
        <v>1492</v>
      </c>
      <c r="AF17" s="483"/>
      <c r="AG17" s="483">
        <f t="shared" si="11"/>
        <v>746</v>
      </c>
      <c r="AH17" s="514">
        <f t="shared" si="12"/>
        <v>746</v>
      </c>
      <c r="AI17" s="520">
        <v>2501.5236312386551</v>
      </c>
      <c r="AJ17" s="484"/>
      <c r="AK17" s="484">
        <f t="shared" si="13"/>
        <v>1250.7618156193275</v>
      </c>
      <c r="AL17" s="514">
        <f t="shared" si="14"/>
        <v>1250.7618156193275</v>
      </c>
      <c r="AM17" s="526">
        <v>1728.3254179467071</v>
      </c>
      <c r="AN17" s="485"/>
      <c r="AO17" s="485">
        <f t="shared" si="15"/>
        <v>864.16270897335357</v>
      </c>
      <c r="AP17" s="514">
        <f t="shared" si="16"/>
        <v>864.16270897335357</v>
      </c>
      <c r="AQ17" s="530">
        <f t="shared" si="17"/>
        <v>1250.7618156193275</v>
      </c>
    </row>
    <row r="18" spans="1:43" x14ac:dyDescent="0.55000000000000004">
      <c r="A18" s="316" t="s">
        <v>268</v>
      </c>
      <c r="B18" s="218" t="s">
        <v>269</v>
      </c>
      <c r="C18" s="218" t="s">
        <v>270</v>
      </c>
      <c r="D18" s="105" t="s">
        <v>271</v>
      </c>
      <c r="E18" s="100"/>
      <c r="F18" s="34"/>
      <c r="G18" s="34"/>
      <c r="H18" s="480">
        <v>45687.987079478589</v>
      </c>
      <c r="I18" s="480" t="s">
        <v>412</v>
      </c>
      <c r="J18" s="490">
        <v>4</v>
      </c>
      <c r="K18" s="504">
        <v>30191.25</v>
      </c>
      <c r="L18" s="482">
        <f t="shared" ref="L18:L65" si="18">K18</f>
        <v>30191.25</v>
      </c>
      <c r="M18" s="482"/>
      <c r="N18" s="509">
        <f t="shared" si="2"/>
        <v>30191.25</v>
      </c>
      <c r="O18" s="515">
        <v>9011.1330676597208</v>
      </c>
      <c r="P18" s="483">
        <f t="shared" ref="P18:P65" si="19">O18</f>
        <v>9011.1330676597208</v>
      </c>
      <c r="Q18" s="483"/>
      <c r="R18" s="514">
        <f t="shared" si="4"/>
        <v>9011.1330676597208</v>
      </c>
      <c r="S18" s="515">
        <v>20328.448264613897</v>
      </c>
      <c r="T18" s="483">
        <f t="shared" ref="T18:T65" si="20">S18</f>
        <v>20328.448264613897</v>
      </c>
      <c r="U18" s="483"/>
      <c r="V18" s="514">
        <f t="shared" si="6"/>
        <v>20328.448264613897</v>
      </c>
      <c r="W18" s="515">
        <v>39255.072141148179</v>
      </c>
      <c r="X18" s="483">
        <f t="shared" ref="X18:X65" si="21">W18</f>
        <v>39255.072141148179</v>
      </c>
      <c r="Y18" s="483"/>
      <c r="Z18" s="514">
        <f t="shared" si="8"/>
        <v>0</v>
      </c>
      <c r="AA18" s="515">
        <v>24457.221773689071</v>
      </c>
      <c r="AB18" s="483">
        <f t="shared" ref="AB18:AB65" si="22">AA18</f>
        <v>24457.221773689071</v>
      </c>
      <c r="AC18" s="483"/>
      <c r="AD18" s="514">
        <f t="shared" si="10"/>
        <v>24457.221773689071</v>
      </c>
      <c r="AE18" s="515">
        <v>36373</v>
      </c>
      <c r="AF18" s="483">
        <f t="shared" ref="AF18:AF65" si="23">AE18</f>
        <v>36373</v>
      </c>
      <c r="AG18" s="483"/>
      <c r="AH18" s="514">
        <f t="shared" si="12"/>
        <v>36373</v>
      </c>
      <c r="AI18" s="520">
        <v>40611.544070647637</v>
      </c>
      <c r="AJ18" s="484">
        <f t="shared" ref="AJ18:AJ65" si="24">AI18</f>
        <v>40611.544070647637</v>
      </c>
      <c r="AK18" s="484"/>
      <c r="AL18" s="514">
        <f t="shared" si="14"/>
        <v>40611.544070647637</v>
      </c>
      <c r="AM18" s="526">
        <v>22843.993539739295</v>
      </c>
      <c r="AN18" s="485">
        <f t="shared" ref="AN18:AN65" si="25">AM18</f>
        <v>22843.993539739295</v>
      </c>
      <c r="AO18" s="485"/>
      <c r="AP18" s="514">
        <f t="shared" si="16"/>
        <v>22843.993539739295</v>
      </c>
      <c r="AQ18" s="530">
        <f t="shared" si="17"/>
        <v>40611.544070647637</v>
      </c>
    </row>
    <row r="19" spans="1:43" x14ac:dyDescent="0.55000000000000004">
      <c r="A19" s="316" t="s">
        <v>268</v>
      </c>
      <c r="B19" s="218" t="s">
        <v>269</v>
      </c>
      <c r="C19" s="218" t="s">
        <v>272</v>
      </c>
      <c r="D19" s="105" t="s">
        <v>273</v>
      </c>
      <c r="E19" s="100"/>
      <c r="F19" s="34"/>
      <c r="G19" s="34"/>
      <c r="H19" s="480">
        <v>21857.689382345037</v>
      </c>
      <c r="I19" s="480" t="s">
        <v>412</v>
      </c>
      <c r="J19" s="490">
        <v>4</v>
      </c>
      <c r="K19" s="504">
        <v>0</v>
      </c>
      <c r="L19" s="482">
        <f t="shared" si="18"/>
        <v>0</v>
      </c>
      <c r="M19" s="482"/>
      <c r="N19" s="509">
        <f t="shared" si="2"/>
        <v>0</v>
      </c>
      <c r="O19" s="515">
        <v>3012.1644584022056</v>
      </c>
      <c r="P19" s="483">
        <f t="shared" si="19"/>
        <v>3012.1644584022056</v>
      </c>
      <c r="Q19" s="483"/>
      <c r="R19" s="514">
        <f t="shared" si="4"/>
        <v>3012.1644584022056</v>
      </c>
      <c r="S19" s="515">
        <v>7246.9332264528048</v>
      </c>
      <c r="T19" s="483">
        <f t="shared" si="20"/>
        <v>7246.9332264528048</v>
      </c>
      <c r="U19" s="483"/>
      <c r="V19" s="514">
        <f t="shared" si="6"/>
        <v>7246.9332264528048</v>
      </c>
      <c r="W19" s="515">
        <v>16171.05136149268</v>
      </c>
      <c r="X19" s="483">
        <f t="shared" si="21"/>
        <v>16171.05136149268</v>
      </c>
      <c r="Y19" s="483"/>
      <c r="Z19" s="514">
        <f t="shared" si="8"/>
        <v>0</v>
      </c>
      <c r="AA19" s="515">
        <v>9814.1802232710907</v>
      </c>
      <c r="AB19" s="483">
        <f t="shared" si="22"/>
        <v>9814.1802232710907</v>
      </c>
      <c r="AC19" s="483"/>
      <c r="AD19" s="514">
        <f t="shared" si="10"/>
        <v>9814.1802232710907</v>
      </c>
      <c r="AE19" s="515">
        <v>16888</v>
      </c>
      <c r="AF19" s="483">
        <f t="shared" si="23"/>
        <v>16888</v>
      </c>
      <c r="AG19" s="483"/>
      <c r="AH19" s="514">
        <f t="shared" si="12"/>
        <v>16888</v>
      </c>
      <c r="AI19" s="520">
        <v>13871.225954180503</v>
      </c>
      <c r="AJ19" s="484">
        <f t="shared" si="24"/>
        <v>13871.225954180503</v>
      </c>
      <c r="AK19" s="484"/>
      <c r="AL19" s="514">
        <f t="shared" si="14"/>
        <v>13871.225954180503</v>
      </c>
      <c r="AM19" s="526">
        <v>18659.003131270158</v>
      </c>
      <c r="AN19" s="485">
        <f t="shared" si="25"/>
        <v>18659.003131270158</v>
      </c>
      <c r="AO19" s="485"/>
      <c r="AP19" s="514">
        <f t="shared" si="16"/>
        <v>18659.003131270158</v>
      </c>
      <c r="AQ19" s="530">
        <f t="shared" si="17"/>
        <v>18659.003131270158</v>
      </c>
    </row>
    <row r="20" spans="1:43" x14ac:dyDescent="0.55000000000000004">
      <c r="A20" s="316" t="s">
        <v>268</v>
      </c>
      <c r="B20" s="218" t="s">
        <v>269</v>
      </c>
      <c r="C20" s="218" t="s">
        <v>274</v>
      </c>
      <c r="D20" s="105" t="s">
        <v>275</v>
      </c>
      <c r="E20" s="100"/>
      <c r="F20" s="34"/>
      <c r="G20" s="34"/>
      <c r="H20" s="480">
        <v>95901.175542296638</v>
      </c>
      <c r="I20" s="480" t="s">
        <v>412</v>
      </c>
      <c r="J20" s="490">
        <v>3</v>
      </c>
      <c r="K20" s="504">
        <v>50265</v>
      </c>
      <c r="L20" s="482"/>
      <c r="M20" s="482">
        <f t="shared" si="1"/>
        <v>25132.5</v>
      </c>
      <c r="N20" s="509">
        <f t="shared" si="2"/>
        <v>25132.5</v>
      </c>
      <c r="O20" s="515">
        <v>19394.094729918648</v>
      </c>
      <c r="P20" s="483"/>
      <c r="Q20" s="483">
        <f t="shared" si="3"/>
        <v>9697.0473649593241</v>
      </c>
      <c r="R20" s="514">
        <f t="shared" si="4"/>
        <v>9697.0473649593241</v>
      </c>
      <c r="S20" s="515">
        <v>36837.40550042902</v>
      </c>
      <c r="T20" s="483"/>
      <c r="U20" s="483">
        <f t="shared" si="5"/>
        <v>18418.70275021451</v>
      </c>
      <c r="V20" s="514">
        <f t="shared" si="6"/>
        <v>18418.70275021451</v>
      </c>
      <c r="W20" s="515">
        <v>22913.183208266495</v>
      </c>
      <c r="X20" s="483"/>
      <c r="Y20" s="483">
        <f t="shared" si="7"/>
        <v>11456.591604133248</v>
      </c>
      <c r="Z20" s="514">
        <f t="shared" si="8"/>
        <v>11456.591604133248</v>
      </c>
      <c r="AA20" s="515">
        <v>53275.674539844593</v>
      </c>
      <c r="AB20" s="483"/>
      <c r="AC20" s="483">
        <f t="shared" si="9"/>
        <v>26637.837269922296</v>
      </c>
      <c r="AD20" s="514">
        <f t="shared" si="10"/>
        <v>26637.837269922296</v>
      </c>
      <c r="AE20" s="515">
        <v>66786</v>
      </c>
      <c r="AF20" s="483"/>
      <c r="AG20" s="483">
        <f t="shared" si="11"/>
        <v>33393</v>
      </c>
      <c r="AH20" s="514">
        <f t="shared" si="12"/>
        <v>33393</v>
      </c>
      <c r="AI20" s="520">
        <v>71925.881656722486</v>
      </c>
      <c r="AJ20" s="484"/>
      <c r="AK20" s="484">
        <f t="shared" si="13"/>
        <v>35962.940828361243</v>
      </c>
      <c r="AL20" s="514">
        <f t="shared" si="14"/>
        <v>35962.940828361243</v>
      </c>
      <c r="AM20" s="526">
        <v>45286.666228306742</v>
      </c>
      <c r="AN20" s="485"/>
      <c r="AO20" s="485">
        <f t="shared" si="15"/>
        <v>22643.333114153371</v>
      </c>
      <c r="AP20" s="514">
        <f t="shared" si="16"/>
        <v>22643.333114153371</v>
      </c>
      <c r="AQ20" s="530">
        <f t="shared" si="17"/>
        <v>35962.940828361243</v>
      </c>
    </row>
    <row r="21" spans="1:43" x14ac:dyDescent="0.55000000000000004">
      <c r="A21" s="316" t="s">
        <v>268</v>
      </c>
      <c r="B21" s="218" t="s">
        <v>269</v>
      </c>
      <c r="C21" s="218" t="s">
        <v>276</v>
      </c>
      <c r="D21" s="105" t="s">
        <v>277</v>
      </c>
      <c r="E21" s="100"/>
      <c r="F21" s="34"/>
      <c r="G21" s="34"/>
      <c r="H21" s="480">
        <v>69039.732902168529</v>
      </c>
      <c r="I21" s="480" t="s">
        <v>412</v>
      </c>
      <c r="J21" s="490">
        <v>4</v>
      </c>
      <c r="K21" s="504">
        <v>2940</v>
      </c>
      <c r="L21" s="482">
        <f t="shared" si="18"/>
        <v>2940</v>
      </c>
      <c r="M21" s="482"/>
      <c r="N21" s="509">
        <f t="shared" si="2"/>
        <v>2940</v>
      </c>
      <c r="O21" s="515">
        <v>11234.283417306668</v>
      </c>
      <c r="P21" s="483">
        <f t="shared" si="19"/>
        <v>11234.283417306668</v>
      </c>
      <c r="Q21" s="483"/>
      <c r="R21" s="514">
        <f t="shared" si="4"/>
        <v>11234.283417306668</v>
      </c>
      <c r="S21" s="515">
        <v>26154.980284305846</v>
      </c>
      <c r="T21" s="483">
        <f t="shared" si="20"/>
        <v>26154.980284305846</v>
      </c>
      <c r="U21" s="483"/>
      <c r="V21" s="514">
        <f t="shared" si="6"/>
        <v>26154.980284305846</v>
      </c>
      <c r="W21" s="515">
        <v>60658.225579270336</v>
      </c>
      <c r="X21" s="483">
        <f t="shared" si="21"/>
        <v>60658.225579270336</v>
      </c>
      <c r="Y21" s="483"/>
      <c r="Z21" s="514">
        <f t="shared" si="8"/>
        <v>0</v>
      </c>
      <c r="AA21" s="515">
        <v>50858.935327370076</v>
      </c>
      <c r="AB21" s="483">
        <f t="shared" si="22"/>
        <v>50858.935327370076</v>
      </c>
      <c r="AC21" s="483"/>
      <c r="AD21" s="514">
        <f t="shared" si="10"/>
        <v>50858.935327370076</v>
      </c>
      <c r="AE21" s="515">
        <v>53298</v>
      </c>
      <c r="AF21" s="483">
        <f t="shared" si="23"/>
        <v>53298</v>
      </c>
      <c r="AG21" s="483"/>
      <c r="AH21" s="514">
        <f t="shared" si="12"/>
        <v>53298</v>
      </c>
      <c r="AI21" s="520">
        <v>69039.732902168529</v>
      </c>
      <c r="AJ21" s="484">
        <f t="shared" si="24"/>
        <v>69039.732902168529</v>
      </c>
      <c r="AK21" s="484"/>
      <c r="AL21" s="514">
        <f t="shared" si="14"/>
        <v>69039.732902168529</v>
      </c>
      <c r="AM21" s="526">
        <v>66482.705757643766</v>
      </c>
      <c r="AN21" s="485">
        <f t="shared" si="25"/>
        <v>66482.705757643766</v>
      </c>
      <c r="AO21" s="485"/>
      <c r="AP21" s="514">
        <f t="shared" si="16"/>
        <v>66482.705757643766</v>
      </c>
      <c r="AQ21" s="530">
        <f t="shared" si="17"/>
        <v>69039.732902168529</v>
      </c>
    </row>
    <row r="22" spans="1:43" x14ac:dyDescent="0.55000000000000004">
      <c r="A22" s="316" t="s">
        <v>268</v>
      </c>
      <c r="B22" s="218" t="s">
        <v>269</v>
      </c>
      <c r="C22" s="218" t="s">
        <v>278</v>
      </c>
      <c r="D22" s="105" t="s">
        <v>279</v>
      </c>
      <c r="E22" s="100"/>
      <c r="F22" s="34"/>
      <c r="G22" s="34"/>
      <c r="H22" s="480">
        <v>77068.443303189997</v>
      </c>
      <c r="I22" s="480" t="s">
        <v>412</v>
      </c>
      <c r="J22" s="490">
        <v>4</v>
      </c>
      <c r="K22" s="504">
        <v>0</v>
      </c>
      <c r="L22" s="482">
        <f t="shared" si="18"/>
        <v>0</v>
      </c>
      <c r="M22" s="482"/>
      <c r="N22" s="509">
        <f t="shared" si="2"/>
        <v>0</v>
      </c>
      <c r="O22" s="515">
        <v>8003.5578370362809</v>
      </c>
      <c r="P22" s="483">
        <f t="shared" si="19"/>
        <v>8003.5578370362809</v>
      </c>
      <c r="Q22" s="483"/>
      <c r="R22" s="514">
        <f t="shared" si="4"/>
        <v>8003.5578370362809</v>
      </c>
      <c r="S22" s="515">
        <v>29219.09106715216</v>
      </c>
      <c r="T22" s="483">
        <f t="shared" si="20"/>
        <v>29219.09106715216</v>
      </c>
      <c r="U22" s="483"/>
      <c r="V22" s="514">
        <f t="shared" si="6"/>
        <v>29219.09106715216</v>
      </c>
      <c r="W22" s="515">
        <v>53758.117095312671</v>
      </c>
      <c r="X22" s="483">
        <f t="shared" si="21"/>
        <v>53758.117095312671</v>
      </c>
      <c r="Y22" s="483"/>
      <c r="Z22" s="514">
        <f t="shared" si="8"/>
        <v>0</v>
      </c>
      <c r="AA22" s="515">
        <v>51263.151432420411</v>
      </c>
      <c r="AB22" s="483">
        <f t="shared" si="22"/>
        <v>51263.151432420411</v>
      </c>
      <c r="AC22" s="483"/>
      <c r="AD22" s="514">
        <f t="shared" si="10"/>
        <v>51263.151432420411</v>
      </c>
      <c r="AE22" s="515">
        <v>53948</v>
      </c>
      <c r="AF22" s="483">
        <f t="shared" si="23"/>
        <v>53948</v>
      </c>
      <c r="AG22" s="483"/>
      <c r="AH22" s="514">
        <f t="shared" si="12"/>
        <v>53948</v>
      </c>
      <c r="AI22" s="520">
        <v>77068.443303189997</v>
      </c>
      <c r="AJ22" s="484">
        <f t="shared" si="24"/>
        <v>77068.443303189997</v>
      </c>
      <c r="AK22" s="484"/>
      <c r="AL22" s="514">
        <f t="shared" si="14"/>
        <v>77068.443303189997</v>
      </c>
      <c r="AM22" s="526">
        <v>36393.431559839715</v>
      </c>
      <c r="AN22" s="485">
        <f t="shared" si="25"/>
        <v>36393.431559839715</v>
      </c>
      <c r="AO22" s="485"/>
      <c r="AP22" s="514">
        <f t="shared" si="16"/>
        <v>36393.431559839715</v>
      </c>
      <c r="AQ22" s="530">
        <f t="shared" si="17"/>
        <v>77068.443303189997</v>
      </c>
    </row>
    <row r="23" spans="1:43" x14ac:dyDescent="0.55000000000000004">
      <c r="A23" s="316" t="s">
        <v>268</v>
      </c>
      <c r="B23" s="218" t="s">
        <v>269</v>
      </c>
      <c r="C23" s="218" t="s">
        <v>280</v>
      </c>
      <c r="D23" s="105" t="s">
        <v>281</v>
      </c>
      <c r="E23" s="100"/>
      <c r="F23" s="34"/>
      <c r="G23" s="34"/>
      <c r="H23" s="480">
        <v>118740.98784317059</v>
      </c>
      <c r="I23" s="480" t="s">
        <v>412</v>
      </c>
      <c r="J23" s="490">
        <v>5</v>
      </c>
      <c r="K23" s="504">
        <v>53426.25</v>
      </c>
      <c r="L23" s="482">
        <f t="shared" si="18"/>
        <v>53426.25</v>
      </c>
      <c r="M23" s="482"/>
      <c r="N23" s="509">
        <f t="shared" si="2"/>
        <v>53426.25</v>
      </c>
      <c r="O23" s="515">
        <v>44409.129453345799</v>
      </c>
      <c r="P23" s="483">
        <f t="shared" si="19"/>
        <v>44409.129453345799</v>
      </c>
      <c r="Q23" s="483"/>
      <c r="R23" s="514">
        <f t="shared" si="4"/>
        <v>44409.129453345799</v>
      </c>
      <c r="S23" s="515">
        <v>40113.54086952786</v>
      </c>
      <c r="T23" s="483">
        <f t="shared" si="20"/>
        <v>40113.54086952786</v>
      </c>
      <c r="U23" s="483"/>
      <c r="V23" s="514">
        <f t="shared" si="6"/>
        <v>40113.54086952786</v>
      </c>
      <c r="W23" s="515">
        <v>103011.12865811396</v>
      </c>
      <c r="X23" s="483">
        <f t="shared" si="21"/>
        <v>103011.12865811396</v>
      </c>
      <c r="Y23" s="483"/>
      <c r="Z23" s="514">
        <f t="shared" si="8"/>
        <v>0</v>
      </c>
      <c r="AA23" s="515">
        <v>77337.079860623839</v>
      </c>
      <c r="AB23" s="483">
        <f t="shared" si="22"/>
        <v>77337.079860623839</v>
      </c>
      <c r="AC23" s="483"/>
      <c r="AD23" s="514">
        <f t="shared" si="10"/>
        <v>77337.079860623839</v>
      </c>
      <c r="AE23" s="515">
        <v>94945</v>
      </c>
      <c r="AF23" s="483">
        <f t="shared" si="23"/>
        <v>94945</v>
      </c>
      <c r="AG23" s="483"/>
      <c r="AH23" s="514">
        <f t="shared" si="12"/>
        <v>94945</v>
      </c>
      <c r="AI23" s="520">
        <v>74762.844197551851</v>
      </c>
      <c r="AJ23" s="484">
        <f t="shared" si="24"/>
        <v>74762.844197551851</v>
      </c>
      <c r="AK23" s="484"/>
      <c r="AL23" s="514">
        <f t="shared" si="14"/>
        <v>74762.844197551851</v>
      </c>
      <c r="AM23" s="526">
        <v>93453.55524693981</v>
      </c>
      <c r="AN23" s="485">
        <f t="shared" si="25"/>
        <v>93453.55524693981</v>
      </c>
      <c r="AO23" s="485"/>
      <c r="AP23" s="514">
        <f t="shared" si="16"/>
        <v>93453.55524693981</v>
      </c>
      <c r="AQ23" s="530">
        <f t="shared" si="17"/>
        <v>94945</v>
      </c>
    </row>
    <row r="24" spans="1:43" x14ac:dyDescent="0.55000000000000004">
      <c r="A24" s="316" t="s">
        <v>268</v>
      </c>
      <c r="B24" s="218" t="s">
        <v>269</v>
      </c>
      <c r="C24" s="218" t="s">
        <v>282</v>
      </c>
      <c r="D24" s="105" t="s">
        <v>283</v>
      </c>
      <c r="E24" s="100"/>
      <c r="F24" s="34"/>
      <c r="G24" s="34"/>
      <c r="H24" s="480">
        <v>53158.210520699089</v>
      </c>
      <c r="I24" s="480" t="s">
        <v>412</v>
      </c>
      <c r="J24" s="490">
        <v>3</v>
      </c>
      <c r="K24" s="504">
        <v>9342.5</v>
      </c>
      <c r="L24" s="482"/>
      <c r="M24" s="482">
        <f t="shared" si="1"/>
        <v>4671.25</v>
      </c>
      <c r="N24" s="509">
        <f t="shared" si="2"/>
        <v>4671.25</v>
      </c>
      <c r="O24" s="515">
        <v>18476.762707710903</v>
      </c>
      <c r="P24" s="483"/>
      <c r="Q24" s="483">
        <f t="shared" si="3"/>
        <v>9238.3813538554514</v>
      </c>
      <c r="R24" s="514">
        <f t="shared" si="4"/>
        <v>9238.3813538554514</v>
      </c>
      <c r="S24" s="515">
        <v>22173.945694892671</v>
      </c>
      <c r="T24" s="483"/>
      <c r="U24" s="483">
        <f t="shared" si="5"/>
        <v>11086.972847446335</v>
      </c>
      <c r="V24" s="514">
        <f t="shared" si="6"/>
        <v>11086.972847446335</v>
      </c>
      <c r="W24" s="515">
        <v>39836.572985494066</v>
      </c>
      <c r="X24" s="483"/>
      <c r="Y24" s="483">
        <f t="shared" si="7"/>
        <v>19918.286492747033</v>
      </c>
      <c r="Z24" s="514">
        <f t="shared" si="8"/>
        <v>19918.286492747033</v>
      </c>
      <c r="AA24" s="515">
        <v>37476.690262488526</v>
      </c>
      <c r="AB24" s="483"/>
      <c r="AC24" s="483">
        <f t="shared" si="9"/>
        <v>18738.345131244263</v>
      </c>
      <c r="AD24" s="514">
        <f t="shared" si="10"/>
        <v>18738.345131244263</v>
      </c>
      <c r="AE24" s="515">
        <v>37211</v>
      </c>
      <c r="AF24" s="483"/>
      <c r="AG24" s="483">
        <f t="shared" si="11"/>
        <v>18605.5</v>
      </c>
      <c r="AH24" s="514">
        <f t="shared" si="12"/>
        <v>18605.5</v>
      </c>
      <c r="AI24" s="520">
        <v>47024.570845233815</v>
      </c>
      <c r="AJ24" s="484"/>
      <c r="AK24" s="484">
        <f t="shared" si="13"/>
        <v>23512.285422616907</v>
      </c>
      <c r="AL24" s="514">
        <f t="shared" si="14"/>
        <v>23512.285422616907</v>
      </c>
      <c r="AM24" s="526">
        <v>36423.218319738276</v>
      </c>
      <c r="AN24" s="485"/>
      <c r="AO24" s="485">
        <f t="shared" si="15"/>
        <v>18211.609159869138</v>
      </c>
      <c r="AP24" s="514">
        <f t="shared" si="16"/>
        <v>18211.609159869138</v>
      </c>
      <c r="AQ24" s="530">
        <f t="shared" si="17"/>
        <v>23512.285422616907</v>
      </c>
    </row>
    <row r="25" spans="1:43" x14ac:dyDescent="0.55000000000000004">
      <c r="A25" s="316" t="s">
        <v>268</v>
      </c>
      <c r="B25" s="218" t="s">
        <v>269</v>
      </c>
      <c r="C25" s="218" t="s">
        <v>284</v>
      </c>
      <c r="D25" s="105" t="s">
        <v>285</v>
      </c>
      <c r="E25" s="100"/>
      <c r="F25" s="34"/>
      <c r="G25" s="34"/>
      <c r="H25" s="480">
        <v>46710.303757716349</v>
      </c>
      <c r="I25" s="480" t="s">
        <v>412</v>
      </c>
      <c r="J25" s="490">
        <v>4</v>
      </c>
      <c r="K25" s="504">
        <v>3985</v>
      </c>
      <c r="L25" s="482">
        <f t="shared" si="18"/>
        <v>3985</v>
      </c>
      <c r="M25" s="482"/>
      <c r="N25" s="509">
        <f t="shared" si="2"/>
        <v>3985</v>
      </c>
      <c r="O25" s="515">
        <v>13385.024382988649</v>
      </c>
      <c r="P25" s="483">
        <f t="shared" si="19"/>
        <v>13385.024382988649</v>
      </c>
      <c r="Q25" s="483"/>
      <c r="R25" s="514">
        <f t="shared" si="4"/>
        <v>13385.024382988649</v>
      </c>
      <c r="S25" s="515">
        <v>21719.780450793813</v>
      </c>
      <c r="T25" s="483">
        <f t="shared" si="20"/>
        <v>21719.780450793813</v>
      </c>
      <c r="U25" s="483"/>
      <c r="V25" s="514">
        <f t="shared" si="6"/>
        <v>21719.780450793813</v>
      </c>
      <c r="W25" s="515">
        <v>37316.911865707822</v>
      </c>
      <c r="X25" s="483">
        <f t="shared" si="21"/>
        <v>37316.911865707822</v>
      </c>
      <c r="Y25" s="483"/>
      <c r="Z25" s="514">
        <f t="shared" si="8"/>
        <v>0</v>
      </c>
      <c r="AA25" s="515">
        <v>28450.937364045618</v>
      </c>
      <c r="AB25" s="483">
        <f t="shared" si="22"/>
        <v>28450.937364045618</v>
      </c>
      <c r="AC25" s="483"/>
      <c r="AD25" s="514">
        <f t="shared" si="10"/>
        <v>28450.937364045618</v>
      </c>
      <c r="AE25" s="515">
        <v>32535</v>
      </c>
      <c r="AF25" s="483">
        <f t="shared" si="23"/>
        <v>32535</v>
      </c>
      <c r="AG25" s="483"/>
      <c r="AH25" s="514">
        <f t="shared" si="12"/>
        <v>32535</v>
      </c>
      <c r="AI25" s="520">
        <v>32697.212630401442</v>
      </c>
      <c r="AJ25" s="484">
        <f t="shared" si="24"/>
        <v>32697.212630401442</v>
      </c>
      <c r="AK25" s="484"/>
      <c r="AL25" s="514">
        <f t="shared" si="14"/>
        <v>32697.212630401442</v>
      </c>
      <c r="AM25" s="526">
        <v>38060.2475062874</v>
      </c>
      <c r="AN25" s="485">
        <f t="shared" si="25"/>
        <v>38060.2475062874</v>
      </c>
      <c r="AO25" s="485"/>
      <c r="AP25" s="514">
        <f t="shared" si="16"/>
        <v>38060.2475062874</v>
      </c>
      <c r="AQ25" s="530">
        <f t="shared" si="17"/>
        <v>38060.2475062874</v>
      </c>
    </row>
    <row r="26" spans="1:43" x14ac:dyDescent="0.55000000000000004">
      <c r="A26" s="316" t="s">
        <v>268</v>
      </c>
      <c r="B26" s="218" t="s">
        <v>269</v>
      </c>
      <c r="C26" s="218" t="s">
        <v>286</v>
      </c>
      <c r="D26" s="105" t="s">
        <v>287</v>
      </c>
      <c r="E26" s="100"/>
      <c r="F26" s="34"/>
      <c r="G26" s="34"/>
      <c r="H26" s="480">
        <v>15457.341069804937</v>
      </c>
      <c r="I26" s="480" t="s">
        <v>412</v>
      </c>
      <c r="J26" s="490">
        <v>3</v>
      </c>
      <c r="K26" s="504">
        <v>0</v>
      </c>
      <c r="L26" s="482"/>
      <c r="M26" s="482">
        <f t="shared" si="1"/>
        <v>0</v>
      </c>
      <c r="N26" s="509">
        <f t="shared" si="2"/>
        <v>0</v>
      </c>
      <c r="O26" s="515">
        <v>1984.9080814557915</v>
      </c>
      <c r="P26" s="483"/>
      <c r="Q26" s="483">
        <f t="shared" si="3"/>
        <v>992.45404072789574</v>
      </c>
      <c r="R26" s="514">
        <f t="shared" si="4"/>
        <v>992.45404072789574</v>
      </c>
      <c r="S26" s="515">
        <v>5322.885706808629</v>
      </c>
      <c r="T26" s="483"/>
      <c r="U26" s="483">
        <f t="shared" si="5"/>
        <v>2661.4428534043145</v>
      </c>
      <c r="V26" s="514">
        <f t="shared" si="6"/>
        <v>2661.4428534043145</v>
      </c>
      <c r="W26" s="515">
        <v>10432.941512055986</v>
      </c>
      <c r="X26" s="483"/>
      <c r="Y26" s="483">
        <f t="shared" si="7"/>
        <v>5216.470756027993</v>
      </c>
      <c r="Z26" s="514">
        <f t="shared" si="8"/>
        <v>5216.470756027993</v>
      </c>
      <c r="AA26" s="515">
        <v>9774.8209809490527</v>
      </c>
      <c r="AB26" s="483"/>
      <c r="AC26" s="483">
        <f t="shared" si="9"/>
        <v>4887.4104904745263</v>
      </c>
      <c r="AD26" s="514">
        <f t="shared" si="10"/>
        <v>4887.4104904745263</v>
      </c>
      <c r="AE26" s="515">
        <v>10820</v>
      </c>
      <c r="AF26" s="483"/>
      <c r="AG26" s="483">
        <f t="shared" si="11"/>
        <v>5410</v>
      </c>
      <c r="AH26" s="514">
        <f t="shared" si="12"/>
        <v>5410</v>
      </c>
      <c r="AI26" s="520">
        <v>14426.851665151275</v>
      </c>
      <c r="AJ26" s="484"/>
      <c r="AK26" s="484">
        <f t="shared" si="13"/>
        <v>7213.4258325756373</v>
      </c>
      <c r="AL26" s="514">
        <f t="shared" si="14"/>
        <v>7213.4258325756373</v>
      </c>
      <c r="AM26" s="526">
        <v>567.24187412128219</v>
      </c>
      <c r="AN26" s="485"/>
      <c r="AO26" s="485">
        <f t="shared" si="15"/>
        <v>283.6209370606411</v>
      </c>
      <c r="AP26" s="514">
        <f t="shared" si="16"/>
        <v>283.6209370606411</v>
      </c>
      <c r="AQ26" s="530">
        <f t="shared" si="17"/>
        <v>7213.4258325756373</v>
      </c>
    </row>
    <row r="27" spans="1:43" x14ac:dyDescent="0.55000000000000004">
      <c r="A27" s="316" t="s">
        <v>268</v>
      </c>
      <c r="B27" s="218" t="s">
        <v>269</v>
      </c>
      <c r="C27" s="218" t="s">
        <v>288</v>
      </c>
      <c r="D27" s="105" t="s">
        <v>289</v>
      </c>
      <c r="E27" s="100"/>
      <c r="F27" s="34"/>
      <c r="G27" s="34"/>
      <c r="H27" s="480">
        <v>25870.030094616061</v>
      </c>
      <c r="I27" s="480" t="s">
        <v>412</v>
      </c>
      <c r="J27" s="490">
        <v>4</v>
      </c>
      <c r="K27" s="504">
        <v>0</v>
      </c>
      <c r="L27" s="482">
        <f t="shared" si="18"/>
        <v>0</v>
      </c>
      <c r="M27" s="482"/>
      <c r="N27" s="509">
        <f t="shared" si="2"/>
        <v>0</v>
      </c>
      <c r="O27" s="515">
        <v>7810.8088363169554</v>
      </c>
      <c r="P27" s="483">
        <f t="shared" si="19"/>
        <v>7810.8088363169554</v>
      </c>
      <c r="Q27" s="483"/>
      <c r="R27" s="514">
        <f t="shared" si="4"/>
        <v>7810.8088363169554</v>
      </c>
      <c r="S27" s="515">
        <v>9979.4566480560989</v>
      </c>
      <c r="T27" s="483">
        <f t="shared" si="20"/>
        <v>9979.4566480560989</v>
      </c>
      <c r="U27" s="483"/>
      <c r="V27" s="514">
        <f t="shared" si="6"/>
        <v>9979.4566480560989</v>
      </c>
      <c r="W27" s="515">
        <v>18946.094558254914</v>
      </c>
      <c r="X27" s="483">
        <f t="shared" si="21"/>
        <v>18946.094558254914</v>
      </c>
      <c r="Y27" s="483"/>
      <c r="Z27" s="514">
        <f t="shared" si="8"/>
        <v>0</v>
      </c>
      <c r="AA27" s="515">
        <v>14421.909777090057</v>
      </c>
      <c r="AB27" s="483">
        <f t="shared" si="22"/>
        <v>14421.909777090057</v>
      </c>
      <c r="AC27" s="483"/>
      <c r="AD27" s="514">
        <f t="shared" si="10"/>
        <v>14421.909777090057</v>
      </c>
      <c r="AE27" s="515">
        <v>20696</v>
      </c>
      <c r="AF27" s="483">
        <f t="shared" si="23"/>
        <v>20696</v>
      </c>
      <c r="AG27" s="483"/>
      <c r="AH27" s="514">
        <f t="shared" si="12"/>
        <v>20696</v>
      </c>
      <c r="AI27" s="520">
        <v>25870.030094616064</v>
      </c>
      <c r="AJ27" s="484">
        <f t="shared" si="24"/>
        <v>25870.030094616064</v>
      </c>
      <c r="AK27" s="484"/>
      <c r="AL27" s="514">
        <f t="shared" si="14"/>
        <v>25870.030094616064</v>
      </c>
      <c r="AM27" s="526">
        <v>17246.68672974404</v>
      </c>
      <c r="AN27" s="485">
        <f t="shared" si="25"/>
        <v>17246.68672974404</v>
      </c>
      <c r="AO27" s="485"/>
      <c r="AP27" s="514">
        <f t="shared" si="16"/>
        <v>17246.68672974404</v>
      </c>
      <c r="AQ27" s="530">
        <f t="shared" si="17"/>
        <v>25870.030094616064</v>
      </c>
    </row>
    <row r="28" spans="1:43" x14ac:dyDescent="0.55000000000000004">
      <c r="A28" s="316" t="s">
        <v>268</v>
      </c>
      <c r="B28" s="218" t="s">
        <v>269</v>
      </c>
      <c r="C28" s="218" t="s">
        <v>290</v>
      </c>
      <c r="D28" s="105" t="s">
        <v>291</v>
      </c>
      <c r="E28" s="100"/>
      <c r="F28" s="34"/>
      <c r="G28" s="34"/>
      <c r="H28" s="480">
        <v>23976.103995536083</v>
      </c>
      <c r="I28" s="480" t="s">
        <v>412</v>
      </c>
      <c r="J28" s="490">
        <v>4</v>
      </c>
      <c r="K28" s="504">
        <v>3750</v>
      </c>
      <c r="L28" s="482">
        <f t="shared" si="18"/>
        <v>3750</v>
      </c>
      <c r="M28" s="482"/>
      <c r="N28" s="509">
        <f t="shared" si="2"/>
        <v>3750</v>
      </c>
      <c r="O28" s="515">
        <v>5890.5930862472778</v>
      </c>
      <c r="P28" s="483">
        <f t="shared" si="19"/>
        <v>5890.5930862472778</v>
      </c>
      <c r="Q28" s="483"/>
      <c r="R28" s="514">
        <f t="shared" si="4"/>
        <v>5890.5930862472778</v>
      </c>
      <c r="S28" s="515">
        <v>12235.778897909482</v>
      </c>
      <c r="T28" s="483">
        <f t="shared" si="20"/>
        <v>12235.778897909482</v>
      </c>
      <c r="U28" s="483"/>
      <c r="V28" s="514">
        <f t="shared" si="6"/>
        <v>12235.778897909482</v>
      </c>
      <c r="W28" s="515">
        <v>19540.244000728337</v>
      </c>
      <c r="X28" s="483">
        <f t="shared" si="21"/>
        <v>19540.244000728337</v>
      </c>
      <c r="Y28" s="483"/>
      <c r="Z28" s="514">
        <f t="shared" si="8"/>
        <v>0</v>
      </c>
      <c r="AA28" s="515">
        <v>11494.910930784306</v>
      </c>
      <c r="AB28" s="483">
        <f t="shared" si="22"/>
        <v>11494.910930784306</v>
      </c>
      <c r="AC28" s="483"/>
      <c r="AD28" s="514">
        <f t="shared" si="10"/>
        <v>11494.910930784306</v>
      </c>
      <c r="AE28" s="515">
        <v>16783</v>
      </c>
      <c r="AF28" s="483">
        <f t="shared" si="23"/>
        <v>16783</v>
      </c>
      <c r="AG28" s="483"/>
      <c r="AH28" s="514">
        <f t="shared" si="12"/>
        <v>16783</v>
      </c>
      <c r="AI28" s="520">
        <v>23976.103995536083</v>
      </c>
      <c r="AJ28" s="484">
        <f t="shared" si="24"/>
        <v>23976.103995536083</v>
      </c>
      <c r="AK28" s="484"/>
      <c r="AL28" s="514">
        <f t="shared" si="14"/>
        <v>23976.103995536083</v>
      </c>
      <c r="AM28" s="526">
        <v>19980.086662946735</v>
      </c>
      <c r="AN28" s="485">
        <f t="shared" si="25"/>
        <v>19980.086662946735</v>
      </c>
      <c r="AO28" s="485"/>
      <c r="AP28" s="514">
        <f t="shared" si="16"/>
        <v>19980.086662946735</v>
      </c>
      <c r="AQ28" s="530">
        <f t="shared" si="17"/>
        <v>23976.103995536083</v>
      </c>
    </row>
    <row r="29" spans="1:43" x14ac:dyDescent="0.55000000000000004">
      <c r="A29" s="316" t="s">
        <v>292</v>
      </c>
      <c r="B29" s="218" t="s">
        <v>293</v>
      </c>
      <c r="C29" s="218" t="s">
        <v>294</v>
      </c>
      <c r="D29" s="105" t="s">
        <v>295</v>
      </c>
      <c r="E29" s="100"/>
      <c r="F29" s="34"/>
      <c r="G29" s="34"/>
      <c r="H29" s="480">
        <v>48668.970941608946</v>
      </c>
      <c r="I29" s="480" t="s">
        <v>412</v>
      </c>
      <c r="J29" s="490">
        <v>3</v>
      </c>
      <c r="K29" s="504">
        <v>27592.5</v>
      </c>
      <c r="L29" s="482"/>
      <c r="M29" s="482">
        <f t="shared" si="1"/>
        <v>13796.25</v>
      </c>
      <c r="N29" s="509">
        <f t="shared" si="2"/>
        <v>13796.25</v>
      </c>
      <c r="O29" s="515">
        <v>18644.644746991911</v>
      </c>
      <c r="P29" s="483"/>
      <c r="Q29" s="483">
        <f t="shared" si="3"/>
        <v>9322.3223734959556</v>
      </c>
      <c r="R29" s="514">
        <f t="shared" si="4"/>
        <v>9322.3223734959556</v>
      </c>
      <c r="S29" s="515">
        <v>16670.82020771665</v>
      </c>
      <c r="T29" s="483"/>
      <c r="U29" s="483">
        <f t="shared" si="5"/>
        <v>8335.4101038583249</v>
      </c>
      <c r="V29" s="514">
        <f t="shared" si="6"/>
        <v>8335.4101038583249</v>
      </c>
      <c r="W29" s="515">
        <v>31631.790952911062</v>
      </c>
      <c r="X29" s="483"/>
      <c r="Y29" s="483">
        <f t="shared" si="7"/>
        <v>15815.895476455531</v>
      </c>
      <c r="Z29" s="514">
        <f t="shared" si="8"/>
        <v>15815.895476455531</v>
      </c>
      <c r="AA29" s="515">
        <v>23801.97264963109</v>
      </c>
      <c r="AB29" s="483"/>
      <c r="AC29" s="483">
        <f t="shared" si="9"/>
        <v>11900.986324815545</v>
      </c>
      <c r="AD29" s="514">
        <f t="shared" si="10"/>
        <v>11900.986324815545</v>
      </c>
      <c r="AE29" s="515">
        <v>9694</v>
      </c>
      <c r="AF29" s="483"/>
      <c r="AG29" s="483">
        <f t="shared" si="11"/>
        <v>4847</v>
      </c>
      <c r="AH29" s="514">
        <f t="shared" si="12"/>
        <v>4847</v>
      </c>
      <c r="AI29" s="520">
        <v>39461.327790493742</v>
      </c>
      <c r="AJ29" s="484"/>
      <c r="AK29" s="484">
        <f t="shared" si="13"/>
        <v>19730.663895246871</v>
      </c>
      <c r="AL29" s="514">
        <f t="shared" si="14"/>
        <v>19730.663895246871</v>
      </c>
      <c r="AM29" s="526">
        <v>36501.72820620671</v>
      </c>
      <c r="AN29" s="485"/>
      <c r="AO29" s="485">
        <f t="shared" si="15"/>
        <v>18250.864103103355</v>
      </c>
      <c r="AP29" s="514">
        <f t="shared" si="16"/>
        <v>18250.864103103355</v>
      </c>
      <c r="AQ29" s="530">
        <f t="shared" si="17"/>
        <v>19730.663895246871</v>
      </c>
    </row>
    <row r="30" spans="1:43" x14ac:dyDescent="0.55000000000000004">
      <c r="A30" s="316" t="s">
        <v>292</v>
      </c>
      <c r="B30" s="218" t="s">
        <v>293</v>
      </c>
      <c r="C30" s="218" t="s">
        <v>296</v>
      </c>
      <c r="D30" s="105" t="s">
        <v>297</v>
      </c>
      <c r="E30" s="100"/>
      <c r="F30" s="34"/>
      <c r="G30" s="34"/>
      <c r="H30" s="480">
        <v>5443.7472474147844</v>
      </c>
      <c r="I30" s="480" t="s">
        <v>412</v>
      </c>
      <c r="J30" s="490">
        <v>3</v>
      </c>
      <c r="K30" s="504">
        <v>0</v>
      </c>
      <c r="L30" s="482"/>
      <c r="M30" s="482">
        <f t="shared" si="1"/>
        <v>0</v>
      </c>
      <c r="N30" s="509">
        <f t="shared" si="2"/>
        <v>0</v>
      </c>
      <c r="O30" s="515">
        <v>1524.9950226490353</v>
      </c>
      <c r="P30" s="483"/>
      <c r="Q30" s="483">
        <f t="shared" si="3"/>
        <v>762.49751132451763</v>
      </c>
      <c r="R30" s="514">
        <f t="shared" si="4"/>
        <v>762.49751132451763</v>
      </c>
      <c r="S30" s="515">
        <v>1761.9655989273585</v>
      </c>
      <c r="T30" s="483"/>
      <c r="U30" s="483">
        <f t="shared" si="5"/>
        <v>880.98279946367927</v>
      </c>
      <c r="V30" s="514">
        <f t="shared" si="6"/>
        <v>880.98279946367927</v>
      </c>
      <c r="W30" s="515">
        <v>2820.6659228924295</v>
      </c>
      <c r="X30" s="483"/>
      <c r="Y30" s="483">
        <f t="shared" si="7"/>
        <v>1410.3329614462148</v>
      </c>
      <c r="Z30" s="514">
        <f t="shared" si="8"/>
        <v>1410.3329614462148</v>
      </c>
      <c r="AA30" s="515">
        <v>2281.8772120135632</v>
      </c>
      <c r="AB30" s="483"/>
      <c r="AC30" s="483">
        <f t="shared" si="9"/>
        <v>1140.9386060067816</v>
      </c>
      <c r="AD30" s="514">
        <f t="shared" si="10"/>
        <v>1140.9386060067816</v>
      </c>
      <c r="AE30" s="515">
        <v>1089</v>
      </c>
      <c r="AF30" s="483"/>
      <c r="AG30" s="483">
        <f t="shared" si="11"/>
        <v>544.5</v>
      </c>
      <c r="AH30" s="514">
        <f t="shared" si="12"/>
        <v>544.5</v>
      </c>
      <c r="AI30" s="520">
        <v>2721.8736237073922</v>
      </c>
      <c r="AJ30" s="484"/>
      <c r="AK30" s="484">
        <f t="shared" si="13"/>
        <v>1360.9368118536961</v>
      </c>
      <c r="AL30" s="514">
        <f t="shared" si="14"/>
        <v>1360.9368118536961</v>
      </c>
      <c r="AM30" s="526">
        <v>3578.7597645041642</v>
      </c>
      <c r="AN30" s="485"/>
      <c r="AO30" s="485">
        <f t="shared" si="15"/>
        <v>1789.3798822520821</v>
      </c>
      <c r="AP30" s="514">
        <f t="shared" si="16"/>
        <v>1789.3798822520821</v>
      </c>
      <c r="AQ30" s="530">
        <f t="shared" si="17"/>
        <v>1789.3798822520821</v>
      </c>
    </row>
    <row r="31" spans="1:43" x14ac:dyDescent="0.55000000000000004">
      <c r="A31" s="316" t="s">
        <v>292</v>
      </c>
      <c r="B31" s="218" t="s">
        <v>293</v>
      </c>
      <c r="C31" s="218" t="s">
        <v>298</v>
      </c>
      <c r="D31" s="105" t="s">
        <v>299</v>
      </c>
      <c r="E31" s="100"/>
      <c r="F31" s="34"/>
      <c r="G31" s="34"/>
      <c r="H31" s="480">
        <v>2921.2783873957369</v>
      </c>
      <c r="I31" s="480" t="s">
        <v>412</v>
      </c>
      <c r="J31" s="490">
        <v>3</v>
      </c>
      <c r="K31" s="504">
        <v>0</v>
      </c>
      <c r="L31" s="482"/>
      <c r="M31" s="482">
        <f t="shared" si="1"/>
        <v>0</v>
      </c>
      <c r="N31" s="509">
        <f t="shared" si="2"/>
        <v>0</v>
      </c>
      <c r="O31" s="515">
        <v>770.42874910787771</v>
      </c>
      <c r="P31" s="483"/>
      <c r="Q31" s="483">
        <f t="shared" si="3"/>
        <v>385.21437455393885</v>
      </c>
      <c r="R31" s="514">
        <f t="shared" si="4"/>
        <v>385.21437455393885</v>
      </c>
      <c r="S31" s="515">
        <v>936.82857757413524</v>
      </c>
      <c r="T31" s="483"/>
      <c r="U31" s="483">
        <f t="shared" si="5"/>
        <v>468.41428878706762</v>
      </c>
      <c r="V31" s="514">
        <f t="shared" si="6"/>
        <v>468.41428878706762</v>
      </c>
      <c r="W31" s="515">
        <v>2086.7142353334721</v>
      </c>
      <c r="X31" s="483"/>
      <c r="Y31" s="483">
        <f t="shared" si="7"/>
        <v>1043.357117666736</v>
      </c>
      <c r="Z31" s="514">
        <f t="shared" si="8"/>
        <v>1043.357117666736</v>
      </c>
      <c r="AA31" s="515">
        <v>1464.6374692423374</v>
      </c>
      <c r="AB31" s="483"/>
      <c r="AC31" s="483">
        <f t="shared" si="9"/>
        <v>732.31873462116869</v>
      </c>
      <c r="AD31" s="514">
        <f t="shared" si="10"/>
        <v>732.31873462116869</v>
      </c>
      <c r="AE31" s="515">
        <v>584</v>
      </c>
      <c r="AF31" s="483"/>
      <c r="AG31" s="483">
        <f t="shared" si="11"/>
        <v>292</v>
      </c>
      <c r="AH31" s="514">
        <f t="shared" si="12"/>
        <v>292</v>
      </c>
      <c r="AI31" s="520">
        <v>0</v>
      </c>
      <c r="AJ31" s="484"/>
      <c r="AK31" s="484">
        <f t="shared" si="13"/>
        <v>0</v>
      </c>
      <c r="AL31" s="514">
        <f t="shared" si="14"/>
        <v>0</v>
      </c>
      <c r="AM31" s="526">
        <v>1420.4381149722392</v>
      </c>
      <c r="AN31" s="485"/>
      <c r="AO31" s="485">
        <f t="shared" si="15"/>
        <v>710.2190574861196</v>
      </c>
      <c r="AP31" s="514">
        <f t="shared" si="16"/>
        <v>710.2190574861196</v>
      </c>
      <c r="AQ31" s="530">
        <f t="shared" si="17"/>
        <v>1043.357117666736</v>
      </c>
    </row>
    <row r="32" spans="1:43" x14ac:dyDescent="0.55000000000000004">
      <c r="A32" s="316" t="s">
        <v>292</v>
      </c>
      <c r="B32" s="218" t="s">
        <v>293</v>
      </c>
      <c r="C32" s="218" t="s">
        <v>300</v>
      </c>
      <c r="D32" s="105" t="s">
        <v>301</v>
      </c>
      <c r="E32" s="100"/>
      <c r="F32" s="34"/>
      <c r="G32" s="34"/>
      <c r="H32" s="480">
        <v>6808.1234044964567</v>
      </c>
      <c r="I32" s="480" t="s">
        <v>412</v>
      </c>
      <c r="J32" s="490">
        <v>3</v>
      </c>
      <c r="K32" s="504">
        <v>1961.25</v>
      </c>
      <c r="L32" s="482"/>
      <c r="M32" s="482">
        <f t="shared" si="1"/>
        <v>980.625</v>
      </c>
      <c r="N32" s="509">
        <f t="shared" si="2"/>
        <v>980.625</v>
      </c>
      <c r="O32" s="515">
        <v>974.6032897238814</v>
      </c>
      <c r="P32" s="483"/>
      <c r="Q32" s="483">
        <f t="shared" si="3"/>
        <v>487.3016448619407</v>
      </c>
      <c r="R32" s="514">
        <f t="shared" si="4"/>
        <v>487.3016448619407</v>
      </c>
      <c r="S32" s="515">
        <v>2225.9042651408727</v>
      </c>
      <c r="T32" s="483"/>
      <c r="U32" s="483">
        <f t="shared" si="5"/>
        <v>1112.9521325704363</v>
      </c>
      <c r="V32" s="514">
        <f t="shared" si="6"/>
        <v>1112.9521325704363</v>
      </c>
      <c r="W32" s="515">
        <v>5229.8277387173584</v>
      </c>
      <c r="X32" s="483"/>
      <c r="Y32" s="483">
        <f t="shared" si="7"/>
        <v>2614.9138693586792</v>
      </c>
      <c r="Z32" s="514">
        <f t="shared" si="8"/>
        <v>2614.9138693586792</v>
      </c>
      <c r="AA32" s="515">
        <v>2473.1027379150541</v>
      </c>
      <c r="AB32" s="483"/>
      <c r="AC32" s="483">
        <f t="shared" si="9"/>
        <v>1236.5513689575271</v>
      </c>
      <c r="AD32" s="514">
        <f t="shared" si="10"/>
        <v>1236.5513689575271</v>
      </c>
      <c r="AE32" s="515">
        <v>1362</v>
      </c>
      <c r="AF32" s="483"/>
      <c r="AG32" s="483">
        <f t="shared" si="11"/>
        <v>681</v>
      </c>
      <c r="AH32" s="514">
        <f t="shared" si="12"/>
        <v>681</v>
      </c>
      <c r="AI32" s="520">
        <v>6808.1234044964567</v>
      </c>
      <c r="AJ32" s="484"/>
      <c r="AK32" s="484">
        <f t="shared" si="13"/>
        <v>3404.0617022482284</v>
      </c>
      <c r="AL32" s="514">
        <f t="shared" si="14"/>
        <v>3404.0617022482284</v>
      </c>
      <c r="AM32" s="526">
        <v>3656.2144209332823</v>
      </c>
      <c r="AN32" s="485"/>
      <c r="AO32" s="485">
        <f t="shared" si="15"/>
        <v>1828.1072104666412</v>
      </c>
      <c r="AP32" s="514">
        <f t="shared" si="16"/>
        <v>1828.1072104666412</v>
      </c>
      <c r="AQ32" s="530">
        <f t="shared" si="17"/>
        <v>3404.0617022482284</v>
      </c>
    </row>
    <row r="33" spans="1:43" x14ac:dyDescent="0.55000000000000004">
      <c r="A33" s="316" t="s">
        <v>292</v>
      </c>
      <c r="B33" s="218" t="s">
        <v>293</v>
      </c>
      <c r="C33" s="218" t="s">
        <v>302</v>
      </c>
      <c r="D33" s="105" t="s">
        <v>303</v>
      </c>
      <c r="E33" s="100"/>
      <c r="F33" s="34"/>
      <c r="G33" s="34"/>
      <c r="H33" s="480">
        <v>23157.383024277355</v>
      </c>
      <c r="I33" s="480" t="s">
        <v>412</v>
      </c>
      <c r="J33" s="490">
        <v>3</v>
      </c>
      <c r="K33" s="504">
        <v>0</v>
      </c>
      <c r="L33" s="482"/>
      <c r="M33" s="482">
        <f t="shared" si="1"/>
        <v>0</v>
      </c>
      <c r="N33" s="509">
        <f t="shared" si="2"/>
        <v>0</v>
      </c>
      <c r="O33" s="515">
        <v>6297.210323174766</v>
      </c>
      <c r="P33" s="483"/>
      <c r="Q33" s="483">
        <f t="shared" si="3"/>
        <v>3148.605161587383</v>
      </c>
      <c r="R33" s="514">
        <f t="shared" si="4"/>
        <v>3148.605161587383</v>
      </c>
      <c r="S33" s="515">
        <v>7424.7877396599824</v>
      </c>
      <c r="T33" s="483"/>
      <c r="U33" s="483">
        <f t="shared" si="5"/>
        <v>3712.3938698299912</v>
      </c>
      <c r="V33" s="514">
        <f t="shared" si="6"/>
        <v>3712.3938698299912</v>
      </c>
      <c r="W33" s="515">
        <v>16423.63054500983</v>
      </c>
      <c r="X33" s="483"/>
      <c r="Y33" s="483">
        <f t="shared" si="7"/>
        <v>8211.8152725049149</v>
      </c>
      <c r="Z33" s="514">
        <f t="shared" si="8"/>
        <v>8211.8152725049149</v>
      </c>
      <c r="AA33" s="515">
        <v>12362.758698726082</v>
      </c>
      <c r="AB33" s="483"/>
      <c r="AC33" s="483">
        <f t="shared" si="9"/>
        <v>6181.379349363041</v>
      </c>
      <c r="AD33" s="514">
        <f t="shared" si="10"/>
        <v>6181.379349363041</v>
      </c>
      <c r="AE33" s="515">
        <v>4385</v>
      </c>
      <c r="AF33" s="483"/>
      <c r="AG33" s="483">
        <f t="shared" si="11"/>
        <v>2192.5</v>
      </c>
      <c r="AH33" s="514">
        <f t="shared" si="12"/>
        <v>2192.5</v>
      </c>
      <c r="AI33" s="520">
        <v>16898.630855553747</v>
      </c>
      <c r="AJ33" s="484"/>
      <c r="AK33" s="484">
        <f t="shared" si="13"/>
        <v>8449.3154277768735</v>
      </c>
      <c r="AL33" s="514">
        <f t="shared" si="14"/>
        <v>8449.3154277768735</v>
      </c>
      <c r="AM33" s="526">
        <v>4288.4042637550656</v>
      </c>
      <c r="AN33" s="485"/>
      <c r="AO33" s="485">
        <f t="shared" si="15"/>
        <v>2144.2021318775328</v>
      </c>
      <c r="AP33" s="514">
        <f t="shared" si="16"/>
        <v>2144.2021318775328</v>
      </c>
      <c r="AQ33" s="530">
        <f t="shared" si="17"/>
        <v>8449.3154277768735</v>
      </c>
    </row>
    <row r="34" spans="1:43" x14ac:dyDescent="0.55000000000000004">
      <c r="A34" s="316" t="s">
        <v>292</v>
      </c>
      <c r="B34" s="218" t="s">
        <v>293</v>
      </c>
      <c r="C34" s="218" t="s">
        <v>304</v>
      </c>
      <c r="D34" s="105" t="s">
        <v>305</v>
      </c>
      <c r="E34" s="100"/>
      <c r="F34" s="34"/>
      <c r="G34" s="34"/>
      <c r="H34" s="480">
        <v>9602.9953236523688</v>
      </c>
      <c r="I34" s="480" t="s">
        <v>412</v>
      </c>
      <c r="J34" s="490">
        <v>3</v>
      </c>
      <c r="K34" s="504">
        <v>0</v>
      </c>
      <c r="L34" s="482"/>
      <c r="M34" s="482">
        <f t="shared" si="1"/>
        <v>0</v>
      </c>
      <c r="N34" s="509">
        <f t="shared" si="2"/>
        <v>0</v>
      </c>
      <c r="O34" s="515">
        <v>1474.8568307925018</v>
      </c>
      <c r="P34" s="483"/>
      <c r="Q34" s="483">
        <f t="shared" si="3"/>
        <v>737.4284153962509</v>
      </c>
      <c r="R34" s="514">
        <f t="shared" si="4"/>
        <v>737.4284153962509</v>
      </c>
      <c r="S34" s="515">
        <v>3392.5638313927398</v>
      </c>
      <c r="T34" s="483"/>
      <c r="U34" s="483">
        <f t="shared" si="5"/>
        <v>1696.2819156963699</v>
      </c>
      <c r="V34" s="514">
        <f t="shared" si="6"/>
        <v>1696.2819156963699</v>
      </c>
      <c r="W34" s="515">
        <v>2414.8464910307239</v>
      </c>
      <c r="X34" s="483"/>
      <c r="Y34" s="483">
        <f t="shared" si="7"/>
        <v>1207.4232455153619</v>
      </c>
      <c r="Z34" s="514">
        <f t="shared" si="8"/>
        <v>1207.4232455153619</v>
      </c>
      <c r="AA34" s="515">
        <v>4727.5994284799453</v>
      </c>
      <c r="AB34" s="483"/>
      <c r="AC34" s="483">
        <f t="shared" si="9"/>
        <v>2363.7997142399727</v>
      </c>
      <c r="AD34" s="514">
        <f t="shared" si="10"/>
        <v>2363.7997142399727</v>
      </c>
      <c r="AE34" s="515">
        <v>1921</v>
      </c>
      <c r="AF34" s="483"/>
      <c r="AG34" s="483">
        <f t="shared" si="11"/>
        <v>960.5</v>
      </c>
      <c r="AH34" s="514">
        <f t="shared" si="12"/>
        <v>960.5</v>
      </c>
      <c r="AI34" s="520">
        <v>8322.595947165386</v>
      </c>
      <c r="AJ34" s="484"/>
      <c r="AK34" s="484">
        <f t="shared" si="13"/>
        <v>4161.297973582693</v>
      </c>
      <c r="AL34" s="514">
        <f t="shared" si="14"/>
        <v>4161.297973582693</v>
      </c>
      <c r="AM34" s="526">
        <v>5334.9974020290929</v>
      </c>
      <c r="AN34" s="485"/>
      <c r="AO34" s="485">
        <f t="shared" si="15"/>
        <v>2667.4987010145464</v>
      </c>
      <c r="AP34" s="514">
        <f t="shared" si="16"/>
        <v>2667.4987010145464</v>
      </c>
      <c r="AQ34" s="530">
        <f t="shared" si="17"/>
        <v>4161.297973582693</v>
      </c>
    </row>
    <row r="35" spans="1:43" x14ac:dyDescent="0.55000000000000004">
      <c r="A35" s="316" t="s">
        <v>292</v>
      </c>
      <c r="B35" s="218" t="s">
        <v>293</v>
      </c>
      <c r="C35" s="218" t="s">
        <v>306</v>
      </c>
      <c r="D35" s="105" t="s">
        <v>307</v>
      </c>
      <c r="E35" s="100"/>
      <c r="F35" s="34"/>
      <c r="G35" s="34"/>
      <c r="H35" s="480">
        <v>23378.692739825943</v>
      </c>
      <c r="I35" s="480" t="s">
        <v>412</v>
      </c>
      <c r="J35" s="490">
        <v>3</v>
      </c>
      <c r="K35" s="504">
        <v>0</v>
      </c>
      <c r="L35" s="482"/>
      <c r="M35" s="482">
        <f t="shared" si="1"/>
        <v>0</v>
      </c>
      <c r="N35" s="509">
        <f t="shared" si="2"/>
        <v>0</v>
      </c>
      <c r="O35" s="515">
        <v>3896.0591450919933</v>
      </c>
      <c r="P35" s="483"/>
      <c r="Q35" s="483">
        <f t="shared" si="3"/>
        <v>1948.0295725459966</v>
      </c>
      <c r="R35" s="514">
        <f t="shared" si="4"/>
        <v>1948.0295725459966</v>
      </c>
      <c r="S35" s="515">
        <v>7543.5561506952527</v>
      </c>
      <c r="T35" s="483"/>
      <c r="U35" s="483">
        <f t="shared" si="5"/>
        <v>3771.7780753476263</v>
      </c>
      <c r="V35" s="514">
        <f t="shared" si="6"/>
        <v>3771.7780753476263</v>
      </c>
      <c r="W35" s="515">
        <v>17522.912022449935</v>
      </c>
      <c r="X35" s="483"/>
      <c r="Y35" s="483">
        <f t="shared" si="7"/>
        <v>8761.4560112249674</v>
      </c>
      <c r="Z35" s="514">
        <f t="shared" si="8"/>
        <v>8761.4560112249674</v>
      </c>
      <c r="AA35" s="515">
        <v>9003.6718509253769</v>
      </c>
      <c r="AB35" s="483"/>
      <c r="AC35" s="483">
        <f t="shared" si="9"/>
        <v>4501.8359254626885</v>
      </c>
      <c r="AD35" s="514">
        <f t="shared" si="10"/>
        <v>4501.8359254626885</v>
      </c>
      <c r="AE35" s="515">
        <v>15391</v>
      </c>
      <c r="AF35" s="483"/>
      <c r="AG35" s="483">
        <f t="shared" si="11"/>
        <v>7695.5</v>
      </c>
      <c r="AH35" s="514">
        <f t="shared" si="12"/>
        <v>7695.5</v>
      </c>
      <c r="AI35" s="520">
        <v>21917.524443586823</v>
      </c>
      <c r="AJ35" s="484"/>
      <c r="AK35" s="484">
        <f t="shared" si="13"/>
        <v>10958.762221793411</v>
      </c>
      <c r="AL35" s="514">
        <f t="shared" si="14"/>
        <v>10958.762221793411</v>
      </c>
      <c r="AM35" s="526">
        <v>15585.795159883963</v>
      </c>
      <c r="AN35" s="485"/>
      <c r="AO35" s="485">
        <f t="shared" si="15"/>
        <v>7792.8975799419813</v>
      </c>
      <c r="AP35" s="514">
        <f t="shared" si="16"/>
        <v>7792.8975799419813</v>
      </c>
      <c r="AQ35" s="530">
        <f t="shared" si="17"/>
        <v>10958.762221793411</v>
      </c>
    </row>
    <row r="36" spans="1:43" x14ac:dyDescent="0.55000000000000004">
      <c r="A36" s="316" t="s">
        <v>292</v>
      </c>
      <c r="B36" s="218" t="s">
        <v>293</v>
      </c>
      <c r="C36" s="218" t="s">
        <v>308</v>
      </c>
      <c r="D36" s="105" t="s">
        <v>309</v>
      </c>
      <c r="E36" s="100"/>
      <c r="F36" s="34"/>
      <c r="G36" s="34"/>
      <c r="H36" s="480">
        <v>11657.898587687116</v>
      </c>
      <c r="I36" s="480" t="s">
        <v>412</v>
      </c>
      <c r="J36" s="490">
        <v>3</v>
      </c>
      <c r="K36" s="504">
        <v>0</v>
      </c>
      <c r="L36" s="482"/>
      <c r="M36" s="482">
        <f t="shared" si="1"/>
        <v>0</v>
      </c>
      <c r="N36" s="509">
        <f t="shared" si="2"/>
        <v>0</v>
      </c>
      <c r="O36" s="515">
        <v>2415.563218963121</v>
      </c>
      <c r="P36" s="483"/>
      <c r="Q36" s="483">
        <f t="shared" si="3"/>
        <v>1207.7816094815605</v>
      </c>
      <c r="R36" s="514">
        <f t="shared" si="4"/>
        <v>1207.7816094815605</v>
      </c>
      <c r="S36" s="515">
        <v>3755.1502060352823</v>
      </c>
      <c r="T36" s="483"/>
      <c r="U36" s="483">
        <f t="shared" si="5"/>
        <v>1877.5751030176411</v>
      </c>
      <c r="V36" s="514">
        <f t="shared" si="6"/>
        <v>1877.5751030176411</v>
      </c>
      <c r="W36" s="515">
        <v>7422.1695295511654</v>
      </c>
      <c r="X36" s="483"/>
      <c r="Y36" s="483">
        <f t="shared" si="7"/>
        <v>3711.0847647755827</v>
      </c>
      <c r="Z36" s="514">
        <f t="shared" si="8"/>
        <v>3711.0847647755827</v>
      </c>
      <c r="AA36" s="515">
        <v>4653.255551786312</v>
      </c>
      <c r="AB36" s="483"/>
      <c r="AC36" s="483">
        <f t="shared" si="9"/>
        <v>2326.627775893156</v>
      </c>
      <c r="AD36" s="514">
        <f t="shared" si="10"/>
        <v>2326.627775893156</v>
      </c>
      <c r="AE36" s="515">
        <v>2079</v>
      </c>
      <c r="AF36" s="483"/>
      <c r="AG36" s="483">
        <f t="shared" si="11"/>
        <v>1039.5</v>
      </c>
      <c r="AH36" s="514">
        <f t="shared" si="12"/>
        <v>1039.5</v>
      </c>
      <c r="AI36" s="520">
        <v>10362.576522388546</v>
      </c>
      <c r="AJ36" s="484"/>
      <c r="AK36" s="484">
        <f t="shared" si="13"/>
        <v>5181.2882611942732</v>
      </c>
      <c r="AL36" s="514">
        <f t="shared" si="14"/>
        <v>5181.2882611942732</v>
      </c>
      <c r="AM36" s="526">
        <v>7556.0453809083147</v>
      </c>
      <c r="AN36" s="485"/>
      <c r="AO36" s="485">
        <f t="shared" si="15"/>
        <v>3778.0226904541573</v>
      </c>
      <c r="AP36" s="514">
        <f t="shared" si="16"/>
        <v>3778.0226904541573</v>
      </c>
      <c r="AQ36" s="530">
        <f t="shared" si="17"/>
        <v>5181.2882611942732</v>
      </c>
    </row>
    <row r="37" spans="1:43" x14ac:dyDescent="0.55000000000000004">
      <c r="A37" s="316" t="s">
        <v>310</v>
      </c>
      <c r="B37" s="218" t="s">
        <v>311</v>
      </c>
      <c r="C37" s="218" t="s">
        <v>312</v>
      </c>
      <c r="D37" s="105" t="s">
        <v>313</v>
      </c>
      <c r="E37" s="100"/>
      <c r="F37" s="34"/>
      <c r="G37" s="34"/>
      <c r="H37" s="480">
        <v>8794.7895188948787</v>
      </c>
      <c r="I37" s="480" t="s">
        <v>412</v>
      </c>
      <c r="J37" s="490">
        <v>3</v>
      </c>
      <c r="K37" s="504">
        <v>0</v>
      </c>
      <c r="L37" s="482"/>
      <c r="M37" s="482">
        <f t="shared" si="1"/>
        <v>0</v>
      </c>
      <c r="N37" s="509">
        <f t="shared" si="2"/>
        <v>0</v>
      </c>
      <c r="O37" s="515">
        <v>1526.1228870978489</v>
      </c>
      <c r="P37" s="483"/>
      <c r="Q37" s="483">
        <f t="shared" si="3"/>
        <v>763.06144354892444</v>
      </c>
      <c r="R37" s="514">
        <f t="shared" si="4"/>
        <v>763.06144354892444</v>
      </c>
      <c r="S37" s="515">
        <v>6096.439632573115</v>
      </c>
      <c r="T37" s="483"/>
      <c r="U37" s="483">
        <f t="shared" si="5"/>
        <v>3048.2198162865575</v>
      </c>
      <c r="V37" s="514">
        <f t="shared" si="6"/>
        <v>3048.2198162865575</v>
      </c>
      <c r="W37" s="515">
        <v>5317.2943643502422</v>
      </c>
      <c r="X37" s="483"/>
      <c r="Y37" s="483">
        <f t="shared" si="7"/>
        <v>2658.6471821751211</v>
      </c>
      <c r="Z37" s="514">
        <f t="shared" si="8"/>
        <v>2658.6471821751211</v>
      </c>
      <c r="AA37" s="515">
        <v>7245.0982575978587</v>
      </c>
      <c r="AB37" s="483"/>
      <c r="AC37" s="483">
        <f t="shared" si="9"/>
        <v>3622.5491287989294</v>
      </c>
      <c r="AD37" s="514">
        <f t="shared" si="10"/>
        <v>3622.5491287989294</v>
      </c>
      <c r="AE37" s="515">
        <v>6157</v>
      </c>
      <c r="AF37" s="483"/>
      <c r="AG37" s="483">
        <f t="shared" si="11"/>
        <v>3078.5</v>
      </c>
      <c r="AH37" s="514">
        <f t="shared" si="12"/>
        <v>3078.5</v>
      </c>
      <c r="AI37" s="520">
        <v>6156.3526632264156</v>
      </c>
      <c r="AJ37" s="484"/>
      <c r="AK37" s="484">
        <f t="shared" si="13"/>
        <v>3078.1763316132078</v>
      </c>
      <c r="AL37" s="514">
        <f t="shared" si="14"/>
        <v>3078.1763316132078</v>
      </c>
      <c r="AM37" s="526">
        <v>5753.6006198377709</v>
      </c>
      <c r="AN37" s="485"/>
      <c r="AO37" s="485">
        <f t="shared" si="15"/>
        <v>2876.8003099188854</v>
      </c>
      <c r="AP37" s="514">
        <f t="shared" si="16"/>
        <v>2876.8003099188854</v>
      </c>
      <c r="AQ37" s="530">
        <f t="shared" si="17"/>
        <v>3622.5491287989294</v>
      </c>
    </row>
    <row r="38" spans="1:43" x14ac:dyDescent="0.55000000000000004">
      <c r="A38" s="316" t="s">
        <v>310</v>
      </c>
      <c r="B38" s="218" t="s">
        <v>311</v>
      </c>
      <c r="C38" s="218" t="s">
        <v>314</v>
      </c>
      <c r="D38" s="105" t="s">
        <v>315</v>
      </c>
      <c r="E38" s="100"/>
      <c r="F38" s="34"/>
      <c r="G38" s="34"/>
      <c r="H38" s="480">
        <v>56514.282244133567</v>
      </c>
      <c r="I38" s="480" t="s">
        <v>412</v>
      </c>
      <c r="J38" s="490">
        <v>4</v>
      </c>
      <c r="K38" s="504">
        <v>31645</v>
      </c>
      <c r="L38" s="482">
        <f t="shared" si="18"/>
        <v>31645</v>
      </c>
      <c r="M38" s="482"/>
      <c r="N38" s="509">
        <f t="shared" si="2"/>
        <v>31645</v>
      </c>
      <c r="O38" s="515">
        <v>20725.79920737167</v>
      </c>
      <c r="P38" s="483">
        <f t="shared" si="19"/>
        <v>20725.79920737167</v>
      </c>
      <c r="Q38" s="483"/>
      <c r="R38" s="514">
        <f t="shared" si="4"/>
        <v>20725.79920737167</v>
      </c>
      <c r="S38" s="515">
        <v>21802.567492248902</v>
      </c>
      <c r="T38" s="483">
        <f t="shared" si="20"/>
        <v>21802.567492248902</v>
      </c>
      <c r="U38" s="483"/>
      <c r="V38" s="514">
        <f t="shared" si="6"/>
        <v>21802.567492248902</v>
      </c>
      <c r="W38" s="515">
        <v>43545.091047850299</v>
      </c>
      <c r="X38" s="483">
        <f t="shared" si="21"/>
        <v>43545.091047850299</v>
      </c>
      <c r="Y38" s="483"/>
      <c r="Z38" s="514">
        <f t="shared" si="8"/>
        <v>0</v>
      </c>
      <c r="AA38" s="515">
        <v>23873.32943540845</v>
      </c>
      <c r="AB38" s="483">
        <f t="shared" si="22"/>
        <v>23873.32943540845</v>
      </c>
      <c r="AC38" s="483"/>
      <c r="AD38" s="514">
        <f t="shared" si="10"/>
        <v>23873.32943540845</v>
      </c>
      <c r="AE38" s="515">
        <v>39123</v>
      </c>
      <c r="AF38" s="483">
        <f t="shared" si="23"/>
        <v>39123</v>
      </c>
      <c r="AG38" s="483"/>
      <c r="AH38" s="514">
        <f t="shared" si="12"/>
        <v>39123</v>
      </c>
      <c r="AI38" s="520">
        <v>47590.974521375632</v>
      </c>
      <c r="AJ38" s="484">
        <f t="shared" si="24"/>
        <v>47590.974521375632</v>
      </c>
      <c r="AK38" s="484"/>
      <c r="AL38" s="514">
        <f t="shared" si="14"/>
        <v>47590.974521375632</v>
      </c>
      <c r="AM38" s="526">
        <v>23024.33721057294</v>
      </c>
      <c r="AN38" s="485">
        <f t="shared" si="25"/>
        <v>23024.33721057294</v>
      </c>
      <c r="AO38" s="485"/>
      <c r="AP38" s="514">
        <f t="shared" si="16"/>
        <v>23024.33721057294</v>
      </c>
      <c r="AQ38" s="530">
        <f t="shared" si="17"/>
        <v>47590.974521375632</v>
      </c>
    </row>
    <row r="39" spans="1:43" x14ac:dyDescent="0.55000000000000004">
      <c r="A39" s="316" t="s">
        <v>310</v>
      </c>
      <c r="B39" s="218" t="s">
        <v>311</v>
      </c>
      <c r="C39" s="218" t="s">
        <v>316</v>
      </c>
      <c r="D39" s="105" t="s">
        <v>317</v>
      </c>
      <c r="E39" s="100"/>
      <c r="F39" s="34"/>
      <c r="G39" s="34"/>
      <c r="H39" s="480">
        <v>0</v>
      </c>
      <c r="I39" s="480" t="s">
        <v>412</v>
      </c>
      <c r="J39" s="490">
        <v>3</v>
      </c>
      <c r="K39" s="504">
        <v>0</v>
      </c>
      <c r="L39" s="482"/>
      <c r="M39" s="482">
        <f t="shared" si="1"/>
        <v>0</v>
      </c>
      <c r="N39" s="509">
        <f t="shared" si="2"/>
        <v>0</v>
      </c>
      <c r="O39" s="515">
        <v>0</v>
      </c>
      <c r="P39" s="483"/>
      <c r="Q39" s="483">
        <f t="shared" si="3"/>
        <v>0</v>
      </c>
      <c r="R39" s="514">
        <f t="shared" si="4"/>
        <v>0</v>
      </c>
      <c r="S39" s="515">
        <v>0</v>
      </c>
      <c r="T39" s="483"/>
      <c r="U39" s="483">
        <f t="shared" si="5"/>
        <v>0</v>
      </c>
      <c r="V39" s="514">
        <f t="shared" si="6"/>
        <v>0</v>
      </c>
      <c r="W39" s="515">
        <v>0</v>
      </c>
      <c r="X39" s="483"/>
      <c r="Y39" s="483">
        <f t="shared" si="7"/>
        <v>0</v>
      </c>
      <c r="Z39" s="514">
        <f t="shared" si="8"/>
        <v>0</v>
      </c>
      <c r="AA39" s="515">
        <v>0</v>
      </c>
      <c r="AB39" s="483"/>
      <c r="AC39" s="483">
        <f t="shared" si="9"/>
        <v>0</v>
      </c>
      <c r="AD39" s="514">
        <f t="shared" si="10"/>
        <v>0</v>
      </c>
      <c r="AE39" s="515">
        <v>0</v>
      </c>
      <c r="AF39" s="483"/>
      <c r="AG39" s="483">
        <f t="shared" si="11"/>
        <v>0</v>
      </c>
      <c r="AH39" s="514">
        <f t="shared" si="12"/>
        <v>0</v>
      </c>
      <c r="AI39" s="520">
        <v>0</v>
      </c>
      <c r="AJ39" s="484"/>
      <c r="AK39" s="484">
        <f t="shared" si="13"/>
        <v>0</v>
      </c>
      <c r="AL39" s="514">
        <f t="shared" si="14"/>
        <v>0</v>
      </c>
      <c r="AM39" s="526">
        <v>0</v>
      </c>
      <c r="AN39" s="485"/>
      <c r="AO39" s="485">
        <f t="shared" si="15"/>
        <v>0</v>
      </c>
      <c r="AP39" s="514">
        <f t="shared" si="16"/>
        <v>0</v>
      </c>
      <c r="AQ39" s="530">
        <f t="shared" si="17"/>
        <v>0</v>
      </c>
    </row>
    <row r="40" spans="1:43" x14ac:dyDescent="0.55000000000000004">
      <c r="A40" s="316" t="s">
        <v>310</v>
      </c>
      <c r="B40" s="218" t="s">
        <v>311</v>
      </c>
      <c r="C40" s="218" t="s">
        <v>318</v>
      </c>
      <c r="D40" s="105" t="s">
        <v>319</v>
      </c>
      <c r="E40" s="100"/>
      <c r="F40" s="34"/>
      <c r="G40" s="34"/>
      <c r="H40" s="480">
        <v>8245.4682123487128</v>
      </c>
      <c r="I40" s="480" t="s">
        <v>412</v>
      </c>
      <c r="J40" s="490">
        <v>3</v>
      </c>
      <c r="K40" s="504">
        <v>0</v>
      </c>
      <c r="L40" s="482"/>
      <c r="M40" s="482">
        <f t="shared" si="1"/>
        <v>0</v>
      </c>
      <c r="N40" s="509">
        <f t="shared" si="2"/>
        <v>0</v>
      </c>
      <c r="O40" s="515">
        <v>1504.2826069903681</v>
      </c>
      <c r="P40" s="483"/>
      <c r="Q40" s="483">
        <f t="shared" si="3"/>
        <v>752.14130349518405</v>
      </c>
      <c r="R40" s="514">
        <f t="shared" si="4"/>
        <v>752.14130349518405</v>
      </c>
      <c r="S40" s="515">
        <v>3824.0659036693</v>
      </c>
      <c r="T40" s="483"/>
      <c r="U40" s="483">
        <f t="shared" si="5"/>
        <v>1912.03295183465</v>
      </c>
      <c r="V40" s="514">
        <f t="shared" si="6"/>
        <v>1912.03295183465</v>
      </c>
      <c r="W40" s="515">
        <v>6262.5878943591415</v>
      </c>
      <c r="X40" s="483"/>
      <c r="Y40" s="483">
        <f t="shared" si="7"/>
        <v>3131.2939471795708</v>
      </c>
      <c r="Z40" s="514">
        <f t="shared" si="8"/>
        <v>3131.2939471795708</v>
      </c>
      <c r="AA40" s="515">
        <v>3888.5009814634523</v>
      </c>
      <c r="AB40" s="483"/>
      <c r="AC40" s="483">
        <f t="shared" si="9"/>
        <v>1944.2504907317261</v>
      </c>
      <c r="AD40" s="514">
        <f t="shared" si="10"/>
        <v>1944.2504907317261</v>
      </c>
      <c r="AE40" s="515">
        <v>5772</v>
      </c>
      <c r="AF40" s="483"/>
      <c r="AG40" s="483">
        <f t="shared" si="11"/>
        <v>2886</v>
      </c>
      <c r="AH40" s="514">
        <f t="shared" si="12"/>
        <v>2886</v>
      </c>
      <c r="AI40" s="520">
        <v>6413.1419429378875</v>
      </c>
      <c r="AJ40" s="484"/>
      <c r="AK40" s="484">
        <f t="shared" si="13"/>
        <v>3206.5709714689438</v>
      </c>
      <c r="AL40" s="514">
        <f t="shared" si="14"/>
        <v>3206.5709714689438</v>
      </c>
      <c r="AM40" s="526">
        <v>4722.4045216178984</v>
      </c>
      <c r="AN40" s="485"/>
      <c r="AO40" s="485">
        <f t="shared" si="15"/>
        <v>2361.2022608089492</v>
      </c>
      <c r="AP40" s="514">
        <f t="shared" si="16"/>
        <v>2361.2022608089492</v>
      </c>
      <c r="AQ40" s="530">
        <f t="shared" si="17"/>
        <v>3206.5709714689438</v>
      </c>
    </row>
    <row r="41" spans="1:43" x14ac:dyDescent="0.55000000000000004">
      <c r="A41" s="316" t="s">
        <v>310</v>
      </c>
      <c r="B41" s="218" t="s">
        <v>311</v>
      </c>
      <c r="C41" s="218" t="s">
        <v>320</v>
      </c>
      <c r="D41" s="105" t="s">
        <v>321</v>
      </c>
      <c r="E41" s="100"/>
      <c r="F41" s="34"/>
      <c r="G41" s="34"/>
      <c r="H41" s="480">
        <v>736.57326854984808</v>
      </c>
      <c r="I41" s="480" t="s">
        <v>412</v>
      </c>
      <c r="J41" s="490">
        <v>3</v>
      </c>
      <c r="K41" s="504">
        <v>0</v>
      </c>
      <c r="L41" s="482"/>
      <c r="M41" s="482">
        <f t="shared" si="1"/>
        <v>0</v>
      </c>
      <c r="N41" s="509">
        <f t="shared" si="2"/>
        <v>0</v>
      </c>
      <c r="O41" s="515">
        <v>115.4004071302418</v>
      </c>
      <c r="P41" s="483"/>
      <c r="Q41" s="483">
        <f t="shared" si="3"/>
        <v>57.700203565120901</v>
      </c>
      <c r="R41" s="514">
        <f t="shared" si="4"/>
        <v>57.700203565120901</v>
      </c>
      <c r="S41" s="515">
        <v>254.73760012449753</v>
      </c>
      <c r="T41" s="483"/>
      <c r="U41" s="483">
        <f t="shared" si="5"/>
        <v>127.36880006224877</v>
      </c>
      <c r="V41" s="514">
        <f t="shared" si="6"/>
        <v>127.36880006224877</v>
      </c>
      <c r="W41" s="515">
        <v>498.34516109062099</v>
      </c>
      <c r="X41" s="483"/>
      <c r="Y41" s="483">
        <f t="shared" si="7"/>
        <v>249.1725805453105</v>
      </c>
      <c r="Z41" s="514">
        <f t="shared" si="8"/>
        <v>249.1725805453105</v>
      </c>
      <c r="AA41" s="515">
        <v>313.3875472339538</v>
      </c>
      <c r="AB41" s="483"/>
      <c r="AC41" s="483">
        <f t="shared" si="9"/>
        <v>156.6937736169769</v>
      </c>
      <c r="AD41" s="514">
        <f t="shared" si="10"/>
        <v>156.6937736169769</v>
      </c>
      <c r="AE41" s="515">
        <v>469</v>
      </c>
      <c r="AF41" s="483"/>
      <c r="AG41" s="483">
        <f t="shared" si="11"/>
        <v>234.5</v>
      </c>
      <c r="AH41" s="514">
        <f t="shared" si="12"/>
        <v>234.5</v>
      </c>
      <c r="AI41" s="520">
        <v>633.7956031707995</v>
      </c>
      <c r="AJ41" s="484"/>
      <c r="AK41" s="484">
        <f t="shared" si="13"/>
        <v>316.89780158539975</v>
      </c>
      <c r="AL41" s="514">
        <f t="shared" si="14"/>
        <v>316.89780158539975</v>
      </c>
      <c r="AM41" s="526">
        <v>283.81722274397816</v>
      </c>
      <c r="AN41" s="485"/>
      <c r="AO41" s="485">
        <f t="shared" si="15"/>
        <v>141.90861137198908</v>
      </c>
      <c r="AP41" s="514">
        <f t="shared" si="16"/>
        <v>141.90861137198908</v>
      </c>
      <c r="AQ41" s="530">
        <f t="shared" si="17"/>
        <v>316.89780158539975</v>
      </c>
    </row>
    <row r="42" spans="1:43" x14ac:dyDescent="0.55000000000000004">
      <c r="A42" s="316" t="s">
        <v>322</v>
      </c>
      <c r="B42" s="218" t="s">
        <v>323</v>
      </c>
      <c r="C42" s="218" t="s">
        <v>324</v>
      </c>
      <c r="D42" s="105" t="s">
        <v>325</v>
      </c>
      <c r="E42" s="100"/>
      <c r="F42" s="34"/>
      <c r="G42" s="34"/>
      <c r="H42" s="480">
        <v>8191.9832367247782</v>
      </c>
      <c r="I42" s="480" t="s">
        <v>412</v>
      </c>
      <c r="J42" s="490">
        <v>3</v>
      </c>
      <c r="K42" s="504">
        <v>0</v>
      </c>
      <c r="L42" s="482"/>
      <c r="M42" s="482">
        <f t="shared" si="1"/>
        <v>0</v>
      </c>
      <c r="N42" s="509">
        <f t="shared" si="2"/>
        <v>0</v>
      </c>
      <c r="O42" s="515">
        <v>652.26536606779484</v>
      </c>
      <c r="P42" s="483"/>
      <c r="Q42" s="483">
        <f t="shared" si="3"/>
        <v>326.13268303389742</v>
      </c>
      <c r="R42" s="514">
        <f t="shared" si="4"/>
        <v>326.13268303389742</v>
      </c>
      <c r="S42" s="515">
        <v>3213.6343218737725</v>
      </c>
      <c r="T42" s="483"/>
      <c r="U42" s="483">
        <f t="shared" si="5"/>
        <v>1606.8171609368862</v>
      </c>
      <c r="V42" s="514">
        <f t="shared" si="6"/>
        <v>1606.8171609368862</v>
      </c>
      <c r="W42" s="515">
        <v>5106.1027347013696</v>
      </c>
      <c r="X42" s="483"/>
      <c r="Y42" s="483">
        <f t="shared" si="7"/>
        <v>2553.0513673506848</v>
      </c>
      <c r="Z42" s="514">
        <f t="shared" si="8"/>
        <v>2553.0513673506848</v>
      </c>
      <c r="AA42" s="515">
        <v>4152.3577038046233</v>
      </c>
      <c r="AB42" s="483"/>
      <c r="AC42" s="483">
        <f t="shared" si="9"/>
        <v>2076.1788519023116</v>
      </c>
      <c r="AD42" s="514">
        <f t="shared" si="10"/>
        <v>2076.1788519023116</v>
      </c>
      <c r="AE42" s="515">
        <v>1638</v>
      </c>
      <c r="AF42" s="483"/>
      <c r="AG42" s="483">
        <f t="shared" si="11"/>
        <v>819</v>
      </c>
      <c r="AH42" s="514">
        <f t="shared" si="12"/>
        <v>819</v>
      </c>
      <c r="AI42" s="520">
        <v>8191.9832367247782</v>
      </c>
      <c r="AJ42" s="484"/>
      <c r="AK42" s="484">
        <f t="shared" si="13"/>
        <v>4095.9916183623891</v>
      </c>
      <c r="AL42" s="514">
        <f t="shared" si="14"/>
        <v>4095.9916183623891</v>
      </c>
      <c r="AM42" s="526">
        <v>2123.8475058175354</v>
      </c>
      <c r="AN42" s="485"/>
      <c r="AO42" s="485">
        <f t="shared" si="15"/>
        <v>1061.9237529087677</v>
      </c>
      <c r="AP42" s="514">
        <f t="shared" si="16"/>
        <v>1061.9237529087677</v>
      </c>
      <c r="AQ42" s="530">
        <f t="shared" si="17"/>
        <v>4095.9916183623891</v>
      </c>
    </row>
    <row r="43" spans="1:43" x14ac:dyDescent="0.55000000000000004">
      <c r="A43" s="316" t="s">
        <v>322</v>
      </c>
      <c r="B43" s="218" t="s">
        <v>323</v>
      </c>
      <c r="C43" s="218" t="s">
        <v>326</v>
      </c>
      <c r="D43" s="105" t="s">
        <v>327</v>
      </c>
      <c r="E43" s="100"/>
      <c r="F43" s="34"/>
      <c r="G43" s="34"/>
      <c r="H43" s="480">
        <v>25939.727484978604</v>
      </c>
      <c r="I43" s="480" t="s">
        <v>412</v>
      </c>
      <c r="J43" s="490">
        <v>3</v>
      </c>
      <c r="K43" s="504">
        <v>22557.5</v>
      </c>
      <c r="L43" s="482"/>
      <c r="M43" s="482">
        <f t="shared" si="1"/>
        <v>11278.75</v>
      </c>
      <c r="N43" s="509">
        <f t="shared" si="2"/>
        <v>11278.75</v>
      </c>
      <c r="O43" s="515">
        <v>5909.7676997474728</v>
      </c>
      <c r="P43" s="483"/>
      <c r="Q43" s="483">
        <f t="shared" si="3"/>
        <v>2954.8838498737364</v>
      </c>
      <c r="R43" s="514">
        <f t="shared" si="4"/>
        <v>2954.8838498737364</v>
      </c>
      <c r="S43" s="515">
        <v>8966.1074964812524</v>
      </c>
      <c r="T43" s="483"/>
      <c r="U43" s="483">
        <f t="shared" si="5"/>
        <v>4483.0537482406262</v>
      </c>
      <c r="V43" s="514">
        <f t="shared" si="6"/>
        <v>4483.0537482406262</v>
      </c>
      <c r="W43" s="515">
        <v>21363.392178563096</v>
      </c>
      <c r="X43" s="483"/>
      <c r="Y43" s="483">
        <f t="shared" si="7"/>
        <v>10681.696089281548</v>
      </c>
      <c r="Z43" s="514">
        <f t="shared" si="8"/>
        <v>10681.696089281548</v>
      </c>
      <c r="AA43" s="515">
        <v>13327.318954058459</v>
      </c>
      <c r="AB43" s="483"/>
      <c r="AC43" s="483">
        <f t="shared" si="9"/>
        <v>6663.6594770292295</v>
      </c>
      <c r="AD43" s="514">
        <f t="shared" si="10"/>
        <v>6663.6594770292295</v>
      </c>
      <c r="AE43" s="515">
        <v>18094</v>
      </c>
      <c r="AF43" s="483"/>
      <c r="AG43" s="483">
        <f t="shared" si="11"/>
        <v>9047</v>
      </c>
      <c r="AH43" s="514">
        <f t="shared" si="12"/>
        <v>9047</v>
      </c>
      <c r="AI43" s="520">
        <v>22234.052129981661</v>
      </c>
      <c r="AJ43" s="484"/>
      <c r="AK43" s="484">
        <f t="shared" si="13"/>
        <v>11117.02606499083</v>
      </c>
      <c r="AL43" s="514">
        <f t="shared" si="14"/>
        <v>11117.02606499083</v>
      </c>
      <c r="AM43" s="526">
        <v>13450.229066285201</v>
      </c>
      <c r="AN43" s="485"/>
      <c r="AO43" s="485">
        <f t="shared" si="15"/>
        <v>6725.1145331426005</v>
      </c>
      <c r="AP43" s="514">
        <f t="shared" si="16"/>
        <v>6725.1145331426005</v>
      </c>
      <c r="AQ43" s="530">
        <f t="shared" si="17"/>
        <v>11278.75</v>
      </c>
    </row>
    <row r="44" spans="1:43" x14ac:dyDescent="0.55000000000000004">
      <c r="A44" s="316" t="s">
        <v>322</v>
      </c>
      <c r="B44" s="218" t="s">
        <v>323</v>
      </c>
      <c r="C44" s="218" t="s">
        <v>328</v>
      </c>
      <c r="D44" s="105" t="s">
        <v>329</v>
      </c>
      <c r="E44" s="100"/>
      <c r="F44" s="34"/>
      <c r="G44" s="34"/>
      <c r="H44" s="480">
        <v>31198.282244133567</v>
      </c>
      <c r="I44" s="480" t="s">
        <v>412</v>
      </c>
      <c r="J44" s="490">
        <v>3</v>
      </c>
      <c r="K44" s="504">
        <v>0</v>
      </c>
      <c r="L44" s="482"/>
      <c r="M44" s="482">
        <f t="shared" si="1"/>
        <v>0</v>
      </c>
      <c r="N44" s="509">
        <f t="shared" si="2"/>
        <v>0</v>
      </c>
      <c r="O44" s="515">
        <v>7478.939574753982</v>
      </c>
      <c r="P44" s="483"/>
      <c r="Q44" s="483">
        <f t="shared" si="3"/>
        <v>3739.469787376991</v>
      </c>
      <c r="R44" s="514">
        <f t="shared" si="4"/>
        <v>3739.469787376991</v>
      </c>
      <c r="S44" s="515">
        <v>12005.797664351909</v>
      </c>
      <c r="T44" s="483"/>
      <c r="U44" s="483">
        <f t="shared" si="5"/>
        <v>6002.8988321759543</v>
      </c>
      <c r="V44" s="514">
        <f t="shared" si="6"/>
        <v>6002.8988321759543</v>
      </c>
      <c r="W44" s="515">
        <v>25721.288553470346</v>
      </c>
      <c r="X44" s="483"/>
      <c r="Y44" s="483">
        <f t="shared" si="7"/>
        <v>12860.644276735173</v>
      </c>
      <c r="Z44" s="514">
        <f t="shared" si="8"/>
        <v>12860.644276735173</v>
      </c>
      <c r="AA44" s="515">
        <v>15994.252409673876</v>
      </c>
      <c r="AB44" s="483"/>
      <c r="AC44" s="483">
        <f t="shared" si="9"/>
        <v>7997.1262048369381</v>
      </c>
      <c r="AD44" s="514">
        <f t="shared" si="10"/>
        <v>7997.1262048369381</v>
      </c>
      <c r="AE44" s="515">
        <v>20386</v>
      </c>
      <c r="AF44" s="483"/>
      <c r="AG44" s="483">
        <f t="shared" si="11"/>
        <v>10193</v>
      </c>
      <c r="AH44" s="514">
        <f t="shared" si="12"/>
        <v>10193</v>
      </c>
      <c r="AI44" s="520">
        <v>7799.5705610333916</v>
      </c>
      <c r="AJ44" s="484"/>
      <c r="AK44" s="484">
        <f t="shared" si="13"/>
        <v>3899.7852805166958</v>
      </c>
      <c r="AL44" s="514">
        <f t="shared" si="14"/>
        <v>3899.7852805166958</v>
      </c>
      <c r="AM44" s="526">
        <v>18776.743943228539</v>
      </c>
      <c r="AN44" s="485"/>
      <c r="AO44" s="485">
        <f t="shared" si="15"/>
        <v>9388.3719716142696</v>
      </c>
      <c r="AP44" s="514">
        <f t="shared" si="16"/>
        <v>9388.3719716142696</v>
      </c>
      <c r="AQ44" s="530">
        <f t="shared" si="17"/>
        <v>12860.644276735173</v>
      </c>
    </row>
    <row r="45" spans="1:43" x14ac:dyDescent="0.55000000000000004">
      <c r="A45" s="316" t="s">
        <v>322</v>
      </c>
      <c r="B45" s="218" t="s">
        <v>323</v>
      </c>
      <c r="C45" s="218" t="s">
        <v>330</v>
      </c>
      <c r="D45" s="105" t="s">
        <v>331</v>
      </c>
      <c r="E45" s="100"/>
      <c r="F45" s="34"/>
      <c r="G45" s="34"/>
      <c r="H45" s="480">
        <v>44969.201203905293</v>
      </c>
      <c r="I45" s="480" t="s">
        <v>412</v>
      </c>
      <c r="J45" s="490">
        <v>3</v>
      </c>
      <c r="K45" s="504">
        <v>25145</v>
      </c>
      <c r="L45" s="482"/>
      <c r="M45" s="482">
        <f t="shared" si="1"/>
        <v>12572.5</v>
      </c>
      <c r="N45" s="509">
        <f t="shared" si="2"/>
        <v>12572.5</v>
      </c>
      <c r="O45" s="515">
        <v>8773.086432071088</v>
      </c>
      <c r="P45" s="483"/>
      <c r="Q45" s="483">
        <f t="shared" si="3"/>
        <v>4386.543216035544</v>
      </c>
      <c r="R45" s="514">
        <f t="shared" si="4"/>
        <v>4386.543216035544</v>
      </c>
      <c r="S45" s="515">
        <v>15288.695997555973</v>
      </c>
      <c r="T45" s="483"/>
      <c r="U45" s="483">
        <f t="shared" si="5"/>
        <v>7644.3479987779865</v>
      </c>
      <c r="V45" s="514">
        <f t="shared" si="6"/>
        <v>7644.3479987779865</v>
      </c>
      <c r="W45" s="515">
        <v>32430.489674210403</v>
      </c>
      <c r="X45" s="483"/>
      <c r="Y45" s="483">
        <f t="shared" si="7"/>
        <v>16215.244837105201</v>
      </c>
      <c r="Z45" s="514">
        <f t="shared" si="8"/>
        <v>16215.244837105201</v>
      </c>
      <c r="AA45" s="515">
        <v>24942.84097150544</v>
      </c>
      <c r="AB45" s="483"/>
      <c r="AC45" s="483">
        <f t="shared" si="9"/>
        <v>12471.42048575272</v>
      </c>
      <c r="AD45" s="514">
        <f t="shared" si="10"/>
        <v>12471.42048575272</v>
      </c>
      <c r="AE45" s="515">
        <v>31478</v>
      </c>
      <c r="AF45" s="483"/>
      <c r="AG45" s="483">
        <f t="shared" si="11"/>
        <v>15739</v>
      </c>
      <c r="AH45" s="514">
        <f t="shared" si="12"/>
        <v>15739</v>
      </c>
      <c r="AI45" s="520">
        <v>38545.029603347393</v>
      </c>
      <c r="AJ45" s="484"/>
      <c r="AK45" s="484">
        <f t="shared" si="13"/>
        <v>19272.514801673697</v>
      </c>
      <c r="AL45" s="514">
        <f t="shared" si="14"/>
        <v>19272.514801673697</v>
      </c>
      <c r="AM45" s="526">
        <v>16238.878212521355</v>
      </c>
      <c r="AN45" s="485"/>
      <c r="AO45" s="485">
        <f t="shared" si="15"/>
        <v>8119.4391062606774</v>
      </c>
      <c r="AP45" s="514">
        <f t="shared" si="16"/>
        <v>8119.4391062606774</v>
      </c>
      <c r="AQ45" s="530">
        <f t="shared" si="17"/>
        <v>19272.514801673697</v>
      </c>
    </row>
    <row r="46" spans="1:43" x14ac:dyDescent="0.55000000000000004">
      <c r="A46" s="316" t="s">
        <v>322</v>
      </c>
      <c r="B46" s="218" t="s">
        <v>323</v>
      </c>
      <c r="C46" s="218" t="s">
        <v>332</v>
      </c>
      <c r="D46" s="105" t="s">
        <v>333</v>
      </c>
      <c r="E46" s="100"/>
      <c r="F46" s="34"/>
      <c r="G46" s="34"/>
      <c r="H46" s="480">
        <v>30389.775329136301</v>
      </c>
      <c r="I46" s="480" t="s">
        <v>412</v>
      </c>
      <c r="J46" s="490">
        <v>4</v>
      </c>
      <c r="K46" s="504">
        <v>15678.75</v>
      </c>
      <c r="L46" s="482">
        <f t="shared" si="18"/>
        <v>15678.75</v>
      </c>
      <c r="M46" s="482"/>
      <c r="N46" s="509">
        <f t="shared" si="2"/>
        <v>15678.75</v>
      </c>
      <c r="O46" s="515">
        <v>1377.7508543217234</v>
      </c>
      <c r="P46" s="483">
        <f t="shared" si="19"/>
        <v>1377.7508543217234</v>
      </c>
      <c r="Q46" s="483"/>
      <c r="R46" s="514">
        <f t="shared" si="4"/>
        <v>1377.7508543217234</v>
      </c>
      <c r="S46" s="515">
        <v>12808.60290556908</v>
      </c>
      <c r="T46" s="483">
        <f t="shared" si="20"/>
        <v>12808.60290556908</v>
      </c>
      <c r="U46" s="483"/>
      <c r="V46" s="514">
        <f t="shared" si="6"/>
        <v>12808.60290556908</v>
      </c>
      <c r="W46" s="515">
        <v>22768.814394256126</v>
      </c>
      <c r="X46" s="483">
        <f t="shared" si="21"/>
        <v>22768.814394256126</v>
      </c>
      <c r="Y46" s="483"/>
      <c r="Z46" s="514">
        <f t="shared" si="8"/>
        <v>0</v>
      </c>
      <c r="AA46" s="515">
        <v>14585.685611122632</v>
      </c>
      <c r="AB46" s="483">
        <f t="shared" si="22"/>
        <v>14585.685611122632</v>
      </c>
      <c r="AC46" s="483"/>
      <c r="AD46" s="514">
        <f t="shared" si="10"/>
        <v>14585.685611122632</v>
      </c>
      <c r="AE46" s="515">
        <v>21273</v>
      </c>
      <c r="AF46" s="483">
        <f t="shared" si="23"/>
        <v>21273</v>
      </c>
      <c r="AG46" s="483"/>
      <c r="AH46" s="514">
        <f t="shared" si="12"/>
        <v>21273</v>
      </c>
      <c r="AI46" s="520">
        <v>30389.775329136304</v>
      </c>
      <c r="AJ46" s="484">
        <f t="shared" si="24"/>
        <v>30389.775329136304</v>
      </c>
      <c r="AK46" s="484"/>
      <c r="AL46" s="514">
        <f t="shared" si="14"/>
        <v>30389.775329136304</v>
      </c>
      <c r="AM46" s="526">
        <v>12381.019578537012</v>
      </c>
      <c r="AN46" s="485">
        <f t="shared" si="25"/>
        <v>12381.019578537012</v>
      </c>
      <c r="AO46" s="485"/>
      <c r="AP46" s="514">
        <f t="shared" si="16"/>
        <v>12381.019578537012</v>
      </c>
      <c r="AQ46" s="530">
        <f t="shared" si="17"/>
        <v>30389.775329136304</v>
      </c>
    </row>
    <row r="47" spans="1:43" x14ac:dyDescent="0.55000000000000004">
      <c r="A47" s="316" t="s">
        <v>322</v>
      </c>
      <c r="B47" s="218" t="s">
        <v>323</v>
      </c>
      <c r="C47" s="218" t="s">
        <v>334</v>
      </c>
      <c r="D47" s="105" t="s">
        <v>335</v>
      </c>
      <c r="E47" s="100"/>
      <c r="F47" s="34"/>
      <c r="G47" s="34"/>
      <c r="H47" s="480">
        <v>44141.695035855759</v>
      </c>
      <c r="I47" s="480" t="s">
        <v>412</v>
      </c>
      <c r="J47" s="490">
        <v>3</v>
      </c>
      <c r="K47" s="504">
        <v>0</v>
      </c>
      <c r="L47" s="482"/>
      <c r="M47" s="482">
        <f t="shared" si="1"/>
        <v>0</v>
      </c>
      <c r="N47" s="509">
        <f t="shared" si="2"/>
        <v>0</v>
      </c>
      <c r="O47" s="515">
        <v>13507.755956227185</v>
      </c>
      <c r="P47" s="483"/>
      <c r="Q47" s="483">
        <f t="shared" si="3"/>
        <v>6753.8779781135927</v>
      </c>
      <c r="R47" s="514">
        <f t="shared" si="4"/>
        <v>6753.8779781135927</v>
      </c>
      <c r="S47" s="515">
        <v>16137.025442343989</v>
      </c>
      <c r="T47" s="483"/>
      <c r="U47" s="483">
        <f t="shared" si="5"/>
        <v>8068.5127211719946</v>
      </c>
      <c r="V47" s="514">
        <f t="shared" si="6"/>
        <v>8068.5127211719946</v>
      </c>
      <c r="W47" s="515">
        <v>29153.471897626488</v>
      </c>
      <c r="X47" s="483"/>
      <c r="Y47" s="483">
        <f t="shared" si="7"/>
        <v>14576.735948813244</v>
      </c>
      <c r="Z47" s="514">
        <f t="shared" si="8"/>
        <v>14576.735948813244</v>
      </c>
      <c r="AA47" s="515">
        <v>23834.92627879652</v>
      </c>
      <c r="AB47" s="483"/>
      <c r="AC47" s="483">
        <f t="shared" si="9"/>
        <v>11917.46313939826</v>
      </c>
      <c r="AD47" s="514">
        <f t="shared" si="10"/>
        <v>11917.46313939826</v>
      </c>
      <c r="AE47" s="515">
        <v>30899</v>
      </c>
      <c r="AF47" s="483"/>
      <c r="AG47" s="483">
        <f t="shared" si="11"/>
        <v>15449.5</v>
      </c>
      <c r="AH47" s="514">
        <f t="shared" si="12"/>
        <v>15449.5</v>
      </c>
      <c r="AI47" s="520">
        <v>16815.883823183147</v>
      </c>
      <c r="AJ47" s="484"/>
      <c r="AK47" s="484">
        <f t="shared" si="13"/>
        <v>8407.9419115915734</v>
      </c>
      <c r="AL47" s="514">
        <f t="shared" si="14"/>
        <v>8407.9419115915734</v>
      </c>
      <c r="AM47" s="526">
        <v>18801.092330086714</v>
      </c>
      <c r="AN47" s="485"/>
      <c r="AO47" s="485">
        <f t="shared" si="15"/>
        <v>9400.5461650433572</v>
      </c>
      <c r="AP47" s="514">
        <f t="shared" si="16"/>
        <v>9400.5461650433572</v>
      </c>
      <c r="AQ47" s="530">
        <f t="shared" si="17"/>
        <v>15449.5</v>
      </c>
    </row>
    <row r="48" spans="1:43" x14ac:dyDescent="0.55000000000000004">
      <c r="A48" s="316" t="s">
        <v>322</v>
      </c>
      <c r="B48" s="218" t="s">
        <v>323</v>
      </c>
      <c r="C48" s="218" t="s">
        <v>336</v>
      </c>
      <c r="D48" s="105" t="s">
        <v>337</v>
      </c>
      <c r="E48" s="100"/>
      <c r="F48" s="34"/>
      <c r="G48" s="34"/>
      <c r="H48" s="480">
        <v>63061.040191389133</v>
      </c>
      <c r="I48" s="480" t="s">
        <v>412</v>
      </c>
      <c r="J48" s="490">
        <v>4</v>
      </c>
      <c r="K48" s="504">
        <v>34478.75</v>
      </c>
      <c r="L48" s="482">
        <f t="shared" si="18"/>
        <v>34478.75</v>
      </c>
      <c r="M48" s="482"/>
      <c r="N48" s="509">
        <f t="shared" si="2"/>
        <v>34478.75</v>
      </c>
      <c r="O48" s="515">
        <v>12479.729405043756</v>
      </c>
      <c r="P48" s="483">
        <f t="shared" si="19"/>
        <v>12479.729405043756</v>
      </c>
      <c r="Q48" s="483"/>
      <c r="R48" s="514">
        <f t="shared" si="4"/>
        <v>12479.729405043756</v>
      </c>
      <c r="S48" s="515">
        <v>24607.146779216342</v>
      </c>
      <c r="T48" s="483">
        <f t="shared" si="20"/>
        <v>24607.146779216342</v>
      </c>
      <c r="U48" s="483"/>
      <c r="V48" s="514">
        <f t="shared" si="6"/>
        <v>24607.146779216342</v>
      </c>
      <c r="W48" s="515">
        <v>46221.661749142266</v>
      </c>
      <c r="X48" s="483">
        <f t="shared" si="21"/>
        <v>46221.661749142266</v>
      </c>
      <c r="Y48" s="483"/>
      <c r="Z48" s="514">
        <f t="shared" si="8"/>
        <v>0</v>
      </c>
      <c r="AA48" s="515">
        <v>40518.916515767763</v>
      </c>
      <c r="AB48" s="483">
        <f t="shared" si="22"/>
        <v>40518.916515767763</v>
      </c>
      <c r="AC48" s="483"/>
      <c r="AD48" s="514">
        <f t="shared" si="10"/>
        <v>40518.916515767763</v>
      </c>
      <c r="AE48" s="515">
        <v>43485</v>
      </c>
      <c r="AF48" s="483">
        <f t="shared" si="23"/>
        <v>43485</v>
      </c>
      <c r="AG48" s="483"/>
      <c r="AH48" s="514">
        <f t="shared" si="12"/>
        <v>43485</v>
      </c>
      <c r="AI48" s="520">
        <v>54052.320164047829</v>
      </c>
      <c r="AJ48" s="484">
        <f t="shared" si="24"/>
        <v>54052.320164047829</v>
      </c>
      <c r="AK48" s="484"/>
      <c r="AL48" s="514">
        <f t="shared" si="14"/>
        <v>54052.320164047829</v>
      </c>
      <c r="AM48" s="526">
        <v>33282.215656566485</v>
      </c>
      <c r="AN48" s="485">
        <f t="shared" si="25"/>
        <v>33282.215656566485</v>
      </c>
      <c r="AO48" s="485"/>
      <c r="AP48" s="514">
        <f t="shared" si="16"/>
        <v>33282.215656566485</v>
      </c>
      <c r="AQ48" s="530">
        <f t="shared" si="17"/>
        <v>54052.320164047829</v>
      </c>
    </row>
    <row r="49" spans="1:43" x14ac:dyDescent="0.55000000000000004">
      <c r="A49" s="316" t="s">
        <v>322</v>
      </c>
      <c r="B49" s="218" t="s">
        <v>323</v>
      </c>
      <c r="C49" s="218" t="s">
        <v>338</v>
      </c>
      <c r="D49" s="105" t="s">
        <v>339</v>
      </c>
      <c r="E49" s="100"/>
      <c r="F49" s="34"/>
      <c r="G49" s="34"/>
      <c r="H49" s="480">
        <v>12256.01658411525</v>
      </c>
      <c r="I49" s="480" t="s">
        <v>412</v>
      </c>
      <c r="J49" s="490">
        <v>3</v>
      </c>
      <c r="K49" s="504">
        <v>0</v>
      </c>
      <c r="L49" s="482"/>
      <c r="M49" s="482">
        <f t="shared" si="1"/>
        <v>0</v>
      </c>
      <c r="N49" s="509">
        <f t="shared" si="2"/>
        <v>0</v>
      </c>
      <c r="O49" s="515">
        <v>1850.3643598033841</v>
      </c>
      <c r="P49" s="483"/>
      <c r="Q49" s="483">
        <f t="shared" si="3"/>
        <v>925.18217990169205</v>
      </c>
      <c r="R49" s="514">
        <f t="shared" si="4"/>
        <v>925.18217990169205</v>
      </c>
      <c r="S49" s="515">
        <v>4697.5558725250112</v>
      </c>
      <c r="T49" s="483"/>
      <c r="U49" s="483">
        <f t="shared" si="5"/>
        <v>2348.7779362625056</v>
      </c>
      <c r="V49" s="514">
        <f t="shared" si="6"/>
        <v>2348.7779362625056</v>
      </c>
      <c r="W49" s="515">
        <v>7754.778001379178</v>
      </c>
      <c r="X49" s="483"/>
      <c r="Y49" s="483">
        <f t="shared" si="7"/>
        <v>3877.389000689589</v>
      </c>
      <c r="Z49" s="514">
        <f t="shared" si="8"/>
        <v>3877.389000689589</v>
      </c>
      <c r="AA49" s="515">
        <v>10954.255548004925</v>
      </c>
      <c r="AB49" s="483"/>
      <c r="AC49" s="483">
        <f t="shared" si="9"/>
        <v>5477.1277740024625</v>
      </c>
      <c r="AD49" s="514">
        <f t="shared" si="10"/>
        <v>5477.1277740024625</v>
      </c>
      <c r="AE49" s="515">
        <v>2451</v>
      </c>
      <c r="AF49" s="483"/>
      <c r="AG49" s="483">
        <f t="shared" si="11"/>
        <v>1225.5</v>
      </c>
      <c r="AH49" s="514">
        <f t="shared" si="12"/>
        <v>1225.5</v>
      </c>
      <c r="AI49" s="520">
        <v>5252.5785360493928</v>
      </c>
      <c r="AJ49" s="484"/>
      <c r="AK49" s="484">
        <f t="shared" si="13"/>
        <v>2626.2892680246964</v>
      </c>
      <c r="AL49" s="514">
        <f t="shared" si="14"/>
        <v>2626.2892680246964</v>
      </c>
      <c r="AM49" s="526">
        <v>5172.2638795348767</v>
      </c>
      <c r="AN49" s="485"/>
      <c r="AO49" s="485">
        <f t="shared" si="15"/>
        <v>2586.1319397674383</v>
      </c>
      <c r="AP49" s="514">
        <f t="shared" si="16"/>
        <v>2586.1319397674383</v>
      </c>
      <c r="AQ49" s="530">
        <f t="shared" si="17"/>
        <v>5477.1277740024625</v>
      </c>
    </row>
    <row r="50" spans="1:43" x14ac:dyDescent="0.55000000000000004">
      <c r="A50" s="316" t="s">
        <v>322</v>
      </c>
      <c r="B50" s="218" t="s">
        <v>323</v>
      </c>
      <c r="C50" s="218" t="s">
        <v>340</v>
      </c>
      <c r="D50" s="105" t="s">
        <v>341</v>
      </c>
      <c r="E50" s="100"/>
      <c r="F50" s="34"/>
      <c r="G50" s="34"/>
      <c r="H50" s="480">
        <v>233351.6448103383</v>
      </c>
      <c r="I50" s="480" t="s">
        <v>412</v>
      </c>
      <c r="J50" s="490">
        <v>4</v>
      </c>
      <c r="K50" s="504">
        <v>233351.6448103383</v>
      </c>
      <c r="L50" s="482">
        <f t="shared" si="18"/>
        <v>233351.6448103383</v>
      </c>
      <c r="M50" s="482"/>
      <c r="N50" s="509">
        <f t="shared" si="2"/>
        <v>233351.6448103383</v>
      </c>
      <c r="O50" s="515">
        <v>64255.662244645791</v>
      </c>
      <c r="P50" s="483">
        <f t="shared" si="19"/>
        <v>64255.662244645791</v>
      </c>
      <c r="Q50" s="483"/>
      <c r="R50" s="514">
        <f t="shared" si="4"/>
        <v>64255.662244645791</v>
      </c>
      <c r="S50" s="515">
        <v>74302.744858180435</v>
      </c>
      <c r="T50" s="483">
        <f t="shared" si="20"/>
        <v>74302.744858180435</v>
      </c>
      <c r="U50" s="483"/>
      <c r="V50" s="514">
        <f t="shared" si="6"/>
        <v>74302.744858180435</v>
      </c>
      <c r="W50" s="515">
        <v>193493.98589746177</v>
      </c>
      <c r="X50" s="483">
        <f t="shared" si="21"/>
        <v>193493.98589746177</v>
      </c>
      <c r="Y50" s="483"/>
      <c r="Z50" s="514">
        <f t="shared" si="8"/>
        <v>0</v>
      </c>
      <c r="AA50" s="515">
        <v>147561.08000448596</v>
      </c>
      <c r="AB50" s="483">
        <f t="shared" si="22"/>
        <v>147561.08000448596</v>
      </c>
      <c r="AC50" s="483"/>
      <c r="AD50" s="514">
        <f t="shared" si="10"/>
        <v>147561.08000448596</v>
      </c>
      <c r="AE50" s="515">
        <v>162104</v>
      </c>
      <c r="AF50" s="483">
        <f t="shared" si="23"/>
        <v>162104</v>
      </c>
      <c r="AG50" s="483"/>
      <c r="AH50" s="514">
        <f t="shared" si="12"/>
        <v>162104</v>
      </c>
      <c r="AI50" s="520">
        <v>143193.05476998031</v>
      </c>
      <c r="AJ50" s="484">
        <f t="shared" si="24"/>
        <v>143193.05476998031</v>
      </c>
      <c r="AK50" s="484"/>
      <c r="AL50" s="514">
        <f t="shared" si="14"/>
        <v>143193.05476998031</v>
      </c>
      <c r="AM50" s="526">
        <v>110193.83227154864</v>
      </c>
      <c r="AN50" s="485">
        <f t="shared" si="25"/>
        <v>110193.83227154864</v>
      </c>
      <c r="AO50" s="485"/>
      <c r="AP50" s="514">
        <f t="shared" si="16"/>
        <v>110193.83227154864</v>
      </c>
      <c r="AQ50" s="530">
        <f t="shared" si="17"/>
        <v>233351.6448103383</v>
      </c>
    </row>
    <row r="51" spans="1:43" x14ac:dyDescent="0.55000000000000004">
      <c r="A51" s="316" t="s">
        <v>342</v>
      </c>
      <c r="B51" s="218" t="s">
        <v>343</v>
      </c>
      <c r="C51" s="218" t="s">
        <v>344</v>
      </c>
      <c r="D51" s="105" t="s">
        <v>345</v>
      </c>
      <c r="E51" s="100"/>
      <c r="F51" s="34"/>
      <c r="G51" s="34"/>
      <c r="H51" s="480">
        <v>6074.719927136859</v>
      </c>
      <c r="I51" s="480" t="s">
        <v>412</v>
      </c>
      <c r="J51" s="490">
        <v>4</v>
      </c>
      <c r="K51" s="504">
        <v>740</v>
      </c>
      <c r="L51" s="482">
        <f t="shared" si="18"/>
        <v>740</v>
      </c>
      <c r="M51" s="482"/>
      <c r="N51" s="509">
        <f t="shared" si="2"/>
        <v>740</v>
      </c>
      <c r="O51" s="515">
        <v>486.8037560810393</v>
      </c>
      <c r="P51" s="483">
        <f t="shared" si="19"/>
        <v>486.8037560810393</v>
      </c>
      <c r="Q51" s="483"/>
      <c r="R51" s="514">
        <f t="shared" si="4"/>
        <v>486.8037560810393</v>
      </c>
      <c r="S51" s="515">
        <v>3347.4854039009592</v>
      </c>
      <c r="T51" s="483">
        <f t="shared" si="20"/>
        <v>3347.4854039009592</v>
      </c>
      <c r="U51" s="483"/>
      <c r="V51" s="514">
        <f t="shared" si="6"/>
        <v>3347.4854039009592</v>
      </c>
      <c r="W51" s="515">
        <v>4897.2706090857473</v>
      </c>
      <c r="X51" s="483">
        <f t="shared" si="21"/>
        <v>4897.2706090857473</v>
      </c>
      <c r="Y51" s="483"/>
      <c r="Z51" s="514">
        <f t="shared" si="8"/>
        <v>0</v>
      </c>
      <c r="AA51" s="515">
        <v>3001.1641404185989</v>
      </c>
      <c r="AB51" s="483">
        <f t="shared" si="22"/>
        <v>3001.1641404185989</v>
      </c>
      <c r="AC51" s="483"/>
      <c r="AD51" s="514">
        <f t="shared" si="10"/>
        <v>3001.1641404185989</v>
      </c>
      <c r="AE51" s="515">
        <v>1215</v>
      </c>
      <c r="AF51" s="483">
        <f t="shared" si="23"/>
        <v>1215</v>
      </c>
      <c r="AG51" s="483"/>
      <c r="AH51" s="514">
        <f t="shared" si="12"/>
        <v>1215</v>
      </c>
      <c r="AI51" s="520">
        <v>3037.3599635684295</v>
      </c>
      <c r="AJ51" s="484">
        <f t="shared" si="24"/>
        <v>3037.3599635684295</v>
      </c>
      <c r="AK51" s="484"/>
      <c r="AL51" s="514">
        <f t="shared" si="14"/>
        <v>3037.3599635684295</v>
      </c>
      <c r="AM51" s="526">
        <v>5455.9984530766233</v>
      </c>
      <c r="AN51" s="485">
        <f t="shared" si="25"/>
        <v>5455.9984530766233</v>
      </c>
      <c r="AO51" s="485"/>
      <c r="AP51" s="514">
        <f t="shared" si="16"/>
        <v>5455.9984530766233</v>
      </c>
      <c r="AQ51" s="530">
        <f t="shared" si="17"/>
        <v>5455.9984530766233</v>
      </c>
    </row>
    <row r="52" spans="1:43" x14ac:dyDescent="0.55000000000000004">
      <c r="A52" s="316" t="s">
        <v>342</v>
      </c>
      <c r="B52" s="218" t="s">
        <v>343</v>
      </c>
      <c r="C52" s="218" t="s">
        <v>346</v>
      </c>
      <c r="D52" s="105" t="s">
        <v>347</v>
      </c>
      <c r="E52" s="100"/>
      <c r="F52" s="34"/>
      <c r="G52" s="34"/>
      <c r="H52" s="480">
        <v>30713.015967447398</v>
      </c>
      <c r="I52" s="480" t="s">
        <v>412</v>
      </c>
      <c r="J52" s="490">
        <v>4</v>
      </c>
      <c r="K52" s="504">
        <v>19468.75</v>
      </c>
      <c r="L52" s="482">
        <f t="shared" si="18"/>
        <v>19468.75</v>
      </c>
      <c r="M52" s="482"/>
      <c r="N52" s="509">
        <f t="shared" si="2"/>
        <v>19468.75</v>
      </c>
      <c r="O52" s="515">
        <v>10474.612669666001</v>
      </c>
      <c r="P52" s="483">
        <f t="shared" si="19"/>
        <v>10474.612669666001</v>
      </c>
      <c r="Q52" s="483"/>
      <c r="R52" s="514">
        <f t="shared" si="4"/>
        <v>10474.612669666001</v>
      </c>
      <c r="S52" s="515">
        <v>9891.9663615882655</v>
      </c>
      <c r="T52" s="483">
        <f t="shared" si="20"/>
        <v>9891.9663615882655</v>
      </c>
      <c r="U52" s="483"/>
      <c r="V52" s="514">
        <f t="shared" si="6"/>
        <v>9891.9663615882655</v>
      </c>
      <c r="W52" s="515">
        <v>21266.865942258526</v>
      </c>
      <c r="X52" s="483">
        <f t="shared" si="21"/>
        <v>21266.865942258526</v>
      </c>
      <c r="Y52" s="483"/>
      <c r="Z52" s="514">
        <f t="shared" si="8"/>
        <v>0</v>
      </c>
      <c r="AA52" s="515">
        <v>13521.010083917387</v>
      </c>
      <c r="AB52" s="483">
        <f t="shared" si="22"/>
        <v>13521.010083917387</v>
      </c>
      <c r="AC52" s="483"/>
      <c r="AD52" s="514">
        <f t="shared" si="10"/>
        <v>13521.010083917387</v>
      </c>
      <c r="AE52" s="515">
        <v>24497</v>
      </c>
      <c r="AF52" s="483">
        <f t="shared" si="23"/>
        <v>24497</v>
      </c>
      <c r="AG52" s="483"/>
      <c r="AH52" s="514">
        <f t="shared" si="12"/>
        <v>24497</v>
      </c>
      <c r="AI52" s="520">
        <v>24570.41277395792</v>
      </c>
      <c r="AJ52" s="484">
        <f t="shared" si="24"/>
        <v>24570.41277395792</v>
      </c>
      <c r="AK52" s="484"/>
      <c r="AL52" s="514">
        <f t="shared" si="14"/>
        <v>24570.41277395792</v>
      </c>
      <c r="AM52" s="526">
        <v>29304.162023986508</v>
      </c>
      <c r="AN52" s="485">
        <f t="shared" si="25"/>
        <v>29304.162023986508</v>
      </c>
      <c r="AO52" s="485"/>
      <c r="AP52" s="514">
        <f t="shared" si="16"/>
        <v>29304.162023986508</v>
      </c>
      <c r="AQ52" s="530">
        <f t="shared" si="17"/>
        <v>29304.162023986508</v>
      </c>
    </row>
    <row r="53" spans="1:43" x14ac:dyDescent="0.55000000000000004">
      <c r="A53" s="316" t="s">
        <v>342</v>
      </c>
      <c r="B53" s="218" t="s">
        <v>343</v>
      </c>
      <c r="C53" s="218" t="s">
        <v>348</v>
      </c>
      <c r="D53" s="105" t="s">
        <v>349</v>
      </c>
      <c r="E53" s="100"/>
      <c r="F53" s="34"/>
      <c r="G53" s="34"/>
      <c r="H53" s="480">
        <v>4270.8268474169781</v>
      </c>
      <c r="I53" s="480" t="s">
        <v>412</v>
      </c>
      <c r="J53" s="490">
        <v>4</v>
      </c>
      <c r="K53" s="504">
        <v>0</v>
      </c>
      <c r="L53" s="482">
        <f t="shared" si="18"/>
        <v>0</v>
      </c>
      <c r="M53" s="482"/>
      <c r="N53" s="509">
        <f t="shared" si="2"/>
        <v>0</v>
      </c>
      <c r="O53" s="515">
        <v>1471.4770882493167</v>
      </c>
      <c r="P53" s="483">
        <f t="shared" si="19"/>
        <v>1471.4770882493167</v>
      </c>
      <c r="Q53" s="483"/>
      <c r="R53" s="514">
        <f t="shared" si="4"/>
        <v>1471.4770882493167</v>
      </c>
      <c r="S53" s="515">
        <v>1455.4663953559398</v>
      </c>
      <c r="T53" s="483">
        <f t="shared" si="20"/>
        <v>1455.4663953559398</v>
      </c>
      <c r="U53" s="483"/>
      <c r="V53" s="514">
        <f t="shared" si="6"/>
        <v>1455.4663953559398</v>
      </c>
      <c r="W53" s="515">
        <v>3884.6441218386626</v>
      </c>
      <c r="X53" s="483">
        <f t="shared" si="21"/>
        <v>3884.6441218386626</v>
      </c>
      <c r="Y53" s="483"/>
      <c r="Z53" s="514">
        <f t="shared" si="8"/>
        <v>0</v>
      </c>
      <c r="AA53" s="515">
        <v>1854.771206867475</v>
      </c>
      <c r="AB53" s="483">
        <f t="shared" si="22"/>
        <v>1854.771206867475</v>
      </c>
      <c r="AC53" s="483"/>
      <c r="AD53" s="514">
        <f t="shared" si="10"/>
        <v>1854.771206867475</v>
      </c>
      <c r="AE53" s="515">
        <v>3417</v>
      </c>
      <c r="AF53" s="483">
        <f t="shared" si="23"/>
        <v>3417</v>
      </c>
      <c r="AG53" s="483"/>
      <c r="AH53" s="514">
        <f t="shared" si="12"/>
        <v>3417</v>
      </c>
      <c r="AI53" s="520">
        <v>4270.8268474169781</v>
      </c>
      <c r="AJ53" s="484">
        <f t="shared" si="24"/>
        <v>4270.8268474169781</v>
      </c>
      <c r="AK53" s="484"/>
      <c r="AL53" s="514">
        <f t="shared" si="14"/>
        <v>4270.8268474169781</v>
      </c>
      <c r="AM53" s="526">
        <v>1449.7302142608091</v>
      </c>
      <c r="AN53" s="485">
        <f t="shared" si="25"/>
        <v>1449.7302142608091</v>
      </c>
      <c r="AO53" s="485"/>
      <c r="AP53" s="514">
        <f t="shared" si="16"/>
        <v>1449.7302142608091</v>
      </c>
      <c r="AQ53" s="530">
        <f t="shared" si="17"/>
        <v>4270.8268474169781</v>
      </c>
    </row>
    <row r="54" spans="1:43" x14ac:dyDescent="0.55000000000000004">
      <c r="A54" s="316" t="s">
        <v>342</v>
      </c>
      <c r="B54" s="218" t="s">
        <v>343</v>
      </c>
      <c r="C54" s="218" t="s">
        <v>350</v>
      </c>
      <c r="D54" s="105" t="s">
        <v>351</v>
      </c>
      <c r="E54" s="100"/>
      <c r="F54" s="34"/>
      <c r="G54" s="34"/>
      <c r="H54" s="480">
        <v>17587.64076058444</v>
      </c>
      <c r="I54" s="480" t="s">
        <v>412</v>
      </c>
      <c r="J54" s="490">
        <v>5</v>
      </c>
      <c r="K54" s="504">
        <v>15476.25</v>
      </c>
      <c r="L54" s="482">
        <f t="shared" si="18"/>
        <v>15476.25</v>
      </c>
      <c r="M54" s="482"/>
      <c r="N54" s="509">
        <f t="shared" si="2"/>
        <v>15476.25</v>
      </c>
      <c r="O54" s="515">
        <v>0</v>
      </c>
      <c r="P54" s="483">
        <f t="shared" si="19"/>
        <v>0</v>
      </c>
      <c r="Q54" s="483"/>
      <c r="R54" s="514">
        <f t="shared" si="4"/>
        <v>0</v>
      </c>
      <c r="S54" s="515">
        <v>6587.4605130774107</v>
      </c>
      <c r="T54" s="483">
        <f t="shared" si="20"/>
        <v>6587.4605130774107</v>
      </c>
      <c r="U54" s="483"/>
      <c r="V54" s="514">
        <f t="shared" si="6"/>
        <v>6587.4605130774107</v>
      </c>
      <c r="W54" s="515">
        <v>15813.857369323312</v>
      </c>
      <c r="X54" s="483">
        <f t="shared" si="21"/>
        <v>15813.857369323312</v>
      </c>
      <c r="Y54" s="483"/>
      <c r="Z54" s="514">
        <f t="shared" si="8"/>
        <v>0</v>
      </c>
      <c r="AA54" s="515">
        <v>10860.326796665742</v>
      </c>
      <c r="AB54" s="483">
        <f t="shared" si="22"/>
        <v>10860.326796665742</v>
      </c>
      <c r="AC54" s="483"/>
      <c r="AD54" s="514">
        <f t="shared" si="10"/>
        <v>10860.326796665742</v>
      </c>
      <c r="AE54" s="515">
        <v>14010</v>
      </c>
      <c r="AF54" s="483">
        <f t="shared" si="23"/>
        <v>14010</v>
      </c>
      <c r="AG54" s="483"/>
      <c r="AH54" s="514">
        <f t="shared" si="12"/>
        <v>14010</v>
      </c>
      <c r="AI54" s="520">
        <v>10992.275475365275</v>
      </c>
      <c r="AJ54" s="484">
        <f t="shared" si="24"/>
        <v>10992.275475365275</v>
      </c>
      <c r="AK54" s="484"/>
      <c r="AL54" s="514">
        <f t="shared" si="14"/>
        <v>10992.275475365275</v>
      </c>
      <c r="AM54" s="526">
        <v>13190.730570438327</v>
      </c>
      <c r="AN54" s="485">
        <f t="shared" si="25"/>
        <v>13190.730570438327</v>
      </c>
      <c r="AO54" s="485"/>
      <c r="AP54" s="514">
        <f t="shared" si="16"/>
        <v>13190.730570438327</v>
      </c>
      <c r="AQ54" s="530">
        <f t="shared" si="17"/>
        <v>15476.25</v>
      </c>
    </row>
    <row r="55" spans="1:43" x14ac:dyDescent="0.55000000000000004">
      <c r="A55" s="316" t="s">
        <v>342</v>
      </c>
      <c r="B55" s="218" t="s">
        <v>343</v>
      </c>
      <c r="C55" s="218" t="s">
        <v>352</v>
      </c>
      <c r="D55" s="105" t="s">
        <v>353</v>
      </c>
      <c r="E55" s="100"/>
      <c r="F55" s="34"/>
      <c r="G55" s="34"/>
      <c r="H55" s="480">
        <v>10736.997624544605</v>
      </c>
      <c r="I55" s="480" t="s">
        <v>412</v>
      </c>
      <c r="J55" s="490">
        <v>4</v>
      </c>
      <c r="K55" s="504">
        <v>7217.5</v>
      </c>
      <c r="L55" s="482">
        <f t="shared" si="18"/>
        <v>7217.5</v>
      </c>
      <c r="M55" s="482"/>
      <c r="N55" s="509">
        <f t="shared" si="2"/>
        <v>7217.5</v>
      </c>
      <c r="O55" s="515">
        <v>3698.0957753325883</v>
      </c>
      <c r="P55" s="483">
        <f t="shared" si="19"/>
        <v>3698.0957753325883</v>
      </c>
      <c r="Q55" s="483"/>
      <c r="R55" s="514">
        <f t="shared" si="4"/>
        <v>3698.0957753325883</v>
      </c>
      <c r="S55" s="515">
        <v>3331.5582463381697</v>
      </c>
      <c r="T55" s="483">
        <f t="shared" si="20"/>
        <v>3331.5582463381697</v>
      </c>
      <c r="U55" s="483"/>
      <c r="V55" s="514">
        <f t="shared" si="6"/>
        <v>3331.5582463381697</v>
      </c>
      <c r="W55" s="515">
        <v>6994.220324453735</v>
      </c>
      <c r="X55" s="483">
        <f t="shared" si="21"/>
        <v>6994.220324453735</v>
      </c>
      <c r="Y55" s="483"/>
      <c r="Z55" s="514">
        <f t="shared" si="8"/>
        <v>0</v>
      </c>
      <c r="AA55" s="515">
        <v>6107.5659290461826</v>
      </c>
      <c r="AB55" s="483">
        <f t="shared" si="22"/>
        <v>6107.5659290461826</v>
      </c>
      <c r="AC55" s="483"/>
      <c r="AD55" s="514">
        <f t="shared" si="10"/>
        <v>6107.5659290461826</v>
      </c>
      <c r="AE55" s="515">
        <v>7487</v>
      </c>
      <c r="AF55" s="483">
        <f t="shared" si="23"/>
        <v>7487</v>
      </c>
      <c r="AG55" s="483"/>
      <c r="AH55" s="514">
        <f t="shared" si="12"/>
        <v>7487</v>
      </c>
      <c r="AI55" s="520">
        <v>10736.997624544605</v>
      </c>
      <c r="AJ55" s="484">
        <f t="shared" si="24"/>
        <v>10736.997624544605</v>
      </c>
      <c r="AK55" s="484"/>
      <c r="AL55" s="514">
        <f t="shared" si="14"/>
        <v>10736.997624544605</v>
      </c>
      <c r="AM55" s="526">
        <v>5368.4988122723025</v>
      </c>
      <c r="AN55" s="485">
        <f t="shared" si="25"/>
        <v>5368.4988122723025</v>
      </c>
      <c r="AO55" s="485"/>
      <c r="AP55" s="514">
        <f t="shared" si="16"/>
        <v>5368.4988122723025</v>
      </c>
      <c r="AQ55" s="530">
        <f t="shared" si="17"/>
        <v>10736.997624544605</v>
      </c>
    </row>
    <row r="56" spans="1:43" x14ac:dyDescent="0.55000000000000004">
      <c r="A56" s="316" t="s">
        <v>342</v>
      </c>
      <c r="B56" s="218" t="s">
        <v>343</v>
      </c>
      <c r="C56" s="218" t="s">
        <v>354</v>
      </c>
      <c r="D56" s="105" t="s">
        <v>355</v>
      </c>
      <c r="E56" s="100"/>
      <c r="F56" s="34"/>
      <c r="G56" s="34"/>
      <c r="H56" s="480">
        <v>541.05925656197849</v>
      </c>
      <c r="I56" s="480" t="s">
        <v>412</v>
      </c>
      <c r="J56" s="490">
        <v>3</v>
      </c>
      <c r="K56" s="504">
        <v>0</v>
      </c>
      <c r="L56" s="482"/>
      <c r="M56" s="482">
        <f t="shared" si="1"/>
        <v>0</v>
      </c>
      <c r="N56" s="509">
        <f t="shared" si="2"/>
        <v>0</v>
      </c>
      <c r="O56" s="515">
        <v>101.68949018639236</v>
      </c>
      <c r="P56" s="483"/>
      <c r="Q56" s="483">
        <f t="shared" si="3"/>
        <v>50.844745093196181</v>
      </c>
      <c r="R56" s="514">
        <f t="shared" si="4"/>
        <v>50.844745093196181</v>
      </c>
      <c r="S56" s="515">
        <v>172.35776823736074</v>
      </c>
      <c r="T56" s="483"/>
      <c r="U56" s="483">
        <f t="shared" si="5"/>
        <v>86.178884118680372</v>
      </c>
      <c r="V56" s="514">
        <f t="shared" si="6"/>
        <v>86.178884118680372</v>
      </c>
      <c r="W56" s="515">
        <v>323.57340367304914</v>
      </c>
      <c r="X56" s="483"/>
      <c r="Y56" s="483">
        <f t="shared" si="7"/>
        <v>161.78670183652457</v>
      </c>
      <c r="Z56" s="514">
        <f t="shared" si="8"/>
        <v>161.78670183652457</v>
      </c>
      <c r="AA56" s="515">
        <v>237.26650978335931</v>
      </c>
      <c r="AB56" s="483"/>
      <c r="AC56" s="483">
        <f t="shared" si="9"/>
        <v>118.63325489167966</v>
      </c>
      <c r="AD56" s="514">
        <f t="shared" si="10"/>
        <v>118.63325489167966</v>
      </c>
      <c r="AE56" s="515">
        <v>379</v>
      </c>
      <c r="AF56" s="483"/>
      <c r="AG56" s="483">
        <f t="shared" si="11"/>
        <v>189.5</v>
      </c>
      <c r="AH56" s="514">
        <f t="shared" si="12"/>
        <v>189.5</v>
      </c>
      <c r="AI56" s="520">
        <v>0</v>
      </c>
      <c r="AJ56" s="484"/>
      <c r="AK56" s="484">
        <f t="shared" si="13"/>
        <v>0</v>
      </c>
      <c r="AL56" s="514">
        <f t="shared" si="14"/>
        <v>0</v>
      </c>
      <c r="AM56" s="526">
        <v>435.8532900082605</v>
      </c>
      <c r="AN56" s="485"/>
      <c r="AO56" s="485">
        <f t="shared" si="15"/>
        <v>217.92664500413025</v>
      </c>
      <c r="AP56" s="514">
        <f t="shared" si="16"/>
        <v>217.92664500413025</v>
      </c>
      <c r="AQ56" s="530">
        <f t="shared" si="17"/>
        <v>217.92664500413025</v>
      </c>
    </row>
    <row r="57" spans="1:43" x14ac:dyDescent="0.55000000000000004">
      <c r="A57" s="316" t="s">
        <v>342</v>
      </c>
      <c r="B57" s="218" t="s">
        <v>343</v>
      </c>
      <c r="C57" s="218" t="s">
        <v>356</v>
      </c>
      <c r="D57" s="105" t="s">
        <v>357</v>
      </c>
      <c r="E57" s="100"/>
      <c r="F57" s="34"/>
      <c r="G57" s="34"/>
      <c r="H57" s="480">
        <v>107560.86765914821</v>
      </c>
      <c r="I57" s="480" t="s">
        <v>412</v>
      </c>
      <c r="J57" s="490">
        <v>4</v>
      </c>
      <c r="K57" s="504">
        <v>74185</v>
      </c>
      <c r="L57" s="482">
        <f t="shared" si="18"/>
        <v>74185</v>
      </c>
      <c r="M57" s="482"/>
      <c r="N57" s="509">
        <f t="shared" si="2"/>
        <v>74185</v>
      </c>
      <c r="O57" s="515">
        <v>3013.7694631152058</v>
      </c>
      <c r="P57" s="483">
        <f t="shared" si="19"/>
        <v>3013.7694631152058</v>
      </c>
      <c r="Q57" s="483"/>
      <c r="R57" s="514">
        <f t="shared" si="4"/>
        <v>3013.7694631152058</v>
      </c>
      <c r="S57" s="515">
        <v>39329.93079403638</v>
      </c>
      <c r="T57" s="483">
        <f t="shared" si="20"/>
        <v>39329.93079403638</v>
      </c>
      <c r="U57" s="483"/>
      <c r="V57" s="514">
        <f t="shared" si="6"/>
        <v>39329.93079403638</v>
      </c>
      <c r="W57" s="515">
        <v>87059.249524592815</v>
      </c>
      <c r="X57" s="483">
        <f t="shared" si="21"/>
        <v>87059.249524592815</v>
      </c>
      <c r="Y57" s="483"/>
      <c r="Z57" s="514">
        <f t="shared" si="8"/>
        <v>0</v>
      </c>
      <c r="AA57" s="515">
        <v>72678.61042533537</v>
      </c>
      <c r="AB57" s="483">
        <f t="shared" si="22"/>
        <v>72678.61042533537</v>
      </c>
      <c r="AC57" s="483"/>
      <c r="AD57" s="514">
        <f t="shared" si="10"/>
        <v>72678.61042533537</v>
      </c>
      <c r="AE57" s="515">
        <v>75082</v>
      </c>
      <c r="AF57" s="483">
        <f t="shared" si="23"/>
        <v>75082</v>
      </c>
      <c r="AG57" s="483"/>
      <c r="AH57" s="514">
        <f t="shared" si="12"/>
        <v>75082</v>
      </c>
      <c r="AI57" s="520">
        <v>85703.579043920239</v>
      </c>
      <c r="AJ57" s="484">
        <f t="shared" si="24"/>
        <v>85703.579043920239</v>
      </c>
      <c r="AK57" s="484"/>
      <c r="AL57" s="514">
        <f t="shared" si="14"/>
        <v>85703.579043920239</v>
      </c>
      <c r="AM57" s="526">
        <v>85273.480666712072</v>
      </c>
      <c r="AN57" s="485">
        <f t="shared" si="25"/>
        <v>85273.480666712072</v>
      </c>
      <c r="AO57" s="485"/>
      <c r="AP57" s="514">
        <f t="shared" si="16"/>
        <v>85273.480666712072</v>
      </c>
      <c r="AQ57" s="530">
        <f t="shared" si="17"/>
        <v>85703.579043920239</v>
      </c>
    </row>
    <row r="58" spans="1:43" x14ac:dyDescent="0.55000000000000004">
      <c r="A58" s="316" t="s">
        <v>342</v>
      </c>
      <c r="B58" s="218" t="s">
        <v>343</v>
      </c>
      <c r="C58" s="218" t="s">
        <v>358</v>
      </c>
      <c r="D58" s="105" t="s">
        <v>359</v>
      </c>
      <c r="E58" s="100"/>
      <c r="F58" s="34"/>
      <c r="G58" s="34"/>
      <c r="H58" s="480">
        <v>19743.531183340554</v>
      </c>
      <c r="I58" s="480" t="s">
        <v>412</v>
      </c>
      <c r="J58" s="490">
        <v>3</v>
      </c>
      <c r="K58" s="504">
        <v>0</v>
      </c>
      <c r="L58" s="482"/>
      <c r="M58" s="482">
        <f t="shared" si="1"/>
        <v>0</v>
      </c>
      <c r="N58" s="509">
        <f t="shared" si="2"/>
        <v>0</v>
      </c>
      <c r="O58" s="515">
        <v>2123.7721623295765</v>
      </c>
      <c r="P58" s="483"/>
      <c r="Q58" s="483">
        <f t="shared" si="3"/>
        <v>1061.8860811647883</v>
      </c>
      <c r="R58" s="514">
        <f t="shared" si="4"/>
        <v>1061.8860811647883</v>
      </c>
      <c r="S58" s="515">
        <v>7457.1688528865989</v>
      </c>
      <c r="T58" s="483"/>
      <c r="U58" s="483">
        <f t="shared" si="5"/>
        <v>3728.5844264432994</v>
      </c>
      <c r="V58" s="514">
        <f t="shared" si="6"/>
        <v>3728.5844264432994</v>
      </c>
      <c r="W58" s="515">
        <v>13885.140815532421</v>
      </c>
      <c r="X58" s="483"/>
      <c r="Y58" s="483">
        <f t="shared" si="7"/>
        <v>6942.5704077662103</v>
      </c>
      <c r="Z58" s="514">
        <f t="shared" si="8"/>
        <v>6942.5704077662103</v>
      </c>
      <c r="AA58" s="515">
        <v>9737.7592085402703</v>
      </c>
      <c r="AB58" s="483"/>
      <c r="AC58" s="483">
        <f t="shared" si="9"/>
        <v>4868.8796042701351</v>
      </c>
      <c r="AD58" s="514">
        <f t="shared" si="10"/>
        <v>4868.8796042701351</v>
      </c>
      <c r="AE58" s="515">
        <v>13821</v>
      </c>
      <c r="AF58" s="483"/>
      <c r="AG58" s="483">
        <f t="shared" si="11"/>
        <v>6910.5</v>
      </c>
      <c r="AH58" s="514">
        <f t="shared" si="12"/>
        <v>6910.5</v>
      </c>
      <c r="AI58" s="520">
        <v>11957.349871600618</v>
      </c>
      <c r="AJ58" s="484"/>
      <c r="AK58" s="484">
        <f t="shared" si="13"/>
        <v>5978.674935800309</v>
      </c>
      <c r="AL58" s="514">
        <f t="shared" si="14"/>
        <v>5978.674935800309</v>
      </c>
      <c r="AM58" s="526">
        <v>16635.753126703614</v>
      </c>
      <c r="AN58" s="485"/>
      <c r="AO58" s="485">
        <f t="shared" si="15"/>
        <v>8317.8765633518069</v>
      </c>
      <c r="AP58" s="514">
        <f t="shared" si="16"/>
        <v>8317.8765633518069</v>
      </c>
      <c r="AQ58" s="530">
        <f t="shared" si="17"/>
        <v>8317.8765633518069</v>
      </c>
    </row>
    <row r="59" spans="1:43" x14ac:dyDescent="0.55000000000000004">
      <c r="A59" s="316" t="s">
        <v>342</v>
      </c>
      <c r="B59" s="218" t="s">
        <v>343</v>
      </c>
      <c r="C59" s="218" t="s">
        <v>360</v>
      </c>
      <c r="D59" s="105" t="s">
        <v>361</v>
      </c>
      <c r="E59" s="100"/>
      <c r="F59" s="34"/>
      <c r="G59" s="34"/>
      <c r="H59" s="480">
        <v>33846.254411291047</v>
      </c>
      <c r="I59" s="480" t="s">
        <v>412</v>
      </c>
      <c r="J59" s="490">
        <v>3</v>
      </c>
      <c r="K59" s="504">
        <v>27668.75</v>
      </c>
      <c r="L59" s="482"/>
      <c r="M59" s="482">
        <f t="shared" si="1"/>
        <v>13834.375</v>
      </c>
      <c r="N59" s="509">
        <f t="shared" si="2"/>
        <v>13834.375</v>
      </c>
      <c r="O59" s="515">
        <v>7214.4408204062447</v>
      </c>
      <c r="P59" s="483"/>
      <c r="Q59" s="483">
        <f t="shared" si="3"/>
        <v>3607.2204102031224</v>
      </c>
      <c r="R59" s="514">
        <f t="shared" si="4"/>
        <v>3607.2204102031224</v>
      </c>
      <c r="S59" s="515">
        <v>12061.434048358844</v>
      </c>
      <c r="T59" s="483"/>
      <c r="U59" s="483">
        <f t="shared" si="5"/>
        <v>6030.717024179422</v>
      </c>
      <c r="V59" s="514">
        <f t="shared" si="6"/>
        <v>6030.717024179422</v>
      </c>
      <c r="W59" s="515">
        <v>22661.952052378263</v>
      </c>
      <c r="X59" s="483"/>
      <c r="Y59" s="483">
        <f t="shared" si="7"/>
        <v>11330.976026189132</v>
      </c>
      <c r="Z59" s="514">
        <f t="shared" si="8"/>
        <v>11330.976026189132</v>
      </c>
      <c r="AA59" s="515">
        <v>16478.699802361254</v>
      </c>
      <c r="AB59" s="483"/>
      <c r="AC59" s="483">
        <f t="shared" si="9"/>
        <v>8239.3499011806271</v>
      </c>
      <c r="AD59" s="514">
        <f t="shared" si="10"/>
        <v>8239.3499011806271</v>
      </c>
      <c r="AE59" s="515">
        <v>21793</v>
      </c>
      <c r="AF59" s="483"/>
      <c r="AG59" s="483">
        <f t="shared" si="11"/>
        <v>10896.5</v>
      </c>
      <c r="AH59" s="514">
        <f t="shared" si="12"/>
        <v>10896.5</v>
      </c>
      <c r="AI59" s="520">
        <v>0</v>
      </c>
      <c r="AJ59" s="484"/>
      <c r="AK59" s="484">
        <f t="shared" si="13"/>
        <v>0</v>
      </c>
      <c r="AL59" s="514">
        <f t="shared" si="14"/>
        <v>0</v>
      </c>
      <c r="AM59" s="526">
        <v>3133.912445489912</v>
      </c>
      <c r="AN59" s="485"/>
      <c r="AO59" s="485">
        <f t="shared" si="15"/>
        <v>1566.956222744956</v>
      </c>
      <c r="AP59" s="514">
        <f t="shared" si="16"/>
        <v>1566.956222744956</v>
      </c>
      <c r="AQ59" s="530">
        <f t="shared" si="17"/>
        <v>13834.375</v>
      </c>
    </row>
    <row r="60" spans="1:43" x14ac:dyDescent="0.55000000000000004">
      <c r="A60" s="316" t="s">
        <v>342</v>
      </c>
      <c r="B60" s="218" t="s">
        <v>343</v>
      </c>
      <c r="C60" s="218" t="s">
        <v>362</v>
      </c>
      <c r="D60" s="105" t="s">
        <v>363</v>
      </c>
      <c r="E60" s="100"/>
      <c r="F60" s="34"/>
      <c r="G60" s="34"/>
      <c r="H60" s="480">
        <v>17038.14092740557</v>
      </c>
      <c r="I60" s="480" t="s">
        <v>412</v>
      </c>
      <c r="J60" s="490">
        <v>4</v>
      </c>
      <c r="K60" s="504">
        <v>2480</v>
      </c>
      <c r="L60" s="482">
        <f t="shared" si="18"/>
        <v>2480</v>
      </c>
      <c r="M60" s="482"/>
      <c r="N60" s="509">
        <f t="shared" si="2"/>
        <v>2480</v>
      </c>
      <c r="O60" s="515">
        <v>1409.2553047593842</v>
      </c>
      <c r="P60" s="483">
        <f t="shared" si="19"/>
        <v>1409.2553047593842</v>
      </c>
      <c r="Q60" s="483"/>
      <c r="R60" s="514">
        <f t="shared" si="4"/>
        <v>1409.2553047593842</v>
      </c>
      <c r="S60" s="515">
        <v>8248.3502247827291</v>
      </c>
      <c r="T60" s="483">
        <f t="shared" si="20"/>
        <v>8248.3502247827291</v>
      </c>
      <c r="U60" s="483"/>
      <c r="V60" s="514">
        <f t="shared" si="6"/>
        <v>8248.3502247827291</v>
      </c>
      <c r="W60" s="515">
        <v>14303.487592208576</v>
      </c>
      <c r="X60" s="483">
        <f t="shared" si="21"/>
        <v>14303.487592208576</v>
      </c>
      <c r="Y60" s="483"/>
      <c r="Z60" s="514">
        <f t="shared" si="8"/>
        <v>0</v>
      </c>
      <c r="AA60" s="515">
        <v>10357.715611792308</v>
      </c>
      <c r="AB60" s="483">
        <f t="shared" si="22"/>
        <v>10357.715611792308</v>
      </c>
      <c r="AC60" s="483"/>
      <c r="AD60" s="514">
        <f t="shared" si="10"/>
        <v>10357.715611792308</v>
      </c>
      <c r="AE60" s="515">
        <v>13630</v>
      </c>
      <c r="AF60" s="483">
        <f t="shared" si="23"/>
        <v>13630</v>
      </c>
      <c r="AG60" s="483"/>
      <c r="AH60" s="514">
        <f t="shared" si="12"/>
        <v>13630</v>
      </c>
      <c r="AI60" s="520">
        <v>14074.985983508948</v>
      </c>
      <c r="AJ60" s="484">
        <f t="shared" si="24"/>
        <v>14074.985983508948</v>
      </c>
      <c r="AK60" s="484"/>
      <c r="AL60" s="514">
        <f t="shared" si="14"/>
        <v>14074.985983508948</v>
      </c>
      <c r="AM60" s="526">
        <v>16263.67997615986</v>
      </c>
      <c r="AN60" s="485">
        <f t="shared" si="25"/>
        <v>16263.67997615986</v>
      </c>
      <c r="AO60" s="485"/>
      <c r="AP60" s="514">
        <f t="shared" si="16"/>
        <v>16263.67997615986</v>
      </c>
      <c r="AQ60" s="530">
        <f t="shared" si="17"/>
        <v>16263.67997615986</v>
      </c>
    </row>
    <row r="61" spans="1:43" x14ac:dyDescent="0.55000000000000004">
      <c r="A61" s="316" t="s">
        <v>342</v>
      </c>
      <c r="B61" s="218" t="s">
        <v>343</v>
      </c>
      <c r="C61" s="218" t="s">
        <v>364</v>
      </c>
      <c r="D61" s="105" t="s">
        <v>365</v>
      </c>
      <c r="E61" s="100"/>
      <c r="F61" s="34"/>
      <c r="G61" s="34"/>
      <c r="H61" s="480">
        <v>119449.90934019189</v>
      </c>
      <c r="I61" s="480" t="s">
        <v>412</v>
      </c>
      <c r="J61" s="490">
        <v>4</v>
      </c>
      <c r="K61" s="504">
        <v>14442.5</v>
      </c>
      <c r="L61" s="482">
        <f t="shared" si="18"/>
        <v>14442.5</v>
      </c>
      <c r="M61" s="482"/>
      <c r="N61" s="509">
        <f t="shared" si="2"/>
        <v>14442.5</v>
      </c>
      <c r="O61" s="515">
        <v>21877.250895656147</v>
      </c>
      <c r="P61" s="483">
        <f t="shared" si="19"/>
        <v>21877.250895656147</v>
      </c>
      <c r="Q61" s="483"/>
      <c r="R61" s="514">
        <f t="shared" si="4"/>
        <v>21877.250895656147</v>
      </c>
      <c r="S61" s="515">
        <v>35482.086558697258</v>
      </c>
      <c r="T61" s="483">
        <f t="shared" si="20"/>
        <v>35482.086558697258</v>
      </c>
      <c r="U61" s="483"/>
      <c r="V61" s="514">
        <f t="shared" si="6"/>
        <v>35482.086558697258</v>
      </c>
      <c r="W61" s="515">
        <v>79879.706711881663</v>
      </c>
      <c r="X61" s="483">
        <f t="shared" si="21"/>
        <v>79879.706711881663</v>
      </c>
      <c r="Y61" s="483"/>
      <c r="Z61" s="514">
        <f t="shared" si="8"/>
        <v>0</v>
      </c>
      <c r="AA61" s="515">
        <v>50475.166102858719</v>
      </c>
      <c r="AB61" s="483">
        <f t="shared" si="22"/>
        <v>50475.166102858719</v>
      </c>
      <c r="AC61" s="483"/>
      <c r="AD61" s="514">
        <f t="shared" si="10"/>
        <v>50475.166102858719</v>
      </c>
      <c r="AE61" s="515">
        <v>83615</v>
      </c>
      <c r="AF61" s="483">
        <f t="shared" si="23"/>
        <v>83615</v>
      </c>
      <c r="AG61" s="483"/>
      <c r="AH61" s="514">
        <f t="shared" si="12"/>
        <v>83615</v>
      </c>
      <c r="AI61" s="520">
        <v>39816.636446730634</v>
      </c>
      <c r="AJ61" s="484">
        <f t="shared" si="24"/>
        <v>39816.636446730634</v>
      </c>
      <c r="AK61" s="484"/>
      <c r="AL61" s="514">
        <f t="shared" si="14"/>
        <v>39816.636446730634</v>
      </c>
      <c r="AM61" s="526">
        <v>57512.919311944243</v>
      </c>
      <c r="AN61" s="485">
        <f t="shared" si="25"/>
        <v>57512.919311944243</v>
      </c>
      <c r="AO61" s="485"/>
      <c r="AP61" s="514">
        <f t="shared" si="16"/>
        <v>57512.919311944243</v>
      </c>
      <c r="AQ61" s="530">
        <f t="shared" si="17"/>
        <v>83615</v>
      </c>
    </row>
    <row r="62" spans="1:43" x14ac:dyDescent="0.55000000000000004">
      <c r="A62" s="316" t="s">
        <v>342</v>
      </c>
      <c r="B62" s="218" t="s">
        <v>343</v>
      </c>
      <c r="C62" s="218" t="s">
        <v>366</v>
      </c>
      <c r="D62" s="105" t="s">
        <v>367</v>
      </c>
      <c r="E62" s="100"/>
      <c r="F62" s="34"/>
      <c r="G62" s="34"/>
      <c r="H62" s="480">
        <v>18966</v>
      </c>
      <c r="I62" s="480" t="s">
        <v>412</v>
      </c>
      <c r="J62" s="490">
        <v>5</v>
      </c>
      <c r="K62" s="504">
        <v>18966</v>
      </c>
      <c r="L62" s="482">
        <f t="shared" si="18"/>
        <v>18966</v>
      </c>
      <c r="M62" s="482"/>
      <c r="N62" s="509">
        <f t="shared" si="2"/>
        <v>18966</v>
      </c>
      <c r="O62" s="515">
        <v>6161.2947599999998</v>
      </c>
      <c r="P62" s="483">
        <f t="shared" si="19"/>
        <v>6161.2947599999998</v>
      </c>
      <c r="Q62" s="483"/>
      <c r="R62" s="514">
        <f t="shared" si="4"/>
        <v>6161.2947599999998</v>
      </c>
      <c r="S62" s="515">
        <v>6832.5707043785615</v>
      </c>
      <c r="T62" s="483">
        <f t="shared" si="20"/>
        <v>6832.5707043785615</v>
      </c>
      <c r="U62" s="483"/>
      <c r="V62" s="514">
        <f t="shared" si="6"/>
        <v>6832.5707043785615</v>
      </c>
      <c r="W62" s="515">
        <v>16512.268942576724</v>
      </c>
      <c r="X62" s="483">
        <f t="shared" si="21"/>
        <v>16512.268942576724</v>
      </c>
      <c r="Y62" s="483"/>
      <c r="Z62" s="514">
        <f t="shared" si="8"/>
        <v>0</v>
      </c>
      <c r="AA62" s="515">
        <v>12227.112267970875</v>
      </c>
      <c r="AB62" s="483">
        <f t="shared" si="22"/>
        <v>12227.112267970875</v>
      </c>
      <c r="AC62" s="483"/>
      <c r="AD62" s="514">
        <f t="shared" si="10"/>
        <v>12227.112267970875</v>
      </c>
      <c r="AE62" s="515">
        <v>15173</v>
      </c>
      <c r="AF62" s="483">
        <f t="shared" si="23"/>
        <v>15173</v>
      </c>
      <c r="AG62" s="483"/>
      <c r="AH62" s="514">
        <f t="shared" si="12"/>
        <v>15173</v>
      </c>
      <c r="AI62" s="520">
        <v>12644</v>
      </c>
      <c r="AJ62" s="484">
        <f t="shared" si="24"/>
        <v>12644</v>
      </c>
      <c r="AK62" s="484"/>
      <c r="AL62" s="514">
        <f t="shared" si="14"/>
        <v>12644</v>
      </c>
      <c r="AM62" s="526">
        <v>14224.500000000002</v>
      </c>
      <c r="AN62" s="485">
        <f t="shared" si="25"/>
        <v>14224.500000000002</v>
      </c>
      <c r="AO62" s="485"/>
      <c r="AP62" s="514">
        <f t="shared" si="16"/>
        <v>14224.500000000002</v>
      </c>
      <c r="AQ62" s="530">
        <f t="shared" si="17"/>
        <v>18966</v>
      </c>
    </row>
    <row r="63" spans="1:43" x14ac:dyDescent="0.55000000000000004">
      <c r="A63" s="316" t="s">
        <v>368</v>
      </c>
      <c r="B63" s="218" t="s">
        <v>369</v>
      </c>
      <c r="C63" s="218" t="s">
        <v>370</v>
      </c>
      <c r="D63" s="105" t="s">
        <v>371</v>
      </c>
      <c r="E63" s="100"/>
      <c r="F63" s="34"/>
      <c r="G63" s="34"/>
      <c r="H63" s="480">
        <v>18326.432795999659</v>
      </c>
      <c r="I63" s="480" t="s">
        <v>412</v>
      </c>
      <c r="J63" s="490">
        <v>3</v>
      </c>
      <c r="K63" s="504">
        <v>0</v>
      </c>
      <c r="L63" s="482"/>
      <c r="M63" s="482">
        <f t="shared" si="1"/>
        <v>0</v>
      </c>
      <c r="N63" s="509">
        <f t="shared" si="2"/>
        <v>0</v>
      </c>
      <c r="O63" s="515">
        <v>6898.0693044142718</v>
      </c>
      <c r="P63" s="483"/>
      <c r="Q63" s="483">
        <f t="shared" si="3"/>
        <v>3449.0346522071359</v>
      </c>
      <c r="R63" s="514">
        <f t="shared" si="4"/>
        <v>3449.0346522071359</v>
      </c>
      <c r="S63" s="515">
        <v>6544.1632097958354</v>
      </c>
      <c r="T63" s="483"/>
      <c r="U63" s="483">
        <f t="shared" si="5"/>
        <v>3272.0816048979177</v>
      </c>
      <c r="V63" s="514">
        <f t="shared" si="6"/>
        <v>3272.0816048979177</v>
      </c>
      <c r="W63" s="515">
        <v>10733.781411342512</v>
      </c>
      <c r="X63" s="483"/>
      <c r="Y63" s="483">
        <f t="shared" si="7"/>
        <v>5366.890705671256</v>
      </c>
      <c r="Z63" s="514">
        <f t="shared" si="8"/>
        <v>5366.890705671256</v>
      </c>
      <c r="AA63" s="515">
        <v>8819.012139698023</v>
      </c>
      <c r="AB63" s="483"/>
      <c r="AC63" s="483">
        <f t="shared" si="9"/>
        <v>4409.5060698490115</v>
      </c>
      <c r="AD63" s="514">
        <f t="shared" si="10"/>
        <v>4409.5060698490115</v>
      </c>
      <c r="AE63" s="515">
        <v>12072</v>
      </c>
      <c r="AF63" s="483"/>
      <c r="AG63" s="483">
        <f t="shared" si="11"/>
        <v>6036</v>
      </c>
      <c r="AH63" s="514">
        <f t="shared" si="12"/>
        <v>6036</v>
      </c>
      <c r="AI63" s="520">
        <v>14399.340053999733</v>
      </c>
      <c r="AJ63" s="484"/>
      <c r="AK63" s="484">
        <f t="shared" si="13"/>
        <v>7199.6700269998664</v>
      </c>
      <c r="AL63" s="514">
        <f t="shared" si="14"/>
        <v>7199.6700269998664</v>
      </c>
      <c r="AM63" s="526">
        <v>6108.8109319998857</v>
      </c>
      <c r="AN63" s="485"/>
      <c r="AO63" s="485">
        <f t="shared" si="15"/>
        <v>3054.4054659999429</v>
      </c>
      <c r="AP63" s="514">
        <f t="shared" si="16"/>
        <v>3054.4054659999429</v>
      </c>
      <c r="AQ63" s="530">
        <f t="shared" si="17"/>
        <v>7199.6700269998664</v>
      </c>
    </row>
    <row r="64" spans="1:43" x14ac:dyDescent="0.55000000000000004">
      <c r="A64" s="316" t="s">
        <v>368</v>
      </c>
      <c r="B64" s="218" t="s">
        <v>369</v>
      </c>
      <c r="C64" s="218" t="s">
        <v>372</v>
      </c>
      <c r="D64" s="105" t="s">
        <v>373</v>
      </c>
      <c r="E64" s="100"/>
      <c r="F64" s="34"/>
      <c r="G64" s="34"/>
      <c r="H64" s="480">
        <v>24686.538616861621</v>
      </c>
      <c r="I64" s="480" t="s">
        <v>412</v>
      </c>
      <c r="J64" s="490">
        <v>3</v>
      </c>
      <c r="K64" s="504">
        <v>2611.25</v>
      </c>
      <c r="L64" s="482"/>
      <c r="M64" s="482">
        <f t="shared" si="1"/>
        <v>1305.625</v>
      </c>
      <c r="N64" s="509">
        <f t="shared" si="2"/>
        <v>1305.625</v>
      </c>
      <c r="O64" s="515">
        <v>5617.8884378467201</v>
      </c>
      <c r="P64" s="483"/>
      <c r="Q64" s="483">
        <f t="shared" si="3"/>
        <v>2808.94421892336</v>
      </c>
      <c r="R64" s="514">
        <f t="shared" si="4"/>
        <v>2808.94421892336</v>
      </c>
      <c r="S64" s="515">
        <v>8915.6976319139521</v>
      </c>
      <c r="T64" s="483"/>
      <c r="U64" s="483">
        <f t="shared" si="5"/>
        <v>4457.8488159569761</v>
      </c>
      <c r="V64" s="514">
        <f t="shared" si="6"/>
        <v>4457.8488159569761</v>
      </c>
      <c r="W64" s="515">
        <v>13123.758275597456</v>
      </c>
      <c r="X64" s="483"/>
      <c r="Y64" s="483">
        <f t="shared" si="7"/>
        <v>6561.8791377987282</v>
      </c>
      <c r="Z64" s="514">
        <f t="shared" si="8"/>
        <v>6561.8791377987282</v>
      </c>
      <c r="AA64" s="515">
        <v>12514.74824793882</v>
      </c>
      <c r="AB64" s="483"/>
      <c r="AC64" s="483">
        <f t="shared" si="9"/>
        <v>6257.37412396941</v>
      </c>
      <c r="AD64" s="514">
        <f t="shared" si="10"/>
        <v>6257.37412396941</v>
      </c>
      <c r="AE64" s="515">
        <v>17195</v>
      </c>
      <c r="AF64" s="483"/>
      <c r="AG64" s="483">
        <f t="shared" si="11"/>
        <v>8597.5</v>
      </c>
      <c r="AH64" s="514">
        <f t="shared" si="12"/>
        <v>8597.5</v>
      </c>
      <c r="AI64" s="520">
        <v>15709.615483457397</v>
      </c>
      <c r="AJ64" s="484"/>
      <c r="AK64" s="484">
        <f t="shared" si="13"/>
        <v>7854.8077417286986</v>
      </c>
      <c r="AL64" s="514">
        <f t="shared" si="14"/>
        <v>7854.8077417286986</v>
      </c>
      <c r="AM64" s="526">
        <v>12343.26930843081</v>
      </c>
      <c r="AN64" s="485"/>
      <c r="AO64" s="485">
        <f t="shared" si="15"/>
        <v>6171.6346542154051</v>
      </c>
      <c r="AP64" s="514">
        <f t="shared" si="16"/>
        <v>6171.6346542154051</v>
      </c>
      <c r="AQ64" s="530">
        <f t="shared" si="17"/>
        <v>8597.5</v>
      </c>
    </row>
    <row r="65" spans="1:43" x14ac:dyDescent="0.55000000000000004">
      <c r="A65" s="316" t="s">
        <v>368</v>
      </c>
      <c r="B65" s="218" t="s">
        <v>369</v>
      </c>
      <c r="C65" s="218" t="s">
        <v>374</v>
      </c>
      <c r="D65" s="105" t="s">
        <v>375</v>
      </c>
      <c r="E65" s="100"/>
      <c r="F65" s="34"/>
      <c r="G65" s="34"/>
      <c r="H65" s="480">
        <v>23538.621025019514</v>
      </c>
      <c r="I65" s="480" t="s">
        <v>412</v>
      </c>
      <c r="J65" s="490">
        <v>4</v>
      </c>
      <c r="K65" s="504">
        <v>240</v>
      </c>
      <c r="L65" s="482">
        <f t="shared" si="18"/>
        <v>240</v>
      </c>
      <c r="M65" s="482"/>
      <c r="N65" s="509">
        <f t="shared" si="2"/>
        <v>240</v>
      </c>
      <c r="O65" s="515">
        <v>7700.4762670911396</v>
      </c>
      <c r="P65" s="483">
        <f t="shared" si="19"/>
        <v>7700.4762670911396</v>
      </c>
      <c r="Q65" s="483"/>
      <c r="R65" s="514">
        <f t="shared" si="4"/>
        <v>7700.4762670911396</v>
      </c>
      <c r="S65" s="515">
        <v>10047.548765193676</v>
      </c>
      <c r="T65" s="483">
        <f t="shared" si="20"/>
        <v>10047.548765193676</v>
      </c>
      <c r="U65" s="483"/>
      <c r="V65" s="514">
        <f t="shared" si="6"/>
        <v>10047.548765193676</v>
      </c>
      <c r="W65" s="515">
        <v>17357.362182742232</v>
      </c>
      <c r="X65" s="483">
        <f t="shared" si="21"/>
        <v>17357.362182742232</v>
      </c>
      <c r="Y65" s="483"/>
      <c r="Z65" s="514">
        <f t="shared" si="8"/>
        <v>0</v>
      </c>
      <c r="AA65" s="515">
        <v>10068.816557931883</v>
      </c>
      <c r="AB65" s="483">
        <f t="shared" si="22"/>
        <v>10068.816557931883</v>
      </c>
      <c r="AC65" s="483"/>
      <c r="AD65" s="514">
        <f t="shared" si="10"/>
        <v>10068.816557931883</v>
      </c>
      <c r="AE65" s="515">
        <v>18831</v>
      </c>
      <c r="AF65" s="483">
        <f t="shared" si="23"/>
        <v>18831</v>
      </c>
      <c r="AG65" s="483"/>
      <c r="AH65" s="514">
        <f t="shared" si="12"/>
        <v>18831</v>
      </c>
      <c r="AI65" s="520">
        <v>23538.621025019514</v>
      </c>
      <c r="AJ65" s="484">
        <f t="shared" si="24"/>
        <v>23538.621025019514</v>
      </c>
      <c r="AK65" s="484"/>
      <c r="AL65" s="514">
        <f t="shared" si="14"/>
        <v>23538.621025019514</v>
      </c>
      <c r="AM65" s="526">
        <v>11551.360317833653</v>
      </c>
      <c r="AN65" s="485">
        <f t="shared" si="25"/>
        <v>11551.360317833653</v>
      </c>
      <c r="AO65" s="485"/>
      <c r="AP65" s="514">
        <f t="shared" si="16"/>
        <v>11551.360317833653</v>
      </c>
      <c r="AQ65" s="530">
        <f t="shared" si="17"/>
        <v>23538.621025019514</v>
      </c>
    </row>
    <row r="66" spans="1:43" x14ac:dyDescent="0.55000000000000004">
      <c r="A66" s="316" t="s">
        <v>368</v>
      </c>
      <c r="B66" s="218" t="s">
        <v>369</v>
      </c>
      <c r="C66" s="218" t="s">
        <v>376</v>
      </c>
      <c r="D66" s="105" t="s">
        <v>377</v>
      </c>
      <c r="E66" s="100"/>
      <c r="F66" s="34"/>
      <c r="G66" s="34"/>
      <c r="H66" s="480">
        <v>35756.212335130236</v>
      </c>
      <c r="I66" s="480" t="s">
        <v>412</v>
      </c>
      <c r="J66" s="490">
        <v>3</v>
      </c>
      <c r="K66" s="504">
        <v>0</v>
      </c>
      <c r="L66" s="482"/>
      <c r="M66" s="482">
        <f t="shared" si="1"/>
        <v>0</v>
      </c>
      <c r="N66" s="509">
        <f t="shared" si="2"/>
        <v>0</v>
      </c>
      <c r="O66" s="515">
        <v>9480.6166758104409</v>
      </c>
      <c r="P66" s="483"/>
      <c r="Q66" s="483">
        <f t="shared" si="3"/>
        <v>4740.3083379052205</v>
      </c>
      <c r="R66" s="514">
        <f t="shared" si="4"/>
        <v>4740.3083379052205</v>
      </c>
      <c r="S66" s="515">
        <v>13420.801446190691</v>
      </c>
      <c r="T66" s="483"/>
      <c r="U66" s="483">
        <f t="shared" si="5"/>
        <v>6710.4007230953457</v>
      </c>
      <c r="V66" s="514">
        <f t="shared" si="6"/>
        <v>6710.4007230953457</v>
      </c>
      <c r="W66" s="515">
        <v>22205.011671083026</v>
      </c>
      <c r="X66" s="483"/>
      <c r="Y66" s="483">
        <f t="shared" si="7"/>
        <v>11102.505835541513</v>
      </c>
      <c r="Z66" s="514">
        <f t="shared" si="8"/>
        <v>11102.505835541513</v>
      </c>
      <c r="AA66" s="515">
        <v>16120.24674715752</v>
      </c>
      <c r="AB66" s="483"/>
      <c r="AC66" s="483">
        <f t="shared" si="9"/>
        <v>8060.12337357876</v>
      </c>
      <c r="AD66" s="514">
        <f t="shared" si="10"/>
        <v>8060.12337357876</v>
      </c>
      <c r="AE66" s="515">
        <v>25029</v>
      </c>
      <c r="AF66" s="483"/>
      <c r="AG66" s="483">
        <f t="shared" si="11"/>
        <v>12514.5</v>
      </c>
      <c r="AH66" s="514">
        <f t="shared" si="12"/>
        <v>12514.5</v>
      </c>
      <c r="AI66" s="520">
        <v>17878.106167565114</v>
      </c>
      <c r="AJ66" s="484"/>
      <c r="AK66" s="484">
        <f t="shared" si="13"/>
        <v>8939.0530837825572</v>
      </c>
      <c r="AL66" s="514">
        <f t="shared" si="14"/>
        <v>8939.0530837825572</v>
      </c>
      <c r="AM66" s="526">
        <v>21519.942609106154</v>
      </c>
      <c r="AN66" s="485"/>
      <c r="AO66" s="485">
        <f t="shared" si="15"/>
        <v>10759.971304553077</v>
      </c>
      <c r="AP66" s="514">
        <f t="shared" si="16"/>
        <v>10759.971304553077</v>
      </c>
      <c r="AQ66" s="530">
        <f t="shared" si="17"/>
        <v>12514.5</v>
      </c>
    </row>
    <row r="67" spans="1:43" x14ac:dyDescent="0.55000000000000004">
      <c r="A67" s="316" t="s">
        <v>368</v>
      </c>
      <c r="B67" s="218" t="s">
        <v>369</v>
      </c>
      <c r="C67" s="218" t="s">
        <v>378</v>
      </c>
      <c r="D67" s="105" t="s">
        <v>379</v>
      </c>
      <c r="E67" s="100"/>
      <c r="F67" s="34"/>
      <c r="G67" s="34"/>
      <c r="H67" s="480">
        <v>7457.5791677040434</v>
      </c>
      <c r="I67" s="480" t="s">
        <v>412</v>
      </c>
      <c r="J67" s="490">
        <v>3</v>
      </c>
      <c r="K67" s="504">
        <v>0</v>
      </c>
      <c r="L67" s="482"/>
      <c r="M67" s="482">
        <f t="shared" si="1"/>
        <v>0</v>
      </c>
      <c r="N67" s="509">
        <f t="shared" si="2"/>
        <v>0</v>
      </c>
      <c r="O67" s="515">
        <v>1158.2925523798729</v>
      </c>
      <c r="P67" s="483"/>
      <c r="Q67" s="483">
        <f t="shared" si="3"/>
        <v>579.14627618993643</v>
      </c>
      <c r="R67" s="514">
        <f t="shared" si="4"/>
        <v>579.14627618993643</v>
      </c>
      <c r="S67" s="515">
        <v>3325.3650088040599</v>
      </c>
      <c r="T67" s="483"/>
      <c r="U67" s="483">
        <f t="shared" si="5"/>
        <v>1662.68250440203</v>
      </c>
      <c r="V67" s="514">
        <f t="shared" si="6"/>
        <v>1662.68250440203</v>
      </c>
      <c r="W67" s="515">
        <v>4228.2661319429981</v>
      </c>
      <c r="X67" s="483"/>
      <c r="Y67" s="483">
        <f t="shared" si="7"/>
        <v>2114.133065971499</v>
      </c>
      <c r="Z67" s="514">
        <f t="shared" si="8"/>
        <v>2114.133065971499</v>
      </c>
      <c r="AA67" s="515">
        <v>4251.9555195741968</v>
      </c>
      <c r="AB67" s="483"/>
      <c r="AC67" s="483">
        <f t="shared" si="9"/>
        <v>2125.9777597870984</v>
      </c>
      <c r="AD67" s="514">
        <f t="shared" si="10"/>
        <v>2125.9777597870984</v>
      </c>
      <c r="AE67" s="515">
        <v>5221</v>
      </c>
      <c r="AF67" s="483"/>
      <c r="AG67" s="483">
        <f t="shared" si="11"/>
        <v>2610.5</v>
      </c>
      <c r="AH67" s="514">
        <f t="shared" si="12"/>
        <v>2610.5</v>
      </c>
      <c r="AI67" s="520">
        <v>4971.7194451360283</v>
      </c>
      <c r="AJ67" s="484"/>
      <c r="AK67" s="484">
        <f t="shared" si="13"/>
        <v>2485.8597225680141</v>
      </c>
      <c r="AL67" s="514">
        <f t="shared" si="14"/>
        <v>2485.8597225680141</v>
      </c>
      <c r="AM67" s="526">
        <v>5731.2876936984776</v>
      </c>
      <c r="AN67" s="485"/>
      <c r="AO67" s="485">
        <f t="shared" si="15"/>
        <v>2865.6438468492388</v>
      </c>
      <c r="AP67" s="514">
        <f t="shared" si="16"/>
        <v>2865.6438468492388</v>
      </c>
      <c r="AQ67" s="530">
        <f t="shared" si="17"/>
        <v>2865.6438468492388</v>
      </c>
    </row>
    <row r="68" spans="1:43" x14ac:dyDescent="0.55000000000000004">
      <c r="A68" s="316" t="s">
        <v>368</v>
      </c>
      <c r="B68" s="218" t="s">
        <v>369</v>
      </c>
      <c r="C68" s="218" t="s">
        <v>380</v>
      </c>
      <c r="D68" s="105" t="s">
        <v>381</v>
      </c>
      <c r="E68" s="100"/>
      <c r="F68" s="34"/>
      <c r="G68" s="34"/>
      <c r="H68" s="480">
        <v>150879.3340223525</v>
      </c>
      <c r="I68" s="480" t="s">
        <v>412</v>
      </c>
      <c r="J68" s="490">
        <v>4</v>
      </c>
      <c r="K68" s="504">
        <v>84325</v>
      </c>
      <c r="L68" s="482">
        <f t="shared" ref="L68:L131" si="26">K68</f>
        <v>84325</v>
      </c>
      <c r="M68" s="482"/>
      <c r="N68" s="509">
        <f t="shared" ref="N68:N131" si="27">SUM(L68:M68)</f>
        <v>84325</v>
      </c>
      <c r="O68" s="515">
        <v>18528.283976612929</v>
      </c>
      <c r="P68" s="483">
        <f t="shared" ref="P68:P131" si="28">O68</f>
        <v>18528.283976612929</v>
      </c>
      <c r="Q68" s="483"/>
      <c r="R68" s="514">
        <f t="shared" ref="R68:R131" si="29">SUM(P68:Q68)</f>
        <v>18528.283976612929</v>
      </c>
      <c r="S68" s="515">
        <v>62421.428794820094</v>
      </c>
      <c r="T68" s="483">
        <f t="shared" ref="T68:T131" si="30">S68</f>
        <v>62421.428794820094</v>
      </c>
      <c r="U68" s="483"/>
      <c r="V68" s="514">
        <f t="shared" ref="V68:V131" si="31">SUM(T68:U68)</f>
        <v>62421.428794820094</v>
      </c>
      <c r="W68" s="515">
        <v>88035.172558781574</v>
      </c>
      <c r="X68" s="483">
        <f t="shared" ref="X68:X131" si="32">W68</f>
        <v>88035.172558781574</v>
      </c>
      <c r="Y68" s="483"/>
      <c r="Z68" s="514">
        <f t="shared" ref="Z68:Z131" si="33">SUM(Y68)</f>
        <v>0</v>
      </c>
      <c r="AA68" s="515">
        <v>91148.735693234499</v>
      </c>
      <c r="AB68" s="483">
        <f t="shared" ref="AB68:AB131" si="34">AA68</f>
        <v>91148.735693234499</v>
      </c>
      <c r="AC68" s="483"/>
      <c r="AD68" s="514">
        <f t="shared" ref="AD68:AD131" si="35">SUM(AB68:AC68)</f>
        <v>91148.735693234499</v>
      </c>
      <c r="AE68" s="515">
        <v>116376</v>
      </c>
      <c r="AF68" s="483">
        <f t="shared" ref="AF68:AF131" si="36">AE68</f>
        <v>116376</v>
      </c>
      <c r="AG68" s="483"/>
      <c r="AH68" s="514">
        <f t="shared" ref="AH68:AH131" si="37">SUM(AF68:AG68)</f>
        <v>116376</v>
      </c>
      <c r="AI68" s="520">
        <v>85279.623577851424</v>
      </c>
      <c r="AJ68" s="484">
        <f t="shared" ref="AJ68:AJ131" si="38">AI68</f>
        <v>85279.623577851424</v>
      </c>
      <c r="AK68" s="484"/>
      <c r="AL68" s="514">
        <f t="shared" ref="AL68:AL131" si="39">SUM(AJ68:AK68)</f>
        <v>85279.623577851424</v>
      </c>
      <c r="AM68" s="526">
        <v>68454.512658289575</v>
      </c>
      <c r="AN68" s="485">
        <f t="shared" ref="AN68:AN131" si="40">AM68</f>
        <v>68454.512658289575</v>
      </c>
      <c r="AO68" s="485"/>
      <c r="AP68" s="514">
        <f t="shared" ref="AP68:AP131" si="41">SUM(AN68:AO68)</f>
        <v>68454.512658289575</v>
      </c>
      <c r="AQ68" s="530">
        <f t="shared" ref="AQ68:AQ131" si="42">MAX(N68,R68,V68,Z68,AD68,AH68,AL68,AP68)</f>
        <v>116376</v>
      </c>
    </row>
    <row r="69" spans="1:43" x14ac:dyDescent="0.55000000000000004">
      <c r="A69" s="316" t="s">
        <v>382</v>
      </c>
      <c r="B69" s="218" t="s">
        <v>383</v>
      </c>
      <c r="C69" s="218" t="s">
        <v>384</v>
      </c>
      <c r="D69" s="105" t="s">
        <v>385</v>
      </c>
      <c r="E69" s="100"/>
      <c r="F69" s="34"/>
      <c r="G69" s="34"/>
      <c r="H69" s="480">
        <v>47398.331065600592</v>
      </c>
      <c r="I69" s="480" t="s">
        <v>412</v>
      </c>
      <c r="J69" s="490">
        <v>3</v>
      </c>
      <c r="K69" s="504">
        <v>29770</v>
      </c>
      <c r="L69" s="482"/>
      <c r="M69" s="482">
        <f t="shared" ref="M69:M128" si="43">K69/2</f>
        <v>14885</v>
      </c>
      <c r="N69" s="509">
        <f t="shared" si="27"/>
        <v>14885</v>
      </c>
      <c r="O69" s="515">
        <v>9690.8068186849396</v>
      </c>
      <c r="P69" s="483"/>
      <c r="Q69" s="483">
        <f t="shared" ref="Q69:Q128" si="44">O69/2</f>
        <v>4845.4034093424698</v>
      </c>
      <c r="R69" s="514">
        <f t="shared" si="29"/>
        <v>4845.4034093424698</v>
      </c>
      <c r="S69" s="515">
        <v>14544.814203475513</v>
      </c>
      <c r="T69" s="483"/>
      <c r="U69" s="483">
        <f t="shared" ref="U69:U128" si="45">S69/2</f>
        <v>7272.4071017377564</v>
      </c>
      <c r="V69" s="514">
        <f t="shared" si="31"/>
        <v>7272.4071017377564</v>
      </c>
      <c r="W69" s="515">
        <v>14505.466379567835</v>
      </c>
      <c r="X69" s="483"/>
      <c r="Y69" s="483">
        <f t="shared" ref="Y69:Y128" si="46">W69/2</f>
        <v>7252.7331897839176</v>
      </c>
      <c r="Z69" s="514">
        <f t="shared" si="33"/>
        <v>7252.7331897839176</v>
      </c>
      <c r="AA69" s="515">
        <v>24636.291496195918</v>
      </c>
      <c r="AB69" s="483"/>
      <c r="AC69" s="483">
        <f t="shared" ref="AC69:AC128" si="47">AA69/2</f>
        <v>12318.145748097959</v>
      </c>
      <c r="AD69" s="514">
        <f t="shared" si="35"/>
        <v>12318.145748097959</v>
      </c>
      <c r="AE69" s="515">
        <v>33053</v>
      </c>
      <c r="AF69" s="483"/>
      <c r="AG69" s="483">
        <f t="shared" ref="AG69:AG128" si="48">AE69/2</f>
        <v>16526.5</v>
      </c>
      <c r="AH69" s="514">
        <f t="shared" si="37"/>
        <v>16526.5</v>
      </c>
      <c r="AI69" s="520">
        <v>22751.198911488282</v>
      </c>
      <c r="AJ69" s="484"/>
      <c r="AK69" s="484">
        <f t="shared" ref="AK69:AK128" si="49">AI69/2</f>
        <v>11375.599455744141</v>
      </c>
      <c r="AL69" s="514">
        <f t="shared" si="39"/>
        <v>11375.599455744141</v>
      </c>
      <c r="AM69" s="526">
        <v>33793.25455603005</v>
      </c>
      <c r="AN69" s="485"/>
      <c r="AO69" s="485">
        <f t="shared" ref="AO69:AO128" si="50">AM69/2</f>
        <v>16896.627278015025</v>
      </c>
      <c r="AP69" s="514">
        <f t="shared" si="41"/>
        <v>16896.627278015025</v>
      </c>
      <c r="AQ69" s="530">
        <f t="shared" si="42"/>
        <v>16896.627278015025</v>
      </c>
    </row>
    <row r="70" spans="1:43" x14ac:dyDescent="0.55000000000000004">
      <c r="A70" s="316" t="s">
        <v>382</v>
      </c>
      <c r="B70" s="218" t="s">
        <v>383</v>
      </c>
      <c r="C70" s="218" t="s">
        <v>386</v>
      </c>
      <c r="D70" s="105" t="s">
        <v>387</v>
      </c>
      <c r="E70" s="100"/>
      <c r="F70" s="34"/>
      <c r="G70" s="34"/>
      <c r="H70" s="480">
        <v>7607.0241213008612</v>
      </c>
      <c r="I70" s="480" t="s">
        <v>412</v>
      </c>
      <c r="J70" s="490">
        <v>3</v>
      </c>
      <c r="K70" s="504">
        <v>5708.75</v>
      </c>
      <c r="L70" s="482"/>
      <c r="M70" s="482">
        <f t="shared" si="43"/>
        <v>2854.375</v>
      </c>
      <c r="N70" s="509">
        <f t="shared" si="27"/>
        <v>2854.375</v>
      </c>
      <c r="O70" s="515">
        <v>2002.2181943831749</v>
      </c>
      <c r="P70" s="483"/>
      <c r="Q70" s="483">
        <f t="shared" si="44"/>
        <v>1001.1090971915875</v>
      </c>
      <c r="R70" s="514">
        <f t="shared" si="29"/>
        <v>1001.1090971915875</v>
      </c>
      <c r="S70" s="515">
        <v>2396.4767092317202</v>
      </c>
      <c r="T70" s="483"/>
      <c r="U70" s="483">
        <f t="shared" si="45"/>
        <v>1198.2383546158601</v>
      </c>
      <c r="V70" s="514">
        <f t="shared" si="31"/>
        <v>1198.2383546158601</v>
      </c>
      <c r="W70" s="515">
        <v>3957.0969391456388</v>
      </c>
      <c r="X70" s="483"/>
      <c r="Y70" s="483">
        <f t="shared" si="46"/>
        <v>1978.5484695728194</v>
      </c>
      <c r="Z70" s="514">
        <f t="shared" si="33"/>
        <v>1978.5484695728194</v>
      </c>
      <c r="AA70" s="515">
        <v>3945.0872702433403</v>
      </c>
      <c r="AB70" s="483"/>
      <c r="AC70" s="483">
        <f t="shared" si="47"/>
        <v>1972.5436351216701</v>
      </c>
      <c r="AD70" s="514">
        <f t="shared" si="35"/>
        <v>1972.5436351216701</v>
      </c>
      <c r="AE70" s="515">
        <v>5112</v>
      </c>
      <c r="AF70" s="483"/>
      <c r="AG70" s="483">
        <f t="shared" si="48"/>
        <v>2556</v>
      </c>
      <c r="AH70" s="514">
        <f t="shared" si="37"/>
        <v>2556</v>
      </c>
      <c r="AI70" s="520">
        <v>6684.9605914462118</v>
      </c>
      <c r="AJ70" s="484"/>
      <c r="AK70" s="484">
        <f t="shared" si="49"/>
        <v>3342.4802957231059</v>
      </c>
      <c r="AL70" s="514">
        <f t="shared" si="39"/>
        <v>3342.4802957231059</v>
      </c>
      <c r="AM70" s="526">
        <v>1972.1914388557791</v>
      </c>
      <c r="AN70" s="485"/>
      <c r="AO70" s="485">
        <f t="shared" si="50"/>
        <v>986.09571942788955</v>
      </c>
      <c r="AP70" s="514">
        <f t="shared" si="41"/>
        <v>986.09571942788955</v>
      </c>
      <c r="AQ70" s="530">
        <f t="shared" si="42"/>
        <v>3342.4802957231059</v>
      </c>
    </row>
    <row r="71" spans="1:43" x14ac:dyDescent="0.55000000000000004">
      <c r="A71" s="316" t="s">
        <v>382</v>
      </c>
      <c r="B71" s="218" t="s">
        <v>383</v>
      </c>
      <c r="C71" s="218" t="s">
        <v>388</v>
      </c>
      <c r="D71" s="105" t="s">
        <v>389</v>
      </c>
      <c r="E71" s="100"/>
      <c r="F71" s="34"/>
      <c r="G71" s="34"/>
      <c r="H71" s="480">
        <v>17868.652727011824</v>
      </c>
      <c r="I71" s="480" t="s">
        <v>412</v>
      </c>
      <c r="J71" s="490">
        <v>3</v>
      </c>
      <c r="K71" s="504">
        <v>12495</v>
      </c>
      <c r="L71" s="482"/>
      <c r="M71" s="482">
        <f t="shared" si="43"/>
        <v>6247.5</v>
      </c>
      <c r="N71" s="509">
        <f t="shared" si="27"/>
        <v>6247.5</v>
      </c>
      <c r="O71" s="515">
        <v>2435.5974311469831</v>
      </c>
      <c r="P71" s="483"/>
      <c r="Q71" s="483">
        <f t="shared" si="44"/>
        <v>1217.7987155734916</v>
      </c>
      <c r="R71" s="514">
        <f t="shared" si="29"/>
        <v>1217.7987155734916</v>
      </c>
      <c r="S71" s="515">
        <v>5600.7481603773604</v>
      </c>
      <c r="T71" s="483"/>
      <c r="U71" s="483">
        <f t="shared" si="45"/>
        <v>2800.3740801886802</v>
      </c>
      <c r="V71" s="514">
        <f t="shared" si="31"/>
        <v>2800.3740801886802</v>
      </c>
      <c r="W71" s="515">
        <v>8857.7260476905867</v>
      </c>
      <c r="X71" s="483"/>
      <c r="Y71" s="483">
        <f t="shared" si="46"/>
        <v>4428.8630238452934</v>
      </c>
      <c r="Z71" s="514">
        <f t="shared" si="33"/>
        <v>4428.8630238452934</v>
      </c>
      <c r="AA71" s="515">
        <v>8138.121867898999</v>
      </c>
      <c r="AB71" s="483"/>
      <c r="AC71" s="483">
        <f t="shared" si="47"/>
        <v>4069.0609339494995</v>
      </c>
      <c r="AD71" s="514">
        <f t="shared" si="35"/>
        <v>4069.0609339494995</v>
      </c>
      <c r="AE71" s="515">
        <v>12461</v>
      </c>
      <c r="AF71" s="483"/>
      <c r="AG71" s="483">
        <f t="shared" si="48"/>
        <v>6230.5</v>
      </c>
      <c r="AH71" s="514">
        <f t="shared" si="37"/>
        <v>6230.5</v>
      </c>
      <c r="AI71" s="520">
        <v>11809.741744864135</v>
      </c>
      <c r="AJ71" s="484"/>
      <c r="AK71" s="484">
        <f t="shared" si="49"/>
        <v>5904.8708724320677</v>
      </c>
      <c r="AL71" s="514">
        <f t="shared" si="39"/>
        <v>5904.8708724320677</v>
      </c>
      <c r="AM71" s="526">
        <v>7776.1729460144043</v>
      </c>
      <c r="AN71" s="485"/>
      <c r="AO71" s="485">
        <f t="shared" si="50"/>
        <v>3888.0864730072021</v>
      </c>
      <c r="AP71" s="514">
        <f t="shared" si="41"/>
        <v>3888.0864730072021</v>
      </c>
      <c r="AQ71" s="530">
        <f t="shared" si="42"/>
        <v>6247.5</v>
      </c>
    </row>
    <row r="72" spans="1:43" x14ac:dyDescent="0.55000000000000004">
      <c r="A72" s="316" t="s">
        <v>390</v>
      </c>
      <c r="B72" s="218" t="s">
        <v>391</v>
      </c>
      <c r="C72" s="218" t="s">
        <v>392</v>
      </c>
      <c r="D72" s="105" t="s">
        <v>393</v>
      </c>
      <c r="E72" s="100"/>
      <c r="F72" s="34"/>
      <c r="G72" s="34"/>
      <c r="H72" s="480">
        <v>41205.344743342968</v>
      </c>
      <c r="I72" s="480" t="s">
        <v>412</v>
      </c>
      <c r="J72" s="490">
        <v>3</v>
      </c>
      <c r="K72" s="504">
        <v>28443.75</v>
      </c>
      <c r="L72" s="482"/>
      <c r="M72" s="482">
        <f t="shared" si="43"/>
        <v>14221.875</v>
      </c>
      <c r="N72" s="509">
        <f t="shared" si="27"/>
        <v>14221.875</v>
      </c>
      <c r="O72" s="515">
        <v>9063.5482324180903</v>
      </c>
      <c r="P72" s="483"/>
      <c r="Q72" s="483">
        <f t="shared" si="44"/>
        <v>4531.7741162090451</v>
      </c>
      <c r="R72" s="514">
        <f t="shared" si="29"/>
        <v>4531.7741162090451</v>
      </c>
      <c r="S72" s="515">
        <v>15443.460454234011</v>
      </c>
      <c r="T72" s="483"/>
      <c r="U72" s="483">
        <f t="shared" si="45"/>
        <v>7721.7302271170056</v>
      </c>
      <c r="V72" s="514">
        <f t="shared" si="31"/>
        <v>7721.7302271170056</v>
      </c>
      <c r="W72" s="515">
        <v>7366.4824054815472</v>
      </c>
      <c r="X72" s="483"/>
      <c r="Y72" s="483">
        <f t="shared" si="46"/>
        <v>3683.2412027407736</v>
      </c>
      <c r="Z72" s="514">
        <f t="shared" si="33"/>
        <v>3683.2412027407736</v>
      </c>
      <c r="AA72" s="515">
        <v>20365.728284970235</v>
      </c>
      <c r="AB72" s="483"/>
      <c r="AC72" s="483">
        <f t="shared" si="47"/>
        <v>10182.864142485118</v>
      </c>
      <c r="AD72" s="514">
        <f t="shared" si="35"/>
        <v>10182.864142485118</v>
      </c>
      <c r="AE72" s="515">
        <v>27390</v>
      </c>
      <c r="AF72" s="483"/>
      <c r="AG72" s="483">
        <f t="shared" si="48"/>
        <v>13695</v>
      </c>
      <c r="AH72" s="514">
        <f t="shared" si="37"/>
        <v>13695</v>
      </c>
      <c r="AI72" s="520">
        <v>32680.101003340977</v>
      </c>
      <c r="AJ72" s="484"/>
      <c r="AK72" s="484">
        <f t="shared" si="49"/>
        <v>16340.050501670488</v>
      </c>
      <c r="AL72" s="514">
        <f t="shared" si="39"/>
        <v>16340.050501670488</v>
      </c>
      <c r="AM72" s="526">
        <v>30522.477587661459</v>
      </c>
      <c r="AN72" s="485"/>
      <c r="AO72" s="485">
        <f t="shared" si="50"/>
        <v>15261.238793830729</v>
      </c>
      <c r="AP72" s="514">
        <f t="shared" si="41"/>
        <v>15261.238793830729</v>
      </c>
      <c r="AQ72" s="530">
        <f t="shared" si="42"/>
        <v>16340.050501670488</v>
      </c>
    </row>
    <row r="73" spans="1:43" x14ac:dyDescent="0.55000000000000004">
      <c r="A73" s="316" t="s">
        <v>390</v>
      </c>
      <c r="B73" s="218" t="s">
        <v>391</v>
      </c>
      <c r="C73" s="218" t="s">
        <v>394</v>
      </c>
      <c r="D73" s="105" t="s">
        <v>395</v>
      </c>
      <c r="E73" s="100"/>
      <c r="F73" s="34"/>
      <c r="G73" s="34"/>
      <c r="H73" s="480">
        <v>7434.8763775539119</v>
      </c>
      <c r="I73" s="480" t="s">
        <v>412</v>
      </c>
      <c r="J73" s="490">
        <v>3</v>
      </c>
      <c r="K73" s="504">
        <v>0</v>
      </c>
      <c r="L73" s="482"/>
      <c r="M73" s="482">
        <f t="shared" si="43"/>
        <v>0</v>
      </c>
      <c r="N73" s="509">
        <f t="shared" si="27"/>
        <v>0</v>
      </c>
      <c r="O73" s="515">
        <v>1065.1352596011284</v>
      </c>
      <c r="P73" s="483"/>
      <c r="Q73" s="483">
        <f t="shared" si="44"/>
        <v>532.56762980056419</v>
      </c>
      <c r="R73" s="514">
        <f t="shared" si="29"/>
        <v>532.56762980056419</v>
      </c>
      <c r="S73" s="515">
        <v>2509.5581547841798</v>
      </c>
      <c r="T73" s="483"/>
      <c r="U73" s="483">
        <f t="shared" si="45"/>
        <v>1254.7790773920899</v>
      </c>
      <c r="V73" s="514">
        <f t="shared" si="31"/>
        <v>1254.7790773920899</v>
      </c>
      <c r="W73" s="515">
        <v>1873.3688115038503</v>
      </c>
      <c r="X73" s="483"/>
      <c r="Y73" s="483">
        <f t="shared" si="46"/>
        <v>936.68440575192517</v>
      </c>
      <c r="Z73" s="514">
        <f t="shared" si="33"/>
        <v>936.68440575192517</v>
      </c>
      <c r="AA73" s="515">
        <v>3232.081327090078</v>
      </c>
      <c r="AB73" s="483"/>
      <c r="AC73" s="483">
        <f t="shared" si="47"/>
        <v>1616.040663545039</v>
      </c>
      <c r="AD73" s="514">
        <f t="shared" si="35"/>
        <v>1616.040663545039</v>
      </c>
      <c r="AE73" s="515">
        <v>5205</v>
      </c>
      <c r="AF73" s="483"/>
      <c r="AG73" s="483">
        <f t="shared" si="48"/>
        <v>2602.5</v>
      </c>
      <c r="AH73" s="514">
        <f t="shared" si="37"/>
        <v>2602.5</v>
      </c>
      <c r="AI73" s="520">
        <v>4956.5842517026076</v>
      </c>
      <c r="AJ73" s="484"/>
      <c r="AK73" s="484">
        <f t="shared" si="49"/>
        <v>2478.2921258513038</v>
      </c>
      <c r="AL73" s="514">
        <f t="shared" si="39"/>
        <v>2478.2921258513038</v>
      </c>
      <c r="AM73" s="526">
        <v>6333.4132105088875</v>
      </c>
      <c r="AN73" s="485"/>
      <c r="AO73" s="485">
        <f t="shared" si="50"/>
        <v>3166.7066052544437</v>
      </c>
      <c r="AP73" s="514">
        <f t="shared" si="41"/>
        <v>3166.7066052544437</v>
      </c>
      <c r="AQ73" s="530">
        <f t="shared" si="42"/>
        <v>3166.7066052544437</v>
      </c>
    </row>
    <row r="74" spans="1:43" x14ac:dyDescent="0.55000000000000004">
      <c r="A74" s="316" t="s">
        <v>390</v>
      </c>
      <c r="B74" s="218" t="s">
        <v>391</v>
      </c>
      <c r="C74" s="218" t="s">
        <v>396</v>
      </c>
      <c r="D74" s="105" t="s">
        <v>397</v>
      </c>
      <c r="E74" s="100"/>
      <c r="F74" s="34"/>
      <c r="G74" s="34"/>
      <c r="H74" s="480">
        <v>11522.074781291758</v>
      </c>
      <c r="I74" s="480" t="s">
        <v>412</v>
      </c>
      <c r="J74" s="490">
        <v>3</v>
      </c>
      <c r="K74" s="504">
        <v>0</v>
      </c>
      <c r="L74" s="482"/>
      <c r="M74" s="482">
        <f t="shared" si="43"/>
        <v>0</v>
      </c>
      <c r="N74" s="509">
        <f t="shared" si="27"/>
        <v>0</v>
      </c>
      <c r="O74" s="515">
        <v>1799.3171552409522</v>
      </c>
      <c r="P74" s="483"/>
      <c r="Q74" s="483">
        <f t="shared" si="44"/>
        <v>899.65857762047608</v>
      </c>
      <c r="R74" s="514">
        <f t="shared" si="29"/>
        <v>899.65857762047608</v>
      </c>
      <c r="S74" s="515">
        <v>5074.6842863832189</v>
      </c>
      <c r="T74" s="483"/>
      <c r="U74" s="483">
        <f t="shared" si="45"/>
        <v>2537.3421431916095</v>
      </c>
      <c r="V74" s="514">
        <f t="shared" si="31"/>
        <v>2537.3421431916095</v>
      </c>
      <c r="W74" s="515">
        <v>2922.2520778946996</v>
      </c>
      <c r="X74" s="483"/>
      <c r="Y74" s="483">
        <f t="shared" si="46"/>
        <v>1461.1260389473498</v>
      </c>
      <c r="Z74" s="514">
        <f t="shared" si="33"/>
        <v>1461.1260389473498</v>
      </c>
      <c r="AA74" s="515">
        <v>4525.3940897146904</v>
      </c>
      <c r="AB74" s="483"/>
      <c r="AC74" s="483">
        <f t="shared" si="47"/>
        <v>2262.6970448573452</v>
      </c>
      <c r="AD74" s="514">
        <f t="shared" si="35"/>
        <v>2262.6970448573452</v>
      </c>
      <c r="AE74" s="515">
        <v>7305</v>
      </c>
      <c r="AF74" s="483"/>
      <c r="AG74" s="483">
        <f t="shared" si="48"/>
        <v>3652.5</v>
      </c>
      <c r="AH74" s="514">
        <f t="shared" si="37"/>
        <v>3652.5</v>
      </c>
      <c r="AI74" s="520">
        <v>5761.037390645879</v>
      </c>
      <c r="AJ74" s="484"/>
      <c r="AK74" s="484">
        <f t="shared" si="49"/>
        <v>2880.5186953229395</v>
      </c>
      <c r="AL74" s="514">
        <f t="shared" si="39"/>
        <v>2880.5186953229395</v>
      </c>
      <c r="AM74" s="526">
        <v>8321.4984531551581</v>
      </c>
      <c r="AN74" s="485"/>
      <c r="AO74" s="485">
        <f t="shared" si="50"/>
        <v>4160.7492265775791</v>
      </c>
      <c r="AP74" s="514">
        <f t="shared" si="41"/>
        <v>4160.7492265775791</v>
      </c>
      <c r="AQ74" s="530">
        <f t="shared" si="42"/>
        <v>4160.7492265775791</v>
      </c>
    </row>
    <row r="75" spans="1:43" x14ac:dyDescent="0.55000000000000004">
      <c r="A75" s="316" t="s">
        <v>390</v>
      </c>
      <c r="B75" s="218" t="s">
        <v>391</v>
      </c>
      <c r="C75" s="218" t="s">
        <v>398</v>
      </c>
      <c r="D75" s="105" t="s">
        <v>399</v>
      </c>
      <c r="E75" s="100"/>
      <c r="F75" s="34"/>
      <c r="G75" s="34"/>
      <c r="H75" s="480">
        <v>17357.293062226148</v>
      </c>
      <c r="I75" s="480" t="s">
        <v>412</v>
      </c>
      <c r="J75" s="490">
        <v>3</v>
      </c>
      <c r="K75" s="504">
        <v>0</v>
      </c>
      <c r="L75" s="482"/>
      <c r="M75" s="482">
        <f t="shared" si="43"/>
        <v>0</v>
      </c>
      <c r="N75" s="509">
        <f t="shared" si="27"/>
        <v>0</v>
      </c>
      <c r="O75" s="515">
        <v>272.84276110374532</v>
      </c>
      <c r="P75" s="483"/>
      <c r="Q75" s="483">
        <f t="shared" si="44"/>
        <v>136.42138055187266</v>
      </c>
      <c r="R75" s="514">
        <f t="shared" si="29"/>
        <v>136.42138055187266</v>
      </c>
      <c r="S75" s="515">
        <v>7034.7446622852367</v>
      </c>
      <c r="T75" s="483"/>
      <c r="U75" s="483">
        <f t="shared" si="45"/>
        <v>3517.3723311426183</v>
      </c>
      <c r="V75" s="514">
        <f t="shared" si="31"/>
        <v>3517.3723311426183</v>
      </c>
      <c r="W75" s="515">
        <v>7466.511357740781</v>
      </c>
      <c r="X75" s="483"/>
      <c r="Y75" s="483">
        <f t="shared" si="46"/>
        <v>3733.2556788703905</v>
      </c>
      <c r="Z75" s="514">
        <f t="shared" si="33"/>
        <v>3733.2556788703905</v>
      </c>
      <c r="AA75" s="515">
        <v>8370.1757209202042</v>
      </c>
      <c r="AB75" s="483"/>
      <c r="AC75" s="483">
        <f t="shared" si="47"/>
        <v>4185.0878604601021</v>
      </c>
      <c r="AD75" s="514">
        <f t="shared" si="35"/>
        <v>4185.0878604601021</v>
      </c>
      <c r="AE75" s="515">
        <v>13014</v>
      </c>
      <c r="AF75" s="483"/>
      <c r="AG75" s="483">
        <f t="shared" si="48"/>
        <v>6507</v>
      </c>
      <c r="AH75" s="514">
        <f t="shared" si="37"/>
        <v>6507</v>
      </c>
      <c r="AI75" s="520">
        <v>7546.649157489629</v>
      </c>
      <c r="AJ75" s="484"/>
      <c r="AK75" s="484">
        <f t="shared" si="49"/>
        <v>3773.3245787448145</v>
      </c>
      <c r="AL75" s="514">
        <f t="shared" si="39"/>
        <v>3773.3245787448145</v>
      </c>
      <c r="AM75" s="526">
        <v>10767.950325640297</v>
      </c>
      <c r="AN75" s="485"/>
      <c r="AO75" s="485">
        <f t="shared" si="50"/>
        <v>5383.9751628201484</v>
      </c>
      <c r="AP75" s="514">
        <f t="shared" si="41"/>
        <v>5383.9751628201484</v>
      </c>
      <c r="AQ75" s="530">
        <f t="shared" si="42"/>
        <v>6507</v>
      </c>
    </row>
    <row r="76" spans="1:43" x14ac:dyDescent="0.55000000000000004">
      <c r="A76" s="316" t="s">
        <v>390</v>
      </c>
      <c r="B76" s="218" t="s">
        <v>391</v>
      </c>
      <c r="C76" s="218" t="s">
        <v>400</v>
      </c>
      <c r="D76" s="105" t="s">
        <v>401</v>
      </c>
      <c r="E76" s="100"/>
      <c r="F76" s="34"/>
      <c r="G76" s="34"/>
      <c r="H76" s="480">
        <v>1326.2143950586142</v>
      </c>
      <c r="I76" s="480" t="s">
        <v>412</v>
      </c>
      <c r="J76" s="490">
        <v>3</v>
      </c>
      <c r="K76" s="504">
        <v>0</v>
      </c>
      <c r="L76" s="482"/>
      <c r="M76" s="482">
        <f t="shared" si="43"/>
        <v>0</v>
      </c>
      <c r="N76" s="509">
        <f t="shared" si="27"/>
        <v>0</v>
      </c>
      <c r="O76" s="515">
        <v>108.99890870107737</v>
      </c>
      <c r="P76" s="483"/>
      <c r="Q76" s="483">
        <f t="shared" si="44"/>
        <v>54.499454350538684</v>
      </c>
      <c r="R76" s="514">
        <f t="shared" si="29"/>
        <v>54.499454350538684</v>
      </c>
      <c r="S76" s="515">
        <v>549.3738376210955</v>
      </c>
      <c r="T76" s="483"/>
      <c r="U76" s="483">
        <f t="shared" si="45"/>
        <v>274.68691881054775</v>
      </c>
      <c r="V76" s="514">
        <f t="shared" si="31"/>
        <v>274.68691881054775</v>
      </c>
      <c r="W76" s="515">
        <v>509.88966782520589</v>
      </c>
      <c r="X76" s="483"/>
      <c r="Y76" s="483">
        <f t="shared" si="46"/>
        <v>254.94483391260295</v>
      </c>
      <c r="Z76" s="514">
        <f t="shared" si="33"/>
        <v>254.94483391260295</v>
      </c>
      <c r="AA76" s="515">
        <v>657.96969478899121</v>
      </c>
      <c r="AB76" s="483"/>
      <c r="AC76" s="483">
        <f t="shared" si="47"/>
        <v>328.9848473944956</v>
      </c>
      <c r="AD76" s="514">
        <f t="shared" si="35"/>
        <v>328.9848473944956</v>
      </c>
      <c r="AE76" s="515">
        <v>928</v>
      </c>
      <c r="AF76" s="483"/>
      <c r="AG76" s="483">
        <f t="shared" si="48"/>
        <v>464</v>
      </c>
      <c r="AH76" s="514">
        <f t="shared" si="37"/>
        <v>464</v>
      </c>
      <c r="AI76" s="520">
        <v>1326.2143950586142</v>
      </c>
      <c r="AJ76" s="484"/>
      <c r="AK76" s="484">
        <f t="shared" si="49"/>
        <v>663.10719752930709</v>
      </c>
      <c r="AL76" s="514">
        <f t="shared" si="39"/>
        <v>663.10719752930709</v>
      </c>
      <c r="AM76" s="526">
        <v>502.35393752220233</v>
      </c>
      <c r="AN76" s="485"/>
      <c r="AO76" s="485">
        <f t="shared" si="50"/>
        <v>251.17696876110116</v>
      </c>
      <c r="AP76" s="514">
        <f t="shared" si="41"/>
        <v>251.17696876110116</v>
      </c>
      <c r="AQ76" s="530">
        <f t="shared" si="42"/>
        <v>663.10719752930709</v>
      </c>
    </row>
    <row r="77" spans="1:43" x14ac:dyDescent="0.55000000000000004">
      <c r="A77" s="316" t="s">
        <v>390</v>
      </c>
      <c r="B77" s="218" t="s">
        <v>391</v>
      </c>
      <c r="C77" s="218" t="s">
        <v>402</v>
      </c>
      <c r="D77" s="105" t="s">
        <v>403</v>
      </c>
      <c r="E77" s="100"/>
      <c r="F77" s="34"/>
      <c r="G77" s="34"/>
      <c r="H77" s="480">
        <v>0</v>
      </c>
      <c r="I77" s="480" t="s">
        <v>412</v>
      </c>
      <c r="J77" s="490">
        <v>3</v>
      </c>
      <c r="K77" s="504">
        <v>0</v>
      </c>
      <c r="L77" s="482"/>
      <c r="M77" s="482">
        <f t="shared" si="43"/>
        <v>0</v>
      </c>
      <c r="N77" s="509">
        <f t="shared" si="27"/>
        <v>0</v>
      </c>
      <c r="O77" s="515">
        <v>0</v>
      </c>
      <c r="P77" s="483"/>
      <c r="Q77" s="483">
        <f t="shared" si="44"/>
        <v>0</v>
      </c>
      <c r="R77" s="514">
        <f t="shared" si="29"/>
        <v>0</v>
      </c>
      <c r="S77" s="515">
        <v>0</v>
      </c>
      <c r="T77" s="483"/>
      <c r="U77" s="483">
        <f t="shared" si="45"/>
        <v>0</v>
      </c>
      <c r="V77" s="514">
        <f t="shared" si="31"/>
        <v>0</v>
      </c>
      <c r="W77" s="515">
        <v>0</v>
      </c>
      <c r="X77" s="483"/>
      <c r="Y77" s="483">
        <f t="shared" si="46"/>
        <v>0</v>
      </c>
      <c r="Z77" s="514">
        <f t="shared" si="33"/>
        <v>0</v>
      </c>
      <c r="AA77" s="515">
        <v>0</v>
      </c>
      <c r="AB77" s="483"/>
      <c r="AC77" s="483">
        <f t="shared" si="47"/>
        <v>0</v>
      </c>
      <c r="AD77" s="514">
        <f t="shared" si="35"/>
        <v>0</v>
      </c>
      <c r="AE77" s="515">
        <v>0</v>
      </c>
      <c r="AF77" s="483"/>
      <c r="AG77" s="483">
        <f t="shared" si="48"/>
        <v>0</v>
      </c>
      <c r="AH77" s="514">
        <f t="shared" si="37"/>
        <v>0</v>
      </c>
      <c r="AI77" s="520">
        <v>0</v>
      </c>
      <c r="AJ77" s="484"/>
      <c r="AK77" s="484">
        <f t="shared" si="49"/>
        <v>0</v>
      </c>
      <c r="AL77" s="514">
        <f t="shared" si="39"/>
        <v>0</v>
      </c>
      <c r="AM77" s="526">
        <v>0</v>
      </c>
      <c r="AN77" s="485"/>
      <c r="AO77" s="485">
        <f t="shared" si="50"/>
        <v>0</v>
      </c>
      <c r="AP77" s="514">
        <f t="shared" si="41"/>
        <v>0</v>
      </c>
      <c r="AQ77" s="530">
        <f t="shared" si="42"/>
        <v>0</v>
      </c>
    </row>
    <row r="78" spans="1:43" x14ac:dyDescent="0.55000000000000004">
      <c r="A78" s="316" t="s">
        <v>390</v>
      </c>
      <c r="B78" s="218" t="s">
        <v>391</v>
      </c>
      <c r="C78" s="218" t="s">
        <v>404</v>
      </c>
      <c r="D78" s="105" t="s">
        <v>405</v>
      </c>
      <c r="E78" s="100"/>
      <c r="F78" s="34"/>
      <c r="G78" s="34"/>
      <c r="H78" s="480">
        <v>36534.526328235108</v>
      </c>
      <c r="I78" s="480" t="s">
        <v>412</v>
      </c>
      <c r="J78" s="490">
        <v>4</v>
      </c>
      <c r="K78" s="504">
        <v>4387.5</v>
      </c>
      <c r="L78" s="482">
        <f t="shared" si="26"/>
        <v>4387.5</v>
      </c>
      <c r="M78" s="482"/>
      <c r="N78" s="509">
        <f t="shared" si="27"/>
        <v>4387.5</v>
      </c>
      <c r="O78" s="515">
        <v>1916.1336092422125</v>
      </c>
      <c r="P78" s="483">
        <f t="shared" si="28"/>
        <v>1916.1336092422125</v>
      </c>
      <c r="Q78" s="483"/>
      <c r="R78" s="514">
        <f t="shared" si="29"/>
        <v>1916.1336092422125</v>
      </c>
      <c r="S78" s="515">
        <v>12211.82251672217</v>
      </c>
      <c r="T78" s="483">
        <f t="shared" si="30"/>
        <v>12211.82251672217</v>
      </c>
      <c r="U78" s="483"/>
      <c r="V78" s="514">
        <f t="shared" si="31"/>
        <v>12211.82251672217</v>
      </c>
      <c r="W78" s="515">
        <v>20297.572470561903</v>
      </c>
      <c r="X78" s="483">
        <f t="shared" si="32"/>
        <v>20297.572470561903</v>
      </c>
      <c r="Y78" s="483"/>
      <c r="Z78" s="514">
        <f t="shared" si="33"/>
        <v>0</v>
      </c>
      <c r="AA78" s="515">
        <v>19755.537132872738</v>
      </c>
      <c r="AB78" s="483">
        <f t="shared" si="34"/>
        <v>19755.537132872738</v>
      </c>
      <c r="AC78" s="483"/>
      <c r="AD78" s="514">
        <f t="shared" si="35"/>
        <v>19755.537132872738</v>
      </c>
      <c r="AE78" s="515">
        <v>24688</v>
      </c>
      <c r="AF78" s="483">
        <f t="shared" si="36"/>
        <v>24688</v>
      </c>
      <c r="AG78" s="483"/>
      <c r="AH78" s="514">
        <f t="shared" si="37"/>
        <v>24688</v>
      </c>
      <c r="AI78" s="520">
        <v>9786.0338379201185</v>
      </c>
      <c r="AJ78" s="484">
        <f t="shared" si="38"/>
        <v>9786.0338379201185</v>
      </c>
      <c r="AK78" s="484"/>
      <c r="AL78" s="514">
        <f t="shared" si="39"/>
        <v>9786.0338379201185</v>
      </c>
      <c r="AM78" s="526">
        <v>24356.350885490076</v>
      </c>
      <c r="AN78" s="485">
        <f t="shared" si="40"/>
        <v>24356.350885490076</v>
      </c>
      <c r="AO78" s="485"/>
      <c r="AP78" s="514">
        <f t="shared" si="41"/>
        <v>24356.350885490076</v>
      </c>
      <c r="AQ78" s="530">
        <f t="shared" si="42"/>
        <v>24688</v>
      </c>
    </row>
    <row r="79" spans="1:43" x14ac:dyDescent="0.55000000000000004">
      <c r="A79" s="316" t="s">
        <v>390</v>
      </c>
      <c r="B79" s="218" t="s">
        <v>391</v>
      </c>
      <c r="C79" s="218" t="s">
        <v>406</v>
      </c>
      <c r="D79" s="105" t="s">
        <v>407</v>
      </c>
      <c r="E79" s="100"/>
      <c r="F79" s="34"/>
      <c r="G79" s="34"/>
      <c r="H79" s="480">
        <v>2761.8509896481692</v>
      </c>
      <c r="I79" s="480" t="s">
        <v>412</v>
      </c>
      <c r="J79" s="490">
        <v>3</v>
      </c>
      <c r="K79" s="504">
        <v>0</v>
      </c>
      <c r="L79" s="482"/>
      <c r="M79" s="482">
        <f t="shared" si="43"/>
        <v>0</v>
      </c>
      <c r="N79" s="509">
        <f t="shared" si="27"/>
        <v>0</v>
      </c>
      <c r="O79" s="515">
        <v>529.06790875977435</v>
      </c>
      <c r="P79" s="483"/>
      <c r="Q79" s="483">
        <f t="shared" si="44"/>
        <v>264.53395437988718</v>
      </c>
      <c r="R79" s="514">
        <f t="shared" si="29"/>
        <v>264.53395437988718</v>
      </c>
      <c r="S79" s="515">
        <v>1135.9991627354789</v>
      </c>
      <c r="T79" s="483"/>
      <c r="U79" s="483">
        <f t="shared" si="45"/>
        <v>567.99958136773944</v>
      </c>
      <c r="V79" s="514">
        <f t="shared" si="31"/>
        <v>567.99958136773944</v>
      </c>
      <c r="W79" s="515">
        <v>536.39969440630443</v>
      </c>
      <c r="X79" s="483"/>
      <c r="Y79" s="483">
        <f t="shared" si="46"/>
        <v>268.19984720315222</v>
      </c>
      <c r="Z79" s="514">
        <f t="shared" si="33"/>
        <v>268.19984720315222</v>
      </c>
      <c r="AA79" s="515">
        <v>1199.984685202463</v>
      </c>
      <c r="AB79" s="483"/>
      <c r="AC79" s="483">
        <f t="shared" si="47"/>
        <v>599.99234260123148</v>
      </c>
      <c r="AD79" s="514">
        <f t="shared" si="35"/>
        <v>599.99234260123148</v>
      </c>
      <c r="AE79" s="515">
        <v>1933</v>
      </c>
      <c r="AF79" s="483"/>
      <c r="AG79" s="483">
        <f t="shared" si="48"/>
        <v>966.5</v>
      </c>
      <c r="AH79" s="514">
        <f t="shared" si="37"/>
        <v>966.5</v>
      </c>
      <c r="AI79" s="520">
        <v>2761.8509896481692</v>
      </c>
      <c r="AJ79" s="484"/>
      <c r="AK79" s="484">
        <f t="shared" si="49"/>
        <v>1380.9254948240846</v>
      </c>
      <c r="AL79" s="514">
        <f t="shared" si="39"/>
        <v>1380.9254948240846</v>
      </c>
      <c r="AM79" s="526">
        <v>2173.6790196305033</v>
      </c>
      <c r="AN79" s="485"/>
      <c r="AO79" s="485">
        <f t="shared" si="50"/>
        <v>1086.8395098152516</v>
      </c>
      <c r="AP79" s="514">
        <f t="shared" si="41"/>
        <v>1086.8395098152516</v>
      </c>
      <c r="AQ79" s="530">
        <f t="shared" si="42"/>
        <v>1380.9254948240846</v>
      </c>
    </row>
    <row r="80" spans="1:43" x14ac:dyDescent="0.55000000000000004">
      <c r="A80" s="316" t="s">
        <v>390</v>
      </c>
      <c r="B80" s="218" t="s">
        <v>391</v>
      </c>
      <c r="C80" s="218" t="s">
        <v>408</v>
      </c>
      <c r="D80" s="105" t="s">
        <v>409</v>
      </c>
      <c r="E80" s="100"/>
      <c r="F80" s="34"/>
      <c r="G80" s="34"/>
      <c r="H80" s="480">
        <v>24855.8360229996</v>
      </c>
      <c r="I80" s="480" t="s">
        <v>412</v>
      </c>
      <c r="J80" s="490">
        <v>4</v>
      </c>
      <c r="K80" s="504">
        <v>24855.8360229996</v>
      </c>
      <c r="L80" s="482">
        <f t="shared" si="26"/>
        <v>24855.8360229996</v>
      </c>
      <c r="M80" s="482"/>
      <c r="N80" s="509">
        <f t="shared" si="27"/>
        <v>24855.8360229996</v>
      </c>
      <c r="O80" s="515">
        <v>5005.1948441154063</v>
      </c>
      <c r="P80" s="483">
        <f t="shared" si="28"/>
        <v>5005.1948441154063</v>
      </c>
      <c r="Q80" s="483"/>
      <c r="R80" s="514">
        <f t="shared" si="29"/>
        <v>5005.1948441154063</v>
      </c>
      <c r="S80" s="515">
        <v>8189.1338242402062</v>
      </c>
      <c r="T80" s="483">
        <f t="shared" si="30"/>
        <v>8189.1338242402062</v>
      </c>
      <c r="U80" s="483"/>
      <c r="V80" s="514">
        <f t="shared" si="31"/>
        <v>8189.1338242402062</v>
      </c>
      <c r="W80" s="515">
        <v>10683.7141002236</v>
      </c>
      <c r="X80" s="483">
        <f t="shared" si="32"/>
        <v>10683.7141002236</v>
      </c>
      <c r="Y80" s="483"/>
      <c r="Z80" s="514">
        <f t="shared" si="33"/>
        <v>0</v>
      </c>
      <c r="AA80" s="515">
        <v>15120.438459041348</v>
      </c>
      <c r="AB80" s="483">
        <f t="shared" si="34"/>
        <v>15120.438459041348</v>
      </c>
      <c r="AC80" s="483"/>
      <c r="AD80" s="514">
        <f t="shared" si="35"/>
        <v>15120.438459041348</v>
      </c>
      <c r="AE80" s="515">
        <v>19885</v>
      </c>
      <c r="AF80" s="483">
        <f t="shared" si="36"/>
        <v>19885</v>
      </c>
      <c r="AG80" s="483"/>
      <c r="AH80" s="514">
        <f t="shared" si="37"/>
        <v>19885</v>
      </c>
      <c r="AI80" s="520">
        <v>24124.782022323139</v>
      </c>
      <c r="AJ80" s="484">
        <f t="shared" si="38"/>
        <v>24124.782022323139</v>
      </c>
      <c r="AK80" s="484"/>
      <c r="AL80" s="514">
        <f t="shared" si="39"/>
        <v>24124.782022323139</v>
      </c>
      <c r="AM80" s="526">
        <v>19102.170276934878</v>
      </c>
      <c r="AN80" s="485">
        <f t="shared" si="40"/>
        <v>19102.170276934878</v>
      </c>
      <c r="AO80" s="485"/>
      <c r="AP80" s="514">
        <f t="shared" si="41"/>
        <v>19102.170276934878</v>
      </c>
      <c r="AQ80" s="530">
        <f t="shared" si="42"/>
        <v>24855.8360229996</v>
      </c>
    </row>
    <row r="81" spans="1:43" ht="14.7" thickBot="1" x14ac:dyDescent="0.6">
      <c r="A81" s="316" t="s">
        <v>390</v>
      </c>
      <c r="B81" s="218" t="s">
        <v>391</v>
      </c>
      <c r="C81" s="218" t="s">
        <v>410</v>
      </c>
      <c r="D81" s="105" t="s">
        <v>411</v>
      </c>
      <c r="E81" s="100"/>
      <c r="F81" s="34"/>
      <c r="G81" s="34"/>
      <c r="H81" s="480">
        <v>10973.797642312536</v>
      </c>
      <c r="I81" s="480" t="s">
        <v>412</v>
      </c>
      <c r="J81" s="490">
        <v>3</v>
      </c>
      <c r="K81" s="505">
        <v>0</v>
      </c>
      <c r="L81" s="506"/>
      <c r="M81" s="506">
        <f t="shared" si="43"/>
        <v>0</v>
      </c>
      <c r="N81" s="510">
        <f t="shared" si="27"/>
        <v>0</v>
      </c>
      <c r="O81" s="515">
        <v>2032.0839522128661</v>
      </c>
      <c r="P81" s="483"/>
      <c r="Q81" s="483">
        <f t="shared" si="44"/>
        <v>1016.041976106433</v>
      </c>
      <c r="R81" s="514">
        <f t="shared" si="29"/>
        <v>1016.041976106433</v>
      </c>
      <c r="S81" s="515">
        <v>3636.2835444713837</v>
      </c>
      <c r="T81" s="483"/>
      <c r="U81" s="483">
        <f t="shared" si="45"/>
        <v>1818.1417722356919</v>
      </c>
      <c r="V81" s="514">
        <f t="shared" si="31"/>
        <v>1818.1417722356919</v>
      </c>
      <c r="W81" s="515">
        <v>2782.9095656369154</v>
      </c>
      <c r="X81" s="483"/>
      <c r="Y81" s="483">
        <f t="shared" si="46"/>
        <v>1391.4547828184577</v>
      </c>
      <c r="Z81" s="514">
        <f t="shared" si="33"/>
        <v>1391.4547828184577</v>
      </c>
      <c r="AA81" s="515">
        <v>5371.2361664480359</v>
      </c>
      <c r="AB81" s="483"/>
      <c r="AC81" s="483">
        <f t="shared" si="47"/>
        <v>2685.6180832240179</v>
      </c>
      <c r="AD81" s="514">
        <f t="shared" si="35"/>
        <v>2685.6180832240179</v>
      </c>
      <c r="AE81" s="515">
        <v>8779</v>
      </c>
      <c r="AF81" s="483"/>
      <c r="AG81" s="483">
        <f t="shared" si="48"/>
        <v>4389.5</v>
      </c>
      <c r="AH81" s="514">
        <f t="shared" si="37"/>
        <v>4389.5</v>
      </c>
      <c r="AI81" s="520">
        <v>8779.0381138500288</v>
      </c>
      <c r="AJ81" s="484"/>
      <c r="AK81" s="484">
        <f t="shared" si="49"/>
        <v>4389.5190569250144</v>
      </c>
      <c r="AL81" s="514">
        <f t="shared" si="39"/>
        <v>4389.5190569250144</v>
      </c>
      <c r="AM81" s="526">
        <v>8230.3482317344024</v>
      </c>
      <c r="AN81" s="485"/>
      <c r="AO81" s="485">
        <f t="shared" si="50"/>
        <v>4115.1741158672012</v>
      </c>
      <c r="AP81" s="514">
        <f t="shared" si="41"/>
        <v>4115.1741158672012</v>
      </c>
      <c r="AQ81" s="530">
        <f t="shared" si="42"/>
        <v>4389.5190569250144</v>
      </c>
    </row>
    <row r="82" spans="1:43" ht="27.6" x14ac:dyDescent="0.55000000000000004">
      <c r="A82" s="316" t="s">
        <v>233</v>
      </c>
      <c r="B82" s="218" t="s">
        <v>234</v>
      </c>
      <c r="C82" s="218" t="s">
        <v>233</v>
      </c>
      <c r="D82" s="105" t="s">
        <v>235</v>
      </c>
      <c r="E82" s="100"/>
      <c r="F82" s="34"/>
      <c r="G82" s="34"/>
      <c r="H82" s="480">
        <v>14516.802522734295</v>
      </c>
      <c r="I82" s="480" t="s">
        <v>413</v>
      </c>
      <c r="J82" s="486">
        <v>4</v>
      </c>
      <c r="K82" s="497"/>
      <c r="L82" s="498">
        <f t="shared" si="26"/>
        <v>0</v>
      </c>
      <c r="M82" s="498"/>
      <c r="N82" s="511">
        <f t="shared" si="27"/>
        <v>0</v>
      </c>
      <c r="O82" s="515">
        <v>1280.3819825051648</v>
      </c>
      <c r="P82" s="483">
        <f t="shared" si="28"/>
        <v>1280.3819825051648</v>
      </c>
      <c r="Q82" s="483"/>
      <c r="R82" s="514">
        <f t="shared" si="29"/>
        <v>1280.3819825051648</v>
      </c>
      <c r="S82" s="515">
        <v>7035.6908697905883</v>
      </c>
      <c r="T82" s="483">
        <f t="shared" si="30"/>
        <v>7035.6908697905883</v>
      </c>
      <c r="U82" s="483"/>
      <c r="V82" s="514">
        <f t="shared" si="31"/>
        <v>7035.6908697905883</v>
      </c>
      <c r="W82" s="515">
        <v>8960.7014556909598</v>
      </c>
      <c r="X82" s="483">
        <f t="shared" si="32"/>
        <v>8960.7014556909598</v>
      </c>
      <c r="Y82" s="483"/>
      <c r="Z82" s="514">
        <f t="shared" si="33"/>
        <v>0</v>
      </c>
      <c r="AA82" s="515">
        <v>10162.535731393538</v>
      </c>
      <c r="AB82" s="483">
        <f t="shared" si="34"/>
        <v>10162.535731393538</v>
      </c>
      <c r="AC82" s="483"/>
      <c r="AD82" s="514">
        <f t="shared" si="35"/>
        <v>10162.535731393538</v>
      </c>
      <c r="AE82" s="515">
        <v>2555</v>
      </c>
      <c r="AF82" s="483">
        <f t="shared" si="36"/>
        <v>2555</v>
      </c>
      <c r="AG82" s="483"/>
      <c r="AH82" s="514">
        <f t="shared" si="37"/>
        <v>2555</v>
      </c>
      <c r="AI82" s="520">
        <v>4573.7870962039569</v>
      </c>
      <c r="AJ82" s="484">
        <f t="shared" si="38"/>
        <v>4573.7870962039569</v>
      </c>
      <c r="AK82" s="484"/>
      <c r="AL82" s="514">
        <f t="shared" si="39"/>
        <v>4573.7870962039569</v>
      </c>
      <c r="AM82" s="526">
        <v>5645.423203285558</v>
      </c>
      <c r="AN82" s="485">
        <f t="shared" si="40"/>
        <v>5645.423203285558</v>
      </c>
      <c r="AO82" s="485"/>
      <c r="AP82" s="514">
        <f t="shared" si="41"/>
        <v>5645.423203285558</v>
      </c>
      <c r="AQ82" s="530">
        <f t="shared" si="42"/>
        <v>10162.535731393538</v>
      </c>
    </row>
    <row r="83" spans="1:43" x14ac:dyDescent="0.55000000000000004">
      <c r="A83" s="316" t="s">
        <v>236</v>
      </c>
      <c r="B83" s="218" t="s">
        <v>237</v>
      </c>
      <c r="C83" s="218" t="s">
        <v>238</v>
      </c>
      <c r="D83" s="105" t="s">
        <v>239</v>
      </c>
      <c r="E83" s="100"/>
      <c r="F83" s="34"/>
      <c r="G83" s="34"/>
      <c r="H83" s="480">
        <v>310546.09109739598</v>
      </c>
      <c r="I83" s="480" t="s">
        <v>413</v>
      </c>
      <c r="J83" s="486">
        <v>3</v>
      </c>
      <c r="K83" s="318"/>
      <c r="L83" s="482"/>
      <c r="M83" s="482">
        <f t="shared" si="43"/>
        <v>0</v>
      </c>
      <c r="N83" s="509">
        <f t="shared" si="27"/>
        <v>0</v>
      </c>
      <c r="O83" s="515">
        <v>34506.328912287157</v>
      </c>
      <c r="P83" s="483"/>
      <c r="Q83" s="483">
        <f t="shared" si="44"/>
        <v>17253.164456143579</v>
      </c>
      <c r="R83" s="514">
        <f t="shared" si="29"/>
        <v>17253.164456143579</v>
      </c>
      <c r="S83" s="515">
        <v>121870.66637679518</v>
      </c>
      <c r="T83" s="483"/>
      <c r="U83" s="483">
        <f t="shared" si="45"/>
        <v>60935.333188397592</v>
      </c>
      <c r="V83" s="514">
        <f t="shared" si="31"/>
        <v>60935.333188397592</v>
      </c>
      <c r="W83" s="515">
        <v>218524.29063527889</v>
      </c>
      <c r="X83" s="483"/>
      <c r="Y83" s="483">
        <f t="shared" si="46"/>
        <v>109262.14531763944</v>
      </c>
      <c r="Z83" s="514">
        <f t="shared" si="33"/>
        <v>109262.14531763944</v>
      </c>
      <c r="AA83" s="515">
        <v>172216.93776355864</v>
      </c>
      <c r="AB83" s="483"/>
      <c r="AC83" s="483">
        <f t="shared" si="47"/>
        <v>86108.468881779321</v>
      </c>
      <c r="AD83" s="514">
        <f t="shared" si="35"/>
        <v>86108.468881779321</v>
      </c>
      <c r="AE83" s="515">
        <v>109312</v>
      </c>
      <c r="AF83" s="483"/>
      <c r="AG83" s="483">
        <f t="shared" si="48"/>
        <v>54656</v>
      </c>
      <c r="AH83" s="514">
        <f t="shared" si="37"/>
        <v>54656</v>
      </c>
      <c r="AI83" s="520">
        <v>115937.20734302783</v>
      </c>
      <c r="AJ83" s="484"/>
      <c r="AK83" s="484">
        <f t="shared" si="49"/>
        <v>57968.603671513913</v>
      </c>
      <c r="AL83" s="514">
        <f t="shared" si="39"/>
        <v>57968.603671513913</v>
      </c>
      <c r="AM83" s="526">
        <v>121395.29015625475</v>
      </c>
      <c r="AN83" s="485"/>
      <c r="AO83" s="485">
        <f t="shared" si="50"/>
        <v>60697.645078127374</v>
      </c>
      <c r="AP83" s="514">
        <f t="shared" si="41"/>
        <v>60697.645078127374</v>
      </c>
      <c r="AQ83" s="530">
        <f t="shared" si="42"/>
        <v>109262.14531763944</v>
      </c>
    </row>
    <row r="84" spans="1:43" x14ac:dyDescent="0.55000000000000004">
      <c r="A84" s="316" t="s">
        <v>236</v>
      </c>
      <c r="B84" s="218" t="s">
        <v>237</v>
      </c>
      <c r="C84" s="218" t="s">
        <v>240</v>
      </c>
      <c r="D84" s="105" t="s">
        <v>241</v>
      </c>
      <c r="E84" s="100"/>
      <c r="F84" s="34"/>
      <c r="G84" s="34"/>
      <c r="H84" s="480">
        <v>165087.87496325735</v>
      </c>
      <c r="I84" s="480" t="s">
        <v>413</v>
      </c>
      <c r="J84" s="486">
        <v>3</v>
      </c>
      <c r="K84" s="318"/>
      <c r="L84" s="482"/>
      <c r="M84" s="482">
        <f t="shared" si="43"/>
        <v>0</v>
      </c>
      <c r="N84" s="509">
        <f t="shared" si="27"/>
        <v>0</v>
      </c>
      <c r="O84" s="515">
        <v>12328.366291356146</v>
      </c>
      <c r="P84" s="483"/>
      <c r="Q84" s="483">
        <f t="shared" si="44"/>
        <v>6164.1831456780728</v>
      </c>
      <c r="R84" s="514">
        <f t="shared" si="29"/>
        <v>6164.1831456780728</v>
      </c>
      <c r="S84" s="515">
        <v>72634.349974065291</v>
      </c>
      <c r="T84" s="483"/>
      <c r="U84" s="483">
        <f t="shared" si="45"/>
        <v>36317.174987032646</v>
      </c>
      <c r="V84" s="514">
        <f t="shared" si="31"/>
        <v>36317.174987032646</v>
      </c>
      <c r="W84" s="515">
        <v>114316.81637306442</v>
      </c>
      <c r="X84" s="483"/>
      <c r="Y84" s="483">
        <f t="shared" si="46"/>
        <v>57158.408186532208</v>
      </c>
      <c r="Z84" s="514">
        <f t="shared" si="33"/>
        <v>57158.408186532208</v>
      </c>
      <c r="AA84" s="515">
        <v>87461.53402342253</v>
      </c>
      <c r="AB84" s="483"/>
      <c r="AC84" s="483">
        <f t="shared" si="47"/>
        <v>43730.767011711265</v>
      </c>
      <c r="AD84" s="514">
        <f t="shared" si="35"/>
        <v>43730.767011711265</v>
      </c>
      <c r="AE84" s="515">
        <v>53008</v>
      </c>
      <c r="AF84" s="483"/>
      <c r="AG84" s="483">
        <f t="shared" si="48"/>
        <v>26504</v>
      </c>
      <c r="AH84" s="514">
        <f t="shared" si="37"/>
        <v>26504</v>
      </c>
      <c r="AI84" s="520">
        <v>98446.897913869063</v>
      </c>
      <c r="AJ84" s="484"/>
      <c r="AK84" s="484">
        <f t="shared" si="49"/>
        <v>49223.448956934531</v>
      </c>
      <c r="AL84" s="514">
        <f t="shared" si="39"/>
        <v>49223.448956934531</v>
      </c>
      <c r="AM84" s="526">
        <v>134516.04626635785</v>
      </c>
      <c r="AN84" s="485"/>
      <c r="AO84" s="485">
        <f t="shared" si="50"/>
        <v>67258.023133178925</v>
      </c>
      <c r="AP84" s="514">
        <f t="shared" si="41"/>
        <v>67258.023133178925</v>
      </c>
      <c r="AQ84" s="530">
        <f t="shared" si="42"/>
        <v>67258.023133178925</v>
      </c>
    </row>
    <row r="85" spans="1:43" x14ac:dyDescent="0.55000000000000004">
      <c r="A85" s="316" t="s">
        <v>236</v>
      </c>
      <c r="B85" s="218" t="s">
        <v>237</v>
      </c>
      <c r="C85" s="218" t="s">
        <v>242</v>
      </c>
      <c r="D85" s="105" t="s">
        <v>243</v>
      </c>
      <c r="E85" s="100"/>
      <c r="F85" s="34"/>
      <c r="G85" s="34"/>
      <c r="H85" s="480">
        <v>81323.353354623177</v>
      </c>
      <c r="I85" s="480" t="s">
        <v>413</v>
      </c>
      <c r="J85" s="486">
        <v>3</v>
      </c>
      <c r="K85" s="318"/>
      <c r="L85" s="482"/>
      <c r="M85" s="482">
        <f t="shared" si="43"/>
        <v>0</v>
      </c>
      <c r="N85" s="509">
        <f t="shared" si="27"/>
        <v>0</v>
      </c>
      <c r="O85" s="515">
        <v>10737.772930237736</v>
      </c>
      <c r="P85" s="483"/>
      <c r="Q85" s="483">
        <f t="shared" si="44"/>
        <v>5368.8864651188678</v>
      </c>
      <c r="R85" s="514">
        <f t="shared" si="29"/>
        <v>5368.8864651188678</v>
      </c>
      <c r="S85" s="515">
        <v>43190.130773320248</v>
      </c>
      <c r="T85" s="483"/>
      <c r="U85" s="483">
        <f t="shared" si="45"/>
        <v>21595.065386660124</v>
      </c>
      <c r="V85" s="514">
        <f t="shared" si="31"/>
        <v>21595.065386660124</v>
      </c>
      <c r="W85" s="515">
        <v>51309.967154464714</v>
      </c>
      <c r="X85" s="483"/>
      <c r="Y85" s="483">
        <f t="shared" si="46"/>
        <v>25654.983577232357</v>
      </c>
      <c r="Z85" s="514">
        <f t="shared" si="33"/>
        <v>25654.983577232357</v>
      </c>
      <c r="AA85" s="515">
        <v>37036.600003788044</v>
      </c>
      <c r="AB85" s="483"/>
      <c r="AC85" s="483">
        <f t="shared" si="47"/>
        <v>18518.300001894022</v>
      </c>
      <c r="AD85" s="514">
        <f t="shared" si="35"/>
        <v>18518.300001894022</v>
      </c>
      <c r="AE85" s="515">
        <v>16640</v>
      </c>
      <c r="AF85" s="483"/>
      <c r="AG85" s="483">
        <f t="shared" si="48"/>
        <v>8320</v>
      </c>
      <c r="AH85" s="514">
        <f t="shared" si="37"/>
        <v>8320</v>
      </c>
      <c r="AI85" s="520">
        <v>42131.375834322847</v>
      </c>
      <c r="AJ85" s="484"/>
      <c r="AK85" s="484">
        <f t="shared" si="49"/>
        <v>21065.687917161424</v>
      </c>
      <c r="AL85" s="514">
        <f t="shared" si="39"/>
        <v>21065.687917161424</v>
      </c>
      <c r="AM85" s="526">
        <v>48191.616802739656</v>
      </c>
      <c r="AN85" s="485"/>
      <c r="AO85" s="485">
        <f t="shared" si="50"/>
        <v>24095.808401369828</v>
      </c>
      <c r="AP85" s="514">
        <f t="shared" si="41"/>
        <v>24095.808401369828</v>
      </c>
      <c r="AQ85" s="530">
        <f t="shared" si="42"/>
        <v>25654.983577232357</v>
      </c>
    </row>
    <row r="86" spans="1:43" x14ac:dyDescent="0.55000000000000004">
      <c r="A86" s="316" t="s">
        <v>236</v>
      </c>
      <c r="B86" s="218" t="s">
        <v>237</v>
      </c>
      <c r="C86" s="218" t="s">
        <v>244</v>
      </c>
      <c r="D86" s="105" t="s">
        <v>245</v>
      </c>
      <c r="E86" s="100"/>
      <c r="F86" s="34"/>
      <c r="G86" s="34"/>
      <c r="H86" s="480">
        <v>76038.235545987191</v>
      </c>
      <c r="I86" s="480" t="s">
        <v>413</v>
      </c>
      <c r="J86" s="486">
        <v>3</v>
      </c>
      <c r="K86" s="318"/>
      <c r="L86" s="482"/>
      <c r="M86" s="482">
        <f t="shared" si="43"/>
        <v>0</v>
      </c>
      <c r="N86" s="509">
        <f t="shared" si="27"/>
        <v>0</v>
      </c>
      <c r="O86" s="515">
        <v>13457.17088869327</v>
      </c>
      <c r="P86" s="483"/>
      <c r="Q86" s="483">
        <f t="shared" si="44"/>
        <v>6728.5854443466351</v>
      </c>
      <c r="R86" s="514">
        <f t="shared" si="29"/>
        <v>6728.5854443466351</v>
      </c>
      <c r="S86" s="515">
        <v>33058.440464696396</v>
      </c>
      <c r="T86" s="483"/>
      <c r="U86" s="483">
        <f t="shared" si="45"/>
        <v>16529.220232348198</v>
      </c>
      <c r="V86" s="514">
        <f t="shared" si="31"/>
        <v>16529.220232348198</v>
      </c>
      <c r="W86" s="515">
        <v>51659.39705423377</v>
      </c>
      <c r="X86" s="483"/>
      <c r="Y86" s="483">
        <f t="shared" si="46"/>
        <v>25829.698527116885</v>
      </c>
      <c r="Z86" s="514">
        <f t="shared" si="33"/>
        <v>25829.698527116885</v>
      </c>
      <c r="AA86" s="515">
        <v>49372.875595759877</v>
      </c>
      <c r="AB86" s="483"/>
      <c r="AC86" s="483">
        <f t="shared" si="47"/>
        <v>24686.437797879938</v>
      </c>
      <c r="AD86" s="514">
        <f t="shared" si="35"/>
        <v>24686.437797879938</v>
      </c>
      <c r="AE86" s="515">
        <v>26850</v>
      </c>
      <c r="AF86" s="483"/>
      <c r="AG86" s="483">
        <f t="shared" si="48"/>
        <v>13425</v>
      </c>
      <c r="AH86" s="514">
        <f t="shared" si="37"/>
        <v>13425</v>
      </c>
      <c r="AI86" s="520">
        <v>44275.428292600132</v>
      </c>
      <c r="AJ86" s="484"/>
      <c r="AK86" s="484">
        <f t="shared" si="49"/>
        <v>22137.714146300066</v>
      </c>
      <c r="AL86" s="514">
        <f t="shared" si="39"/>
        <v>22137.714146300066</v>
      </c>
      <c r="AM86" s="526">
        <v>42947.521928752023</v>
      </c>
      <c r="AN86" s="485"/>
      <c r="AO86" s="485">
        <f t="shared" si="50"/>
        <v>21473.760964376012</v>
      </c>
      <c r="AP86" s="514">
        <f t="shared" si="41"/>
        <v>21473.760964376012</v>
      </c>
      <c r="AQ86" s="530">
        <f t="shared" si="42"/>
        <v>25829.698527116885</v>
      </c>
    </row>
    <row r="87" spans="1:43" x14ac:dyDescent="0.55000000000000004">
      <c r="A87" s="316" t="s">
        <v>236</v>
      </c>
      <c r="B87" s="218" t="s">
        <v>237</v>
      </c>
      <c r="C87" s="218" t="s">
        <v>246</v>
      </c>
      <c r="D87" s="105" t="s">
        <v>247</v>
      </c>
      <c r="E87" s="100"/>
      <c r="F87" s="34"/>
      <c r="G87" s="34"/>
      <c r="H87" s="480">
        <v>198861.49864411939</v>
      </c>
      <c r="I87" s="480" t="s">
        <v>413</v>
      </c>
      <c r="J87" s="486">
        <v>3</v>
      </c>
      <c r="K87" s="318"/>
      <c r="L87" s="482"/>
      <c r="M87" s="482">
        <f t="shared" si="43"/>
        <v>0</v>
      </c>
      <c r="N87" s="509">
        <f t="shared" si="27"/>
        <v>0</v>
      </c>
      <c r="O87" s="515">
        <v>52758.949897778082</v>
      </c>
      <c r="P87" s="483"/>
      <c r="Q87" s="483">
        <f t="shared" si="44"/>
        <v>26379.474948889041</v>
      </c>
      <c r="R87" s="514">
        <f t="shared" si="29"/>
        <v>26379.474948889041</v>
      </c>
      <c r="S87" s="515">
        <v>76543.726766279651</v>
      </c>
      <c r="T87" s="483"/>
      <c r="U87" s="483">
        <f t="shared" si="45"/>
        <v>38271.863383139826</v>
      </c>
      <c r="V87" s="514">
        <f t="shared" si="31"/>
        <v>38271.863383139826</v>
      </c>
      <c r="W87" s="515">
        <v>128069.22419123921</v>
      </c>
      <c r="X87" s="483"/>
      <c r="Y87" s="483">
        <f t="shared" si="46"/>
        <v>64034.612095619603</v>
      </c>
      <c r="Z87" s="514">
        <f t="shared" si="33"/>
        <v>64034.612095619603</v>
      </c>
      <c r="AA87" s="515">
        <v>101701.93188031472</v>
      </c>
      <c r="AB87" s="483"/>
      <c r="AC87" s="483">
        <f t="shared" si="47"/>
        <v>50850.965940157359</v>
      </c>
      <c r="AD87" s="514">
        <f t="shared" si="35"/>
        <v>50850.965940157359</v>
      </c>
      <c r="AE87" s="515">
        <v>70441</v>
      </c>
      <c r="AF87" s="483"/>
      <c r="AG87" s="483">
        <f t="shared" si="48"/>
        <v>35220.5</v>
      </c>
      <c r="AH87" s="514">
        <f t="shared" si="37"/>
        <v>35220.5</v>
      </c>
      <c r="AI87" s="520">
        <v>151270.7126438173</v>
      </c>
      <c r="AJ87" s="484"/>
      <c r="AK87" s="484">
        <f t="shared" si="49"/>
        <v>75635.35632190865</v>
      </c>
      <c r="AL87" s="514">
        <f t="shared" si="39"/>
        <v>75635.35632190865</v>
      </c>
      <c r="AM87" s="526">
        <v>71811.096732598671</v>
      </c>
      <c r="AN87" s="485"/>
      <c r="AO87" s="485">
        <f t="shared" si="50"/>
        <v>35905.548366299336</v>
      </c>
      <c r="AP87" s="514">
        <f t="shared" si="41"/>
        <v>35905.548366299336</v>
      </c>
      <c r="AQ87" s="530">
        <f t="shared" si="42"/>
        <v>75635.35632190865</v>
      </c>
    </row>
    <row r="88" spans="1:43" x14ac:dyDescent="0.55000000000000004">
      <c r="A88" s="316" t="s">
        <v>236</v>
      </c>
      <c r="B88" s="218" t="s">
        <v>237</v>
      </c>
      <c r="C88" s="218" t="s">
        <v>248</v>
      </c>
      <c r="D88" s="105" t="s">
        <v>249</v>
      </c>
      <c r="E88" s="100"/>
      <c r="F88" s="34"/>
      <c r="G88" s="34"/>
      <c r="H88" s="480">
        <v>194205.26881302349</v>
      </c>
      <c r="I88" s="480" t="s">
        <v>413</v>
      </c>
      <c r="J88" s="486">
        <v>3</v>
      </c>
      <c r="K88" s="318"/>
      <c r="L88" s="482"/>
      <c r="M88" s="482">
        <f t="shared" si="43"/>
        <v>0</v>
      </c>
      <c r="N88" s="509">
        <f t="shared" si="27"/>
        <v>0</v>
      </c>
      <c r="O88" s="515">
        <v>34025.73412238578</v>
      </c>
      <c r="P88" s="483"/>
      <c r="Q88" s="483">
        <f t="shared" si="44"/>
        <v>17012.86706119289</v>
      </c>
      <c r="R88" s="514">
        <f t="shared" si="29"/>
        <v>17012.86706119289</v>
      </c>
      <c r="S88" s="515">
        <v>87344.841219222537</v>
      </c>
      <c r="T88" s="483"/>
      <c r="U88" s="483">
        <f t="shared" si="45"/>
        <v>43672.420609611268</v>
      </c>
      <c r="V88" s="514">
        <f t="shared" si="31"/>
        <v>43672.420609611268</v>
      </c>
      <c r="W88" s="515">
        <v>95436.106026903348</v>
      </c>
      <c r="X88" s="483"/>
      <c r="Y88" s="483">
        <f t="shared" si="46"/>
        <v>47718.053013451674</v>
      </c>
      <c r="Z88" s="514">
        <f t="shared" si="33"/>
        <v>47718.053013451674</v>
      </c>
      <c r="AA88" s="515">
        <v>89654.848775627062</v>
      </c>
      <c r="AB88" s="483"/>
      <c r="AC88" s="483">
        <f t="shared" si="47"/>
        <v>44827.424387813531</v>
      </c>
      <c r="AD88" s="514">
        <f t="shared" si="35"/>
        <v>44827.424387813531</v>
      </c>
      <c r="AE88" s="515">
        <v>63216</v>
      </c>
      <c r="AF88" s="483"/>
      <c r="AG88" s="483">
        <f t="shared" si="48"/>
        <v>31608</v>
      </c>
      <c r="AH88" s="514">
        <f t="shared" si="37"/>
        <v>31608</v>
      </c>
      <c r="AI88" s="520">
        <v>87999.262430901275</v>
      </c>
      <c r="AJ88" s="484"/>
      <c r="AK88" s="484">
        <f t="shared" si="49"/>
        <v>43999.631215450638</v>
      </c>
      <c r="AL88" s="514">
        <f t="shared" si="39"/>
        <v>43999.631215450638</v>
      </c>
      <c r="AM88" s="526">
        <v>158241.33014394506</v>
      </c>
      <c r="AN88" s="485"/>
      <c r="AO88" s="485">
        <f t="shared" si="50"/>
        <v>79120.665071972529</v>
      </c>
      <c r="AP88" s="514">
        <f t="shared" si="41"/>
        <v>79120.665071972529</v>
      </c>
      <c r="AQ88" s="530">
        <f t="shared" si="42"/>
        <v>79120.665071972529</v>
      </c>
    </row>
    <row r="89" spans="1:43" x14ac:dyDescent="0.55000000000000004">
      <c r="A89" s="316" t="s">
        <v>250</v>
      </c>
      <c r="B89" s="218" t="s">
        <v>251</v>
      </c>
      <c r="C89" s="218" t="s">
        <v>252</v>
      </c>
      <c r="D89" s="105" t="s">
        <v>253</v>
      </c>
      <c r="E89" s="100"/>
      <c r="F89" s="34"/>
      <c r="G89" s="34"/>
      <c r="H89" s="480">
        <v>80977.342990929319</v>
      </c>
      <c r="I89" s="480" t="s">
        <v>413</v>
      </c>
      <c r="J89" s="486">
        <v>3</v>
      </c>
      <c r="K89" s="318"/>
      <c r="L89" s="482"/>
      <c r="M89" s="482">
        <f t="shared" si="43"/>
        <v>0</v>
      </c>
      <c r="N89" s="509">
        <f t="shared" si="27"/>
        <v>0</v>
      </c>
      <c r="O89" s="515">
        <v>26470.35974093292</v>
      </c>
      <c r="P89" s="483"/>
      <c r="Q89" s="483">
        <f t="shared" si="44"/>
        <v>13235.17987046646</v>
      </c>
      <c r="R89" s="514">
        <f t="shared" si="29"/>
        <v>13235.17987046646</v>
      </c>
      <c r="S89" s="515">
        <v>42094.260145199667</v>
      </c>
      <c r="T89" s="483"/>
      <c r="U89" s="483">
        <f t="shared" si="45"/>
        <v>21047.130072599834</v>
      </c>
      <c r="V89" s="514">
        <f t="shared" si="31"/>
        <v>21047.130072599834</v>
      </c>
      <c r="W89" s="515">
        <v>52040.353809790613</v>
      </c>
      <c r="X89" s="483"/>
      <c r="Y89" s="483">
        <f t="shared" si="46"/>
        <v>26020.176904895307</v>
      </c>
      <c r="Z89" s="514">
        <f t="shared" si="33"/>
        <v>26020.176904895307</v>
      </c>
      <c r="AA89" s="515">
        <v>35482.701808864054</v>
      </c>
      <c r="AB89" s="483"/>
      <c r="AC89" s="483">
        <f t="shared" si="47"/>
        <v>17741.350904432027</v>
      </c>
      <c r="AD89" s="514">
        <f t="shared" si="35"/>
        <v>17741.350904432027</v>
      </c>
      <c r="AE89" s="515">
        <v>13243</v>
      </c>
      <c r="AF89" s="483"/>
      <c r="AG89" s="483">
        <f t="shared" si="48"/>
        <v>6621.5</v>
      </c>
      <c r="AH89" s="514">
        <f t="shared" si="37"/>
        <v>6621.5</v>
      </c>
      <c r="AI89" s="520">
        <v>46442.887891856524</v>
      </c>
      <c r="AJ89" s="484"/>
      <c r="AK89" s="484">
        <f t="shared" si="49"/>
        <v>23221.443945928262</v>
      </c>
      <c r="AL89" s="514">
        <f t="shared" si="39"/>
        <v>23221.443945928262</v>
      </c>
      <c r="AM89" s="526">
        <v>60733.007243196989</v>
      </c>
      <c r="AN89" s="485"/>
      <c r="AO89" s="485">
        <f t="shared" si="50"/>
        <v>30366.503621598495</v>
      </c>
      <c r="AP89" s="514">
        <f t="shared" si="41"/>
        <v>30366.503621598495</v>
      </c>
      <c r="AQ89" s="530">
        <f t="shared" si="42"/>
        <v>30366.503621598495</v>
      </c>
    </row>
    <row r="90" spans="1:43" x14ac:dyDescent="0.55000000000000004">
      <c r="A90" s="316" t="s">
        <v>250</v>
      </c>
      <c r="B90" s="218" t="s">
        <v>251</v>
      </c>
      <c r="C90" s="218" t="s">
        <v>254</v>
      </c>
      <c r="D90" s="105" t="s">
        <v>255</v>
      </c>
      <c r="E90" s="100"/>
      <c r="F90" s="34"/>
      <c r="G90" s="34"/>
      <c r="H90" s="480">
        <v>79454.880620653479</v>
      </c>
      <c r="I90" s="480" t="s">
        <v>413</v>
      </c>
      <c r="J90" s="486">
        <v>3</v>
      </c>
      <c r="K90" s="318"/>
      <c r="L90" s="482"/>
      <c r="M90" s="482">
        <f t="shared" si="43"/>
        <v>0</v>
      </c>
      <c r="N90" s="509">
        <f t="shared" si="27"/>
        <v>0</v>
      </c>
      <c r="O90" s="515">
        <v>10528.407321281551</v>
      </c>
      <c r="P90" s="483"/>
      <c r="Q90" s="483">
        <f t="shared" si="44"/>
        <v>5264.2036606407755</v>
      </c>
      <c r="R90" s="514">
        <f t="shared" si="29"/>
        <v>5264.2036606407755</v>
      </c>
      <c r="S90" s="515">
        <v>42184.060293550596</v>
      </c>
      <c r="T90" s="483"/>
      <c r="U90" s="483">
        <f t="shared" si="45"/>
        <v>21092.030146775298</v>
      </c>
      <c r="V90" s="514">
        <f t="shared" si="31"/>
        <v>21092.030146775298</v>
      </c>
      <c r="W90" s="515">
        <v>35471.478825328893</v>
      </c>
      <c r="X90" s="483"/>
      <c r="Y90" s="483">
        <f t="shared" si="46"/>
        <v>17735.739412664447</v>
      </c>
      <c r="Z90" s="514">
        <f t="shared" si="33"/>
        <v>17735.739412664447</v>
      </c>
      <c r="AA90" s="515">
        <v>44732.491459357952</v>
      </c>
      <c r="AB90" s="483"/>
      <c r="AC90" s="483">
        <f t="shared" si="47"/>
        <v>22366.245729678976</v>
      </c>
      <c r="AD90" s="514">
        <f t="shared" si="35"/>
        <v>22366.245729678976</v>
      </c>
      <c r="AE90" s="515">
        <v>14557</v>
      </c>
      <c r="AF90" s="483"/>
      <c r="AG90" s="483">
        <f t="shared" si="48"/>
        <v>7278.5</v>
      </c>
      <c r="AH90" s="514">
        <f t="shared" si="37"/>
        <v>7278.5</v>
      </c>
      <c r="AI90" s="520">
        <v>19014.843225455534</v>
      </c>
      <c r="AJ90" s="484"/>
      <c r="AK90" s="484">
        <f t="shared" si="49"/>
        <v>9507.4216127277668</v>
      </c>
      <c r="AL90" s="514">
        <f t="shared" si="39"/>
        <v>9507.4216127277668</v>
      </c>
      <c r="AM90" s="526">
        <v>38634.024521969128</v>
      </c>
      <c r="AN90" s="485"/>
      <c r="AO90" s="485">
        <f t="shared" si="50"/>
        <v>19317.012260984564</v>
      </c>
      <c r="AP90" s="514">
        <f t="shared" si="41"/>
        <v>19317.012260984564</v>
      </c>
      <c r="AQ90" s="530">
        <f t="shared" si="42"/>
        <v>22366.245729678976</v>
      </c>
    </row>
    <row r="91" spans="1:43" x14ac:dyDescent="0.55000000000000004">
      <c r="A91" s="316" t="s">
        <v>250</v>
      </c>
      <c r="B91" s="218" t="s">
        <v>251</v>
      </c>
      <c r="C91" s="218" t="s">
        <v>256</v>
      </c>
      <c r="D91" s="105" t="s">
        <v>257</v>
      </c>
      <c r="E91" s="100"/>
      <c r="F91" s="34"/>
      <c r="G91" s="34"/>
      <c r="H91" s="480">
        <v>135919.18209910189</v>
      </c>
      <c r="I91" s="480" t="s">
        <v>413</v>
      </c>
      <c r="J91" s="486">
        <v>3</v>
      </c>
      <c r="K91" s="318"/>
      <c r="L91" s="482"/>
      <c r="M91" s="482">
        <f t="shared" si="43"/>
        <v>0</v>
      </c>
      <c r="N91" s="509">
        <f t="shared" si="27"/>
        <v>0</v>
      </c>
      <c r="O91" s="515">
        <v>46429.992605053216</v>
      </c>
      <c r="P91" s="483"/>
      <c r="Q91" s="483">
        <f t="shared" si="44"/>
        <v>23214.996302526608</v>
      </c>
      <c r="R91" s="514">
        <f t="shared" si="29"/>
        <v>23214.996302526608</v>
      </c>
      <c r="S91" s="515">
        <v>69154.097960808984</v>
      </c>
      <c r="T91" s="483"/>
      <c r="U91" s="483">
        <f t="shared" si="45"/>
        <v>34577.048980404492</v>
      </c>
      <c r="V91" s="514">
        <f t="shared" si="31"/>
        <v>34577.048980404492</v>
      </c>
      <c r="W91" s="515">
        <v>96916.824518761714</v>
      </c>
      <c r="X91" s="483"/>
      <c r="Y91" s="483">
        <f t="shared" si="46"/>
        <v>48458.412259380857</v>
      </c>
      <c r="Z91" s="514">
        <f t="shared" si="33"/>
        <v>48458.412259380857</v>
      </c>
      <c r="AA91" s="515">
        <v>52722.460475722546</v>
      </c>
      <c r="AB91" s="483"/>
      <c r="AC91" s="483">
        <f t="shared" si="47"/>
        <v>26361.230237861273</v>
      </c>
      <c r="AD91" s="514">
        <f t="shared" si="35"/>
        <v>26361.230237861273</v>
      </c>
      <c r="AE91" s="515">
        <v>45226</v>
      </c>
      <c r="AF91" s="483"/>
      <c r="AG91" s="483">
        <f t="shared" si="48"/>
        <v>22613</v>
      </c>
      <c r="AH91" s="514">
        <f t="shared" si="37"/>
        <v>22613</v>
      </c>
      <c r="AI91" s="520">
        <v>70224.910751202638</v>
      </c>
      <c r="AJ91" s="484"/>
      <c r="AK91" s="484">
        <f t="shared" si="49"/>
        <v>35112.455375601319</v>
      </c>
      <c r="AL91" s="514">
        <f t="shared" si="39"/>
        <v>35112.455375601319</v>
      </c>
      <c r="AM91" s="526">
        <v>108231.94130113669</v>
      </c>
      <c r="AN91" s="485"/>
      <c r="AO91" s="485">
        <f t="shared" si="50"/>
        <v>54115.970650568343</v>
      </c>
      <c r="AP91" s="514">
        <f t="shared" si="41"/>
        <v>54115.970650568343</v>
      </c>
      <c r="AQ91" s="530">
        <f t="shared" si="42"/>
        <v>54115.970650568343</v>
      </c>
    </row>
    <row r="92" spans="1:43" x14ac:dyDescent="0.55000000000000004">
      <c r="A92" s="316" t="s">
        <v>250</v>
      </c>
      <c r="B92" s="218" t="s">
        <v>251</v>
      </c>
      <c r="C92" s="218" t="s">
        <v>258</v>
      </c>
      <c r="D92" s="105" t="s">
        <v>259</v>
      </c>
      <c r="E92" s="100"/>
      <c r="F92" s="34"/>
      <c r="G92" s="34"/>
      <c r="H92" s="480">
        <v>121484.03458105327</v>
      </c>
      <c r="I92" s="480" t="s">
        <v>413</v>
      </c>
      <c r="J92" s="486">
        <v>3</v>
      </c>
      <c r="K92" s="318"/>
      <c r="L92" s="482"/>
      <c r="M92" s="482">
        <f t="shared" si="43"/>
        <v>0</v>
      </c>
      <c r="N92" s="509">
        <f t="shared" si="27"/>
        <v>0</v>
      </c>
      <c r="O92" s="515">
        <v>46042.449106219196</v>
      </c>
      <c r="P92" s="483"/>
      <c r="Q92" s="483">
        <f t="shared" si="44"/>
        <v>23021.224553109598</v>
      </c>
      <c r="R92" s="514">
        <f t="shared" si="29"/>
        <v>23021.224553109598</v>
      </c>
      <c r="S92" s="515">
        <v>59858.47932407858</v>
      </c>
      <c r="T92" s="483"/>
      <c r="U92" s="483">
        <f t="shared" si="45"/>
        <v>29929.23966203929</v>
      </c>
      <c r="V92" s="514">
        <f t="shared" si="31"/>
        <v>29929.23966203929</v>
      </c>
      <c r="W92" s="515">
        <v>86176.646757728115</v>
      </c>
      <c r="X92" s="483"/>
      <c r="Y92" s="483">
        <f t="shared" si="46"/>
        <v>43088.323378864057</v>
      </c>
      <c r="Z92" s="514">
        <f t="shared" si="33"/>
        <v>43088.323378864057</v>
      </c>
      <c r="AA92" s="515">
        <v>43235.42634040417</v>
      </c>
      <c r="AB92" s="483"/>
      <c r="AC92" s="483">
        <f t="shared" si="47"/>
        <v>21617.713170202085</v>
      </c>
      <c r="AD92" s="514">
        <f t="shared" si="35"/>
        <v>21617.713170202085</v>
      </c>
      <c r="AE92" s="515">
        <v>20486</v>
      </c>
      <c r="AF92" s="483"/>
      <c r="AG92" s="483">
        <f t="shared" si="48"/>
        <v>10243</v>
      </c>
      <c r="AH92" s="514">
        <f t="shared" si="37"/>
        <v>10243</v>
      </c>
      <c r="AI92" s="520">
        <v>89929.739884675801</v>
      </c>
      <c r="AJ92" s="484"/>
      <c r="AK92" s="484">
        <f t="shared" si="49"/>
        <v>44964.8699423379</v>
      </c>
      <c r="AL92" s="514">
        <f t="shared" si="39"/>
        <v>44964.8699423379</v>
      </c>
      <c r="AM92" s="526">
        <v>62413.815931550314</v>
      </c>
      <c r="AN92" s="485"/>
      <c r="AO92" s="485">
        <f t="shared" si="50"/>
        <v>31206.907965775157</v>
      </c>
      <c r="AP92" s="514">
        <f t="shared" si="41"/>
        <v>31206.907965775157</v>
      </c>
      <c r="AQ92" s="530">
        <f t="shared" si="42"/>
        <v>44964.8699423379</v>
      </c>
    </row>
    <row r="93" spans="1:43" x14ac:dyDescent="0.55000000000000004">
      <c r="A93" s="316" t="s">
        <v>250</v>
      </c>
      <c r="B93" s="218" t="s">
        <v>251</v>
      </c>
      <c r="C93" s="218" t="s">
        <v>260</v>
      </c>
      <c r="D93" s="105" t="s">
        <v>261</v>
      </c>
      <c r="E93" s="100"/>
      <c r="F93" s="34"/>
      <c r="G93" s="34"/>
      <c r="H93" s="480">
        <v>79271.088602523028</v>
      </c>
      <c r="I93" s="480" t="s">
        <v>413</v>
      </c>
      <c r="J93" s="486">
        <v>3</v>
      </c>
      <c r="K93" s="318"/>
      <c r="L93" s="482"/>
      <c r="M93" s="482">
        <f t="shared" si="43"/>
        <v>0</v>
      </c>
      <c r="N93" s="509">
        <f t="shared" si="27"/>
        <v>0</v>
      </c>
      <c r="O93" s="515">
        <v>19686.721186953062</v>
      </c>
      <c r="P93" s="483"/>
      <c r="Q93" s="483">
        <f t="shared" si="44"/>
        <v>9843.360593476531</v>
      </c>
      <c r="R93" s="514">
        <f t="shared" si="29"/>
        <v>9843.360593476531</v>
      </c>
      <c r="S93" s="515">
        <v>37294.758549978993</v>
      </c>
      <c r="T93" s="483"/>
      <c r="U93" s="483">
        <f t="shared" si="45"/>
        <v>18647.379274989496</v>
      </c>
      <c r="V93" s="514">
        <f t="shared" si="31"/>
        <v>18647.379274989496</v>
      </c>
      <c r="W93" s="515">
        <v>35027.358509100399</v>
      </c>
      <c r="X93" s="483"/>
      <c r="Y93" s="483">
        <f t="shared" si="46"/>
        <v>17513.679254550199</v>
      </c>
      <c r="Z93" s="514">
        <f t="shared" si="33"/>
        <v>17513.679254550199</v>
      </c>
      <c r="AA93" s="515">
        <v>38688.219690455218</v>
      </c>
      <c r="AB93" s="483"/>
      <c r="AC93" s="483">
        <f t="shared" si="47"/>
        <v>19344.109845227609</v>
      </c>
      <c r="AD93" s="514">
        <f t="shared" si="35"/>
        <v>19344.109845227609</v>
      </c>
      <c r="AE93" s="515">
        <v>14100</v>
      </c>
      <c r="AF93" s="483"/>
      <c r="AG93" s="483">
        <f t="shared" si="48"/>
        <v>7050</v>
      </c>
      <c r="AH93" s="514">
        <f t="shared" si="37"/>
        <v>7050</v>
      </c>
      <c r="AI93" s="520">
        <v>42994.488733571816</v>
      </c>
      <c r="AJ93" s="484"/>
      <c r="AK93" s="484">
        <f t="shared" si="49"/>
        <v>21497.244366785908</v>
      </c>
      <c r="AL93" s="514">
        <f t="shared" si="39"/>
        <v>21497.244366785908</v>
      </c>
      <c r="AM93" s="526">
        <v>78537.097041388552</v>
      </c>
      <c r="AN93" s="485"/>
      <c r="AO93" s="485">
        <f t="shared" si="50"/>
        <v>39268.548520694276</v>
      </c>
      <c r="AP93" s="514">
        <f t="shared" si="41"/>
        <v>39268.548520694276</v>
      </c>
      <c r="AQ93" s="530">
        <f t="shared" si="42"/>
        <v>39268.548520694276</v>
      </c>
    </row>
    <row r="94" spans="1:43" x14ac:dyDescent="0.55000000000000004">
      <c r="A94" s="316" t="s">
        <v>250</v>
      </c>
      <c r="B94" s="218" t="s">
        <v>251</v>
      </c>
      <c r="C94" s="218" t="s">
        <v>262</v>
      </c>
      <c r="D94" s="105" t="s">
        <v>263</v>
      </c>
      <c r="E94" s="100"/>
      <c r="F94" s="34"/>
      <c r="G94" s="34"/>
      <c r="H94" s="480">
        <v>107170.91979145796</v>
      </c>
      <c r="I94" s="480" t="s">
        <v>413</v>
      </c>
      <c r="J94" s="486">
        <v>3</v>
      </c>
      <c r="K94" s="318"/>
      <c r="L94" s="482"/>
      <c r="M94" s="482">
        <f t="shared" si="43"/>
        <v>0</v>
      </c>
      <c r="N94" s="509">
        <f t="shared" si="27"/>
        <v>0</v>
      </c>
      <c r="O94" s="515">
        <v>5729.3573720513423</v>
      </c>
      <c r="P94" s="483"/>
      <c r="Q94" s="483">
        <f t="shared" si="44"/>
        <v>2864.6786860256711</v>
      </c>
      <c r="R94" s="514">
        <f t="shared" si="29"/>
        <v>2864.6786860256711</v>
      </c>
      <c r="S94" s="515">
        <v>45780.758584537936</v>
      </c>
      <c r="T94" s="483"/>
      <c r="U94" s="483">
        <f t="shared" si="45"/>
        <v>22890.379292268968</v>
      </c>
      <c r="V94" s="514">
        <f t="shared" si="31"/>
        <v>22890.379292268968</v>
      </c>
      <c r="W94" s="515">
        <v>73504.163352942982</v>
      </c>
      <c r="X94" s="483"/>
      <c r="Y94" s="483">
        <f t="shared" si="46"/>
        <v>36752.081676471491</v>
      </c>
      <c r="Z94" s="514">
        <f t="shared" si="33"/>
        <v>36752.081676471491</v>
      </c>
      <c r="AA94" s="515">
        <v>44407.930448946878</v>
      </c>
      <c r="AB94" s="483"/>
      <c r="AC94" s="483">
        <f t="shared" si="47"/>
        <v>22203.965224473439</v>
      </c>
      <c r="AD94" s="514">
        <f t="shared" si="35"/>
        <v>22203.965224473439</v>
      </c>
      <c r="AE94" s="515">
        <v>18196</v>
      </c>
      <c r="AF94" s="483"/>
      <c r="AG94" s="483">
        <f t="shared" si="48"/>
        <v>9098</v>
      </c>
      <c r="AH94" s="514">
        <f t="shared" si="37"/>
        <v>9098</v>
      </c>
      <c r="AI94" s="520">
        <v>26792.729947864493</v>
      </c>
      <c r="AJ94" s="484"/>
      <c r="AK94" s="484">
        <f t="shared" si="49"/>
        <v>13396.364973932246</v>
      </c>
      <c r="AL94" s="514">
        <f t="shared" si="39"/>
        <v>13396.364973932246</v>
      </c>
      <c r="AM94" s="526">
        <v>31342.438806935817</v>
      </c>
      <c r="AN94" s="485"/>
      <c r="AO94" s="485">
        <f t="shared" si="50"/>
        <v>15671.219403467909</v>
      </c>
      <c r="AP94" s="514">
        <f t="shared" si="41"/>
        <v>15671.219403467909</v>
      </c>
      <c r="AQ94" s="530">
        <f t="shared" si="42"/>
        <v>36752.081676471491</v>
      </c>
    </row>
    <row r="95" spans="1:43" x14ac:dyDescent="0.55000000000000004">
      <c r="A95" s="316" t="s">
        <v>250</v>
      </c>
      <c r="B95" s="218" t="s">
        <v>251</v>
      </c>
      <c r="C95" s="218" t="s">
        <v>264</v>
      </c>
      <c r="D95" s="105" t="s">
        <v>265</v>
      </c>
      <c r="E95" s="100"/>
      <c r="F95" s="34"/>
      <c r="G95" s="34"/>
      <c r="H95" s="480">
        <v>159337.28264572358</v>
      </c>
      <c r="I95" s="480" t="s">
        <v>413</v>
      </c>
      <c r="J95" s="486">
        <v>3</v>
      </c>
      <c r="K95" s="318"/>
      <c r="L95" s="482"/>
      <c r="M95" s="482">
        <f t="shared" si="43"/>
        <v>0</v>
      </c>
      <c r="N95" s="509">
        <f t="shared" si="27"/>
        <v>0</v>
      </c>
      <c r="O95" s="515">
        <v>10479.4059411418</v>
      </c>
      <c r="P95" s="483"/>
      <c r="Q95" s="483">
        <f t="shared" si="44"/>
        <v>5239.7029705709001</v>
      </c>
      <c r="R95" s="514">
        <f t="shared" si="29"/>
        <v>5239.7029705709001</v>
      </c>
      <c r="S95" s="515">
        <v>67879.22486518354</v>
      </c>
      <c r="T95" s="483"/>
      <c r="U95" s="483">
        <f t="shared" si="45"/>
        <v>33939.61243259177</v>
      </c>
      <c r="V95" s="514">
        <f t="shared" si="31"/>
        <v>33939.61243259177</v>
      </c>
      <c r="W95" s="515">
        <v>38586.597027883196</v>
      </c>
      <c r="X95" s="483"/>
      <c r="Y95" s="483">
        <f t="shared" si="46"/>
        <v>19293.298513941598</v>
      </c>
      <c r="Z95" s="514">
        <f t="shared" si="33"/>
        <v>19293.298513941598</v>
      </c>
      <c r="AA95" s="515">
        <v>83224.483891593016</v>
      </c>
      <c r="AB95" s="483"/>
      <c r="AC95" s="483">
        <f t="shared" si="47"/>
        <v>41612.241945796508</v>
      </c>
      <c r="AD95" s="514">
        <f t="shared" si="35"/>
        <v>41612.241945796508</v>
      </c>
      <c r="AE95" s="515">
        <v>54019</v>
      </c>
      <c r="AF95" s="483"/>
      <c r="AG95" s="483">
        <f t="shared" si="48"/>
        <v>27009.5</v>
      </c>
      <c r="AH95" s="514">
        <f t="shared" si="37"/>
        <v>27009.5</v>
      </c>
      <c r="AI95" s="520">
        <v>10448.346402998268</v>
      </c>
      <c r="AJ95" s="484"/>
      <c r="AK95" s="484">
        <f t="shared" si="49"/>
        <v>5224.1732014991339</v>
      </c>
      <c r="AL95" s="514">
        <f t="shared" si="39"/>
        <v>5224.1732014991339</v>
      </c>
      <c r="AM95" s="526">
        <v>55097.938858801615</v>
      </c>
      <c r="AN95" s="485"/>
      <c r="AO95" s="485">
        <f t="shared" si="50"/>
        <v>27548.969429400808</v>
      </c>
      <c r="AP95" s="514">
        <f t="shared" si="41"/>
        <v>27548.969429400808</v>
      </c>
      <c r="AQ95" s="530">
        <f t="shared" si="42"/>
        <v>41612.241945796508</v>
      </c>
    </row>
    <row r="96" spans="1:43" x14ac:dyDescent="0.55000000000000004">
      <c r="A96" s="316" t="s">
        <v>250</v>
      </c>
      <c r="B96" s="218" t="s">
        <v>251</v>
      </c>
      <c r="C96" s="218" t="s">
        <v>266</v>
      </c>
      <c r="D96" s="105" t="s">
        <v>267</v>
      </c>
      <c r="E96" s="100"/>
      <c r="F96" s="34"/>
      <c r="G96" s="34"/>
      <c r="H96" s="480">
        <v>47474.399116158442</v>
      </c>
      <c r="I96" s="480" t="s">
        <v>413</v>
      </c>
      <c r="J96" s="486">
        <v>3</v>
      </c>
      <c r="K96" s="318"/>
      <c r="L96" s="482"/>
      <c r="M96" s="482">
        <f t="shared" si="43"/>
        <v>0</v>
      </c>
      <c r="N96" s="509">
        <f t="shared" si="27"/>
        <v>0</v>
      </c>
      <c r="O96" s="515">
        <v>5311.3408243175745</v>
      </c>
      <c r="P96" s="483"/>
      <c r="Q96" s="483">
        <f t="shared" si="44"/>
        <v>2655.6704121587873</v>
      </c>
      <c r="R96" s="514">
        <f t="shared" si="29"/>
        <v>2655.6704121587873</v>
      </c>
      <c r="S96" s="515">
        <v>30283.540237307421</v>
      </c>
      <c r="T96" s="483"/>
      <c r="U96" s="483">
        <f t="shared" si="45"/>
        <v>15141.770118653711</v>
      </c>
      <c r="V96" s="514">
        <f t="shared" si="31"/>
        <v>15141.770118653711</v>
      </c>
      <c r="W96" s="515">
        <v>26656.881066419981</v>
      </c>
      <c r="X96" s="483"/>
      <c r="Y96" s="483">
        <f t="shared" si="46"/>
        <v>13328.44053320999</v>
      </c>
      <c r="Z96" s="514">
        <f t="shared" si="33"/>
        <v>13328.44053320999</v>
      </c>
      <c r="AA96" s="515">
        <v>37597.565887588869</v>
      </c>
      <c r="AB96" s="483"/>
      <c r="AC96" s="483">
        <f t="shared" si="47"/>
        <v>18798.782943794435</v>
      </c>
      <c r="AD96" s="514">
        <f t="shared" si="35"/>
        <v>18798.782943794435</v>
      </c>
      <c r="AE96" s="515">
        <v>15714</v>
      </c>
      <c r="AF96" s="483"/>
      <c r="AG96" s="483">
        <f t="shared" si="48"/>
        <v>7857</v>
      </c>
      <c r="AH96" s="514">
        <f t="shared" si="37"/>
        <v>7857</v>
      </c>
      <c r="AI96" s="520">
        <v>26110.919513887144</v>
      </c>
      <c r="AJ96" s="484"/>
      <c r="AK96" s="484">
        <f t="shared" si="49"/>
        <v>13055.459756943572</v>
      </c>
      <c r="AL96" s="514">
        <f t="shared" si="39"/>
        <v>13055.459756943572</v>
      </c>
      <c r="AM96" s="526">
        <v>32800.493934800375</v>
      </c>
      <c r="AN96" s="485"/>
      <c r="AO96" s="485">
        <f t="shared" si="50"/>
        <v>16400.246967400188</v>
      </c>
      <c r="AP96" s="514">
        <f t="shared" si="41"/>
        <v>16400.246967400188</v>
      </c>
      <c r="AQ96" s="530">
        <f t="shared" si="42"/>
        <v>18798.782943794435</v>
      </c>
    </row>
    <row r="97" spans="1:43" x14ac:dyDescent="0.55000000000000004">
      <c r="A97" s="316" t="s">
        <v>268</v>
      </c>
      <c r="B97" s="218" t="s">
        <v>269</v>
      </c>
      <c r="C97" s="218" t="s">
        <v>270</v>
      </c>
      <c r="D97" s="105" t="s">
        <v>271</v>
      </c>
      <c r="E97" s="100"/>
      <c r="F97" s="34"/>
      <c r="G97" s="34"/>
      <c r="H97" s="480">
        <v>146807.46329287597</v>
      </c>
      <c r="I97" s="480" t="s">
        <v>413</v>
      </c>
      <c r="J97" s="486">
        <v>4</v>
      </c>
      <c r="K97" s="318"/>
      <c r="L97" s="482">
        <f t="shared" si="26"/>
        <v>0</v>
      </c>
      <c r="M97" s="482"/>
      <c r="N97" s="509">
        <f t="shared" si="27"/>
        <v>0</v>
      </c>
      <c r="O97" s="515">
        <v>28955.129600180513</v>
      </c>
      <c r="P97" s="483">
        <f t="shared" si="28"/>
        <v>28955.129600180513</v>
      </c>
      <c r="Q97" s="483"/>
      <c r="R97" s="514">
        <f t="shared" si="29"/>
        <v>28955.129600180513</v>
      </c>
      <c r="S97" s="515">
        <v>85498.20173389159</v>
      </c>
      <c r="T97" s="483">
        <f t="shared" si="30"/>
        <v>85498.20173389159</v>
      </c>
      <c r="U97" s="483"/>
      <c r="V97" s="514">
        <f t="shared" si="31"/>
        <v>85498.20173389159</v>
      </c>
      <c r="W97" s="515">
        <v>126136.8235023275</v>
      </c>
      <c r="X97" s="483">
        <f t="shared" si="32"/>
        <v>126136.8235023275</v>
      </c>
      <c r="Y97" s="483"/>
      <c r="Z97" s="514">
        <f t="shared" si="33"/>
        <v>0</v>
      </c>
      <c r="AA97" s="515">
        <v>78587.456294377014</v>
      </c>
      <c r="AB97" s="483">
        <f t="shared" si="34"/>
        <v>78587.456294377014</v>
      </c>
      <c r="AC97" s="483"/>
      <c r="AD97" s="514">
        <f t="shared" si="35"/>
        <v>78587.456294377014</v>
      </c>
      <c r="AE97" s="515">
        <v>57549</v>
      </c>
      <c r="AF97" s="483">
        <f t="shared" si="36"/>
        <v>57549</v>
      </c>
      <c r="AG97" s="483"/>
      <c r="AH97" s="514">
        <f t="shared" si="37"/>
        <v>57549</v>
      </c>
      <c r="AI97" s="520">
        <v>101635.93612583721</v>
      </c>
      <c r="AJ97" s="484">
        <f t="shared" si="38"/>
        <v>101635.93612583721</v>
      </c>
      <c r="AK97" s="484"/>
      <c r="AL97" s="514">
        <f t="shared" si="39"/>
        <v>101635.93612583721</v>
      </c>
      <c r="AM97" s="526">
        <v>73403.731646437984</v>
      </c>
      <c r="AN97" s="485">
        <f t="shared" si="40"/>
        <v>73403.731646437984</v>
      </c>
      <c r="AO97" s="485"/>
      <c r="AP97" s="514">
        <f t="shared" si="41"/>
        <v>73403.731646437984</v>
      </c>
      <c r="AQ97" s="530">
        <f t="shared" si="42"/>
        <v>101635.93612583721</v>
      </c>
    </row>
    <row r="98" spans="1:43" x14ac:dyDescent="0.55000000000000004">
      <c r="A98" s="316" t="s">
        <v>268</v>
      </c>
      <c r="B98" s="218" t="s">
        <v>269</v>
      </c>
      <c r="C98" s="218" t="s">
        <v>272</v>
      </c>
      <c r="D98" s="105" t="s">
        <v>273</v>
      </c>
      <c r="E98" s="100"/>
      <c r="F98" s="34"/>
      <c r="G98" s="34"/>
      <c r="H98" s="480">
        <v>126785.47631993188</v>
      </c>
      <c r="I98" s="480" t="s">
        <v>413</v>
      </c>
      <c r="J98" s="486">
        <v>4</v>
      </c>
      <c r="K98" s="318"/>
      <c r="L98" s="482">
        <f t="shared" si="26"/>
        <v>0</v>
      </c>
      <c r="M98" s="482"/>
      <c r="N98" s="509">
        <f t="shared" si="27"/>
        <v>0</v>
      </c>
      <c r="O98" s="515">
        <v>17472.052920697173</v>
      </c>
      <c r="P98" s="483">
        <f t="shared" si="28"/>
        <v>17472.052920697173</v>
      </c>
      <c r="Q98" s="483"/>
      <c r="R98" s="514">
        <f t="shared" si="29"/>
        <v>17472.052920697173</v>
      </c>
      <c r="S98" s="515">
        <v>55020.705877044304</v>
      </c>
      <c r="T98" s="483">
        <f t="shared" si="30"/>
        <v>55020.705877044304</v>
      </c>
      <c r="U98" s="483"/>
      <c r="V98" s="514">
        <f t="shared" si="31"/>
        <v>55020.705877044304</v>
      </c>
      <c r="W98" s="515">
        <v>93800.145733472207</v>
      </c>
      <c r="X98" s="483">
        <f t="shared" si="32"/>
        <v>93800.145733472207</v>
      </c>
      <c r="Y98" s="483"/>
      <c r="Z98" s="514">
        <f t="shared" si="33"/>
        <v>0</v>
      </c>
      <c r="AA98" s="515">
        <v>56927.12951178303</v>
      </c>
      <c r="AB98" s="483">
        <f t="shared" si="34"/>
        <v>56927.12951178303</v>
      </c>
      <c r="AC98" s="483"/>
      <c r="AD98" s="514">
        <f t="shared" si="35"/>
        <v>56927.12951178303</v>
      </c>
      <c r="AE98" s="515">
        <v>44328</v>
      </c>
      <c r="AF98" s="483">
        <f t="shared" si="36"/>
        <v>44328</v>
      </c>
      <c r="AG98" s="483"/>
      <c r="AH98" s="514">
        <f t="shared" si="37"/>
        <v>44328</v>
      </c>
      <c r="AI98" s="520">
        <v>55823.455991611794</v>
      </c>
      <c r="AJ98" s="484">
        <f t="shared" si="38"/>
        <v>55823.455991611794</v>
      </c>
      <c r="AK98" s="484"/>
      <c r="AL98" s="514">
        <f t="shared" si="39"/>
        <v>55823.455991611794</v>
      </c>
      <c r="AM98" s="526">
        <v>108231.50417555163</v>
      </c>
      <c r="AN98" s="485">
        <f t="shared" si="40"/>
        <v>108231.50417555163</v>
      </c>
      <c r="AO98" s="485"/>
      <c r="AP98" s="514">
        <f t="shared" si="41"/>
        <v>108231.50417555163</v>
      </c>
      <c r="AQ98" s="530">
        <f t="shared" si="42"/>
        <v>108231.50417555163</v>
      </c>
    </row>
    <row r="99" spans="1:43" x14ac:dyDescent="0.55000000000000004">
      <c r="A99" s="316" t="s">
        <v>268</v>
      </c>
      <c r="B99" s="218" t="s">
        <v>269</v>
      </c>
      <c r="C99" s="218" t="s">
        <v>274</v>
      </c>
      <c r="D99" s="105" t="s">
        <v>275</v>
      </c>
      <c r="E99" s="100"/>
      <c r="F99" s="34"/>
      <c r="G99" s="34"/>
      <c r="H99" s="480">
        <v>191777.77641387403</v>
      </c>
      <c r="I99" s="480" t="s">
        <v>413</v>
      </c>
      <c r="J99" s="486">
        <v>3</v>
      </c>
      <c r="K99" s="318"/>
      <c r="L99" s="482"/>
      <c r="M99" s="482">
        <f t="shared" si="43"/>
        <v>0</v>
      </c>
      <c r="N99" s="509">
        <f t="shared" si="27"/>
        <v>0</v>
      </c>
      <c r="O99" s="515">
        <v>38783.219724177747</v>
      </c>
      <c r="P99" s="483"/>
      <c r="Q99" s="483">
        <f t="shared" si="44"/>
        <v>19391.609862088873</v>
      </c>
      <c r="R99" s="514">
        <f t="shared" si="29"/>
        <v>19391.609862088873</v>
      </c>
      <c r="S99" s="515">
        <v>96420.643217037126</v>
      </c>
      <c r="T99" s="483"/>
      <c r="U99" s="483">
        <f t="shared" si="45"/>
        <v>48210.321608518563</v>
      </c>
      <c r="V99" s="514">
        <f t="shared" si="31"/>
        <v>48210.321608518563</v>
      </c>
      <c r="W99" s="515">
        <v>45820.494914653173</v>
      </c>
      <c r="X99" s="483"/>
      <c r="Y99" s="483">
        <f t="shared" si="46"/>
        <v>22910.247457326586</v>
      </c>
      <c r="Z99" s="514">
        <f t="shared" si="33"/>
        <v>22910.247457326586</v>
      </c>
      <c r="AA99" s="515">
        <v>106537.69719115124</v>
      </c>
      <c r="AB99" s="483"/>
      <c r="AC99" s="483">
        <f t="shared" si="47"/>
        <v>53268.848595575619</v>
      </c>
      <c r="AD99" s="514">
        <f t="shared" si="35"/>
        <v>53268.848595575619</v>
      </c>
      <c r="AE99" s="515">
        <v>65882</v>
      </c>
      <c r="AF99" s="483"/>
      <c r="AG99" s="483">
        <f t="shared" si="48"/>
        <v>32941</v>
      </c>
      <c r="AH99" s="514">
        <f t="shared" si="37"/>
        <v>32941</v>
      </c>
      <c r="AI99" s="520">
        <v>157119.14212221006</v>
      </c>
      <c r="AJ99" s="484"/>
      <c r="AK99" s="484">
        <f t="shared" si="49"/>
        <v>78559.571061105031</v>
      </c>
      <c r="AL99" s="514">
        <f t="shared" si="39"/>
        <v>78559.571061105031</v>
      </c>
      <c r="AM99" s="526">
        <v>90561.72775099607</v>
      </c>
      <c r="AN99" s="485"/>
      <c r="AO99" s="485">
        <f t="shared" si="50"/>
        <v>45280.863875498035</v>
      </c>
      <c r="AP99" s="514">
        <f t="shared" si="41"/>
        <v>45280.863875498035</v>
      </c>
      <c r="AQ99" s="530">
        <f t="shared" si="42"/>
        <v>78559.571061105031</v>
      </c>
    </row>
    <row r="100" spans="1:43" x14ac:dyDescent="0.55000000000000004">
      <c r="A100" s="316" t="s">
        <v>268</v>
      </c>
      <c r="B100" s="218" t="s">
        <v>269</v>
      </c>
      <c r="C100" s="218" t="s">
        <v>276</v>
      </c>
      <c r="D100" s="105" t="s">
        <v>277</v>
      </c>
      <c r="E100" s="100"/>
      <c r="F100" s="34"/>
      <c r="G100" s="34"/>
      <c r="H100" s="480">
        <v>32762.733973342118</v>
      </c>
      <c r="I100" s="480" t="s">
        <v>413</v>
      </c>
      <c r="J100" s="486">
        <v>4</v>
      </c>
      <c r="K100" s="318"/>
      <c r="L100" s="482">
        <f t="shared" si="26"/>
        <v>0</v>
      </c>
      <c r="M100" s="482"/>
      <c r="N100" s="509">
        <f t="shared" si="27"/>
        <v>0</v>
      </c>
      <c r="O100" s="515">
        <v>4590.8780980145648</v>
      </c>
      <c r="P100" s="483">
        <f t="shared" si="28"/>
        <v>4590.8780980145648</v>
      </c>
      <c r="Q100" s="483"/>
      <c r="R100" s="514">
        <f t="shared" si="29"/>
        <v>4590.8780980145648</v>
      </c>
      <c r="S100" s="515">
        <v>16245.83624605341</v>
      </c>
      <c r="T100" s="483">
        <f t="shared" si="30"/>
        <v>16245.83624605341</v>
      </c>
      <c r="U100" s="483"/>
      <c r="V100" s="514">
        <f t="shared" si="31"/>
        <v>16245.83624605341</v>
      </c>
      <c r="W100" s="515">
        <v>28785.298326178607</v>
      </c>
      <c r="X100" s="483">
        <f t="shared" si="32"/>
        <v>28785.298326178607</v>
      </c>
      <c r="Y100" s="483"/>
      <c r="Z100" s="514">
        <f t="shared" si="33"/>
        <v>0</v>
      </c>
      <c r="AA100" s="515">
        <v>24135.055253750837</v>
      </c>
      <c r="AB100" s="483">
        <f t="shared" si="34"/>
        <v>24135.055253750837</v>
      </c>
      <c r="AC100" s="483"/>
      <c r="AD100" s="514">
        <f t="shared" si="35"/>
        <v>24135.055253750837</v>
      </c>
      <c r="AE100" s="515">
        <v>11168</v>
      </c>
      <c r="AF100" s="483">
        <f t="shared" si="36"/>
        <v>11168</v>
      </c>
      <c r="AG100" s="483"/>
      <c r="AH100" s="514">
        <f t="shared" si="37"/>
        <v>11168</v>
      </c>
      <c r="AI100" s="520">
        <v>25482.126423710535</v>
      </c>
      <c r="AJ100" s="484">
        <f t="shared" si="38"/>
        <v>25482.126423710535</v>
      </c>
      <c r="AK100" s="484"/>
      <c r="AL100" s="514">
        <f t="shared" si="39"/>
        <v>25482.126423710535</v>
      </c>
      <c r="AM100" s="526">
        <v>31549.299381736855</v>
      </c>
      <c r="AN100" s="485">
        <f t="shared" si="40"/>
        <v>31549.299381736855</v>
      </c>
      <c r="AO100" s="485"/>
      <c r="AP100" s="514">
        <f t="shared" si="41"/>
        <v>31549.299381736855</v>
      </c>
      <c r="AQ100" s="530">
        <f t="shared" si="42"/>
        <v>31549.299381736855</v>
      </c>
    </row>
    <row r="101" spans="1:43" x14ac:dyDescent="0.55000000000000004">
      <c r="A101" s="316" t="s">
        <v>268</v>
      </c>
      <c r="B101" s="218" t="s">
        <v>269</v>
      </c>
      <c r="C101" s="218" t="s">
        <v>278</v>
      </c>
      <c r="D101" s="105" t="s">
        <v>279</v>
      </c>
      <c r="E101" s="100"/>
      <c r="F101" s="34"/>
      <c r="G101" s="34"/>
      <c r="H101" s="480">
        <v>95901.718428606313</v>
      </c>
      <c r="I101" s="480" t="s">
        <v>413</v>
      </c>
      <c r="J101" s="486">
        <v>4</v>
      </c>
      <c r="K101" s="318"/>
      <c r="L101" s="482">
        <f t="shared" si="26"/>
        <v>0</v>
      </c>
      <c r="M101" s="482"/>
      <c r="N101" s="509">
        <f t="shared" si="27"/>
        <v>0</v>
      </c>
      <c r="O101" s="515">
        <v>10794.697426323926</v>
      </c>
      <c r="P101" s="483">
        <f t="shared" si="28"/>
        <v>10794.697426323926</v>
      </c>
      <c r="Q101" s="483"/>
      <c r="R101" s="514">
        <f t="shared" si="29"/>
        <v>10794.697426323926</v>
      </c>
      <c r="S101" s="515">
        <v>47590.815393860707</v>
      </c>
      <c r="T101" s="483">
        <f t="shared" si="30"/>
        <v>47590.815393860707</v>
      </c>
      <c r="U101" s="483"/>
      <c r="V101" s="514">
        <f t="shared" si="31"/>
        <v>47590.815393860707</v>
      </c>
      <c r="W101" s="515">
        <v>66895.029767823638</v>
      </c>
      <c r="X101" s="483">
        <f t="shared" si="32"/>
        <v>66895.029767823638</v>
      </c>
      <c r="Y101" s="483"/>
      <c r="Z101" s="514">
        <f t="shared" si="33"/>
        <v>0</v>
      </c>
      <c r="AA101" s="515">
        <v>63790.367415290682</v>
      </c>
      <c r="AB101" s="483">
        <f t="shared" si="34"/>
        <v>63790.367415290682</v>
      </c>
      <c r="AC101" s="483"/>
      <c r="AD101" s="514">
        <f t="shared" si="35"/>
        <v>63790.367415290682</v>
      </c>
      <c r="AE101" s="515">
        <v>32952</v>
      </c>
      <c r="AF101" s="483">
        <f t="shared" si="36"/>
        <v>32952</v>
      </c>
      <c r="AG101" s="483"/>
      <c r="AH101" s="514">
        <f t="shared" si="37"/>
        <v>32952</v>
      </c>
      <c r="AI101" s="520">
        <v>90800.563193042151</v>
      </c>
      <c r="AJ101" s="484">
        <f t="shared" si="38"/>
        <v>90800.563193042151</v>
      </c>
      <c r="AK101" s="484"/>
      <c r="AL101" s="514">
        <f t="shared" si="39"/>
        <v>90800.563193042151</v>
      </c>
      <c r="AM101" s="526">
        <v>45286.922591286311</v>
      </c>
      <c r="AN101" s="485">
        <f t="shared" si="40"/>
        <v>45286.922591286311</v>
      </c>
      <c r="AO101" s="485"/>
      <c r="AP101" s="514">
        <f t="shared" si="41"/>
        <v>45286.922591286311</v>
      </c>
      <c r="AQ101" s="530">
        <f t="shared" si="42"/>
        <v>90800.563193042151</v>
      </c>
    </row>
    <row r="102" spans="1:43" x14ac:dyDescent="0.55000000000000004">
      <c r="A102" s="316" t="s">
        <v>268</v>
      </c>
      <c r="B102" s="218" t="s">
        <v>269</v>
      </c>
      <c r="C102" s="218" t="s">
        <v>280</v>
      </c>
      <c r="D102" s="105" t="s">
        <v>281</v>
      </c>
      <c r="E102" s="100"/>
      <c r="F102" s="34"/>
      <c r="G102" s="34"/>
      <c r="H102" s="480">
        <v>57313.644275077953</v>
      </c>
      <c r="I102" s="480" t="s">
        <v>413</v>
      </c>
      <c r="J102" s="486">
        <v>5</v>
      </c>
      <c r="K102" s="318"/>
      <c r="L102" s="482">
        <f t="shared" si="26"/>
        <v>0</v>
      </c>
      <c r="M102" s="482"/>
      <c r="N102" s="509">
        <f t="shared" si="27"/>
        <v>0</v>
      </c>
      <c r="O102" s="515">
        <v>13139.840713792923</v>
      </c>
      <c r="P102" s="483">
        <f t="shared" si="28"/>
        <v>13139.840713792923</v>
      </c>
      <c r="Q102" s="483"/>
      <c r="R102" s="514">
        <f t="shared" si="29"/>
        <v>13139.840713792923</v>
      </c>
      <c r="S102" s="515">
        <v>25342.82396965627</v>
      </c>
      <c r="T102" s="483">
        <f t="shared" si="30"/>
        <v>25342.82396965627</v>
      </c>
      <c r="U102" s="483"/>
      <c r="V102" s="514">
        <f t="shared" si="31"/>
        <v>25342.82396965627</v>
      </c>
      <c r="W102" s="515">
        <v>49721.189721641669</v>
      </c>
      <c r="X102" s="483">
        <f t="shared" si="32"/>
        <v>49721.189721641669</v>
      </c>
      <c r="Y102" s="483"/>
      <c r="Z102" s="514">
        <f t="shared" si="33"/>
        <v>0</v>
      </c>
      <c r="AA102" s="515">
        <v>37328.895143262234</v>
      </c>
      <c r="AB102" s="483">
        <f t="shared" si="34"/>
        <v>37328.895143262234</v>
      </c>
      <c r="AC102" s="483"/>
      <c r="AD102" s="514">
        <f t="shared" si="35"/>
        <v>37328.895143262234</v>
      </c>
      <c r="AE102" s="515">
        <v>20380</v>
      </c>
      <c r="AF102" s="483">
        <f t="shared" si="36"/>
        <v>20380</v>
      </c>
      <c r="AG102" s="483"/>
      <c r="AH102" s="514">
        <f t="shared" si="37"/>
        <v>20380</v>
      </c>
      <c r="AI102" s="520">
        <v>30861.193071195819</v>
      </c>
      <c r="AJ102" s="484">
        <f t="shared" si="38"/>
        <v>30861.193071195819</v>
      </c>
      <c r="AK102" s="484"/>
      <c r="AL102" s="514">
        <f t="shared" si="39"/>
        <v>30861.193071195819</v>
      </c>
      <c r="AM102" s="526">
        <v>45107.960772052087</v>
      </c>
      <c r="AN102" s="485">
        <f t="shared" si="40"/>
        <v>45107.960772052087</v>
      </c>
      <c r="AO102" s="485"/>
      <c r="AP102" s="514">
        <f t="shared" si="41"/>
        <v>45107.960772052087</v>
      </c>
      <c r="AQ102" s="530">
        <f t="shared" si="42"/>
        <v>45107.960772052087</v>
      </c>
    </row>
    <row r="103" spans="1:43" x14ac:dyDescent="0.55000000000000004">
      <c r="A103" s="316" t="s">
        <v>268</v>
      </c>
      <c r="B103" s="218" t="s">
        <v>269</v>
      </c>
      <c r="C103" s="218" t="s">
        <v>282</v>
      </c>
      <c r="D103" s="105" t="s">
        <v>283</v>
      </c>
      <c r="E103" s="100"/>
      <c r="F103" s="34"/>
      <c r="G103" s="34"/>
      <c r="H103" s="480">
        <v>65001.764922770279</v>
      </c>
      <c r="I103" s="480" t="s">
        <v>413</v>
      </c>
      <c r="J103" s="486">
        <v>3</v>
      </c>
      <c r="K103" s="318"/>
      <c r="L103" s="482"/>
      <c r="M103" s="482">
        <f t="shared" si="43"/>
        <v>0</v>
      </c>
      <c r="N103" s="509">
        <f t="shared" si="27"/>
        <v>0</v>
      </c>
      <c r="O103" s="515">
        <v>22593.352452915449</v>
      </c>
      <c r="P103" s="483"/>
      <c r="Q103" s="483">
        <f t="shared" si="44"/>
        <v>11296.676226457725</v>
      </c>
      <c r="R103" s="514">
        <f t="shared" si="29"/>
        <v>11296.676226457725</v>
      </c>
      <c r="S103" s="515">
        <v>35489.870692616212</v>
      </c>
      <c r="T103" s="483"/>
      <c r="U103" s="483">
        <f t="shared" si="45"/>
        <v>17744.935346308106</v>
      </c>
      <c r="V103" s="514">
        <f t="shared" si="31"/>
        <v>17744.935346308106</v>
      </c>
      <c r="W103" s="515">
        <v>48712.090327487043</v>
      </c>
      <c r="X103" s="483"/>
      <c r="Y103" s="483">
        <f t="shared" si="46"/>
        <v>24356.045163743522</v>
      </c>
      <c r="Z103" s="514">
        <f t="shared" si="33"/>
        <v>24356.045163743522</v>
      </c>
      <c r="AA103" s="515">
        <v>45826.429946831784</v>
      </c>
      <c r="AB103" s="483"/>
      <c r="AC103" s="483">
        <f t="shared" si="47"/>
        <v>22913.214973415892</v>
      </c>
      <c r="AD103" s="514">
        <f t="shared" si="35"/>
        <v>22913.214973415892</v>
      </c>
      <c r="AE103" s="515">
        <v>22360</v>
      </c>
      <c r="AF103" s="483"/>
      <c r="AG103" s="483">
        <f t="shared" si="48"/>
        <v>11180</v>
      </c>
      <c r="AH103" s="514">
        <f t="shared" si="37"/>
        <v>11180</v>
      </c>
      <c r="AI103" s="520">
        <v>47896.037311514949</v>
      </c>
      <c r="AJ103" s="484"/>
      <c r="AK103" s="484">
        <f t="shared" si="49"/>
        <v>23948.018655757474</v>
      </c>
      <c r="AL103" s="514">
        <f t="shared" si="39"/>
        <v>23948.018655757474</v>
      </c>
      <c r="AM103" s="526">
        <v>44538.246335972239</v>
      </c>
      <c r="AN103" s="485"/>
      <c r="AO103" s="485">
        <f t="shared" si="50"/>
        <v>22269.123167986119</v>
      </c>
      <c r="AP103" s="514">
        <f t="shared" si="41"/>
        <v>22269.123167986119</v>
      </c>
      <c r="AQ103" s="530">
        <f t="shared" si="42"/>
        <v>24356.045163743522</v>
      </c>
    </row>
    <row r="104" spans="1:43" x14ac:dyDescent="0.55000000000000004">
      <c r="A104" s="316" t="s">
        <v>268</v>
      </c>
      <c r="B104" s="218" t="s">
        <v>269</v>
      </c>
      <c r="C104" s="218" t="s">
        <v>284</v>
      </c>
      <c r="D104" s="105" t="s">
        <v>285</v>
      </c>
      <c r="E104" s="100"/>
      <c r="F104" s="34"/>
      <c r="G104" s="34"/>
      <c r="H104" s="480">
        <v>146214.98577625639</v>
      </c>
      <c r="I104" s="480" t="s">
        <v>413</v>
      </c>
      <c r="J104" s="486">
        <v>4</v>
      </c>
      <c r="K104" s="318"/>
      <c r="L104" s="482">
        <f t="shared" si="26"/>
        <v>0</v>
      </c>
      <c r="M104" s="482"/>
      <c r="N104" s="509">
        <f t="shared" si="27"/>
        <v>0</v>
      </c>
      <c r="O104" s="515">
        <v>41898.489034129365</v>
      </c>
      <c r="P104" s="483">
        <f t="shared" si="28"/>
        <v>41898.489034129365</v>
      </c>
      <c r="Q104" s="483"/>
      <c r="R104" s="514">
        <f t="shared" si="29"/>
        <v>41898.489034129365</v>
      </c>
      <c r="S104" s="515">
        <v>88990.012388021394</v>
      </c>
      <c r="T104" s="483">
        <f t="shared" si="30"/>
        <v>88990.012388021394</v>
      </c>
      <c r="U104" s="483"/>
      <c r="V104" s="514">
        <f t="shared" si="31"/>
        <v>88990.012388021394</v>
      </c>
      <c r="W104" s="515">
        <v>116811.30925544295</v>
      </c>
      <c r="X104" s="483">
        <f t="shared" si="32"/>
        <v>116811.30925544295</v>
      </c>
      <c r="Y104" s="483"/>
      <c r="Z104" s="514">
        <f t="shared" si="33"/>
        <v>0</v>
      </c>
      <c r="AA104" s="515">
        <v>89058.581669314983</v>
      </c>
      <c r="AB104" s="483">
        <f t="shared" si="34"/>
        <v>89058.581669314983</v>
      </c>
      <c r="AC104" s="483"/>
      <c r="AD104" s="514">
        <f t="shared" si="35"/>
        <v>89058.581669314983</v>
      </c>
      <c r="AE104" s="515">
        <v>48790</v>
      </c>
      <c r="AF104" s="483">
        <f t="shared" si="36"/>
        <v>48790</v>
      </c>
      <c r="AG104" s="483"/>
      <c r="AH104" s="514">
        <f t="shared" si="37"/>
        <v>48790</v>
      </c>
      <c r="AI104" s="520">
        <v>77309.072939170044</v>
      </c>
      <c r="AJ104" s="484">
        <f t="shared" si="38"/>
        <v>77309.072939170044</v>
      </c>
      <c r="AK104" s="484"/>
      <c r="AL104" s="514">
        <f t="shared" si="39"/>
        <v>77309.072939170044</v>
      </c>
      <c r="AM104" s="526">
        <v>119138.13655843114</v>
      </c>
      <c r="AN104" s="485">
        <f t="shared" si="40"/>
        <v>119138.13655843114</v>
      </c>
      <c r="AO104" s="485"/>
      <c r="AP104" s="514">
        <f t="shared" si="41"/>
        <v>119138.13655843114</v>
      </c>
      <c r="AQ104" s="530">
        <f t="shared" si="42"/>
        <v>119138.13655843114</v>
      </c>
    </row>
    <row r="105" spans="1:43" x14ac:dyDescent="0.55000000000000004">
      <c r="A105" s="316" t="s">
        <v>268</v>
      </c>
      <c r="B105" s="218" t="s">
        <v>269</v>
      </c>
      <c r="C105" s="218" t="s">
        <v>286</v>
      </c>
      <c r="D105" s="105" t="s">
        <v>287</v>
      </c>
      <c r="E105" s="100"/>
      <c r="F105" s="34"/>
      <c r="G105" s="34"/>
      <c r="H105" s="480">
        <v>50788.148876183637</v>
      </c>
      <c r="I105" s="480" t="s">
        <v>413</v>
      </c>
      <c r="J105" s="486">
        <v>3</v>
      </c>
      <c r="K105" s="318"/>
      <c r="L105" s="482"/>
      <c r="M105" s="482">
        <f t="shared" si="43"/>
        <v>0</v>
      </c>
      <c r="N105" s="509">
        <f t="shared" si="27"/>
        <v>0</v>
      </c>
      <c r="O105" s="515">
        <v>6521.8077734884937</v>
      </c>
      <c r="P105" s="483"/>
      <c r="Q105" s="483">
        <f t="shared" si="44"/>
        <v>3260.9038867442468</v>
      </c>
      <c r="R105" s="514">
        <f t="shared" si="29"/>
        <v>3260.9038867442468</v>
      </c>
      <c r="S105" s="515">
        <v>22891.875571757526</v>
      </c>
      <c r="T105" s="483"/>
      <c r="U105" s="483">
        <f t="shared" si="45"/>
        <v>11445.937785878763</v>
      </c>
      <c r="V105" s="514">
        <f t="shared" si="31"/>
        <v>11445.937785878763</v>
      </c>
      <c r="W105" s="515">
        <v>34279.491171084221</v>
      </c>
      <c r="X105" s="483"/>
      <c r="Y105" s="483">
        <f t="shared" si="46"/>
        <v>17139.74558554211</v>
      </c>
      <c r="Z105" s="514">
        <f t="shared" si="33"/>
        <v>17139.74558554211</v>
      </c>
      <c r="AA105" s="515">
        <v>32117.106103601607</v>
      </c>
      <c r="AB105" s="483"/>
      <c r="AC105" s="483">
        <f t="shared" si="47"/>
        <v>16058.553051800804</v>
      </c>
      <c r="AD105" s="514">
        <f t="shared" si="35"/>
        <v>16058.553051800804</v>
      </c>
      <c r="AE105" s="515">
        <v>17143</v>
      </c>
      <c r="AF105" s="483"/>
      <c r="AG105" s="483">
        <f t="shared" si="48"/>
        <v>8571.5</v>
      </c>
      <c r="AH105" s="514">
        <f t="shared" si="37"/>
        <v>8571.5</v>
      </c>
      <c r="AI105" s="520">
        <v>38340.073171236669</v>
      </c>
      <c r="AJ105" s="484"/>
      <c r="AK105" s="484">
        <f t="shared" si="49"/>
        <v>19170.036585618334</v>
      </c>
      <c r="AL105" s="514">
        <f t="shared" si="39"/>
        <v>19170.036585618334</v>
      </c>
      <c r="AM105" s="526">
        <v>1863.7852798599502</v>
      </c>
      <c r="AN105" s="485"/>
      <c r="AO105" s="485">
        <f t="shared" si="50"/>
        <v>931.89263992997508</v>
      </c>
      <c r="AP105" s="514">
        <f t="shared" si="41"/>
        <v>931.89263992997508</v>
      </c>
      <c r="AQ105" s="530">
        <f t="shared" si="42"/>
        <v>19170.036585618334</v>
      </c>
    </row>
    <row r="106" spans="1:43" x14ac:dyDescent="0.55000000000000004">
      <c r="A106" s="316" t="s">
        <v>268</v>
      </c>
      <c r="B106" s="218" t="s">
        <v>269</v>
      </c>
      <c r="C106" s="218" t="s">
        <v>288</v>
      </c>
      <c r="D106" s="105" t="s">
        <v>289</v>
      </c>
      <c r="E106" s="100"/>
      <c r="F106" s="34"/>
      <c r="G106" s="34"/>
      <c r="H106" s="480">
        <v>77537.996273544151</v>
      </c>
      <c r="I106" s="480" t="s">
        <v>413</v>
      </c>
      <c r="J106" s="486">
        <v>4</v>
      </c>
      <c r="K106" s="318"/>
      <c r="L106" s="482">
        <f t="shared" si="26"/>
        <v>0</v>
      </c>
      <c r="M106" s="482"/>
      <c r="N106" s="509">
        <f t="shared" si="27"/>
        <v>0</v>
      </c>
      <c r="O106" s="515">
        <v>21646.670109666691</v>
      </c>
      <c r="P106" s="483">
        <f t="shared" si="28"/>
        <v>21646.670109666691</v>
      </c>
      <c r="Q106" s="483"/>
      <c r="R106" s="514">
        <f t="shared" si="29"/>
        <v>21646.670109666691</v>
      </c>
      <c r="S106" s="515">
        <v>39149.946887182959</v>
      </c>
      <c r="T106" s="483">
        <f t="shared" si="30"/>
        <v>39149.946887182959</v>
      </c>
      <c r="U106" s="483"/>
      <c r="V106" s="514">
        <f t="shared" si="31"/>
        <v>39149.946887182959</v>
      </c>
      <c r="W106" s="515">
        <v>56785.48513022079</v>
      </c>
      <c r="X106" s="483">
        <f t="shared" si="32"/>
        <v>56785.48513022079</v>
      </c>
      <c r="Y106" s="483"/>
      <c r="Z106" s="514">
        <f t="shared" si="33"/>
        <v>0</v>
      </c>
      <c r="AA106" s="515">
        <v>43225.538681770711</v>
      </c>
      <c r="AB106" s="483">
        <f t="shared" si="34"/>
        <v>43225.538681770711</v>
      </c>
      <c r="AC106" s="483"/>
      <c r="AD106" s="514">
        <f t="shared" si="35"/>
        <v>43225.538681770711</v>
      </c>
      <c r="AE106" s="515">
        <v>12858</v>
      </c>
      <c r="AF106" s="483">
        <f t="shared" si="36"/>
        <v>12858</v>
      </c>
      <c r="AG106" s="483"/>
      <c r="AH106" s="514">
        <f t="shared" si="37"/>
        <v>12858</v>
      </c>
      <c r="AI106" s="520">
        <v>73931.577842216517</v>
      </c>
      <c r="AJ106" s="484">
        <f t="shared" si="38"/>
        <v>73931.577842216517</v>
      </c>
      <c r="AK106" s="484"/>
      <c r="AL106" s="514">
        <f t="shared" si="39"/>
        <v>73931.577842216517</v>
      </c>
      <c r="AM106" s="526">
        <v>51691.997515696101</v>
      </c>
      <c r="AN106" s="485">
        <f t="shared" si="40"/>
        <v>51691.997515696101</v>
      </c>
      <c r="AO106" s="485"/>
      <c r="AP106" s="514">
        <f t="shared" si="41"/>
        <v>51691.997515696101</v>
      </c>
      <c r="AQ106" s="530">
        <f t="shared" si="42"/>
        <v>73931.577842216517</v>
      </c>
    </row>
    <row r="107" spans="1:43" x14ac:dyDescent="0.55000000000000004">
      <c r="A107" s="316" t="s">
        <v>268</v>
      </c>
      <c r="B107" s="218" t="s">
        <v>269</v>
      </c>
      <c r="C107" s="218" t="s">
        <v>290</v>
      </c>
      <c r="D107" s="105" t="s">
        <v>291</v>
      </c>
      <c r="E107" s="100"/>
      <c r="F107" s="34"/>
      <c r="G107" s="34"/>
      <c r="H107" s="480">
        <v>136551.06257292113</v>
      </c>
      <c r="I107" s="480" t="s">
        <v>413</v>
      </c>
      <c r="J107" s="486">
        <v>4</v>
      </c>
      <c r="K107" s="318"/>
      <c r="L107" s="482">
        <f t="shared" si="26"/>
        <v>0</v>
      </c>
      <c r="M107" s="482"/>
      <c r="N107" s="509">
        <f t="shared" si="27"/>
        <v>0</v>
      </c>
      <c r="O107" s="515">
        <v>33504.714917142221</v>
      </c>
      <c r="P107" s="483">
        <f t="shared" si="28"/>
        <v>33504.714917142221</v>
      </c>
      <c r="Q107" s="483"/>
      <c r="R107" s="514">
        <f t="shared" si="29"/>
        <v>33504.714917142221</v>
      </c>
      <c r="S107" s="515">
        <v>91212.578352857352</v>
      </c>
      <c r="T107" s="483">
        <f t="shared" si="30"/>
        <v>91212.578352857352</v>
      </c>
      <c r="U107" s="483"/>
      <c r="V107" s="514">
        <f t="shared" si="31"/>
        <v>91212.578352857352</v>
      </c>
      <c r="W107" s="515">
        <v>111287.51700986865</v>
      </c>
      <c r="X107" s="483">
        <f t="shared" si="32"/>
        <v>111287.51700986865</v>
      </c>
      <c r="Y107" s="483"/>
      <c r="Z107" s="514">
        <f t="shared" si="33"/>
        <v>0</v>
      </c>
      <c r="AA107" s="515">
        <v>65466.945842073503</v>
      </c>
      <c r="AB107" s="483">
        <f t="shared" si="34"/>
        <v>65466.945842073503</v>
      </c>
      <c r="AC107" s="483"/>
      <c r="AD107" s="514">
        <f t="shared" si="35"/>
        <v>65466.945842073503</v>
      </c>
      <c r="AE107" s="515">
        <v>47365</v>
      </c>
      <c r="AF107" s="483">
        <f t="shared" si="36"/>
        <v>47365</v>
      </c>
      <c r="AG107" s="483"/>
      <c r="AH107" s="514">
        <f t="shared" si="37"/>
        <v>47365</v>
      </c>
      <c r="AI107" s="520">
        <v>29586.063557466245</v>
      </c>
      <c r="AJ107" s="484">
        <f t="shared" si="38"/>
        <v>29586.063557466245</v>
      </c>
      <c r="AK107" s="484"/>
      <c r="AL107" s="514">
        <f t="shared" si="39"/>
        <v>29586.063557466245</v>
      </c>
      <c r="AM107" s="526">
        <v>113792.55214410093</v>
      </c>
      <c r="AN107" s="485">
        <f t="shared" si="40"/>
        <v>113792.55214410093</v>
      </c>
      <c r="AO107" s="485"/>
      <c r="AP107" s="514">
        <f t="shared" si="41"/>
        <v>113792.55214410093</v>
      </c>
      <c r="AQ107" s="530">
        <f t="shared" si="42"/>
        <v>113792.55214410093</v>
      </c>
    </row>
    <row r="108" spans="1:43" x14ac:dyDescent="0.55000000000000004">
      <c r="A108" s="316" t="s">
        <v>292</v>
      </c>
      <c r="B108" s="218" t="s">
        <v>293</v>
      </c>
      <c r="C108" s="218" t="s">
        <v>294</v>
      </c>
      <c r="D108" s="105" t="s">
        <v>295</v>
      </c>
      <c r="E108" s="100"/>
      <c r="F108" s="34"/>
      <c r="G108" s="34"/>
      <c r="H108" s="480">
        <v>73916.557684246116</v>
      </c>
      <c r="I108" s="480" t="s">
        <v>413</v>
      </c>
      <c r="J108" s="486">
        <v>3</v>
      </c>
      <c r="K108" s="318"/>
      <c r="L108" s="482"/>
      <c r="M108" s="482">
        <f t="shared" si="43"/>
        <v>0</v>
      </c>
      <c r="N108" s="509">
        <f t="shared" si="27"/>
        <v>0</v>
      </c>
      <c r="O108" s="515">
        <v>28316.767999815525</v>
      </c>
      <c r="P108" s="483"/>
      <c r="Q108" s="483">
        <f t="shared" si="44"/>
        <v>14158.383999907763</v>
      </c>
      <c r="R108" s="514">
        <f t="shared" si="29"/>
        <v>14158.383999907763</v>
      </c>
      <c r="S108" s="515">
        <v>33140.051502320777</v>
      </c>
      <c r="T108" s="483"/>
      <c r="U108" s="483">
        <f t="shared" si="45"/>
        <v>16570.025751160389</v>
      </c>
      <c r="V108" s="514">
        <f t="shared" si="31"/>
        <v>16570.025751160389</v>
      </c>
      <c r="W108" s="515">
        <v>48041.145218213831</v>
      </c>
      <c r="X108" s="483"/>
      <c r="Y108" s="483">
        <f t="shared" si="46"/>
        <v>24020.572609106915</v>
      </c>
      <c r="Z108" s="514">
        <f t="shared" si="33"/>
        <v>24020.572609106915</v>
      </c>
      <c r="AA108" s="515">
        <v>36149.518888864797</v>
      </c>
      <c r="AB108" s="483"/>
      <c r="AC108" s="483">
        <f t="shared" si="47"/>
        <v>18074.759444432399</v>
      </c>
      <c r="AD108" s="514">
        <f t="shared" si="35"/>
        <v>18074.759444432399</v>
      </c>
      <c r="AE108" s="515">
        <v>12054</v>
      </c>
      <c r="AF108" s="483"/>
      <c r="AG108" s="483">
        <f t="shared" si="48"/>
        <v>6027</v>
      </c>
      <c r="AH108" s="514">
        <f t="shared" si="37"/>
        <v>6027</v>
      </c>
      <c r="AI108" s="520">
        <v>46197.848552653828</v>
      </c>
      <c r="AJ108" s="484"/>
      <c r="AK108" s="484">
        <f t="shared" si="49"/>
        <v>23098.924276326914</v>
      </c>
      <c r="AL108" s="514">
        <f t="shared" si="39"/>
        <v>23098.924276326914</v>
      </c>
      <c r="AM108" s="526">
        <v>55437.418263184583</v>
      </c>
      <c r="AN108" s="485"/>
      <c r="AO108" s="485">
        <f t="shared" si="50"/>
        <v>27718.709131592292</v>
      </c>
      <c r="AP108" s="514">
        <f t="shared" si="41"/>
        <v>27718.709131592292</v>
      </c>
      <c r="AQ108" s="530">
        <f t="shared" si="42"/>
        <v>27718.709131592292</v>
      </c>
    </row>
    <row r="109" spans="1:43" x14ac:dyDescent="0.55000000000000004">
      <c r="A109" s="316" t="s">
        <v>292</v>
      </c>
      <c r="B109" s="218" t="s">
        <v>293</v>
      </c>
      <c r="C109" s="218" t="s">
        <v>296</v>
      </c>
      <c r="D109" s="105" t="s">
        <v>297</v>
      </c>
      <c r="E109" s="100"/>
      <c r="F109" s="34"/>
      <c r="G109" s="34"/>
      <c r="H109" s="480">
        <v>143892.97660154747</v>
      </c>
      <c r="I109" s="480" t="s">
        <v>413</v>
      </c>
      <c r="J109" s="486">
        <v>3</v>
      </c>
      <c r="K109" s="318"/>
      <c r="L109" s="482"/>
      <c r="M109" s="482">
        <f t="shared" si="43"/>
        <v>0</v>
      </c>
      <c r="N109" s="509">
        <f t="shared" si="27"/>
        <v>0</v>
      </c>
      <c r="O109" s="515">
        <v>40309.746786227704</v>
      </c>
      <c r="P109" s="483"/>
      <c r="Q109" s="483">
        <f t="shared" si="44"/>
        <v>20154.873393113852</v>
      </c>
      <c r="R109" s="514">
        <f t="shared" si="29"/>
        <v>20154.873393113852</v>
      </c>
      <c r="S109" s="515">
        <v>60960.105528764623</v>
      </c>
      <c r="T109" s="483"/>
      <c r="U109" s="483">
        <f t="shared" si="45"/>
        <v>30480.052764382312</v>
      </c>
      <c r="V109" s="514">
        <f t="shared" si="31"/>
        <v>30480.052764382312</v>
      </c>
      <c r="W109" s="515">
        <v>74557.836210395471</v>
      </c>
      <c r="X109" s="483"/>
      <c r="Y109" s="483">
        <f t="shared" si="46"/>
        <v>37278.918105197736</v>
      </c>
      <c r="Z109" s="514">
        <f t="shared" si="33"/>
        <v>37278.918105197736</v>
      </c>
      <c r="AA109" s="515">
        <v>60316.192018614078</v>
      </c>
      <c r="AB109" s="483"/>
      <c r="AC109" s="483">
        <f t="shared" si="47"/>
        <v>30158.096009307039</v>
      </c>
      <c r="AD109" s="514">
        <f t="shared" si="35"/>
        <v>30158.096009307039</v>
      </c>
      <c r="AE109" s="515">
        <v>25325</v>
      </c>
      <c r="AF109" s="483"/>
      <c r="AG109" s="483">
        <f t="shared" si="48"/>
        <v>12662.5</v>
      </c>
      <c r="AH109" s="514">
        <f t="shared" si="37"/>
        <v>12662.5</v>
      </c>
      <c r="AI109" s="520">
        <v>45865.886291743263</v>
      </c>
      <c r="AJ109" s="484"/>
      <c r="AK109" s="484">
        <f t="shared" si="49"/>
        <v>22932.943145871632</v>
      </c>
      <c r="AL109" s="514">
        <f t="shared" si="39"/>
        <v>22932.943145871632</v>
      </c>
      <c r="AM109" s="526">
        <v>94596.308691758051</v>
      </c>
      <c r="AN109" s="485"/>
      <c r="AO109" s="485">
        <f t="shared" si="50"/>
        <v>47298.154345879026</v>
      </c>
      <c r="AP109" s="514">
        <f t="shared" si="41"/>
        <v>47298.154345879026</v>
      </c>
      <c r="AQ109" s="530">
        <f t="shared" si="42"/>
        <v>47298.154345879026</v>
      </c>
    </row>
    <row r="110" spans="1:43" x14ac:dyDescent="0.55000000000000004">
      <c r="A110" s="316" t="s">
        <v>292</v>
      </c>
      <c r="B110" s="218" t="s">
        <v>293</v>
      </c>
      <c r="C110" s="218" t="s">
        <v>298</v>
      </c>
      <c r="D110" s="105" t="s">
        <v>299</v>
      </c>
      <c r="E110" s="100"/>
      <c r="F110" s="34"/>
      <c r="G110" s="34"/>
      <c r="H110" s="480">
        <v>170865.34327385121</v>
      </c>
      <c r="I110" s="480" t="s">
        <v>413</v>
      </c>
      <c r="J110" s="486">
        <v>3</v>
      </c>
      <c r="K110" s="318"/>
      <c r="L110" s="482"/>
      <c r="M110" s="482">
        <f t="shared" si="43"/>
        <v>0</v>
      </c>
      <c r="N110" s="509">
        <f t="shared" si="27"/>
        <v>0</v>
      </c>
      <c r="O110" s="515">
        <v>45062.31698161277</v>
      </c>
      <c r="P110" s="483"/>
      <c r="Q110" s="483">
        <f t="shared" si="44"/>
        <v>22531.158490806385</v>
      </c>
      <c r="R110" s="514">
        <f t="shared" si="29"/>
        <v>22531.158490806385</v>
      </c>
      <c r="S110" s="515">
        <v>71721.243285350851</v>
      </c>
      <c r="T110" s="483"/>
      <c r="U110" s="483">
        <f t="shared" si="45"/>
        <v>35860.621642675425</v>
      </c>
      <c r="V110" s="514">
        <f t="shared" si="31"/>
        <v>35860.621642675425</v>
      </c>
      <c r="W110" s="515">
        <v>122051.75161431311</v>
      </c>
      <c r="X110" s="483"/>
      <c r="Y110" s="483">
        <f t="shared" si="46"/>
        <v>61025.875807156553</v>
      </c>
      <c r="Z110" s="514">
        <f t="shared" si="33"/>
        <v>61025.875807156553</v>
      </c>
      <c r="AA110" s="515">
        <v>85666.530459267466</v>
      </c>
      <c r="AB110" s="483"/>
      <c r="AC110" s="483">
        <f t="shared" si="47"/>
        <v>42833.265229633733</v>
      </c>
      <c r="AD110" s="514">
        <f t="shared" si="35"/>
        <v>42833.265229633733</v>
      </c>
      <c r="AE110" s="515">
        <v>31928</v>
      </c>
      <c r="AF110" s="483"/>
      <c r="AG110" s="483">
        <f t="shared" si="48"/>
        <v>15964</v>
      </c>
      <c r="AH110" s="514">
        <f t="shared" si="37"/>
        <v>15964</v>
      </c>
      <c r="AI110" s="520">
        <v>125533.7215889519</v>
      </c>
      <c r="AJ110" s="484"/>
      <c r="AK110" s="484">
        <f t="shared" si="49"/>
        <v>62766.86079447595</v>
      </c>
      <c r="AL110" s="514">
        <f t="shared" si="39"/>
        <v>62766.86079447595</v>
      </c>
      <c r="AM110" s="526">
        <v>83081.313701964347</v>
      </c>
      <c r="AN110" s="485"/>
      <c r="AO110" s="485">
        <f t="shared" si="50"/>
        <v>41540.656850982174</v>
      </c>
      <c r="AP110" s="514">
        <f t="shared" si="41"/>
        <v>41540.656850982174</v>
      </c>
      <c r="AQ110" s="530">
        <f t="shared" si="42"/>
        <v>62766.86079447595</v>
      </c>
    </row>
    <row r="111" spans="1:43" x14ac:dyDescent="0.55000000000000004">
      <c r="A111" s="316" t="s">
        <v>292</v>
      </c>
      <c r="B111" s="218" t="s">
        <v>293</v>
      </c>
      <c r="C111" s="218" t="s">
        <v>300</v>
      </c>
      <c r="D111" s="105" t="s">
        <v>301</v>
      </c>
      <c r="E111" s="100"/>
      <c r="F111" s="34"/>
      <c r="G111" s="34"/>
      <c r="H111" s="480">
        <v>131576.89060543224</v>
      </c>
      <c r="I111" s="480" t="s">
        <v>413</v>
      </c>
      <c r="J111" s="486">
        <v>3</v>
      </c>
      <c r="K111" s="318"/>
      <c r="L111" s="482"/>
      <c r="M111" s="482">
        <f t="shared" si="43"/>
        <v>0</v>
      </c>
      <c r="N111" s="509">
        <f t="shared" si="27"/>
        <v>0</v>
      </c>
      <c r="O111" s="515">
        <v>18835.626620839445</v>
      </c>
      <c r="P111" s="483"/>
      <c r="Q111" s="483">
        <f t="shared" si="44"/>
        <v>9417.8133104197223</v>
      </c>
      <c r="R111" s="514">
        <f t="shared" si="29"/>
        <v>9417.8133104197223</v>
      </c>
      <c r="S111" s="515">
        <v>56307.380382966548</v>
      </c>
      <c r="T111" s="483"/>
      <c r="U111" s="483">
        <f t="shared" si="45"/>
        <v>28153.690191483274</v>
      </c>
      <c r="V111" s="514">
        <f t="shared" si="31"/>
        <v>28153.690191483274</v>
      </c>
      <c r="W111" s="515">
        <v>101074.03044545196</v>
      </c>
      <c r="X111" s="483"/>
      <c r="Y111" s="483">
        <f t="shared" si="46"/>
        <v>50537.015222725982</v>
      </c>
      <c r="Z111" s="514">
        <f t="shared" si="33"/>
        <v>50537.015222725982</v>
      </c>
      <c r="AA111" s="515">
        <v>47796.308772506978</v>
      </c>
      <c r="AB111" s="483"/>
      <c r="AC111" s="483">
        <f t="shared" si="47"/>
        <v>23898.154386253489</v>
      </c>
      <c r="AD111" s="514">
        <f t="shared" si="35"/>
        <v>23898.154386253489</v>
      </c>
      <c r="AE111" s="515">
        <v>21803</v>
      </c>
      <c r="AF111" s="483"/>
      <c r="AG111" s="483">
        <f t="shared" si="48"/>
        <v>10901.5</v>
      </c>
      <c r="AH111" s="514">
        <f t="shared" si="37"/>
        <v>10901.5</v>
      </c>
      <c r="AI111" s="520">
        <v>112657.3377079191</v>
      </c>
      <c r="AJ111" s="484"/>
      <c r="AK111" s="484">
        <f t="shared" si="49"/>
        <v>56328.668853959549</v>
      </c>
      <c r="AL111" s="514">
        <f t="shared" si="39"/>
        <v>56328.668853959549</v>
      </c>
      <c r="AM111" s="526">
        <v>70661.663473287685</v>
      </c>
      <c r="AN111" s="485"/>
      <c r="AO111" s="485">
        <f t="shared" si="50"/>
        <v>35330.831736643842</v>
      </c>
      <c r="AP111" s="514">
        <f t="shared" si="41"/>
        <v>35330.831736643842</v>
      </c>
      <c r="AQ111" s="530">
        <f t="shared" si="42"/>
        <v>56328.668853959549</v>
      </c>
    </row>
    <row r="112" spans="1:43" x14ac:dyDescent="0.55000000000000004">
      <c r="A112" s="316" t="s">
        <v>292</v>
      </c>
      <c r="B112" s="218" t="s">
        <v>293</v>
      </c>
      <c r="C112" s="218" t="s">
        <v>302</v>
      </c>
      <c r="D112" s="105" t="s">
        <v>303</v>
      </c>
      <c r="E112" s="100"/>
      <c r="F112" s="34"/>
      <c r="G112" s="34"/>
      <c r="H112" s="480">
        <v>38561.747092505328</v>
      </c>
      <c r="I112" s="480" t="s">
        <v>413</v>
      </c>
      <c r="J112" s="486">
        <v>3</v>
      </c>
      <c r="K112" s="318"/>
      <c r="L112" s="482"/>
      <c r="M112" s="482">
        <f t="shared" si="43"/>
        <v>0</v>
      </c>
      <c r="N112" s="509">
        <f t="shared" si="27"/>
        <v>0</v>
      </c>
      <c r="O112" s="515">
        <v>10486.134448612065</v>
      </c>
      <c r="P112" s="483"/>
      <c r="Q112" s="483">
        <f t="shared" si="44"/>
        <v>5243.0672243060326</v>
      </c>
      <c r="R112" s="514">
        <f t="shared" si="29"/>
        <v>5243.0672243060326</v>
      </c>
      <c r="S112" s="515">
        <v>16182.957998996868</v>
      </c>
      <c r="T112" s="483"/>
      <c r="U112" s="483">
        <f t="shared" si="45"/>
        <v>8091.478999498434</v>
      </c>
      <c r="V112" s="514">
        <f t="shared" si="31"/>
        <v>8091.478999498434</v>
      </c>
      <c r="W112" s="515">
        <v>27348.681271690366</v>
      </c>
      <c r="X112" s="483"/>
      <c r="Y112" s="483">
        <f t="shared" si="46"/>
        <v>13674.340635845183</v>
      </c>
      <c r="Z112" s="514">
        <f t="shared" si="33"/>
        <v>13674.340635845183</v>
      </c>
      <c r="AA112" s="515">
        <v>20586.504692959457</v>
      </c>
      <c r="AB112" s="483"/>
      <c r="AC112" s="483">
        <f t="shared" si="47"/>
        <v>10293.252346479729</v>
      </c>
      <c r="AD112" s="514">
        <f t="shared" si="35"/>
        <v>10293.252346479729</v>
      </c>
      <c r="AE112" s="515">
        <v>6436</v>
      </c>
      <c r="AF112" s="483"/>
      <c r="AG112" s="483">
        <f t="shared" si="48"/>
        <v>3218</v>
      </c>
      <c r="AH112" s="514">
        <f t="shared" si="37"/>
        <v>3218</v>
      </c>
      <c r="AI112" s="520">
        <v>15131.824808451458</v>
      </c>
      <c r="AJ112" s="484"/>
      <c r="AK112" s="484">
        <f t="shared" si="49"/>
        <v>7565.912404225729</v>
      </c>
      <c r="AL112" s="514">
        <f t="shared" si="39"/>
        <v>7565.912404225729</v>
      </c>
      <c r="AM112" s="526">
        <v>7141.064276389875</v>
      </c>
      <c r="AN112" s="485"/>
      <c r="AO112" s="485">
        <f t="shared" si="50"/>
        <v>3570.5321381949375</v>
      </c>
      <c r="AP112" s="514">
        <f t="shared" si="41"/>
        <v>3570.5321381949375</v>
      </c>
      <c r="AQ112" s="530">
        <f t="shared" si="42"/>
        <v>13674.340635845183</v>
      </c>
    </row>
    <row r="113" spans="1:43" x14ac:dyDescent="0.55000000000000004">
      <c r="A113" s="316" t="s">
        <v>292</v>
      </c>
      <c r="B113" s="218" t="s">
        <v>293</v>
      </c>
      <c r="C113" s="218" t="s">
        <v>304</v>
      </c>
      <c r="D113" s="105" t="s">
        <v>305</v>
      </c>
      <c r="E113" s="100"/>
      <c r="F113" s="34"/>
      <c r="G113" s="34"/>
      <c r="H113" s="480">
        <v>62742.537670413069</v>
      </c>
      <c r="I113" s="480" t="s">
        <v>413</v>
      </c>
      <c r="J113" s="486">
        <v>3</v>
      </c>
      <c r="K113" s="318"/>
      <c r="L113" s="482"/>
      <c r="M113" s="482">
        <f t="shared" si="43"/>
        <v>0</v>
      </c>
      <c r="N113" s="509">
        <f t="shared" si="27"/>
        <v>0</v>
      </c>
      <c r="O113" s="515">
        <v>9636.1871630350524</v>
      </c>
      <c r="P113" s="483"/>
      <c r="Q113" s="483">
        <f t="shared" si="44"/>
        <v>4818.0935815175262</v>
      </c>
      <c r="R113" s="514">
        <f t="shared" si="29"/>
        <v>4818.0935815175262</v>
      </c>
      <c r="S113" s="515">
        <v>29012.825895570022</v>
      </c>
      <c r="T113" s="483"/>
      <c r="U113" s="483">
        <f t="shared" si="45"/>
        <v>14506.412947785011</v>
      </c>
      <c r="V113" s="514">
        <f t="shared" si="31"/>
        <v>14506.412947785011</v>
      </c>
      <c r="W113" s="515">
        <v>15777.743487865606</v>
      </c>
      <c r="X113" s="483"/>
      <c r="Y113" s="483">
        <f t="shared" si="46"/>
        <v>7888.8717439328029</v>
      </c>
      <c r="Z113" s="514">
        <f t="shared" si="33"/>
        <v>7888.8717439328029</v>
      </c>
      <c r="AA113" s="515">
        <v>30888.444202554321</v>
      </c>
      <c r="AB113" s="483"/>
      <c r="AC113" s="483">
        <f t="shared" si="47"/>
        <v>15444.222101277161</v>
      </c>
      <c r="AD113" s="514">
        <f t="shared" si="35"/>
        <v>15444.222101277161</v>
      </c>
      <c r="AE113" s="515">
        <v>10952</v>
      </c>
      <c r="AF113" s="483"/>
      <c r="AG113" s="483">
        <f t="shared" si="48"/>
        <v>5476</v>
      </c>
      <c r="AH113" s="514">
        <f t="shared" si="37"/>
        <v>5476</v>
      </c>
      <c r="AI113" s="520">
        <v>8783.9552738578313</v>
      </c>
      <c r="AJ113" s="484"/>
      <c r="AK113" s="484">
        <f t="shared" si="49"/>
        <v>4391.9776369289157</v>
      </c>
      <c r="AL113" s="514">
        <f t="shared" si="39"/>
        <v>4391.9776369289157</v>
      </c>
      <c r="AM113" s="526">
        <v>34856.965372451705</v>
      </c>
      <c r="AN113" s="485"/>
      <c r="AO113" s="485">
        <f t="shared" si="50"/>
        <v>17428.482686225852</v>
      </c>
      <c r="AP113" s="514">
        <f t="shared" si="41"/>
        <v>17428.482686225852</v>
      </c>
      <c r="AQ113" s="530">
        <f t="shared" si="42"/>
        <v>17428.482686225852</v>
      </c>
    </row>
    <row r="114" spans="1:43" x14ac:dyDescent="0.55000000000000004">
      <c r="A114" s="316" t="s">
        <v>292</v>
      </c>
      <c r="B114" s="218" t="s">
        <v>293</v>
      </c>
      <c r="C114" s="218" t="s">
        <v>306</v>
      </c>
      <c r="D114" s="105" t="s">
        <v>307</v>
      </c>
      <c r="E114" s="100"/>
      <c r="F114" s="34"/>
      <c r="G114" s="34"/>
      <c r="H114" s="480">
        <v>110327.5657380367</v>
      </c>
      <c r="I114" s="480" t="s">
        <v>413</v>
      </c>
      <c r="J114" s="486">
        <v>3</v>
      </c>
      <c r="K114" s="318"/>
      <c r="L114" s="482"/>
      <c r="M114" s="482">
        <f t="shared" si="43"/>
        <v>0</v>
      </c>
      <c r="N114" s="509">
        <f t="shared" si="27"/>
        <v>0</v>
      </c>
      <c r="O114" s="515">
        <v>18386.088830243818</v>
      </c>
      <c r="P114" s="483"/>
      <c r="Q114" s="483">
        <f t="shared" si="44"/>
        <v>9193.044415121909</v>
      </c>
      <c r="R114" s="514">
        <f t="shared" si="29"/>
        <v>9193.044415121909</v>
      </c>
      <c r="S114" s="515">
        <v>46595.779523535297</v>
      </c>
      <c r="T114" s="483"/>
      <c r="U114" s="483">
        <f t="shared" si="45"/>
        <v>23297.889761767648</v>
      </c>
      <c r="V114" s="514">
        <f t="shared" si="31"/>
        <v>23297.889761767648</v>
      </c>
      <c r="W114" s="515">
        <v>82693.25618815895</v>
      </c>
      <c r="X114" s="483"/>
      <c r="Y114" s="483">
        <f t="shared" si="46"/>
        <v>41346.628094079475</v>
      </c>
      <c r="Z114" s="514">
        <f t="shared" si="33"/>
        <v>41346.628094079475</v>
      </c>
      <c r="AA114" s="515">
        <v>42489.681055796951</v>
      </c>
      <c r="AB114" s="483"/>
      <c r="AC114" s="483">
        <f t="shared" si="47"/>
        <v>21244.840527898476</v>
      </c>
      <c r="AD114" s="514">
        <f t="shared" si="35"/>
        <v>21244.840527898476</v>
      </c>
      <c r="AE114" s="515">
        <v>18457</v>
      </c>
      <c r="AF114" s="483"/>
      <c r="AG114" s="483">
        <f t="shared" si="48"/>
        <v>9228.5</v>
      </c>
      <c r="AH114" s="514">
        <f t="shared" si="37"/>
        <v>9228.5</v>
      </c>
      <c r="AI114" s="520">
        <v>61032.270408275625</v>
      </c>
      <c r="AJ114" s="484"/>
      <c r="AK114" s="484">
        <f t="shared" si="49"/>
        <v>30516.135204137812</v>
      </c>
      <c r="AL114" s="514">
        <f t="shared" si="39"/>
        <v>30516.135204137812</v>
      </c>
      <c r="AM114" s="526">
        <v>73551.71049202446</v>
      </c>
      <c r="AN114" s="485"/>
      <c r="AO114" s="485">
        <f t="shared" si="50"/>
        <v>36775.85524601223</v>
      </c>
      <c r="AP114" s="514">
        <f t="shared" si="41"/>
        <v>36775.85524601223</v>
      </c>
      <c r="AQ114" s="530">
        <f t="shared" si="42"/>
        <v>41346.628094079475</v>
      </c>
    </row>
    <row r="115" spans="1:43" x14ac:dyDescent="0.55000000000000004">
      <c r="A115" s="316" t="s">
        <v>292</v>
      </c>
      <c r="B115" s="218" t="s">
        <v>293</v>
      </c>
      <c r="C115" s="218" t="s">
        <v>308</v>
      </c>
      <c r="D115" s="105" t="s">
        <v>309</v>
      </c>
      <c r="E115" s="100"/>
      <c r="F115" s="34"/>
      <c r="G115" s="34"/>
      <c r="H115" s="480">
        <v>128918.60101552917</v>
      </c>
      <c r="I115" s="480" t="s">
        <v>413</v>
      </c>
      <c r="J115" s="486">
        <v>3</v>
      </c>
      <c r="K115" s="318"/>
      <c r="L115" s="482"/>
      <c r="M115" s="482">
        <f t="shared" si="43"/>
        <v>0</v>
      </c>
      <c r="N115" s="509">
        <f t="shared" si="27"/>
        <v>0</v>
      </c>
      <c r="O115" s="515">
        <v>26712.449804821703</v>
      </c>
      <c r="P115" s="483"/>
      <c r="Q115" s="483">
        <f t="shared" si="44"/>
        <v>13356.224902410851</v>
      </c>
      <c r="R115" s="514">
        <f t="shared" si="29"/>
        <v>13356.224902410851</v>
      </c>
      <c r="S115" s="515">
        <v>54353.719131979582</v>
      </c>
      <c r="T115" s="483"/>
      <c r="U115" s="483">
        <f t="shared" si="45"/>
        <v>27176.859565989791</v>
      </c>
      <c r="V115" s="514">
        <f t="shared" si="31"/>
        <v>27176.859565989791</v>
      </c>
      <c r="W115" s="515">
        <v>82077.88951436241</v>
      </c>
      <c r="X115" s="483"/>
      <c r="Y115" s="483">
        <f t="shared" si="46"/>
        <v>41038.944757181205</v>
      </c>
      <c r="Z115" s="514">
        <f t="shared" si="33"/>
        <v>41038.944757181205</v>
      </c>
      <c r="AA115" s="515">
        <v>51457.918542680673</v>
      </c>
      <c r="AB115" s="483"/>
      <c r="AC115" s="483">
        <f t="shared" si="47"/>
        <v>25728.959271340336</v>
      </c>
      <c r="AD115" s="514">
        <f t="shared" si="35"/>
        <v>25728.959271340336</v>
      </c>
      <c r="AE115" s="515">
        <v>22299</v>
      </c>
      <c r="AF115" s="483"/>
      <c r="AG115" s="483">
        <f t="shared" si="48"/>
        <v>11149.5</v>
      </c>
      <c r="AH115" s="514">
        <f t="shared" si="37"/>
        <v>11149.5</v>
      </c>
      <c r="AI115" s="520">
        <v>90469.193695108203</v>
      </c>
      <c r="AJ115" s="484"/>
      <c r="AK115" s="484">
        <f t="shared" si="49"/>
        <v>45234.596847554101</v>
      </c>
      <c r="AL115" s="514">
        <f t="shared" si="39"/>
        <v>45234.596847554101</v>
      </c>
      <c r="AM115" s="526">
        <v>83558.352510065204</v>
      </c>
      <c r="AN115" s="485"/>
      <c r="AO115" s="485">
        <f t="shared" si="50"/>
        <v>41779.176255032602</v>
      </c>
      <c r="AP115" s="514">
        <f t="shared" si="41"/>
        <v>41779.176255032602</v>
      </c>
      <c r="AQ115" s="530">
        <f t="shared" si="42"/>
        <v>45234.596847554101</v>
      </c>
    </row>
    <row r="116" spans="1:43" x14ac:dyDescent="0.55000000000000004">
      <c r="A116" s="316" t="s">
        <v>310</v>
      </c>
      <c r="B116" s="218" t="s">
        <v>311</v>
      </c>
      <c r="C116" s="218" t="s">
        <v>312</v>
      </c>
      <c r="D116" s="105" t="s">
        <v>313</v>
      </c>
      <c r="E116" s="100"/>
      <c r="F116" s="34"/>
      <c r="G116" s="34"/>
      <c r="H116" s="480">
        <v>53097.621318074722</v>
      </c>
      <c r="I116" s="480" t="s">
        <v>413</v>
      </c>
      <c r="J116" s="486">
        <v>3</v>
      </c>
      <c r="K116" s="318"/>
      <c r="L116" s="482"/>
      <c r="M116" s="482">
        <f t="shared" si="43"/>
        <v>0</v>
      </c>
      <c r="N116" s="509">
        <f t="shared" si="27"/>
        <v>0</v>
      </c>
      <c r="O116" s="515">
        <v>9213.8072173159708</v>
      </c>
      <c r="P116" s="483"/>
      <c r="Q116" s="483">
        <f t="shared" si="44"/>
        <v>4606.9036086579854</v>
      </c>
      <c r="R116" s="514">
        <f t="shared" si="29"/>
        <v>4606.9036086579854</v>
      </c>
      <c r="S116" s="515">
        <v>48176.199306504182</v>
      </c>
      <c r="T116" s="483"/>
      <c r="U116" s="483">
        <f t="shared" si="45"/>
        <v>24088.099653252091</v>
      </c>
      <c r="V116" s="514">
        <f t="shared" si="31"/>
        <v>24088.099653252091</v>
      </c>
      <c r="W116" s="515">
        <v>32102.608253264854</v>
      </c>
      <c r="X116" s="483"/>
      <c r="Y116" s="483">
        <f t="shared" si="46"/>
        <v>16051.304126632427</v>
      </c>
      <c r="Z116" s="514">
        <f t="shared" si="33"/>
        <v>16051.304126632427</v>
      </c>
      <c r="AA116" s="515">
        <v>43741.522508035392</v>
      </c>
      <c r="AB116" s="483"/>
      <c r="AC116" s="483">
        <f t="shared" si="47"/>
        <v>21870.761254017696</v>
      </c>
      <c r="AD116" s="514">
        <f t="shared" si="35"/>
        <v>21870.761254017696</v>
      </c>
      <c r="AE116" s="515">
        <v>8953</v>
      </c>
      <c r="AF116" s="483"/>
      <c r="AG116" s="483">
        <f t="shared" si="48"/>
        <v>4476.5</v>
      </c>
      <c r="AH116" s="514">
        <f t="shared" si="37"/>
        <v>4476.5</v>
      </c>
      <c r="AI116" s="520">
        <v>37028.604340236314</v>
      </c>
      <c r="AJ116" s="484"/>
      <c r="AK116" s="484">
        <f t="shared" si="49"/>
        <v>18514.302170118157</v>
      </c>
      <c r="AL116" s="514">
        <f t="shared" si="39"/>
        <v>18514.302170118157</v>
      </c>
      <c r="AM116" s="526">
        <v>34736.761609955422</v>
      </c>
      <c r="AN116" s="485"/>
      <c r="AO116" s="485">
        <f t="shared" si="50"/>
        <v>17368.380804977711</v>
      </c>
      <c r="AP116" s="514">
        <f t="shared" si="41"/>
        <v>17368.380804977711</v>
      </c>
      <c r="AQ116" s="530">
        <f t="shared" si="42"/>
        <v>24088.099653252091</v>
      </c>
    </row>
    <row r="117" spans="1:43" x14ac:dyDescent="0.55000000000000004">
      <c r="A117" s="316" t="s">
        <v>310</v>
      </c>
      <c r="B117" s="218" t="s">
        <v>311</v>
      </c>
      <c r="C117" s="218" t="s">
        <v>314</v>
      </c>
      <c r="D117" s="105" t="s">
        <v>315</v>
      </c>
      <c r="E117" s="100"/>
      <c r="F117" s="34"/>
      <c r="G117" s="34"/>
      <c r="H117" s="480">
        <v>211899.62896361714</v>
      </c>
      <c r="I117" s="480" t="s">
        <v>413</v>
      </c>
      <c r="J117" s="486">
        <v>4</v>
      </c>
      <c r="K117" s="318"/>
      <c r="L117" s="482">
        <f t="shared" si="26"/>
        <v>0</v>
      </c>
      <c r="M117" s="482"/>
      <c r="N117" s="509">
        <f t="shared" si="27"/>
        <v>0</v>
      </c>
      <c r="O117" s="515">
        <v>77711.137567749509</v>
      </c>
      <c r="P117" s="483">
        <f t="shared" si="28"/>
        <v>77711.137567749509</v>
      </c>
      <c r="Q117" s="483"/>
      <c r="R117" s="514">
        <f t="shared" si="29"/>
        <v>77711.137567749509</v>
      </c>
      <c r="S117" s="515">
        <v>107000.61183552348</v>
      </c>
      <c r="T117" s="483">
        <f t="shared" si="30"/>
        <v>107000.61183552348</v>
      </c>
      <c r="U117" s="483"/>
      <c r="V117" s="514">
        <f t="shared" si="31"/>
        <v>107000.61183552348</v>
      </c>
      <c r="W117" s="515">
        <v>163271.80085852064</v>
      </c>
      <c r="X117" s="483">
        <f t="shared" si="32"/>
        <v>163271.80085852064</v>
      </c>
      <c r="Y117" s="483"/>
      <c r="Z117" s="514">
        <f t="shared" si="33"/>
        <v>0</v>
      </c>
      <c r="AA117" s="515">
        <v>89512.764713814802</v>
      </c>
      <c r="AB117" s="483">
        <f t="shared" si="34"/>
        <v>89512.764713814802</v>
      </c>
      <c r="AC117" s="483"/>
      <c r="AD117" s="514">
        <f t="shared" si="35"/>
        <v>89512.764713814802</v>
      </c>
      <c r="AE117" s="515">
        <v>35655</v>
      </c>
      <c r="AF117" s="483">
        <f t="shared" si="36"/>
        <v>35655</v>
      </c>
      <c r="AG117" s="483"/>
      <c r="AH117" s="514">
        <f t="shared" si="37"/>
        <v>35655</v>
      </c>
      <c r="AI117" s="520">
        <v>175141.5300617652</v>
      </c>
      <c r="AJ117" s="484">
        <f t="shared" si="38"/>
        <v>175141.5300617652</v>
      </c>
      <c r="AK117" s="484"/>
      <c r="AL117" s="514">
        <f t="shared" si="39"/>
        <v>175141.5300617652</v>
      </c>
      <c r="AM117" s="526">
        <v>86329.478466658853</v>
      </c>
      <c r="AN117" s="485">
        <f t="shared" si="40"/>
        <v>86329.478466658853</v>
      </c>
      <c r="AO117" s="485"/>
      <c r="AP117" s="514">
        <f t="shared" si="41"/>
        <v>86329.478466658853</v>
      </c>
      <c r="AQ117" s="530">
        <f t="shared" si="42"/>
        <v>175141.5300617652</v>
      </c>
    </row>
    <row r="118" spans="1:43" x14ac:dyDescent="0.55000000000000004">
      <c r="A118" s="316" t="s">
        <v>310</v>
      </c>
      <c r="B118" s="218" t="s">
        <v>311</v>
      </c>
      <c r="C118" s="218" t="s">
        <v>316</v>
      </c>
      <c r="D118" s="105" t="s">
        <v>317</v>
      </c>
      <c r="E118" s="100"/>
      <c r="F118" s="34"/>
      <c r="G118" s="34"/>
      <c r="H118" s="480">
        <v>109801.05355905752</v>
      </c>
      <c r="I118" s="480" t="s">
        <v>413</v>
      </c>
      <c r="J118" s="486">
        <v>3</v>
      </c>
      <c r="K118" s="318"/>
      <c r="L118" s="482"/>
      <c r="M118" s="482">
        <f t="shared" si="43"/>
        <v>0</v>
      </c>
      <c r="N118" s="509">
        <f t="shared" si="27"/>
        <v>0</v>
      </c>
      <c r="O118" s="515">
        <v>28724.548536738668</v>
      </c>
      <c r="P118" s="483"/>
      <c r="Q118" s="483">
        <f t="shared" si="44"/>
        <v>14362.274268369334</v>
      </c>
      <c r="R118" s="514">
        <f t="shared" si="29"/>
        <v>14362.274268369334</v>
      </c>
      <c r="S118" s="515">
        <v>79008.885083413552</v>
      </c>
      <c r="T118" s="483"/>
      <c r="U118" s="483">
        <f t="shared" si="45"/>
        <v>39504.442541706776</v>
      </c>
      <c r="V118" s="514">
        <f t="shared" si="31"/>
        <v>39504.442541706776</v>
      </c>
      <c r="W118" s="515">
        <v>78867.214716435919</v>
      </c>
      <c r="X118" s="483"/>
      <c r="Y118" s="483">
        <f t="shared" si="46"/>
        <v>39433.60735821796</v>
      </c>
      <c r="Z118" s="514">
        <f t="shared" si="33"/>
        <v>39433.60735821796</v>
      </c>
      <c r="AA118" s="515">
        <v>50227.822636798279</v>
      </c>
      <c r="AB118" s="483"/>
      <c r="AC118" s="483">
        <f t="shared" si="47"/>
        <v>25113.911318399139</v>
      </c>
      <c r="AD118" s="514">
        <f t="shared" si="35"/>
        <v>25113.911318399139</v>
      </c>
      <c r="AE118" s="515">
        <v>18893</v>
      </c>
      <c r="AF118" s="483"/>
      <c r="AG118" s="483">
        <f t="shared" si="48"/>
        <v>9446.5</v>
      </c>
      <c r="AH118" s="514">
        <f t="shared" si="37"/>
        <v>9446.5</v>
      </c>
      <c r="AI118" s="520">
        <v>64754.467483546738</v>
      </c>
      <c r="AJ118" s="484"/>
      <c r="AK118" s="484">
        <f t="shared" si="49"/>
        <v>32377.233741773369</v>
      </c>
      <c r="AL118" s="514">
        <f t="shared" si="39"/>
        <v>32377.233741773369</v>
      </c>
      <c r="AM118" s="526">
        <v>27450.263389764379</v>
      </c>
      <c r="AN118" s="485"/>
      <c r="AO118" s="485">
        <f t="shared" si="50"/>
        <v>13725.13169488219</v>
      </c>
      <c r="AP118" s="514">
        <f t="shared" si="41"/>
        <v>13725.13169488219</v>
      </c>
      <c r="AQ118" s="530">
        <f t="shared" si="42"/>
        <v>39504.442541706776</v>
      </c>
    </row>
    <row r="119" spans="1:43" x14ac:dyDescent="0.55000000000000004">
      <c r="A119" s="316" t="s">
        <v>310</v>
      </c>
      <c r="B119" s="218" t="s">
        <v>311</v>
      </c>
      <c r="C119" s="218" t="s">
        <v>318</v>
      </c>
      <c r="D119" s="105" t="s">
        <v>319</v>
      </c>
      <c r="E119" s="100"/>
      <c r="F119" s="34"/>
      <c r="G119" s="34"/>
      <c r="H119" s="480">
        <v>105778.12989801918</v>
      </c>
      <c r="I119" s="480" t="s">
        <v>413</v>
      </c>
      <c r="J119" s="486">
        <v>3</v>
      </c>
      <c r="K119" s="318"/>
      <c r="L119" s="482"/>
      <c r="M119" s="482">
        <f t="shared" si="43"/>
        <v>0</v>
      </c>
      <c r="N119" s="509">
        <f t="shared" si="27"/>
        <v>0</v>
      </c>
      <c r="O119" s="515">
        <v>19297.897573269878</v>
      </c>
      <c r="P119" s="483"/>
      <c r="Q119" s="483">
        <f t="shared" si="44"/>
        <v>9648.9487866349391</v>
      </c>
      <c r="R119" s="514">
        <f t="shared" si="29"/>
        <v>9648.9487866349391</v>
      </c>
      <c r="S119" s="515">
        <v>64211.464117899392</v>
      </c>
      <c r="T119" s="483"/>
      <c r="U119" s="483">
        <f t="shared" si="45"/>
        <v>32105.732058949696</v>
      </c>
      <c r="V119" s="514">
        <f t="shared" si="31"/>
        <v>32105.732058949696</v>
      </c>
      <c r="W119" s="515">
        <v>80340.475365023216</v>
      </c>
      <c r="X119" s="483"/>
      <c r="Y119" s="483">
        <f t="shared" si="46"/>
        <v>40170.237682511608</v>
      </c>
      <c r="Z119" s="514">
        <f t="shared" si="33"/>
        <v>40170.237682511608</v>
      </c>
      <c r="AA119" s="515">
        <v>49884.172897520948</v>
      </c>
      <c r="AB119" s="483"/>
      <c r="AC119" s="483">
        <f t="shared" si="47"/>
        <v>24942.086448760474</v>
      </c>
      <c r="AD119" s="514">
        <f t="shared" si="35"/>
        <v>24942.086448760474</v>
      </c>
      <c r="AE119" s="515">
        <v>18336</v>
      </c>
      <c r="AF119" s="483"/>
      <c r="AG119" s="483">
        <f t="shared" si="48"/>
        <v>9168</v>
      </c>
      <c r="AH119" s="514">
        <f t="shared" si="37"/>
        <v>9168</v>
      </c>
      <c r="AI119" s="520">
        <v>41349.632596498406</v>
      </c>
      <c r="AJ119" s="484"/>
      <c r="AK119" s="484">
        <f t="shared" si="49"/>
        <v>20674.816298249203</v>
      </c>
      <c r="AL119" s="514">
        <f t="shared" si="39"/>
        <v>20674.816298249203</v>
      </c>
      <c r="AM119" s="526">
        <v>60582.019850683711</v>
      </c>
      <c r="AN119" s="485"/>
      <c r="AO119" s="485">
        <f t="shared" si="50"/>
        <v>30291.009925341856</v>
      </c>
      <c r="AP119" s="514">
        <f t="shared" si="41"/>
        <v>30291.009925341856</v>
      </c>
      <c r="AQ119" s="530">
        <f t="shared" si="42"/>
        <v>40170.237682511608</v>
      </c>
    </row>
    <row r="120" spans="1:43" x14ac:dyDescent="0.55000000000000004">
      <c r="A120" s="316" t="s">
        <v>310</v>
      </c>
      <c r="B120" s="218" t="s">
        <v>311</v>
      </c>
      <c r="C120" s="218" t="s">
        <v>320</v>
      </c>
      <c r="D120" s="105" t="s">
        <v>321</v>
      </c>
      <c r="E120" s="100"/>
      <c r="F120" s="34"/>
      <c r="G120" s="34"/>
      <c r="H120" s="480">
        <v>138670.80517744401</v>
      </c>
      <c r="I120" s="480" t="s">
        <v>413</v>
      </c>
      <c r="J120" s="486">
        <v>3</v>
      </c>
      <c r="K120" s="318"/>
      <c r="L120" s="482"/>
      <c r="M120" s="482">
        <f t="shared" si="43"/>
        <v>0</v>
      </c>
      <c r="N120" s="509">
        <f t="shared" si="27"/>
        <v>0</v>
      </c>
      <c r="O120" s="515">
        <v>21725.832388760507</v>
      </c>
      <c r="P120" s="483"/>
      <c r="Q120" s="483">
        <f t="shared" si="44"/>
        <v>10862.916194380254</v>
      </c>
      <c r="R120" s="514">
        <f t="shared" si="29"/>
        <v>10862.916194380254</v>
      </c>
      <c r="S120" s="515">
        <v>62772.406451263734</v>
      </c>
      <c r="T120" s="483"/>
      <c r="U120" s="483">
        <f t="shared" si="45"/>
        <v>31386.203225631867</v>
      </c>
      <c r="V120" s="514">
        <f t="shared" si="31"/>
        <v>31386.203225631867</v>
      </c>
      <c r="W120" s="515">
        <v>93820.84267159726</v>
      </c>
      <c r="X120" s="483"/>
      <c r="Y120" s="483">
        <f t="shared" si="46"/>
        <v>46910.42133579863</v>
      </c>
      <c r="Z120" s="514">
        <f t="shared" si="33"/>
        <v>46910.42133579863</v>
      </c>
      <c r="AA120" s="515">
        <v>58999.837983633821</v>
      </c>
      <c r="AB120" s="483"/>
      <c r="AC120" s="483">
        <f t="shared" si="47"/>
        <v>29499.91899181691</v>
      </c>
      <c r="AD120" s="514">
        <f t="shared" si="35"/>
        <v>29499.91899181691</v>
      </c>
      <c r="AE120" s="515">
        <v>47766</v>
      </c>
      <c r="AF120" s="483"/>
      <c r="AG120" s="483">
        <f t="shared" si="48"/>
        <v>23883</v>
      </c>
      <c r="AH120" s="514">
        <f t="shared" si="37"/>
        <v>23883</v>
      </c>
      <c r="AI120" s="520">
        <v>74084.402766031722</v>
      </c>
      <c r="AJ120" s="484"/>
      <c r="AK120" s="484">
        <f t="shared" si="49"/>
        <v>37042.201383015861</v>
      </c>
      <c r="AL120" s="514">
        <f t="shared" si="39"/>
        <v>37042.201383015861</v>
      </c>
      <c r="AM120" s="526">
        <v>53432.787316079339</v>
      </c>
      <c r="AN120" s="485"/>
      <c r="AO120" s="485">
        <f t="shared" si="50"/>
        <v>26716.393658039669</v>
      </c>
      <c r="AP120" s="514">
        <f t="shared" si="41"/>
        <v>26716.393658039669</v>
      </c>
      <c r="AQ120" s="530">
        <f t="shared" si="42"/>
        <v>46910.42133579863</v>
      </c>
    </row>
    <row r="121" spans="1:43" x14ac:dyDescent="0.55000000000000004">
      <c r="A121" s="316" t="s">
        <v>322</v>
      </c>
      <c r="B121" s="218" t="s">
        <v>323</v>
      </c>
      <c r="C121" s="218" t="s">
        <v>324</v>
      </c>
      <c r="D121" s="105" t="s">
        <v>325</v>
      </c>
      <c r="E121" s="100"/>
      <c r="F121" s="34"/>
      <c r="G121" s="34"/>
      <c r="H121" s="480">
        <v>39195.118555506007</v>
      </c>
      <c r="I121" s="480" t="s">
        <v>413</v>
      </c>
      <c r="J121" s="486">
        <v>3</v>
      </c>
      <c r="K121" s="318"/>
      <c r="L121" s="482"/>
      <c r="M121" s="482">
        <f t="shared" si="43"/>
        <v>0</v>
      </c>
      <c r="N121" s="509">
        <f t="shared" si="27"/>
        <v>0</v>
      </c>
      <c r="O121" s="515">
        <v>3120.8094076739217</v>
      </c>
      <c r="P121" s="483"/>
      <c r="Q121" s="483">
        <f t="shared" si="44"/>
        <v>1560.4047038369608</v>
      </c>
      <c r="R121" s="514">
        <f t="shared" si="29"/>
        <v>1560.4047038369608</v>
      </c>
      <c r="S121" s="515">
        <v>20125.469745358765</v>
      </c>
      <c r="T121" s="483"/>
      <c r="U121" s="483">
        <f t="shared" si="45"/>
        <v>10062.734872679383</v>
      </c>
      <c r="V121" s="514">
        <f t="shared" si="31"/>
        <v>10062.734872679383</v>
      </c>
      <c r="W121" s="515">
        <v>24430.506784487628</v>
      </c>
      <c r="X121" s="483"/>
      <c r="Y121" s="483">
        <f t="shared" si="46"/>
        <v>12215.253392243814</v>
      </c>
      <c r="Z121" s="514">
        <f t="shared" si="33"/>
        <v>12215.253392243814</v>
      </c>
      <c r="AA121" s="515">
        <v>19867.246768263718</v>
      </c>
      <c r="AB121" s="483"/>
      <c r="AC121" s="483">
        <f t="shared" si="47"/>
        <v>9933.623384131859</v>
      </c>
      <c r="AD121" s="514">
        <f t="shared" si="35"/>
        <v>9933.623384131859</v>
      </c>
      <c r="AE121" s="515">
        <v>6940</v>
      </c>
      <c r="AF121" s="483"/>
      <c r="AG121" s="483">
        <f t="shared" si="48"/>
        <v>3470</v>
      </c>
      <c r="AH121" s="514">
        <f t="shared" si="37"/>
        <v>3470</v>
      </c>
      <c r="AI121" s="520">
        <v>29105.286056068817</v>
      </c>
      <c r="AJ121" s="484"/>
      <c r="AK121" s="484">
        <f t="shared" si="49"/>
        <v>14552.643028034408</v>
      </c>
      <c r="AL121" s="514">
        <f t="shared" si="39"/>
        <v>14552.643028034408</v>
      </c>
      <c r="AM121" s="526">
        <v>10161.697403279335</v>
      </c>
      <c r="AN121" s="485"/>
      <c r="AO121" s="485">
        <f t="shared" si="50"/>
        <v>5080.8487016396675</v>
      </c>
      <c r="AP121" s="514">
        <f t="shared" si="41"/>
        <v>5080.8487016396675</v>
      </c>
      <c r="AQ121" s="530">
        <f t="shared" si="42"/>
        <v>14552.643028034408</v>
      </c>
    </row>
    <row r="122" spans="1:43" x14ac:dyDescent="0.55000000000000004">
      <c r="A122" s="316" t="s">
        <v>322</v>
      </c>
      <c r="B122" s="218" t="s">
        <v>323</v>
      </c>
      <c r="C122" s="218" t="s">
        <v>326</v>
      </c>
      <c r="D122" s="105" t="s">
        <v>327</v>
      </c>
      <c r="E122" s="100"/>
      <c r="F122" s="34"/>
      <c r="G122" s="34"/>
      <c r="H122" s="480">
        <v>37012.158261154211</v>
      </c>
      <c r="I122" s="480" t="s">
        <v>413</v>
      </c>
      <c r="J122" s="486">
        <v>3</v>
      </c>
      <c r="K122" s="318"/>
      <c r="L122" s="482"/>
      <c r="M122" s="482">
        <f t="shared" si="43"/>
        <v>0</v>
      </c>
      <c r="N122" s="509">
        <f t="shared" si="27"/>
        <v>0</v>
      </c>
      <c r="O122" s="515">
        <v>8432.3652789481548</v>
      </c>
      <c r="P122" s="483"/>
      <c r="Q122" s="483">
        <f t="shared" si="44"/>
        <v>4216.1826394740774</v>
      </c>
      <c r="R122" s="514">
        <f t="shared" si="29"/>
        <v>4216.1826394740774</v>
      </c>
      <c r="S122" s="515">
        <v>16745.17089455263</v>
      </c>
      <c r="T122" s="483"/>
      <c r="U122" s="483">
        <f t="shared" si="45"/>
        <v>8372.5854472763149</v>
      </c>
      <c r="V122" s="514">
        <f t="shared" si="31"/>
        <v>8372.5854472763149</v>
      </c>
      <c r="W122" s="515">
        <v>30482.403979223356</v>
      </c>
      <c r="X122" s="483"/>
      <c r="Y122" s="483">
        <f t="shared" si="46"/>
        <v>15241.201989611678</v>
      </c>
      <c r="Z122" s="514">
        <f t="shared" si="33"/>
        <v>15241.201989611678</v>
      </c>
      <c r="AA122" s="515">
        <v>19016.114899824621</v>
      </c>
      <c r="AB122" s="483"/>
      <c r="AC122" s="483">
        <f t="shared" si="47"/>
        <v>9508.0574499123104</v>
      </c>
      <c r="AD122" s="514">
        <f t="shared" si="35"/>
        <v>9508.0574499123104</v>
      </c>
      <c r="AE122" s="515">
        <v>6696</v>
      </c>
      <c r="AF122" s="483"/>
      <c r="AG122" s="483">
        <f t="shared" si="48"/>
        <v>3348</v>
      </c>
      <c r="AH122" s="514">
        <f t="shared" si="37"/>
        <v>3348</v>
      </c>
      <c r="AI122" s="520">
        <v>18980.59398007908</v>
      </c>
      <c r="AJ122" s="484"/>
      <c r="AK122" s="484">
        <f t="shared" si="49"/>
        <v>9490.2969900395401</v>
      </c>
      <c r="AL122" s="514">
        <f t="shared" si="39"/>
        <v>9490.2969900395401</v>
      </c>
      <c r="AM122" s="526">
        <v>19191.489468746622</v>
      </c>
      <c r="AN122" s="485"/>
      <c r="AO122" s="485">
        <f t="shared" si="50"/>
        <v>9595.7447343733111</v>
      </c>
      <c r="AP122" s="514">
        <f t="shared" si="41"/>
        <v>9595.7447343733111</v>
      </c>
      <c r="AQ122" s="530">
        <f t="shared" si="42"/>
        <v>15241.201989611678</v>
      </c>
    </row>
    <row r="123" spans="1:43" x14ac:dyDescent="0.55000000000000004">
      <c r="A123" s="316" t="s">
        <v>322</v>
      </c>
      <c r="B123" s="218" t="s">
        <v>323</v>
      </c>
      <c r="C123" s="218" t="s">
        <v>328</v>
      </c>
      <c r="D123" s="105" t="s">
        <v>329</v>
      </c>
      <c r="E123" s="100"/>
      <c r="F123" s="34"/>
      <c r="G123" s="34"/>
      <c r="H123" s="480">
        <v>52356.268586149592</v>
      </c>
      <c r="I123" s="480" t="s">
        <v>413</v>
      </c>
      <c r="J123" s="486">
        <v>3</v>
      </c>
      <c r="K123" s="318"/>
      <c r="L123" s="482"/>
      <c r="M123" s="482">
        <f t="shared" si="43"/>
        <v>0</v>
      </c>
      <c r="N123" s="509">
        <f t="shared" si="27"/>
        <v>0</v>
      </c>
      <c r="O123" s="515">
        <v>11162.953324028977</v>
      </c>
      <c r="P123" s="483"/>
      <c r="Q123" s="483">
        <f t="shared" si="44"/>
        <v>5581.4766620144883</v>
      </c>
      <c r="R123" s="514">
        <f t="shared" si="29"/>
        <v>5581.4766620144883</v>
      </c>
      <c r="S123" s="515">
        <v>26371.550552860583</v>
      </c>
      <c r="T123" s="483"/>
      <c r="U123" s="483">
        <f t="shared" si="45"/>
        <v>13185.775276430291</v>
      </c>
      <c r="V123" s="514">
        <f t="shared" si="31"/>
        <v>13185.775276430291</v>
      </c>
      <c r="W123" s="515">
        <v>43164.898674527911</v>
      </c>
      <c r="X123" s="483"/>
      <c r="Y123" s="483">
        <f t="shared" si="46"/>
        <v>21582.449337263955</v>
      </c>
      <c r="Z123" s="514">
        <f t="shared" si="33"/>
        <v>21582.449337263955</v>
      </c>
      <c r="AA123" s="515">
        <v>26841.201334186208</v>
      </c>
      <c r="AB123" s="483"/>
      <c r="AC123" s="483">
        <f t="shared" si="47"/>
        <v>13420.600667093104</v>
      </c>
      <c r="AD123" s="514">
        <f t="shared" si="35"/>
        <v>13420.600667093104</v>
      </c>
      <c r="AE123" s="515">
        <v>8646</v>
      </c>
      <c r="AF123" s="483"/>
      <c r="AG123" s="483">
        <f t="shared" si="48"/>
        <v>4323</v>
      </c>
      <c r="AH123" s="514">
        <f t="shared" si="37"/>
        <v>4323</v>
      </c>
      <c r="AI123" s="520">
        <v>12082.215827572982</v>
      </c>
      <c r="AJ123" s="484"/>
      <c r="AK123" s="484">
        <f t="shared" si="49"/>
        <v>6041.1079137864908</v>
      </c>
      <c r="AL123" s="514">
        <f t="shared" si="39"/>
        <v>6041.1079137864908</v>
      </c>
      <c r="AM123" s="526">
        <v>31510.717204627075</v>
      </c>
      <c r="AN123" s="485"/>
      <c r="AO123" s="485">
        <f t="shared" si="50"/>
        <v>15755.358602313538</v>
      </c>
      <c r="AP123" s="514">
        <f t="shared" si="41"/>
        <v>15755.358602313538</v>
      </c>
      <c r="AQ123" s="530">
        <f t="shared" si="42"/>
        <v>21582.449337263955</v>
      </c>
    </row>
    <row r="124" spans="1:43" x14ac:dyDescent="0.55000000000000004">
      <c r="A124" s="316" t="s">
        <v>322</v>
      </c>
      <c r="B124" s="218" t="s">
        <v>323</v>
      </c>
      <c r="C124" s="218" t="s">
        <v>330</v>
      </c>
      <c r="D124" s="105" t="s">
        <v>331</v>
      </c>
      <c r="E124" s="100"/>
      <c r="F124" s="34"/>
      <c r="G124" s="34"/>
      <c r="H124" s="480">
        <v>27460.602325830623</v>
      </c>
      <c r="I124" s="480" t="s">
        <v>413</v>
      </c>
      <c r="J124" s="486">
        <v>3</v>
      </c>
      <c r="K124" s="318"/>
      <c r="L124" s="482"/>
      <c r="M124" s="482">
        <f t="shared" si="43"/>
        <v>0</v>
      </c>
      <c r="N124" s="509">
        <f t="shared" si="27"/>
        <v>0</v>
      </c>
      <c r="O124" s="515">
        <v>5357.3163683486218</v>
      </c>
      <c r="P124" s="483"/>
      <c r="Q124" s="483">
        <f t="shared" si="44"/>
        <v>2678.6581841743109</v>
      </c>
      <c r="R124" s="514">
        <f t="shared" si="29"/>
        <v>2678.6581841743109</v>
      </c>
      <c r="S124" s="515">
        <v>12220.021564894554</v>
      </c>
      <c r="T124" s="483"/>
      <c r="U124" s="483">
        <f t="shared" si="45"/>
        <v>6110.0107824472771</v>
      </c>
      <c r="V124" s="514">
        <f t="shared" si="31"/>
        <v>6110.0107824472771</v>
      </c>
      <c r="W124" s="515">
        <v>19803.793626160932</v>
      </c>
      <c r="X124" s="483"/>
      <c r="Y124" s="483">
        <f t="shared" si="46"/>
        <v>9901.896813080466</v>
      </c>
      <c r="Z124" s="514">
        <f t="shared" si="33"/>
        <v>9901.896813080466</v>
      </c>
      <c r="AA124" s="515">
        <v>15231.434369696173</v>
      </c>
      <c r="AB124" s="483"/>
      <c r="AC124" s="483">
        <f t="shared" si="47"/>
        <v>7615.7171848480866</v>
      </c>
      <c r="AD124" s="514">
        <f t="shared" si="35"/>
        <v>7615.7171848480866</v>
      </c>
      <c r="AE124" s="515">
        <v>4855</v>
      </c>
      <c r="AF124" s="483"/>
      <c r="AG124" s="483">
        <f t="shared" si="48"/>
        <v>2427.5</v>
      </c>
      <c r="AH124" s="514">
        <f t="shared" si="37"/>
        <v>2427.5</v>
      </c>
      <c r="AI124" s="520">
        <v>25629.895504108583</v>
      </c>
      <c r="AJ124" s="484"/>
      <c r="AK124" s="484">
        <f t="shared" si="49"/>
        <v>12814.947752054291</v>
      </c>
      <c r="AL124" s="514">
        <f t="shared" si="39"/>
        <v>12814.947752054291</v>
      </c>
      <c r="AM124" s="526">
        <v>9916.3286176610563</v>
      </c>
      <c r="AN124" s="485"/>
      <c r="AO124" s="485">
        <f t="shared" si="50"/>
        <v>4958.1643088305282</v>
      </c>
      <c r="AP124" s="514">
        <f t="shared" si="41"/>
        <v>4958.1643088305282</v>
      </c>
      <c r="AQ124" s="530">
        <f t="shared" si="42"/>
        <v>12814.947752054291</v>
      </c>
    </row>
    <row r="125" spans="1:43" x14ac:dyDescent="0.55000000000000004">
      <c r="A125" s="316" t="s">
        <v>322</v>
      </c>
      <c r="B125" s="218" t="s">
        <v>323</v>
      </c>
      <c r="C125" s="218" t="s">
        <v>332</v>
      </c>
      <c r="D125" s="105" t="s">
        <v>333</v>
      </c>
      <c r="E125" s="100"/>
      <c r="F125" s="34"/>
      <c r="G125" s="34"/>
      <c r="H125" s="480">
        <v>32690.293010704088</v>
      </c>
      <c r="I125" s="480" t="s">
        <v>413</v>
      </c>
      <c r="J125" s="486">
        <v>4</v>
      </c>
      <c r="K125" s="318"/>
      <c r="L125" s="482">
        <f t="shared" si="26"/>
        <v>0</v>
      </c>
      <c r="M125" s="482"/>
      <c r="N125" s="509">
        <f t="shared" si="27"/>
        <v>0</v>
      </c>
      <c r="O125" s="515">
        <v>4038.5784127181892</v>
      </c>
      <c r="P125" s="483">
        <f t="shared" si="28"/>
        <v>4038.5784127181892</v>
      </c>
      <c r="Q125" s="483"/>
      <c r="R125" s="514">
        <f t="shared" si="29"/>
        <v>4038.5784127181892</v>
      </c>
      <c r="S125" s="515">
        <v>18034.318157374215</v>
      </c>
      <c r="T125" s="483">
        <f t="shared" si="30"/>
        <v>18034.318157374215</v>
      </c>
      <c r="U125" s="483"/>
      <c r="V125" s="514">
        <f t="shared" si="31"/>
        <v>18034.318157374215</v>
      </c>
      <c r="W125" s="515">
        <v>24492.422401719799</v>
      </c>
      <c r="X125" s="483">
        <f t="shared" si="32"/>
        <v>24492.422401719799</v>
      </c>
      <c r="Y125" s="483"/>
      <c r="Z125" s="514">
        <f t="shared" si="33"/>
        <v>0</v>
      </c>
      <c r="AA125" s="515">
        <v>15689.827622136641</v>
      </c>
      <c r="AB125" s="483">
        <f t="shared" si="34"/>
        <v>15689.827622136641</v>
      </c>
      <c r="AC125" s="483"/>
      <c r="AD125" s="514">
        <f t="shared" si="35"/>
        <v>15689.827622136641</v>
      </c>
      <c r="AE125" s="515">
        <v>5532</v>
      </c>
      <c r="AF125" s="483">
        <f t="shared" si="36"/>
        <v>5532</v>
      </c>
      <c r="AG125" s="483"/>
      <c r="AH125" s="514">
        <f t="shared" si="37"/>
        <v>5532</v>
      </c>
      <c r="AI125" s="520">
        <v>18859.784429252359</v>
      </c>
      <c r="AJ125" s="484">
        <f t="shared" si="38"/>
        <v>18859.784429252359</v>
      </c>
      <c r="AK125" s="484"/>
      <c r="AL125" s="514">
        <f t="shared" si="39"/>
        <v>18859.784429252359</v>
      </c>
      <c r="AM125" s="526">
        <v>13318.267522879445</v>
      </c>
      <c r="AN125" s="485">
        <f t="shared" si="40"/>
        <v>13318.267522879445</v>
      </c>
      <c r="AO125" s="485"/>
      <c r="AP125" s="514">
        <f t="shared" si="41"/>
        <v>13318.267522879445</v>
      </c>
      <c r="AQ125" s="530">
        <f t="shared" si="42"/>
        <v>18859.784429252359</v>
      </c>
    </row>
    <row r="126" spans="1:43" x14ac:dyDescent="0.55000000000000004">
      <c r="A126" s="316" t="s">
        <v>322</v>
      </c>
      <c r="B126" s="218" t="s">
        <v>323</v>
      </c>
      <c r="C126" s="218" t="s">
        <v>334</v>
      </c>
      <c r="D126" s="105" t="s">
        <v>335</v>
      </c>
      <c r="E126" s="100"/>
      <c r="F126" s="34"/>
      <c r="G126" s="34"/>
      <c r="H126" s="480">
        <v>95120.28021781116</v>
      </c>
      <c r="I126" s="480" t="s">
        <v>413</v>
      </c>
      <c r="J126" s="486">
        <v>3</v>
      </c>
      <c r="K126" s="318"/>
      <c r="L126" s="482"/>
      <c r="M126" s="482">
        <f t="shared" si="43"/>
        <v>0</v>
      </c>
      <c r="N126" s="509">
        <f t="shared" si="27"/>
        <v>0</v>
      </c>
      <c r="O126" s="515">
        <v>29107.661829172175</v>
      </c>
      <c r="P126" s="483"/>
      <c r="Q126" s="483">
        <f t="shared" si="44"/>
        <v>14553.830914586088</v>
      </c>
      <c r="R126" s="514">
        <f t="shared" si="29"/>
        <v>14553.830914586088</v>
      </c>
      <c r="S126" s="515">
        <v>45514.967836092444</v>
      </c>
      <c r="T126" s="483"/>
      <c r="U126" s="483">
        <f t="shared" si="45"/>
        <v>22757.483918046222</v>
      </c>
      <c r="V126" s="514">
        <f t="shared" si="31"/>
        <v>22757.483918046222</v>
      </c>
      <c r="W126" s="515">
        <v>62822.381740705023</v>
      </c>
      <c r="X126" s="483"/>
      <c r="Y126" s="483">
        <f t="shared" si="46"/>
        <v>31411.190870352511</v>
      </c>
      <c r="Z126" s="514">
        <f t="shared" si="33"/>
        <v>31411.190870352511</v>
      </c>
      <c r="AA126" s="515">
        <v>51361.527117805272</v>
      </c>
      <c r="AB126" s="483"/>
      <c r="AC126" s="483">
        <f t="shared" si="47"/>
        <v>25680.763558902636</v>
      </c>
      <c r="AD126" s="514">
        <f t="shared" si="35"/>
        <v>25680.763558902636</v>
      </c>
      <c r="AE126" s="515">
        <v>16258</v>
      </c>
      <c r="AF126" s="483"/>
      <c r="AG126" s="483">
        <f t="shared" si="48"/>
        <v>8129</v>
      </c>
      <c r="AH126" s="514">
        <f t="shared" si="37"/>
        <v>8129</v>
      </c>
      <c r="AI126" s="520">
        <v>16710.319497723583</v>
      </c>
      <c r="AJ126" s="484"/>
      <c r="AK126" s="484">
        <f t="shared" si="49"/>
        <v>8355.1597488617917</v>
      </c>
      <c r="AL126" s="514">
        <f t="shared" si="39"/>
        <v>8355.1597488617917</v>
      </c>
      <c r="AM126" s="526">
        <v>40514.193426104757</v>
      </c>
      <c r="AN126" s="485"/>
      <c r="AO126" s="485">
        <f t="shared" si="50"/>
        <v>20257.096713052379</v>
      </c>
      <c r="AP126" s="514">
        <f t="shared" si="41"/>
        <v>20257.096713052379</v>
      </c>
      <c r="AQ126" s="530">
        <f t="shared" si="42"/>
        <v>31411.190870352511</v>
      </c>
    </row>
    <row r="127" spans="1:43" x14ac:dyDescent="0.55000000000000004">
      <c r="A127" s="316" t="s">
        <v>322</v>
      </c>
      <c r="B127" s="218" t="s">
        <v>323</v>
      </c>
      <c r="C127" s="218" t="s">
        <v>336</v>
      </c>
      <c r="D127" s="105" t="s">
        <v>337</v>
      </c>
      <c r="E127" s="100"/>
      <c r="F127" s="34"/>
      <c r="G127" s="34"/>
      <c r="H127" s="480">
        <v>46967.678081984632</v>
      </c>
      <c r="I127" s="480" t="s">
        <v>413</v>
      </c>
      <c r="J127" s="486">
        <v>4</v>
      </c>
      <c r="K127" s="318"/>
      <c r="L127" s="482">
        <f t="shared" si="26"/>
        <v>0</v>
      </c>
      <c r="M127" s="482"/>
      <c r="N127" s="509">
        <f t="shared" si="27"/>
        <v>0</v>
      </c>
      <c r="O127" s="515">
        <v>14267.427932178172</v>
      </c>
      <c r="P127" s="483">
        <f t="shared" si="28"/>
        <v>14267.427932178172</v>
      </c>
      <c r="Q127" s="483"/>
      <c r="R127" s="514">
        <f t="shared" si="29"/>
        <v>14267.427932178172</v>
      </c>
      <c r="S127" s="515">
        <v>23988.652968058013</v>
      </c>
      <c r="T127" s="483">
        <f t="shared" si="30"/>
        <v>23988.652968058013</v>
      </c>
      <c r="U127" s="483"/>
      <c r="V127" s="514">
        <f t="shared" si="31"/>
        <v>23988.652968058013</v>
      </c>
      <c r="W127" s="515">
        <v>34425.758326525865</v>
      </c>
      <c r="X127" s="483">
        <f t="shared" si="32"/>
        <v>34425.758326525865</v>
      </c>
      <c r="Y127" s="483"/>
      <c r="Z127" s="514">
        <f t="shared" si="33"/>
        <v>0</v>
      </c>
      <c r="AA127" s="515">
        <v>30178.3703752361</v>
      </c>
      <c r="AB127" s="483">
        <f t="shared" si="34"/>
        <v>30178.3703752361</v>
      </c>
      <c r="AC127" s="483"/>
      <c r="AD127" s="514">
        <f t="shared" si="35"/>
        <v>30178.3703752361</v>
      </c>
      <c r="AE127" s="515">
        <v>16304</v>
      </c>
      <c r="AF127" s="483">
        <f t="shared" si="36"/>
        <v>16304</v>
      </c>
      <c r="AG127" s="483"/>
      <c r="AH127" s="514">
        <f t="shared" si="37"/>
        <v>16304</v>
      </c>
      <c r="AI127" s="520">
        <v>31957.389210422531</v>
      </c>
      <c r="AJ127" s="484">
        <f t="shared" si="38"/>
        <v>31957.389210422531</v>
      </c>
      <c r="AK127" s="484"/>
      <c r="AL127" s="514">
        <f t="shared" si="39"/>
        <v>31957.389210422531</v>
      </c>
      <c r="AM127" s="526">
        <v>24788.496765491887</v>
      </c>
      <c r="AN127" s="485">
        <f t="shared" si="40"/>
        <v>24788.496765491887</v>
      </c>
      <c r="AO127" s="485"/>
      <c r="AP127" s="514">
        <f t="shared" si="41"/>
        <v>24788.496765491887</v>
      </c>
      <c r="AQ127" s="530">
        <f t="shared" si="42"/>
        <v>31957.389210422531</v>
      </c>
    </row>
    <row r="128" spans="1:43" x14ac:dyDescent="0.55000000000000004">
      <c r="A128" s="316" t="s">
        <v>322</v>
      </c>
      <c r="B128" s="218" t="s">
        <v>323</v>
      </c>
      <c r="C128" s="218" t="s">
        <v>338</v>
      </c>
      <c r="D128" s="105" t="s">
        <v>339</v>
      </c>
      <c r="E128" s="100"/>
      <c r="F128" s="34"/>
      <c r="G128" s="34"/>
      <c r="H128" s="480">
        <v>96392.652760116689</v>
      </c>
      <c r="I128" s="480" t="s">
        <v>413</v>
      </c>
      <c r="J128" s="486">
        <v>3</v>
      </c>
      <c r="K128" s="318"/>
      <c r="L128" s="482"/>
      <c r="M128" s="482">
        <f t="shared" si="43"/>
        <v>0</v>
      </c>
      <c r="N128" s="509">
        <f t="shared" si="27"/>
        <v>0</v>
      </c>
      <c r="O128" s="515">
        <v>11272.060421115288</v>
      </c>
      <c r="P128" s="483"/>
      <c r="Q128" s="483">
        <f t="shared" si="44"/>
        <v>5636.0302105576438</v>
      </c>
      <c r="R128" s="514">
        <f t="shared" si="29"/>
        <v>5636.0302105576438</v>
      </c>
      <c r="S128" s="515">
        <v>48358.540845692078</v>
      </c>
      <c r="T128" s="483"/>
      <c r="U128" s="483">
        <f t="shared" si="45"/>
        <v>24179.270422846039</v>
      </c>
      <c r="V128" s="514">
        <f t="shared" si="31"/>
        <v>24179.270422846039</v>
      </c>
      <c r="W128" s="515">
        <v>60990.748338865458</v>
      </c>
      <c r="X128" s="483"/>
      <c r="Y128" s="483">
        <f t="shared" si="46"/>
        <v>30495.374169432729</v>
      </c>
      <c r="Z128" s="514">
        <f t="shared" si="33"/>
        <v>30495.374169432729</v>
      </c>
      <c r="AA128" s="515">
        <v>86154.399680966613</v>
      </c>
      <c r="AB128" s="483"/>
      <c r="AC128" s="483">
        <f t="shared" si="47"/>
        <v>43077.199840483307</v>
      </c>
      <c r="AD128" s="514">
        <f t="shared" si="35"/>
        <v>43077.199840483307</v>
      </c>
      <c r="AE128" s="515">
        <v>17701</v>
      </c>
      <c r="AF128" s="483"/>
      <c r="AG128" s="483">
        <f t="shared" si="48"/>
        <v>8850.5</v>
      </c>
      <c r="AH128" s="514">
        <f t="shared" si="37"/>
        <v>8850.5</v>
      </c>
      <c r="AI128" s="520">
        <v>16957.966689279787</v>
      </c>
      <c r="AJ128" s="484"/>
      <c r="AK128" s="484">
        <f t="shared" si="49"/>
        <v>8478.9833446398934</v>
      </c>
      <c r="AL128" s="514">
        <f t="shared" si="39"/>
        <v>8478.9833446398934</v>
      </c>
      <c r="AM128" s="526">
        <v>40679.46813729695</v>
      </c>
      <c r="AN128" s="485"/>
      <c r="AO128" s="485">
        <f t="shared" si="50"/>
        <v>20339.734068648475</v>
      </c>
      <c r="AP128" s="514">
        <f t="shared" si="41"/>
        <v>20339.734068648475</v>
      </c>
      <c r="AQ128" s="530">
        <f t="shared" si="42"/>
        <v>43077.199840483307</v>
      </c>
    </row>
    <row r="129" spans="1:43" x14ac:dyDescent="0.55000000000000004">
      <c r="A129" s="316" t="s">
        <v>322</v>
      </c>
      <c r="B129" s="218" t="s">
        <v>323</v>
      </c>
      <c r="C129" s="218" t="s">
        <v>340</v>
      </c>
      <c r="D129" s="105" t="s">
        <v>341</v>
      </c>
      <c r="E129" s="100"/>
      <c r="F129" s="34"/>
      <c r="G129" s="34"/>
      <c r="H129" s="480">
        <v>128065.73135408323</v>
      </c>
      <c r="I129" s="480" t="s">
        <v>413</v>
      </c>
      <c r="J129" s="486">
        <v>4</v>
      </c>
      <c r="K129" s="318"/>
      <c r="L129" s="482">
        <f t="shared" si="26"/>
        <v>0</v>
      </c>
      <c r="M129" s="482"/>
      <c r="N129" s="509">
        <f t="shared" si="27"/>
        <v>0</v>
      </c>
      <c r="O129" s="515">
        <v>35264.154172514085</v>
      </c>
      <c r="P129" s="483">
        <f t="shared" si="28"/>
        <v>35264.154172514085</v>
      </c>
      <c r="Q129" s="483"/>
      <c r="R129" s="514">
        <f t="shared" si="29"/>
        <v>35264.154172514085</v>
      </c>
      <c r="S129" s="515">
        <v>53374.468893477038</v>
      </c>
      <c r="T129" s="483">
        <f t="shared" si="30"/>
        <v>53374.468893477038</v>
      </c>
      <c r="U129" s="483"/>
      <c r="V129" s="514">
        <f t="shared" si="31"/>
        <v>53374.468893477038</v>
      </c>
      <c r="W129" s="515">
        <v>106191.44697572436</v>
      </c>
      <c r="X129" s="483">
        <f t="shared" si="32"/>
        <v>106191.44697572436</v>
      </c>
      <c r="Y129" s="483"/>
      <c r="Z129" s="514">
        <f t="shared" si="33"/>
        <v>0</v>
      </c>
      <c r="AA129" s="515">
        <v>80983.005907381768</v>
      </c>
      <c r="AB129" s="483">
        <f t="shared" si="34"/>
        <v>80983.005907381768</v>
      </c>
      <c r="AC129" s="483"/>
      <c r="AD129" s="514">
        <f t="shared" si="35"/>
        <v>80983.005907381768</v>
      </c>
      <c r="AE129" s="515">
        <v>21634</v>
      </c>
      <c r="AF129" s="483">
        <f t="shared" si="36"/>
        <v>21634</v>
      </c>
      <c r="AG129" s="483"/>
      <c r="AH129" s="514">
        <f t="shared" si="37"/>
        <v>21634</v>
      </c>
      <c r="AI129" s="520">
        <v>94863.504706728301</v>
      </c>
      <c r="AJ129" s="484">
        <f t="shared" si="38"/>
        <v>94863.504706728301</v>
      </c>
      <c r="AK129" s="484"/>
      <c r="AL129" s="514">
        <f t="shared" si="39"/>
        <v>94863.504706728301</v>
      </c>
      <c r="AM129" s="526">
        <v>60475.484250539295</v>
      </c>
      <c r="AN129" s="485">
        <f t="shared" si="40"/>
        <v>60475.484250539295</v>
      </c>
      <c r="AO129" s="485"/>
      <c r="AP129" s="514">
        <f t="shared" si="41"/>
        <v>60475.484250539295</v>
      </c>
      <c r="AQ129" s="530">
        <f t="shared" si="42"/>
        <v>94863.504706728301</v>
      </c>
    </row>
    <row r="130" spans="1:43" x14ac:dyDescent="0.55000000000000004">
      <c r="A130" s="316" t="s">
        <v>342</v>
      </c>
      <c r="B130" s="218" t="s">
        <v>343</v>
      </c>
      <c r="C130" s="218" t="s">
        <v>344</v>
      </c>
      <c r="D130" s="105" t="s">
        <v>345</v>
      </c>
      <c r="E130" s="100"/>
      <c r="F130" s="34"/>
      <c r="G130" s="34"/>
      <c r="H130" s="480">
        <v>38631.891660273708</v>
      </c>
      <c r="I130" s="480" t="s">
        <v>413</v>
      </c>
      <c r="J130" s="486">
        <v>4</v>
      </c>
      <c r="K130" s="318"/>
      <c r="L130" s="482">
        <f t="shared" si="26"/>
        <v>0</v>
      </c>
      <c r="M130" s="482"/>
      <c r="N130" s="509">
        <f t="shared" si="27"/>
        <v>0</v>
      </c>
      <c r="O130" s="515">
        <v>3095.8052700876942</v>
      </c>
      <c r="P130" s="483">
        <f t="shared" si="28"/>
        <v>3095.8052700876942</v>
      </c>
      <c r="Q130" s="483"/>
      <c r="R130" s="514">
        <f t="shared" si="29"/>
        <v>3095.8052700876942</v>
      </c>
      <c r="S130" s="515">
        <v>27864.101802863486</v>
      </c>
      <c r="T130" s="483">
        <f t="shared" si="30"/>
        <v>27864.101802863486</v>
      </c>
      <c r="U130" s="483"/>
      <c r="V130" s="514">
        <f t="shared" si="31"/>
        <v>27864.101802863486</v>
      </c>
      <c r="W130" s="515">
        <v>31143.958877197612</v>
      </c>
      <c r="X130" s="483">
        <f t="shared" si="32"/>
        <v>31143.958877197612</v>
      </c>
      <c r="Y130" s="483"/>
      <c r="Z130" s="514">
        <f t="shared" si="33"/>
        <v>0</v>
      </c>
      <c r="AA130" s="515">
        <v>19085.760219071533</v>
      </c>
      <c r="AB130" s="483">
        <f t="shared" si="34"/>
        <v>19085.760219071533</v>
      </c>
      <c r="AC130" s="483"/>
      <c r="AD130" s="514">
        <f t="shared" si="35"/>
        <v>19085.760219071533</v>
      </c>
      <c r="AE130" s="515">
        <v>6506</v>
      </c>
      <c r="AF130" s="483">
        <f t="shared" si="36"/>
        <v>6506</v>
      </c>
      <c r="AG130" s="483"/>
      <c r="AH130" s="514">
        <f t="shared" si="37"/>
        <v>6506</v>
      </c>
      <c r="AI130" s="520">
        <v>12291.965528268907</v>
      </c>
      <c r="AJ130" s="484">
        <f t="shared" si="38"/>
        <v>12291.965528268907</v>
      </c>
      <c r="AK130" s="484"/>
      <c r="AL130" s="514">
        <f t="shared" si="39"/>
        <v>12291.965528268907</v>
      </c>
      <c r="AM130" s="526">
        <v>34697.161954134717</v>
      </c>
      <c r="AN130" s="485">
        <f t="shared" si="40"/>
        <v>34697.161954134717</v>
      </c>
      <c r="AO130" s="485"/>
      <c r="AP130" s="514">
        <f t="shared" si="41"/>
        <v>34697.161954134717</v>
      </c>
      <c r="AQ130" s="530">
        <f t="shared" si="42"/>
        <v>34697.161954134717</v>
      </c>
    </row>
    <row r="131" spans="1:43" x14ac:dyDescent="0.55000000000000004">
      <c r="A131" s="316" t="s">
        <v>342</v>
      </c>
      <c r="B131" s="218" t="s">
        <v>343</v>
      </c>
      <c r="C131" s="218" t="s">
        <v>346</v>
      </c>
      <c r="D131" s="105" t="s">
        <v>347</v>
      </c>
      <c r="E131" s="100"/>
      <c r="F131" s="34"/>
      <c r="G131" s="34"/>
      <c r="H131" s="480">
        <v>44904.26104030956</v>
      </c>
      <c r="I131" s="480" t="s">
        <v>413</v>
      </c>
      <c r="J131" s="486">
        <v>4</v>
      </c>
      <c r="K131" s="318"/>
      <c r="L131" s="482">
        <f t="shared" si="26"/>
        <v>0</v>
      </c>
      <c r="M131" s="482"/>
      <c r="N131" s="509">
        <f t="shared" si="27"/>
        <v>0</v>
      </c>
      <c r="O131" s="515">
        <v>15314.508419275495</v>
      </c>
      <c r="P131" s="483">
        <f t="shared" si="28"/>
        <v>15314.508419275495</v>
      </c>
      <c r="Q131" s="483"/>
      <c r="R131" s="514">
        <f t="shared" si="29"/>
        <v>15314.508419275495</v>
      </c>
      <c r="S131" s="515">
        <v>18930.163309395608</v>
      </c>
      <c r="T131" s="483">
        <f t="shared" si="30"/>
        <v>18930.163309395608</v>
      </c>
      <c r="U131" s="483"/>
      <c r="V131" s="514">
        <f t="shared" si="31"/>
        <v>18930.163309395608</v>
      </c>
      <c r="W131" s="515">
        <v>31093.426343821713</v>
      </c>
      <c r="X131" s="483">
        <f t="shared" si="32"/>
        <v>31093.426343821713</v>
      </c>
      <c r="Y131" s="483"/>
      <c r="Z131" s="514">
        <f t="shared" si="33"/>
        <v>0</v>
      </c>
      <c r="AA131" s="515">
        <v>19768.52312323873</v>
      </c>
      <c r="AB131" s="483">
        <f t="shared" si="34"/>
        <v>19768.52312323873</v>
      </c>
      <c r="AC131" s="483"/>
      <c r="AD131" s="514">
        <f t="shared" si="35"/>
        <v>19768.52312323873</v>
      </c>
      <c r="AE131" s="515">
        <v>7803</v>
      </c>
      <c r="AF131" s="483">
        <f t="shared" si="36"/>
        <v>7803</v>
      </c>
      <c r="AG131" s="483"/>
      <c r="AH131" s="514">
        <f t="shared" si="37"/>
        <v>7803</v>
      </c>
      <c r="AI131" s="520">
        <v>26343.83314364828</v>
      </c>
      <c r="AJ131" s="484">
        <f t="shared" si="38"/>
        <v>26343.83314364828</v>
      </c>
      <c r="AK131" s="484"/>
      <c r="AL131" s="514">
        <f t="shared" si="39"/>
        <v>26343.83314364828</v>
      </c>
      <c r="AM131" s="526">
        <v>42844.432552221973</v>
      </c>
      <c r="AN131" s="485">
        <f t="shared" si="40"/>
        <v>42844.432552221973</v>
      </c>
      <c r="AO131" s="485"/>
      <c r="AP131" s="514">
        <f t="shared" si="41"/>
        <v>42844.432552221973</v>
      </c>
      <c r="AQ131" s="530">
        <f t="shared" si="42"/>
        <v>42844.432552221973</v>
      </c>
    </row>
    <row r="132" spans="1:43" x14ac:dyDescent="0.55000000000000004">
      <c r="A132" s="316" t="s">
        <v>342</v>
      </c>
      <c r="B132" s="218" t="s">
        <v>343</v>
      </c>
      <c r="C132" s="218" t="s">
        <v>348</v>
      </c>
      <c r="D132" s="105" t="s">
        <v>349</v>
      </c>
      <c r="E132" s="100"/>
      <c r="F132" s="34"/>
      <c r="G132" s="34"/>
      <c r="H132" s="480">
        <v>45380.431986163101</v>
      </c>
      <c r="I132" s="480" t="s">
        <v>413</v>
      </c>
      <c r="J132" s="486">
        <v>4</v>
      </c>
      <c r="K132" s="318"/>
      <c r="L132" s="482">
        <f t="shared" ref="L132:L186" si="51">K132</f>
        <v>0</v>
      </c>
      <c r="M132" s="482"/>
      <c r="N132" s="509">
        <f t="shared" ref="N132:N195" si="52">SUM(L132:M132)</f>
        <v>0</v>
      </c>
      <c r="O132" s="515">
        <v>15635.442107160614</v>
      </c>
      <c r="P132" s="483">
        <f t="shared" ref="P132:P186" si="53">O132</f>
        <v>15635.442107160614</v>
      </c>
      <c r="Q132" s="483"/>
      <c r="R132" s="514">
        <f t="shared" ref="R132:R195" si="54">SUM(P132:Q132)</f>
        <v>15635.442107160614</v>
      </c>
      <c r="S132" s="515">
        <v>20242.562350459291</v>
      </c>
      <c r="T132" s="483">
        <f t="shared" ref="T132:T186" si="55">S132</f>
        <v>20242.562350459291</v>
      </c>
      <c r="U132" s="483"/>
      <c r="V132" s="514">
        <f t="shared" ref="V132:V195" si="56">SUM(T132:U132)</f>
        <v>20242.562350459291</v>
      </c>
      <c r="W132" s="515">
        <v>41276.978594476866</v>
      </c>
      <c r="X132" s="483">
        <f t="shared" ref="X132:X186" si="57">W132</f>
        <v>41276.978594476866</v>
      </c>
      <c r="Y132" s="483"/>
      <c r="Z132" s="514">
        <f t="shared" ref="Z132:Z195" si="58">SUM(Y132)</f>
        <v>0</v>
      </c>
      <c r="AA132" s="515">
        <v>19708.202090667717</v>
      </c>
      <c r="AB132" s="483">
        <f t="shared" ref="AB132:AB186" si="59">AA132</f>
        <v>19708.202090667717</v>
      </c>
      <c r="AC132" s="483"/>
      <c r="AD132" s="514">
        <f t="shared" ref="AD132:AD195" si="60">SUM(AB132:AC132)</f>
        <v>19708.202090667717</v>
      </c>
      <c r="AE132" s="515">
        <v>15536</v>
      </c>
      <c r="AF132" s="483">
        <f t="shared" ref="AF132:AF186" si="61">AE132</f>
        <v>15536</v>
      </c>
      <c r="AG132" s="483"/>
      <c r="AH132" s="514">
        <f t="shared" ref="AH132:AH195" si="62">SUM(AF132:AG132)</f>
        <v>15536</v>
      </c>
      <c r="AI132" s="520">
        <v>44682.271494068285</v>
      </c>
      <c r="AJ132" s="484">
        <f t="shared" ref="AJ132:AJ186" si="63">AI132</f>
        <v>44682.271494068285</v>
      </c>
      <c r="AK132" s="484"/>
      <c r="AL132" s="514">
        <f t="shared" ref="AL132:AL195" si="64">SUM(AJ132:AK132)</f>
        <v>44682.271494068285</v>
      </c>
      <c r="AM132" s="526">
        <v>15404.366820991147</v>
      </c>
      <c r="AN132" s="485">
        <f t="shared" ref="AN132:AN186" si="65">AM132</f>
        <v>15404.366820991147</v>
      </c>
      <c r="AO132" s="485"/>
      <c r="AP132" s="514">
        <f t="shared" ref="AP132:AP195" si="66">SUM(AN132:AO132)</f>
        <v>15404.366820991147</v>
      </c>
      <c r="AQ132" s="530">
        <f t="shared" ref="AQ132:AQ195" si="67">MAX(N132,R132,V132,Z132,AD132,AH132,AL132,AP132)</f>
        <v>44682.271494068285</v>
      </c>
    </row>
    <row r="133" spans="1:43" x14ac:dyDescent="0.55000000000000004">
      <c r="A133" s="316" t="s">
        <v>342</v>
      </c>
      <c r="B133" s="218" t="s">
        <v>343</v>
      </c>
      <c r="C133" s="218" t="s">
        <v>350</v>
      </c>
      <c r="D133" s="105" t="s">
        <v>351</v>
      </c>
      <c r="E133" s="100"/>
      <c r="F133" s="34"/>
      <c r="G133" s="34"/>
      <c r="H133" s="480">
        <v>117681.01108725299</v>
      </c>
      <c r="I133" s="480" t="s">
        <v>413</v>
      </c>
      <c r="J133" s="486">
        <v>5</v>
      </c>
      <c r="K133" s="318"/>
      <c r="L133" s="482">
        <f t="shared" si="51"/>
        <v>0</v>
      </c>
      <c r="M133" s="482"/>
      <c r="N133" s="509">
        <f t="shared" si="52"/>
        <v>0</v>
      </c>
      <c r="O133" s="515">
        <v>28749.294487099272</v>
      </c>
      <c r="P133" s="483">
        <f t="shared" si="53"/>
        <v>28749.294487099272</v>
      </c>
      <c r="Q133" s="483"/>
      <c r="R133" s="514">
        <f t="shared" si="54"/>
        <v>28749.294487099272</v>
      </c>
      <c r="S133" s="515">
        <v>57693.046309471312</v>
      </c>
      <c r="T133" s="483">
        <f t="shared" si="55"/>
        <v>57693.046309471312</v>
      </c>
      <c r="U133" s="483"/>
      <c r="V133" s="514">
        <f t="shared" si="56"/>
        <v>57693.046309471312</v>
      </c>
      <c r="W133" s="515">
        <v>105812.41394139855</v>
      </c>
      <c r="X133" s="483">
        <f t="shared" si="57"/>
        <v>105812.41394139855</v>
      </c>
      <c r="Y133" s="483"/>
      <c r="Z133" s="514">
        <f t="shared" si="58"/>
        <v>0</v>
      </c>
      <c r="AA133" s="515">
        <v>72667.747514712275</v>
      </c>
      <c r="AB133" s="483">
        <f t="shared" si="59"/>
        <v>72667.747514712275</v>
      </c>
      <c r="AC133" s="483"/>
      <c r="AD133" s="514">
        <f t="shared" si="60"/>
        <v>72667.747514712275</v>
      </c>
      <c r="AE133" s="515">
        <v>40354</v>
      </c>
      <c r="AF133" s="483">
        <f t="shared" si="61"/>
        <v>40354</v>
      </c>
      <c r="AG133" s="483"/>
      <c r="AH133" s="514">
        <f t="shared" si="62"/>
        <v>40354</v>
      </c>
      <c r="AI133" s="520">
        <v>39227.003695750995</v>
      </c>
      <c r="AJ133" s="484">
        <f t="shared" si="63"/>
        <v>39227.003695750995</v>
      </c>
      <c r="AK133" s="484"/>
      <c r="AL133" s="514">
        <f t="shared" si="64"/>
        <v>39227.003695750995</v>
      </c>
      <c r="AM133" s="526">
        <v>88260.758315439714</v>
      </c>
      <c r="AN133" s="485">
        <f t="shared" si="65"/>
        <v>88260.758315439714</v>
      </c>
      <c r="AO133" s="485"/>
      <c r="AP133" s="514">
        <f t="shared" si="66"/>
        <v>88260.758315439714</v>
      </c>
      <c r="AQ133" s="530">
        <f t="shared" si="67"/>
        <v>88260.758315439714</v>
      </c>
    </row>
    <row r="134" spans="1:43" x14ac:dyDescent="0.55000000000000004">
      <c r="A134" s="316" t="s">
        <v>342</v>
      </c>
      <c r="B134" s="218" t="s">
        <v>343</v>
      </c>
      <c r="C134" s="218" t="s">
        <v>352</v>
      </c>
      <c r="D134" s="105" t="s">
        <v>353</v>
      </c>
      <c r="E134" s="100"/>
      <c r="F134" s="34"/>
      <c r="G134" s="34"/>
      <c r="H134" s="480">
        <v>54056.787582147139</v>
      </c>
      <c r="I134" s="480" t="s">
        <v>413</v>
      </c>
      <c r="J134" s="486">
        <v>4</v>
      </c>
      <c r="K134" s="318"/>
      <c r="L134" s="482">
        <f t="shared" si="51"/>
        <v>0</v>
      </c>
      <c r="M134" s="482"/>
      <c r="N134" s="509">
        <f t="shared" si="52"/>
        <v>0</v>
      </c>
      <c r="O134" s="515">
        <v>18618.536091374819</v>
      </c>
      <c r="P134" s="483">
        <f t="shared" si="53"/>
        <v>18618.536091374819</v>
      </c>
      <c r="Q134" s="483"/>
      <c r="R134" s="514">
        <f t="shared" si="54"/>
        <v>18618.536091374819</v>
      </c>
      <c r="S134" s="515">
        <v>21954.392708159565</v>
      </c>
      <c r="T134" s="483">
        <f t="shared" si="55"/>
        <v>21954.392708159565</v>
      </c>
      <c r="U134" s="483"/>
      <c r="V134" s="514">
        <f t="shared" si="56"/>
        <v>21954.392708159565</v>
      </c>
      <c r="W134" s="515">
        <v>35213.296640527828</v>
      </c>
      <c r="X134" s="483">
        <f t="shared" si="57"/>
        <v>35213.296640527828</v>
      </c>
      <c r="Y134" s="483"/>
      <c r="Z134" s="514">
        <f t="shared" si="58"/>
        <v>0</v>
      </c>
      <c r="AA134" s="515">
        <v>30749.321701969897</v>
      </c>
      <c r="AB134" s="483">
        <f t="shared" si="59"/>
        <v>30749.321701969897</v>
      </c>
      <c r="AC134" s="483"/>
      <c r="AD134" s="514">
        <f t="shared" si="60"/>
        <v>30749.321701969897</v>
      </c>
      <c r="AE134" s="515">
        <v>17593</v>
      </c>
      <c r="AF134" s="483">
        <f t="shared" si="61"/>
        <v>17593</v>
      </c>
      <c r="AG134" s="483"/>
      <c r="AH134" s="514">
        <f t="shared" si="62"/>
        <v>17593</v>
      </c>
      <c r="AI134" s="520">
        <v>29939.143891650725</v>
      </c>
      <c r="AJ134" s="484">
        <f t="shared" si="63"/>
        <v>29939.143891650725</v>
      </c>
      <c r="AK134" s="484"/>
      <c r="AL134" s="514">
        <f t="shared" si="64"/>
        <v>29939.143891650725</v>
      </c>
      <c r="AM134" s="526">
        <v>27028.393791073569</v>
      </c>
      <c r="AN134" s="485">
        <f t="shared" si="65"/>
        <v>27028.393791073569</v>
      </c>
      <c r="AO134" s="485"/>
      <c r="AP134" s="514">
        <f t="shared" si="66"/>
        <v>27028.393791073569</v>
      </c>
      <c r="AQ134" s="530">
        <f t="shared" si="67"/>
        <v>30749.321701969897</v>
      </c>
    </row>
    <row r="135" spans="1:43" x14ac:dyDescent="0.55000000000000004">
      <c r="A135" s="316" t="s">
        <v>342</v>
      </c>
      <c r="B135" s="218" t="s">
        <v>343</v>
      </c>
      <c r="C135" s="218" t="s">
        <v>354</v>
      </c>
      <c r="D135" s="105" t="s">
        <v>355</v>
      </c>
      <c r="E135" s="100"/>
      <c r="F135" s="34"/>
      <c r="G135" s="34"/>
      <c r="H135" s="480">
        <v>75995.604930880276</v>
      </c>
      <c r="I135" s="480" t="s">
        <v>413</v>
      </c>
      <c r="J135" s="486">
        <v>3</v>
      </c>
      <c r="K135" s="318"/>
      <c r="L135" s="482"/>
      <c r="M135" s="482">
        <f t="shared" ref="M135:M195" si="68">K135/2</f>
        <v>0</v>
      </c>
      <c r="N135" s="509">
        <f t="shared" si="52"/>
        <v>0</v>
      </c>
      <c r="O135" s="515">
        <v>14283.00916785528</v>
      </c>
      <c r="P135" s="483"/>
      <c r="Q135" s="483">
        <f t="shared" ref="Q135:Q195" si="69">O135/2</f>
        <v>7141.5045839276399</v>
      </c>
      <c r="R135" s="514">
        <f t="shared" si="54"/>
        <v>7141.5045839276399</v>
      </c>
      <c r="S135" s="515">
        <v>31687.001788830639</v>
      </c>
      <c r="T135" s="483"/>
      <c r="U135" s="483">
        <f t="shared" ref="U135:U195" si="70">S135/2</f>
        <v>15843.50089441532</v>
      </c>
      <c r="V135" s="514">
        <f t="shared" si="56"/>
        <v>15843.50089441532</v>
      </c>
      <c r="W135" s="515">
        <v>45448.176430672487</v>
      </c>
      <c r="X135" s="483"/>
      <c r="Y135" s="483">
        <f t="shared" ref="Y135:Y195" si="71">W135/2</f>
        <v>22724.088215336244</v>
      </c>
      <c r="Z135" s="514">
        <f t="shared" si="58"/>
        <v>22724.088215336244</v>
      </c>
      <c r="AA135" s="515">
        <v>33325.761868302005</v>
      </c>
      <c r="AB135" s="483"/>
      <c r="AC135" s="483">
        <f t="shared" ref="AC135:AC195" si="72">AA135/2</f>
        <v>16662.880934151002</v>
      </c>
      <c r="AD135" s="514">
        <f t="shared" si="60"/>
        <v>16662.880934151002</v>
      </c>
      <c r="AE135" s="515">
        <v>28182</v>
      </c>
      <c r="AF135" s="483"/>
      <c r="AG135" s="483">
        <f t="shared" ref="AG135:AG195" si="73">AE135/2</f>
        <v>14091</v>
      </c>
      <c r="AH135" s="514">
        <f t="shared" si="62"/>
        <v>14091</v>
      </c>
      <c r="AI135" s="520">
        <v>21566.320318222781</v>
      </c>
      <c r="AJ135" s="484"/>
      <c r="AK135" s="484">
        <f t="shared" ref="AK135:AK195" si="74">AI135/2</f>
        <v>10783.16015911139</v>
      </c>
      <c r="AL135" s="514">
        <f t="shared" si="64"/>
        <v>10783.16015911139</v>
      </c>
      <c r="AM135" s="526">
        <v>61218.681749875781</v>
      </c>
      <c r="AN135" s="485"/>
      <c r="AO135" s="485">
        <f t="shared" ref="AO135:AO195" si="75">AM135/2</f>
        <v>30609.34087493789</v>
      </c>
      <c r="AP135" s="514">
        <f t="shared" si="66"/>
        <v>30609.34087493789</v>
      </c>
      <c r="AQ135" s="530">
        <f t="shared" si="67"/>
        <v>30609.34087493789</v>
      </c>
    </row>
    <row r="136" spans="1:43" x14ac:dyDescent="0.55000000000000004">
      <c r="A136" s="316" t="s">
        <v>342</v>
      </c>
      <c r="B136" s="218" t="s">
        <v>343</v>
      </c>
      <c r="C136" s="218" t="s">
        <v>356</v>
      </c>
      <c r="D136" s="105" t="s">
        <v>357</v>
      </c>
      <c r="E136" s="100"/>
      <c r="F136" s="34"/>
      <c r="G136" s="34"/>
      <c r="H136" s="480">
        <v>123133.14998785798</v>
      </c>
      <c r="I136" s="480" t="s">
        <v>413</v>
      </c>
      <c r="J136" s="486">
        <v>4</v>
      </c>
      <c r="K136" s="318"/>
      <c r="L136" s="482">
        <f t="shared" si="51"/>
        <v>0</v>
      </c>
      <c r="M136" s="482"/>
      <c r="N136" s="509">
        <f t="shared" si="52"/>
        <v>0</v>
      </c>
      <c r="O136" s="515">
        <v>3450.0923561397899</v>
      </c>
      <c r="P136" s="483">
        <f t="shared" si="53"/>
        <v>3450.0923561397899</v>
      </c>
      <c r="Q136" s="483"/>
      <c r="R136" s="514">
        <f t="shared" si="54"/>
        <v>3450.0923561397899</v>
      </c>
      <c r="S136" s="515">
        <v>58931.909938574638</v>
      </c>
      <c r="T136" s="483">
        <f t="shared" si="55"/>
        <v>58931.909938574638</v>
      </c>
      <c r="U136" s="483"/>
      <c r="V136" s="514">
        <f t="shared" si="56"/>
        <v>58931.909938574638</v>
      </c>
      <c r="W136" s="515">
        <v>99663.380026948871</v>
      </c>
      <c r="X136" s="483">
        <f t="shared" si="57"/>
        <v>99663.380026948871</v>
      </c>
      <c r="Y136" s="483"/>
      <c r="Z136" s="514">
        <f t="shared" si="58"/>
        <v>0</v>
      </c>
      <c r="AA136" s="515">
        <v>83200.762816185612</v>
      </c>
      <c r="AB136" s="483">
        <f t="shared" si="59"/>
        <v>83200.762816185612</v>
      </c>
      <c r="AC136" s="483"/>
      <c r="AD136" s="514">
        <f t="shared" si="60"/>
        <v>83200.762816185612</v>
      </c>
      <c r="AE136" s="515">
        <v>21613</v>
      </c>
      <c r="AF136" s="483">
        <f t="shared" si="61"/>
        <v>21613</v>
      </c>
      <c r="AG136" s="483"/>
      <c r="AH136" s="514">
        <f t="shared" si="62"/>
        <v>21613</v>
      </c>
      <c r="AI136" s="520">
        <v>75081.189016986566</v>
      </c>
      <c r="AJ136" s="484">
        <f t="shared" si="63"/>
        <v>75081.189016986566</v>
      </c>
      <c r="AK136" s="484"/>
      <c r="AL136" s="514">
        <f t="shared" si="64"/>
        <v>75081.189016986566</v>
      </c>
      <c r="AM136" s="526">
        <v>97619.073864247752</v>
      </c>
      <c r="AN136" s="485">
        <f t="shared" si="65"/>
        <v>97619.073864247752</v>
      </c>
      <c r="AO136" s="485"/>
      <c r="AP136" s="514">
        <f t="shared" si="66"/>
        <v>97619.073864247752</v>
      </c>
      <c r="AQ136" s="530">
        <f t="shared" si="67"/>
        <v>97619.073864247752</v>
      </c>
    </row>
    <row r="137" spans="1:43" x14ac:dyDescent="0.55000000000000004">
      <c r="A137" s="316" t="s">
        <v>342</v>
      </c>
      <c r="B137" s="218" t="s">
        <v>343</v>
      </c>
      <c r="C137" s="218" t="s">
        <v>358</v>
      </c>
      <c r="D137" s="105" t="s">
        <v>359</v>
      </c>
      <c r="E137" s="100"/>
      <c r="F137" s="34"/>
      <c r="G137" s="34"/>
      <c r="H137" s="480">
        <v>55774.82852003994</v>
      </c>
      <c r="I137" s="480" t="s">
        <v>413</v>
      </c>
      <c r="J137" s="486">
        <v>3</v>
      </c>
      <c r="K137" s="318"/>
      <c r="L137" s="482"/>
      <c r="M137" s="482">
        <f t="shared" si="68"/>
        <v>0</v>
      </c>
      <c r="N137" s="509">
        <f t="shared" si="52"/>
        <v>0</v>
      </c>
      <c r="O137" s="515">
        <v>5999.5867542436563</v>
      </c>
      <c r="P137" s="483"/>
      <c r="Q137" s="483">
        <f t="shared" si="69"/>
        <v>2999.7933771218281</v>
      </c>
      <c r="R137" s="514">
        <f t="shared" si="54"/>
        <v>2999.7933771218281</v>
      </c>
      <c r="S137" s="515">
        <v>27573.635613553237</v>
      </c>
      <c r="T137" s="483"/>
      <c r="U137" s="483">
        <f t="shared" si="70"/>
        <v>13786.817806776618</v>
      </c>
      <c r="V137" s="514">
        <f t="shared" si="56"/>
        <v>13786.817806776618</v>
      </c>
      <c r="W137" s="515">
        <v>39225.067733394935</v>
      </c>
      <c r="X137" s="483"/>
      <c r="Y137" s="483">
        <f t="shared" si="71"/>
        <v>19612.533866697468</v>
      </c>
      <c r="Z137" s="514">
        <f t="shared" si="58"/>
        <v>19612.533866697468</v>
      </c>
      <c r="AA137" s="515">
        <v>27508.850619592082</v>
      </c>
      <c r="AB137" s="483"/>
      <c r="AC137" s="483">
        <f t="shared" si="72"/>
        <v>13754.425309796041</v>
      </c>
      <c r="AD137" s="514">
        <f t="shared" si="60"/>
        <v>13754.425309796041</v>
      </c>
      <c r="AE137" s="515">
        <v>19633</v>
      </c>
      <c r="AF137" s="483"/>
      <c r="AG137" s="483">
        <f t="shared" si="73"/>
        <v>9816.5</v>
      </c>
      <c r="AH137" s="514">
        <f t="shared" si="62"/>
        <v>9816.5</v>
      </c>
      <c r="AI137" s="520">
        <v>0</v>
      </c>
      <c r="AJ137" s="484"/>
      <c r="AK137" s="484">
        <f t="shared" si="74"/>
        <v>0</v>
      </c>
      <c r="AL137" s="514">
        <f t="shared" si="64"/>
        <v>0</v>
      </c>
      <c r="AM137" s="526">
        <v>46995.45736410773</v>
      </c>
      <c r="AN137" s="485"/>
      <c r="AO137" s="485">
        <f t="shared" si="75"/>
        <v>23497.728682053865</v>
      </c>
      <c r="AP137" s="514">
        <f t="shared" si="66"/>
        <v>23497.728682053865</v>
      </c>
      <c r="AQ137" s="530">
        <f t="shared" si="67"/>
        <v>23497.728682053865</v>
      </c>
    </row>
    <row r="138" spans="1:43" x14ac:dyDescent="0.55000000000000004">
      <c r="A138" s="316" t="s">
        <v>342</v>
      </c>
      <c r="B138" s="218" t="s">
        <v>343</v>
      </c>
      <c r="C138" s="218" t="s">
        <v>360</v>
      </c>
      <c r="D138" s="105" t="s">
        <v>361</v>
      </c>
      <c r="E138" s="100"/>
      <c r="F138" s="34"/>
      <c r="G138" s="34"/>
      <c r="H138" s="480">
        <v>84237.505871052446</v>
      </c>
      <c r="I138" s="480" t="s">
        <v>413</v>
      </c>
      <c r="J138" s="486">
        <v>3</v>
      </c>
      <c r="K138" s="318"/>
      <c r="L138" s="482"/>
      <c r="M138" s="482">
        <f t="shared" si="68"/>
        <v>0</v>
      </c>
      <c r="N138" s="509">
        <f t="shared" si="52"/>
        <v>0</v>
      </c>
      <c r="O138" s="515">
        <v>17955.502360184204</v>
      </c>
      <c r="P138" s="483"/>
      <c r="Q138" s="483">
        <f t="shared" si="69"/>
        <v>8977.751180092102</v>
      </c>
      <c r="R138" s="514">
        <f t="shared" si="54"/>
        <v>8977.751180092102</v>
      </c>
      <c r="S138" s="515">
        <v>39291.668651767097</v>
      </c>
      <c r="T138" s="483"/>
      <c r="U138" s="483">
        <f t="shared" si="70"/>
        <v>19645.834325883548</v>
      </c>
      <c r="V138" s="514">
        <f t="shared" si="56"/>
        <v>19645.834325883548</v>
      </c>
      <c r="W138" s="515">
        <v>56401.700934591106</v>
      </c>
      <c r="X138" s="483"/>
      <c r="Y138" s="483">
        <f t="shared" si="71"/>
        <v>28200.850467295553</v>
      </c>
      <c r="Z138" s="514">
        <f t="shared" si="58"/>
        <v>28200.850467295553</v>
      </c>
      <c r="AA138" s="515">
        <v>41012.649567676861</v>
      </c>
      <c r="AB138" s="483"/>
      <c r="AC138" s="483">
        <f t="shared" si="72"/>
        <v>20506.32478383843</v>
      </c>
      <c r="AD138" s="514">
        <f t="shared" si="60"/>
        <v>20506.32478383843</v>
      </c>
      <c r="AE138" s="515">
        <v>28577</v>
      </c>
      <c r="AF138" s="483"/>
      <c r="AG138" s="483">
        <f t="shared" si="73"/>
        <v>14288.5</v>
      </c>
      <c r="AH138" s="514">
        <f t="shared" si="62"/>
        <v>14288.5</v>
      </c>
      <c r="AI138" s="520">
        <v>36802.793827158835</v>
      </c>
      <c r="AJ138" s="484"/>
      <c r="AK138" s="484">
        <f t="shared" si="74"/>
        <v>18401.396913579418</v>
      </c>
      <c r="AL138" s="514">
        <f t="shared" si="64"/>
        <v>18401.396913579418</v>
      </c>
      <c r="AM138" s="526">
        <v>7799.7690621344855</v>
      </c>
      <c r="AN138" s="485"/>
      <c r="AO138" s="485">
        <f t="shared" si="75"/>
        <v>3899.8845310672427</v>
      </c>
      <c r="AP138" s="514">
        <f t="shared" si="66"/>
        <v>3899.8845310672427</v>
      </c>
      <c r="AQ138" s="530">
        <f t="shared" si="67"/>
        <v>28200.850467295553</v>
      </c>
    </row>
    <row r="139" spans="1:43" x14ac:dyDescent="0.55000000000000004">
      <c r="A139" s="316" t="s">
        <v>342</v>
      </c>
      <c r="B139" s="218" t="s">
        <v>343</v>
      </c>
      <c r="C139" s="218" t="s">
        <v>362</v>
      </c>
      <c r="D139" s="105" t="s">
        <v>363</v>
      </c>
      <c r="E139" s="100"/>
      <c r="F139" s="34"/>
      <c r="G139" s="34"/>
      <c r="H139" s="480">
        <v>39623.047823684894</v>
      </c>
      <c r="I139" s="480" t="s">
        <v>413</v>
      </c>
      <c r="J139" s="486">
        <v>4</v>
      </c>
      <c r="K139" s="318"/>
      <c r="L139" s="482">
        <f t="shared" si="51"/>
        <v>0</v>
      </c>
      <c r="M139" s="482"/>
      <c r="N139" s="509">
        <f t="shared" si="52"/>
        <v>0</v>
      </c>
      <c r="O139" s="515">
        <v>3277.2936069830607</v>
      </c>
      <c r="P139" s="483">
        <f t="shared" si="53"/>
        <v>3277.2936069830607</v>
      </c>
      <c r="Q139" s="483"/>
      <c r="R139" s="514">
        <f t="shared" si="54"/>
        <v>3277.2936069830607</v>
      </c>
      <c r="S139" s="515">
        <v>25107.265017137095</v>
      </c>
      <c r="T139" s="483">
        <f t="shared" si="55"/>
        <v>25107.265017137095</v>
      </c>
      <c r="U139" s="483"/>
      <c r="V139" s="514">
        <f t="shared" si="56"/>
        <v>25107.265017137095</v>
      </c>
      <c r="W139" s="515">
        <v>33263.474890030957</v>
      </c>
      <c r="X139" s="483">
        <f t="shared" si="57"/>
        <v>33263.474890030957</v>
      </c>
      <c r="Y139" s="483"/>
      <c r="Z139" s="514">
        <f t="shared" si="58"/>
        <v>0</v>
      </c>
      <c r="AA139" s="515">
        <v>24087.385048567459</v>
      </c>
      <c r="AB139" s="483">
        <f t="shared" si="59"/>
        <v>24087.385048567459</v>
      </c>
      <c r="AC139" s="483"/>
      <c r="AD139" s="514">
        <f t="shared" si="60"/>
        <v>24087.385048567459</v>
      </c>
      <c r="AE139" s="515">
        <v>13541</v>
      </c>
      <c r="AF139" s="483">
        <f t="shared" si="61"/>
        <v>13541</v>
      </c>
      <c r="AG139" s="483"/>
      <c r="AH139" s="514">
        <f t="shared" si="62"/>
        <v>13541</v>
      </c>
      <c r="AI139" s="520">
        <v>27853.825697837899</v>
      </c>
      <c r="AJ139" s="484">
        <f t="shared" si="63"/>
        <v>27853.825697837899</v>
      </c>
      <c r="AK139" s="484"/>
      <c r="AL139" s="514">
        <f t="shared" si="64"/>
        <v>27853.825697837899</v>
      </c>
      <c r="AM139" s="526">
        <v>37822.000195335575</v>
      </c>
      <c r="AN139" s="485">
        <f t="shared" si="65"/>
        <v>37822.000195335575</v>
      </c>
      <c r="AO139" s="485"/>
      <c r="AP139" s="514">
        <f t="shared" si="66"/>
        <v>37822.000195335575</v>
      </c>
      <c r="AQ139" s="530">
        <f t="shared" si="67"/>
        <v>37822.000195335575</v>
      </c>
    </row>
    <row r="140" spans="1:43" x14ac:dyDescent="0.55000000000000004">
      <c r="A140" s="316" t="s">
        <v>342</v>
      </c>
      <c r="B140" s="218" t="s">
        <v>343</v>
      </c>
      <c r="C140" s="218" t="s">
        <v>364</v>
      </c>
      <c r="D140" s="105" t="s">
        <v>365</v>
      </c>
      <c r="E140" s="100"/>
      <c r="F140" s="34"/>
      <c r="G140" s="34"/>
      <c r="H140" s="480">
        <v>208923.05518722511</v>
      </c>
      <c r="I140" s="480" t="s">
        <v>413</v>
      </c>
      <c r="J140" s="486">
        <v>4</v>
      </c>
      <c r="K140" s="318"/>
      <c r="L140" s="482">
        <f t="shared" si="51"/>
        <v>0</v>
      </c>
      <c r="M140" s="482"/>
      <c r="N140" s="509">
        <f t="shared" si="52"/>
        <v>0</v>
      </c>
      <c r="O140" s="515">
        <v>38264.257557540281</v>
      </c>
      <c r="P140" s="483">
        <f t="shared" si="53"/>
        <v>38264.257557540281</v>
      </c>
      <c r="Q140" s="483"/>
      <c r="R140" s="514">
        <f t="shared" si="54"/>
        <v>38264.257557540281</v>
      </c>
      <c r="S140" s="515">
        <v>81229.978090916178</v>
      </c>
      <c r="T140" s="483">
        <f t="shared" si="55"/>
        <v>81229.978090916178</v>
      </c>
      <c r="U140" s="483"/>
      <c r="V140" s="514">
        <f t="shared" si="56"/>
        <v>81229.978090916178</v>
      </c>
      <c r="W140" s="515">
        <v>139713.06019309364</v>
      </c>
      <c r="X140" s="483">
        <f t="shared" si="57"/>
        <v>139713.06019309364</v>
      </c>
      <c r="Y140" s="483"/>
      <c r="Z140" s="514">
        <f t="shared" si="58"/>
        <v>0</v>
      </c>
      <c r="AA140" s="515">
        <v>88283.247526447769</v>
      </c>
      <c r="AB140" s="483">
        <f t="shared" si="59"/>
        <v>88283.247526447769</v>
      </c>
      <c r="AC140" s="483"/>
      <c r="AD140" s="514">
        <f t="shared" si="60"/>
        <v>88283.247526447769</v>
      </c>
      <c r="AE140" s="515">
        <v>73541</v>
      </c>
      <c r="AF140" s="483">
        <f t="shared" si="61"/>
        <v>73541</v>
      </c>
      <c r="AG140" s="483"/>
      <c r="AH140" s="514">
        <f t="shared" si="62"/>
        <v>73541</v>
      </c>
      <c r="AI140" s="520">
        <v>43983.80109204739</v>
      </c>
      <c r="AJ140" s="484">
        <f t="shared" si="63"/>
        <v>43983.80109204739</v>
      </c>
      <c r="AK140" s="484"/>
      <c r="AL140" s="514">
        <f t="shared" si="64"/>
        <v>43983.80109204739</v>
      </c>
      <c r="AM140" s="526">
        <v>100592.58212718245</v>
      </c>
      <c r="AN140" s="485">
        <f t="shared" si="65"/>
        <v>100592.58212718245</v>
      </c>
      <c r="AO140" s="485"/>
      <c r="AP140" s="514">
        <f t="shared" si="66"/>
        <v>100592.58212718245</v>
      </c>
      <c r="AQ140" s="530">
        <f t="shared" si="67"/>
        <v>100592.58212718245</v>
      </c>
    </row>
    <row r="141" spans="1:43" x14ac:dyDescent="0.55000000000000004">
      <c r="A141" s="316" t="s">
        <v>342</v>
      </c>
      <c r="B141" s="218" t="s">
        <v>343</v>
      </c>
      <c r="C141" s="218" t="s">
        <v>366</v>
      </c>
      <c r="D141" s="105" t="s">
        <v>367</v>
      </c>
      <c r="E141" s="100"/>
      <c r="F141" s="34"/>
      <c r="G141" s="34"/>
      <c r="H141" s="480">
        <v>68673.985334433135</v>
      </c>
      <c r="I141" s="480" t="s">
        <v>413</v>
      </c>
      <c r="J141" s="486">
        <v>5</v>
      </c>
      <c r="K141" s="318"/>
      <c r="L141" s="482">
        <f t="shared" si="51"/>
        <v>0</v>
      </c>
      <c r="M141" s="482"/>
      <c r="N141" s="509">
        <f t="shared" si="52"/>
        <v>0</v>
      </c>
      <c r="O141" s="515">
        <v>22309.43087574395</v>
      </c>
      <c r="P141" s="483">
        <f t="shared" si="53"/>
        <v>22309.43087574395</v>
      </c>
      <c r="Q141" s="483"/>
      <c r="R141" s="514">
        <f t="shared" si="54"/>
        <v>22309.43087574395</v>
      </c>
      <c r="S141" s="515">
        <v>32382.269370221249</v>
      </c>
      <c r="T141" s="483">
        <f t="shared" si="55"/>
        <v>32382.269370221249</v>
      </c>
      <c r="U141" s="483"/>
      <c r="V141" s="514">
        <f t="shared" si="56"/>
        <v>32382.269370221249</v>
      </c>
      <c r="W141" s="515">
        <v>59789.271074592936</v>
      </c>
      <c r="X141" s="483">
        <f t="shared" si="57"/>
        <v>59789.271074592936</v>
      </c>
      <c r="Y141" s="483"/>
      <c r="Z141" s="514">
        <f t="shared" si="58"/>
        <v>0</v>
      </c>
      <c r="AA141" s="515">
        <v>44273.148190082211</v>
      </c>
      <c r="AB141" s="483">
        <f t="shared" si="59"/>
        <v>44273.148190082211</v>
      </c>
      <c r="AC141" s="483"/>
      <c r="AD141" s="514">
        <f t="shared" si="60"/>
        <v>44273.148190082211</v>
      </c>
      <c r="AE141" s="515">
        <v>11369</v>
      </c>
      <c r="AF141" s="483">
        <f t="shared" si="61"/>
        <v>11369</v>
      </c>
      <c r="AG141" s="483"/>
      <c r="AH141" s="514">
        <f t="shared" si="62"/>
        <v>11369</v>
      </c>
      <c r="AI141" s="520">
        <v>29801.918163999289</v>
      </c>
      <c r="AJ141" s="484">
        <f t="shared" si="63"/>
        <v>29801.918163999289</v>
      </c>
      <c r="AK141" s="484"/>
      <c r="AL141" s="514">
        <f t="shared" si="64"/>
        <v>29801.918163999289</v>
      </c>
      <c r="AM141" s="526">
        <v>51505.489000824855</v>
      </c>
      <c r="AN141" s="485">
        <f t="shared" si="65"/>
        <v>51505.489000824855</v>
      </c>
      <c r="AO141" s="485"/>
      <c r="AP141" s="514">
        <f t="shared" si="66"/>
        <v>51505.489000824855</v>
      </c>
      <c r="AQ141" s="530">
        <f t="shared" si="67"/>
        <v>51505.489000824855</v>
      </c>
    </row>
    <row r="142" spans="1:43" x14ac:dyDescent="0.55000000000000004">
      <c r="A142" s="316" t="s">
        <v>368</v>
      </c>
      <c r="B142" s="218" t="s">
        <v>369</v>
      </c>
      <c r="C142" s="218" t="s">
        <v>370</v>
      </c>
      <c r="D142" s="105" t="s">
        <v>371</v>
      </c>
      <c r="E142" s="100"/>
      <c r="F142" s="34"/>
      <c r="G142" s="34"/>
      <c r="H142" s="480">
        <v>66451.811981503241</v>
      </c>
      <c r="I142" s="480" t="s">
        <v>413</v>
      </c>
      <c r="J142" s="486">
        <v>3</v>
      </c>
      <c r="K142" s="318"/>
      <c r="L142" s="482"/>
      <c r="M142" s="482">
        <f t="shared" si="68"/>
        <v>0</v>
      </c>
      <c r="N142" s="509">
        <f t="shared" si="52"/>
        <v>0</v>
      </c>
      <c r="O142" s="515">
        <v>12506.231014918911</v>
      </c>
      <c r="P142" s="483"/>
      <c r="Q142" s="483">
        <f t="shared" si="69"/>
        <v>6253.1155074594553</v>
      </c>
      <c r="R142" s="514">
        <f t="shared" si="54"/>
        <v>6253.1155074594553</v>
      </c>
      <c r="S142" s="515">
        <v>31059.156167903904</v>
      </c>
      <c r="T142" s="483"/>
      <c r="U142" s="483">
        <f t="shared" si="70"/>
        <v>15529.578083951952</v>
      </c>
      <c r="V142" s="514">
        <f t="shared" si="56"/>
        <v>15529.578083951952</v>
      </c>
      <c r="W142" s="515">
        <v>38920.789012075693</v>
      </c>
      <c r="X142" s="483"/>
      <c r="Y142" s="483">
        <f t="shared" si="71"/>
        <v>19460.394506037846</v>
      </c>
      <c r="Z142" s="514">
        <f t="shared" si="58"/>
        <v>19460.394506037846</v>
      </c>
      <c r="AA142" s="515">
        <v>31977.818219906374</v>
      </c>
      <c r="AB142" s="483"/>
      <c r="AC142" s="483">
        <f t="shared" si="72"/>
        <v>15988.909109953187</v>
      </c>
      <c r="AD142" s="514">
        <f t="shared" si="60"/>
        <v>15988.909109953187</v>
      </c>
      <c r="AE142" s="515">
        <v>11294</v>
      </c>
      <c r="AF142" s="483"/>
      <c r="AG142" s="483">
        <f t="shared" si="73"/>
        <v>5647</v>
      </c>
      <c r="AH142" s="514">
        <f t="shared" si="62"/>
        <v>5647</v>
      </c>
      <c r="AI142" s="520">
        <v>26271.646597338491</v>
      </c>
      <c r="AJ142" s="484"/>
      <c r="AK142" s="484">
        <f t="shared" si="74"/>
        <v>13135.823298669246</v>
      </c>
      <c r="AL142" s="514">
        <f t="shared" si="64"/>
        <v>13135.823298669246</v>
      </c>
      <c r="AM142" s="526">
        <v>22150.603993834415</v>
      </c>
      <c r="AN142" s="485"/>
      <c r="AO142" s="485">
        <f t="shared" si="75"/>
        <v>11075.301996917207</v>
      </c>
      <c r="AP142" s="514">
        <f t="shared" si="66"/>
        <v>11075.301996917207</v>
      </c>
      <c r="AQ142" s="530">
        <f t="shared" si="67"/>
        <v>19460.394506037846</v>
      </c>
    </row>
    <row r="143" spans="1:43" x14ac:dyDescent="0.55000000000000004">
      <c r="A143" s="316" t="s">
        <v>368</v>
      </c>
      <c r="B143" s="218" t="s">
        <v>369</v>
      </c>
      <c r="C143" s="218" t="s">
        <v>372</v>
      </c>
      <c r="D143" s="105" t="s">
        <v>373</v>
      </c>
      <c r="E143" s="100"/>
      <c r="F143" s="34"/>
      <c r="G143" s="34"/>
      <c r="H143" s="480">
        <v>175059.60932121321</v>
      </c>
      <c r="I143" s="480" t="s">
        <v>413</v>
      </c>
      <c r="J143" s="486">
        <v>3</v>
      </c>
      <c r="K143" s="318"/>
      <c r="L143" s="482"/>
      <c r="M143" s="482">
        <f t="shared" si="68"/>
        <v>0</v>
      </c>
      <c r="N143" s="509">
        <f t="shared" si="52"/>
        <v>0</v>
      </c>
      <c r="O143" s="515">
        <v>39838.122727658229</v>
      </c>
      <c r="P143" s="483"/>
      <c r="Q143" s="483">
        <f t="shared" si="69"/>
        <v>19919.061363829114</v>
      </c>
      <c r="R143" s="514">
        <f t="shared" si="54"/>
        <v>19919.061363829114</v>
      </c>
      <c r="S143" s="515">
        <v>82753.758453595903</v>
      </c>
      <c r="T143" s="483"/>
      <c r="U143" s="483">
        <f t="shared" si="70"/>
        <v>41376.879226797952</v>
      </c>
      <c r="V143" s="514">
        <f t="shared" si="56"/>
        <v>41376.879226797952</v>
      </c>
      <c r="W143" s="515">
        <v>93064.484746472765</v>
      </c>
      <c r="X143" s="483"/>
      <c r="Y143" s="483">
        <f t="shared" si="71"/>
        <v>46532.242373236382</v>
      </c>
      <c r="Z143" s="514">
        <f t="shared" si="58"/>
        <v>46532.242373236382</v>
      </c>
      <c r="AA143" s="515">
        <v>88745.812972787884</v>
      </c>
      <c r="AB143" s="483"/>
      <c r="AC143" s="483">
        <f t="shared" si="72"/>
        <v>44372.906486393942</v>
      </c>
      <c r="AD143" s="514">
        <f t="shared" si="60"/>
        <v>44372.906486393942</v>
      </c>
      <c r="AE143" s="515">
        <v>60142</v>
      </c>
      <c r="AF143" s="483"/>
      <c r="AG143" s="483">
        <f t="shared" si="73"/>
        <v>30071</v>
      </c>
      <c r="AH143" s="514">
        <f t="shared" si="62"/>
        <v>30071</v>
      </c>
      <c r="AI143" s="520">
        <v>61424.424323232699</v>
      </c>
      <c r="AJ143" s="484"/>
      <c r="AK143" s="484">
        <f t="shared" si="74"/>
        <v>30712.212161616349</v>
      </c>
      <c r="AL143" s="514">
        <f t="shared" si="64"/>
        <v>30712.212161616349</v>
      </c>
      <c r="AM143" s="526">
        <v>87529.804660606605</v>
      </c>
      <c r="AN143" s="485"/>
      <c r="AO143" s="485">
        <f t="shared" si="75"/>
        <v>43764.902330303303</v>
      </c>
      <c r="AP143" s="514">
        <f t="shared" si="66"/>
        <v>43764.902330303303</v>
      </c>
      <c r="AQ143" s="530">
        <f t="shared" si="67"/>
        <v>46532.242373236382</v>
      </c>
    </row>
    <row r="144" spans="1:43" x14ac:dyDescent="0.55000000000000004">
      <c r="A144" s="316" t="s">
        <v>368</v>
      </c>
      <c r="B144" s="218" t="s">
        <v>369</v>
      </c>
      <c r="C144" s="218" t="s">
        <v>374</v>
      </c>
      <c r="D144" s="105" t="s">
        <v>375</v>
      </c>
      <c r="E144" s="100"/>
      <c r="F144" s="34"/>
      <c r="G144" s="34"/>
      <c r="H144" s="480">
        <v>118674.00478882086</v>
      </c>
      <c r="I144" s="480" t="s">
        <v>413</v>
      </c>
      <c r="J144" s="486">
        <v>4</v>
      </c>
      <c r="K144" s="318"/>
      <c r="L144" s="482">
        <f t="shared" si="51"/>
        <v>0</v>
      </c>
      <c r="M144" s="482"/>
      <c r="N144" s="509">
        <f t="shared" si="52"/>
        <v>0</v>
      </c>
      <c r="O144" s="515">
        <v>38823.275009425401</v>
      </c>
      <c r="P144" s="483">
        <f t="shared" si="53"/>
        <v>38823.275009425401</v>
      </c>
      <c r="Q144" s="483"/>
      <c r="R144" s="514">
        <f t="shared" si="54"/>
        <v>38823.275009425401</v>
      </c>
      <c r="S144" s="515">
        <v>66304.246767566918</v>
      </c>
      <c r="T144" s="483">
        <f t="shared" si="55"/>
        <v>66304.246767566918</v>
      </c>
      <c r="U144" s="483"/>
      <c r="V144" s="514">
        <f t="shared" si="56"/>
        <v>66304.246767566918</v>
      </c>
      <c r="W144" s="515">
        <v>87510.12561893872</v>
      </c>
      <c r="X144" s="483">
        <f t="shared" si="57"/>
        <v>87510.12561893872</v>
      </c>
      <c r="Y144" s="483"/>
      <c r="Z144" s="514">
        <f t="shared" si="58"/>
        <v>0</v>
      </c>
      <c r="AA144" s="515">
        <v>50763.66976398851</v>
      </c>
      <c r="AB144" s="483">
        <f t="shared" si="59"/>
        <v>50763.66976398851</v>
      </c>
      <c r="AC144" s="483"/>
      <c r="AD144" s="514">
        <f t="shared" si="60"/>
        <v>50763.66976398851</v>
      </c>
      <c r="AE144" s="515">
        <v>40780</v>
      </c>
      <c r="AF144" s="483">
        <f t="shared" si="61"/>
        <v>40780</v>
      </c>
      <c r="AG144" s="483"/>
      <c r="AH144" s="514">
        <f t="shared" si="62"/>
        <v>40780</v>
      </c>
      <c r="AI144" s="520">
        <v>70639.288564774324</v>
      </c>
      <c r="AJ144" s="484">
        <f t="shared" si="63"/>
        <v>70639.288564774324</v>
      </c>
      <c r="AK144" s="484"/>
      <c r="AL144" s="514">
        <f t="shared" si="64"/>
        <v>70639.288564774324</v>
      </c>
      <c r="AM144" s="526">
        <v>58238.169016736174</v>
      </c>
      <c r="AN144" s="485">
        <f t="shared" si="65"/>
        <v>58238.169016736174</v>
      </c>
      <c r="AO144" s="485"/>
      <c r="AP144" s="514">
        <f t="shared" si="66"/>
        <v>58238.169016736174</v>
      </c>
      <c r="AQ144" s="530">
        <f t="shared" si="67"/>
        <v>70639.288564774324</v>
      </c>
    </row>
    <row r="145" spans="1:43" x14ac:dyDescent="0.55000000000000004">
      <c r="A145" s="316" t="s">
        <v>368</v>
      </c>
      <c r="B145" s="218" t="s">
        <v>369</v>
      </c>
      <c r="C145" s="218" t="s">
        <v>376</v>
      </c>
      <c r="D145" s="105" t="s">
        <v>377</v>
      </c>
      <c r="E145" s="100"/>
      <c r="F145" s="34"/>
      <c r="G145" s="34"/>
      <c r="H145" s="480">
        <v>176910.11306393327</v>
      </c>
      <c r="I145" s="480" t="s">
        <v>413</v>
      </c>
      <c r="J145" s="486">
        <v>3</v>
      </c>
      <c r="K145" s="318"/>
      <c r="L145" s="482"/>
      <c r="M145" s="482">
        <f t="shared" si="68"/>
        <v>0</v>
      </c>
      <c r="N145" s="509">
        <f t="shared" si="52"/>
        <v>0</v>
      </c>
      <c r="O145" s="515">
        <v>46907.008838449648</v>
      </c>
      <c r="P145" s="483"/>
      <c r="Q145" s="483">
        <f t="shared" si="69"/>
        <v>23453.504419224824</v>
      </c>
      <c r="R145" s="514">
        <f t="shared" si="54"/>
        <v>23453.504419224824</v>
      </c>
      <c r="S145" s="515">
        <v>86913.301038166988</v>
      </c>
      <c r="T145" s="483"/>
      <c r="U145" s="483">
        <f t="shared" si="70"/>
        <v>43456.650519083494</v>
      </c>
      <c r="V145" s="514">
        <f t="shared" si="56"/>
        <v>43456.650519083494</v>
      </c>
      <c r="W145" s="515">
        <v>109863.17813807524</v>
      </c>
      <c r="X145" s="483"/>
      <c r="Y145" s="483">
        <f t="shared" si="71"/>
        <v>54931.589069037618</v>
      </c>
      <c r="Z145" s="514">
        <f t="shared" si="58"/>
        <v>54931.589069037618</v>
      </c>
      <c r="AA145" s="515">
        <v>79757.739660143794</v>
      </c>
      <c r="AB145" s="483"/>
      <c r="AC145" s="483">
        <f t="shared" si="72"/>
        <v>39878.869830071897</v>
      </c>
      <c r="AD145" s="514">
        <f t="shared" si="60"/>
        <v>39878.869830071897</v>
      </c>
      <c r="AE145" s="515">
        <v>29494</v>
      </c>
      <c r="AF145" s="483"/>
      <c r="AG145" s="483">
        <f t="shared" si="73"/>
        <v>14747</v>
      </c>
      <c r="AH145" s="514">
        <f t="shared" si="62"/>
        <v>14747</v>
      </c>
      <c r="AI145" s="520">
        <v>84076.093337314829</v>
      </c>
      <c r="AJ145" s="484"/>
      <c r="AK145" s="484">
        <f t="shared" si="74"/>
        <v>42038.046668657415</v>
      </c>
      <c r="AL145" s="514">
        <f t="shared" si="64"/>
        <v>42038.046668657415</v>
      </c>
      <c r="AM145" s="526">
        <v>106473.6791588487</v>
      </c>
      <c r="AN145" s="485"/>
      <c r="AO145" s="485">
        <f t="shared" si="75"/>
        <v>53236.839579424348</v>
      </c>
      <c r="AP145" s="514">
        <f t="shared" si="66"/>
        <v>53236.839579424348</v>
      </c>
      <c r="AQ145" s="530">
        <f t="shared" si="67"/>
        <v>54931.589069037618</v>
      </c>
    </row>
    <row r="146" spans="1:43" x14ac:dyDescent="0.55000000000000004">
      <c r="A146" s="316" t="s">
        <v>368</v>
      </c>
      <c r="B146" s="218" t="s">
        <v>369</v>
      </c>
      <c r="C146" s="218" t="s">
        <v>378</v>
      </c>
      <c r="D146" s="105" t="s">
        <v>379</v>
      </c>
      <c r="E146" s="100"/>
      <c r="F146" s="34"/>
      <c r="G146" s="34"/>
      <c r="H146" s="480">
        <v>85516.790119838945</v>
      </c>
      <c r="I146" s="480" t="s">
        <v>413</v>
      </c>
      <c r="J146" s="486">
        <v>3</v>
      </c>
      <c r="K146" s="318"/>
      <c r="L146" s="482"/>
      <c r="M146" s="482">
        <f t="shared" si="68"/>
        <v>0</v>
      </c>
      <c r="N146" s="509">
        <f t="shared" si="52"/>
        <v>0</v>
      </c>
      <c r="O146" s="515">
        <v>13282.254049438088</v>
      </c>
      <c r="P146" s="483"/>
      <c r="Q146" s="483">
        <f t="shared" si="69"/>
        <v>6641.1270247190441</v>
      </c>
      <c r="R146" s="514">
        <f t="shared" si="54"/>
        <v>6641.1270247190441</v>
      </c>
      <c r="S146" s="515">
        <v>49911.369081728808</v>
      </c>
      <c r="T146" s="483"/>
      <c r="U146" s="483">
        <f t="shared" si="70"/>
        <v>24955.684540864404</v>
      </c>
      <c r="V146" s="514">
        <f t="shared" si="56"/>
        <v>24955.684540864404</v>
      </c>
      <c r="W146" s="515">
        <v>48485.941515993887</v>
      </c>
      <c r="X146" s="483"/>
      <c r="Y146" s="483">
        <f t="shared" si="71"/>
        <v>24242.970757996944</v>
      </c>
      <c r="Z146" s="514">
        <f t="shared" si="58"/>
        <v>24242.970757996944</v>
      </c>
      <c r="AA146" s="515">
        <v>48757.59004222045</v>
      </c>
      <c r="AB146" s="483"/>
      <c r="AC146" s="483">
        <f t="shared" si="72"/>
        <v>24378.795021110225</v>
      </c>
      <c r="AD146" s="514">
        <f t="shared" si="60"/>
        <v>24378.795021110225</v>
      </c>
      <c r="AE146" s="515">
        <v>29796</v>
      </c>
      <c r="AF146" s="483"/>
      <c r="AG146" s="483">
        <f t="shared" si="73"/>
        <v>14898</v>
      </c>
      <c r="AH146" s="514">
        <f t="shared" si="62"/>
        <v>14898</v>
      </c>
      <c r="AI146" s="520">
        <v>44565.087808930155</v>
      </c>
      <c r="AJ146" s="484"/>
      <c r="AK146" s="484">
        <f t="shared" si="74"/>
        <v>22282.543904465078</v>
      </c>
      <c r="AL146" s="514">
        <f t="shared" si="64"/>
        <v>22282.543904465078</v>
      </c>
      <c r="AM146" s="526">
        <v>65721.236851357709</v>
      </c>
      <c r="AN146" s="485"/>
      <c r="AO146" s="485">
        <f t="shared" si="75"/>
        <v>32860.618425678855</v>
      </c>
      <c r="AP146" s="514">
        <f t="shared" si="66"/>
        <v>32860.618425678855</v>
      </c>
      <c r="AQ146" s="530">
        <f t="shared" si="67"/>
        <v>32860.618425678855</v>
      </c>
    </row>
    <row r="147" spans="1:43" x14ac:dyDescent="0.55000000000000004">
      <c r="A147" s="316" t="s">
        <v>368</v>
      </c>
      <c r="B147" s="218" t="s">
        <v>369</v>
      </c>
      <c r="C147" s="218" t="s">
        <v>380</v>
      </c>
      <c r="D147" s="105" t="s">
        <v>381</v>
      </c>
      <c r="E147" s="100"/>
      <c r="F147" s="34"/>
      <c r="G147" s="34"/>
      <c r="H147" s="480">
        <v>56495.39881084334</v>
      </c>
      <c r="I147" s="480" t="s">
        <v>413</v>
      </c>
      <c r="J147" s="486">
        <v>4</v>
      </c>
      <c r="K147" s="318"/>
      <c r="L147" s="482">
        <f t="shared" si="51"/>
        <v>0</v>
      </c>
      <c r="M147" s="482"/>
      <c r="N147" s="509">
        <f t="shared" si="52"/>
        <v>0</v>
      </c>
      <c r="O147" s="515">
        <v>6937.7479647691844</v>
      </c>
      <c r="P147" s="483">
        <f t="shared" si="53"/>
        <v>6937.7479647691844</v>
      </c>
      <c r="Q147" s="483"/>
      <c r="R147" s="514">
        <f t="shared" si="54"/>
        <v>6937.7479647691844</v>
      </c>
      <c r="S147" s="515">
        <v>30593.112727266733</v>
      </c>
      <c r="T147" s="483">
        <f t="shared" si="55"/>
        <v>30593.112727266733</v>
      </c>
      <c r="U147" s="483"/>
      <c r="V147" s="514">
        <f t="shared" si="56"/>
        <v>30593.112727266733</v>
      </c>
      <c r="W147" s="515">
        <v>32963.972271729072</v>
      </c>
      <c r="X147" s="483">
        <f t="shared" si="57"/>
        <v>32963.972271729072</v>
      </c>
      <c r="Y147" s="483"/>
      <c r="Z147" s="514">
        <f t="shared" si="58"/>
        <v>0</v>
      </c>
      <c r="AA147" s="515">
        <v>34129.817761062943</v>
      </c>
      <c r="AB147" s="483">
        <f t="shared" si="59"/>
        <v>34129.817761062943</v>
      </c>
      <c r="AC147" s="483"/>
      <c r="AD147" s="514">
        <f t="shared" si="60"/>
        <v>34129.817761062943</v>
      </c>
      <c r="AE147" s="515">
        <v>19172</v>
      </c>
      <c r="AF147" s="483">
        <f t="shared" si="61"/>
        <v>19172</v>
      </c>
      <c r="AG147" s="483"/>
      <c r="AH147" s="514">
        <f t="shared" si="62"/>
        <v>19172</v>
      </c>
      <c r="AI147" s="520">
        <v>17383.199634105644</v>
      </c>
      <c r="AJ147" s="484">
        <f t="shared" si="63"/>
        <v>17383.199634105644</v>
      </c>
      <c r="AK147" s="484"/>
      <c r="AL147" s="514">
        <f t="shared" si="64"/>
        <v>17383.199634105644</v>
      </c>
      <c r="AM147" s="526">
        <v>25632.171682697448</v>
      </c>
      <c r="AN147" s="485">
        <f t="shared" si="65"/>
        <v>25632.171682697448</v>
      </c>
      <c r="AO147" s="485"/>
      <c r="AP147" s="514">
        <f t="shared" si="66"/>
        <v>25632.171682697448</v>
      </c>
      <c r="AQ147" s="530">
        <f t="shared" si="67"/>
        <v>34129.817761062943</v>
      </c>
    </row>
    <row r="148" spans="1:43" x14ac:dyDescent="0.55000000000000004">
      <c r="A148" s="316" t="s">
        <v>382</v>
      </c>
      <c r="B148" s="218" t="s">
        <v>383</v>
      </c>
      <c r="C148" s="218" t="s">
        <v>384</v>
      </c>
      <c r="D148" s="105" t="s">
        <v>385</v>
      </c>
      <c r="E148" s="100"/>
      <c r="F148" s="34"/>
      <c r="G148" s="34"/>
      <c r="H148" s="480">
        <v>178742.31540837008</v>
      </c>
      <c r="I148" s="480" t="s">
        <v>413</v>
      </c>
      <c r="J148" s="486">
        <v>3</v>
      </c>
      <c r="K148" s="318"/>
      <c r="L148" s="482"/>
      <c r="M148" s="482">
        <f t="shared" si="68"/>
        <v>0</v>
      </c>
      <c r="N148" s="509">
        <f t="shared" si="52"/>
        <v>0</v>
      </c>
      <c r="O148" s="515">
        <v>36544.688599892135</v>
      </c>
      <c r="P148" s="483"/>
      <c r="Q148" s="483">
        <f t="shared" si="69"/>
        <v>18272.344299946068</v>
      </c>
      <c r="R148" s="514">
        <f t="shared" si="54"/>
        <v>18272.344299946068</v>
      </c>
      <c r="S148" s="515">
        <v>71792.511876647914</v>
      </c>
      <c r="T148" s="483"/>
      <c r="U148" s="483">
        <f t="shared" si="70"/>
        <v>35896.255938323957</v>
      </c>
      <c r="V148" s="514">
        <f t="shared" si="56"/>
        <v>35896.255938323957</v>
      </c>
      <c r="W148" s="515">
        <v>54701.095765878286</v>
      </c>
      <c r="X148" s="483"/>
      <c r="Y148" s="483">
        <f t="shared" si="71"/>
        <v>27350.547882939143</v>
      </c>
      <c r="Z148" s="514">
        <f t="shared" si="58"/>
        <v>27350.547882939143</v>
      </c>
      <c r="AA148" s="515">
        <v>92905.123157415932</v>
      </c>
      <c r="AB148" s="483"/>
      <c r="AC148" s="483">
        <f t="shared" si="72"/>
        <v>46452.561578707966</v>
      </c>
      <c r="AD148" s="514">
        <f t="shared" si="60"/>
        <v>46452.561578707966</v>
      </c>
      <c r="AE148" s="515">
        <v>30952</v>
      </c>
      <c r="AF148" s="483"/>
      <c r="AG148" s="483">
        <f t="shared" si="73"/>
        <v>15476</v>
      </c>
      <c r="AH148" s="514">
        <f t="shared" si="62"/>
        <v>15476</v>
      </c>
      <c r="AI148" s="520">
        <v>70264.220539842034</v>
      </c>
      <c r="AJ148" s="484"/>
      <c r="AK148" s="484">
        <f t="shared" si="74"/>
        <v>35132.110269921017</v>
      </c>
      <c r="AL148" s="514">
        <f t="shared" si="64"/>
        <v>35132.110269921017</v>
      </c>
      <c r="AM148" s="526">
        <v>127436.650800412</v>
      </c>
      <c r="AN148" s="485"/>
      <c r="AO148" s="485">
        <f t="shared" si="75"/>
        <v>63718.325400205998</v>
      </c>
      <c r="AP148" s="514">
        <f t="shared" si="66"/>
        <v>63718.325400205998</v>
      </c>
      <c r="AQ148" s="530">
        <f t="shared" si="67"/>
        <v>63718.325400205998</v>
      </c>
    </row>
    <row r="149" spans="1:43" x14ac:dyDescent="0.55000000000000004">
      <c r="A149" s="316" t="s">
        <v>382</v>
      </c>
      <c r="B149" s="218" t="s">
        <v>383</v>
      </c>
      <c r="C149" s="218" t="s">
        <v>386</v>
      </c>
      <c r="D149" s="105" t="s">
        <v>387</v>
      </c>
      <c r="E149" s="100"/>
      <c r="F149" s="34"/>
      <c r="G149" s="34"/>
      <c r="H149" s="480">
        <v>37008.275019605207</v>
      </c>
      <c r="I149" s="480" t="s">
        <v>413</v>
      </c>
      <c r="J149" s="486">
        <v>3</v>
      </c>
      <c r="K149" s="318"/>
      <c r="L149" s="482"/>
      <c r="M149" s="482">
        <f t="shared" si="68"/>
        <v>0</v>
      </c>
      <c r="N149" s="509">
        <f t="shared" si="52"/>
        <v>0</v>
      </c>
      <c r="O149" s="515">
        <v>9740.8185389477185</v>
      </c>
      <c r="P149" s="483"/>
      <c r="Q149" s="483">
        <f t="shared" si="69"/>
        <v>4870.4092694738592</v>
      </c>
      <c r="R149" s="514">
        <f t="shared" si="54"/>
        <v>4870.4092694738592</v>
      </c>
      <c r="S149" s="515">
        <v>15260.32923411262</v>
      </c>
      <c r="T149" s="483"/>
      <c r="U149" s="483">
        <f t="shared" si="70"/>
        <v>7630.1646170563099</v>
      </c>
      <c r="V149" s="514">
        <f t="shared" si="56"/>
        <v>7630.1646170563099</v>
      </c>
      <c r="W149" s="515">
        <v>19251.330016565855</v>
      </c>
      <c r="X149" s="483"/>
      <c r="Y149" s="483">
        <f t="shared" si="71"/>
        <v>9625.6650082829274</v>
      </c>
      <c r="Z149" s="514">
        <f t="shared" si="58"/>
        <v>9625.6650082829274</v>
      </c>
      <c r="AA149" s="515">
        <v>19192.902815265665</v>
      </c>
      <c r="AB149" s="483"/>
      <c r="AC149" s="483">
        <f t="shared" si="72"/>
        <v>9596.4514076328323</v>
      </c>
      <c r="AD149" s="514">
        <f t="shared" si="60"/>
        <v>9596.4514076328323</v>
      </c>
      <c r="AE149" s="515">
        <v>6609</v>
      </c>
      <c r="AF149" s="483"/>
      <c r="AG149" s="483">
        <f t="shared" si="73"/>
        <v>3304.5</v>
      </c>
      <c r="AH149" s="514">
        <f t="shared" si="62"/>
        <v>3304.5</v>
      </c>
      <c r="AI149" s="520">
        <v>0</v>
      </c>
      <c r="AJ149" s="484"/>
      <c r="AK149" s="484">
        <f t="shared" si="74"/>
        <v>0</v>
      </c>
      <c r="AL149" s="514">
        <f t="shared" si="64"/>
        <v>0</v>
      </c>
      <c r="AM149" s="526">
        <v>9594.7379680457962</v>
      </c>
      <c r="AN149" s="485"/>
      <c r="AO149" s="485">
        <f t="shared" si="75"/>
        <v>4797.3689840228981</v>
      </c>
      <c r="AP149" s="514">
        <f t="shared" si="66"/>
        <v>4797.3689840228981</v>
      </c>
      <c r="AQ149" s="530">
        <f t="shared" si="67"/>
        <v>9625.6650082829274</v>
      </c>
    </row>
    <row r="150" spans="1:43" x14ac:dyDescent="0.55000000000000004">
      <c r="A150" s="316" t="s">
        <v>382</v>
      </c>
      <c r="B150" s="218" t="s">
        <v>383</v>
      </c>
      <c r="C150" s="218" t="s">
        <v>388</v>
      </c>
      <c r="D150" s="105" t="s">
        <v>389</v>
      </c>
      <c r="E150" s="100"/>
      <c r="F150" s="34"/>
      <c r="G150" s="34"/>
      <c r="H150" s="480">
        <v>225180.53774946873</v>
      </c>
      <c r="I150" s="480" t="s">
        <v>413</v>
      </c>
      <c r="J150" s="486">
        <v>3</v>
      </c>
      <c r="K150" s="318"/>
      <c r="L150" s="482"/>
      <c r="M150" s="482">
        <f t="shared" si="68"/>
        <v>0</v>
      </c>
      <c r="N150" s="509">
        <f t="shared" si="52"/>
        <v>0</v>
      </c>
      <c r="O150" s="515">
        <v>30693.36830626399</v>
      </c>
      <c r="P150" s="483"/>
      <c r="Q150" s="483">
        <f t="shared" si="69"/>
        <v>15346.684153131995</v>
      </c>
      <c r="R150" s="514">
        <f t="shared" si="54"/>
        <v>15346.684153131995</v>
      </c>
      <c r="S150" s="515">
        <v>92382.929493153322</v>
      </c>
      <c r="T150" s="483"/>
      <c r="U150" s="483">
        <f t="shared" si="70"/>
        <v>46191.464746576661</v>
      </c>
      <c r="V150" s="514">
        <f t="shared" si="56"/>
        <v>46191.464746576661</v>
      </c>
      <c r="W150" s="515">
        <v>111624.95265472641</v>
      </c>
      <c r="X150" s="483"/>
      <c r="Y150" s="483">
        <f t="shared" si="71"/>
        <v>55812.476327363205</v>
      </c>
      <c r="Z150" s="514">
        <f t="shared" si="58"/>
        <v>55812.476327363205</v>
      </c>
      <c r="AA150" s="515">
        <v>102556.50979852382</v>
      </c>
      <c r="AB150" s="483"/>
      <c r="AC150" s="483">
        <f t="shared" si="72"/>
        <v>51278.254899261912</v>
      </c>
      <c r="AD150" s="514">
        <f t="shared" si="60"/>
        <v>51278.254899261912</v>
      </c>
      <c r="AE150" s="515">
        <v>35550</v>
      </c>
      <c r="AF150" s="483"/>
      <c r="AG150" s="483">
        <f t="shared" si="73"/>
        <v>17775</v>
      </c>
      <c r="AH150" s="514">
        <f t="shared" si="62"/>
        <v>17775</v>
      </c>
      <c r="AI150" s="520">
        <v>54353.922905044179</v>
      </c>
      <c r="AJ150" s="484"/>
      <c r="AK150" s="484">
        <f t="shared" si="74"/>
        <v>27176.96145252209</v>
      </c>
      <c r="AL150" s="514">
        <f t="shared" si="64"/>
        <v>27176.96145252209</v>
      </c>
      <c r="AM150" s="526">
        <v>97995.234020602133</v>
      </c>
      <c r="AN150" s="485"/>
      <c r="AO150" s="485">
        <f t="shared" si="75"/>
        <v>48997.617010301066</v>
      </c>
      <c r="AP150" s="514">
        <f t="shared" si="66"/>
        <v>48997.617010301066</v>
      </c>
      <c r="AQ150" s="530">
        <f t="shared" si="67"/>
        <v>55812.476327363205</v>
      </c>
    </row>
    <row r="151" spans="1:43" x14ac:dyDescent="0.55000000000000004">
      <c r="A151" s="316" t="s">
        <v>390</v>
      </c>
      <c r="B151" s="218" t="s">
        <v>391</v>
      </c>
      <c r="C151" s="218" t="s">
        <v>392</v>
      </c>
      <c r="D151" s="105" t="s">
        <v>393</v>
      </c>
      <c r="E151" s="100"/>
      <c r="F151" s="34"/>
      <c r="G151" s="34"/>
      <c r="H151" s="480">
        <v>73520.181474041485</v>
      </c>
      <c r="I151" s="480" t="s">
        <v>413</v>
      </c>
      <c r="J151" s="486">
        <v>3</v>
      </c>
      <c r="K151" s="318"/>
      <c r="L151" s="482"/>
      <c r="M151" s="482">
        <f t="shared" si="68"/>
        <v>0</v>
      </c>
      <c r="N151" s="509">
        <f t="shared" si="52"/>
        <v>0</v>
      </c>
      <c r="O151" s="515">
        <v>16171.535877120903</v>
      </c>
      <c r="P151" s="483"/>
      <c r="Q151" s="483">
        <f t="shared" si="69"/>
        <v>8085.7679385604515</v>
      </c>
      <c r="R151" s="514">
        <f t="shared" si="54"/>
        <v>8085.7679385604515</v>
      </c>
      <c r="S151" s="515">
        <v>36066.523335321421</v>
      </c>
      <c r="T151" s="483"/>
      <c r="U151" s="483">
        <f t="shared" si="70"/>
        <v>18033.26166766071</v>
      </c>
      <c r="V151" s="514">
        <f t="shared" si="56"/>
        <v>18033.26166766071</v>
      </c>
      <c r="W151" s="515">
        <v>13143.564910079635</v>
      </c>
      <c r="X151" s="483"/>
      <c r="Y151" s="483">
        <f t="shared" si="71"/>
        <v>6571.7824550398173</v>
      </c>
      <c r="Z151" s="514">
        <f t="shared" si="58"/>
        <v>6571.7824550398173</v>
      </c>
      <c r="AA151" s="515">
        <v>36337.325866056002</v>
      </c>
      <c r="AB151" s="483"/>
      <c r="AC151" s="483">
        <f t="shared" si="72"/>
        <v>18168.662933028001</v>
      </c>
      <c r="AD151" s="514">
        <f t="shared" si="60"/>
        <v>18168.662933028001</v>
      </c>
      <c r="AE151" s="515">
        <v>12761</v>
      </c>
      <c r="AF151" s="483"/>
      <c r="AG151" s="483">
        <f t="shared" si="73"/>
        <v>6380.5</v>
      </c>
      <c r="AH151" s="514">
        <f t="shared" si="62"/>
        <v>6380.5</v>
      </c>
      <c r="AI151" s="520">
        <v>29249.964672468115</v>
      </c>
      <c r="AJ151" s="484"/>
      <c r="AK151" s="484">
        <f t="shared" si="74"/>
        <v>14624.982336234058</v>
      </c>
      <c r="AL151" s="514">
        <f t="shared" si="64"/>
        <v>14624.982336234058</v>
      </c>
      <c r="AM151" s="526">
        <v>54459.393684475173</v>
      </c>
      <c r="AN151" s="485"/>
      <c r="AO151" s="485">
        <f t="shared" si="75"/>
        <v>27229.696842237587</v>
      </c>
      <c r="AP151" s="514">
        <f t="shared" si="66"/>
        <v>27229.696842237587</v>
      </c>
      <c r="AQ151" s="530">
        <f t="shared" si="67"/>
        <v>27229.696842237587</v>
      </c>
    </row>
    <row r="152" spans="1:43" x14ac:dyDescent="0.55000000000000004">
      <c r="A152" s="316" t="s">
        <v>390</v>
      </c>
      <c r="B152" s="218" t="s">
        <v>391</v>
      </c>
      <c r="C152" s="218" t="s">
        <v>394</v>
      </c>
      <c r="D152" s="105" t="s">
        <v>395</v>
      </c>
      <c r="E152" s="100"/>
      <c r="F152" s="34"/>
      <c r="G152" s="34"/>
      <c r="H152" s="480">
        <v>47140.450098552225</v>
      </c>
      <c r="I152" s="480" t="s">
        <v>413</v>
      </c>
      <c r="J152" s="486">
        <v>3</v>
      </c>
      <c r="K152" s="318"/>
      <c r="L152" s="482"/>
      <c r="M152" s="482">
        <f t="shared" si="68"/>
        <v>0</v>
      </c>
      <c r="N152" s="509">
        <f t="shared" si="52"/>
        <v>0</v>
      </c>
      <c r="O152" s="515">
        <v>6753.435162018789</v>
      </c>
      <c r="P152" s="483"/>
      <c r="Q152" s="483">
        <f t="shared" si="69"/>
        <v>3376.7175810093945</v>
      </c>
      <c r="R152" s="514">
        <f t="shared" si="54"/>
        <v>3376.7175810093945</v>
      </c>
      <c r="S152" s="515">
        <v>20826.863886890918</v>
      </c>
      <c r="T152" s="483"/>
      <c r="U152" s="483">
        <f t="shared" si="70"/>
        <v>10413.431943445459</v>
      </c>
      <c r="V152" s="514">
        <f t="shared" si="56"/>
        <v>10413.431943445459</v>
      </c>
      <c r="W152" s="515">
        <v>11877.998300213296</v>
      </c>
      <c r="X152" s="483"/>
      <c r="Y152" s="483">
        <f t="shared" si="71"/>
        <v>5938.9991501066479</v>
      </c>
      <c r="Z152" s="514">
        <f t="shared" si="58"/>
        <v>5938.9991501066479</v>
      </c>
      <c r="AA152" s="515">
        <v>20492.844907836869</v>
      </c>
      <c r="AB152" s="483"/>
      <c r="AC152" s="483">
        <f t="shared" si="72"/>
        <v>10246.422453918434</v>
      </c>
      <c r="AD152" s="514">
        <f t="shared" si="60"/>
        <v>10246.422453918434</v>
      </c>
      <c r="AE152" s="515">
        <v>9428</v>
      </c>
      <c r="AF152" s="483"/>
      <c r="AG152" s="483">
        <f t="shared" si="73"/>
        <v>4714</v>
      </c>
      <c r="AH152" s="514">
        <f t="shared" si="62"/>
        <v>4714</v>
      </c>
      <c r="AI152" s="520">
        <v>17495.424778844124</v>
      </c>
      <c r="AJ152" s="484"/>
      <c r="AK152" s="484">
        <f t="shared" si="74"/>
        <v>8747.7123894220622</v>
      </c>
      <c r="AL152" s="514">
        <f t="shared" si="64"/>
        <v>8747.7123894220622</v>
      </c>
      <c r="AM152" s="526">
        <v>40156.679713581529</v>
      </c>
      <c r="AN152" s="485"/>
      <c r="AO152" s="485">
        <f t="shared" si="75"/>
        <v>20078.339856790764</v>
      </c>
      <c r="AP152" s="514">
        <f t="shared" si="66"/>
        <v>20078.339856790764</v>
      </c>
      <c r="AQ152" s="530">
        <f t="shared" si="67"/>
        <v>20078.339856790764</v>
      </c>
    </row>
    <row r="153" spans="1:43" x14ac:dyDescent="0.55000000000000004">
      <c r="A153" s="316" t="s">
        <v>390</v>
      </c>
      <c r="B153" s="218" t="s">
        <v>391</v>
      </c>
      <c r="C153" s="218" t="s">
        <v>396</v>
      </c>
      <c r="D153" s="105" t="s">
        <v>397</v>
      </c>
      <c r="E153" s="100"/>
      <c r="F153" s="34"/>
      <c r="G153" s="34"/>
      <c r="H153" s="480">
        <v>80255.412925910496</v>
      </c>
      <c r="I153" s="480" t="s">
        <v>413</v>
      </c>
      <c r="J153" s="486">
        <v>3</v>
      </c>
      <c r="K153" s="318"/>
      <c r="L153" s="482"/>
      <c r="M153" s="482">
        <f t="shared" si="68"/>
        <v>0</v>
      </c>
      <c r="N153" s="509">
        <f t="shared" si="52"/>
        <v>0</v>
      </c>
      <c r="O153" s="515">
        <v>12532.89394658379</v>
      </c>
      <c r="P153" s="483"/>
      <c r="Q153" s="483">
        <f t="shared" si="69"/>
        <v>6266.4469732918951</v>
      </c>
      <c r="R153" s="514">
        <f t="shared" si="54"/>
        <v>6266.4469732918951</v>
      </c>
      <c r="S153" s="515">
        <v>46265.718799877228</v>
      </c>
      <c r="T153" s="483"/>
      <c r="U153" s="483">
        <f t="shared" si="70"/>
        <v>23132.859399938614</v>
      </c>
      <c r="V153" s="514">
        <f t="shared" si="56"/>
        <v>23132.859399938614</v>
      </c>
      <c r="W153" s="515">
        <v>20354.541316277235</v>
      </c>
      <c r="X153" s="483"/>
      <c r="Y153" s="483">
        <f t="shared" si="71"/>
        <v>10177.270658138617</v>
      </c>
      <c r="Z153" s="514">
        <f t="shared" si="58"/>
        <v>10177.270658138617</v>
      </c>
      <c r="AA153" s="515">
        <v>31521.004525350756</v>
      </c>
      <c r="AB153" s="483"/>
      <c r="AC153" s="483">
        <f t="shared" si="72"/>
        <v>15760.502262675378</v>
      </c>
      <c r="AD153" s="514">
        <f t="shared" si="60"/>
        <v>15760.502262675378</v>
      </c>
      <c r="AE153" s="515">
        <v>24696</v>
      </c>
      <c r="AF153" s="483"/>
      <c r="AG153" s="483">
        <f t="shared" si="73"/>
        <v>12348</v>
      </c>
      <c r="AH153" s="514">
        <f t="shared" si="62"/>
        <v>12348</v>
      </c>
      <c r="AI153" s="520">
        <v>22224.575887175215</v>
      </c>
      <c r="AJ153" s="484"/>
      <c r="AK153" s="484">
        <f t="shared" si="74"/>
        <v>11112.287943587608</v>
      </c>
      <c r="AL153" s="514">
        <f t="shared" si="64"/>
        <v>11112.287943587608</v>
      </c>
      <c r="AM153" s="526">
        <v>57962.24266871313</v>
      </c>
      <c r="AN153" s="485"/>
      <c r="AO153" s="485">
        <f t="shared" si="75"/>
        <v>28981.121334356565</v>
      </c>
      <c r="AP153" s="514">
        <f t="shared" si="66"/>
        <v>28981.121334356565</v>
      </c>
      <c r="AQ153" s="530">
        <f t="shared" si="67"/>
        <v>28981.121334356565</v>
      </c>
    </row>
    <row r="154" spans="1:43" x14ac:dyDescent="0.55000000000000004">
      <c r="A154" s="316" t="s">
        <v>390</v>
      </c>
      <c r="B154" s="218" t="s">
        <v>391</v>
      </c>
      <c r="C154" s="218" t="s">
        <v>398</v>
      </c>
      <c r="D154" s="105" t="s">
        <v>399</v>
      </c>
      <c r="E154" s="100"/>
      <c r="F154" s="34"/>
      <c r="G154" s="34"/>
      <c r="H154" s="480">
        <v>64180.342035561967</v>
      </c>
      <c r="I154" s="480" t="s">
        <v>413</v>
      </c>
      <c r="J154" s="486">
        <v>3</v>
      </c>
      <c r="K154" s="318"/>
      <c r="L154" s="482"/>
      <c r="M154" s="482">
        <f t="shared" si="68"/>
        <v>0</v>
      </c>
      <c r="N154" s="509">
        <f t="shared" si="52"/>
        <v>0</v>
      </c>
      <c r="O154" s="515">
        <v>1008.8636325254056</v>
      </c>
      <c r="P154" s="483"/>
      <c r="Q154" s="483">
        <f t="shared" si="69"/>
        <v>504.4318162627028</v>
      </c>
      <c r="R154" s="514">
        <f t="shared" si="54"/>
        <v>504.4318162627028</v>
      </c>
      <c r="S154" s="515">
        <v>34046.698988476506</v>
      </c>
      <c r="T154" s="483"/>
      <c r="U154" s="483">
        <f t="shared" si="70"/>
        <v>17023.349494238253</v>
      </c>
      <c r="V154" s="514">
        <f t="shared" si="56"/>
        <v>17023.349494238253</v>
      </c>
      <c r="W154" s="515">
        <v>27608.178938631787</v>
      </c>
      <c r="X154" s="483"/>
      <c r="Y154" s="483">
        <f t="shared" si="71"/>
        <v>13804.089469315893</v>
      </c>
      <c r="Z154" s="514">
        <f t="shared" si="58"/>
        <v>13804.089469315893</v>
      </c>
      <c r="AA154" s="515">
        <v>30949.569079725894</v>
      </c>
      <c r="AB154" s="483"/>
      <c r="AC154" s="483">
        <f t="shared" si="72"/>
        <v>15474.784539862947</v>
      </c>
      <c r="AD154" s="514">
        <f t="shared" si="60"/>
        <v>15474.784539862947</v>
      </c>
      <c r="AE154" s="515">
        <v>21894</v>
      </c>
      <c r="AF154" s="483"/>
      <c r="AG154" s="483">
        <f t="shared" si="73"/>
        <v>10947</v>
      </c>
      <c r="AH154" s="514">
        <f t="shared" si="62"/>
        <v>10947</v>
      </c>
      <c r="AI154" s="520">
        <v>15281.033817990945</v>
      </c>
      <c r="AJ154" s="484"/>
      <c r="AK154" s="484">
        <f t="shared" si="74"/>
        <v>7640.5169089954725</v>
      </c>
      <c r="AL154" s="514">
        <f t="shared" si="64"/>
        <v>7640.5169089954725</v>
      </c>
      <c r="AM154" s="526">
        <v>39815.582559098635</v>
      </c>
      <c r="AN154" s="485"/>
      <c r="AO154" s="485">
        <f t="shared" si="75"/>
        <v>19907.791279549318</v>
      </c>
      <c r="AP154" s="514">
        <f t="shared" si="66"/>
        <v>19907.791279549318</v>
      </c>
      <c r="AQ154" s="530">
        <f t="shared" si="67"/>
        <v>19907.791279549318</v>
      </c>
    </row>
    <row r="155" spans="1:43" x14ac:dyDescent="0.55000000000000004">
      <c r="A155" s="316" t="s">
        <v>390</v>
      </c>
      <c r="B155" s="218" t="s">
        <v>391</v>
      </c>
      <c r="C155" s="218" t="s">
        <v>400</v>
      </c>
      <c r="D155" s="105" t="s">
        <v>401</v>
      </c>
      <c r="E155" s="100"/>
      <c r="F155" s="34"/>
      <c r="G155" s="34"/>
      <c r="H155" s="480">
        <v>37549.507730213714</v>
      </c>
      <c r="I155" s="480" t="s">
        <v>413</v>
      </c>
      <c r="J155" s="486">
        <v>3</v>
      </c>
      <c r="K155" s="318"/>
      <c r="L155" s="482"/>
      <c r="M155" s="482">
        <f t="shared" si="68"/>
        <v>0</v>
      </c>
      <c r="N155" s="509">
        <f t="shared" si="52"/>
        <v>0</v>
      </c>
      <c r="O155" s="515">
        <v>3086.1189413308048</v>
      </c>
      <c r="P155" s="483"/>
      <c r="Q155" s="483">
        <f t="shared" si="69"/>
        <v>1543.0594706654024</v>
      </c>
      <c r="R155" s="514">
        <f t="shared" si="54"/>
        <v>1543.0594706654024</v>
      </c>
      <c r="S155" s="515">
        <v>20359.407042341969</v>
      </c>
      <c r="T155" s="483"/>
      <c r="U155" s="483">
        <f t="shared" si="70"/>
        <v>10179.703521170984</v>
      </c>
      <c r="V155" s="514">
        <f t="shared" si="56"/>
        <v>10179.703521170984</v>
      </c>
      <c r="W155" s="515">
        <v>14436.659785096421</v>
      </c>
      <c r="X155" s="483"/>
      <c r="Y155" s="483">
        <f t="shared" si="71"/>
        <v>7218.3298925482104</v>
      </c>
      <c r="Z155" s="514">
        <f t="shared" si="58"/>
        <v>7218.3298925482104</v>
      </c>
      <c r="AA155" s="515">
        <v>18629.294202189416</v>
      </c>
      <c r="AB155" s="483"/>
      <c r="AC155" s="483">
        <f t="shared" si="72"/>
        <v>9314.647101094708</v>
      </c>
      <c r="AD155" s="514">
        <f t="shared" si="60"/>
        <v>9314.647101094708</v>
      </c>
      <c r="AE155" s="515">
        <v>12595</v>
      </c>
      <c r="AF155" s="483"/>
      <c r="AG155" s="483">
        <f t="shared" si="73"/>
        <v>6297.5</v>
      </c>
      <c r="AH155" s="514">
        <f t="shared" si="62"/>
        <v>6297.5</v>
      </c>
      <c r="AI155" s="520">
        <v>15461.562006558588</v>
      </c>
      <c r="AJ155" s="484"/>
      <c r="AK155" s="484">
        <f t="shared" si="74"/>
        <v>7730.7810032792941</v>
      </c>
      <c r="AL155" s="514">
        <f t="shared" si="64"/>
        <v>7730.7810032792941</v>
      </c>
      <c r="AM155" s="526">
        <v>14223.298382656711</v>
      </c>
      <c r="AN155" s="485"/>
      <c r="AO155" s="485">
        <f t="shared" si="75"/>
        <v>7111.6491913283553</v>
      </c>
      <c r="AP155" s="514">
        <f t="shared" si="66"/>
        <v>7111.6491913283553</v>
      </c>
      <c r="AQ155" s="530">
        <f t="shared" si="67"/>
        <v>10179.703521170984</v>
      </c>
    </row>
    <row r="156" spans="1:43" x14ac:dyDescent="0.55000000000000004">
      <c r="A156" s="316" t="s">
        <v>390</v>
      </c>
      <c r="B156" s="218" t="s">
        <v>391</v>
      </c>
      <c r="C156" s="218" t="s">
        <v>402</v>
      </c>
      <c r="D156" s="105" t="s">
        <v>403</v>
      </c>
      <c r="E156" s="100"/>
      <c r="F156" s="34"/>
      <c r="G156" s="34"/>
      <c r="H156" s="480">
        <v>57305.25569680793</v>
      </c>
      <c r="I156" s="480" t="s">
        <v>413</v>
      </c>
      <c r="J156" s="486">
        <v>3</v>
      </c>
      <c r="K156" s="318"/>
      <c r="L156" s="482"/>
      <c r="M156" s="482">
        <f t="shared" si="68"/>
        <v>0</v>
      </c>
      <c r="N156" s="509">
        <f t="shared" si="52"/>
        <v>0</v>
      </c>
      <c r="O156" s="515">
        <v>4644.4763637148881</v>
      </c>
      <c r="P156" s="483"/>
      <c r="Q156" s="483">
        <f t="shared" si="69"/>
        <v>2322.238181857444</v>
      </c>
      <c r="R156" s="514">
        <f t="shared" si="54"/>
        <v>2322.238181857444</v>
      </c>
      <c r="S156" s="515">
        <v>26042.618213549027</v>
      </c>
      <c r="T156" s="483"/>
      <c r="U156" s="483">
        <f t="shared" si="70"/>
        <v>13021.309106774514</v>
      </c>
      <c r="V156" s="514">
        <f t="shared" si="56"/>
        <v>13021.309106774514</v>
      </c>
      <c r="W156" s="515">
        <v>33121.614517212045</v>
      </c>
      <c r="X156" s="483"/>
      <c r="Y156" s="483">
        <f t="shared" si="71"/>
        <v>16560.807258606023</v>
      </c>
      <c r="Z156" s="514">
        <f t="shared" si="58"/>
        <v>16560.807258606023</v>
      </c>
      <c r="AA156" s="515">
        <v>26440.849003206466</v>
      </c>
      <c r="AB156" s="483"/>
      <c r="AC156" s="483">
        <f t="shared" si="72"/>
        <v>13220.424501603233</v>
      </c>
      <c r="AD156" s="514">
        <f t="shared" si="60"/>
        <v>13220.424501603233</v>
      </c>
      <c r="AE156" s="515">
        <v>9671</v>
      </c>
      <c r="AF156" s="483"/>
      <c r="AG156" s="483">
        <f t="shared" si="73"/>
        <v>4835.5</v>
      </c>
      <c r="AH156" s="514">
        <f t="shared" si="62"/>
        <v>4835.5</v>
      </c>
      <c r="AI156" s="520">
        <v>39397.363291555448</v>
      </c>
      <c r="AJ156" s="484"/>
      <c r="AK156" s="484">
        <f t="shared" si="74"/>
        <v>19698.681645777724</v>
      </c>
      <c r="AL156" s="514">
        <f t="shared" si="64"/>
        <v>19698.681645777724</v>
      </c>
      <c r="AM156" s="526">
        <v>26530.210970744411</v>
      </c>
      <c r="AN156" s="485"/>
      <c r="AO156" s="485">
        <f t="shared" si="75"/>
        <v>13265.105485372205</v>
      </c>
      <c r="AP156" s="514">
        <f t="shared" si="66"/>
        <v>13265.105485372205</v>
      </c>
      <c r="AQ156" s="530">
        <f t="shared" si="67"/>
        <v>19698.681645777724</v>
      </c>
    </row>
    <row r="157" spans="1:43" x14ac:dyDescent="0.55000000000000004">
      <c r="A157" s="316" t="s">
        <v>390</v>
      </c>
      <c r="B157" s="218" t="s">
        <v>391</v>
      </c>
      <c r="C157" s="218" t="s">
        <v>404</v>
      </c>
      <c r="D157" s="105" t="s">
        <v>405</v>
      </c>
      <c r="E157" s="100"/>
      <c r="F157" s="34"/>
      <c r="G157" s="34"/>
      <c r="H157" s="480">
        <v>20533.496005228379</v>
      </c>
      <c r="I157" s="480" t="s">
        <v>413</v>
      </c>
      <c r="J157" s="486">
        <v>4</v>
      </c>
      <c r="K157" s="318"/>
      <c r="L157" s="482">
        <f t="shared" si="51"/>
        <v>0</v>
      </c>
      <c r="M157" s="482"/>
      <c r="N157" s="509">
        <f t="shared" si="52"/>
        <v>0</v>
      </c>
      <c r="O157" s="515">
        <v>1339.5888525842954</v>
      </c>
      <c r="P157" s="483">
        <f t="shared" si="53"/>
        <v>1339.5888525842954</v>
      </c>
      <c r="Q157" s="483"/>
      <c r="R157" s="514">
        <f t="shared" si="54"/>
        <v>1339.5888525842954</v>
      </c>
      <c r="S157" s="515">
        <v>8983.5200652778312</v>
      </c>
      <c r="T157" s="483">
        <f t="shared" si="55"/>
        <v>8983.5200652778312</v>
      </c>
      <c r="U157" s="483"/>
      <c r="V157" s="514">
        <f t="shared" si="56"/>
        <v>8983.5200652778312</v>
      </c>
      <c r="W157" s="515">
        <v>11407.842529438098</v>
      </c>
      <c r="X157" s="483">
        <f t="shared" si="57"/>
        <v>11407.842529438098</v>
      </c>
      <c r="Y157" s="483"/>
      <c r="Z157" s="514">
        <f t="shared" si="58"/>
        <v>0</v>
      </c>
      <c r="AA157" s="515">
        <v>11103.202465375422</v>
      </c>
      <c r="AB157" s="483">
        <f t="shared" si="59"/>
        <v>11103.202465375422</v>
      </c>
      <c r="AC157" s="483"/>
      <c r="AD157" s="514">
        <f t="shared" si="60"/>
        <v>11103.202465375422</v>
      </c>
      <c r="AE157" s="515">
        <v>6954</v>
      </c>
      <c r="AF157" s="483">
        <f t="shared" si="61"/>
        <v>6954</v>
      </c>
      <c r="AG157" s="483"/>
      <c r="AH157" s="514">
        <f t="shared" si="62"/>
        <v>6954</v>
      </c>
      <c r="AI157" s="520">
        <v>4297.7084662105908</v>
      </c>
      <c r="AJ157" s="484">
        <f t="shared" si="63"/>
        <v>4297.7084662105908</v>
      </c>
      <c r="AK157" s="484"/>
      <c r="AL157" s="514">
        <f t="shared" si="64"/>
        <v>4297.7084662105908</v>
      </c>
      <c r="AM157" s="526">
        <v>13688.99733681892</v>
      </c>
      <c r="AN157" s="485">
        <f t="shared" si="65"/>
        <v>13688.99733681892</v>
      </c>
      <c r="AO157" s="485"/>
      <c r="AP157" s="514">
        <f t="shared" si="66"/>
        <v>13688.99733681892</v>
      </c>
      <c r="AQ157" s="530">
        <f t="shared" si="67"/>
        <v>13688.99733681892</v>
      </c>
    </row>
    <row r="158" spans="1:43" x14ac:dyDescent="0.55000000000000004">
      <c r="A158" s="316" t="s">
        <v>390</v>
      </c>
      <c r="B158" s="218" t="s">
        <v>391</v>
      </c>
      <c r="C158" s="218" t="s">
        <v>406</v>
      </c>
      <c r="D158" s="105" t="s">
        <v>407</v>
      </c>
      <c r="E158" s="100"/>
      <c r="F158" s="34"/>
      <c r="G158" s="34"/>
      <c r="H158" s="480">
        <v>65499.917413585019</v>
      </c>
      <c r="I158" s="480" t="s">
        <v>413</v>
      </c>
      <c r="J158" s="486">
        <v>3</v>
      </c>
      <c r="K158" s="318"/>
      <c r="L158" s="482"/>
      <c r="M158" s="482">
        <f t="shared" si="68"/>
        <v>0</v>
      </c>
      <c r="N158" s="509">
        <f t="shared" si="52"/>
        <v>0</v>
      </c>
      <c r="O158" s="515">
        <v>12547.347579515104</v>
      </c>
      <c r="P158" s="483"/>
      <c r="Q158" s="483">
        <f t="shared" si="69"/>
        <v>6273.6737897575522</v>
      </c>
      <c r="R158" s="514">
        <f t="shared" si="54"/>
        <v>6273.6737897575522</v>
      </c>
      <c r="S158" s="515">
        <v>35263.479435482092</v>
      </c>
      <c r="T158" s="483"/>
      <c r="U158" s="483">
        <f t="shared" si="70"/>
        <v>17631.739717741046</v>
      </c>
      <c r="V158" s="514">
        <f t="shared" si="56"/>
        <v>17631.739717741046</v>
      </c>
      <c r="W158" s="515">
        <v>12721.227834511414</v>
      </c>
      <c r="X158" s="483"/>
      <c r="Y158" s="483">
        <f t="shared" si="71"/>
        <v>6360.6139172557068</v>
      </c>
      <c r="Z158" s="514">
        <f t="shared" si="58"/>
        <v>6360.6139172557068</v>
      </c>
      <c r="AA158" s="515">
        <v>28458.77568084903</v>
      </c>
      <c r="AB158" s="483"/>
      <c r="AC158" s="483">
        <f t="shared" si="72"/>
        <v>14229.387840424515</v>
      </c>
      <c r="AD158" s="514">
        <f t="shared" si="60"/>
        <v>14229.387840424515</v>
      </c>
      <c r="AE158" s="515">
        <v>11528</v>
      </c>
      <c r="AF158" s="483"/>
      <c r="AG158" s="483">
        <f t="shared" si="73"/>
        <v>5764</v>
      </c>
      <c r="AH158" s="514">
        <f t="shared" si="62"/>
        <v>5764</v>
      </c>
      <c r="AI158" s="520">
        <v>46989.071188006637</v>
      </c>
      <c r="AJ158" s="484"/>
      <c r="AK158" s="484">
        <f t="shared" si="74"/>
        <v>23494.535594003319</v>
      </c>
      <c r="AL158" s="514">
        <f t="shared" si="64"/>
        <v>23494.535594003319</v>
      </c>
      <c r="AM158" s="526">
        <v>51550.860927358575</v>
      </c>
      <c r="AN158" s="485"/>
      <c r="AO158" s="485">
        <f t="shared" si="75"/>
        <v>25775.430463679288</v>
      </c>
      <c r="AP158" s="514">
        <f t="shared" si="66"/>
        <v>25775.430463679288</v>
      </c>
      <c r="AQ158" s="530">
        <f t="shared" si="67"/>
        <v>25775.430463679288</v>
      </c>
    </row>
    <row r="159" spans="1:43" x14ac:dyDescent="0.55000000000000004">
      <c r="A159" s="316" t="s">
        <v>390</v>
      </c>
      <c r="B159" s="218" t="s">
        <v>391</v>
      </c>
      <c r="C159" s="218" t="s">
        <v>408</v>
      </c>
      <c r="D159" s="105" t="s">
        <v>409</v>
      </c>
      <c r="E159" s="100"/>
      <c r="F159" s="34"/>
      <c r="G159" s="34"/>
      <c r="H159" s="480">
        <v>76119.104669093867</v>
      </c>
      <c r="I159" s="480" t="s">
        <v>413</v>
      </c>
      <c r="J159" s="486">
        <v>4</v>
      </c>
      <c r="K159" s="318"/>
      <c r="L159" s="482">
        <f t="shared" si="51"/>
        <v>0</v>
      </c>
      <c r="M159" s="482"/>
      <c r="N159" s="509">
        <f t="shared" si="52"/>
        <v>0</v>
      </c>
      <c r="O159" s="515">
        <v>15328.027988110762</v>
      </c>
      <c r="P159" s="483">
        <f t="shared" si="53"/>
        <v>15328.027988110762</v>
      </c>
      <c r="Q159" s="483"/>
      <c r="R159" s="514">
        <f t="shared" si="54"/>
        <v>15328.027988110762</v>
      </c>
      <c r="S159" s="515">
        <v>32825.390849720112</v>
      </c>
      <c r="T159" s="483">
        <f t="shared" si="55"/>
        <v>32825.390849720112</v>
      </c>
      <c r="U159" s="483"/>
      <c r="V159" s="514">
        <f t="shared" si="56"/>
        <v>32825.390849720112</v>
      </c>
      <c r="W159" s="515">
        <v>32718.060704017036</v>
      </c>
      <c r="X159" s="483">
        <f t="shared" si="57"/>
        <v>32718.060704017036</v>
      </c>
      <c r="Y159" s="483"/>
      <c r="Z159" s="514">
        <f t="shared" si="58"/>
        <v>0</v>
      </c>
      <c r="AA159" s="515">
        <v>46305.191128608982</v>
      </c>
      <c r="AB159" s="483">
        <f t="shared" si="59"/>
        <v>46305.191128608982</v>
      </c>
      <c r="AC159" s="483"/>
      <c r="AD159" s="514">
        <f t="shared" si="60"/>
        <v>46305.191128608982</v>
      </c>
      <c r="AE159" s="515">
        <v>26794</v>
      </c>
      <c r="AF159" s="483">
        <f t="shared" si="61"/>
        <v>26794</v>
      </c>
      <c r="AG159" s="483"/>
      <c r="AH159" s="514">
        <f t="shared" si="62"/>
        <v>26794</v>
      </c>
      <c r="AI159" s="520">
        <v>71842.750474200948</v>
      </c>
      <c r="AJ159" s="484">
        <f t="shared" si="63"/>
        <v>71842.750474200948</v>
      </c>
      <c r="AK159" s="484"/>
      <c r="AL159" s="514">
        <f t="shared" si="64"/>
        <v>71842.750474200948</v>
      </c>
      <c r="AM159" s="526">
        <v>58498.941551248063</v>
      </c>
      <c r="AN159" s="485">
        <f t="shared" si="65"/>
        <v>58498.941551248063</v>
      </c>
      <c r="AO159" s="485"/>
      <c r="AP159" s="514">
        <f t="shared" si="66"/>
        <v>58498.941551248063</v>
      </c>
      <c r="AQ159" s="530">
        <f t="shared" si="67"/>
        <v>71842.750474200948</v>
      </c>
    </row>
    <row r="160" spans="1:43" x14ac:dyDescent="0.55000000000000004">
      <c r="A160" s="316" t="s">
        <v>390</v>
      </c>
      <c r="B160" s="218" t="s">
        <v>391</v>
      </c>
      <c r="C160" s="218" t="s">
        <v>410</v>
      </c>
      <c r="D160" s="105" t="s">
        <v>411</v>
      </c>
      <c r="E160" s="100"/>
      <c r="F160" s="34"/>
      <c r="G160" s="34"/>
      <c r="H160" s="480">
        <v>122615.70597189905</v>
      </c>
      <c r="I160" s="480" t="s">
        <v>413</v>
      </c>
      <c r="J160" s="486">
        <v>3</v>
      </c>
      <c r="K160" s="318"/>
      <c r="L160" s="482"/>
      <c r="M160" s="482">
        <f t="shared" si="68"/>
        <v>0</v>
      </c>
      <c r="N160" s="509">
        <f t="shared" si="52"/>
        <v>0</v>
      </c>
      <c r="O160" s="515">
        <v>22705.485969052377</v>
      </c>
      <c r="P160" s="483"/>
      <c r="Q160" s="483">
        <f t="shared" si="69"/>
        <v>11352.742984526189</v>
      </c>
      <c r="R160" s="514">
        <f t="shared" si="54"/>
        <v>11352.742984526189</v>
      </c>
      <c r="S160" s="515">
        <v>53180.637302829513</v>
      </c>
      <c r="T160" s="483"/>
      <c r="U160" s="483">
        <f t="shared" si="70"/>
        <v>26590.318651414756</v>
      </c>
      <c r="V160" s="514">
        <f t="shared" si="56"/>
        <v>26590.318651414756</v>
      </c>
      <c r="W160" s="515">
        <v>31094.834456471111</v>
      </c>
      <c r="X160" s="483"/>
      <c r="Y160" s="483">
        <f t="shared" si="71"/>
        <v>15547.417228235556</v>
      </c>
      <c r="Z160" s="514">
        <f t="shared" si="58"/>
        <v>15547.417228235556</v>
      </c>
      <c r="AA160" s="515">
        <v>60015.496545281159</v>
      </c>
      <c r="AB160" s="483"/>
      <c r="AC160" s="483">
        <f t="shared" si="72"/>
        <v>30007.74827264058</v>
      </c>
      <c r="AD160" s="514">
        <f t="shared" si="60"/>
        <v>30007.74827264058</v>
      </c>
      <c r="AE160" s="515">
        <v>43161</v>
      </c>
      <c r="AF160" s="483"/>
      <c r="AG160" s="483">
        <f t="shared" si="73"/>
        <v>21580.5</v>
      </c>
      <c r="AH160" s="514">
        <f t="shared" si="62"/>
        <v>21580.5</v>
      </c>
      <c r="AI160" s="520">
        <v>81743.803981266028</v>
      </c>
      <c r="AJ160" s="484"/>
      <c r="AK160" s="484">
        <f t="shared" si="74"/>
        <v>40871.901990633014</v>
      </c>
      <c r="AL160" s="514">
        <f t="shared" si="64"/>
        <v>40871.901990633014</v>
      </c>
      <c r="AM160" s="526">
        <v>91961.779478924291</v>
      </c>
      <c r="AN160" s="485"/>
      <c r="AO160" s="485">
        <f t="shared" si="75"/>
        <v>45980.889739462145</v>
      </c>
      <c r="AP160" s="514">
        <f t="shared" si="66"/>
        <v>45980.889739462145</v>
      </c>
      <c r="AQ160" s="530">
        <f t="shared" si="67"/>
        <v>45980.889739462145</v>
      </c>
    </row>
    <row r="161" spans="1:43" ht="27.6" x14ac:dyDescent="0.55000000000000004">
      <c r="A161" s="316" t="s">
        <v>233</v>
      </c>
      <c r="B161" s="218" t="s">
        <v>234</v>
      </c>
      <c r="C161" s="218" t="s">
        <v>233</v>
      </c>
      <c r="D161" s="105" t="s">
        <v>235</v>
      </c>
      <c r="E161" s="100"/>
      <c r="F161" s="34"/>
      <c r="G161" s="34"/>
      <c r="H161" s="480">
        <v>19107.704392085096</v>
      </c>
      <c r="I161" s="480" t="s">
        <v>414</v>
      </c>
      <c r="J161" s="486">
        <v>4</v>
      </c>
      <c r="K161" s="318">
        <v>0</v>
      </c>
      <c r="L161" s="482">
        <f t="shared" si="51"/>
        <v>0</v>
      </c>
      <c r="M161" s="482"/>
      <c r="N161" s="509">
        <f t="shared" si="52"/>
        <v>0</v>
      </c>
      <c r="O161" s="515">
        <v>2193.5644642113693</v>
      </c>
      <c r="P161" s="483">
        <f t="shared" si="53"/>
        <v>2193.5644642113693</v>
      </c>
      <c r="Q161" s="483"/>
      <c r="R161" s="514">
        <f t="shared" si="54"/>
        <v>2193.5644642113693</v>
      </c>
      <c r="S161" s="515">
        <v>7075.1826001879772</v>
      </c>
      <c r="T161" s="483">
        <f t="shared" si="55"/>
        <v>7075.1826001879772</v>
      </c>
      <c r="U161" s="483"/>
      <c r="V161" s="514">
        <f t="shared" si="56"/>
        <v>7075.1826001879772</v>
      </c>
      <c r="W161" s="515">
        <v>11794.500496437133</v>
      </c>
      <c r="X161" s="483">
        <f t="shared" si="57"/>
        <v>11794.500496437133</v>
      </c>
      <c r="Y161" s="483"/>
      <c r="Z161" s="514">
        <f t="shared" si="58"/>
        <v>0</v>
      </c>
      <c r="AA161" s="515">
        <v>13376.411804553156</v>
      </c>
      <c r="AB161" s="483">
        <f t="shared" si="59"/>
        <v>13376.411804553156</v>
      </c>
      <c r="AC161" s="483"/>
      <c r="AD161" s="514">
        <f t="shared" si="60"/>
        <v>13376.411804553156</v>
      </c>
      <c r="AE161" s="515">
        <v>12835</v>
      </c>
      <c r="AF161" s="483">
        <f t="shared" si="61"/>
        <v>12835</v>
      </c>
      <c r="AG161" s="483"/>
      <c r="AH161" s="514">
        <f t="shared" si="62"/>
        <v>12835</v>
      </c>
      <c r="AI161" s="520">
        <v>3980.7717483510619</v>
      </c>
      <c r="AJ161" s="484">
        <f t="shared" si="63"/>
        <v>3980.7717483510619</v>
      </c>
      <c r="AK161" s="484"/>
      <c r="AL161" s="514">
        <f t="shared" si="64"/>
        <v>3980.7717483510619</v>
      </c>
      <c r="AM161" s="526">
        <v>7430.7739302553136</v>
      </c>
      <c r="AN161" s="485">
        <f t="shared" si="65"/>
        <v>7430.7739302553136</v>
      </c>
      <c r="AO161" s="485"/>
      <c r="AP161" s="514">
        <f t="shared" si="66"/>
        <v>7430.7739302553136</v>
      </c>
      <c r="AQ161" s="530">
        <f t="shared" si="67"/>
        <v>13376.411804553156</v>
      </c>
    </row>
    <row r="162" spans="1:43" x14ac:dyDescent="0.55000000000000004">
      <c r="A162" s="316" t="s">
        <v>236</v>
      </c>
      <c r="B162" s="218" t="s">
        <v>237</v>
      </c>
      <c r="C162" s="218" t="s">
        <v>238</v>
      </c>
      <c r="D162" s="105" t="s">
        <v>239</v>
      </c>
      <c r="E162" s="100"/>
      <c r="F162" s="34"/>
      <c r="G162" s="34"/>
      <c r="H162" s="480">
        <v>58949.896431430854</v>
      </c>
      <c r="I162" s="480" t="s">
        <v>414</v>
      </c>
      <c r="J162" s="486">
        <v>3</v>
      </c>
      <c r="K162" s="318">
        <v>8842.4844647146274</v>
      </c>
      <c r="L162" s="482"/>
      <c r="M162" s="482">
        <f t="shared" si="68"/>
        <v>4421.2422323573137</v>
      </c>
      <c r="N162" s="509">
        <f t="shared" si="52"/>
        <v>4421.2422323573137</v>
      </c>
      <c r="O162" s="515">
        <v>6550.2177419784402</v>
      </c>
      <c r="P162" s="483"/>
      <c r="Q162" s="483">
        <f t="shared" si="69"/>
        <v>3275.1088709892201</v>
      </c>
      <c r="R162" s="514">
        <f t="shared" si="54"/>
        <v>3275.1088709892201</v>
      </c>
      <c r="S162" s="515">
        <v>17674.597144544001</v>
      </c>
      <c r="T162" s="483"/>
      <c r="U162" s="483">
        <f t="shared" si="70"/>
        <v>8837.2985722720005</v>
      </c>
      <c r="V162" s="514">
        <f t="shared" si="56"/>
        <v>8837.2985722720005</v>
      </c>
      <c r="W162" s="515">
        <v>41481.714534482526</v>
      </c>
      <c r="X162" s="483"/>
      <c r="Y162" s="483">
        <f t="shared" si="71"/>
        <v>20740.857267241263</v>
      </c>
      <c r="Z162" s="514">
        <f t="shared" si="58"/>
        <v>20740.857267241263</v>
      </c>
      <c r="AA162" s="515">
        <v>32691.349000802427</v>
      </c>
      <c r="AB162" s="483"/>
      <c r="AC162" s="483">
        <f t="shared" si="72"/>
        <v>16345.674500401214</v>
      </c>
      <c r="AD162" s="514">
        <f t="shared" si="60"/>
        <v>16345.674500401214</v>
      </c>
      <c r="AE162" s="515">
        <v>36350</v>
      </c>
      <c r="AF162" s="483"/>
      <c r="AG162" s="483">
        <f t="shared" si="73"/>
        <v>18175</v>
      </c>
      <c r="AH162" s="514">
        <f t="shared" si="62"/>
        <v>18175</v>
      </c>
      <c r="AI162" s="520">
        <v>53054.906788287772</v>
      </c>
      <c r="AJ162" s="484"/>
      <c r="AK162" s="484">
        <f t="shared" si="74"/>
        <v>26527.453394143886</v>
      </c>
      <c r="AL162" s="514">
        <f t="shared" si="64"/>
        <v>26527.453394143886</v>
      </c>
      <c r="AM162" s="526">
        <v>23044.050423195691</v>
      </c>
      <c r="AN162" s="485"/>
      <c r="AO162" s="485">
        <f t="shared" si="75"/>
        <v>11522.025211597846</v>
      </c>
      <c r="AP162" s="514">
        <f t="shared" si="66"/>
        <v>11522.025211597846</v>
      </c>
      <c r="AQ162" s="530">
        <f t="shared" si="67"/>
        <v>26527.453394143886</v>
      </c>
    </row>
    <row r="163" spans="1:43" x14ac:dyDescent="0.55000000000000004">
      <c r="A163" s="316" t="s">
        <v>236</v>
      </c>
      <c r="B163" s="218" t="s">
        <v>237</v>
      </c>
      <c r="C163" s="218" t="s">
        <v>240</v>
      </c>
      <c r="D163" s="105" t="s">
        <v>241</v>
      </c>
      <c r="E163" s="100"/>
      <c r="F163" s="34"/>
      <c r="G163" s="34"/>
      <c r="H163" s="480">
        <v>15480.714285714301</v>
      </c>
      <c r="I163" s="480" t="s">
        <v>414</v>
      </c>
      <c r="J163" s="486">
        <v>3</v>
      </c>
      <c r="K163" s="318">
        <v>2322.1071428571449</v>
      </c>
      <c r="L163" s="482"/>
      <c r="M163" s="482">
        <f t="shared" si="68"/>
        <v>1161.0535714285725</v>
      </c>
      <c r="N163" s="509">
        <f t="shared" si="52"/>
        <v>1161.0535714285725</v>
      </c>
      <c r="O163" s="515">
        <v>1156.0625891428585</v>
      </c>
      <c r="P163" s="483"/>
      <c r="Q163" s="483">
        <f t="shared" si="69"/>
        <v>578.03129457142927</v>
      </c>
      <c r="R163" s="514">
        <f t="shared" si="54"/>
        <v>578.03129457142927</v>
      </c>
      <c r="S163" s="515">
        <v>5203.6877773058141</v>
      </c>
      <c r="T163" s="483"/>
      <c r="U163" s="483">
        <f t="shared" si="70"/>
        <v>2601.843888652907</v>
      </c>
      <c r="V163" s="514">
        <f t="shared" si="56"/>
        <v>2601.843888652907</v>
      </c>
      <c r="W163" s="515">
        <v>10719.781647911757</v>
      </c>
      <c r="X163" s="483"/>
      <c r="Y163" s="483">
        <f t="shared" si="71"/>
        <v>5359.8908239558787</v>
      </c>
      <c r="Z163" s="514">
        <f t="shared" si="58"/>
        <v>5359.8908239558787</v>
      </c>
      <c r="AA163" s="515">
        <v>8201.4928080468017</v>
      </c>
      <c r="AB163" s="483"/>
      <c r="AC163" s="483">
        <f t="shared" si="72"/>
        <v>4100.7464040234008</v>
      </c>
      <c r="AD163" s="514">
        <f t="shared" si="60"/>
        <v>4100.7464040234008</v>
      </c>
      <c r="AE163" s="515">
        <v>11582</v>
      </c>
      <c r="AF163" s="483"/>
      <c r="AG163" s="483">
        <f t="shared" si="73"/>
        <v>5791</v>
      </c>
      <c r="AH163" s="514">
        <f t="shared" si="62"/>
        <v>5791</v>
      </c>
      <c r="AI163" s="520">
        <v>12115.341614906843</v>
      </c>
      <c r="AJ163" s="484"/>
      <c r="AK163" s="484">
        <f t="shared" si="74"/>
        <v>6057.6708074534217</v>
      </c>
      <c r="AL163" s="514">
        <f t="shared" si="64"/>
        <v>6057.6708074534217</v>
      </c>
      <c r="AM163" s="526">
        <v>12613.915343915358</v>
      </c>
      <c r="AN163" s="485"/>
      <c r="AO163" s="485">
        <f t="shared" si="75"/>
        <v>6306.9576719576789</v>
      </c>
      <c r="AP163" s="514">
        <f t="shared" si="66"/>
        <v>6306.9576719576789</v>
      </c>
      <c r="AQ163" s="530">
        <f t="shared" si="67"/>
        <v>6306.9576719576789</v>
      </c>
    </row>
    <row r="164" spans="1:43" x14ac:dyDescent="0.55000000000000004">
      <c r="A164" s="316" t="s">
        <v>236</v>
      </c>
      <c r="B164" s="218" t="s">
        <v>237</v>
      </c>
      <c r="C164" s="218" t="s">
        <v>242</v>
      </c>
      <c r="D164" s="105" t="s">
        <v>243</v>
      </c>
      <c r="E164" s="100"/>
      <c r="F164" s="34"/>
      <c r="G164" s="34"/>
      <c r="H164" s="480">
        <v>7168.4285714285697</v>
      </c>
      <c r="I164" s="480" t="s">
        <v>414</v>
      </c>
      <c r="J164" s="486">
        <v>3</v>
      </c>
      <c r="K164" s="318">
        <v>1075.2642857142855</v>
      </c>
      <c r="L164" s="482"/>
      <c r="M164" s="482">
        <f t="shared" si="68"/>
        <v>537.63214285714275</v>
      </c>
      <c r="N164" s="509">
        <f t="shared" si="52"/>
        <v>537.63214285714275</v>
      </c>
      <c r="O164" s="515">
        <v>946.50497171428538</v>
      </c>
      <c r="P164" s="483"/>
      <c r="Q164" s="483">
        <f t="shared" si="69"/>
        <v>473.25248585714269</v>
      </c>
      <c r="R164" s="514">
        <f t="shared" si="54"/>
        <v>473.25248585714269</v>
      </c>
      <c r="S164" s="515">
        <v>2908.6171556660938</v>
      </c>
      <c r="T164" s="483"/>
      <c r="U164" s="483">
        <f t="shared" si="70"/>
        <v>1454.3085778330469</v>
      </c>
      <c r="V164" s="514">
        <f t="shared" si="56"/>
        <v>1454.3085778330469</v>
      </c>
      <c r="W164" s="515">
        <v>4522.8316267926803</v>
      </c>
      <c r="X164" s="483"/>
      <c r="Y164" s="483">
        <f t="shared" si="71"/>
        <v>2261.4158133963401</v>
      </c>
      <c r="Z164" s="514">
        <f t="shared" si="58"/>
        <v>2261.4158133963401</v>
      </c>
      <c r="AA164" s="515">
        <v>3264.6738077560167</v>
      </c>
      <c r="AB164" s="483"/>
      <c r="AC164" s="483">
        <f t="shared" si="72"/>
        <v>1632.3369038780083</v>
      </c>
      <c r="AD164" s="514">
        <f t="shared" si="60"/>
        <v>1632.3369038780083</v>
      </c>
      <c r="AE164" s="515">
        <v>5734</v>
      </c>
      <c r="AF164" s="483"/>
      <c r="AG164" s="483">
        <f t="shared" si="73"/>
        <v>2867</v>
      </c>
      <c r="AH164" s="514">
        <f t="shared" si="62"/>
        <v>2867</v>
      </c>
      <c r="AI164" s="520">
        <v>4262.3088803088795</v>
      </c>
      <c r="AJ164" s="484"/>
      <c r="AK164" s="484">
        <f t="shared" si="74"/>
        <v>2131.1544401544397</v>
      </c>
      <c r="AL164" s="514">
        <f t="shared" si="64"/>
        <v>2131.1544401544397</v>
      </c>
      <c r="AM164" s="526">
        <v>4247.9576719576708</v>
      </c>
      <c r="AN164" s="485"/>
      <c r="AO164" s="485">
        <f t="shared" si="75"/>
        <v>2123.9788359788354</v>
      </c>
      <c r="AP164" s="514">
        <f t="shared" si="66"/>
        <v>2123.9788359788354</v>
      </c>
      <c r="AQ164" s="530">
        <f t="shared" si="67"/>
        <v>2867</v>
      </c>
    </row>
    <row r="165" spans="1:43" x14ac:dyDescent="0.55000000000000004">
      <c r="A165" s="316" t="s">
        <v>236</v>
      </c>
      <c r="B165" s="218" t="s">
        <v>237</v>
      </c>
      <c r="C165" s="218" t="s">
        <v>244</v>
      </c>
      <c r="D165" s="105" t="s">
        <v>245</v>
      </c>
      <c r="E165" s="100"/>
      <c r="F165" s="34"/>
      <c r="G165" s="34"/>
      <c r="H165" s="480">
        <v>12810</v>
      </c>
      <c r="I165" s="480" t="s">
        <v>414</v>
      </c>
      <c r="J165" s="486">
        <v>3</v>
      </c>
      <c r="K165" s="318">
        <v>1921.5</v>
      </c>
      <c r="L165" s="482"/>
      <c r="M165" s="482">
        <f t="shared" si="68"/>
        <v>960.75</v>
      </c>
      <c r="N165" s="509">
        <f t="shared" si="52"/>
        <v>960.75</v>
      </c>
      <c r="O165" s="515">
        <v>2267.1009900000008</v>
      </c>
      <c r="P165" s="483"/>
      <c r="Q165" s="483">
        <f t="shared" si="69"/>
        <v>1133.5504950000004</v>
      </c>
      <c r="R165" s="514">
        <f t="shared" si="54"/>
        <v>1133.5504950000004</v>
      </c>
      <c r="S165" s="515">
        <v>4254.9339178423834</v>
      </c>
      <c r="T165" s="483"/>
      <c r="U165" s="483">
        <f t="shared" si="70"/>
        <v>2127.4669589211917</v>
      </c>
      <c r="V165" s="514">
        <f t="shared" si="56"/>
        <v>2127.4669589211917</v>
      </c>
      <c r="W165" s="515">
        <v>8702.9488718805223</v>
      </c>
      <c r="X165" s="483"/>
      <c r="Y165" s="483">
        <f t="shared" si="71"/>
        <v>4351.4744359402612</v>
      </c>
      <c r="Z165" s="514">
        <f t="shared" si="58"/>
        <v>4351.4744359402612</v>
      </c>
      <c r="AA165" s="515">
        <v>8317.7434594622391</v>
      </c>
      <c r="AB165" s="483"/>
      <c r="AC165" s="483">
        <f t="shared" si="72"/>
        <v>4158.8717297311196</v>
      </c>
      <c r="AD165" s="514">
        <f t="shared" si="60"/>
        <v>4158.8717297311196</v>
      </c>
      <c r="AE165" s="515">
        <v>10248</v>
      </c>
      <c r="AF165" s="483"/>
      <c r="AG165" s="483">
        <f t="shared" si="73"/>
        <v>5124</v>
      </c>
      <c r="AH165" s="514">
        <f t="shared" si="62"/>
        <v>5124</v>
      </c>
      <c r="AI165" s="520">
        <v>6767.5471698113206</v>
      </c>
      <c r="AJ165" s="484"/>
      <c r="AK165" s="484">
        <f t="shared" si="74"/>
        <v>3383.7735849056603</v>
      </c>
      <c r="AL165" s="514">
        <f t="shared" si="64"/>
        <v>3383.7735849056603</v>
      </c>
      <c r="AM165" s="526">
        <v>7235.2777777777774</v>
      </c>
      <c r="AN165" s="485"/>
      <c r="AO165" s="485">
        <f t="shared" si="75"/>
        <v>3617.6388888888887</v>
      </c>
      <c r="AP165" s="514">
        <f t="shared" si="66"/>
        <v>3617.6388888888887</v>
      </c>
      <c r="AQ165" s="530">
        <f t="shared" si="67"/>
        <v>5124</v>
      </c>
    </row>
    <row r="166" spans="1:43" x14ac:dyDescent="0.55000000000000004">
      <c r="A166" s="316" t="s">
        <v>236</v>
      </c>
      <c r="B166" s="218" t="s">
        <v>237</v>
      </c>
      <c r="C166" s="218" t="s">
        <v>246</v>
      </c>
      <c r="D166" s="105" t="s">
        <v>247</v>
      </c>
      <c r="E166" s="100"/>
      <c r="F166" s="34"/>
      <c r="G166" s="34"/>
      <c r="H166" s="480">
        <v>1080</v>
      </c>
      <c r="I166" s="480" t="s">
        <v>414</v>
      </c>
      <c r="J166" s="486">
        <v>3</v>
      </c>
      <c r="K166" s="318">
        <v>162</v>
      </c>
      <c r="L166" s="482"/>
      <c r="M166" s="482">
        <f t="shared" si="68"/>
        <v>81</v>
      </c>
      <c r="N166" s="509">
        <f t="shared" si="52"/>
        <v>81</v>
      </c>
      <c r="O166" s="515">
        <v>286.52939999999995</v>
      </c>
      <c r="P166" s="483"/>
      <c r="Q166" s="483">
        <f t="shared" si="69"/>
        <v>143.26469999999998</v>
      </c>
      <c r="R166" s="514">
        <f t="shared" si="54"/>
        <v>143.26469999999998</v>
      </c>
      <c r="S166" s="515">
        <v>317.59672063227879</v>
      </c>
      <c r="T166" s="483"/>
      <c r="U166" s="483">
        <f t="shared" si="70"/>
        <v>158.79836031613939</v>
      </c>
      <c r="V166" s="514">
        <f t="shared" si="56"/>
        <v>158.79836031613939</v>
      </c>
      <c r="W166" s="515">
        <v>695.53313773454511</v>
      </c>
      <c r="X166" s="483"/>
      <c r="Y166" s="483">
        <f t="shared" si="71"/>
        <v>347.76656886727255</v>
      </c>
      <c r="Z166" s="514">
        <f t="shared" si="58"/>
        <v>347.76656886727255</v>
      </c>
      <c r="AA166" s="515">
        <v>552.33460061218318</v>
      </c>
      <c r="AB166" s="483"/>
      <c r="AC166" s="483">
        <f t="shared" si="72"/>
        <v>276.16730030609159</v>
      </c>
      <c r="AD166" s="514">
        <f t="shared" si="60"/>
        <v>276.16730030609159</v>
      </c>
      <c r="AE166" s="515">
        <v>756</v>
      </c>
      <c r="AF166" s="483"/>
      <c r="AG166" s="483">
        <f t="shared" si="73"/>
        <v>378</v>
      </c>
      <c r="AH166" s="514">
        <f t="shared" si="62"/>
        <v>378</v>
      </c>
      <c r="AI166" s="520">
        <v>1080</v>
      </c>
      <c r="AJ166" s="484"/>
      <c r="AK166" s="484">
        <f t="shared" si="74"/>
        <v>540</v>
      </c>
      <c r="AL166" s="514">
        <f t="shared" si="64"/>
        <v>540</v>
      </c>
      <c r="AM166" s="526">
        <v>390</v>
      </c>
      <c r="AN166" s="485"/>
      <c r="AO166" s="485">
        <f t="shared" si="75"/>
        <v>195</v>
      </c>
      <c r="AP166" s="514">
        <f t="shared" si="66"/>
        <v>195</v>
      </c>
      <c r="AQ166" s="530">
        <f t="shared" si="67"/>
        <v>540</v>
      </c>
    </row>
    <row r="167" spans="1:43" x14ac:dyDescent="0.55000000000000004">
      <c r="A167" s="316" t="s">
        <v>236</v>
      </c>
      <c r="B167" s="218" t="s">
        <v>237</v>
      </c>
      <c r="C167" s="218" t="s">
        <v>248</v>
      </c>
      <c r="D167" s="105" t="s">
        <v>249</v>
      </c>
      <c r="E167" s="100"/>
      <c r="F167" s="34"/>
      <c r="G167" s="34"/>
      <c r="H167" s="480">
        <v>29744.714285714301</v>
      </c>
      <c r="I167" s="480" t="s">
        <v>414</v>
      </c>
      <c r="J167" s="486">
        <v>3</v>
      </c>
      <c r="K167" s="318">
        <v>4461.7071428571453</v>
      </c>
      <c r="L167" s="482"/>
      <c r="M167" s="482">
        <f t="shared" si="68"/>
        <v>2230.8535714285726</v>
      </c>
      <c r="N167" s="509">
        <f t="shared" si="52"/>
        <v>2230.8535714285726</v>
      </c>
      <c r="O167" s="515">
        <v>5211.4226664285743</v>
      </c>
      <c r="P167" s="483"/>
      <c r="Q167" s="483">
        <f t="shared" si="69"/>
        <v>2605.7113332142872</v>
      </c>
      <c r="R167" s="514">
        <f t="shared" si="54"/>
        <v>2605.7113332142872</v>
      </c>
      <c r="S167" s="515">
        <v>10220.671070248991</v>
      </c>
      <c r="T167" s="483"/>
      <c r="U167" s="483">
        <f t="shared" si="70"/>
        <v>5110.3355351244954</v>
      </c>
      <c r="V167" s="514">
        <f t="shared" si="56"/>
        <v>5110.3355351244954</v>
      </c>
      <c r="W167" s="515">
        <v>14617.10963694004</v>
      </c>
      <c r="X167" s="483"/>
      <c r="Y167" s="483">
        <f t="shared" si="71"/>
        <v>7308.5548184700201</v>
      </c>
      <c r="Z167" s="514">
        <f t="shared" si="58"/>
        <v>7308.5548184700201</v>
      </c>
      <c r="AA167" s="515">
        <v>13731.645271310555</v>
      </c>
      <c r="AB167" s="483"/>
      <c r="AC167" s="483">
        <f t="shared" si="72"/>
        <v>6865.8226356552777</v>
      </c>
      <c r="AD167" s="514">
        <f t="shared" si="60"/>
        <v>6865.8226356552777</v>
      </c>
      <c r="AE167" s="515">
        <v>12526</v>
      </c>
      <c r="AF167" s="483"/>
      <c r="AG167" s="483">
        <f t="shared" si="73"/>
        <v>6263</v>
      </c>
      <c r="AH167" s="514">
        <f t="shared" si="62"/>
        <v>6263</v>
      </c>
      <c r="AI167" s="520">
        <v>12747.734693877555</v>
      </c>
      <c r="AJ167" s="484"/>
      <c r="AK167" s="484">
        <f t="shared" si="74"/>
        <v>6373.8673469387777</v>
      </c>
      <c r="AL167" s="514">
        <f t="shared" si="64"/>
        <v>6373.8673469387777</v>
      </c>
      <c r="AM167" s="526">
        <v>24236.433862433874</v>
      </c>
      <c r="AN167" s="485"/>
      <c r="AO167" s="485">
        <f t="shared" si="75"/>
        <v>12118.216931216937</v>
      </c>
      <c r="AP167" s="514">
        <f t="shared" si="66"/>
        <v>12118.216931216937</v>
      </c>
      <c r="AQ167" s="530">
        <f t="shared" si="67"/>
        <v>12118.216931216937</v>
      </c>
    </row>
    <row r="168" spans="1:43" x14ac:dyDescent="0.55000000000000004">
      <c r="A168" s="316" t="s">
        <v>250</v>
      </c>
      <c r="B168" s="218" t="s">
        <v>251</v>
      </c>
      <c r="C168" s="218" t="s">
        <v>252</v>
      </c>
      <c r="D168" s="105" t="s">
        <v>253</v>
      </c>
      <c r="E168" s="100"/>
      <c r="F168" s="34"/>
      <c r="G168" s="34"/>
      <c r="H168" s="480">
        <v>2130</v>
      </c>
      <c r="I168" s="480" t="s">
        <v>414</v>
      </c>
      <c r="J168" s="486">
        <v>3</v>
      </c>
      <c r="K168" s="318">
        <v>319.5</v>
      </c>
      <c r="L168" s="482"/>
      <c r="M168" s="482">
        <f t="shared" si="68"/>
        <v>159.75</v>
      </c>
      <c r="N168" s="509">
        <f t="shared" si="52"/>
        <v>159.75</v>
      </c>
      <c r="O168" s="515">
        <v>696.26717999999994</v>
      </c>
      <c r="P168" s="483"/>
      <c r="Q168" s="483">
        <f t="shared" si="69"/>
        <v>348.13358999999997</v>
      </c>
      <c r="R168" s="514">
        <f t="shared" si="54"/>
        <v>348.13358999999997</v>
      </c>
      <c r="S168" s="515">
        <v>845.92589592819127</v>
      </c>
      <c r="T168" s="483"/>
      <c r="U168" s="483">
        <f t="shared" si="70"/>
        <v>422.96294796409563</v>
      </c>
      <c r="V168" s="514">
        <f t="shared" si="56"/>
        <v>422.96294796409563</v>
      </c>
      <c r="W168" s="515">
        <v>1368.8514530202656</v>
      </c>
      <c r="X168" s="483"/>
      <c r="Y168" s="483">
        <f t="shared" si="71"/>
        <v>684.42572651013279</v>
      </c>
      <c r="Z168" s="514">
        <f t="shared" si="58"/>
        <v>684.42572651013279</v>
      </c>
      <c r="AA168" s="515">
        <v>933.32470616313424</v>
      </c>
      <c r="AB168" s="483"/>
      <c r="AC168" s="483">
        <f t="shared" si="72"/>
        <v>466.66235308156712</v>
      </c>
      <c r="AD168" s="514">
        <f t="shared" si="60"/>
        <v>466.66235308156712</v>
      </c>
      <c r="AE168" s="515">
        <v>1491</v>
      </c>
      <c r="AF168" s="483"/>
      <c r="AG168" s="483">
        <f t="shared" si="73"/>
        <v>745.5</v>
      </c>
      <c r="AH168" s="514">
        <f t="shared" si="62"/>
        <v>745.5</v>
      </c>
      <c r="AI168" s="520">
        <v>0</v>
      </c>
      <c r="AJ168" s="484"/>
      <c r="AK168" s="484">
        <f t="shared" si="74"/>
        <v>0</v>
      </c>
      <c r="AL168" s="514">
        <f t="shared" si="64"/>
        <v>0</v>
      </c>
      <c r="AM168" s="526">
        <v>1597.5000000000002</v>
      </c>
      <c r="AN168" s="485"/>
      <c r="AO168" s="485">
        <f t="shared" si="75"/>
        <v>798.75000000000011</v>
      </c>
      <c r="AP168" s="514">
        <f t="shared" si="66"/>
        <v>798.75000000000011</v>
      </c>
      <c r="AQ168" s="530">
        <f t="shared" si="67"/>
        <v>798.75000000000011</v>
      </c>
    </row>
    <row r="169" spans="1:43" x14ac:dyDescent="0.55000000000000004">
      <c r="A169" s="316" t="s">
        <v>250</v>
      </c>
      <c r="B169" s="218" t="s">
        <v>251</v>
      </c>
      <c r="C169" s="218" t="s">
        <v>254</v>
      </c>
      <c r="D169" s="105" t="s">
        <v>255</v>
      </c>
      <c r="E169" s="100"/>
      <c r="F169" s="34"/>
      <c r="G169" s="34"/>
      <c r="H169" s="480">
        <v>3437.4285714285702</v>
      </c>
      <c r="I169" s="480" t="s">
        <v>414</v>
      </c>
      <c r="J169" s="486">
        <v>3</v>
      </c>
      <c r="K169" s="318">
        <v>515.61428571428553</v>
      </c>
      <c r="L169" s="482"/>
      <c r="M169" s="482">
        <f t="shared" si="68"/>
        <v>257.80714285714276</v>
      </c>
      <c r="N169" s="509">
        <f t="shared" si="52"/>
        <v>257.80714285714276</v>
      </c>
      <c r="O169" s="515">
        <v>150.03000742857137</v>
      </c>
      <c r="P169" s="483"/>
      <c r="Q169" s="483">
        <f t="shared" si="69"/>
        <v>75.015003714285683</v>
      </c>
      <c r="R169" s="514">
        <f t="shared" si="54"/>
        <v>75.015003714285683</v>
      </c>
      <c r="S169" s="515">
        <v>1394.2955478144281</v>
      </c>
      <c r="T169" s="483"/>
      <c r="U169" s="483">
        <f t="shared" si="70"/>
        <v>697.14777390721406</v>
      </c>
      <c r="V169" s="514">
        <f t="shared" si="56"/>
        <v>697.14777390721406</v>
      </c>
      <c r="W169" s="515">
        <v>1534.5901199845798</v>
      </c>
      <c r="X169" s="483"/>
      <c r="Y169" s="483">
        <f t="shared" si="71"/>
        <v>767.29505999228991</v>
      </c>
      <c r="Z169" s="514">
        <f t="shared" si="58"/>
        <v>767.29505999228991</v>
      </c>
      <c r="AA169" s="515">
        <v>1935.2460542695972</v>
      </c>
      <c r="AB169" s="483"/>
      <c r="AC169" s="483">
        <f t="shared" si="72"/>
        <v>967.62302713479858</v>
      </c>
      <c r="AD169" s="514">
        <f t="shared" si="60"/>
        <v>967.62302713479858</v>
      </c>
      <c r="AE169" s="515">
        <v>2406</v>
      </c>
      <c r="AF169" s="483"/>
      <c r="AG169" s="483">
        <f t="shared" si="73"/>
        <v>1203</v>
      </c>
      <c r="AH169" s="514">
        <f t="shared" si="62"/>
        <v>1203</v>
      </c>
      <c r="AI169" s="520">
        <v>264.41758241758231</v>
      </c>
      <c r="AJ169" s="484"/>
      <c r="AK169" s="484">
        <f t="shared" si="74"/>
        <v>132.20879120879115</v>
      </c>
      <c r="AL169" s="514">
        <f t="shared" si="64"/>
        <v>132.20879120879115</v>
      </c>
      <c r="AM169" s="526">
        <v>1671.4102228047179</v>
      </c>
      <c r="AN169" s="485"/>
      <c r="AO169" s="485">
        <f t="shared" si="75"/>
        <v>835.70511140235897</v>
      </c>
      <c r="AP169" s="514">
        <f t="shared" si="66"/>
        <v>835.70511140235897</v>
      </c>
      <c r="AQ169" s="530">
        <f t="shared" si="67"/>
        <v>1203</v>
      </c>
    </row>
    <row r="170" spans="1:43" x14ac:dyDescent="0.55000000000000004">
      <c r="A170" s="316" t="s">
        <v>250</v>
      </c>
      <c r="B170" s="218" t="s">
        <v>251</v>
      </c>
      <c r="C170" s="218" t="s">
        <v>256</v>
      </c>
      <c r="D170" s="105" t="s">
        <v>257</v>
      </c>
      <c r="E170" s="100"/>
      <c r="F170" s="34"/>
      <c r="G170" s="34"/>
      <c r="H170" s="480">
        <v>3548.7142857142862</v>
      </c>
      <c r="I170" s="480" t="s">
        <v>414</v>
      </c>
      <c r="J170" s="486">
        <v>3</v>
      </c>
      <c r="K170" s="318">
        <v>532.30714285714294</v>
      </c>
      <c r="L170" s="482"/>
      <c r="M170" s="482">
        <f t="shared" si="68"/>
        <v>266.15357142857147</v>
      </c>
      <c r="N170" s="509">
        <f t="shared" si="52"/>
        <v>266.15357142857147</v>
      </c>
      <c r="O170" s="515">
        <v>1212.2408000000003</v>
      </c>
      <c r="P170" s="483"/>
      <c r="Q170" s="483">
        <f t="shared" si="69"/>
        <v>606.12040000000013</v>
      </c>
      <c r="R170" s="514">
        <f t="shared" si="54"/>
        <v>606.12040000000013</v>
      </c>
      <c r="S170" s="515">
        <v>1379.4360186047193</v>
      </c>
      <c r="T170" s="483"/>
      <c r="U170" s="483">
        <f t="shared" si="70"/>
        <v>689.71800930235963</v>
      </c>
      <c r="V170" s="514">
        <f t="shared" si="56"/>
        <v>689.71800930235963</v>
      </c>
      <c r="W170" s="515">
        <v>2530.4016282633802</v>
      </c>
      <c r="X170" s="483"/>
      <c r="Y170" s="483">
        <f t="shared" si="71"/>
        <v>1265.2008141316901</v>
      </c>
      <c r="Z170" s="514">
        <f t="shared" si="58"/>
        <v>1265.2008141316901</v>
      </c>
      <c r="AA170" s="515">
        <v>1376.5308603151145</v>
      </c>
      <c r="AB170" s="483"/>
      <c r="AC170" s="483">
        <f t="shared" si="72"/>
        <v>688.26543015755726</v>
      </c>
      <c r="AD170" s="514">
        <f t="shared" si="60"/>
        <v>688.26543015755726</v>
      </c>
      <c r="AE170" s="515">
        <v>2090</v>
      </c>
      <c r="AF170" s="483"/>
      <c r="AG170" s="483">
        <f t="shared" si="73"/>
        <v>1045</v>
      </c>
      <c r="AH170" s="514">
        <f t="shared" si="62"/>
        <v>1045</v>
      </c>
      <c r="AI170" s="520">
        <v>0</v>
      </c>
      <c r="AJ170" s="484"/>
      <c r="AK170" s="484">
        <f t="shared" si="74"/>
        <v>0</v>
      </c>
      <c r="AL170" s="514">
        <f t="shared" si="64"/>
        <v>0</v>
      </c>
      <c r="AM170" s="526">
        <v>2825.828042328043</v>
      </c>
      <c r="AN170" s="485"/>
      <c r="AO170" s="485">
        <f t="shared" si="75"/>
        <v>1412.9140211640215</v>
      </c>
      <c r="AP170" s="514">
        <f t="shared" si="66"/>
        <v>1412.9140211640215</v>
      </c>
      <c r="AQ170" s="530">
        <f t="shared" si="67"/>
        <v>1412.9140211640215</v>
      </c>
    </row>
    <row r="171" spans="1:43" x14ac:dyDescent="0.55000000000000004">
      <c r="A171" s="316" t="s">
        <v>250</v>
      </c>
      <c r="B171" s="218" t="s">
        <v>251</v>
      </c>
      <c r="C171" s="218" t="s">
        <v>258</v>
      </c>
      <c r="D171" s="105" t="s">
        <v>259</v>
      </c>
      <c r="E171" s="100"/>
      <c r="F171" s="34"/>
      <c r="G171" s="34"/>
      <c r="H171" s="480">
        <v>3</v>
      </c>
      <c r="I171" s="480" t="s">
        <v>414</v>
      </c>
      <c r="J171" s="486">
        <v>3</v>
      </c>
      <c r="K171" s="318">
        <v>0.44999999999999996</v>
      </c>
      <c r="L171" s="482"/>
      <c r="M171" s="482">
        <f t="shared" si="68"/>
        <v>0.22499999999999998</v>
      </c>
      <c r="N171" s="509">
        <f t="shared" si="52"/>
        <v>0.22499999999999998</v>
      </c>
      <c r="O171" s="515">
        <v>1.137</v>
      </c>
      <c r="P171" s="483"/>
      <c r="Q171" s="483">
        <f t="shared" si="69"/>
        <v>0.56850000000000001</v>
      </c>
      <c r="R171" s="514">
        <f t="shared" si="54"/>
        <v>0.56850000000000001</v>
      </c>
      <c r="S171" s="515">
        <v>1.129330574868685</v>
      </c>
      <c r="T171" s="483"/>
      <c r="U171" s="483">
        <f t="shared" si="70"/>
        <v>0.56466528743434252</v>
      </c>
      <c r="V171" s="514">
        <f t="shared" si="56"/>
        <v>0.56466528743434252</v>
      </c>
      <c r="W171" s="515">
        <v>2.128098076136046</v>
      </c>
      <c r="X171" s="483"/>
      <c r="Y171" s="483">
        <f t="shared" si="71"/>
        <v>1.064049038068023</v>
      </c>
      <c r="Z171" s="514">
        <f t="shared" si="58"/>
        <v>1.064049038068023</v>
      </c>
      <c r="AA171" s="515">
        <v>1.067681687297547</v>
      </c>
      <c r="AB171" s="483"/>
      <c r="AC171" s="483">
        <f t="shared" si="72"/>
        <v>0.53384084364877349</v>
      </c>
      <c r="AD171" s="514">
        <f t="shared" si="60"/>
        <v>0.53384084364877349</v>
      </c>
      <c r="AE171" s="515">
        <v>2</v>
      </c>
      <c r="AF171" s="483"/>
      <c r="AG171" s="483">
        <f t="shared" si="73"/>
        <v>1</v>
      </c>
      <c r="AH171" s="514">
        <f t="shared" si="62"/>
        <v>1</v>
      </c>
      <c r="AI171" s="520">
        <v>0</v>
      </c>
      <c r="AJ171" s="484"/>
      <c r="AK171" s="484">
        <f t="shared" si="74"/>
        <v>0</v>
      </c>
      <c r="AL171" s="514">
        <f t="shared" si="64"/>
        <v>0</v>
      </c>
      <c r="AM171" s="526">
        <v>1.5412844036697249</v>
      </c>
      <c r="AN171" s="485"/>
      <c r="AO171" s="485">
        <f t="shared" si="75"/>
        <v>0.77064220183486243</v>
      </c>
      <c r="AP171" s="514">
        <f t="shared" si="66"/>
        <v>0.77064220183486243</v>
      </c>
      <c r="AQ171" s="530">
        <f t="shared" si="67"/>
        <v>1.064049038068023</v>
      </c>
    </row>
    <row r="172" spans="1:43" x14ac:dyDescent="0.55000000000000004">
      <c r="A172" s="316" t="s">
        <v>250</v>
      </c>
      <c r="B172" s="218" t="s">
        <v>251</v>
      </c>
      <c r="C172" s="218" t="s">
        <v>260</v>
      </c>
      <c r="D172" s="105" t="s">
        <v>261</v>
      </c>
      <c r="E172" s="100"/>
      <c r="F172" s="34"/>
      <c r="G172" s="34"/>
      <c r="H172" s="480">
        <v>9189.5714285714294</v>
      </c>
      <c r="I172" s="480" t="s">
        <v>414</v>
      </c>
      <c r="J172" s="486">
        <v>3</v>
      </c>
      <c r="K172" s="318">
        <v>1378.4357142857143</v>
      </c>
      <c r="L172" s="482"/>
      <c r="M172" s="482">
        <f t="shared" si="68"/>
        <v>689.21785714285716</v>
      </c>
      <c r="N172" s="509">
        <f t="shared" si="52"/>
        <v>689.21785714285716</v>
      </c>
      <c r="O172" s="515">
        <v>2282.200657657143</v>
      </c>
      <c r="P172" s="483"/>
      <c r="Q172" s="483">
        <f t="shared" si="69"/>
        <v>1141.1003288285715</v>
      </c>
      <c r="R172" s="514">
        <f t="shared" si="54"/>
        <v>1141.1003288285715</v>
      </c>
      <c r="S172" s="515">
        <v>3303.0990262308942</v>
      </c>
      <c r="T172" s="483"/>
      <c r="U172" s="483">
        <f t="shared" si="70"/>
        <v>1651.5495131154471</v>
      </c>
      <c r="V172" s="514">
        <f t="shared" si="56"/>
        <v>1651.5495131154471</v>
      </c>
      <c r="W172" s="515">
        <v>4060.5776790519863</v>
      </c>
      <c r="X172" s="483"/>
      <c r="Y172" s="483">
        <f t="shared" si="71"/>
        <v>2030.2888395259931</v>
      </c>
      <c r="Z172" s="514">
        <f t="shared" si="58"/>
        <v>2030.2888395259931</v>
      </c>
      <c r="AA172" s="515">
        <v>4484.9662664830139</v>
      </c>
      <c r="AB172" s="483"/>
      <c r="AC172" s="483">
        <f t="shared" si="72"/>
        <v>2242.4831332415069</v>
      </c>
      <c r="AD172" s="514">
        <f t="shared" si="60"/>
        <v>2242.4831332415069</v>
      </c>
      <c r="AE172" s="515">
        <v>5391</v>
      </c>
      <c r="AF172" s="483"/>
      <c r="AG172" s="483">
        <f t="shared" si="73"/>
        <v>2695.5</v>
      </c>
      <c r="AH172" s="514">
        <f t="shared" si="62"/>
        <v>2695.5</v>
      </c>
      <c r="AI172" s="520">
        <v>0</v>
      </c>
      <c r="AJ172" s="484"/>
      <c r="AK172" s="484">
        <f t="shared" si="74"/>
        <v>0</v>
      </c>
      <c r="AL172" s="514">
        <f t="shared" si="64"/>
        <v>0</v>
      </c>
      <c r="AM172" s="526">
        <v>9104.4828042328045</v>
      </c>
      <c r="AN172" s="485"/>
      <c r="AO172" s="485">
        <f t="shared" si="75"/>
        <v>4552.2414021164022</v>
      </c>
      <c r="AP172" s="514">
        <f t="shared" si="66"/>
        <v>4552.2414021164022</v>
      </c>
      <c r="AQ172" s="530">
        <f t="shared" si="67"/>
        <v>4552.2414021164022</v>
      </c>
    </row>
    <row r="173" spans="1:43" x14ac:dyDescent="0.55000000000000004">
      <c r="A173" s="316" t="s">
        <v>250</v>
      </c>
      <c r="B173" s="218" t="s">
        <v>251</v>
      </c>
      <c r="C173" s="218" t="s">
        <v>262</v>
      </c>
      <c r="D173" s="105" t="s">
        <v>263</v>
      </c>
      <c r="E173" s="100"/>
      <c r="F173" s="34"/>
      <c r="G173" s="34"/>
      <c r="H173" s="480">
        <v>5555.8571428571404</v>
      </c>
      <c r="I173" s="480" t="s">
        <v>414</v>
      </c>
      <c r="J173" s="486">
        <v>3</v>
      </c>
      <c r="K173" s="318">
        <v>833.37857142857104</v>
      </c>
      <c r="L173" s="482"/>
      <c r="M173" s="482">
        <f t="shared" si="68"/>
        <v>416.68928571428552</v>
      </c>
      <c r="N173" s="509">
        <f t="shared" si="52"/>
        <v>416.68928571428552</v>
      </c>
      <c r="O173" s="515">
        <v>297.01612285714276</v>
      </c>
      <c r="P173" s="483"/>
      <c r="Q173" s="483">
        <f t="shared" si="69"/>
        <v>148.50806142857138</v>
      </c>
      <c r="R173" s="514">
        <f t="shared" si="54"/>
        <v>148.50806142857138</v>
      </c>
      <c r="S173" s="515">
        <v>1813.2198107737402</v>
      </c>
      <c r="T173" s="483"/>
      <c r="U173" s="483">
        <f t="shared" si="70"/>
        <v>906.60990538687008</v>
      </c>
      <c r="V173" s="514">
        <f t="shared" si="56"/>
        <v>906.60990538687008</v>
      </c>
      <c r="W173" s="515">
        <v>3810.5358411483567</v>
      </c>
      <c r="X173" s="483"/>
      <c r="Y173" s="483">
        <f t="shared" si="71"/>
        <v>1905.2679205741783</v>
      </c>
      <c r="Z173" s="514">
        <f t="shared" si="58"/>
        <v>1905.2679205741783</v>
      </c>
      <c r="AA173" s="515">
        <v>2302.1554547108562</v>
      </c>
      <c r="AB173" s="483"/>
      <c r="AC173" s="483">
        <f t="shared" si="72"/>
        <v>1151.0777273554281</v>
      </c>
      <c r="AD173" s="514">
        <f t="shared" si="60"/>
        <v>1151.0777273554281</v>
      </c>
      <c r="AE173" s="515">
        <v>3812</v>
      </c>
      <c r="AF173" s="483"/>
      <c r="AG173" s="483">
        <f t="shared" si="73"/>
        <v>1906</v>
      </c>
      <c r="AH173" s="514">
        <f t="shared" si="62"/>
        <v>1906</v>
      </c>
      <c r="AI173" s="520">
        <v>3472.4107142857129</v>
      </c>
      <c r="AJ173" s="484"/>
      <c r="AK173" s="484">
        <f t="shared" si="74"/>
        <v>1736.2053571428564</v>
      </c>
      <c r="AL173" s="514">
        <f t="shared" si="64"/>
        <v>1736.2053571428564</v>
      </c>
      <c r="AM173" s="526">
        <v>1624.8261455525599</v>
      </c>
      <c r="AN173" s="485"/>
      <c r="AO173" s="485">
        <f t="shared" si="75"/>
        <v>812.41307277627993</v>
      </c>
      <c r="AP173" s="514">
        <f t="shared" si="66"/>
        <v>812.41307277627993</v>
      </c>
      <c r="AQ173" s="530">
        <f t="shared" si="67"/>
        <v>1906</v>
      </c>
    </row>
    <row r="174" spans="1:43" x14ac:dyDescent="0.55000000000000004">
      <c r="A174" s="316" t="s">
        <v>250</v>
      </c>
      <c r="B174" s="218" t="s">
        <v>251</v>
      </c>
      <c r="C174" s="218" t="s">
        <v>264</v>
      </c>
      <c r="D174" s="105" t="s">
        <v>265</v>
      </c>
      <c r="E174" s="100"/>
      <c r="F174" s="34"/>
      <c r="G174" s="34"/>
      <c r="H174" s="480">
        <v>33159.142857142899</v>
      </c>
      <c r="I174" s="480" t="s">
        <v>414</v>
      </c>
      <c r="J174" s="486">
        <v>3</v>
      </c>
      <c r="K174" s="318">
        <v>4973.871428571435</v>
      </c>
      <c r="L174" s="482"/>
      <c r="M174" s="482">
        <f t="shared" si="68"/>
        <v>2486.9357142857175</v>
      </c>
      <c r="N174" s="509">
        <f t="shared" si="52"/>
        <v>2486.9357142857175</v>
      </c>
      <c r="O174" s="515">
        <v>2180.8337188285741</v>
      </c>
      <c r="P174" s="483"/>
      <c r="Q174" s="483">
        <f t="shared" si="69"/>
        <v>1090.416859414287</v>
      </c>
      <c r="R174" s="514">
        <f t="shared" si="54"/>
        <v>1090.416859414287</v>
      </c>
      <c r="S174" s="515">
        <v>10792.352511601137</v>
      </c>
      <c r="T174" s="483"/>
      <c r="U174" s="483">
        <f t="shared" si="70"/>
        <v>5396.1762558005685</v>
      </c>
      <c r="V174" s="514">
        <f t="shared" si="56"/>
        <v>5396.1762558005685</v>
      </c>
      <c r="W174" s="515">
        <v>8030.1261699276547</v>
      </c>
      <c r="X174" s="483"/>
      <c r="Y174" s="483">
        <f t="shared" si="71"/>
        <v>4015.0630849638274</v>
      </c>
      <c r="Z174" s="514">
        <f t="shared" si="58"/>
        <v>4015.0630849638274</v>
      </c>
      <c r="AA174" s="515">
        <v>17319.565796218794</v>
      </c>
      <c r="AB174" s="483"/>
      <c r="AC174" s="483">
        <f t="shared" si="72"/>
        <v>8659.7828981093971</v>
      </c>
      <c r="AD174" s="514">
        <f t="shared" si="60"/>
        <v>8659.7828981093971</v>
      </c>
      <c r="AE174" s="515">
        <v>21427</v>
      </c>
      <c r="AF174" s="483"/>
      <c r="AG174" s="483">
        <f t="shared" si="73"/>
        <v>10713.5</v>
      </c>
      <c r="AH174" s="514">
        <f t="shared" si="62"/>
        <v>10713.5</v>
      </c>
      <c r="AI174" s="520">
        <v>3789.6163265306172</v>
      </c>
      <c r="AJ174" s="484"/>
      <c r="AK174" s="484">
        <f t="shared" si="74"/>
        <v>1894.8081632653086</v>
      </c>
      <c r="AL174" s="514">
        <f t="shared" si="64"/>
        <v>1894.8081632653086</v>
      </c>
      <c r="AM174" s="526">
        <v>11466.245660881188</v>
      </c>
      <c r="AN174" s="485"/>
      <c r="AO174" s="485">
        <f t="shared" si="75"/>
        <v>5733.122830440594</v>
      </c>
      <c r="AP174" s="514">
        <f t="shared" si="66"/>
        <v>5733.122830440594</v>
      </c>
      <c r="AQ174" s="530">
        <f t="shared" si="67"/>
        <v>10713.5</v>
      </c>
    </row>
    <row r="175" spans="1:43" x14ac:dyDescent="0.55000000000000004">
      <c r="A175" s="316" t="s">
        <v>250</v>
      </c>
      <c r="B175" s="218" t="s">
        <v>251</v>
      </c>
      <c r="C175" s="218" t="s">
        <v>266</v>
      </c>
      <c r="D175" s="105" t="s">
        <v>267</v>
      </c>
      <c r="E175" s="100"/>
      <c r="F175" s="34"/>
      <c r="G175" s="34"/>
      <c r="H175" s="480">
        <v>9209.5714285714294</v>
      </c>
      <c r="I175" s="480" t="s">
        <v>414</v>
      </c>
      <c r="J175" s="486">
        <v>3</v>
      </c>
      <c r="K175" s="318">
        <v>1381.4357142857143</v>
      </c>
      <c r="L175" s="482"/>
      <c r="M175" s="482">
        <f t="shared" si="68"/>
        <v>690.71785714285716</v>
      </c>
      <c r="N175" s="509">
        <f t="shared" si="52"/>
        <v>690.71785714285716</v>
      </c>
      <c r="O175" s="515">
        <v>1030.3484322857144</v>
      </c>
      <c r="P175" s="483"/>
      <c r="Q175" s="483">
        <f t="shared" si="69"/>
        <v>515.17421614285718</v>
      </c>
      <c r="R175" s="514">
        <f t="shared" si="54"/>
        <v>515.17421614285718</v>
      </c>
      <c r="S175" s="515">
        <v>4488.2800443609649</v>
      </c>
      <c r="T175" s="483"/>
      <c r="U175" s="483">
        <f t="shared" si="70"/>
        <v>2244.1400221804824</v>
      </c>
      <c r="V175" s="514">
        <f t="shared" si="56"/>
        <v>2244.1400221804824</v>
      </c>
      <c r="W175" s="515">
        <v>5171.175513848053</v>
      </c>
      <c r="X175" s="483"/>
      <c r="Y175" s="483">
        <f t="shared" si="71"/>
        <v>2585.5877569240265</v>
      </c>
      <c r="Z175" s="514">
        <f t="shared" si="58"/>
        <v>2585.5877569240265</v>
      </c>
      <c r="AA175" s="515">
        <v>7293.5618992240752</v>
      </c>
      <c r="AB175" s="483"/>
      <c r="AC175" s="483">
        <f t="shared" si="72"/>
        <v>3646.7809496120376</v>
      </c>
      <c r="AD175" s="514">
        <f t="shared" si="60"/>
        <v>3646.7809496120376</v>
      </c>
      <c r="AE175" s="515">
        <v>5385</v>
      </c>
      <c r="AF175" s="483"/>
      <c r="AG175" s="483">
        <f t="shared" si="73"/>
        <v>2692.5</v>
      </c>
      <c r="AH175" s="514">
        <f t="shared" si="62"/>
        <v>2692.5</v>
      </c>
      <c r="AI175" s="520">
        <v>7367.6571428571442</v>
      </c>
      <c r="AJ175" s="484"/>
      <c r="AK175" s="484">
        <f t="shared" si="74"/>
        <v>3683.8285714285721</v>
      </c>
      <c r="AL175" s="514">
        <f t="shared" si="64"/>
        <v>3683.8285714285721</v>
      </c>
      <c r="AM175" s="526">
        <v>6362.976623376624</v>
      </c>
      <c r="AN175" s="485"/>
      <c r="AO175" s="485">
        <f t="shared" si="75"/>
        <v>3181.488311688312</v>
      </c>
      <c r="AP175" s="514">
        <f t="shared" si="66"/>
        <v>3181.488311688312</v>
      </c>
      <c r="AQ175" s="530">
        <f t="shared" si="67"/>
        <v>3683.8285714285721</v>
      </c>
    </row>
    <row r="176" spans="1:43" x14ac:dyDescent="0.55000000000000004">
      <c r="A176" s="316" t="s">
        <v>268</v>
      </c>
      <c r="B176" s="218" t="s">
        <v>269</v>
      </c>
      <c r="C176" s="218" t="s">
        <v>270</v>
      </c>
      <c r="D176" s="105" t="s">
        <v>271</v>
      </c>
      <c r="E176" s="100"/>
      <c r="F176" s="34"/>
      <c r="G176" s="34"/>
      <c r="H176" s="480">
        <v>6904.2601395402035</v>
      </c>
      <c r="I176" s="480" t="s">
        <v>414</v>
      </c>
      <c r="J176" s="486">
        <v>4</v>
      </c>
      <c r="K176" s="318">
        <v>1035.6390209310305</v>
      </c>
      <c r="L176" s="482">
        <f t="shared" si="51"/>
        <v>1035.6390209310305</v>
      </c>
      <c r="M176" s="482"/>
      <c r="N176" s="509">
        <f t="shared" si="52"/>
        <v>1035.6390209310305</v>
      </c>
      <c r="O176" s="515">
        <v>1361.7410358417935</v>
      </c>
      <c r="P176" s="483">
        <f t="shared" si="53"/>
        <v>1361.7410358417935</v>
      </c>
      <c r="Q176" s="483"/>
      <c r="R176" s="514">
        <f t="shared" si="54"/>
        <v>1361.7410358417935</v>
      </c>
      <c r="S176" s="515">
        <v>3071.9868399525189</v>
      </c>
      <c r="T176" s="483">
        <f t="shared" si="55"/>
        <v>3071.9868399525189</v>
      </c>
      <c r="U176" s="483"/>
      <c r="V176" s="514">
        <f t="shared" si="56"/>
        <v>3071.9868399525189</v>
      </c>
      <c r="W176" s="515">
        <v>5932.133306451582</v>
      </c>
      <c r="X176" s="483">
        <f t="shared" si="57"/>
        <v>5932.133306451582</v>
      </c>
      <c r="Y176" s="483"/>
      <c r="Z176" s="514">
        <f t="shared" si="58"/>
        <v>0</v>
      </c>
      <c r="AA176" s="515">
        <v>3695.9172905173059</v>
      </c>
      <c r="AB176" s="483">
        <f t="shared" si="59"/>
        <v>3695.9172905173059</v>
      </c>
      <c r="AC176" s="483"/>
      <c r="AD176" s="514">
        <f t="shared" si="60"/>
        <v>3695.9172905173059</v>
      </c>
      <c r="AE176" s="515">
        <v>5270</v>
      </c>
      <c r="AF176" s="483">
        <f t="shared" si="61"/>
        <v>5270</v>
      </c>
      <c r="AG176" s="483"/>
      <c r="AH176" s="514">
        <f t="shared" si="62"/>
        <v>5270</v>
      </c>
      <c r="AI176" s="520">
        <v>6904.2601395402035</v>
      </c>
      <c r="AJ176" s="484">
        <f t="shared" si="63"/>
        <v>6904.2601395402035</v>
      </c>
      <c r="AK176" s="484"/>
      <c r="AL176" s="514">
        <f t="shared" si="64"/>
        <v>6904.2601395402035</v>
      </c>
      <c r="AM176" s="526">
        <v>3452.1300697701017</v>
      </c>
      <c r="AN176" s="485">
        <f t="shared" si="65"/>
        <v>3452.1300697701017</v>
      </c>
      <c r="AO176" s="485"/>
      <c r="AP176" s="514">
        <f t="shared" si="66"/>
        <v>3452.1300697701017</v>
      </c>
      <c r="AQ176" s="530">
        <f t="shared" si="67"/>
        <v>6904.2601395402035</v>
      </c>
    </row>
    <row r="177" spans="1:43" x14ac:dyDescent="0.55000000000000004">
      <c r="A177" s="316" t="s">
        <v>268</v>
      </c>
      <c r="B177" s="218" t="s">
        <v>269</v>
      </c>
      <c r="C177" s="218" t="s">
        <v>272</v>
      </c>
      <c r="D177" s="105" t="s">
        <v>273</v>
      </c>
      <c r="E177" s="100"/>
      <c r="F177" s="34"/>
      <c r="G177" s="34"/>
      <c r="H177" s="480">
        <v>19402.803122498015</v>
      </c>
      <c r="I177" s="480" t="s">
        <v>414</v>
      </c>
      <c r="J177" s="486">
        <v>4</v>
      </c>
      <c r="K177" s="318">
        <v>2910.4204683747021</v>
      </c>
      <c r="L177" s="482">
        <f t="shared" si="51"/>
        <v>2910.4204683747021</v>
      </c>
      <c r="M177" s="482"/>
      <c r="N177" s="509">
        <f t="shared" si="52"/>
        <v>2910.4204683747021</v>
      </c>
      <c r="O177" s="515">
        <v>2673.8614927052067</v>
      </c>
      <c r="P177" s="483">
        <f t="shared" si="53"/>
        <v>2673.8614927052067</v>
      </c>
      <c r="Q177" s="483"/>
      <c r="R177" s="514">
        <f t="shared" si="54"/>
        <v>2673.8614927052067</v>
      </c>
      <c r="S177" s="515">
        <v>6433.0138549927296</v>
      </c>
      <c r="T177" s="483">
        <f t="shared" si="55"/>
        <v>6433.0138549927296</v>
      </c>
      <c r="U177" s="483"/>
      <c r="V177" s="514">
        <f t="shared" si="56"/>
        <v>6433.0138549927296</v>
      </c>
      <c r="W177" s="515">
        <v>14354.844208934554</v>
      </c>
      <c r="X177" s="483">
        <f t="shared" si="57"/>
        <v>14354.844208934554</v>
      </c>
      <c r="Y177" s="483"/>
      <c r="Z177" s="514">
        <f t="shared" si="58"/>
        <v>0</v>
      </c>
      <c r="AA177" s="515">
        <v>8711.9275669939452</v>
      </c>
      <c r="AB177" s="483">
        <f t="shared" si="59"/>
        <v>8711.9275669939452</v>
      </c>
      <c r="AC177" s="483"/>
      <c r="AD177" s="514">
        <f t="shared" si="60"/>
        <v>8711.9275669939452</v>
      </c>
      <c r="AE177" s="515">
        <v>13028</v>
      </c>
      <c r="AF177" s="483">
        <f t="shared" si="61"/>
        <v>13028</v>
      </c>
      <c r="AG177" s="483"/>
      <c r="AH177" s="514">
        <f t="shared" si="62"/>
        <v>13028</v>
      </c>
      <c r="AI177" s="520">
        <v>11906.265552441964</v>
      </c>
      <c r="AJ177" s="484">
        <f t="shared" si="63"/>
        <v>11906.265552441964</v>
      </c>
      <c r="AK177" s="484"/>
      <c r="AL177" s="514">
        <f t="shared" si="64"/>
        <v>11906.265552441964</v>
      </c>
      <c r="AM177" s="526">
        <v>16563.368519205622</v>
      </c>
      <c r="AN177" s="485">
        <f t="shared" si="65"/>
        <v>16563.368519205622</v>
      </c>
      <c r="AO177" s="485"/>
      <c r="AP177" s="514">
        <f t="shared" si="66"/>
        <v>16563.368519205622</v>
      </c>
      <c r="AQ177" s="530">
        <f t="shared" si="67"/>
        <v>16563.368519205622</v>
      </c>
    </row>
    <row r="178" spans="1:43" x14ac:dyDescent="0.55000000000000004">
      <c r="A178" s="316" t="s">
        <v>268</v>
      </c>
      <c r="B178" s="218" t="s">
        <v>269</v>
      </c>
      <c r="C178" s="218" t="s">
        <v>274</v>
      </c>
      <c r="D178" s="105" t="s">
        <v>275</v>
      </c>
      <c r="E178" s="100"/>
      <c r="F178" s="34"/>
      <c r="G178" s="34"/>
      <c r="H178" s="480">
        <v>16703</v>
      </c>
      <c r="I178" s="480" t="s">
        <v>414</v>
      </c>
      <c r="J178" s="486">
        <v>3</v>
      </c>
      <c r="K178" s="318">
        <v>2505.4499999999998</v>
      </c>
      <c r="L178" s="482"/>
      <c r="M178" s="482">
        <f t="shared" si="68"/>
        <v>1252.7249999999999</v>
      </c>
      <c r="N178" s="509">
        <f t="shared" si="52"/>
        <v>1252.7249999999999</v>
      </c>
      <c r="O178" s="515">
        <v>3377.8476900000001</v>
      </c>
      <c r="P178" s="483"/>
      <c r="Q178" s="483">
        <f t="shared" si="69"/>
        <v>1688.923845</v>
      </c>
      <c r="R178" s="514">
        <f t="shared" si="54"/>
        <v>1688.923845</v>
      </c>
      <c r="S178" s="515">
        <v>6415.9295294799977</v>
      </c>
      <c r="T178" s="483"/>
      <c r="U178" s="483">
        <f t="shared" si="70"/>
        <v>3207.9647647399988</v>
      </c>
      <c r="V178" s="514">
        <f t="shared" si="56"/>
        <v>3207.9647647399988</v>
      </c>
      <c r="W178" s="515">
        <v>3990.7633766061545</v>
      </c>
      <c r="X178" s="483"/>
      <c r="Y178" s="483">
        <f t="shared" si="71"/>
        <v>1995.3816883030772</v>
      </c>
      <c r="Z178" s="514">
        <f t="shared" si="58"/>
        <v>1995.3816883030772</v>
      </c>
      <c r="AA178" s="515">
        <v>9278.9643798115412</v>
      </c>
      <c r="AB178" s="483"/>
      <c r="AC178" s="483">
        <f t="shared" si="72"/>
        <v>4639.4821899057706</v>
      </c>
      <c r="AD178" s="514">
        <f t="shared" si="60"/>
        <v>4639.4821899057706</v>
      </c>
      <c r="AE178" s="515">
        <v>11075</v>
      </c>
      <c r="AF178" s="483"/>
      <c r="AG178" s="483">
        <f t="shared" si="73"/>
        <v>5537.5</v>
      </c>
      <c r="AH178" s="514">
        <f t="shared" si="62"/>
        <v>5537.5</v>
      </c>
      <c r="AI178" s="520">
        <v>16703</v>
      </c>
      <c r="AJ178" s="484"/>
      <c r="AK178" s="484">
        <f t="shared" si="74"/>
        <v>8351.5</v>
      </c>
      <c r="AL178" s="514">
        <f t="shared" si="64"/>
        <v>8351.5</v>
      </c>
      <c r="AM178" s="526">
        <v>7887.5277777777774</v>
      </c>
      <c r="AN178" s="485"/>
      <c r="AO178" s="485">
        <f t="shared" si="75"/>
        <v>3943.7638888888887</v>
      </c>
      <c r="AP178" s="514">
        <f t="shared" si="66"/>
        <v>3943.7638888888887</v>
      </c>
      <c r="AQ178" s="530">
        <f t="shared" si="67"/>
        <v>8351.5</v>
      </c>
    </row>
    <row r="179" spans="1:43" x14ac:dyDescent="0.55000000000000004">
      <c r="A179" s="316" t="s">
        <v>268</v>
      </c>
      <c r="B179" s="218" t="s">
        <v>269</v>
      </c>
      <c r="C179" s="218" t="s">
        <v>276</v>
      </c>
      <c r="D179" s="105" t="s">
        <v>277</v>
      </c>
      <c r="E179" s="100"/>
      <c r="F179" s="34"/>
      <c r="G179" s="34"/>
      <c r="H179" s="480">
        <v>1206</v>
      </c>
      <c r="I179" s="480" t="s">
        <v>414</v>
      </c>
      <c r="J179" s="486">
        <v>4</v>
      </c>
      <c r="K179" s="318">
        <v>180.9</v>
      </c>
      <c r="L179" s="482">
        <f t="shared" si="51"/>
        <v>180.9</v>
      </c>
      <c r="M179" s="482"/>
      <c r="N179" s="509">
        <f t="shared" si="52"/>
        <v>180.9</v>
      </c>
      <c r="O179" s="515">
        <v>196.24273199999999</v>
      </c>
      <c r="P179" s="483">
        <f t="shared" si="53"/>
        <v>196.24273199999999</v>
      </c>
      <c r="Q179" s="483"/>
      <c r="R179" s="514">
        <f t="shared" si="54"/>
        <v>196.24273199999999</v>
      </c>
      <c r="S179" s="515">
        <v>456.88047877546308</v>
      </c>
      <c r="T179" s="483">
        <f t="shared" si="55"/>
        <v>456.88047877546308</v>
      </c>
      <c r="U179" s="483"/>
      <c r="V179" s="514">
        <f t="shared" si="56"/>
        <v>456.88047877546308</v>
      </c>
      <c r="W179" s="515">
        <v>1059.5901370629763</v>
      </c>
      <c r="X179" s="483">
        <f t="shared" si="57"/>
        <v>1059.5901370629763</v>
      </c>
      <c r="Y179" s="483"/>
      <c r="Z179" s="514">
        <f t="shared" si="58"/>
        <v>0</v>
      </c>
      <c r="AA179" s="515">
        <v>888.41415553740876</v>
      </c>
      <c r="AB179" s="483">
        <f t="shared" si="59"/>
        <v>888.41415553740876</v>
      </c>
      <c r="AC179" s="483"/>
      <c r="AD179" s="514">
        <f t="shared" si="60"/>
        <v>888.41415553740876</v>
      </c>
      <c r="AE179" s="515">
        <v>965</v>
      </c>
      <c r="AF179" s="483">
        <f t="shared" si="61"/>
        <v>965</v>
      </c>
      <c r="AG179" s="483"/>
      <c r="AH179" s="514">
        <f t="shared" si="62"/>
        <v>965</v>
      </c>
      <c r="AI179" s="520">
        <v>0</v>
      </c>
      <c r="AJ179" s="484">
        <f t="shared" si="63"/>
        <v>0</v>
      </c>
      <c r="AK179" s="484"/>
      <c r="AL179" s="514">
        <f t="shared" si="64"/>
        <v>0</v>
      </c>
      <c r="AM179" s="526">
        <v>1161.3333333333333</v>
      </c>
      <c r="AN179" s="485">
        <f t="shared" si="65"/>
        <v>1161.3333333333333</v>
      </c>
      <c r="AO179" s="485"/>
      <c r="AP179" s="514">
        <f t="shared" si="66"/>
        <v>1161.3333333333333</v>
      </c>
      <c r="AQ179" s="530">
        <f t="shared" si="67"/>
        <v>1161.3333333333333</v>
      </c>
    </row>
    <row r="180" spans="1:43" x14ac:dyDescent="0.55000000000000004">
      <c r="A180" s="316" t="s">
        <v>268</v>
      </c>
      <c r="B180" s="218" t="s">
        <v>269</v>
      </c>
      <c r="C180" s="218" t="s">
        <v>278</v>
      </c>
      <c r="D180" s="105" t="s">
        <v>279</v>
      </c>
      <c r="E180" s="100"/>
      <c r="F180" s="34"/>
      <c r="G180" s="34"/>
      <c r="H180" s="480">
        <v>9262.1428571428605</v>
      </c>
      <c r="I180" s="480" t="s">
        <v>414</v>
      </c>
      <c r="J180" s="486">
        <v>4</v>
      </c>
      <c r="K180" s="318">
        <v>1389.3214285714291</v>
      </c>
      <c r="L180" s="482">
        <f t="shared" si="51"/>
        <v>1389.3214285714291</v>
      </c>
      <c r="M180" s="482"/>
      <c r="N180" s="509">
        <f t="shared" si="52"/>
        <v>1389.3214285714291</v>
      </c>
      <c r="O180" s="515">
        <v>887.40590714285759</v>
      </c>
      <c r="P180" s="483">
        <f t="shared" si="53"/>
        <v>887.40590714285759</v>
      </c>
      <c r="Q180" s="483"/>
      <c r="R180" s="514">
        <f t="shared" si="54"/>
        <v>887.40590714285759</v>
      </c>
      <c r="S180" s="515">
        <v>3511.5721042289201</v>
      </c>
      <c r="T180" s="483">
        <f t="shared" si="55"/>
        <v>3511.5721042289201</v>
      </c>
      <c r="U180" s="483"/>
      <c r="V180" s="514">
        <f t="shared" si="56"/>
        <v>3511.5721042289201</v>
      </c>
      <c r="W180" s="515">
        <v>6460.6905099793312</v>
      </c>
      <c r="X180" s="483">
        <f t="shared" si="57"/>
        <v>6460.6905099793312</v>
      </c>
      <c r="Y180" s="483"/>
      <c r="Z180" s="514">
        <f t="shared" si="58"/>
        <v>0</v>
      </c>
      <c r="AA180" s="515">
        <v>6160.8436802923252</v>
      </c>
      <c r="AB180" s="483">
        <f t="shared" si="59"/>
        <v>6160.8436802923252</v>
      </c>
      <c r="AC180" s="483"/>
      <c r="AD180" s="514">
        <f t="shared" si="60"/>
        <v>6160.8436802923252</v>
      </c>
      <c r="AE180" s="515">
        <v>6483</v>
      </c>
      <c r="AF180" s="483">
        <f t="shared" si="61"/>
        <v>6483</v>
      </c>
      <c r="AG180" s="483"/>
      <c r="AH180" s="514">
        <f t="shared" si="62"/>
        <v>6483</v>
      </c>
      <c r="AI180" s="520">
        <v>9262.1428571428605</v>
      </c>
      <c r="AJ180" s="484">
        <f t="shared" si="63"/>
        <v>9262.1428571428605</v>
      </c>
      <c r="AK180" s="484"/>
      <c r="AL180" s="514">
        <f t="shared" si="64"/>
        <v>9262.1428571428605</v>
      </c>
      <c r="AM180" s="526">
        <v>4373.7896825396838</v>
      </c>
      <c r="AN180" s="485">
        <f t="shared" si="65"/>
        <v>4373.7896825396838</v>
      </c>
      <c r="AO180" s="485"/>
      <c r="AP180" s="514">
        <f t="shared" si="66"/>
        <v>4373.7896825396838</v>
      </c>
      <c r="AQ180" s="530">
        <f t="shared" si="67"/>
        <v>9262.1428571428605</v>
      </c>
    </row>
    <row r="181" spans="1:43" x14ac:dyDescent="0.55000000000000004">
      <c r="A181" s="316" t="s">
        <v>268</v>
      </c>
      <c r="B181" s="218" t="s">
        <v>269</v>
      </c>
      <c r="C181" s="218" t="s">
        <v>280</v>
      </c>
      <c r="D181" s="105" t="s">
        <v>281</v>
      </c>
      <c r="E181" s="100"/>
      <c r="F181" s="34"/>
      <c r="G181" s="34"/>
      <c r="H181" s="480">
        <v>33686.173990621071</v>
      </c>
      <c r="I181" s="480" t="s">
        <v>414</v>
      </c>
      <c r="J181" s="486">
        <v>5</v>
      </c>
      <c r="K181" s="318">
        <v>5052.9260985931605</v>
      </c>
      <c r="L181" s="482">
        <f t="shared" si="51"/>
        <v>5052.9260985931605</v>
      </c>
      <c r="M181" s="482"/>
      <c r="N181" s="509">
        <f t="shared" si="52"/>
        <v>5052.9260985931605</v>
      </c>
      <c r="O181" s="515">
        <v>12598.62907249228</v>
      </c>
      <c r="P181" s="483">
        <f t="shared" si="53"/>
        <v>12598.62907249228</v>
      </c>
      <c r="Q181" s="483"/>
      <c r="R181" s="514">
        <f t="shared" si="54"/>
        <v>12598.62907249228</v>
      </c>
      <c r="S181" s="515">
        <v>11379.993898109744</v>
      </c>
      <c r="T181" s="483">
        <f t="shared" si="55"/>
        <v>11379.993898109744</v>
      </c>
      <c r="U181" s="483"/>
      <c r="V181" s="514">
        <f t="shared" si="56"/>
        <v>11379.993898109744</v>
      </c>
      <c r="W181" s="515">
        <v>29223.698286312181</v>
      </c>
      <c r="X181" s="483">
        <f t="shared" si="57"/>
        <v>29223.698286312181</v>
      </c>
      <c r="Y181" s="483"/>
      <c r="Z181" s="514">
        <f t="shared" si="58"/>
        <v>0</v>
      </c>
      <c r="AA181" s="515">
        <v>21940.109943774314</v>
      </c>
      <c r="AB181" s="483">
        <f t="shared" si="59"/>
        <v>21940.109943774314</v>
      </c>
      <c r="AC181" s="483"/>
      <c r="AD181" s="514">
        <f t="shared" si="60"/>
        <v>21940.109943774314</v>
      </c>
      <c r="AE181" s="515">
        <v>25587</v>
      </c>
      <c r="AF181" s="483">
        <f t="shared" si="61"/>
        <v>25587</v>
      </c>
      <c r="AG181" s="483"/>
      <c r="AH181" s="514">
        <f t="shared" si="62"/>
        <v>25587</v>
      </c>
      <c r="AI181" s="520">
        <v>33686.173990621071</v>
      </c>
      <c r="AJ181" s="484">
        <f t="shared" si="63"/>
        <v>33686.173990621071</v>
      </c>
      <c r="AK181" s="484"/>
      <c r="AL181" s="514">
        <f t="shared" si="64"/>
        <v>33686.173990621071</v>
      </c>
      <c r="AM181" s="526">
        <v>26512.26656669251</v>
      </c>
      <c r="AN181" s="485">
        <f t="shared" si="65"/>
        <v>26512.26656669251</v>
      </c>
      <c r="AO181" s="485"/>
      <c r="AP181" s="514">
        <f t="shared" si="66"/>
        <v>26512.26656669251</v>
      </c>
      <c r="AQ181" s="530">
        <f t="shared" si="67"/>
        <v>33686.173990621071</v>
      </c>
    </row>
    <row r="182" spans="1:43" x14ac:dyDescent="0.55000000000000004">
      <c r="A182" s="316" t="s">
        <v>268</v>
      </c>
      <c r="B182" s="218" t="s">
        <v>269</v>
      </c>
      <c r="C182" s="218" t="s">
        <v>282</v>
      </c>
      <c r="D182" s="105" t="s">
        <v>283</v>
      </c>
      <c r="E182" s="100"/>
      <c r="F182" s="34"/>
      <c r="G182" s="34"/>
      <c r="H182" s="480">
        <v>13146.5714285714</v>
      </c>
      <c r="I182" s="480" t="s">
        <v>414</v>
      </c>
      <c r="J182" s="486">
        <v>3</v>
      </c>
      <c r="K182" s="318">
        <v>1971.9857142857099</v>
      </c>
      <c r="L182" s="482"/>
      <c r="M182" s="482">
        <f t="shared" si="68"/>
        <v>985.99285714285497</v>
      </c>
      <c r="N182" s="509">
        <f t="shared" si="52"/>
        <v>985.99285714285497</v>
      </c>
      <c r="O182" s="515">
        <v>4569.4931850857047</v>
      </c>
      <c r="P182" s="483"/>
      <c r="Q182" s="483">
        <f t="shared" si="69"/>
        <v>2284.7465925428523</v>
      </c>
      <c r="R182" s="514">
        <f t="shared" si="54"/>
        <v>2284.7465925428523</v>
      </c>
      <c r="S182" s="515">
        <v>5483.8445101092939</v>
      </c>
      <c r="T182" s="483"/>
      <c r="U182" s="483">
        <f t="shared" si="70"/>
        <v>2741.9222550546469</v>
      </c>
      <c r="V182" s="514">
        <f t="shared" si="56"/>
        <v>2741.9222550546469</v>
      </c>
      <c r="W182" s="515">
        <v>9851.9936448832923</v>
      </c>
      <c r="X182" s="483"/>
      <c r="Y182" s="483">
        <f t="shared" si="71"/>
        <v>4925.9968224416461</v>
      </c>
      <c r="Z182" s="514">
        <f t="shared" si="58"/>
        <v>4925.9968224416461</v>
      </c>
      <c r="AA182" s="515">
        <v>9268.3704100687301</v>
      </c>
      <c r="AB182" s="483"/>
      <c r="AC182" s="483">
        <f t="shared" si="72"/>
        <v>4634.185205034365</v>
      </c>
      <c r="AD182" s="514">
        <f t="shared" si="60"/>
        <v>4634.185205034365</v>
      </c>
      <c r="AE182" s="515">
        <v>8751</v>
      </c>
      <c r="AF182" s="483"/>
      <c r="AG182" s="483">
        <f t="shared" si="73"/>
        <v>4375.5</v>
      </c>
      <c r="AH182" s="514">
        <f t="shared" si="62"/>
        <v>4375.5</v>
      </c>
      <c r="AI182" s="520">
        <v>9465.5314285714085</v>
      </c>
      <c r="AJ182" s="484"/>
      <c r="AK182" s="484">
        <f t="shared" si="74"/>
        <v>4732.7657142857042</v>
      </c>
      <c r="AL182" s="514">
        <f t="shared" si="64"/>
        <v>4732.7657142857042</v>
      </c>
      <c r="AM182" s="526">
        <v>9007.8359788359612</v>
      </c>
      <c r="AN182" s="485"/>
      <c r="AO182" s="485">
        <f t="shared" si="75"/>
        <v>4503.9179894179806</v>
      </c>
      <c r="AP182" s="514">
        <f t="shared" si="66"/>
        <v>4503.9179894179806</v>
      </c>
      <c r="AQ182" s="530">
        <f t="shared" si="67"/>
        <v>4925.9968224416461</v>
      </c>
    </row>
    <row r="183" spans="1:43" x14ac:dyDescent="0.55000000000000004">
      <c r="A183" s="316" t="s">
        <v>268</v>
      </c>
      <c r="B183" s="218" t="s">
        <v>269</v>
      </c>
      <c r="C183" s="218" t="s">
        <v>284</v>
      </c>
      <c r="D183" s="105" t="s">
        <v>285</v>
      </c>
      <c r="E183" s="100"/>
      <c r="F183" s="34"/>
      <c r="G183" s="34"/>
      <c r="H183" s="480">
        <v>4238</v>
      </c>
      <c r="I183" s="480" t="s">
        <v>414</v>
      </c>
      <c r="J183" s="486">
        <v>4</v>
      </c>
      <c r="K183" s="318">
        <v>635.69999999999993</v>
      </c>
      <c r="L183" s="482">
        <f t="shared" si="51"/>
        <v>635.69999999999993</v>
      </c>
      <c r="M183" s="482"/>
      <c r="N183" s="509">
        <f t="shared" si="52"/>
        <v>635.69999999999993</v>
      </c>
      <c r="O183" s="515">
        <v>1214.4158519999999</v>
      </c>
      <c r="P183" s="483">
        <f t="shared" si="53"/>
        <v>1214.4158519999999</v>
      </c>
      <c r="Q183" s="483"/>
      <c r="R183" s="514">
        <f t="shared" si="54"/>
        <v>1214.4158519999999</v>
      </c>
      <c r="S183" s="515">
        <v>1970.6236557123259</v>
      </c>
      <c r="T183" s="483">
        <f t="shared" si="55"/>
        <v>1970.6236557123259</v>
      </c>
      <c r="U183" s="483"/>
      <c r="V183" s="514">
        <f t="shared" si="56"/>
        <v>1970.6236557123259</v>
      </c>
      <c r="W183" s="515">
        <v>3385.7427540437307</v>
      </c>
      <c r="X183" s="483">
        <f t="shared" si="57"/>
        <v>3385.7427540437307</v>
      </c>
      <c r="Y183" s="483"/>
      <c r="Z183" s="514">
        <f t="shared" si="58"/>
        <v>0</v>
      </c>
      <c r="AA183" s="515">
        <v>2581.3377959227432</v>
      </c>
      <c r="AB183" s="483">
        <f t="shared" si="59"/>
        <v>2581.3377959227432</v>
      </c>
      <c r="AC183" s="483"/>
      <c r="AD183" s="514">
        <f t="shared" si="60"/>
        <v>2581.3377959227432</v>
      </c>
      <c r="AE183" s="515">
        <v>2967</v>
      </c>
      <c r="AF183" s="483">
        <f t="shared" si="61"/>
        <v>2967</v>
      </c>
      <c r="AG183" s="483"/>
      <c r="AH183" s="514">
        <f t="shared" si="62"/>
        <v>2967</v>
      </c>
      <c r="AI183" s="520">
        <v>2421.7142857142858</v>
      </c>
      <c r="AJ183" s="484">
        <f t="shared" si="63"/>
        <v>2421.7142857142858</v>
      </c>
      <c r="AK183" s="484"/>
      <c r="AL183" s="514">
        <f t="shared" si="64"/>
        <v>2421.7142857142858</v>
      </c>
      <c r="AM183" s="526">
        <v>3453.1851851851857</v>
      </c>
      <c r="AN183" s="485">
        <f t="shared" si="65"/>
        <v>3453.1851851851857</v>
      </c>
      <c r="AO183" s="485"/>
      <c r="AP183" s="514">
        <f t="shared" si="66"/>
        <v>3453.1851851851857</v>
      </c>
      <c r="AQ183" s="530">
        <f t="shared" si="67"/>
        <v>3453.1851851851857</v>
      </c>
    </row>
    <row r="184" spans="1:43" x14ac:dyDescent="0.55000000000000004">
      <c r="A184" s="316" t="s">
        <v>268</v>
      </c>
      <c r="B184" s="218" t="s">
        <v>269</v>
      </c>
      <c r="C184" s="218" t="s">
        <v>286</v>
      </c>
      <c r="D184" s="105" t="s">
        <v>287</v>
      </c>
      <c r="E184" s="100"/>
      <c r="F184" s="34"/>
      <c r="G184" s="34"/>
      <c r="H184" s="480">
        <v>2811.1428571428601</v>
      </c>
      <c r="I184" s="480" t="s">
        <v>414</v>
      </c>
      <c r="J184" s="486">
        <v>3</v>
      </c>
      <c r="K184" s="318">
        <v>421.67142857142898</v>
      </c>
      <c r="L184" s="482"/>
      <c r="M184" s="482">
        <f t="shared" si="68"/>
        <v>210.83571428571449</v>
      </c>
      <c r="N184" s="509">
        <f t="shared" si="52"/>
        <v>210.83571428571449</v>
      </c>
      <c r="O184" s="515">
        <v>360.98447657142896</v>
      </c>
      <c r="P184" s="483"/>
      <c r="Q184" s="483">
        <f t="shared" si="69"/>
        <v>180.49223828571448</v>
      </c>
      <c r="R184" s="514">
        <f t="shared" si="54"/>
        <v>180.49223828571448</v>
      </c>
      <c r="S184" s="515">
        <v>968.04437881706997</v>
      </c>
      <c r="T184" s="483"/>
      <c r="U184" s="483">
        <f t="shared" si="70"/>
        <v>484.02218940853498</v>
      </c>
      <c r="V184" s="514">
        <f t="shared" si="56"/>
        <v>484.02218940853498</v>
      </c>
      <c r="W184" s="515">
        <v>1897.3825367609311</v>
      </c>
      <c r="X184" s="483"/>
      <c r="Y184" s="483">
        <f t="shared" si="71"/>
        <v>948.69126838046554</v>
      </c>
      <c r="Z184" s="514">
        <f t="shared" si="58"/>
        <v>948.69126838046554</v>
      </c>
      <c r="AA184" s="515">
        <v>1777.6937221190433</v>
      </c>
      <c r="AB184" s="483"/>
      <c r="AC184" s="483">
        <f t="shared" si="72"/>
        <v>888.84686105952164</v>
      </c>
      <c r="AD184" s="514">
        <f t="shared" si="60"/>
        <v>888.84686105952164</v>
      </c>
      <c r="AE184" s="515">
        <v>1968</v>
      </c>
      <c r="AF184" s="483"/>
      <c r="AG184" s="483">
        <f t="shared" si="73"/>
        <v>984</v>
      </c>
      <c r="AH184" s="514">
        <f t="shared" si="62"/>
        <v>984</v>
      </c>
      <c r="AI184" s="520">
        <v>2409.5510204081656</v>
      </c>
      <c r="AJ184" s="484"/>
      <c r="AK184" s="484">
        <f t="shared" si="74"/>
        <v>1204.7755102040828</v>
      </c>
      <c r="AL184" s="514">
        <f t="shared" si="64"/>
        <v>1204.7755102040828</v>
      </c>
      <c r="AM184" s="526">
        <v>103.16120576671047</v>
      </c>
      <c r="AN184" s="485"/>
      <c r="AO184" s="485">
        <f t="shared" si="75"/>
        <v>51.580602883355233</v>
      </c>
      <c r="AP184" s="514">
        <f t="shared" si="66"/>
        <v>51.580602883355233</v>
      </c>
      <c r="AQ184" s="530">
        <f t="shared" si="67"/>
        <v>1204.7755102040828</v>
      </c>
    </row>
    <row r="185" spans="1:43" x14ac:dyDescent="0.55000000000000004">
      <c r="A185" s="316" t="s">
        <v>268</v>
      </c>
      <c r="B185" s="218" t="s">
        <v>269</v>
      </c>
      <c r="C185" s="218" t="s">
        <v>288</v>
      </c>
      <c r="D185" s="105" t="s">
        <v>289</v>
      </c>
      <c r="E185" s="100"/>
      <c r="F185" s="34"/>
      <c r="G185" s="34"/>
      <c r="H185" s="480">
        <v>5169</v>
      </c>
      <c r="I185" s="480" t="s">
        <v>414</v>
      </c>
      <c r="J185" s="486">
        <v>4</v>
      </c>
      <c r="K185" s="318">
        <v>775.35</v>
      </c>
      <c r="L185" s="482">
        <f t="shared" si="51"/>
        <v>775.35</v>
      </c>
      <c r="M185" s="482"/>
      <c r="N185" s="509">
        <f t="shared" si="52"/>
        <v>775.35</v>
      </c>
      <c r="O185" s="515">
        <v>1679.9250000000002</v>
      </c>
      <c r="P185" s="483">
        <f t="shared" si="53"/>
        <v>1679.9250000000002</v>
      </c>
      <c r="Q185" s="483"/>
      <c r="R185" s="514">
        <f t="shared" si="54"/>
        <v>1679.9250000000002</v>
      </c>
      <c r="S185" s="515">
        <v>1993.9602399046814</v>
      </c>
      <c r="T185" s="483">
        <f t="shared" si="55"/>
        <v>1993.9602399046814</v>
      </c>
      <c r="U185" s="483"/>
      <c r="V185" s="514">
        <f t="shared" si="56"/>
        <v>1993.9602399046814</v>
      </c>
      <c r="W185" s="515">
        <v>3785.552719244839</v>
      </c>
      <c r="X185" s="483">
        <f t="shared" si="57"/>
        <v>3785.552719244839</v>
      </c>
      <c r="Y185" s="483"/>
      <c r="Z185" s="514">
        <f t="shared" si="58"/>
        <v>0</v>
      </c>
      <c r="AA185" s="515">
        <v>2881.5912221645549</v>
      </c>
      <c r="AB185" s="483">
        <f t="shared" si="59"/>
        <v>2881.5912221645549</v>
      </c>
      <c r="AC185" s="483"/>
      <c r="AD185" s="514">
        <f t="shared" si="60"/>
        <v>2881.5912221645549</v>
      </c>
      <c r="AE185" s="515">
        <v>3546</v>
      </c>
      <c r="AF185" s="483">
        <f t="shared" si="61"/>
        <v>3546</v>
      </c>
      <c r="AG185" s="483"/>
      <c r="AH185" s="514">
        <f t="shared" si="62"/>
        <v>3546</v>
      </c>
      <c r="AI185" s="520">
        <v>5169</v>
      </c>
      <c r="AJ185" s="484">
        <f t="shared" si="63"/>
        <v>5169</v>
      </c>
      <c r="AK185" s="484"/>
      <c r="AL185" s="514">
        <f t="shared" si="64"/>
        <v>5169</v>
      </c>
      <c r="AM185" s="526">
        <v>3446</v>
      </c>
      <c r="AN185" s="485">
        <f t="shared" si="65"/>
        <v>3446</v>
      </c>
      <c r="AO185" s="485"/>
      <c r="AP185" s="514">
        <f t="shared" si="66"/>
        <v>3446</v>
      </c>
      <c r="AQ185" s="530">
        <f t="shared" si="67"/>
        <v>5169</v>
      </c>
    </row>
    <row r="186" spans="1:43" x14ac:dyDescent="0.55000000000000004">
      <c r="A186" s="316" t="s">
        <v>268</v>
      </c>
      <c r="B186" s="218" t="s">
        <v>269</v>
      </c>
      <c r="C186" s="218" t="s">
        <v>290</v>
      </c>
      <c r="D186" s="105" t="s">
        <v>291</v>
      </c>
      <c r="E186" s="100"/>
      <c r="F186" s="34"/>
      <c r="G186" s="34"/>
      <c r="H186" s="480">
        <v>5651</v>
      </c>
      <c r="I186" s="480" t="s">
        <v>414</v>
      </c>
      <c r="J186" s="486">
        <v>4</v>
      </c>
      <c r="K186" s="318">
        <v>847.65</v>
      </c>
      <c r="L186" s="482">
        <f t="shared" si="51"/>
        <v>847.65</v>
      </c>
      <c r="M186" s="482"/>
      <c r="N186" s="509">
        <f t="shared" si="52"/>
        <v>847.65</v>
      </c>
      <c r="O186" s="515">
        <v>1011.709832</v>
      </c>
      <c r="P186" s="483">
        <f t="shared" si="53"/>
        <v>1011.709832</v>
      </c>
      <c r="Q186" s="483"/>
      <c r="R186" s="514">
        <f t="shared" si="54"/>
        <v>1011.709832</v>
      </c>
      <c r="S186" s="515">
        <v>2883.8874975250328</v>
      </c>
      <c r="T186" s="483">
        <f t="shared" si="55"/>
        <v>2883.8874975250328</v>
      </c>
      <c r="U186" s="483"/>
      <c r="V186" s="514">
        <f t="shared" si="56"/>
        <v>2883.8874975250328</v>
      </c>
      <c r="W186" s="515">
        <v>4605.4988278610399</v>
      </c>
      <c r="X186" s="483">
        <f t="shared" si="57"/>
        <v>4605.4988278610399</v>
      </c>
      <c r="Y186" s="483"/>
      <c r="Z186" s="514">
        <f t="shared" si="58"/>
        <v>0</v>
      </c>
      <c r="AA186" s="515">
        <v>2709.270100011081</v>
      </c>
      <c r="AB186" s="483">
        <f t="shared" si="59"/>
        <v>2709.270100011081</v>
      </c>
      <c r="AC186" s="483"/>
      <c r="AD186" s="514">
        <f t="shared" si="60"/>
        <v>2709.270100011081</v>
      </c>
      <c r="AE186" s="515">
        <v>3697</v>
      </c>
      <c r="AF186" s="483">
        <f t="shared" si="61"/>
        <v>3697</v>
      </c>
      <c r="AG186" s="483"/>
      <c r="AH186" s="514">
        <f t="shared" si="62"/>
        <v>3697</v>
      </c>
      <c r="AI186" s="520">
        <v>2825.5</v>
      </c>
      <c r="AJ186" s="484">
        <f t="shared" si="63"/>
        <v>2825.5</v>
      </c>
      <c r="AK186" s="484"/>
      <c r="AL186" s="514">
        <f t="shared" si="64"/>
        <v>2825.5</v>
      </c>
      <c r="AM186" s="526">
        <v>4709.166666666667</v>
      </c>
      <c r="AN186" s="485">
        <f t="shared" si="65"/>
        <v>4709.166666666667</v>
      </c>
      <c r="AO186" s="485"/>
      <c r="AP186" s="514">
        <f t="shared" si="66"/>
        <v>4709.166666666667</v>
      </c>
      <c r="AQ186" s="530">
        <f t="shared" si="67"/>
        <v>4709.166666666667</v>
      </c>
    </row>
    <row r="187" spans="1:43" x14ac:dyDescent="0.55000000000000004">
      <c r="A187" s="316" t="s">
        <v>292</v>
      </c>
      <c r="B187" s="218" t="s">
        <v>293</v>
      </c>
      <c r="C187" s="218" t="s">
        <v>294</v>
      </c>
      <c r="D187" s="105" t="s">
        <v>295</v>
      </c>
      <c r="E187" s="100"/>
      <c r="F187" s="34"/>
      <c r="G187" s="34"/>
      <c r="H187" s="480">
        <v>3073.7142857142899</v>
      </c>
      <c r="I187" s="480" t="s">
        <v>414</v>
      </c>
      <c r="J187" s="486">
        <v>3</v>
      </c>
      <c r="K187" s="318">
        <v>461.05714285714345</v>
      </c>
      <c r="L187" s="482"/>
      <c r="M187" s="482">
        <f t="shared" si="68"/>
        <v>230.52857142857172</v>
      </c>
      <c r="N187" s="509">
        <f t="shared" si="52"/>
        <v>230.52857142857172</v>
      </c>
      <c r="O187" s="515">
        <v>1177.512279428573</v>
      </c>
      <c r="P187" s="483"/>
      <c r="Q187" s="483">
        <f t="shared" si="69"/>
        <v>588.75613971428652</v>
      </c>
      <c r="R187" s="514">
        <f t="shared" si="54"/>
        <v>588.75613971428652</v>
      </c>
      <c r="S187" s="515">
        <v>1052.8543594749599</v>
      </c>
      <c r="T187" s="483"/>
      <c r="U187" s="483">
        <f t="shared" si="70"/>
        <v>526.42717973747995</v>
      </c>
      <c r="V187" s="514">
        <f t="shared" si="56"/>
        <v>526.42717973747995</v>
      </c>
      <c r="W187" s="515">
        <v>1997.7222828758775</v>
      </c>
      <c r="X187" s="483"/>
      <c r="Y187" s="483">
        <f t="shared" si="71"/>
        <v>998.86114143793873</v>
      </c>
      <c r="Z187" s="514">
        <f t="shared" si="58"/>
        <v>998.86114143793873</v>
      </c>
      <c r="AA187" s="515">
        <v>1503.2260174378218</v>
      </c>
      <c r="AB187" s="483"/>
      <c r="AC187" s="483">
        <f t="shared" si="72"/>
        <v>751.61300871891092</v>
      </c>
      <c r="AD187" s="514">
        <f t="shared" si="60"/>
        <v>751.61300871891092</v>
      </c>
      <c r="AE187" s="515">
        <v>615</v>
      </c>
      <c r="AF187" s="483"/>
      <c r="AG187" s="483">
        <f t="shared" si="73"/>
        <v>307.5</v>
      </c>
      <c r="AH187" s="514">
        <f t="shared" si="62"/>
        <v>307.5</v>
      </c>
      <c r="AI187" s="520">
        <v>2195.5102040816355</v>
      </c>
      <c r="AJ187" s="484"/>
      <c r="AK187" s="484">
        <f t="shared" si="74"/>
        <v>1097.7551020408177</v>
      </c>
      <c r="AL187" s="514">
        <f t="shared" si="64"/>
        <v>1097.7551020408177</v>
      </c>
      <c r="AM187" s="526">
        <v>2305.2857142857174</v>
      </c>
      <c r="AN187" s="485"/>
      <c r="AO187" s="485">
        <f t="shared" si="75"/>
        <v>1152.6428571428587</v>
      </c>
      <c r="AP187" s="514">
        <f t="shared" si="66"/>
        <v>1152.6428571428587</v>
      </c>
      <c r="AQ187" s="530">
        <f t="shared" si="67"/>
        <v>1152.6428571428587</v>
      </c>
    </row>
    <row r="188" spans="1:43" x14ac:dyDescent="0.55000000000000004">
      <c r="A188" s="316" t="s">
        <v>292</v>
      </c>
      <c r="B188" s="218" t="s">
        <v>293</v>
      </c>
      <c r="C188" s="218" t="s">
        <v>296</v>
      </c>
      <c r="D188" s="105" t="s">
        <v>297</v>
      </c>
      <c r="E188" s="100"/>
      <c r="F188" s="34"/>
      <c r="G188" s="34"/>
      <c r="H188" s="480">
        <v>1148</v>
      </c>
      <c r="I188" s="480" t="s">
        <v>414</v>
      </c>
      <c r="J188" s="486">
        <v>3</v>
      </c>
      <c r="K188" s="318">
        <v>172.2</v>
      </c>
      <c r="L188" s="482"/>
      <c r="M188" s="482">
        <f t="shared" si="68"/>
        <v>86.1</v>
      </c>
      <c r="N188" s="509">
        <f t="shared" si="52"/>
        <v>86.1</v>
      </c>
      <c r="O188" s="515">
        <v>321.59727599999997</v>
      </c>
      <c r="P188" s="483"/>
      <c r="Q188" s="483">
        <f t="shared" si="69"/>
        <v>160.79863799999998</v>
      </c>
      <c r="R188" s="514">
        <f t="shared" si="54"/>
        <v>160.79863799999998</v>
      </c>
      <c r="S188" s="515">
        <v>371.57061407088617</v>
      </c>
      <c r="T188" s="483"/>
      <c r="U188" s="483">
        <f t="shared" si="70"/>
        <v>185.78530703544308</v>
      </c>
      <c r="V188" s="514">
        <f t="shared" si="56"/>
        <v>185.78530703544308</v>
      </c>
      <c r="W188" s="515">
        <v>594.83372983899699</v>
      </c>
      <c r="X188" s="483"/>
      <c r="Y188" s="483">
        <f t="shared" si="71"/>
        <v>297.41686491949849</v>
      </c>
      <c r="Z188" s="514">
        <f t="shared" si="58"/>
        <v>297.41686491949849</v>
      </c>
      <c r="AA188" s="515">
        <v>481.21173161292643</v>
      </c>
      <c r="AB188" s="483"/>
      <c r="AC188" s="483">
        <f t="shared" si="72"/>
        <v>240.60586580646321</v>
      </c>
      <c r="AD188" s="514">
        <f t="shared" si="60"/>
        <v>240.60586580646321</v>
      </c>
      <c r="AE188" s="515">
        <v>230</v>
      </c>
      <c r="AF188" s="483"/>
      <c r="AG188" s="483">
        <f t="shared" si="73"/>
        <v>115</v>
      </c>
      <c r="AH188" s="514">
        <f t="shared" si="62"/>
        <v>115</v>
      </c>
      <c r="AI188" s="520">
        <v>765.33333333333337</v>
      </c>
      <c r="AJ188" s="484"/>
      <c r="AK188" s="484">
        <f t="shared" si="74"/>
        <v>382.66666666666669</v>
      </c>
      <c r="AL188" s="514">
        <f t="shared" si="64"/>
        <v>382.66666666666669</v>
      </c>
      <c r="AM188" s="526">
        <v>754.7037037037037</v>
      </c>
      <c r="AN188" s="485"/>
      <c r="AO188" s="485">
        <f t="shared" si="75"/>
        <v>377.35185185185185</v>
      </c>
      <c r="AP188" s="514">
        <f t="shared" si="66"/>
        <v>377.35185185185185</v>
      </c>
      <c r="AQ188" s="530">
        <f t="shared" si="67"/>
        <v>382.66666666666669</v>
      </c>
    </row>
    <row r="189" spans="1:43" x14ac:dyDescent="0.55000000000000004">
      <c r="A189" s="316" t="s">
        <v>292</v>
      </c>
      <c r="B189" s="218" t="s">
        <v>293</v>
      </c>
      <c r="C189" s="218" t="s">
        <v>298</v>
      </c>
      <c r="D189" s="105" t="s">
        <v>299</v>
      </c>
      <c r="E189" s="100"/>
      <c r="F189" s="34"/>
      <c r="G189" s="34"/>
      <c r="H189" s="480">
        <v>2881</v>
      </c>
      <c r="I189" s="480" t="s">
        <v>414</v>
      </c>
      <c r="J189" s="486">
        <v>3</v>
      </c>
      <c r="K189" s="318">
        <v>432.15</v>
      </c>
      <c r="L189" s="482"/>
      <c r="M189" s="482">
        <f t="shared" si="68"/>
        <v>216.07499999999999</v>
      </c>
      <c r="N189" s="509">
        <f t="shared" si="52"/>
        <v>216.07499999999999</v>
      </c>
      <c r="O189" s="515">
        <v>759.80612999999994</v>
      </c>
      <c r="P189" s="483"/>
      <c r="Q189" s="483">
        <f t="shared" si="69"/>
        <v>379.90306499999997</v>
      </c>
      <c r="R189" s="514">
        <f t="shared" si="54"/>
        <v>379.90306499999997</v>
      </c>
      <c r="S189" s="515">
        <v>923.91164896721557</v>
      </c>
      <c r="T189" s="483"/>
      <c r="U189" s="483">
        <f t="shared" si="70"/>
        <v>461.95582448360778</v>
      </c>
      <c r="V189" s="514">
        <f t="shared" si="56"/>
        <v>461.95582448360778</v>
      </c>
      <c r="W189" s="515">
        <v>2057.9427616123767</v>
      </c>
      <c r="X189" s="483"/>
      <c r="Y189" s="483">
        <f t="shared" si="71"/>
        <v>1028.9713808061883</v>
      </c>
      <c r="Z189" s="514">
        <f t="shared" si="58"/>
        <v>1028.9713808061883</v>
      </c>
      <c r="AA189" s="515">
        <v>1444.4431475936408</v>
      </c>
      <c r="AB189" s="483"/>
      <c r="AC189" s="483">
        <f t="shared" si="72"/>
        <v>722.22157379682039</v>
      </c>
      <c r="AD189" s="514">
        <f t="shared" si="60"/>
        <v>722.22157379682039</v>
      </c>
      <c r="AE189" s="515">
        <v>576</v>
      </c>
      <c r="AF189" s="483"/>
      <c r="AG189" s="483">
        <f t="shared" si="73"/>
        <v>288</v>
      </c>
      <c r="AH189" s="514">
        <f t="shared" si="62"/>
        <v>288</v>
      </c>
      <c r="AI189" s="520">
        <v>2016.6999999999998</v>
      </c>
      <c r="AJ189" s="484"/>
      <c r="AK189" s="484">
        <f t="shared" si="74"/>
        <v>1008.3499999999999</v>
      </c>
      <c r="AL189" s="514">
        <f t="shared" si="64"/>
        <v>1008.3499999999999</v>
      </c>
      <c r="AM189" s="526">
        <v>1400.8532110091742</v>
      </c>
      <c r="AN189" s="485"/>
      <c r="AO189" s="485">
        <f t="shared" si="75"/>
        <v>700.42660550458709</v>
      </c>
      <c r="AP189" s="514">
        <f t="shared" si="66"/>
        <v>700.42660550458709</v>
      </c>
      <c r="AQ189" s="530">
        <f t="shared" si="67"/>
        <v>1028.9713808061883</v>
      </c>
    </row>
    <row r="190" spans="1:43" x14ac:dyDescent="0.55000000000000004">
      <c r="A190" s="316" t="s">
        <v>292</v>
      </c>
      <c r="B190" s="218" t="s">
        <v>293</v>
      </c>
      <c r="C190" s="218" t="s">
        <v>300</v>
      </c>
      <c r="D190" s="105" t="s">
        <v>301</v>
      </c>
      <c r="E190" s="100"/>
      <c r="F190" s="34"/>
      <c r="G190" s="34"/>
      <c r="H190" s="480">
        <v>6622</v>
      </c>
      <c r="I190" s="480" t="s">
        <v>414</v>
      </c>
      <c r="J190" s="486">
        <v>3</v>
      </c>
      <c r="K190" s="318">
        <v>993.3</v>
      </c>
      <c r="L190" s="482"/>
      <c r="M190" s="482">
        <f t="shared" si="68"/>
        <v>496.65</v>
      </c>
      <c r="N190" s="509">
        <f t="shared" si="52"/>
        <v>496.65</v>
      </c>
      <c r="O190" s="515">
        <v>947.95916600000021</v>
      </c>
      <c r="P190" s="483"/>
      <c r="Q190" s="483">
        <f t="shared" si="69"/>
        <v>473.9795830000001</v>
      </c>
      <c r="R190" s="514">
        <f t="shared" si="54"/>
        <v>473.9795830000001</v>
      </c>
      <c r="S190" s="515">
        <v>2165.0515374071806</v>
      </c>
      <c r="T190" s="483"/>
      <c r="U190" s="483">
        <f t="shared" si="70"/>
        <v>1082.5257687035903</v>
      </c>
      <c r="V190" s="514">
        <f t="shared" si="56"/>
        <v>1082.5257687035903</v>
      </c>
      <c r="W190" s="515">
        <v>5086.8524596533507</v>
      </c>
      <c r="X190" s="483"/>
      <c r="Y190" s="483">
        <f t="shared" si="71"/>
        <v>2543.4262298266754</v>
      </c>
      <c r="Z190" s="514">
        <f t="shared" si="58"/>
        <v>2543.4262298266754</v>
      </c>
      <c r="AA190" s="515">
        <v>2405.4919920601465</v>
      </c>
      <c r="AB190" s="483"/>
      <c r="AC190" s="483">
        <f t="shared" si="72"/>
        <v>1202.7459960300732</v>
      </c>
      <c r="AD190" s="514">
        <f t="shared" si="60"/>
        <v>1202.7459960300732</v>
      </c>
      <c r="AE190" s="515">
        <v>897</v>
      </c>
      <c r="AF190" s="483"/>
      <c r="AG190" s="483">
        <f t="shared" si="73"/>
        <v>448.5</v>
      </c>
      <c r="AH190" s="514">
        <f t="shared" si="62"/>
        <v>448.5</v>
      </c>
      <c r="AI190" s="520">
        <v>6376.7407407407409</v>
      </c>
      <c r="AJ190" s="484"/>
      <c r="AK190" s="484">
        <f t="shared" si="74"/>
        <v>3188.3703703703704</v>
      </c>
      <c r="AL190" s="514">
        <f t="shared" si="64"/>
        <v>3188.3703703703704</v>
      </c>
      <c r="AM190" s="526">
        <v>3556.2592592592591</v>
      </c>
      <c r="AN190" s="485"/>
      <c r="AO190" s="485">
        <f t="shared" si="75"/>
        <v>1778.1296296296296</v>
      </c>
      <c r="AP190" s="514">
        <f t="shared" si="66"/>
        <v>1778.1296296296296</v>
      </c>
      <c r="AQ190" s="530">
        <f t="shared" si="67"/>
        <v>3188.3703703703704</v>
      </c>
    </row>
    <row r="191" spans="1:43" x14ac:dyDescent="0.55000000000000004">
      <c r="A191" s="316" t="s">
        <v>292</v>
      </c>
      <c r="B191" s="218" t="s">
        <v>293</v>
      </c>
      <c r="C191" s="218" t="s">
        <v>302</v>
      </c>
      <c r="D191" s="105" t="s">
        <v>303</v>
      </c>
      <c r="E191" s="100"/>
      <c r="F191" s="34"/>
      <c r="G191" s="34"/>
      <c r="H191" s="480">
        <v>3719.2857142857101</v>
      </c>
      <c r="I191" s="480" t="s">
        <v>414</v>
      </c>
      <c r="J191" s="486">
        <v>3</v>
      </c>
      <c r="K191" s="318">
        <v>557.89285714285654</v>
      </c>
      <c r="L191" s="482"/>
      <c r="M191" s="482">
        <f t="shared" si="68"/>
        <v>278.94642857142827</v>
      </c>
      <c r="N191" s="509">
        <f t="shared" si="52"/>
        <v>278.94642857142827</v>
      </c>
      <c r="O191" s="515">
        <v>1011.3890835714274</v>
      </c>
      <c r="P191" s="483"/>
      <c r="Q191" s="483">
        <f t="shared" si="69"/>
        <v>505.69454178571368</v>
      </c>
      <c r="R191" s="514">
        <f t="shared" si="54"/>
        <v>505.69454178571368</v>
      </c>
      <c r="S191" s="515">
        <v>1192.4882419904961</v>
      </c>
      <c r="T191" s="483"/>
      <c r="U191" s="483">
        <f t="shared" si="70"/>
        <v>596.24412099524807</v>
      </c>
      <c r="V191" s="514">
        <f t="shared" si="56"/>
        <v>596.24412099524807</v>
      </c>
      <c r="W191" s="515">
        <v>2637.7840017036069</v>
      </c>
      <c r="X191" s="483"/>
      <c r="Y191" s="483">
        <f t="shared" si="71"/>
        <v>1318.8920008518035</v>
      </c>
      <c r="Z191" s="514">
        <f t="shared" si="58"/>
        <v>1318.8920008518035</v>
      </c>
      <c r="AA191" s="515">
        <v>1985.571157549577</v>
      </c>
      <c r="AB191" s="483"/>
      <c r="AC191" s="483">
        <f t="shared" si="72"/>
        <v>992.78557877478852</v>
      </c>
      <c r="AD191" s="514">
        <f t="shared" si="60"/>
        <v>992.78557877478852</v>
      </c>
      <c r="AE191" s="515">
        <v>710</v>
      </c>
      <c r="AF191" s="483"/>
      <c r="AG191" s="483">
        <f t="shared" si="73"/>
        <v>355</v>
      </c>
      <c r="AH191" s="514">
        <f t="shared" si="62"/>
        <v>355</v>
      </c>
      <c r="AI191" s="520">
        <v>1969.033613445376</v>
      </c>
      <c r="AJ191" s="484"/>
      <c r="AK191" s="484">
        <f t="shared" si="74"/>
        <v>984.51680672268799</v>
      </c>
      <c r="AL191" s="514">
        <f t="shared" si="64"/>
        <v>984.51680672268799</v>
      </c>
      <c r="AM191" s="526">
        <v>688.75661375661298</v>
      </c>
      <c r="AN191" s="485"/>
      <c r="AO191" s="485">
        <f t="shared" si="75"/>
        <v>344.37830687830649</v>
      </c>
      <c r="AP191" s="514">
        <f t="shared" si="66"/>
        <v>344.37830687830649</v>
      </c>
      <c r="AQ191" s="530">
        <f t="shared" si="67"/>
        <v>1318.8920008518035</v>
      </c>
    </row>
    <row r="192" spans="1:43" x14ac:dyDescent="0.55000000000000004">
      <c r="A192" s="316" t="s">
        <v>292</v>
      </c>
      <c r="B192" s="218" t="s">
        <v>293</v>
      </c>
      <c r="C192" s="218" t="s">
        <v>304</v>
      </c>
      <c r="D192" s="105" t="s">
        <v>305</v>
      </c>
      <c r="E192" s="100"/>
      <c r="F192" s="34"/>
      <c r="G192" s="34"/>
      <c r="H192" s="480">
        <v>2968</v>
      </c>
      <c r="I192" s="480" t="s">
        <v>414</v>
      </c>
      <c r="J192" s="486">
        <v>3</v>
      </c>
      <c r="K192" s="318">
        <v>445.2</v>
      </c>
      <c r="L192" s="482"/>
      <c r="M192" s="482">
        <f t="shared" si="68"/>
        <v>222.6</v>
      </c>
      <c r="N192" s="509">
        <f t="shared" si="52"/>
        <v>222.6</v>
      </c>
      <c r="O192" s="515">
        <v>455.83434400000004</v>
      </c>
      <c r="P192" s="483"/>
      <c r="Q192" s="483">
        <f t="shared" si="69"/>
        <v>227.91717200000002</v>
      </c>
      <c r="R192" s="514">
        <f t="shared" si="54"/>
        <v>227.91717200000002</v>
      </c>
      <c r="S192" s="515">
        <v>1048.5404930660732</v>
      </c>
      <c r="T192" s="483"/>
      <c r="U192" s="483">
        <f t="shared" si="70"/>
        <v>524.27024653303658</v>
      </c>
      <c r="V192" s="514">
        <f t="shared" si="56"/>
        <v>524.27024653303658</v>
      </c>
      <c r="W192" s="515">
        <v>746.35716709411224</v>
      </c>
      <c r="X192" s="483"/>
      <c r="Y192" s="483">
        <f t="shared" si="71"/>
        <v>373.17858354705612</v>
      </c>
      <c r="Z192" s="514">
        <f t="shared" si="58"/>
        <v>373.17858354705612</v>
      </c>
      <c r="AA192" s="515">
        <v>1461.1602558181589</v>
      </c>
      <c r="AB192" s="483"/>
      <c r="AC192" s="483">
        <f t="shared" si="72"/>
        <v>730.58012790907947</v>
      </c>
      <c r="AD192" s="514">
        <f t="shared" si="60"/>
        <v>730.58012790907947</v>
      </c>
      <c r="AE192" s="515">
        <v>594</v>
      </c>
      <c r="AF192" s="483"/>
      <c r="AG192" s="483">
        <f t="shared" si="73"/>
        <v>297</v>
      </c>
      <c r="AH192" s="514">
        <f t="shared" si="62"/>
        <v>297</v>
      </c>
      <c r="AI192" s="520">
        <v>1826.4615384615383</v>
      </c>
      <c r="AJ192" s="484"/>
      <c r="AK192" s="484">
        <f t="shared" si="74"/>
        <v>913.23076923076917</v>
      </c>
      <c r="AL192" s="514">
        <f t="shared" si="64"/>
        <v>913.23076923076917</v>
      </c>
      <c r="AM192" s="526">
        <v>1648.8888888888889</v>
      </c>
      <c r="AN192" s="485"/>
      <c r="AO192" s="485">
        <f t="shared" si="75"/>
        <v>824.44444444444446</v>
      </c>
      <c r="AP192" s="514">
        <f t="shared" si="66"/>
        <v>824.44444444444446</v>
      </c>
      <c r="AQ192" s="530">
        <f t="shared" si="67"/>
        <v>913.23076923076917</v>
      </c>
    </row>
    <row r="193" spans="1:43" x14ac:dyDescent="0.55000000000000004">
      <c r="A193" s="316" t="s">
        <v>292</v>
      </c>
      <c r="B193" s="218" t="s">
        <v>293</v>
      </c>
      <c r="C193" s="218" t="s">
        <v>306</v>
      </c>
      <c r="D193" s="105" t="s">
        <v>307</v>
      </c>
      <c r="E193" s="100"/>
      <c r="F193" s="34"/>
      <c r="G193" s="34"/>
      <c r="H193" s="480">
        <v>3047.871016813448</v>
      </c>
      <c r="I193" s="480" t="s">
        <v>414</v>
      </c>
      <c r="J193" s="486">
        <v>3</v>
      </c>
      <c r="K193" s="318">
        <v>457.18065252201717</v>
      </c>
      <c r="L193" s="482"/>
      <c r="M193" s="482">
        <f t="shared" si="68"/>
        <v>228.59032626100858</v>
      </c>
      <c r="N193" s="509">
        <f t="shared" si="52"/>
        <v>228.59032626100858</v>
      </c>
      <c r="O193" s="515">
        <v>507.92770495196112</v>
      </c>
      <c r="P193" s="483"/>
      <c r="Q193" s="483">
        <f t="shared" si="69"/>
        <v>253.96385247598056</v>
      </c>
      <c r="R193" s="514">
        <f t="shared" si="54"/>
        <v>253.96385247598056</v>
      </c>
      <c r="S193" s="515">
        <v>983.45046112189311</v>
      </c>
      <c r="T193" s="483"/>
      <c r="U193" s="483">
        <f t="shared" si="70"/>
        <v>491.72523056094656</v>
      </c>
      <c r="V193" s="514">
        <f t="shared" si="56"/>
        <v>491.72523056094656</v>
      </c>
      <c r="W193" s="515">
        <v>2284.4551779585386</v>
      </c>
      <c r="X193" s="483"/>
      <c r="Y193" s="483">
        <f t="shared" si="71"/>
        <v>1142.2275889792693</v>
      </c>
      <c r="Z193" s="514">
        <f t="shared" si="58"/>
        <v>1142.2275889792693</v>
      </c>
      <c r="AA193" s="515">
        <v>1173.8051731432633</v>
      </c>
      <c r="AB193" s="483"/>
      <c r="AC193" s="483">
        <f t="shared" si="72"/>
        <v>586.90258657163167</v>
      </c>
      <c r="AD193" s="514">
        <f t="shared" si="60"/>
        <v>586.90258657163167</v>
      </c>
      <c r="AE193" s="515">
        <v>2062</v>
      </c>
      <c r="AF193" s="483"/>
      <c r="AG193" s="483">
        <f t="shared" si="73"/>
        <v>1031</v>
      </c>
      <c r="AH193" s="514">
        <f t="shared" si="62"/>
        <v>1031</v>
      </c>
      <c r="AI193" s="520">
        <v>2216.6334667734168</v>
      </c>
      <c r="AJ193" s="484"/>
      <c r="AK193" s="484">
        <f t="shared" si="74"/>
        <v>1108.3167333867084</v>
      </c>
      <c r="AL193" s="514">
        <f t="shared" si="64"/>
        <v>1108.3167333867084</v>
      </c>
      <c r="AM193" s="526">
        <v>2031.9140112089651</v>
      </c>
      <c r="AN193" s="485"/>
      <c r="AO193" s="485">
        <f t="shared" si="75"/>
        <v>1015.9570056044826</v>
      </c>
      <c r="AP193" s="514">
        <f t="shared" si="66"/>
        <v>1015.9570056044826</v>
      </c>
      <c r="AQ193" s="530">
        <f t="shared" si="67"/>
        <v>1142.2275889792693</v>
      </c>
    </row>
    <row r="194" spans="1:43" x14ac:dyDescent="0.55000000000000004">
      <c r="A194" s="316" t="s">
        <v>292</v>
      </c>
      <c r="B194" s="218" t="s">
        <v>293</v>
      </c>
      <c r="C194" s="218" t="s">
        <v>308</v>
      </c>
      <c r="D194" s="105" t="s">
        <v>309</v>
      </c>
      <c r="E194" s="100"/>
      <c r="F194" s="34"/>
      <c r="G194" s="34"/>
      <c r="H194" s="480">
        <v>5119.8571428571404</v>
      </c>
      <c r="I194" s="480" t="s">
        <v>414</v>
      </c>
      <c r="J194" s="486">
        <v>3</v>
      </c>
      <c r="K194" s="318">
        <v>767.97857142857106</v>
      </c>
      <c r="L194" s="482"/>
      <c r="M194" s="482">
        <f t="shared" si="68"/>
        <v>383.98928571428553</v>
      </c>
      <c r="N194" s="509">
        <f t="shared" si="52"/>
        <v>383.98928571428553</v>
      </c>
      <c r="O194" s="515">
        <v>1060.8548794285709</v>
      </c>
      <c r="P194" s="483"/>
      <c r="Q194" s="483">
        <f t="shared" si="69"/>
        <v>530.42743971428547</v>
      </c>
      <c r="R194" s="514">
        <f t="shared" si="54"/>
        <v>530.42743971428547</v>
      </c>
      <c r="S194" s="515">
        <v>1649.1679405392335</v>
      </c>
      <c r="T194" s="483"/>
      <c r="U194" s="483">
        <f t="shared" si="70"/>
        <v>824.58397026961677</v>
      </c>
      <c r="V194" s="514">
        <f t="shared" si="56"/>
        <v>824.58397026961677</v>
      </c>
      <c r="W194" s="515">
        <v>3259.6310042964874</v>
      </c>
      <c r="X194" s="483"/>
      <c r="Y194" s="483">
        <f t="shared" si="71"/>
        <v>1629.8155021482437</v>
      </c>
      <c r="Z194" s="514">
        <f t="shared" si="58"/>
        <v>1629.8155021482437</v>
      </c>
      <c r="AA194" s="515">
        <v>2043.5933195983814</v>
      </c>
      <c r="AB194" s="483"/>
      <c r="AC194" s="483">
        <f t="shared" si="72"/>
        <v>1021.7966597991907</v>
      </c>
      <c r="AD194" s="514">
        <f t="shared" si="60"/>
        <v>1021.7966597991907</v>
      </c>
      <c r="AE194" s="515">
        <v>1018</v>
      </c>
      <c r="AF194" s="483"/>
      <c r="AG194" s="483">
        <f t="shared" si="73"/>
        <v>509</v>
      </c>
      <c r="AH194" s="514">
        <f t="shared" si="62"/>
        <v>509</v>
      </c>
      <c r="AI194" s="520">
        <v>4188.9740259740229</v>
      </c>
      <c r="AJ194" s="484"/>
      <c r="AK194" s="484">
        <f t="shared" si="74"/>
        <v>2094.4870129870114</v>
      </c>
      <c r="AL194" s="514">
        <f t="shared" si="64"/>
        <v>2094.4870129870114</v>
      </c>
      <c r="AM194" s="526">
        <v>3318.4259259259243</v>
      </c>
      <c r="AN194" s="485"/>
      <c r="AO194" s="485">
        <f t="shared" si="75"/>
        <v>1659.2129629629621</v>
      </c>
      <c r="AP194" s="514">
        <f t="shared" si="66"/>
        <v>1659.2129629629621</v>
      </c>
      <c r="AQ194" s="530">
        <f t="shared" si="67"/>
        <v>2094.4870129870114</v>
      </c>
    </row>
    <row r="195" spans="1:43" x14ac:dyDescent="0.55000000000000004">
      <c r="A195" s="316" t="s">
        <v>310</v>
      </c>
      <c r="B195" s="218" t="s">
        <v>311</v>
      </c>
      <c r="C195" s="218" t="s">
        <v>312</v>
      </c>
      <c r="D195" s="105" t="s">
        <v>313</v>
      </c>
      <c r="E195" s="100"/>
      <c r="F195" s="34"/>
      <c r="G195" s="34"/>
      <c r="H195" s="480">
        <v>16513.487018186021</v>
      </c>
      <c r="I195" s="480" t="s">
        <v>414</v>
      </c>
      <c r="J195" s="486">
        <v>3</v>
      </c>
      <c r="K195" s="318">
        <v>2477.0230527279032</v>
      </c>
      <c r="L195" s="482"/>
      <c r="M195" s="482">
        <f t="shared" si="68"/>
        <v>1238.5115263639516</v>
      </c>
      <c r="N195" s="509">
        <f t="shared" si="52"/>
        <v>1238.5115263639516</v>
      </c>
      <c r="O195" s="515">
        <v>2865.5160456203439</v>
      </c>
      <c r="P195" s="483"/>
      <c r="Q195" s="483">
        <f t="shared" si="69"/>
        <v>1432.758022810172</v>
      </c>
      <c r="R195" s="514">
        <f t="shared" si="54"/>
        <v>1432.758022810172</v>
      </c>
      <c r="S195" s="515">
        <v>11446.945548084152</v>
      </c>
      <c r="T195" s="483"/>
      <c r="U195" s="483">
        <f t="shared" si="70"/>
        <v>5723.4727740420758</v>
      </c>
      <c r="V195" s="514">
        <f t="shared" si="56"/>
        <v>5723.4727740420758</v>
      </c>
      <c r="W195" s="515">
        <v>9983.9878224402255</v>
      </c>
      <c r="X195" s="483"/>
      <c r="Y195" s="483">
        <f t="shared" si="71"/>
        <v>4991.9939112201128</v>
      </c>
      <c r="Z195" s="514">
        <f t="shared" si="58"/>
        <v>4991.9939112201128</v>
      </c>
      <c r="AA195" s="515">
        <v>13603.717947460118</v>
      </c>
      <c r="AB195" s="483"/>
      <c r="AC195" s="483">
        <f t="shared" si="72"/>
        <v>6801.858973730059</v>
      </c>
      <c r="AD195" s="514">
        <f t="shared" si="60"/>
        <v>6801.858973730059</v>
      </c>
      <c r="AE195" s="515">
        <v>10867</v>
      </c>
      <c r="AF195" s="483"/>
      <c r="AG195" s="483">
        <f t="shared" si="73"/>
        <v>5433.5</v>
      </c>
      <c r="AH195" s="514">
        <f t="shared" si="62"/>
        <v>5433.5</v>
      </c>
      <c r="AI195" s="520">
        <v>8615.7323573144458</v>
      </c>
      <c r="AJ195" s="484"/>
      <c r="AK195" s="484">
        <f t="shared" si="74"/>
        <v>4307.8661786572229</v>
      </c>
      <c r="AL195" s="514">
        <f t="shared" si="64"/>
        <v>4307.8661786572229</v>
      </c>
      <c r="AM195" s="526">
        <v>10803.21580628992</v>
      </c>
      <c r="AN195" s="485"/>
      <c r="AO195" s="485">
        <f t="shared" si="75"/>
        <v>5401.6079031449599</v>
      </c>
      <c r="AP195" s="514">
        <f t="shared" si="66"/>
        <v>5401.6079031449599</v>
      </c>
      <c r="AQ195" s="530">
        <f t="shared" si="67"/>
        <v>6801.858973730059</v>
      </c>
    </row>
    <row r="196" spans="1:43" x14ac:dyDescent="0.55000000000000004">
      <c r="A196" s="316" t="s">
        <v>310</v>
      </c>
      <c r="B196" s="218" t="s">
        <v>311</v>
      </c>
      <c r="C196" s="218" t="s">
        <v>314</v>
      </c>
      <c r="D196" s="105" t="s">
        <v>315</v>
      </c>
      <c r="E196" s="100"/>
      <c r="F196" s="34"/>
      <c r="G196" s="34"/>
      <c r="H196" s="480">
        <v>84624.371794578474</v>
      </c>
      <c r="I196" s="480" t="s">
        <v>414</v>
      </c>
      <c r="J196" s="486">
        <v>4</v>
      </c>
      <c r="K196" s="318">
        <v>12693.655769186771</v>
      </c>
      <c r="L196" s="482">
        <f t="shared" ref="L196:L238" si="76">K196</f>
        <v>12693.655769186771</v>
      </c>
      <c r="M196" s="482"/>
      <c r="N196" s="509">
        <f t="shared" ref="N196:N239" si="77">SUM(L196:M196)</f>
        <v>12693.655769186771</v>
      </c>
      <c r="O196" s="515">
        <v>31034.769764707813</v>
      </c>
      <c r="P196" s="483">
        <f t="shared" ref="P196:P238" si="78">O196</f>
        <v>31034.769764707813</v>
      </c>
      <c r="Q196" s="483"/>
      <c r="R196" s="514">
        <f t="shared" ref="R196:R239" si="79">SUM(P196:Q196)</f>
        <v>31034.769764707813</v>
      </c>
      <c r="S196" s="515">
        <v>32647.120414096447</v>
      </c>
      <c r="T196" s="483">
        <f t="shared" ref="T196:T238" si="80">S196</f>
        <v>32647.120414096447</v>
      </c>
      <c r="U196" s="483"/>
      <c r="V196" s="514">
        <f t="shared" ref="V196:V239" si="81">SUM(T196:U196)</f>
        <v>32647.120414096447</v>
      </c>
      <c r="W196" s="515">
        <v>65204.331159042034</v>
      </c>
      <c r="X196" s="483">
        <f t="shared" ref="X196:X238" si="82">W196</f>
        <v>65204.331159042034</v>
      </c>
      <c r="Y196" s="483"/>
      <c r="Z196" s="514">
        <f t="shared" ref="Z196:Z239" si="83">SUM(Y196)</f>
        <v>0</v>
      </c>
      <c r="AA196" s="515">
        <v>35747.875154623791</v>
      </c>
      <c r="AB196" s="483">
        <f t="shared" ref="AB196:AB238" si="84">AA196</f>
        <v>35747.875154623791</v>
      </c>
      <c r="AC196" s="483"/>
      <c r="AD196" s="514">
        <f t="shared" ref="AD196:AD239" si="85">SUM(AB196:AC196)</f>
        <v>35747.875154623791</v>
      </c>
      <c r="AE196" s="515">
        <v>56110</v>
      </c>
      <c r="AF196" s="483">
        <f t="shared" ref="AF196:AF238" si="86">AE196</f>
        <v>56110</v>
      </c>
      <c r="AG196" s="483"/>
      <c r="AH196" s="514">
        <f t="shared" ref="AH196:AH239" si="87">SUM(AF196:AG196)</f>
        <v>56110</v>
      </c>
      <c r="AI196" s="520">
        <v>84624.371794578474</v>
      </c>
      <c r="AJ196" s="484">
        <f t="shared" ref="AJ196:AJ238" si="88">AI196</f>
        <v>84624.371794578474</v>
      </c>
      <c r="AK196" s="484"/>
      <c r="AL196" s="514">
        <f t="shared" ref="AL196:AL239" si="89">SUM(AJ196:AK196)</f>
        <v>84624.371794578474</v>
      </c>
      <c r="AM196" s="526">
        <v>34476.59591630975</v>
      </c>
      <c r="AN196" s="485">
        <f t="shared" ref="AN196:AN238" si="90">AM196</f>
        <v>34476.59591630975</v>
      </c>
      <c r="AO196" s="485"/>
      <c r="AP196" s="514">
        <f t="shared" ref="AP196:AP239" si="91">SUM(AN196:AO196)</f>
        <v>34476.59591630975</v>
      </c>
      <c r="AQ196" s="530">
        <f t="shared" ref="AQ196:AQ239" si="92">MAX(N196,R196,V196,Z196,AD196,AH196,AL196,AP196)</f>
        <v>84624.371794578474</v>
      </c>
    </row>
    <row r="197" spans="1:43" x14ac:dyDescent="0.55000000000000004">
      <c r="A197" s="316" t="s">
        <v>310</v>
      </c>
      <c r="B197" s="218" t="s">
        <v>311</v>
      </c>
      <c r="C197" s="218" t="s">
        <v>316</v>
      </c>
      <c r="D197" s="105" t="s">
        <v>317</v>
      </c>
      <c r="E197" s="100"/>
      <c r="F197" s="34"/>
      <c r="G197" s="34"/>
      <c r="H197" s="480">
        <v>62262.159201647075</v>
      </c>
      <c r="I197" s="480" t="s">
        <v>414</v>
      </c>
      <c r="J197" s="486">
        <v>3</v>
      </c>
      <c r="K197" s="318">
        <v>9339.3238802470605</v>
      </c>
      <c r="L197" s="482"/>
      <c r="M197" s="482">
        <f t="shared" ref="M197:M239" si="93">K197/2</f>
        <v>4669.6619401235303</v>
      </c>
      <c r="N197" s="509">
        <f t="shared" si="77"/>
        <v>4669.6619401235303</v>
      </c>
      <c r="O197" s="515">
        <v>16288.117062810563</v>
      </c>
      <c r="P197" s="483"/>
      <c r="Q197" s="483">
        <f t="shared" ref="Q197:Q239" si="94">O197/2</f>
        <v>8144.0585314052814</v>
      </c>
      <c r="R197" s="514">
        <f t="shared" si="79"/>
        <v>8144.0585314052814</v>
      </c>
      <c r="S197" s="515">
        <v>34228.428664160019</v>
      </c>
      <c r="T197" s="483"/>
      <c r="U197" s="483">
        <f t="shared" ref="U197:U239" si="95">S197/2</f>
        <v>17114.21433208001</v>
      </c>
      <c r="V197" s="514">
        <f t="shared" si="81"/>
        <v>17114.21433208001</v>
      </c>
      <c r="W197" s="515">
        <v>44721.274699100119</v>
      </c>
      <c r="X197" s="483"/>
      <c r="Y197" s="483">
        <f t="shared" ref="Y197:Y239" si="96">W197/2</f>
        <v>22360.637349550059</v>
      </c>
      <c r="Z197" s="514">
        <f t="shared" si="83"/>
        <v>22360.637349550059</v>
      </c>
      <c r="AA197" s="515">
        <v>28481.445195627231</v>
      </c>
      <c r="AB197" s="483"/>
      <c r="AC197" s="483">
        <f t="shared" ref="AC197:AC239" si="97">AA197/2</f>
        <v>14240.722597813616</v>
      </c>
      <c r="AD197" s="514">
        <f t="shared" si="85"/>
        <v>14240.722597813616</v>
      </c>
      <c r="AE197" s="515">
        <v>40492</v>
      </c>
      <c r="AF197" s="483"/>
      <c r="AG197" s="483">
        <f t="shared" ref="AG197:AG239" si="98">AE197/2</f>
        <v>20246</v>
      </c>
      <c r="AH197" s="514">
        <f t="shared" si="87"/>
        <v>20246</v>
      </c>
      <c r="AI197" s="520">
        <v>48677.688103105895</v>
      </c>
      <c r="AJ197" s="484"/>
      <c r="AK197" s="484">
        <f t="shared" ref="AK197:AK239" si="99">AI197/2</f>
        <v>24338.844051552947</v>
      </c>
      <c r="AL197" s="514">
        <f t="shared" si="89"/>
        <v>24338.844051552947</v>
      </c>
      <c r="AM197" s="526">
        <v>15565.539800411769</v>
      </c>
      <c r="AN197" s="485"/>
      <c r="AO197" s="485">
        <f t="shared" ref="AO197:AO239" si="100">AM197/2</f>
        <v>7782.7699002058844</v>
      </c>
      <c r="AP197" s="514">
        <f t="shared" si="91"/>
        <v>7782.7699002058844</v>
      </c>
      <c r="AQ197" s="530">
        <f t="shared" si="92"/>
        <v>24338.844051552947</v>
      </c>
    </row>
    <row r="198" spans="1:43" x14ac:dyDescent="0.55000000000000004">
      <c r="A198" s="316" t="s">
        <v>310</v>
      </c>
      <c r="B198" s="218" t="s">
        <v>311</v>
      </c>
      <c r="C198" s="218" t="s">
        <v>318</v>
      </c>
      <c r="D198" s="105" t="s">
        <v>319</v>
      </c>
      <c r="E198" s="100"/>
      <c r="F198" s="34"/>
      <c r="G198" s="34"/>
      <c r="H198" s="480">
        <v>8876.9955392885731</v>
      </c>
      <c r="I198" s="480" t="s">
        <v>414</v>
      </c>
      <c r="J198" s="486">
        <v>3</v>
      </c>
      <c r="K198" s="318">
        <v>1331.549330893286</v>
      </c>
      <c r="L198" s="482"/>
      <c r="M198" s="482">
        <f t="shared" si="93"/>
        <v>665.77466544664298</v>
      </c>
      <c r="N198" s="509">
        <f t="shared" si="77"/>
        <v>665.77466544664298</v>
      </c>
      <c r="O198" s="515">
        <v>1619.496873698959</v>
      </c>
      <c r="P198" s="483"/>
      <c r="Q198" s="483">
        <f t="shared" si="94"/>
        <v>809.7484368494795</v>
      </c>
      <c r="R198" s="514">
        <f t="shared" si="79"/>
        <v>809.7484368494795</v>
      </c>
      <c r="S198" s="515">
        <v>4116.9543189771584</v>
      </c>
      <c r="T198" s="483"/>
      <c r="U198" s="483">
        <f t="shared" si="95"/>
        <v>2058.4771594885792</v>
      </c>
      <c r="V198" s="514">
        <f t="shared" si="81"/>
        <v>2058.4771594885792</v>
      </c>
      <c r="W198" s="515">
        <v>6742.2447544422866</v>
      </c>
      <c r="X198" s="483"/>
      <c r="Y198" s="483">
        <f t="shared" si="96"/>
        <v>3371.1223772211433</v>
      </c>
      <c r="Z198" s="514">
        <f t="shared" si="83"/>
        <v>3371.1223772211433</v>
      </c>
      <c r="AA198" s="515">
        <v>4186.3245334297198</v>
      </c>
      <c r="AB198" s="483"/>
      <c r="AC198" s="483">
        <f t="shared" si="97"/>
        <v>2093.1622667148599</v>
      </c>
      <c r="AD198" s="514">
        <f t="shared" si="85"/>
        <v>2093.1622667148599</v>
      </c>
      <c r="AE198" s="515">
        <v>6115</v>
      </c>
      <c r="AF198" s="483"/>
      <c r="AG198" s="483">
        <f t="shared" si="98"/>
        <v>3057.5</v>
      </c>
      <c r="AH198" s="514">
        <f t="shared" si="87"/>
        <v>3057.5</v>
      </c>
      <c r="AI198" s="520">
        <v>5743.9382901279005</v>
      </c>
      <c r="AJ198" s="484"/>
      <c r="AK198" s="484">
        <f t="shared" si="99"/>
        <v>2871.9691450639502</v>
      </c>
      <c r="AL198" s="514">
        <f t="shared" si="89"/>
        <v>2871.9691450639502</v>
      </c>
      <c r="AM198" s="526">
        <v>5084.0974452289101</v>
      </c>
      <c r="AN198" s="485"/>
      <c r="AO198" s="485">
        <f t="shared" si="100"/>
        <v>2542.0487226144551</v>
      </c>
      <c r="AP198" s="514">
        <f t="shared" si="91"/>
        <v>2542.0487226144551</v>
      </c>
      <c r="AQ198" s="530">
        <f t="shared" si="92"/>
        <v>3371.1223772211433</v>
      </c>
    </row>
    <row r="199" spans="1:43" x14ac:dyDescent="0.55000000000000004">
      <c r="A199" s="316" t="s">
        <v>310</v>
      </c>
      <c r="B199" s="218" t="s">
        <v>311</v>
      </c>
      <c r="C199" s="218" t="s">
        <v>320</v>
      </c>
      <c r="D199" s="105" t="s">
        <v>321</v>
      </c>
      <c r="E199" s="100"/>
      <c r="F199" s="34"/>
      <c r="G199" s="34"/>
      <c r="H199" s="480">
        <v>46727.292920050364</v>
      </c>
      <c r="I199" s="480" t="s">
        <v>414</v>
      </c>
      <c r="J199" s="486">
        <v>3</v>
      </c>
      <c r="K199" s="318">
        <v>7009.0939380075542</v>
      </c>
      <c r="L199" s="482"/>
      <c r="M199" s="482">
        <f t="shared" si="93"/>
        <v>3504.5469690037771</v>
      </c>
      <c r="N199" s="509">
        <f t="shared" si="77"/>
        <v>3504.5469690037771</v>
      </c>
      <c r="O199" s="515">
        <v>7320.8584363701311</v>
      </c>
      <c r="P199" s="483"/>
      <c r="Q199" s="483">
        <f t="shared" si="94"/>
        <v>3660.4292181850656</v>
      </c>
      <c r="R199" s="514">
        <f t="shared" si="79"/>
        <v>3660.4292181850656</v>
      </c>
      <c r="S199" s="515">
        <v>16160.236825051841</v>
      </c>
      <c r="T199" s="483"/>
      <c r="U199" s="483">
        <f t="shared" si="95"/>
        <v>8080.1184125259206</v>
      </c>
      <c r="V199" s="514">
        <f t="shared" si="81"/>
        <v>8080.1184125259206</v>
      </c>
      <c r="W199" s="515">
        <v>31614.397795641988</v>
      </c>
      <c r="X199" s="483"/>
      <c r="Y199" s="483">
        <f t="shared" si="96"/>
        <v>15807.198897820994</v>
      </c>
      <c r="Z199" s="514">
        <f t="shared" si="83"/>
        <v>15807.198897820994</v>
      </c>
      <c r="AA199" s="515">
        <v>19880.916593575854</v>
      </c>
      <c r="AB199" s="483"/>
      <c r="AC199" s="483">
        <f t="shared" si="97"/>
        <v>9940.4582967879269</v>
      </c>
      <c r="AD199" s="514">
        <f t="shared" si="85"/>
        <v>9940.4582967879269</v>
      </c>
      <c r="AE199" s="515">
        <v>31590</v>
      </c>
      <c r="AF199" s="483"/>
      <c r="AG199" s="483">
        <f t="shared" si="98"/>
        <v>15795</v>
      </c>
      <c r="AH199" s="514">
        <f t="shared" si="87"/>
        <v>15795</v>
      </c>
      <c r="AI199" s="520">
        <v>32349.664329265637</v>
      </c>
      <c r="AJ199" s="484"/>
      <c r="AK199" s="484">
        <f t="shared" si="99"/>
        <v>16174.832164632819</v>
      </c>
      <c r="AL199" s="514">
        <f t="shared" si="89"/>
        <v>16174.832164632819</v>
      </c>
      <c r="AM199" s="526">
        <v>18005.011950845092</v>
      </c>
      <c r="AN199" s="485"/>
      <c r="AO199" s="485">
        <f t="shared" si="100"/>
        <v>9002.5059754225458</v>
      </c>
      <c r="AP199" s="514">
        <f t="shared" si="91"/>
        <v>9002.5059754225458</v>
      </c>
      <c r="AQ199" s="530">
        <f t="shared" si="92"/>
        <v>16174.832164632819</v>
      </c>
    </row>
    <row r="200" spans="1:43" x14ac:dyDescent="0.55000000000000004">
      <c r="A200" s="316" t="s">
        <v>322</v>
      </c>
      <c r="B200" s="218" t="s">
        <v>323</v>
      </c>
      <c r="C200" s="218" t="s">
        <v>324</v>
      </c>
      <c r="D200" s="105" t="s">
        <v>325</v>
      </c>
      <c r="E200" s="100"/>
      <c r="F200" s="34"/>
      <c r="G200" s="34"/>
      <c r="H200" s="480">
        <v>1708.2679972549467</v>
      </c>
      <c r="I200" s="480" t="s">
        <v>414</v>
      </c>
      <c r="J200" s="486">
        <v>3</v>
      </c>
      <c r="K200" s="318">
        <v>256.24019958824198</v>
      </c>
      <c r="L200" s="482"/>
      <c r="M200" s="482">
        <f t="shared" si="93"/>
        <v>128.12009979412099</v>
      </c>
      <c r="N200" s="509">
        <f t="shared" si="77"/>
        <v>128.12009979412099</v>
      </c>
      <c r="O200" s="515">
        <v>136.01639778463226</v>
      </c>
      <c r="P200" s="483"/>
      <c r="Q200" s="483">
        <f t="shared" si="94"/>
        <v>68.00819889231613</v>
      </c>
      <c r="R200" s="514">
        <f t="shared" si="79"/>
        <v>68.00819889231613</v>
      </c>
      <c r="S200" s="515">
        <v>670.13670661903291</v>
      </c>
      <c r="T200" s="483"/>
      <c r="U200" s="483">
        <f t="shared" si="95"/>
        <v>335.06835330951645</v>
      </c>
      <c r="V200" s="514">
        <f t="shared" si="81"/>
        <v>335.06835330951645</v>
      </c>
      <c r="W200" s="515">
        <v>1064.7716969540184</v>
      </c>
      <c r="X200" s="483"/>
      <c r="Y200" s="483">
        <f t="shared" si="96"/>
        <v>532.38584847700918</v>
      </c>
      <c r="Z200" s="514">
        <f t="shared" si="83"/>
        <v>532.38584847700918</v>
      </c>
      <c r="AA200" s="515">
        <v>865.88797530309</v>
      </c>
      <c r="AB200" s="483"/>
      <c r="AC200" s="483">
        <f t="shared" si="97"/>
        <v>432.943987651545</v>
      </c>
      <c r="AD200" s="514">
        <f t="shared" si="85"/>
        <v>432.943987651545</v>
      </c>
      <c r="AE200" s="515">
        <v>328</v>
      </c>
      <c r="AF200" s="483"/>
      <c r="AG200" s="483">
        <f t="shared" si="98"/>
        <v>164</v>
      </c>
      <c r="AH200" s="514">
        <f t="shared" si="87"/>
        <v>164</v>
      </c>
      <c r="AI200" s="520">
        <v>1087.0796346167842</v>
      </c>
      <c r="AJ200" s="484"/>
      <c r="AK200" s="484">
        <f t="shared" si="99"/>
        <v>543.53981730839212</v>
      </c>
      <c r="AL200" s="514">
        <f t="shared" si="89"/>
        <v>543.53981730839212</v>
      </c>
      <c r="AM200" s="526">
        <v>442.88429558461581</v>
      </c>
      <c r="AN200" s="485"/>
      <c r="AO200" s="485">
        <f t="shared" si="100"/>
        <v>221.44214779230791</v>
      </c>
      <c r="AP200" s="514">
        <f t="shared" si="91"/>
        <v>221.44214779230791</v>
      </c>
      <c r="AQ200" s="530">
        <f t="shared" si="92"/>
        <v>543.53981730839212</v>
      </c>
    </row>
    <row r="201" spans="1:43" x14ac:dyDescent="0.55000000000000004">
      <c r="A201" s="316" t="s">
        <v>322</v>
      </c>
      <c r="B201" s="218" t="s">
        <v>323</v>
      </c>
      <c r="C201" s="218" t="s">
        <v>326</v>
      </c>
      <c r="D201" s="105" t="s">
        <v>327</v>
      </c>
      <c r="E201" s="100"/>
      <c r="F201" s="34"/>
      <c r="G201" s="34"/>
      <c r="H201" s="480">
        <v>1810</v>
      </c>
      <c r="I201" s="480" t="s">
        <v>414</v>
      </c>
      <c r="J201" s="486">
        <v>3</v>
      </c>
      <c r="K201" s="318">
        <v>271.5</v>
      </c>
      <c r="L201" s="482"/>
      <c r="M201" s="482">
        <f t="shared" si="93"/>
        <v>135.75</v>
      </c>
      <c r="N201" s="509">
        <f t="shared" si="77"/>
        <v>135.75</v>
      </c>
      <c r="O201" s="515">
        <v>412.36668899999995</v>
      </c>
      <c r="P201" s="483"/>
      <c r="Q201" s="483">
        <f t="shared" si="94"/>
        <v>206.18334449999998</v>
      </c>
      <c r="R201" s="514">
        <f t="shared" si="79"/>
        <v>206.18334449999998</v>
      </c>
      <c r="S201" s="515">
        <v>625.62933932243084</v>
      </c>
      <c r="T201" s="483"/>
      <c r="U201" s="483">
        <f t="shared" si="95"/>
        <v>312.81466966121542</v>
      </c>
      <c r="V201" s="514">
        <f t="shared" si="81"/>
        <v>312.81466966121542</v>
      </c>
      <c r="W201" s="515">
        <v>1490.6764099812244</v>
      </c>
      <c r="X201" s="483"/>
      <c r="Y201" s="483">
        <f t="shared" si="96"/>
        <v>745.33820499061221</v>
      </c>
      <c r="Z201" s="514">
        <f t="shared" si="83"/>
        <v>745.33820499061221</v>
      </c>
      <c r="AA201" s="515">
        <v>929.94220239263655</v>
      </c>
      <c r="AB201" s="483"/>
      <c r="AC201" s="483">
        <f t="shared" si="97"/>
        <v>464.97110119631827</v>
      </c>
      <c r="AD201" s="514">
        <f t="shared" si="85"/>
        <v>464.97110119631827</v>
      </c>
      <c r="AE201" s="515">
        <v>1267</v>
      </c>
      <c r="AF201" s="483"/>
      <c r="AG201" s="483">
        <f t="shared" si="98"/>
        <v>633.5</v>
      </c>
      <c r="AH201" s="514">
        <f t="shared" si="87"/>
        <v>633.5</v>
      </c>
      <c r="AI201" s="520">
        <v>1086</v>
      </c>
      <c r="AJ201" s="484"/>
      <c r="AK201" s="484">
        <f t="shared" si="99"/>
        <v>543</v>
      </c>
      <c r="AL201" s="514">
        <f t="shared" si="89"/>
        <v>543</v>
      </c>
      <c r="AM201" s="526">
        <v>938.51851851851836</v>
      </c>
      <c r="AN201" s="485"/>
      <c r="AO201" s="485">
        <f t="shared" si="100"/>
        <v>469.25925925925918</v>
      </c>
      <c r="AP201" s="514">
        <f t="shared" si="91"/>
        <v>469.25925925925918</v>
      </c>
      <c r="AQ201" s="530">
        <f t="shared" si="92"/>
        <v>745.33820499061221</v>
      </c>
    </row>
    <row r="202" spans="1:43" x14ac:dyDescent="0.55000000000000004">
      <c r="A202" s="316" t="s">
        <v>322</v>
      </c>
      <c r="B202" s="218" t="s">
        <v>323</v>
      </c>
      <c r="C202" s="218" t="s">
        <v>328</v>
      </c>
      <c r="D202" s="105" t="s">
        <v>329</v>
      </c>
      <c r="E202" s="100"/>
      <c r="F202" s="34"/>
      <c r="G202" s="34"/>
      <c r="H202" s="480">
        <v>7417</v>
      </c>
      <c r="I202" s="480" t="s">
        <v>414</v>
      </c>
      <c r="J202" s="486">
        <v>3</v>
      </c>
      <c r="K202" s="318">
        <v>1112.55</v>
      </c>
      <c r="L202" s="482"/>
      <c r="M202" s="482">
        <f t="shared" si="93"/>
        <v>556.27499999999998</v>
      </c>
      <c r="N202" s="509">
        <f t="shared" si="77"/>
        <v>556.27499999999998</v>
      </c>
      <c r="O202" s="515">
        <v>2667.0360114</v>
      </c>
      <c r="P202" s="483"/>
      <c r="Q202" s="483">
        <f t="shared" si="94"/>
        <v>1333.5180057</v>
      </c>
      <c r="R202" s="514">
        <f t="shared" si="79"/>
        <v>1333.5180057</v>
      </c>
      <c r="S202" s="515">
        <v>2854.2276968868132</v>
      </c>
      <c r="T202" s="483"/>
      <c r="U202" s="483">
        <f t="shared" si="95"/>
        <v>1427.1138484434066</v>
      </c>
      <c r="V202" s="514">
        <f t="shared" si="81"/>
        <v>1427.1138484434066</v>
      </c>
      <c r="W202" s="515">
        <v>6114.9134977443282</v>
      </c>
      <c r="X202" s="483"/>
      <c r="Y202" s="483">
        <f t="shared" si="96"/>
        <v>3057.4567488721641</v>
      </c>
      <c r="Z202" s="514">
        <f t="shared" si="83"/>
        <v>3057.4567488721641</v>
      </c>
      <c r="AA202" s="515">
        <v>3802.4327491574586</v>
      </c>
      <c r="AB202" s="483"/>
      <c r="AC202" s="483">
        <f t="shared" si="97"/>
        <v>1901.2163745787293</v>
      </c>
      <c r="AD202" s="514">
        <f t="shared" si="85"/>
        <v>1901.2163745787293</v>
      </c>
      <c r="AE202" s="515">
        <v>4825</v>
      </c>
      <c r="AF202" s="483"/>
      <c r="AG202" s="483">
        <f t="shared" si="98"/>
        <v>2412.5</v>
      </c>
      <c r="AH202" s="514">
        <f t="shared" si="87"/>
        <v>2412.5</v>
      </c>
      <c r="AI202" s="520">
        <v>285.26923076923077</v>
      </c>
      <c r="AJ202" s="484"/>
      <c r="AK202" s="484">
        <f t="shared" si="99"/>
        <v>142.63461538461539</v>
      </c>
      <c r="AL202" s="514">
        <f t="shared" si="89"/>
        <v>142.63461538461539</v>
      </c>
      <c r="AM202" s="526">
        <v>4463.9351851851852</v>
      </c>
      <c r="AN202" s="485"/>
      <c r="AO202" s="485">
        <f t="shared" si="100"/>
        <v>2231.9675925925926</v>
      </c>
      <c r="AP202" s="514">
        <f t="shared" si="91"/>
        <v>2231.9675925925926</v>
      </c>
      <c r="AQ202" s="530">
        <f t="shared" si="92"/>
        <v>3057.4567488721641</v>
      </c>
    </row>
    <row r="203" spans="1:43" x14ac:dyDescent="0.55000000000000004">
      <c r="A203" s="316" t="s">
        <v>322</v>
      </c>
      <c r="B203" s="218" t="s">
        <v>323</v>
      </c>
      <c r="C203" s="218" t="s">
        <v>330</v>
      </c>
      <c r="D203" s="105" t="s">
        <v>331</v>
      </c>
      <c r="E203" s="100"/>
      <c r="F203" s="34"/>
      <c r="G203" s="34"/>
      <c r="H203" s="480">
        <v>5041.023996339929</v>
      </c>
      <c r="I203" s="480" t="s">
        <v>414</v>
      </c>
      <c r="J203" s="486">
        <v>3</v>
      </c>
      <c r="K203" s="318">
        <v>756.1535994509893</v>
      </c>
      <c r="L203" s="482"/>
      <c r="M203" s="482">
        <f t="shared" si="93"/>
        <v>378.07679972549465</v>
      </c>
      <c r="N203" s="509">
        <f t="shared" si="77"/>
        <v>378.07679972549465</v>
      </c>
      <c r="O203" s="515">
        <v>983.45841246995303</v>
      </c>
      <c r="P203" s="483"/>
      <c r="Q203" s="483">
        <f t="shared" si="94"/>
        <v>491.72920623497652</v>
      </c>
      <c r="R203" s="514">
        <f t="shared" si="79"/>
        <v>491.72920623497652</v>
      </c>
      <c r="S203" s="515">
        <v>1713.8548458301896</v>
      </c>
      <c r="T203" s="483"/>
      <c r="U203" s="483">
        <f t="shared" si="95"/>
        <v>856.92742291509478</v>
      </c>
      <c r="V203" s="514">
        <f t="shared" si="81"/>
        <v>856.92742291509478</v>
      </c>
      <c r="W203" s="515">
        <v>3635.4409748010257</v>
      </c>
      <c r="X203" s="483"/>
      <c r="Y203" s="483">
        <f t="shared" si="96"/>
        <v>1817.7204874005129</v>
      </c>
      <c r="Z203" s="514">
        <f t="shared" si="83"/>
        <v>1817.7204874005129</v>
      </c>
      <c r="AA203" s="515">
        <v>2796.0794612320165</v>
      </c>
      <c r="AB203" s="483"/>
      <c r="AC203" s="483">
        <f t="shared" si="97"/>
        <v>1398.0397306160082</v>
      </c>
      <c r="AD203" s="514">
        <f t="shared" si="85"/>
        <v>1398.0397306160082</v>
      </c>
      <c r="AE203" s="515">
        <v>3474</v>
      </c>
      <c r="AF203" s="483"/>
      <c r="AG203" s="483">
        <f t="shared" si="98"/>
        <v>1737</v>
      </c>
      <c r="AH203" s="514">
        <f t="shared" si="87"/>
        <v>1737</v>
      </c>
      <c r="AI203" s="520">
        <v>4602.6740836147183</v>
      </c>
      <c r="AJ203" s="484"/>
      <c r="AK203" s="484">
        <f t="shared" si="99"/>
        <v>2301.3370418073591</v>
      </c>
      <c r="AL203" s="514">
        <f t="shared" si="89"/>
        <v>2301.3370418073591</v>
      </c>
      <c r="AM203" s="526">
        <v>1820.3697764560852</v>
      </c>
      <c r="AN203" s="485"/>
      <c r="AO203" s="485">
        <f t="shared" si="100"/>
        <v>910.18488822804261</v>
      </c>
      <c r="AP203" s="514">
        <f t="shared" si="91"/>
        <v>910.18488822804261</v>
      </c>
      <c r="AQ203" s="530">
        <f t="shared" si="92"/>
        <v>2301.3370418073591</v>
      </c>
    </row>
    <row r="204" spans="1:43" x14ac:dyDescent="0.55000000000000004">
      <c r="A204" s="316" t="s">
        <v>322</v>
      </c>
      <c r="B204" s="218" t="s">
        <v>323</v>
      </c>
      <c r="C204" s="218" t="s">
        <v>332</v>
      </c>
      <c r="D204" s="105" t="s">
        <v>333</v>
      </c>
      <c r="E204" s="100"/>
      <c r="F204" s="34"/>
      <c r="G204" s="34"/>
      <c r="H204" s="480">
        <v>3069.1428571428601</v>
      </c>
      <c r="I204" s="480" t="s">
        <v>414</v>
      </c>
      <c r="J204" s="486">
        <v>4</v>
      </c>
      <c r="K204" s="318">
        <v>460.37142857142902</v>
      </c>
      <c r="L204" s="482">
        <f t="shared" si="76"/>
        <v>460.37142857142902</v>
      </c>
      <c r="M204" s="482"/>
      <c r="N204" s="509">
        <f t="shared" si="77"/>
        <v>460.37142857142902</v>
      </c>
      <c r="O204" s="515">
        <v>597.15391828571489</v>
      </c>
      <c r="P204" s="483">
        <f t="shared" si="78"/>
        <v>597.15391828571489</v>
      </c>
      <c r="Q204" s="483"/>
      <c r="R204" s="514">
        <f t="shared" si="79"/>
        <v>597.15391828571489</v>
      </c>
      <c r="S204" s="515">
        <v>1293.574292400795</v>
      </c>
      <c r="T204" s="483">
        <f t="shared" si="80"/>
        <v>1293.574292400795</v>
      </c>
      <c r="U204" s="483"/>
      <c r="V204" s="514">
        <f t="shared" si="81"/>
        <v>1293.574292400795</v>
      </c>
      <c r="W204" s="515">
        <v>2299.4820891862373</v>
      </c>
      <c r="X204" s="483">
        <f t="shared" si="82"/>
        <v>2299.4820891862373</v>
      </c>
      <c r="Y204" s="483"/>
      <c r="Z204" s="514">
        <f t="shared" si="83"/>
        <v>0</v>
      </c>
      <c r="AA204" s="515">
        <v>1473.0465205838257</v>
      </c>
      <c r="AB204" s="483">
        <f t="shared" si="84"/>
        <v>1473.0465205838257</v>
      </c>
      <c r="AC204" s="483"/>
      <c r="AD204" s="514">
        <f t="shared" si="85"/>
        <v>1473.0465205838257</v>
      </c>
      <c r="AE204" s="515">
        <v>2142</v>
      </c>
      <c r="AF204" s="483">
        <f t="shared" si="86"/>
        <v>2142</v>
      </c>
      <c r="AG204" s="483"/>
      <c r="AH204" s="514">
        <f t="shared" si="87"/>
        <v>2142</v>
      </c>
      <c r="AI204" s="520">
        <v>3069.1428571428601</v>
      </c>
      <c r="AJ204" s="484">
        <f t="shared" si="88"/>
        <v>3069.1428571428601</v>
      </c>
      <c r="AK204" s="484"/>
      <c r="AL204" s="514">
        <f t="shared" si="89"/>
        <v>3069.1428571428601</v>
      </c>
      <c r="AM204" s="526">
        <v>1250.3915343915355</v>
      </c>
      <c r="AN204" s="485">
        <f t="shared" si="90"/>
        <v>1250.3915343915355</v>
      </c>
      <c r="AO204" s="485"/>
      <c r="AP204" s="514">
        <f t="shared" si="91"/>
        <v>1250.3915343915355</v>
      </c>
      <c r="AQ204" s="530">
        <f t="shared" si="92"/>
        <v>3069.1428571428601</v>
      </c>
    </row>
    <row r="205" spans="1:43" x14ac:dyDescent="0.55000000000000004">
      <c r="A205" s="316" t="s">
        <v>322</v>
      </c>
      <c r="B205" s="218" t="s">
        <v>323</v>
      </c>
      <c r="C205" s="218" t="s">
        <v>334</v>
      </c>
      <c r="D205" s="105" t="s">
        <v>335</v>
      </c>
      <c r="E205" s="100"/>
      <c r="F205" s="34"/>
      <c r="G205" s="34"/>
      <c r="H205" s="480">
        <v>7050.3021159784967</v>
      </c>
      <c r="I205" s="480" t="s">
        <v>414</v>
      </c>
      <c r="J205" s="486">
        <v>3</v>
      </c>
      <c r="K205" s="318">
        <v>1057.5453173967744</v>
      </c>
      <c r="L205" s="482"/>
      <c r="M205" s="482">
        <f t="shared" si="93"/>
        <v>528.7726586983872</v>
      </c>
      <c r="N205" s="509">
        <f t="shared" si="77"/>
        <v>528.7726586983872</v>
      </c>
      <c r="O205" s="515">
        <v>2157.4559002084634</v>
      </c>
      <c r="P205" s="483"/>
      <c r="Q205" s="483">
        <f t="shared" si="94"/>
        <v>1078.7279501042317</v>
      </c>
      <c r="R205" s="514">
        <f t="shared" si="79"/>
        <v>1078.7279501042317</v>
      </c>
      <c r="S205" s="515">
        <v>2577.4022617242485</v>
      </c>
      <c r="T205" s="483"/>
      <c r="U205" s="483">
        <f t="shared" si="95"/>
        <v>1288.7011308621243</v>
      </c>
      <c r="V205" s="514">
        <f t="shared" si="81"/>
        <v>1288.7011308621243</v>
      </c>
      <c r="W205" s="515">
        <v>4656.3863132350816</v>
      </c>
      <c r="X205" s="483"/>
      <c r="Y205" s="483">
        <f t="shared" si="96"/>
        <v>2328.1931566175408</v>
      </c>
      <c r="Z205" s="514">
        <f t="shared" si="83"/>
        <v>2328.1931566175408</v>
      </c>
      <c r="AA205" s="515">
        <v>3806.9093414081844</v>
      </c>
      <c r="AB205" s="483"/>
      <c r="AC205" s="483">
        <f t="shared" si="97"/>
        <v>1903.4546707040922</v>
      </c>
      <c r="AD205" s="514">
        <f t="shared" si="85"/>
        <v>1903.4546707040922</v>
      </c>
      <c r="AE205" s="515">
        <v>4717</v>
      </c>
      <c r="AF205" s="483"/>
      <c r="AG205" s="483">
        <f t="shared" si="98"/>
        <v>2358.5</v>
      </c>
      <c r="AH205" s="514">
        <f t="shared" si="87"/>
        <v>2358.5</v>
      </c>
      <c r="AI205" s="520">
        <v>2769.7615455629812</v>
      </c>
      <c r="AJ205" s="484"/>
      <c r="AK205" s="484">
        <f t="shared" si="99"/>
        <v>1384.8807727814906</v>
      </c>
      <c r="AL205" s="514">
        <f t="shared" si="89"/>
        <v>1384.8807727814906</v>
      </c>
      <c r="AM205" s="526">
        <v>3002.9064568056565</v>
      </c>
      <c r="AN205" s="485"/>
      <c r="AO205" s="485">
        <f t="shared" si="100"/>
        <v>1501.4532284028282</v>
      </c>
      <c r="AP205" s="514">
        <f t="shared" si="91"/>
        <v>1501.4532284028282</v>
      </c>
      <c r="AQ205" s="530">
        <f t="shared" si="92"/>
        <v>2358.5</v>
      </c>
    </row>
    <row r="206" spans="1:43" x14ac:dyDescent="0.55000000000000004">
      <c r="A206" s="316" t="s">
        <v>322</v>
      </c>
      <c r="B206" s="218" t="s">
        <v>323</v>
      </c>
      <c r="C206" s="218" t="s">
        <v>336</v>
      </c>
      <c r="D206" s="105" t="s">
        <v>337</v>
      </c>
      <c r="E206" s="100"/>
      <c r="F206" s="34"/>
      <c r="G206" s="34"/>
      <c r="H206" s="480">
        <v>3636</v>
      </c>
      <c r="I206" s="480" t="s">
        <v>414</v>
      </c>
      <c r="J206" s="486">
        <v>4</v>
      </c>
      <c r="K206" s="318">
        <v>545.4</v>
      </c>
      <c r="L206" s="482">
        <f t="shared" si="76"/>
        <v>545.4</v>
      </c>
      <c r="M206" s="482"/>
      <c r="N206" s="509">
        <f t="shared" si="77"/>
        <v>545.4</v>
      </c>
      <c r="O206" s="515">
        <v>688.46932800000013</v>
      </c>
      <c r="P206" s="483">
        <f t="shared" si="78"/>
        <v>688.46932800000013</v>
      </c>
      <c r="Q206" s="483"/>
      <c r="R206" s="514">
        <f t="shared" si="79"/>
        <v>688.46932800000013</v>
      </c>
      <c r="S206" s="515">
        <v>1418.8092270233087</v>
      </c>
      <c r="T206" s="483">
        <f t="shared" si="80"/>
        <v>1418.8092270233087</v>
      </c>
      <c r="U206" s="483"/>
      <c r="V206" s="514">
        <f t="shared" si="81"/>
        <v>1418.8092270233087</v>
      </c>
      <c r="W206" s="515">
        <v>2665.0680294809003</v>
      </c>
      <c r="X206" s="483">
        <f t="shared" si="82"/>
        <v>2665.0680294809003</v>
      </c>
      <c r="Y206" s="483"/>
      <c r="Z206" s="514">
        <f t="shared" si="83"/>
        <v>0</v>
      </c>
      <c r="AA206" s="515">
        <v>2336.2567443257749</v>
      </c>
      <c r="AB206" s="483">
        <f t="shared" si="84"/>
        <v>2336.2567443257749</v>
      </c>
      <c r="AC206" s="483"/>
      <c r="AD206" s="514">
        <f t="shared" si="85"/>
        <v>2336.2567443257749</v>
      </c>
      <c r="AE206" s="515">
        <v>2445</v>
      </c>
      <c r="AF206" s="483">
        <f t="shared" si="86"/>
        <v>2445</v>
      </c>
      <c r="AG206" s="483"/>
      <c r="AH206" s="514">
        <f t="shared" si="87"/>
        <v>2445</v>
      </c>
      <c r="AI206" s="520">
        <v>3636</v>
      </c>
      <c r="AJ206" s="484">
        <f t="shared" si="88"/>
        <v>3636</v>
      </c>
      <c r="AK206" s="484"/>
      <c r="AL206" s="514">
        <f t="shared" si="89"/>
        <v>3636</v>
      </c>
      <c r="AM206" s="526">
        <v>1919</v>
      </c>
      <c r="AN206" s="485">
        <f t="shared" si="90"/>
        <v>1919</v>
      </c>
      <c r="AO206" s="485"/>
      <c r="AP206" s="514">
        <f t="shared" si="91"/>
        <v>1919</v>
      </c>
      <c r="AQ206" s="530">
        <f t="shared" si="92"/>
        <v>3636</v>
      </c>
    </row>
    <row r="207" spans="1:43" x14ac:dyDescent="0.55000000000000004">
      <c r="A207" s="316" t="s">
        <v>322</v>
      </c>
      <c r="B207" s="218" t="s">
        <v>323</v>
      </c>
      <c r="C207" s="218" t="s">
        <v>338</v>
      </c>
      <c r="D207" s="105" t="s">
        <v>339</v>
      </c>
      <c r="E207" s="100"/>
      <c r="F207" s="34"/>
      <c r="G207" s="34"/>
      <c r="H207" s="480">
        <v>3515.9389111289033</v>
      </c>
      <c r="I207" s="480" t="s">
        <v>414</v>
      </c>
      <c r="J207" s="486">
        <v>3</v>
      </c>
      <c r="K207" s="318">
        <v>527.3908366693355</v>
      </c>
      <c r="L207" s="482"/>
      <c r="M207" s="482">
        <f t="shared" si="93"/>
        <v>263.69541833466775</v>
      </c>
      <c r="N207" s="509">
        <f t="shared" si="77"/>
        <v>263.69541833466775</v>
      </c>
      <c r="O207" s="515">
        <v>188.39455467502003</v>
      </c>
      <c r="P207" s="483"/>
      <c r="Q207" s="483">
        <f t="shared" si="94"/>
        <v>94.197277337510016</v>
      </c>
      <c r="R207" s="514">
        <f t="shared" si="79"/>
        <v>94.197277337510016</v>
      </c>
      <c r="S207" s="515">
        <v>1347.609100074098</v>
      </c>
      <c r="T207" s="483"/>
      <c r="U207" s="483">
        <f t="shared" si="95"/>
        <v>673.80455003704901</v>
      </c>
      <c r="V207" s="514">
        <f t="shared" si="81"/>
        <v>673.80455003704901</v>
      </c>
      <c r="W207" s="515">
        <v>2224.6482399145461</v>
      </c>
      <c r="X207" s="483"/>
      <c r="Y207" s="483">
        <f t="shared" si="96"/>
        <v>1112.3241199572731</v>
      </c>
      <c r="Z207" s="514">
        <f t="shared" si="83"/>
        <v>1112.3241199572731</v>
      </c>
      <c r="AA207" s="515">
        <v>3142.4968348686766</v>
      </c>
      <c r="AB207" s="483"/>
      <c r="AC207" s="483">
        <f t="shared" si="97"/>
        <v>1571.2484174343383</v>
      </c>
      <c r="AD207" s="514">
        <f t="shared" si="85"/>
        <v>1571.2484174343383</v>
      </c>
      <c r="AE207" s="515">
        <v>703</v>
      </c>
      <c r="AF207" s="483"/>
      <c r="AG207" s="483">
        <f t="shared" si="98"/>
        <v>351.5</v>
      </c>
      <c r="AH207" s="514">
        <f t="shared" si="87"/>
        <v>351.5</v>
      </c>
      <c r="AI207" s="520">
        <v>878.98472778222583</v>
      </c>
      <c r="AJ207" s="484"/>
      <c r="AK207" s="484">
        <f t="shared" si="99"/>
        <v>439.49236389111292</v>
      </c>
      <c r="AL207" s="514">
        <f t="shared" si="89"/>
        <v>439.49236389111292</v>
      </c>
      <c r="AM207" s="526">
        <v>1483.7907331369684</v>
      </c>
      <c r="AN207" s="485"/>
      <c r="AO207" s="485">
        <f t="shared" si="100"/>
        <v>741.89536656848418</v>
      </c>
      <c r="AP207" s="514">
        <f t="shared" si="91"/>
        <v>741.89536656848418</v>
      </c>
      <c r="AQ207" s="530">
        <f t="shared" si="92"/>
        <v>1571.2484174343383</v>
      </c>
    </row>
    <row r="208" spans="1:43" x14ac:dyDescent="0.55000000000000004">
      <c r="A208" s="316" t="s">
        <v>322</v>
      </c>
      <c r="B208" s="218" t="s">
        <v>323</v>
      </c>
      <c r="C208" s="218" t="s">
        <v>340</v>
      </c>
      <c r="D208" s="105" t="s">
        <v>341</v>
      </c>
      <c r="E208" s="100"/>
      <c r="F208" s="34"/>
      <c r="G208" s="34"/>
      <c r="H208" s="480">
        <v>13224.062358458195</v>
      </c>
      <c r="I208" s="480" t="s">
        <v>414</v>
      </c>
      <c r="J208" s="486">
        <v>4</v>
      </c>
      <c r="K208" s="318">
        <v>1983.6093537687293</v>
      </c>
      <c r="L208" s="482">
        <f t="shared" si="76"/>
        <v>1983.6093537687293</v>
      </c>
      <c r="M208" s="482"/>
      <c r="N208" s="509">
        <f t="shared" si="77"/>
        <v>1983.6093537687293</v>
      </c>
      <c r="O208" s="515">
        <v>3641.3751662125778</v>
      </c>
      <c r="P208" s="483">
        <f t="shared" si="78"/>
        <v>3641.3751662125778</v>
      </c>
      <c r="Q208" s="483"/>
      <c r="R208" s="514">
        <f t="shared" si="79"/>
        <v>3641.3751662125778</v>
      </c>
      <c r="S208" s="515">
        <v>4210.7443991140663</v>
      </c>
      <c r="T208" s="483">
        <f t="shared" si="80"/>
        <v>4210.7443991140663</v>
      </c>
      <c r="U208" s="483"/>
      <c r="V208" s="514">
        <f t="shared" si="81"/>
        <v>4210.7443991140663</v>
      </c>
      <c r="W208" s="515">
        <v>10965.324618021728</v>
      </c>
      <c r="X208" s="483">
        <f t="shared" si="82"/>
        <v>10965.324618021728</v>
      </c>
      <c r="Y208" s="483"/>
      <c r="Z208" s="514">
        <f t="shared" si="83"/>
        <v>0</v>
      </c>
      <c r="AA208" s="515">
        <v>8362.3019895435882</v>
      </c>
      <c r="AB208" s="483">
        <f t="shared" si="84"/>
        <v>8362.3019895435882</v>
      </c>
      <c r="AC208" s="483"/>
      <c r="AD208" s="514">
        <f t="shared" si="85"/>
        <v>8362.3019895435882</v>
      </c>
      <c r="AE208" s="515">
        <v>7772</v>
      </c>
      <c r="AF208" s="483">
        <f t="shared" si="86"/>
        <v>7772</v>
      </c>
      <c r="AG208" s="483"/>
      <c r="AH208" s="514">
        <f t="shared" si="87"/>
        <v>7772</v>
      </c>
      <c r="AI208" s="520">
        <v>13224.062358458195</v>
      </c>
      <c r="AJ208" s="484">
        <f t="shared" si="88"/>
        <v>13224.062358458195</v>
      </c>
      <c r="AK208" s="484"/>
      <c r="AL208" s="514">
        <f t="shared" si="89"/>
        <v>13224.062358458195</v>
      </c>
      <c r="AM208" s="526">
        <v>6244.6961137163698</v>
      </c>
      <c r="AN208" s="485">
        <f t="shared" si="90"/>
        <v>6244.6961137163698</v>
      </c>
      <c r="AO208" s="485"/>
      <c r="AP208" s="514">
        <f t="shared" si="91"/>
        <v>6244.6961137163698</v>
      </c>
      <c r="AQ208" s="530">
        <f t="shared" si="92"/>
        <v>13224.062358458195</v>
      </c>
    </row>
    <row r="209" spans="1:43" x14ac:dyDescent="0.55000000000000004">
      <c r="A209" s="316" t="s">
        <v>342</v>
      </c>
      <c r="B209" s="218" t="s">
        <v>343</v>
      </c>
      <c r="C209" s="218" t="s">
        <v>344</v>
      </c>
      <c r="D209" s="105" t="s">
        <v>345</v>
      </c>
      <c r="E209" s="100"/>
      <c r="F209" s="34"/>
      <c r="G209" s="34"/>
      <c r="H209" s="480">
        <v>4961</v>
      </c>
      <c r="I209" s="480" t="s">
        <v>414</v>
      </c>
      <c r="J209" s="486">
        <v>4</v>
      </c>
      <c r="K209" s="318">
        <v>744.15</v>
      </c>
      <c r="L209" s="482">
        <f t="shared" si="76"/>
        <v>744.15</v>
      </c>
      <c r="M209" s="482"/>
      <c r="N209" s="509">
        <f t="shared" si="77"/>
        <v>744.15</v>
      </c>
      <c r="O209" s="515">
        <v>397.55469600000004</v>
      </c>
      <c r="P209" s="483">
        <f t="shared" si="78"/>
        <v>397.55469600000004</v>
      </c>
      <c r="Q209" s="483"/>
      <c r="R209" s="514">
        <f t="shared" si="79"/>
        <v>397.55469600000004</v>
      </c>
      <c r="S209" s="515">
        <v>2733.7680235374769</v>
      </c>
      <c r="T209" s="483">
        <f t="shared" si="80"/>
        <v>2733.7680235374769</v>
      </c>
      <c r="U209" s="483"/>
      <c r="V209" s="514">
        <f t="shared" si="81"/>
        <v>2733.7680235374769</v>
      </c>
      <c r="W209" s="515">
        <v>3999.4205137166382</v>
      </c>
      <c r="X209" s="483">
        <f t="shared" si="82"/>
        <v>3999.4205137166382</v>
      </c>
      <c r="Y209" s="483"/>
      <c r="Z209" s="514">
        <f t="shared" si="83"/>
        <v>0</v>
      </c>
      <c r="AA209" s="515">
        <v>2450.9402045196935</v>
      </c>
      <c r="AB209" s="483">
        <f t="shared" si="84"/>
        <v>2450.9402045196935</v>
      </c>
      <c r="AC209" s="483"/>
      <c r="AD209" s="514">
        <f t="shared" si="85"/>
        <v>2450.9402045196935</v>
      </c>
      <c r="AE209" s="515">
        <v>940</v>
      </c>
      <c r="AF209" s="483">
        <f t="shared" si="86"/>
        <v>940</v>
      </c>
      <c r="AG209" s="483"/>
      <c r="AH209" s="514">
        <f t="shared" si="87"/>
        <v>940</v>
      </c>
      <c r="AI209" s="520">
        <v>1954.3333333333333</v>
      </c>
      <c r="AJ209" s="484">
        <f t="shared" si="88"/>
        <v>1954.3333333333333</v>
      </c>
      <c r="AK209" s="484"/>
      <c r="AL209" s="514">
        <f t="shared" si="89"/>
        <v>1954.3333333333333</v>
      </c>
      <c r="AM209" s="526">
        <v>4455.7129629629626</v>
      </c>
      <c r="AN209" s="485">
        <f t="shared" si="90"/>
        <v>4455.7129629629626</v>
      </c>
      <c r="AO209" s="485"/>
      <c r="AP209" s="514">
        <f t="shared" si="91"/>
        <v>4455.7129629629626</v>
      </c>
      <c r="AQ209" s="530">
        <f t="shared" si="92"/>
        <v>4455.7129629629626</v>
      </c>
    </row>
    <row r="210" spans="1:43" x14ac:dyDescent="0.55000000000000004">
      <c r="A210" s="316" t="s">
        <v>342</v>
      </c>
      <c r="B210" s="218" t="s">
        <v>343</v>
      </c>
      <c r="C210" s="218" t="s">
        <v>346</v>
      </c>
      <c r="D210" s="105" t="s">
        <v>347</v>
      </c>
      <c r="E210" s="100"/>
      <c r="F210" s="34"/>
      <c r="G210" s="34"/>
      <c r="H210" s="480">
        <v>14416.589191353083</v>
      </c>
      <c r="I210" s="480" t="s">
        <v>414</v>
      </c>
      <c r="J210" s="486">
        <v>4</v>
      </c>
      <c r="K210" s="318">
        <v>2162.4883787029626</v>
      </c>
      <c r="L210" s="482">
        <f t="shared" si="76"/>
        <v>2162.4883787029626</v>
      </c>
      <c r="M210" s="482"/>
      <c r="N210" s="509">
        <f t="shared" si="77"/>
        <v>2162.4883787029626</v>
      </c>
      <c r="O210" s="515">
        <v>4916.7489105325858</v>
      </c>
      <c r="P210" s="483">
        <f t="shared" si="78"/>
        <v>4916.7489105325858</v>
      </c>
      <c r="Q210" s="483"/>
      <c r="R210" s="514">
        <f t="shared" si="79"/>
        <v>4916.7489105325858</v>
      </c>
      <c r="S210" s="515">
        <v>4643.2566401440918</v>
      </c>
      <c r="T210" s="483">
        <f t="shared" si="80"/>
        <v>4643.2566401440918</v>
      </c>
      <c r="U210" s="483"/>
      <c r="V210" s="514">
        <f t="shared" si="81"/>
        <v>4643.2566401440918</v>
      </c>
      <c r="W210" s="515">
        <v>9982.5972806473583</v>
      </c>
      <c r="X210" s="483">
        <f t="shared" si="82"/>
        <v>9982.5972806473583</v>
      </c>
      <c r="Y210" s="483"/>
      <c r="Z210" s="514">
        <f t="shared" si="83"/>
        <v>0</v>
      </c>
      <c r="AA210" s="515">
        <v>6346.7178879007397</v>
      </c>
      <c r="AB210" s="483">
        <f t="shared" si="84"/>
        <v>6346.7178879007397</v>
      </c>
      <c r="AC210" s="483"/>
      <c r="AD210" s="514">
        <f t="shared" si="85"/>
        <v>6346.7178879007397</v>
      </c>
      <c r="AE210" s="515">
        <v>9757</v>
      </c>
      <c r="AF210" s="483">
        <f t="shared" si="86"/>
        <v>9757</v>
      </c>
      <c r="AG210" s="483"/>
      <c r="AH210" s="514">
        <f t="shared" si="87"/>
        <v>9757</v>
      </c>
      <c r="AI210" s="520">
        <v>8148.506934243047</v>
      </c>
      <c r="AJ210" s="484">
        <f t="shared" si="88"/>
        <v>8148.506934243047</v>
      </c>
      <c r="AK210" s="484"/>
      <c r="AL210" s="514">
        <f t="shared" si="89"/>
        <v>8148.506934243047</v>
      </c>
      <c r="AM210" s="526">
        <v>13755.277760557072</v>
      </c>
      <c r="AN210" s="485">
        <f t="shared" si="90"/>
        <v>13755.277760557072</v>
      </c>
      <c r="AO210" s="485"/>
      <c r="AP210" s="514">
        <f t="shared" si="91"/>
        <v>13755.277760557072</v>
      </c>
      <c r="AQ210" s="530">
        <f t="shared" si="92"/>
        <v>13755.277760557072</v>
      </c>
    </row>
    <row r="211" spans="1:43" x14ac:dyDescent="0.55000000000000004">
      <c r="A211" s="316" t="s">
        <v>342</v>
      </c>
      <c r="B211" s="218" t="s">
        <v>343</v>
      </c>
      <c r="C211" s="218" t="s">
        <v>348</v>
      </c>
      <c r="D211" s="105" t="s">
        <v>349</v>
      </c>
      <c r="E211" s="100"/>
      <c r="F211" s="34"/>
      <c r="G211" s="34"/>
      <c r="H211" s="480">
        <v>16232.649182202906</v>
      </c>
      <c r="I211" s="480" t="s">
        <v>414</v>
      </c>
      <c r="J211" s="486">
        <v>4</v>
      </c>
      <c r="K211" s="318">
        <v>2434.8973773304356</v>
      </c>
      <c r="L211" s="482">
        <f t="shared" si="76"/>
        <v>2434.8973773304356</v>
      </c>
      <c r="M211" s="482"/>
      <c r="N211" s="509">
        <f t="shared" si="77"/>
        <v>2434.8973773304356</v>
      </c>
      <c r="O211" s="515">
        <v>5592.8212982099622</v>
      </c>
      <c r="P211" s="483">
        <f t="shared" si="78"/>
        <v>5592.8212982099622</v>
      </c>
      <c r="Q211" s="483"/>
      <c r="R211" s="514">
        <f t="shared" si="79"/>
        <v>5592.8212982099622</v>
      </c>
      <c r="S211" s="515">
        <v>5531.9675173877868</v>
      </c>
      <c r="T211" s="483">
        <f t="shared" si="80"/>
        <v>5531.9675173877868</v>
      </c>
      <c r="U211" s="483"/>
      <c r="V211" s="514">
        <f t="shared" si="81"/>
        <v>5531.9675173877868</v>
      </c>
      <c r="W211" s="515">
        <v>14764.837695457401</v>
      </c>
      <c r="X211" s="483">
        <f t="shared" si="82"/>
        <v>14764.837695457401</v>
      </c>
      <c r="Y211" s="483"/>
      <c r="Z211" s="514">
        <f t="shared" si="83"/>
        <v>0</v>
      </c>
      <c r="AA211" s="515">
        <v>7049.6537064105569</v>
      </c>
      <c r="AB211" s="483">
        <f t="shared" si="84"/>
        <v>7049.6537064105569</v>
      </c>
      <c r="AC211" s="483"/>
      <c r="AD211" s="514">
        <f t="shared" si="85"/>
        <v>7049.6537064105569</v>
      </c>
      <c r="AE211" s="515">
        <v>12298</v>
      </c>
      <c r="AF211" s="483">
        <f t="shared" si="86"/>
        <v>12298</v>
      </c>
      <c r="AG211" s="483"/>
      <c r="AH211" s="514">
        <f t="shared" si="87"/>
        <v>12298</v>
      </c>
      <c r="AI211" s="520">
        <v>15434.32217324211</v>
      </c>
      <c r="AJ211" s="484">
        <f t="shared" si="88"/>
        <v>15434.32217324211</v>
      </c>
      <c r="AK211" s="484"/>
      <c r="AL211" s="514">
        <f t="shared" si="89"/>
        <v>15434.32217324211</v>
      </c>
      <c r="AM211" s="526">
        <v>5510.1653187294278</v>
      </c>
      <c r="AN211" s="485">
        <f t="shared" si="90"/>
        <v>5510.1653187294278</v>
      </c>
      <c r="AO211" s="485"/>
      <c r="AP211" s="514">
        <f t="shared" si="91"/>
        <v>5510.1653187294278</v>
      </c>
      <c r="AQ211" s="530">
        <f t="shared" si="92"/>
        <v>15434.32217324211</v>
      </c>
    </row>
    <row r="212" spans="1:43" x14ac:dyDescent="0.55000000000000004">
      <c r="A212" s="316" t="s">
        <v>342</v>
      </c>
      <c r="B212" s="218" t="s">
        <v>343</v>
      </c>
      <c r="C212" s="218" t="s">
        <v>350</v>
      </c>
      <c r="D212" s="105" t="s">
        <v>351</v>
      </c>
      <c r="E212" s="100"/>
      <c r="F212" s="34"/>
      <c r="G212" s="34"/>
      <c r="H212" s="480">
        <v>158050.00862404195</v>
      </c>
      <c r="I212" s="480" t="s">
        <v>414</v>
      </c>
      <c r="J212" s="486">
        <v>5</v>
      </c>
      <c r="K212" s="318">
        <v>23707.501293606292</v>
      </c>
      <c r="L212" s="482">
        <f t="shared" si="76"/>
        <v>23707.501293606292</v>
      </c>
      <c r="M212" s="482"/>
      <c r="N212" s="509">
        <f t="shared" si="77"/>
        <v>23707.501293606292</v>
      </c>
      <c r="O212" s="515">
        <v>42577.170848234979</v>
      </c>
      <c r="P212" s="483">
        <f t="shared" si="78"/>
        <v>42577.170848234979</v>
      </c>
      <c r="Q212" s="483"/>
      <c r="R212" s="514">
        <f t="shared" si="79"/>
        <v>42577.170848234979</v>
      </c>
      <c r="S212" s="515">
        <v>59197.71759471752</v>
      </c>
      <c r="T212" s="483">
        <f t="shared" si="80"/>
        <v>59197.71759471752</v>
      </c>
      <c r="U212" s="483"/>
      <c r="V212" s="514">
        <f t="shared" si="81"/>
        <v>59197.71759471752</v>
      </c>
      <c r="W212" s="515">
        <v>142110.0378171395</v>
      </c>
      <c r="X212" s="483">
        <f t="shared" si="82"/>
        <v>142110.0378171395</v>
      </c>
      <c r="Y212" s="483"/>
      <c r="Z212" s="514">
        <f t="shared" si="83"/>
        <v>0</v>
      </c>
      <c r="AA212" s="515">
        <v>97595.508530042076</v>
      </c>
      <c r="AB212" s="483">
        <f t="shared" si="84"/>
        <v>97595.508530042076</v>
      </c>
      <c r="AC212" s="483"/>
      <c r="AD212" s="514">
        <f t="shared" si="85"/>
        <v>97595.508530042076</v>
      </c>
      <c r="AE212" s="515">
        <v>119302</v>
      </c>
      <c r="AF212" s="483">
        <f t="shared" si="86"/>
        <v>119302</v>
      </c>
      <c r="AG212" s="483"/>
      <c r="AH212" s="514">
        <f t="shared" si="87"/>
        <v>119302</v>
      </c>
      <c r="AI212" s="520">
        <v>68248.867360381744</v>
      </c>
      <c r="AJ212" s="484">
        <f t="shared" si="88"/>
        <v>68248.867360381744</v>
      </c>
      <c r="AK212" s="484"/>
      <c r="AL212" s="514">
        <f t="shared" si="89"/>
        <v>68248.867360381744</v>
      </c>
      <c r="AM212" s="526">
        <v>118537.50646803142</v>
      </c>
      <c r="AN212" s="485">
        <f t="shared" si="90"/>
        <v>118537.50646803142</v>
      </c>
      <c r="AO212" s="485"/>
      <c r="AP212" s="514">
        <f t="shared" si="91"/>
        <v>118537.50646803142</v>
      </c>
      <c r="AQ212" s="530">
        <f t="shared" si="92"/>
        <v>119302</v>
      </c>
    </row>
    <row r="213" spans="1:43" x14ac:dyDescent="0.55000000000000004">
      <c r="A213" s="316" t="s">
        <v>342</v>
      </c>
      <c r="B213" s="218" t="s">
        <v>343</v>
      </c>
      <c r="C213" s="218" t="s">
        <v>352</v>
      </c>
      <c r="D213" s="105" t="s">
        <v>353</v>
      </c>
      <c r="E213" s="100"/>
      <c r="F213" s="34"/>
      <c r="G213" s="34"/>
      <c r="H213" s="480">
        <v>25766.491604712341</v>
      </c>
      <c r="I213" s="480" t="s">
        <v>414</v>
      </c>
      <c r="J213" s="486">
        <v>4</v>
      </c>
      <c r="K213" s="318">
        <v>3864.973740706851</v>
      </c>
      <c r="L213" s="482">
        <f t="shared" si="76"/>
        <v>3864.973740706851</v>
      </c>
      <c r="M213" s="482"/>
      <c r="N213" s="509">
        <f t="shared" si="77"/>
        <v>3864.973740706851</v>
      </c>
      <c r="O213" s="515">
        <v>8874.6367541988493</v>
      </c>
      <c r="P213" s="483">
        <f t="shared" si="78"/>
        <v>8874.6367541988493</v>
      </c>
      <c r="Q213" s="483"/>
      <c r="R213" s="514">
        <f t="shared" si="79"/>
        <v>8874.6367541988493</v>
      </c>
      <c r="S213" s="515">
        <v>7995.02529353717</v>
      </c>
      <c r="T213" s="483">
        <f t="shared" si="80"/>
        <v>7995.02529353717</v>
      </c>
      <c r="U213" s="483"/>
      <c r="V213" s="514">
        <f t="shared" si="81"/>
        <v>7995.02529353717</v>
      </c>
      <c r="W213" s="515">
        <v>16784.628773650235</v>
      </c>
      <c r="X213" s="483">
        <f t="shared" si="82"/>
        <v>16784.628773650235</v>
      </c>
      <c r="Y213" s="483"/>
      <c r="Z213" s="514">
        <f t="shared" si="83"/>
        <v>0</v>
      </c>
      <c r="AA213" s="515">
        <v>14656.848379685682</v>
      </c>
      <c r="AB213" s="483">
        <f t="shared" si="84"/>
        <v>14656.848379685682</v>
      </c>
      <c r="AC213" s="483"/>
      <c r="AD213" s="514">
        <f t="shared" si="85"/>
        <v>14656.848379685682</v>
      </c>
      <c r="AE213" s="515">
        <v>17004</v>
      </c>
      <c r="AF213" s="483">
        <f t="shared" si="86"/>
        <v>17004</v>
      </c>
      <c r="AG213" s="483"/>
      <c r="AH213" s="514">
        <f t="shared" si="87"/>
        <v>17004</v>
      </c>
      <c r="AI213" s="520">
        <v>19563.447329503815</v>
      </c>
      <c r="AJ213" s="484">
        <f t="shared" si="88"/>
        <v>19563.447329503815</v>
      </c>
      <c r="AK213" s="484"/>
      <c r="AL213" s="514">
        <f t="shared" si="89"/>
        <v>19563.447329503815</v>
      </c>
      <c r="AM213" s="526">
        <v>12883.24580235617</v>
      </c>
      <c r="AN213" s="485">
        <f t="shared" si="90"/>
        <v>12883.24580235617</v>
      </c>
      <c r="AO213" s="485"/>
      <c r="AP213" s="514">
        <f t="shared" si="91"/>
        <v>12883.24580235617</v>
      </c>
      <c r="AQ213" s="530">
        <f t="shared" si="92"/>
        <v>19563.447329503815</v>
      </c>
    </row>
    <row r="214" spans="1:43" x14ac:dyDescent="0.55000000000000004">
      <c r="A214" s="316" t="s">
        <v>342</v>
      </c>
      <c r="B214" s="218" t="s">
        <v>343</v>
      </c>
      <c r="C214" s="218" t="s">
        <v>354</v>
      </c>
      <c r="D214" s="105" t="s">
        <v>355</v>
      </c>
      <c r="E214" s="100"/>
      <c r="F214" s="34"/>
      <c r="G214" s="34"/>
      <c r="H214" s="480">
        <v>43189.075569026623</v>
      </c>
      <c r="I214" s="480" t="s">
        <v>414</v>
      </c>
      <c r="J214" s="486">
        <v>3</v>
      </c>
      <c r="K214" s="318">
        <v>6478.3613353539931</v>
      </c>
      <c r="L214" s="482"/>
      <c r="M214" s="482">
        <f t="shared" si="93"/>
        <v>3239.1806676769966</v>
      </c>
      <c r="N214" s="509">
        <f t="shared" si="77"/>
        <v>3239.1806676769966</v>
      </c>
      <c r="O214" s="515">
        <v>8117.179445635823</v>
      </c>
      <c r="P214" s="483"/>
      <c r="Q214" s="483">
        <f t="shared" si="94"/>
        <v>4058.5897228179115</v>
      </c>
      <c r="R214" s="514">
        <f t="shared" si="79"/>
        <v>4058.5897228179115</v>
      </c>
      <c r="S214" s="515">
        <v>13758.146796365621</v>
      </c>
      <c r="T214" s="483"/>
      <c r="U214" s="483">
        <f t="shared" si="95"/>
        <v>6879.0733981828107</v>
      </c>
      <c r="V214" s="514">
        <f t="shared" si="81"/>
        <v>6879.0733981828107</v>
      </c>
      <c r="W214" s="515">
        <v>25828.661119600776</v>
      </c>
      <c r="X214" s="483"/>
      <c r="Y214" s="483">
        <f t="shared" si="96"/>
        <v>12914.330559800388</v>
      </c>
      <c r="Z214" s="514">
        <f t="shared" si="83"/>
        <v>12914.330559800388</v>
      </c>
      <c r="AA214" s="515">
        <v>18939.369573208412</v>
      </c>
      <c r="AB214" s="483"/>
      <c r="AC214" s="483">
        <f t="shared" si="97"/>
        <v>9469.6847866042062</v>
      </c>
      <c r="AD214" s="514">
        <f t="shared" si="85"/>
        <v>9469.6847866042062</v>
      </c>
      <c r="AE214" s="515">
        <v>28413</v>
      </c>
      <c r="AF214" s="483"/>
      <c r="AG214" s="483">
        <f t="shared" si="98"/>
        <v>14206.5</v>
      </c>
      <c r="AH214" s="514">
        <f t="shared" si="87"/>
        <v>14206.5</v>
      </c>
      <c r="AI214" s="520">
        <v>17275.630227610647</v>
      </c>
      <c r="AJ214" s="484"/>
      <c r="AK214" s="484">
        <f t="shared" si="99"/>
        <v>8637.8151138053236</v>
      </c>
      <c r="AL214" s="514">
        <f t="shared" si="89"/>
        <v>8637.8151138053236</v>
      </c>
      <c r="AM214" s="526">
        <v>34791.199763938115</v>
      </c>
      <c r="AN214" s="485"/>
      <c r="AO214" s="485">
        <f t="shared" si="100"/>
        <v>17395.599881969058</v>
      </c>
      <c r="AP214" s="514">
        <f t="shared" si="91"/>
        <v>17395.599881969058</v>
      </c>
      <c r="AQ214" s="530">
        <f t="shared" si="92"/>
        <v>17395.599881969058</v>
      </c>
    </row>
    <row r="215" spans="1:43" x14ac:dyDescent="0.55000000000000004">
      <c r="A215" s="316" t="s">
        <v>342</v>
      </c>
      <c r="B215" s="218" t="s">
        <v>343</v>
      </c>
      <c r="C215" s="218" t="s">
        <v>356</v>
      </c>
      <c r="D215" s="105" t="s">
        <v>357</v>
      </c>
      <c r="E215" s="100"/>
      <c r="F215" s="34"/>
      <c r="G215" s="34"/>
      <c r="H215" s="480">
        <v>12690.76710511266</v>
      </c>
      <c r="I215" s="480" t="s">
        <v>414</v>
      </c>
      <c r="J215" s="486">
        <v>4</v>
      </c>
      <c r="K215" s="318">
        <v>1903.6150657668989</v>
      </c>
      <c r="L215" s="482">
        <f t="shared" si="76"/>
        <v>1903.6150657668989</v>
      </c>
      <c r="M215" s="482"/>
      <c r="N215" s="509">
        <f t="shared" si="77"/>
        <v>1903.6150657668989</v>
      </c>
      <c r="O215" s="515">
        <v>355.58514167157261</v>
      </c>
      <c r="P215" s="483">
        <f t="shared" si="78"/>
        <v>355.58514167157261</v>
      </c>
      <c r="Q215" s="483"/>
      <c r="R215" s="514">
        <f t="shared" si="79"/>
        <v>355.58514167157261</v>
      </c>
      <c r="S215" s="515">
        <v>4640.4143331105124</v>
      </c>
      <c r="T215" s="483">
        <f t="shared" si="80"/>
        <v>4640.4143331105124</v>
      </c>
      <c r="U215" s="483"/>
      <c r="V215" s="514">
        <f t="shared" si="81"/>
        <v>4640.4143331105124</v>
      </c>
      <c r="W215" s="515">
        <v>10271.8459241485</v>
      </c>
      <c r="X215" s="483">
        <f t="shared" si="82"/>
        <v>10271.8459241485</v>
      </c>
      <c r="Y215" s="483"/>
      <c r="Z215" s="514">
        <f t="shared" si="83"/>
        <v>0</v>
      </c>
      <c r="AA215" s="515">
        <v>8575.119729918777</v>
      </c>
      <c r="AB215" s="483">
        <f t="shared" si="84"/>
        <v>8575.119729918777</v>
      </c>
      <c r="AC215" s="483"/>
      <c r="AD215" s="514">
        <f t="shared" si="85"/>
        <v>8575.119729918777</v>
      </c>
      <c r="AE215" s="515">
        <v>8299</v>
      </c>
      <c r="AF215" s="483">
        <f t="shared" si="86"/>
        <v>8299</v>
      </c>
      <c r="AG215" s="483"/>
      <c r="AH215" s="514">
        <f t="shared" si="87"/>
        <v>8299</v>
      </c>
      <c r="AI215" s="520">
        <v>12690.76710511266</v>
      </c>
      <c r="AJ215" s="484">
        <f t="shared" si="88"/>
        <v>12690.76710511266</v>
      </c>
      <c r="AK215" s="484"/>
      <c r="AL215" s="514">
        <f t="shared" si="89"/>
        <v>12690.76710511266</v>
      </c>
      <c r="AM215" s="526">
        <v>10061.14869594517</v>
      </c>
      <c r="AN215" s="485">
        <f t="shared" si="90"/>
        <v>10061.14869594517</v>
      </c>
      <c r="AO215" s="485"/>
      <c r="AP215" s="514">
        <f t="shared" si="91"/>
        <v>10061.14869594517</v>
      </c>
      <c r="AQ215" s="530">
        <f t="shared" si="92"/>
        <v>12690.76710511266</v>
      </c>
    </row>
    <row r="216" spans="1:43" x14ac:dyDescent="0.55000000000000004">
      <c r="A216" s="316" t="s">
        <v>342</v>
      </c>
      <c r="B216" s="218" t="s">
        <v>343</v>
      </c>
      <c r="C216" s="218" t="s">
        <v>358</v>
      </c>
      <c r="D216" s="105" t="s">
        <v>359</v>
      </c>
      <c r="E216" s="100"/>
      <c r="F216" s="34"/>
      <c r="G216" s="34"/>
      <c r="H216" s="480">
        <v>24576.329269129605</v>
      </c>
      <c r="I216" s="480" t="s">
        <v>414</v>
      </c>
      <c r="J216" s="486">
        <v>3</v>
      </c>
      <c r="K216" s="318">
        <v>3686.4493903694406</v>
      </c>
      <c r="L216" s="482"/>
      <c r="M216" s="482">
        <f t="shared" si="93"/>
        <v>1843.2246951847203</v>
      </c>
      <c r="N216" s="509">
        <f t="shared" si="77"/>
        <v>1843.2246951847203</v>
      </c>
      <c r="O216" s="515">
        <v>2643.6265868217333</v>
      </c>
      <c r="P216" s="483"/>
      <c r="Q216" s="483">
        <f t="shared" si="94"/>
        <v>1321.8132934108667</v>
      </c>
      <c r="R216" s="514">
        <f t="shared" si="79"/>
        <v>1321.8132934108667</v>
      </c>
      <c r="S216" s="515">
        <v>9282.5257772875138</v>
      </c>
      <c r="T216" s="483"/>
      <c r="U216" s="483">
        <f t="shared" si="95"/>
        <v>4641.2628886437569</v>
      </c>
      <c r="V216" s="514">
        <f t="shared" si="81"/>
        <v>4641.2628886437569</v>
      </c>
      <c r="W216" s="515">
        <v>17283.929073371444</v>
      </c>
      <c r="X216" s="483"/>
      <c r="Y216" s="483">
        <f t="shared" si="96"/>
        <v>8641.9645366857221</v>
      </c>
      <c r="Z216" s="514">
        <f t="shared" si="83"/>
        <v>8641.9645366857221</v>
      </c>
      <c r="AA216" s="515">
        <v>12121.356328320824</v>
      </c>
      <c r="AB216" s="483"/>
      <c r="AC216" s="483">
        <f t="shared" si="97"/>
        <v>6060.6781641604121</v>
      </c>
      <c r="AD216" s="514">
        <f t="shared" si="85"/>
        <v>6060.6781641604121</v>
      </c>
      <c r="AE216" s="515">
        <v>15865</v>
      </c>
      <c r="AF216" s="483"/>
      <c r="AG216" s="483">
        <f t="shared" si="98"/>
        <v>7932.5</v>
      </c>
      <c r="AH216" s="514">
        <f t="shared" si="87"/>
        <v>7932.5</v>
      </c>
      <c r="AI216" s="520">
        <v>12934.91014164716</v>
      </c>
      <c r="AJ216" s="484"/>
      <c r="AK216" s="484">
        <f t="shared" si="99"/>
        <v>6467.4550708235802</v>
      </c>
      <c r="AL216" s="514">
        <f t="shared" si="89"/>
        <v>6467.4550708235802</v>
      </c>
      <c r="AM216" s="526">
        <v>20707.832995285127</v>
      </c>
      <c r="AN216" s="485"/>
      <c r="AO216" s="485">
        <f t="shared" si="100"/>
        <v>10353.916497642564</v>
      </c>
      <c r="AP216" s="514">
        <f t="shared" si="91"/>
        <v>10353.916497642564</v>
      </c>
      <c r="AQ216" s="530">
        <f t="shared" si="92"/>
        <v>10353.916497642564</v>
      </c>
    </row>
    <row r="217" spans="1:43" x14ac:dyDescent="0.55000000000000004">
      <c r="A217" s="316" t="s">
        <v>342</v>
      </c>
      <c r="B217" s="218" t="s">
        <v>343</v>
      </c>
      <c r="C217" s="218" t="s">
        <v>360</v>
      </c>
      <c r="D217" s="105" t="s">
        <v>361</v>
      </c>
      <c r="E217" s="100"/>
      <c r="F217" s="34"/>
      <c r="G217" s="34"/>
      <c r="H217" s="480">
        <v>1622.427953791605</v>
      </c>
      <c r="I217" s="480" t="s">
        <v>414</v>
      </c>
      <c r="J217" s="486">
        <v>3</v>
      </c>
      <c r="K217" s="318">
        <v>243.36419306874075</v>
      </c>
      <c r="L217" s="482"/>
      <c r="M217" s="482">
        <f t="shared" si="93"/>
        <v>121.68209653437037</v>
      </c>
      <c r="N217" s="509">
        <f t="shared" si="77"/>
        <v>121.68209653437037</v>
      </c>
      <c r="O217" s="515">
        <v>345.82587236292812</v>
      </c>
      <c r="P217" s="483"/>
      <c r="Q217" s="483">
        <f t="shared" si="94"/>
        <v>172.91293618146406</v>
      </c>
      <c r="R217" s="514">
        <f t="shared" si="79"/>
        <v>172.91293618146406</v>
      </c>
      <c r="S217" s="515">
        <v>578.16760239038786</v>
      </c>
      <c r="T217" s="483"/>
      <c r="U217" s="483">
        <f t="shared" si="95"/>
        <v>289.08380119519393</v>
      </c>
      <c r="V217" s="514">
        <f t="shared" si="81"/>
        <v>289.08380119519393</v>
      </c>
      <c r="W217" s="515">
        <v>1086.3058597408046</v>
      </c>
      <c r="X217" s="483"/>
      <c r="Y217" s="483">
        <f t="shared" si="96"/>
        <v>543.15292987040232</v>
      </c>
      <c r="Z217" s="514">
        <f t="shared" si="83"/>
        <v>543.15292987040232</v>
      </c>
      <c r="AA217" s="515">
        <v>789.91024757446075</v>
      </c>
      <c r="AB217" s="483"/>
      <c r="AC217" s="483">
        <f t="shared" si="97"/>
        <v>394.95512378723038</v>
      </c>
      <c r="AD217" s="514">
        <f t="shared" si="85"/>
        <v>394.95512378723038</v>
      </c>
      <c r="AE217" s="515">
        <v>1135</v>
      </c>
      <c r="AF217" s="483"/>
      <c r="AG217" s="483">
        <f t="shared" si="98"/>
        <v>567.5</v>
      </c>
      <c r="AH217" s="514">
        <f t="shared" si="87"/>
        <v>567.5</v>
      </c>
      <c r="AI217" s="520">
        <v>0</v>
      </c>
      <c r="AJ217" s="484"/>
      <c r="AK217" s="484">
        <f t="shared" si="99"/>
        <v>0</v>
      </c>
      <c r="AL217" s="514">
        <f t="shared" si="89"/>
        <v>0</v>
      </c>
      <c r="AM217" s="526">
        <v>150.22481053625972</v>
      </c>
      <c r="AN217" s="485"/>
      <c r="AO217" s="485">
        <f t="shared" si="100"/>
        <v>75.112405268129862</v>
      </c>
      <c r="AP217" s="514">
        <f t="shared" si="91"/>
        <v>75.112405268129862</v>
      </c>
      <c r="AQ217" s="530">
        <f t="shared" si="92"/>
        <v>567.5</v>
      </c>
    </row>
    <row r="218" spans="1:43" x14ac:dyDescent="0.55000000000000004">
      <c r="A218" s="316" t="s">
        <v>342</v>
      </c>
      <c r="B218" s="218" t="s">
        <v>343</v>
      </c>
      <c r="C218" s="218" t="s">
        <v>362</v>
      </c>
      <c r="D218" s="105" t="s">
        <v>363</v>
      </c>
      <c r="E218" s="100"/>
      <c r="F218" s="34"/>
      <c r="G218" s="34"/>
      <c r="H218" s="480">
        <v>4756.8792176598463</v>
      </c>
      <c r="I218" s="480" t="s">
        <v>414</v>
      </c>
      <c r="J218" s="486">
        <v>4</v>
      </c>
      <c r="K218" s="318">
        <v>713.53188264897688</v>
      </c>
      <c r="L218" s="482">
        <f t="shared" si="76"/>
        <v>713.53188264897688</v>
      </c>
      <c r="M218" s="482"/>
      <c r="N218" s="509">
        <f t="shared" si="77"/>
        <v>713.53188264897688</v>
      </c>
      <c r="O218" s="515">
        <v>393.45004247523769</v>
      </c>
      <c r="P218" s="483">
        <f t="shared" si="78"/>
        <v>393.45004247523769</v>
      </c>
      <c r="Q218" s="483"/>
      <c r="R218" s="514">
        <f t="shared" si="79"/>
        <v>393.45004247523769</v>
      </c>
      <c r="S218" s="515">
        <v>2302.8572149639735</v>
      </c>
      <c r="T218" s="483">
        <f t="shared" si="80"/>
        <v>2302.8572149639735</v>
      </c>
      <c r="U218" s="483"/>
      <c r="V218" s="514">
        <f t="shared" si="81"/>
        <v>2302.8572149639735</v>
      </c>
      <c r="W218" s="515">
        <v>3993.3912483369177</v>
      </c>
      <c r="X218" s="483">
        <f t="shared" si="82"/>
        <v>3993.3912483369177</v>
      </c>
      <c r="Y218" s="483"/>
      <c r="Z218" s="514">
        <f t="shared" si="83"/>
        <v>0</v>
      </c>
      <c r="AA218" s="515">
        <v>2891.7710180994654</v>
      </c>
      <c r="AB218" s="483">
        <f t="shared" si="84"/>
        <v>2891.7710180994654</v>
      </c>
      <c r="AC218" s="483"/>
      <c r="AD218" s="514">
        <f t="shared" si="85"/>
        <v>2891.7710180994654</v>
      </c>
      <c r="AE218" s="515">
        <v>3620</v>
      </c>
      <c r="AF218" s="483">
        <f t="shared" si="86"/>
        <v>3620</v>
      </c>
      <c r="AG218" s="483"/>
      <c r="AH218" s="514">
        <f t="shared" si="87"/>
        <v>3620</v>
      </c>
      <c r="AI218" s="520">
        <v>3567.6594132448845</v>
      </c>
      <c r="AJ218" s="484">
        <f t="shared" si="88"/>
        <v>3567.6594132448845</v>
      </c>
      <c r="AK218" s="484"/>
      <c r="AL218" s="514">
        <f t="shared" si="89"/>
        <v>3567.6594132448845</v>
      </c>
      <c r="AM218" s="526">
        <v>4540.6574350389437</v>
      </c>
      <c r="AN218" s="485">
        <f t="shared" si="90"/>
        <v>4540.6574350389437</v>
      </c>
      <c r="AO218" s="485"/>
      <c r="AP218" s="514">
        <f t="shared" si="91"/>
        <v>4540.6574350389437</v>
      </c>
      <c r="AQ218" s="530">
        <f t="shared" si="92"/>
        <v>4540.6574350389437</v>
      </c>
    </row>
    <row r="219" spans="1:43" x14ac:dyDescent="0.55000000000000004">
      <c r="A219" s="316" t="s">
        <v>342</v>
      </c>
      <c r="B219" s="218" t="s">
        <v>343</v>
      </c>
      <c r="C219" s="218" t="s">
        <v>364</v>
      </c>
      <c r="D219" s="105" t="s">
        <v>365</v>
      </c>
      <c r="E219" s="100"/>
      <c r="F219" s="34"/>
      <c r="G219" s="34"/>
      <c r="H219" s="480">
        <v>235020.19206222118</v>
      </c>
      <c r="I219" s="480" t="s">
        <v>414</v>
      </c>
      <c r="J219" s="486">
        <v>4</v>
      </c>
      <c r="K219" s="318">
        <v>35253.028809333176</v>
      </c>
      <c r="L219" s="482">
        <f t="shared" si="76"/>
        <v>35253.028809333176</v>
      </c>
      <c r="M219" s="482"/>
      <c r="N219" s="509">
        <f t="shared" si="77"/>
        <v>35253.028809333176</v>
      </c>
      <c r="O219" s="515">
        <v>43043.948176195809</v>
      </c>
      <c r="P219" s="483">
        <f t="shared" si="78"/>
        <v>43043.948176195809</v>
      </c>
      <c r="Q219" s="483"/>
      <c r="R219" s="514">
        <f t="shared" si="79"/>
        <v>43043.948176195809</v>
      </c>
      <c r="S219" s="515">
        <v>69811.746562686749</v>
      </c>
      <c r="T219" s="483">
        <f t="shared" si="80"/>
        <v>69811.746562686749</v>
      </c>
      <c r="U219" s="483"/>
      <c r="V219" s="514">
        <f t="shared" si="81"/>
        <v>69811.746562686749</v>
      </c>
      <c r="W219" s="515">
        <v>157164.99172748698</v>
      </c>
      <c r="X219" s="483">
        <f t="shared" si="82"/>
        <v>157164.99172748698</v>
      </c>
      <c r="Y219" s="483"/>
      <c r="Z219" s="514">
        <f t="shared" si="83"/>
        <v>0</v>
      </c>
      <c r="AA219" s="515">
        <v>99310.943787170196</v>
      </c>
      <c r="AB219" s="483">
        <f t="shared" si="84"/>
        <v>99310.943787170196</v>
      </c>
      <c r="AC219" s="483"/>
      <c r="AD219" s="514">
        <f t="shared" si="85"/>
        <v>99310.943787170196</v>
      </c>
      <c r="AE219" s="515">
        <v>155152</v>
      </c>
      <c r="AF219" s="483">
        <f t="shared" si="86"/>
        <v>155152</v>
      </c>
      <c r="AG219" s="483"/>
      <c r="AH219" s="514">
        <f t="shared" si="87"/>
        <v>155152</v>
      </c>
      <c r="AI219" s="520">
        <v>52226.709347160257</v>
      </c>
      <c r="AJ219" s="484">
        <f t="shared" si="88"/>
        <v>52226.709347160257</v>
      </c>
      <c r="AK219" s="484"/>
      <c r="AL219" s="514">
        <f t="shared" si="89"/>
        <v>52226.709347160257</v>
      </c>
      <c r="AM219" s="526">
        <v>113157.87025218057</v>
      </c>
      <c r="AN219" s="485">
        <f t="shared" si="90"/>
        <v>113157.87025218057</v>
      </c>
      <c r="AO219" s="485"/>
      <c r="AP219" s="514">
        <f t="shared" si="91"/>
        <v>113157.87025218057</v>
      </c>
      <c r="AQ219" s="530">
        <f t="shared" si="92"/>
        <v>155152</v>
      </c>
    </row>
    <row r="220" spans="1:43" x14ac:dyDescent="0.55000000000000004">
      <c r="A220" s="316" t="s">
        <v>342</v>
      </c>
      <c r="B220" s="218" t="s">
        <v>343</v>
      </c>
      <c r="C220" s="218" t="s">
        <v>366</v>
      </c>
      <c r="D220" s="105" t="s">
        <v>367</v>
      </c>
      <c r="E220" s="100"/>
      <c r="F220" s="34"/>
      <c r="G220" s="34"/>
      <c r="H220" s="480">
        <v>44257.266075717678</v>
      </c>
      <c r="I220" s="480" t="s">
        <v>414</v>
      </c>
      <c r="J220" s="486">
        <v>5</v>
      </c>
      <c r="K220" s="318">
        <v>6638.5899113576515</v>
      </c>
      <c r="L220" s="482">
        <f t="shared" si="76"/>
        <v>6638.5899113576515</v>
      </c>
      <c r="M220" s="482"/>
      <c r="N220" s="509">
        <f t="shared" si="77"/>
        <v>6638.5899113576515</v>
      </c>
      <c r="O220" s="515">
        <v>14377.415457357643</v>
      </c>
      <c r="P220" s="483">
        <f t="shared" si="78"/>
        <v>14377.415457357643</v>
      </c>
      <c r="Q220" s="483"/>
      <c r="R220" s="514">
        <f t="shared" si="79"/>
        <v>14377.415457357643</v>
      </c>
      <c r="S220" s="515">
        <v>15943.841592578076</v>
      </c>
      <c r="T220" s="483">
        <f t="shared" si="80"/>
        <v>15943.841592578076</v>
      </c>
      <c r="U220" s="483"/>
      <c r="V220" s="514">
        <f t="shared" si="81"/>
        <v>15943.841592578076</v>
      </c>
      <c r="W220" s="515">
        <v>38531.47105902285</v>
      </c>
      <c r="X220" s="483">
        <f t="shared" si="82"/>
        <v>38531.47105902285</v>
      </c>
      <c r="Y220" s="483"/>
      <c r="Z220" s="514">
        <f t="shared" si="83"/>
        <v>0</v>
      </c>
      <c r="AA220" s="515">
        <v>28532.03421814082</v>
      </c>
      <c r="AB220" s="483">
        <f t="shared" si="84"/>
        <v>28532.03421814082</v>
      </c>
      <c r="AC220" s="483"/>
      <c r="AD220" s="514">
        <f t="shared" si="85"/>
        <v>28532.03421814082</v>
      </c>
      <c r="AE220" s="515">
        <v>29257</v>
      </c>
      <c r="AF220" s="483">
        <f t="shared" si="86"/>
        <v>29257</v>
      </c>
      <c r="AG220" s="483"/>
      <c r="AH220" s="514">
        <f t="shared" si="87"/>
        <v>29257</v>
      </c>
      <c r="AI220" s="520">
        <v>25289.86632898153</v>
      </c>
      <c r="AJ220" s="484">
        <f t="shared" si="88"/>
        <v>25289.86632898153</v>
      </c>
      <c r="AK220" s="484"/>
      <c r="AL220" s="514">
        <f t="shared" si="89"/>
        <v>25289.86632898153</v>
      </c>
      <c r="AM220" s="526">
        <v>33192.949556788255</v>
      </c>
      <c r="AN220" s="485">
        <f t="shared" si="90"/>
        <v>33192.949556788255</v>
      </c>
      <c r="AO220" s="485"/>
      <c r="AP220" s="514">
        <f t="shared" si="91"/>
        <v>33192.949556788255</v>
      </c>
      <c r="AQ220" s="530">
        <f t="shared" si="92"/>
        <v>33192.949556788255</v>
      </c>
    </row>
    <row r="221" spans="1:43" x14ac:dyDescent="0.55000000000000004">
      <c r="A221" s="316" t="s">
        <v>368</v>
      </c>
      <c r="B221" s="218" t="s">
        <v>369</v>
      </c>
      <c r="C221" s="218" t="s">
        <v>370</v>
      </c>
      <c r="D221" s="105" t="s">
        <v>371</v>
      </c>
      <c r="E221" s="100"/>
      <c r="F221" s="34"/>
      <c r="G221" s="34"/>
      <c r="H221" s="480">
        <v>34983.329520759507</v>
      </c>
      <c r="I221" s="480" t="s">
        <v>414</v>
      </c>
      <c r="J221" s="486">
        <v>3</v>
      </c>
      <c r="K221" s="318">
        <v>5247.4994281139261</v>
      </c>
      <c r="L221" s="482"/>
      <c r="M221" s="482">
        <f t="shared" si="93"/>
        <v>2623.7497140569631</v>
      </c>
      <c r="N221" s="509">
        <f t="shared" si="77"/>
        <v>2623.7497140569631</v>
      </c>
      <c r="O221" s="515">
        <v>7413.4293053986139</v>
      </c>
      <c r="P221" s="483"/>
      <c r="Q221" s="483">
        <f t="shared" si="94"/>
        <v>3706.714652699307</v>
      </c>
      <c r="R221" s="514">
        <f t="shared" si="79"/>
        <v>3706.714652699307</v>
      </c>
      <c r="S221" s="515">
        <v>12492.153849814778</v>
      </c>
      <c r="T221" s="483"/>
      <c r="U221" s="483">
        <f t="shared" si="95"/>
        <v>6246.0769249073892</v>
      </c>
      <c r="V221" s="514">
        <f t="shared" si="81"/>
        <v>6246.0769249073892</v>
      </c>
      <c r="W221" s="515">
        <v>20489.716482018473</v>
      </c>
      <c r="X221" s="483"/>
      <c r="Y221" s="483">
        <f t="shared" si="96"/>
        <v>10244.858241009237</v>
      </c>
      <c r="Z221" s="514">
        <f t="shared" si="83"/>
        <v>10244.858241009237</v>
      </c>
      <c r="AA221" s="515">
        <v>16834.613214961206</v>
      </c>
      <c r="AB221" s="483"/>
      <c r="AC221" s="483">
        <f t="shared" si="97"/>
        <v>8417.3066074806029</v>
      </c>
      <c r="AD221" s="514">
        <f t="shared" si="85"/>
        <v>8417.3066074806029</v>
      </c>
      <c r="AE221" s="515">
        <v>23078</v>
      </c>
      <c r="AF221" s="483"/>
      <c r="AG221" s="483">
        <f t="shared" si="98"/>
        <v>11539</v>
      </c>
      <c r="AH221" s="514">
        <f t="shared" si="87"/>
        <v>11539</v>
      </c>
      <c r="AI221" s="520">
        <v>24660.379826109162</v>
      </c>
      <c r="AJ221" s="484"/>
      <c r="AK221" s="484">
        <f t="shared" si="99"/>
        <v>12330.189913054581</v>
      </c>
      <c r="AL221" s="514">
        <f t="shared" si="89"/>
        <v>12330.189913054581</v>
      </c>
      <c r="AM221" s="526">
        <v>11661.109840253168</v>
      </c>
      <c r="AN221" s="485"/>
      <c r="AO221" s="485">
        <f t="shared" si="100"/>
        <v>5830.554920126584</v>
      </c>
      <c r="AP221" s="514">
        <f t="shared" si="91"/>
        <v>5830.554920126584</v>
      </c>
      <c r="AQ221" s="530">
        <f t="shared" si="92"/>
        <v>12330.189913054581</v>
      </c>
    </row>
    <row r="222" spans="1:43" x14ac:dyDescent="0.55000000000000004">
      <c r="A222" s="316" t="s">
        <v>368</v>
      </c>
      <c r="B222" s="218" t="s">
        <v>369</v>
      </c>
      <c r="C222" s="218" t="s">
        <v>372</v>
      </c>
      <c r="D222" s="105" t="s">
        <v>373</v>
      </c>
      <c r="E222" s="100"/>
      <c r="F222" s="34"/>
      <c r="G222" s="34"/>
      <c r="H222" s="480">
        <v>98408.747432231496</v>
      </c>
      <c r="I222" s="480" t="s">
        <v>414</v>
      </c>
      <c r="J222" s="486">
        <v>3</v>
      </c>
      <c r="K222" s="318">
        <v>14761.312114834724</v>
      </c>
      <c r="L222" s="482"/>
      <c r="M222" s="482">
        <f t="shared" si="93"/>
        <v>7380.6560574173618</v>
      </c>
      <c r="N222" s="509">
        <f t="shared" si="77"/>
        <v>7380.6560574173618</v>
      </c>
      <c r="O222" s="515">
        <v>22394.770403530743</v>
      </c>
      <c r="P222" s="483"/>
      <c r="Q222" s="483">
        <f t="shared" si="94"/>
        <v>11197.385201765372</v>
      </c>
      <c r="R222" s="514">
        <f t="shared" si="79"/>
        <v>11197.385201765372</v>
      </c>
      <c r="S222" s="515">
        <v>35540.933869193272</v>
      </c>
      <c r="T222" s="483"/>
      <c r="U222" s="483">
        <f t="shared" si="95"/>
        <v>17770.466934596636</v>
      </c>
      <c r="V222" s="514">
        <f t="shared" si="81"/>
        <v>17770.466934596636</v>
      </c>
      <c r="W222" s="515">
        <v>52315.662132673438</v>
      </c>
      <c r="X222" s="483"/>
      <c r="Y222" s="483">
        <f t="shared" si="96"/>
        <v>26157.831066336719</v>
      </c>
      <c r="Z222" s="514">
        <f t="shared" si="83"/>
        <v>26157.831066336719</v>
      </c>
      <c r="AA222" s="515">
        <v>49887.945759563932</v>
      </c>
      <c r="AB222" s="483"/>
      <c r="AC222" s="483">
        <f t="shared" si="97"/>
        <v>24943.972879781966</v>
      </c>
      <c r="AD222" s="514">
        <f t="shared" si="85"/>
        <v>24943.972879781966</v>
      </c>
      <c r="AE222" s="515">
        <v>65097</v>
      </c>
      <c r="AF222" s="483"/>
      <c r="AG222" s="483">
        <f t="shared" si="98"/>
        <v>32548.5</v>
      </c>
      <c r="AH222" s="514">
        <f t="shared" si="87"/>
        <v>32548.5</v>
      </c>
      <c r="AI222" s="520">
        <v>57990.869022564992</v>
      </c>
      <c r="AJ222" s="484"/>
      <c r="AK222" s="484">
        <f t="shared" si="99"/>
        <v>28995.434511282496</v>
      </c>
      <c r="AL222" s="514">
        <f t="shared" si="89"/>
        <v>28995.434511282496</v>
      </c>
      <c r="AM222" s="526">
        <v>49204.373716115748</v>
      </c>
      <c r="AN222" s="485"/>
      <c r="AO222" s="485">
        <f t="shared" si="100"/>
        <v>24602.186858057874</v>
      </c>
      <c r="AP222" s="514">
        <f t="shared" si="91"/>
        <v>24602.186858057874</v>
      </c>
      <c r="AQ222" s="530">
        <f t="shared" si="92"/>
        <v>32548.5</v>
      </c>
    </row>
    <row r="223" spans="1:43" x14ac:dyDescent="0.55000000000000004">
      <c r="A223" s="316" t="s">
        <v>368</v>
      </c>
      <c r="B223" s="218" t="s">
        <v>369</v>
      </c>
      <c r="C223" s="218" t="s">
        <v>374</v>
      </c>
      <c r="D223" s="105" t="s">
        <v>375</v>
      </c>
      <c r="E223" s="100"/>
      <c r="F223" s="34"/>
      <c r="G223" s="34"/>
      <c r="H223" s="480">
        <v>17868.834713485074</v>
      </c>
      <c r="I223" s="480" t="s">
        <v>414</v>
      </c>
      <c r="J223" s="486">
        <v>4</v>
      </c>
      <c r="K223" s="318">
        <v>2680.3252070227609</v>
      </c>
      <c r="L223" s="482">
        <f t="shared" si="76"/>
        <v>2680.3252070227609</v>
      </c>
      <c r="M223" s="482"/>
      <c r="N223" s="509">
        <f t="shared" si="77"/>
        <v>2680.3252070227609</v>
      </c>
      <c r="O223" s="515">
        <v>5845.6498996058772</v>
      </c>
      <c r="P223" s="483">
        <f t="shared" si="78"/>
        <v>5845.6498996058772</v>
      </c>
      <c r="Q223" s="483"/>
      <c r="R223" s="514">
        <f t="shared" si="79"/>
        <v>5845.6498996058772</v>
      </c>
      <c r="S223" s="515">
        <v>7627.3791897194624</v>
      </c>
      <c r="T223" s="483">
        <f t="shared" si="80"/>
        <v>7627.3791897194624</v>
      </c>
      <c r="U223" s="483"/>
      <c r="V223" s="514">
        <f t="shared" si="81"/>
        <v>7627.3791897194624</v>
      </c>
      <c r="W223" s="515">
        <v>13176.465842066476</v>
      </c>
      <c r="X223" s="483">
        <f t="shared" si="82"/>
        <v>13176.465842066476</v>
      </c>
      <c r="Y223" s="483"/>
      <c r="Z223" s="514">
        <f t="shared" si="83"/>
        <v>0</v>
      </c>
      <c r="AA223" s="515">
        <v>7643.5241742857106</v>
      </c>
      <c r="AB223" s="483">
        <f t="shared" si="84"/>
        <v>7643.5241742857106</v>
      </c>
      <c r="AC223" s="483"/>
      <c r="AD223" s="514">
        <f t="shared" si="85"/>
        <v>7643.5241742857106</v>
      </c>
      <c r="AE223" s="515">
        <v>13713</v>
      </c>
      <c r="AF223" s="483">
        <f t="shared" si="86"/>
        <v>13713</v>
      </c>
      <c r="AG223" s="483"/>
      <c r="AH223" s="514">
        <f t="shared" si="87"/>
        <v>13713</v>
      </c>
      <c r="AI223" s="520">
        <v>12183.296395558005</v>
      </c>
      <c r="AJ223" s="484">
        <f t="shared" si="88"/>
        <v>12183.296395558005</v>
      </c>
      <c r="AK223" s="484"/>
      <c r="AL223" s="514">
        <f t="shared" si="89"/>
        <v>12183.296395558005</v>
      </c>
      <c r="AM223" s="526">
        <v>8768.9651834695287</v>
      </c>
      <c r="AN223" s="485">
        <f t="shared" si="90"/>
        <v>8768.9651834695287</v>
      </c>
      <c r="AO223" s="485"/>
      <c r="AP223" s="514">
        <f t="shared" si="91"/>
        <v>8768.9651834695287</v>
      </c>
      <c r="AQ223" s="530">
        <f t="shared" si="92"/>
        <v>13713</v>
      </c>
    </row>
    <row r="224" spans="1:43" x14ac:dyDescent="0.55000000000000004">
      <c r="A224" s="316" t="s">
        <v>368</v>
      </c>
      <c r="B224" s="218" t="s">
        <v>369</v>
      </c>
      <c r="C224" s="218" t="s">
        <v>376</v>
      </c>
      <c r="D224" s="105" t="s">
        <v>377</v>
      </c>
      <c r="E224" s="100"/>
      <c r="F224" s="34"/>
      <c r="G224" s="34"/>
      <c r="H224" s="480">
        <v>13129.238762438523</v>
      </c>
      <c r="I224" s="480" t="s">
        <v>414</v>
      </c>
      <c r="J224" s="486">
        <v>3</v>
      </c>
      <c r="K224" s="318">
        <v>1969.3858143657783</v>
      </c>
      <c r="L224" s="482"/>
      <c r="M224" s="482">
        <f t="shared" si="93"/>
        <v>984.69290718288914</v>
      </c>
      <c r="N224" s="509">
        <f t="shared" si="77"/>
        <v>984.69290718288914</v>
      </c>
      <c r="O224" s="515">
        <v>3481.1651409055244</v>
      </c>
      <c r="P224" s="483"/>
      <c r="Q224" s="483">
        <f t="shared" si="94"/>
        <v>1740.5825704527622</v>
      </c>
      <c r="R224" s="514">
        <f t="shared" si="79"/>
        <v>1740.5825704527622</v>
      </c>
      <c r="S224" s="515">
        <v>4927.9522371892199</v>
      </c>
      <c r="T224" s="483"/>
      <c r="U224" s="483">
        <f t="shared" si="95"/>
        <v>2463.9761185946099</v>
      </c>
      <c r="V224" s="514">
        <f t="shared" si="81"/>
        <v>2463.9761185946099</v>
      </c>
      <c r="W224" s="515">
        <v>8153.4055458651592</v>
      </c>
      <c r="X224" s="483"/>
      <c r="Y224" s="483">
        <f t="shared" si="96"/>
        <v>4076.7027729325796</v>
      </c>
      <c r="Z224" s="514">
        <f t="shared" si="83"/>
        <v>4076.7027729325796</v>
      </c>
      <c r="AA224" s="515">
        <v>5919.1551518143524</v>
      </c>
      <c r="AB224" s="483"/>
      <c r="AC224" s="483">
        <f t="shared" si="97"/>
        <v>2959.5775759071762</v>
      </c>
      <c r="AD224" s="514">
        <f t="shared" si="85"/>
        <v>2959.5775759071762</v>
      </c>
      <c r="AE224" s="515">
        <v>8907</v>
      </c>
      <c r="AF224" s="483"/>
      <c r="AG224" s="483">
        <f t="shared" si="98"/>
        <v>4453.5</v>
      </c>
      <c r="AH224" s="514">
        <f t="shared" si="87"/>
        <v>4453.5</v>
      </c>
      <c r="AI224" s="520">
        <v>8951.7537016626302</v>
      </c>
      <c r="AJ224" s="484"/>
      <c r="AK224" s="484">
        <f t="shared" si="99"/>
        <v>4475.8768508313151</v>
      </c>
      <c r="AL224" s="514">
        <f t="shared" si="89"/>
        <v>4475.8768508313151</v>
      </c>
      <c r="AM224" s="526">
        <v>7901.8566625787389</v>
      </c>
      <c r="AN224" s="485"/>
      <c r="AO224" s="485">
        <f t="shared" si="100"/>
        <v>3950.9283312893695</v>
      </c>
      <c r="AP224" s="514">
        <f t="shared" si="91"/>
        <v>3950.9283312893695</v>
      </c>
      <c r="AQ224" s="530">
        <f t="shared" si="92"/>
        <v>4475.8768508313151</v>
      </c>
    </row>
    <row r="225" spans="1:43" x14ac:dyDescent="0.55000000000000004">
      <c r="A225" s="316" t="s">
        <v>368</v>
      </c>
      <c r="B225" s="218" t="s">
        <v>369</v>
      </c>
      <c r="C225" s="218" t="s">
        <v>378</v>
      </c>
      <c r="D225" s="105" t="s">
        <v>379</v>
      </c>
      <c r="E225" s="100"/>
      <c r="F225" s="34"/>
      <c r="G225" s="34"/>
      <c r="H225" s="480">
        <v>8647.438167676999</v>
      </c>
      <c r="I225" s="480" t="s">
        <v>414</v>
      </c>
      <c r="J225" s="486">
        <v>3</v>
      </c>
      <c r="K225" s="318">
        <v>1297.1157251515499</v>
      </c>
      <c r="L225" s="482"/>
      <c r="M225" s="482">
        <f t="shared" si="93"/>
        <v>648.55786257577495</v>
      </c>
      <c r="N225" s="509">
        <f t="shared" si="77"/>
        <v>648.55786257577495</v>
      </c>
      <c r="O225" s="515">
        <v>1343.0984776081723</v>
      </c>
      <c r="P225" s="483"/>
      <c r="Q225" s="483">
        <f t="shared" si="94"/>
        <v>671.54923880408614</v>
      </c>
      <c r="R225" s="514">
        <f t="shared" si="79"/>
        <v>671.54923880408614</v>
      </c>
      <c r="S225" s="515">
        <v>3855.9279964630709</v>
      </c>
      <c r="T225" s="483"/>
      <c r="U225" s="483">
        <f t="shared" si="95"/>
        <v>1927.9639982315355</v>
      </c>
      <c r="V225" s="514">
        <f t="shared" si="81"/>
        <v>1927.9639982315355</v>
      </c>
      <c r="W225" s="515">
        <v>4902.8872654551633</v>
      </c>
      <c r="X225" s="483"/>
      <c r="Y225" s="483">
        <f t="shared" si="96"/>
        <v>2451.4436327275816</v>
      </c>
      <c r="Z225" s="514">
        <f t="shared" si="83"/>
        <v>2451.4436327275816</v>
      </c>
      <c r="AA225" s="515">
        <v>4930.3563020103575</v>
      </c>
      <c r="AB225" s="483"/>
      <c r="AC225" s="483">
        <f t="shared" si="97"/>
        <v>2465.1781510051787</v>
      </c>
      <c r="AD225" s="514">
        <f t="shared" si="85"/>
        <v>2465.1781510051787</v>
      </c>
      <c r="AE225" s="515">
        <v>6053</v>
      </c>
      <c r="AF225" s="483"/>
      <c r="AG225" s="483">
        <f t="shared" si="98"/>
        <v>3026.5</v>
      </c>
      <c r="AH225" s="514">
        <f t="shared" si="87"/>
        <v>3026.5</v>
      </c>
      <c r="AI225" s="520">
        <v>5228.6835432465577</v>
      </c>
      <c r="AJ225" s="484"/>
      <c r="AK225" s="484">
        <f t="shared" si="99"/>
        <v>2614.3417716232789</v>
      </c>
      <c r="AL225" s="514">
        <f t="shared" si="89"/>
        <v>2614.3417716232789</v>
      </c>
      <c r="AM225" s="526">
        <v>6645.7163696036187</v>
      </c>
      <c r="AN225" s="485"/>
      <c r="AO225" s="485">
        <f t="shared" si="100"/>
        <v>3322.8581848018093</v>
      </c>
      <c r="AP225" s="514">
        <f t="shared" si="91"/>
        <v>3322.8581848018093</v>
      </c>
      <c r="AQ225" s="530">
        <f t="shared" si="92"/>
        <v>3322.8581848018093</v>
      </c>
    </row>
    <row r="226" spans="1:43" x14ac:dyDescent="0.55000000000000004">
      <c r="A226" s="316" t="s">
        <v>368</v>
      </c>
      <c r="B226" s="218" t="s">
        <v>369</v>
      </c>
      <c r="C226" s="218" t="s">
        <v>380</v>
      </c>
      <c r="D226" s="105" t="s">
        <v>381</v>
      </c>
      <c r="E226" s="100"/>
      <c r="F226" s="34"/>
      <c r="G226" s="34"/>
      <c r="H226" s="480">
        <v>79307.299107857689</v>
      </c>
      <c r="I226" s="480" t="s">
        <v>414</v>
      </c>
      <c r="J226" s="486">
        <v>4</v>
      </c>
      <c r="K226" s="318">
        <v>11896.094866178653</v>
      </c>
      <c r="L226" s="482">
        <f t="shared" si="76"/>
        <v>11896.094866178653</v>
      </c>
      <c r="M226" s="482"/>
      <c r="N226" s="509">
        <f t="shared" si="77"/>
        <v>11896.094866178653</v>
      </c>
      <c r="O226" s="515">
        <v>9739.0949450431381</v>
      </c>
      <c r="P226" s="483">
        <f t="shared" si="78"/>
        <v>9739.0949450431381</v>
      </c>
      <c r="Q226" s="483"/>
      <c r="R226" s="514">
        <f t="shared" si="79"/>
        <v>9739.0949450431381</v>
      </c>
      <c r="S226" s="515">
        <v>32810.821682426264</v>
      </c>
      <c r="T226" s="483">
        <f t="shared" si="80"/>
        <v>32810.821682426264</v>
      </c>
      <c r="U226" s="483"/>
      <c r="V226" s="514">
        <f t="shared" si="81"/>
        <v>32810.821682426264</v>
      </c>
      <c r="W226" s="515">
        <v>46274.274786345559</v>
      </c>
      <c r="X226" s="483">
        <f t="shared" si="82"/>
        <v>46274.274786345559</v>
      </c>
      <c r="Y226" s="483"/>
      <c r="Z226" s="514">
        <f t="shared" si="83"/>
        <v>0</v>
      </c>
      <c r="AA226" s="515">
        <v>47910.869250360593</v>
      </c>
      <c r="AB226" s="483">
        <f t="shared" si="84"/>
        <v>47910.869250360593</v>
      </c>
      <c r="AC226" s="483"/>
      <c r="AD226" s="514">
        <f t="shared" si="85"/>
        <v>47910.869250360593</v>
      </c>
      <c r="AE226" s="515">
        <v>33234</v>
      </c>
      <c r="AF226" s="483">
        <f t="shared" si="86"/>
        <v>33234</v>
      </c>
      <c r="AG226" s="483"/>
      <c r="AH226" s="514">
        <f t="shared" si="87"/>
        <v>33234</v>
      </c>
      <c r="AI226" s="520">
        <v>45123.11845791903</v>
      </c>
      <c r="AJ226" s="484">
        <f t="shared" si="88"/>
        <v>45123.11845791903</v>
      </c>
      <c r="AK226" s="484"/>
      <c r="AL226" s="514">
        <f t="shared" si="89"/>
        <v>45123.11845791903</v>
      </c>
      <c r="AM226" s="526">
        <v>35982.015335972479</v>
      </c>
      <c r="AN226" s="485">
        <f t="shared" si="90"/>
        <v>35982.015335972479</v>
      </c>
      <c r="AO226" s="485"/>
      <c r="AP226" s="514">
        <f t="shared" si="91"/>
        <v>35982.015335972479</v>
      </c>
      <c r="AQ226" s="530">
        <f t="shared" si="92"/>
        <v>47910.869250360593</v>
      </c>
    </row>
    <row r="227" spans="1:43" x14ac:dyDescent="0.55000000000000004">
      <c r="A227" s="316" t="s">
        <v>382</v>
      </c>
      <c r="B227" s="218" t="s">
        <v>383</v>
      </c>
      <c r="C227" s="218" t="s">
        <v>384</v>
      </c>
      <c r="D227" s="105" t="s">
        <v>385</v>
      </c>
      <c r="E227" s="100"/>
      <c r="F227" s="34"/>
      <c r="G227" s="34"/>
      <c r="H227" s="480">
        <v>20202.24984559073</v>
      </c>
      <c r="I227" s="480" t="s">
        <v>414</v>
      </c>
      <c r="J227" s="486">
        <v>3</v>
      </c>
      <c r="K227" s="318">
        <v>3030.3374768386093</v>
      </c>
      <c r="L227" s="482"/>
      <c r="M227" s="482">
        <f t="shared" si="93"/>
        <v>1515.1687384193046</v>
      </c>
      <c r="N227" s="509">
        <f t="shared" si="77"/>
        <v>1515.1687384193046</v>
      </c>
      <c r="O227" s="515">
        <v>4130.4429112803145</v>
      </c>
      <c r="P227" s="483"/>
      <c r="Q227" s="483">
        <f t="shared" si="94"/>
        <v>2065.2214556401573</v>
      </c>
      <c r="R227" s="514">
        <f t="shared" si="79"/>
        <v>2065.2214556401573</v>
      </c>
      <c r="S227" s="515">
        <v>6199.331577511226</v>
      </c>
      <c r="T227" s="483"/>
      <c r="U227" s="483">
        <f t="shared" si="95"/>
        <v>3099.665788755613</v>
      </c>
      <c r="V227" s="514">
        <f t="shared" si="81"/>
        <v>3099.665788755613</v>
      </c>
      <c r="W227" s="515">
        <v>6182.5606374466261</v>
      </c>
      <c r="X227" s="483"/>
      <c r="Y227" s="483">
        <f t="shared" si="96"/>
        <v>3091.280318723313</v>
      </c>
      <c r="Z227" s="514">
        <f t="shared" si="83"/>
        <v>3091.280318723313</v>
      </c>
      <c r="AA227" s="515">
        <v>10500.549384030208</v>
      </c>
      <c r="AB227" s="483"/>
      <c r="AC227" s="483">
        <f t="shared" si="97"/>
        <v>5250.2746920151039</v>
      </c>
      <c r="AD227" s="514">
        <f t="shared" si="85"/>
        <v>5250.2746920151039</v>
      </c>
      <c r="AE227" s="515">
        <v>13430</v>
      </c>
      <c r="AF227" s="483"/>
      <c r="AG227" s="483">
        <f t="shared" si="98"/>
        <v>6715</v>
      </c>
      <c r="AH227" s="514">
        <f t="shared" si="87"/>
        <v>6715</v>
      </c>
      <c r="AI227" s="520">
        <v>11223.472136439294</v>
      </c>
      <c r="AJ227" s="484"/>
      <c r="AK227" s="484">
        <f t="shared" si="99"/>
        <v>5611.7360682196468</v>
      </c>
      <c r="AL227" s="514">
        <f t="shared" si="89"/>
        <v>5611.7360682196468</v>
      </c>
      <c r="AM227" s="526">
        <v>14403.455908430427</v>
      </c>
      <c r="AN227" s="485"/>
      <c r="AO227" s="485">
        <f t="shared" si="100"/>
        <v>7201.7279542152137</v>
      </c>
      <c r="AP227" s="514">
        <f t="shared" si="91"/>
        <v>7201.7279542152137</v>
      </c>
      <c r="AQ227" s="530">
        <f t="shared" si="92"/>
        <v>7201.7279542152137</v>
      </c>
    </row>
    <row r="228" spans="1:43" x14ac:dyDescent="0.55000000000000004">
      <c r="A228" s="316" t="s">
        <v>382</v>
      </c>
      <c r="B228" s="218" t="s">
        <v>383</v>
      </c>
      <c r="C228" s="218" t="s">
        <v>386</v>
      </c>
      <c r="D228" s="105" t="s">
        <v>387</v>
      </c>
      <c r="E228" s="100"/>
      <c r="F228" s="34"/>
      <c r="G228" s="34"/>
      <c r="H228" s="480">
        <v>28676.523493080207</v>
      </c>
      <c r="I228" s="480" t="s">
        <v>414</v>
      </c>
      <c r="J228" s="486">
        <v>3</v>
      </c>
      <c r="K228" s="318">
        <v>4301.4785239620305</v>
      </c>
      <c r="L228" s="482"/>
      <c r="M228" s="482">
        <f t="shared" si="93"/>
        <v>2150.7392619810153</v>
      </c>
      <c r="N228" s="509">
        <f t="shared" si="77"/>
        <v>2150.7392619810153</v>
      </c>
      <c r="O228" s="515">
        <v>7547.8473807814153</v>
      </c>
      <c r="P228" s="483"/>
      <c r="Q228" s="483">
        <f t="shared" si="94"/>
        <v>3773.9236903907076</v>
      </c>
      <c r="R228" s="514">
        <f t="shared" si="79"/>
        <v>3773.9236903907076</v>
      </c>
      <c r="S228" s="515">
        <v>9034.1005309117991</v>
      </c>
      <c r="T228" s="483"/>
      <c r="U228" s="483">
        <f t="shared" si="95"/>
        <v>4517.0502654558995</v>
      </c>
      <c r="V228" s="514">
        <f t="shared" si="81"/>
        <v>4517.0502654558995</v>
      </c>
      <c r="W228" s="515">
        <v>14917.237217909655</v>
      </c>
      <c r="X228" s="483"/>
      <c r="Y228" s="483">
        <f t="shared" si="96"/>
        <v>7458.6186089548273</v>
      </c>
      <c r="Z228" s="514">
        <f t="shared" si="83"/>
        <v>7458.6186089548273</v>
      </c>
      <c r="AA228" s="515">
        <v>14871.963856483533</v>
      </c>
      <c r="AB228" s="483"/>
      <c r="AC228" s="483">
        <f t="shared" si="97"/>
        <v>7435.9819282417666</v>
      </c>
      <c r="AD228" s="514">
        <f t="shared" si="85"/>
        <v>7435.9819282417666</v>
      </c>
      <c r="AE228" s="515">
        <v>19279</v>
      </c>
      <c r="AF228" s="483"/>
      <c r="AG228" s="483">
        <f t="shared" si="98"/>
        <v>9639.5</v>
      </c>
      <c r="AH228" s="514">
        <f t="shared" si="87"/>
        <v>9639.5</v>
      </c>
      <c r="AI228" s="520">
        <v>20899.83915597371</v>
      </c>
      <c r="AJ228" s="484"/>
      <c r="AK228" s="484">
        <f t="shared" si="99"/>
        <v>10449.919577986855</v>
      </c>
      <c r="AL228" s="514">
        <f t="shared" si="89"/>
        <v>10449.919577986855</v>
      </c>
      <c r="AM228" s="526">
        <v>7434.6542389467213</v>
      </c>
      <c r="AN228" s="485"/>
      <c r="AO228" s="485">
        <f t="shared" si="100"/>
        <v>3717.3271194733607</v>
      </c>
      <c r="AP228" s="514">
        <f t="shared" si="91"/>
        <v>3717.3271194733607</v>
      </c>
      <c r="AQ228" s="530">
        <f t="shared" si="92"/>
        <v>10449.919577986855</v>
      </c>
    </row>
    <row r="229" spans="1:43" x14ac:dyDescent="0.55000000000000004">
      <c r="A229" s="316" t="s">
        <v>382</v>
      </c>
      <c r="B229" s="218" t="s">
        <v>383</v>
      </c>
      <c r="C229" s="218" t="s">
        <v>388</v>
      </c>
      <c r="D229" s="105" t="s">
        <v>389</v>
      </c>
      <c r="E229" s="100"/>
      <c r="F229" s="34"/>
      <c r="G229" s="34"/>
      <c r="H229" s="480">
        <v>47646.035148118463</v>
      </c>
      <c r="I229" s="480" t="s">
        <v>414</v>
      </c>
      <c r="J229" s="486">
        <v>3</v>
      </c>
      <c r="K229" s="318">
        <v>7146.9052722177694</v>
      </c>
      <c r="L229" s="482"/>
      <c r="M229" s="482">
        <f t="shared" si="93"/>
        <v>3573.4526361088847</v>
      </c>
      <c r="N229" s="509">
        <f t="shared" si="77"/>
        <v>3573.4526361088847</v>
      </c>
      <c r="O229" s="515">
        <v>6494.4214084853766</v>
      </c>
      <c r="P229" s="483"/>
      <c r="Q229" s="483">
        <f t="shared" si="94"/>
        <v>3247.2107042426883</v>
      </c>
      <c r="R229" s="514">
        <f t="shared" si="79"/>
        <v>3247.2107042426883</v>
      </c>
      <c r="S229" s="515">
        <v>14934.166989641053</v>
      </c>
      <c r="T229" s="483"/>
      <c r="U229" s="483">
        <f t="shared" si="95"/>
        <v>7467.0834948205265</v>
      </c>
      <c r="V229" s="514">
        <f t="shared" si="81"/>
        <v>7467.0834948205265</v>
      </c>
      <c r="W229" s="515">
        <v>23618.765949974742</v>
      </c>
      <c r="X229" s="483"/>
      <c r="Y229" s="483">
        <f t="shared" si="96"/>
        <v>11809.382974987371</v>
      </c>
      <c r="Z229" s="514">
        <f t="shared" si="83"/>
        <v>11809.382974987371</v>
      </c>
      <c r="AA229" s="515">
        <v>21699.970696247929</v>
      </c>
      <c r="AB229" s="483"/>
      <c r="AC229" s="483">
        <f t="shared" si="97"/>
        <v>10849.985348123964</v>
      </c>
      <c r="AD229" s="514">
        <f t="shared" si="85"/>
        <v>10849.985348123964</v>
      </c>
      <c r="AE229" s="515">
        <v>31618</v>
      </c>
      <c r="AF229" s="483"/>
      <c r="AG229" s="483">
        <f t="shared" si="98"/>
        <v>15809</v>
      </c>
      <c r="AH229" s="514">
        <f t="shared" si="87"/>
        <v>15809</v>
      </c>
      <c r="AI229" s="520">
        <v>27488.097200837576</v>
      </c>
      <c r="AJ229" s="484"/>
      <c r="AK229" s="484">
        <f t="shared" si="99"/>
        <v>13744.048600418788</v>
      </c>
      <c r="AL229" s="514">
        <f t="shared" si="89"/>
        <v>13744.048600418788</v>
      </c>
      <c r="AM229" s="526">
        <v>20734.848629273776</v>
      </c>
      <c r="AN229" s="485"/>
      <c r="AO229" s="485">
        <f t="shared" si="100"/>
        <v>10367.424314636888</v>
      </c>
      <c r="AP229" s="514">
        <f t="shared" si="91"/>
        <v>10367.424314636888</v>
      </c>
      <c r="AQ229" s="530">
        <f t="shared" si="92"/>
        <v>15809</v>
      </c>
    </row>
    <row r="230" spans="1:43" x14ac:dyDescent="0.55000000000000004">
      <c r="A230" s="316" t="s">
        <v>390</v>
      </c>
      <c r="B230" s="218" t="s">
        <v>391</v>
      </c>
      <c r="C230" s="218" t="s">
        <v>392</v>
      </c>
      <c r="D230" s="105" t="s">
        <v>393</v>
      </c>
      <c r="E230" s="100"/>
      <c r="F230" s="34"/>
      <c r="G230" s="34"/>
      <c r="H230" s="480">
        <v>3661</v>
      </c>
      <c r="I230" s="480" t="s">
        <v>414</v>
      </c>
      <c r="J230" s="486">
        <v>3</v>
      </c>
      <c r="K230" s="318">
        <v>549.15</v>
      </c>
      <c r="L230" s="482"/>
      <c r="M230" s="482">
        <f t="shared" si="93"/>
        <v>274.57499999999999</v>
      </c>
      <c r="N230" s="509">
        <f t="shared" si="77"/>
        <v>274.57499999999999</v>
      </c>
      <c r="O230" s="515">
        <v>805.27539049999984</v>
      </c>
      <c r="P230" s="483"/>
      <c r="Q230" s="483">
        <f t="shared" si="94"/>
        <v>402.63769524999992</v>
      </c>
      <c r="R230" s="514">
        <f t="shared" si="79"/>
        <v>402.63769524999992</v>
      </c>
      <c r="S230" s="515">
        <v>1372.115900864655</v>
      </c>
      <c r="T230" s="483"/>
      <c r="U230" s="483">
        <f t="shared" si="95"/>
        <v>686.05795043232752</v>
      </c>
      <c r="V230" s="514">
        <f t="shared" si="81"/>
        <v>686.05795043232752</v>
      </c>
      <c r="W230" s="515">
        <v>654.49499948243829</v>
      </c>
      <c r="X230" s="483"/>
      <c r="Y230" s="483">
        <f t="shared" si="96"/>
        <v>327.24749974121914</v>
      </c>
      <c r="Z230" s="514">
        <f t="shared" si="83"/>
        <v>327.24749974121914</v>
      </c>
      <c r="AA230" s="515">
        <v>1809.4480634899089</v>
      </c>
      <c r="AB230" s="483"/>
      <c r="AC230" s="483">
        <f t="shared" si="97"/>
        <v>904.72403174495446</v>
      </c>
      <c r="AD230" s="514">
        <f t="shared" si="85"/>
        <v>904.72403174495446</v>
      </c>
      <c r="AE230" s="515">
        <v>1902</v>
      </c>
      <c r="AF230" s="483"/>
      <c r="AG230" s="483">
        <f t="shared" si="98"/>
        <v>951</v>
      </c>
      <c r="AH230" s="514">
        <f t="shared" si="87"/>
        <v>951</v>
      </c>
      <c r="AI230" s="520">
        <v>1464.4</v>
      </c>
      <c r="AJ230" s="484"/>
      <c r="AK230" s="484">
        <f t="shared" si="99"/>
        <v>732.2</v>
      </c>
      <c r="AL230" s="514">
        <f t="shared" si="89"/>
        <v>732.2</v>
      </c>
      <c r="AM230" s="526">
        <v>2711.8518518518522</v>
      </c>
      <c r="AN230" s="485"/>
      <c r="AO230" s="485">
        <f t="shared" si="100"/>
        <v>1355.9259259259261</v>
      </c>
      <c r="AP230" s="514">
        <f t="shared" si="91"/>
        <v>1355.9259259259261</v>
      </c>
      <c r="AQ230" s="530">
        <f t="shared" si="92"/>
        <v>1355.9259259259261</v>
      </c>
    </row>
    <row r="231" spans="1:43" x14ac:dyDescent="0.55000000000000004">
      <c r="A231" s="316" t="s">
        <v>390</v>
      </c>
      <c r="B231" s="218" t="s">
        <v>391</v>
      </c>
      <c r="C231" s="218" t="s">
        <v>394</v>
      </c>
      <c r="D231" s="105" t="s">
        <v>395</v>
      </c>
      <c r="E231" s="100"/>
      <c r="F231" s="34"/>
      <c r="G231" s="34"/>
      <c r="H231" s="480">
        <v>1463.1428571428601</v>
      </c>
      <c r="I231" s="480" t="s">
        <v>414</v>
      </c>
      <c r="J231" s="486">
        <v>3</v>
      </c>
      <c r="K231" s="318">
        <v>219.47142857142902</v>
      </c>
      <c r="L231" s="482"/>
      <c r="M231" s="482">
        <f t="shared" si="93"/>
        <v>109.73571428571451</v>
      </c>
      <c r="N231" s="509">
        <f t="shared" si="77"/>
        <v>109.73571428571451</v>
      </c>
      <c r="O231" s="515">
        <v>209.6127720000004</v>
      </c>
      <c r="P231" s="483"/>
      <c r="Q231" s="483">
        <f t="shared" si="94"/>
        <v>104.8063860000002</v>
      </c>
      <c r="R231" s="514">
        <f t="shared" si="79"/>
        <v>104.8063860000002</v>
      </c>
      <c r="S231" s="515">
        <v>493.86726857254502</v>
      </c>
      <c r="T231" s="483"/>
      <c r="U231" s="483">
        <f t="shared" si="95"/>
        <v>246.93363428627251</v>
      </c>
      <c r="V231" s="514">
        <f t="shared" si="81"/>
        <v>246.93363428627251</v>
      </c>
      <c r="W231" s="515">
        <v>368.66869819399255</v>
      </c>
      <c r="X231" s="483"/>
      <c r="Y231" s="483">
        <f t="shared" si="96"/>
        <v>184.33434909699628</v>
      </c>
      <c r="Z231" s="514">
        <f t="shared" si="83"/>
        <v>184.33434909699628</v>
      </c>
      <c r="AA231" s="515">
        <v>636.05586257138452</v>
      </c>
      <c r="AB231" s="483"/>
      <c r="AC231" s="483">
        <f t="shared" si="97"/>
        <v>318.02793128569226</v>
      </c>
      <c r="AD231" s="514">
        <f t="shared" si="85"/>
        <v>318.02793128569226</v>
      </c>
      <c r="AE231" s="515">
        <v>765</v>
      </c>
      <c r="AF231" s="483"/>
      <c r="AG231" s="483">
        <f t="shared" si="98"/>
        <v>382.5</v>
      </c>
      <c r="AH231" s="514">
        <f t="shared" si="87"/>
        <v>382.5</v>
      </c>
      <c r="AI231" s="520">
        <v>585.257142857144</v>
      </c>
      <c r="AJ231" s="484"/>
      <c r="AK231" s="484">
        <f t="shared" si="99"/>
        <v>292.628571428572</v>
      </c>
      <c r="AL231" s="514">
        <f t="shared" si="89"/>
        <v>292.628571428572</v>
      </c>
      <c r="AM231" s="526">
        <v>1246.3809523809548</v>
      </c>
      <c r="AN231" s="485"/>
      <c r="AO231" s="485">
        <f t="shared" si="100"/>
        <v>623.1904761904774</v>
      </c>
      <c r="AP231" s="514">
        <f t="shared" si="91"/>
        <v>623.1904761904774</v>
      </c>
      <c r="AQ231" s="530">
        <f t="shared" si="92"/>
        <v>623.1904761904774</v>
      </c>
    </row>
    <row r="232" spans="1:43" x14ac:dyDescent="0.55000000000000004">
      <c r="A232" s="316" t="s">
        <v>390</v>
      </c>
      <c r="B232" s="218" t="s">
        <v>391</v>
      </c>
      <c r="C232" s="218" t="s">
        <v>396</v>
      </c>
      <c r="D232" s="105" t="s">
        <v>397</v>
      </c>
      <c r="E232" s="100"/>
      <c r="F232" s="34"/>
      <c r="G232" s="34"/>
      <c r="H232" s="480">
        <v>688</v>
      </c>
      <c r="I232" s="480" t="s">
        <v>414</v>
      </c>
      <c r="J232" s="486">
        <v>3</v>
      </c>
      <c r="K232" s="318">
        <v>103.2</v>
      </c>
      <c r="L232" s="482"/>
      <c r="M232" s="482">
        <f t="shared" si="93"/>
        <v>51.6</v>
      </c>
      <c r="N232" s="509">
        <f t="shared" si="77"/>
        <v>51.6</v>
      </c>
      <c r="O232" s="515">
        <v>107.43986879999999</v>
      </c>
      <c r="P232" s="483"/>
      <c r="Q232" s="483">
        <f t="shared" si="94"/>
        <v>53.719934399999993</v>
      </c>
      <c r="R232" s="514">
        <f t="shared" si="79"/>
        <v>53.719934399999993</v>
      </c>
      <c r="S232" s="515">
        <v>303.0168485540961</v>
      </c>
      <c r="T232" s="483"/>
      <c r="U232" s="483">
        <f t="shared" si="95"/>
        <v>151.50842427704805</v>
      </c>
      <c r="V232" s="514">
        <f t="shared" si="81"/>
        <v>151.50842427704805</v>
      </c>
      <c r="W232" s="515">
        <v>174.49196153942614</v>
      </c>
      <c r="X232" s="483"/>
      <c r="Y232" s="483">
        <f t="shared" si="96"/>
        <v>87.245980769713071</v>
      </c>
      <c r="Z232" s="514">
        <f t="shared" si="83"/>
        <v>87.245980769713071</v>
      </c>
      <c r="AA232" s="515">
        <v>270.21792453378356</v>
      </c>
      <c r="AB232" s="483"/>
      <c r="AC232" s="483">
        <f t="shared" si="97"/>
        <v>135.10896226689178</v>
      </c>
      <c r="AD232" s="514">
        <f t="shared" si="85"/>
        <v>135.10896226689178</v>
      </c>
      <c r="AE232" s="515">
        <v>482</v>
      </c>
      <c r="AF232" s="483"/>
      <c r="AG232" s="483">
        <f t="shared" si="98"/>
        <v>241</v>
      </c>
      <c r="AH232" s="514">
        <f t="shared" si="87"/>
        <v>241</v>
      </c>
      <c r="AI232" s="520">
        <v>516</v>
      </c>
      <c r="AJ232" s="484"/>
      <c r="AK232" s="484">
        <f t="shared" si="99"/>
        <v>258</v>
      </c>
      <c r="AL232" s="514">
        <f t="shared" si="89"/>
        <v>258</v>
      </c>
      <c r="AM232" s="526">
        <v>496.88888888888886</v>
      </c>
      <c r="AN232" s="485"/>
      <c r="AO232" s="485">
        <f t="shared" si="100"/>
        <v>248.44444444444443</v>
      </c>
      <c r="AP232" s="514">
        <f t="shared" si="91"/>
        <v>248.44444444444443</v>
      </c>
      <c r="AQ232" s="530">
        <f t="shared" si="92"/>
        <v>258</v>
      </c>
    </row>
    <row r="233" spans="1:43" x14ac:dyDescent="0.55000000000000004">
      <c r="A233" s="316" t="s">
        <v>390</v>
      </c>
      <c r="B233" s="218" t="s">
        <v>391</v>
      </c>
      <c r="C233" s="218" t="s">
        <v>398</v>
      </c>
      <c r="D233" s="105" t="s">
        <v>399</v>
      </c>
      <c r="E233" s="100"/>
      <c r="F233" s="34"/>
      <c r="G233" s="34"/>
      <c r="H233" s="480">
        <v>5019</v>
      </c>
      <c r="I233" s="480" t="s">
        <v>414</v>
      </c>
      <c r="J233" s="486">
        <v>3</v>
      </c>
      <c r="K233" s="318">
        <v>752.85</v>
      </c>
      <c r="L233" s="482"/>
      <c r="M233" s="482">
        <f t="shared" si="93"/>
        <v>376.42500000000001</v>
      </c>
      <c r="N233" s="509">
        <f t="shared" si="77"/>
        <v>376.42500000000001</v>
      </c>
      <c r="O233" s="515">
        <v>78.894664800000015</v>
      </c>
      <c r="P233" s="483"/>
      <c r="Q233" s="483">
        <f t="shared" si="94"/>
        <v>39.447332400000008</v>
      </c>
      <c r="R233" s="514">
        <f t="shared" si="79"/>
        <v>39.447332400000008</v>
      </c>
      <c r="S233" s="515">
        <v>2034.152637362987</v>
      </c>
      <c r="T233" s="483"/>
      <c r="U233" s="483">
        <f t="shared" si="95"/>
        <v>1017.0763186814935</v>
      </c>
      <c r="V233" s="514">
        <f t="shared" si="81"/>
        <v>1017.0763186814935</v>
      </c>
      <c r="W233" s="515">
        <v>2159.001427823719</v>
      </c>
      <c r="X233" s="483"/>
      <c r="Y233" s="483">
        <f t="shared" si="96"/>
        <v>1079.5007139118595</v>
      </c>
      <c r="Z233" s="514">
        <f t="shared" si="83"/>
        <v>1079.5007139118595</v>
      </c>
      <c r="AA233" s="515">
        <v>2420.3032000838125</v>
      </c>
      <c r="AB233" s="483"/>
      <c r="AC233" s="483">
        <f t="shared" si="97"/>
        <v>1210.1516000419062</v>
      </c>
      <c r="AD233" s="514">
        <f t="shared" si="85"/>
        <v>1210.1516000419062</v>
      </c>
      <c r="AE233" s="515">
        <v>2794</v>
      </c>
      <c r="AF233" s="483"/>
      <c r="AG233" s="483">
        <f t="shared" si="98"/>
        <v>1397</v>
      </c>
      <c r="AH233" s="514">
        <f t="shared" si="87"/>
        <v>1397</v>
      </c>
      <c r="AI233" s="520">
        <v>1892.4098360655737</v>
      </c>
      <c r="AJ233" s="484"/>
      <c r="AK233" s="484">
        <f t="shared" si="99"/>
        <v>946.20491803278685</v>
      </c>
      <c r="AL233" s="514">
        <f t="shared" si="89"/>
        <v>946.20491803278685</v>
      </c>
      <c r="AM233" s="526">
        <v>3113.6388888888891</v>
      </c>
      <c r="AN233" s="485"/>
      <c r="AO233" s="485">
        <f t="shared" si="100"/>
        <v>1556.8194444444446</v>
      </c>
      <c r="AP233" s="514">
        <f t="shared" si="91"/>
        <v>1556.8194444444446</v>
      </c>
      <c r="AQ233" s="530">
        <f t="shared" si="92"/>
        <v>1556.8194444444446</v>
      </c>
    </row>
    <row r="234" spans="1:43" x14ac:dyDescent="0.55000000000000004">
      <c r="A234" s="316" t="s">
        <v>390</v>
      </c>
      <c r="B234" s="218" t="s">
        <v>391</v>
      </c>
      <c r="C234" s="218" t="s">
        <v>400</v>
      </c>
      <c r="D234" s="105" t="s">
        <v>401</v>
      </c>
      <c r="E234" s="100"/>
      <c r="F234" s="34"/>
      <c r="G234" s="34"/>
      <c r="H234" s="480">
        <v>2319</v>
      </c>
      <c r="I234" s="480" t="s">
        <v>414</v>
      </c>
      <c r="J234" s="486">
        <v>3</v>
      </c>
      <c r="K234" s="318">
        <v>347.84999999999997</v>
      </c>
      <c r="L234" s="482"/>
      <c r="M234" s="482">
        <f t="shared" si="93"/>
        <v>173.92499999999998</v>
      </c>
      <c r="N234" s="509">
        <f t="shared" si="77"/>
        <v>173.92499999999998</v>
      </c>
      <c r="O234" s="515">
        <v>190.59397199999998</v>
      </c>
      <c r="P234" s="483"/>
      <c r="Q234" s="483">
        <f t="shared" si="94"/>
        <v>95.29698599999999</v>
      </c>
      <c r="R234" s="514">
        <f t="shared" si="79"/>
        <v>95.29698599999999</v>
      </c>
      <c r="S234" s="515">
        <v>960.62743263091625</v>
      </c>
      <c r="T234" s="483"/>
      <c r="U234" s="483">
        <f t="shared" si="95"/>
        <v>480.31371631545812</v>
      </c>
      <c r="V234" s="514">
        <f t="shared" si="81"/>
        <v>480.31371631545812</v>
      </c>
      <c r="W234" s="515">
        <v>891.58596384741622</v>
      </c>
      <c r="X234" s="483"/>
      <c r="Y234" s="483">
        <f t="shared" si="96"/>
        <v>445.79298192370811</v>
      </c>
      <c r="Z234" s="514">
        <f t="shared" si="83"/>
        <v>445.79298192370811</v>
      </c>
      <c r="AA234" s="515">
        <v>1150.5166343396793</v>
      </c>
      <c r="AB234" s="483"/>
      <c r="AC234" s="483">
        <f t="shared" si="97"/>
        <v>575.25831716983964</v>
      </c>
      <c r="AD234" s="514">
        <f t="shared" si="85"/>
        <v>575.25831716983964</v>
      </c>
      <c r="AE234" s="515">
        <v>1623</v>
      </c>
      <c r="AF234" s="483"/>
      <c r="AG234" s="483">
        <f t="shared" si="98"/>
        <v>811.5</v>
      </c>
      <c r="AH234" s="514">
        <f t="shared" si="87"/>
        <v>811.5</v>
      </c>
      <c r="AI234" s="520">
        <v>1578.2083333333333</v>
      </c>
      <c r="AJ234" s="484"/>
      <c r="AK234" s="484">
        <f t="shared" si="99"/>
        <v>789.10416666666663</v>
      </c>
      <c r="AL234" s="514">
        <f t="shared" si="89"/>
        <v>789.10416666666663</v>
      </c>
      <c r="AM234" s="526">
        <v>878.40909090909099</v>
      </c>
      <c r="AN234" s="485"/>
      <c r="AO234" s="485">
        <f t="shared" si="100"/>
        <v>439.2045454545455</v>
      </c>
      <c r="AP234" s="514">
        <f t="shared" si="91"/>
        <v>439.2045454545455</v>
      </c>
      <c r="AQ234" s="530">
        <f t="shared" si="92"/>
        <v>811.5</v>
      </c>
    </row>
    <row r="235" spans="1:43" x14ac:dyDescent="0.55000000000000004">
      <c r="A235" s="316" t="s">
        <v>390</v>
      </c>
      <c r="B235" s="218" t="s">
        <v>391</v>
      </c>
      <c r="C235" s="218" t="s">
        <v>402</v>
      </c>
      <c r="D235" s="105" t="s">
        <v>403</v>
      </c>
      <c r="E235" s="100"/>
      <c r="F235" s="34"/>
      <c r="G235" s="34"/>
      <c r="H235" s="480">
        <v>4934</v>
      </c>
      <c r="I235" s="480" t="s">
        <v>414</v>
      </c>
      <c r="J235" s="486">
        <v>3</v>
      </c>
      <c r="K235" s="318">
        <v>740.1</v>
      </c>
      <c r="L235" s="482"/>
      <c r="M235" s="482">
        <f t="shared" si="93"/>
        <v>370.05</v>
      </c>
      <c r="N235" s="509">
        <f t="shared" si="77"/>
        <v>370.05</v>
      </c>
      <c r="O235" s="515">
        <v>399.89083199999999</v>
      </c>
      <c r="P235" s="483"/>
      <c r="Q235" s="483">
        <f t="shared" si="94"/>
        <v>199.94541599999999</v>
      </c>
      <c r="R235" s="514">
        <f t="shared" si="79"/>
        <v>199.94541599999999</v>
      </c>
      <c r="S235" s="515">
        <v>1713.0999138081784</v>
      </c>
      <c r="T235" s="483"/>
      <c r="U235" s="483">
        <f t="shared" si="95"/>
        <v>856.54995690408919</v>
      </c>
      <c r="V235" s="514">
        <f t="shared" si="81"/>
        <v>856.54995690408919</v>
      </c>
      <c r="W235" s="515">
        <v>2851.7811157245615</v>
      </c>
      <c r="X235" s="483"/>
      <c r="Y235" s="483">
        <f t="shared" si="96"/>
        <v>1425.8905578622807</v>
      </c>
      <c r="Z235" s="514">
        <f t="shared" si="83"/>
        <v>1425.8905578622807</v>
      </c>
      <c r="AA235" s="515">
        <v>2276.5651665888586</v>
      </c>
      <c r="AB235" s="483"/>
      <c r="AC235" s="483">
        <f t="shared" si="97"/>
        <v>1138.2825832944293</v>
      </c>
      <c r="AD235" s="514">
        <f t="shared" si="85"/>
        <v>1138.2825832944293</v>
      </c>
      <c r="AE235" s="515">
        <v>2682</v>
      </c>
      <c r="AF235" s="483"/>
      <c r="AG235" s="483">
        <f t="shared" si="98"/>
        <v>1341</v>
      </c>
      <c r="AH235" s="514">
        <f t="shared" si="87"/>
        <v>1341</v>
      </c>
      <c r="AI235" s="520">
        <v>3981.8245614035086</v>
      </c>
      <c r="AJ235" s="484"/>
      <c r="AK235" s="484">
        <f t="shared" si="99"/>
        <v>1990.9122807017543</v>
      </c>
      <c r="AL235" s="514">
        <f t="shared" si="89"/>
        <v>1990.9122807017543</v>
      </c>
      <c r="AM235" s="526">
        <v>2284.2592592592591</v>
      </c>
      <c r="AN235" s="485"/>
      <c r="AO235" s="485">
        <f t="shared" si="100"/>
        <v>1142.1296296296296</v>
      </c>
      <c r="AP235" s="514">
        <f t="shared" si="91"/>
        <v>1142.1296296296296</v>
      </c>
      <c r="AQ235" s="530">
        <f t="shared" si="92"/>
        <v>1990.9122807017543</v>
      </c>
    </row>
    <row r="236" spans="1:43" x14ac:dyDescent="0.55000000000000004">
      <c r="A236" s="316" t="s">
        <v>390</v>
      </c>
      <c r="B236" s="218" t="s">
        <v>391</v>
      </c>
      <c r="C236" s="218" t="s">
        <v>404</v>
      </c>
      <c r="D236" s="105" t="s">
        <v>405</v>
      </c>
      <c r="E236" s="100"/>
      <c r="F236" s="34"/>
      <c r="G236" s="34"/>
      <c r="H236" s="480">
        <v>0</v>
      </c>
      <c r="I236" s="480" t="s">
        <v>414</v>
      </c>
      <c r="J236" s="486">
        <v>4</v>
      </c>
      <c r="K236" s="318">
        <v>0</v>
      </c>
      <c r="L236" s="482">
        <f t="shared" si="76"/>
        <v>0</v>
      </c>
      <c r="M236" s="482"/>
      <c r="N236" s="509">
        <f t="shared" si="77"/>
        <v>0</v>
      </c>
      <c r="O236" s="515">
        <v>0</v>
      </c>
      <c r="P236" s="483">
        <f t="shared" si="78"/>
        <v>0</v>
      </c>
      <c r="Q236" s="483"/>
      <c r="R236" s="514">
        <f t="shared" si="79"/>
        <v>0</v>
      </c>
      <c r="S236" s="515">
        <v>0</v>
      </c>
      <c r="T236" s="483">
        <f t="shared" si="80"/>
        <v>0</v>
      </c>
      <c r="U236" s="483"/>
      <c r="V236" s="514">
        <f t="shared" si="81"/>
        <v>0</v>
      </c>
      <c r="W236" s="515">
        <v>0</v>
      </c>
      <c r="X236" s="483">
        <f t="shared" si="82"/>
        <v>0</v>
      </c>
      <c r="Y236" s="483"/>
      <c r="Z236" s="514">
        <f t="shared" si="83"/>
        <v>0</v>
      </c>
      <c r="AA236" s="515">
        <v>0</v>
      </c>
      <c r="AB236" s="483">
        <f t="shared" si="84"/>
        <v>0</v>
      </c>
      <c r="AC236" s="483"/>
      <c r="AD236" s="514">
        <f t="shared" si="85"/>
        <v>0</v>
      </c>
      <c r="AE236" s="515">
        <v>0</v>
      </c>
      <c r="AF236" s="483">
        <f t="shared" si="86"/>
        <v>0</v>
      </c>
      <c r="AG236" s="483"/>
      <c r="AH236" s="514">
        <f t="shared" si="87"/>
        <v>0</v>
      </c>
      <c r="AI236" s="520">
        <v>0</v>
      </c>
      <c r="AJ236" s="484">
        <f t="shared" si="88"/>
        <v>0</v>
      </c>
      <c r="AK236" s="484"/>
      <c r="AL236" s="514">
        <f t="shared" si="89"/>
        <v>0</v>
      </c>
      <c r="AM236" s="526">
        <v>0</v>
      </c>
      <c r="AN236" s="485">
        <f t="shared" si="90"/>
        <v>0</v>
      </c>
      <c r="AO236" s="485"/>
      <c r="AP236" s="514">
        <f t="shared" si="91"/>
        <v>0</v>
      </c>
      <c r="AQ236" s="530">
        <f t="shared" si="92"/>
        <v>0</v>
      </c>
    </row>
    <row r="237" spans="1:43" x14ac:dyDescent="0.55000000000000004">
      <c r="A237" s="316" t="s">
        <v>390</v>
      </c>
      <c r="B237" s="218" t="s">
        <v>391</v>
      </c>
      <c r="C237" s="218" t="s">
        <v>406</v>
      </c>
      <c r="D237" s="105" t="s">
        <v>407</v>
      </c>
      <c r="E237" s="100"/>
      <c r="F237" s="34"/>
      <c r="G237" s="34"/>
      <c r="H237" s="480">
        <v>375</v>
      </c>
      <c r="I237" s="480" t="s">
        <v>414</v>
      </c>
      <c r="J237" s="486">
        <v>3</v>
      </c>
      <c r="K237" s="318">
        <v>56.25</v>
      </c>
      <c r="L237" s="482"/>
      <c r="M237" s="482">
        <f t="shared" si="93"/>
        <v>28.125</v>
      </c>
      <c r="N237" s="509">
        <f t="shared" si="77"/>
        <v>28.125</v>
      </c>
      <c r="O237" s="515">
        <v>71.836050000000014</v>
      </c>
      <c r="P237" s="483"/>
      <c r="Q237" s="483">
        <f t="shared" si="94"/>
        <v>35.918025000000007</v>
      </c>
      <c r="R237" s="514">
        <f t="shared" si="79"/>
        <v>35.918025000000007</v>
      </c>
      <c r="S237" s="515">
        <v>154.24426865262288</v>
      </c>
      <c r="T237" s="483"/>
      <c r="U237" s="483">
        <f t="shared" si="95"/>
        <v>77.122134326311439</v>
      </c>
      <c r="V237" s="514">
        <f t="shared" si="81"/>
        <v>77.122134326311439</v>
      </c>
      <c r="W237" s="515">
        <v>72.83154889829467</v>
      </c>
      <c r="X237" s="483"/>
      <c r="Y237" s="483">
        <f t="shared" si="96"/>
        <v>36.415774449147335</v>
      </c>
      <c r="Z237" s="514">
        <f t="shared" si="83"/>
        <v>36.415774449147335</v>
      </c>
      <c r="AA237" s="515">
        <v>162.93212727173531</v>
      </c>
      <c r="AB237" s="483"/>
      <c r="AC237" s="483">
        <f t="shared" si="97"/>
        <v>81.466063635867656</v>
      </c>
      <c r="AD237" s="514">
        <f t="shared" si="85"/>
        <v>81.466063635867656</v>
      </c>
      <c r="AE237" s="515">
        <v>263</v>
      </c>
      <c r="AF237" s="483"/>
      <c r="AG237" s="483">
        <f t="shared" si="98"/>
        <v>131.5</v>
      </c>
      <c r="AH237" s="514">
        <f t="shared" si="87"/>
        <v>131.5</v>
      </c>
      <c r="AI237" s="520">
        <v>375</v>
      </c>
      <c r="AJ237" s="484"/>
      <c r="AK237" s="484">
        <f t="shared" si="99"/>
        <v>187.5</v>
      </c>
      <c r="AL237" s="514">
        <f t="shared" si="89"/>
        <v>187.5</v>
      </c>
      <c r="AM237" s="526">
        <v>295.13888888888886</v>
      </c>
      <c r="AN237" s="485"/>
      <c r="AO237" s="485">
        <f t="shared" si="100"/>
        <v>147.56944444444443</v>
      </c>
      <c r="AP237" s="514">
        <f t="shared" si="91"/>
        <v>147.56944444444443</v>
      </c>
      <c r="AQ237" s="530">
        <f t="shared" si="92"/>
        <v>187.5</v>
      </c>
    </row>
    <row r="238" spans="1:43" x14ac:dyDescent="0.55000000000000004">
      <c r="A238" s="316" t="s">
        <v>390</v>
      </c>
      <c r="B238" s="218" t="s">
        <v>391</v>
      </c>
      <c r="C238" s="218" t="s">
        <v>408</v>
      </c>
      <c r="D238" s="105" t="s">
        <v>409</v>
      </c>
      <c r="E238" s="100"/>
      <c r="F238" s="34"/>
      <c r="G238" s="34"/>
      <c r="H238" s="480">
        <v>2118.1428571428601</v>
      </c>
      <c r="I238" s="480" t="s">
        <v>414</v>
      </c>
      <c r="J238" s="486">
        <v>4</v>
      </c>
      <c r="K238" s="318">
        <v>317.72142857142899</v>
      </c>
      <c r="L238" s="482">
        <f t="shared" si="76"/>
        <v>317.72142857142899</v>
      </c>
      <c r="M238" s="482"/>
      <c r="N238" s="509">
        <f t="shared" si="77"/>
        <v>317.72142857142899</v>
      </c>
      <c r="O238" s="515">
        <v>426.52830900000049</v>
      </c>
      <c r="P238" s="483">
        <f t="shared" si="78"/>
        <v>426.52830900000049</v>
      </c>
      <c r="Q238" s="483"/>
      <c r="R238" s="514">
        <f t="shared" si="79"/>
        <v>426.52830900000049</v>
      </c>
      <c r="S238" s="515">
        <v>697.85443144825274</v>
      </c>
      <c r="T238" s="483">
        <f t="shared" si="80"/>
        <v>697.85443144825274</v>
      </c>
      <c r="U238" s="483"/>
      <c r="V238" s="514">
        <f t="shared" si="81"/>
        <v>697.85443144825274</v>
      </c>
      <c r="W238" s="515">
        <v>910.43538781819404</v>
      </c>
      <c r="X238" s="483">
        <f t="shared" si="82"/>
        <v>910.43538781819404</v>
      </c>
      <c r="Y238" s="483"/>
      <c r="Z238" s="514">
        <f t="shared" si="83"/>
        <v>0</v>
      </c>
      <c r="AA238" s="515">
        <v>1288.5202770589237</v>
      </c>
      <c r="AB238" s="483">
        <f t="shared" si="84"/>
        <v>1288.5202770589237</v>
      </c>
      <c r="AC238" s="483"/>
      <c r="AD238" s="514">
        <f t="shared" si="85"/>
        <v>1288.5202770589237</v>
      </c>
      <c r="AE238" s="515">
        <v>1551</v>
      </c>
      <c r="AF238" s="483">
        <f t="shared" si="86"/>
        <v>1551</v>
      </c>
      <c r="AG238" s="483"/>
      <c r="AH238" s="514">
        <f t="shared" si="87"/>
        <v>1551</v>
      </c>
      <c r="AI238" s="520">
        <v>2118.1428571428601</v>
      </c>
      <c r="AJ238" s="484">
        <f t="shared" si="88"/>
        <v>2118.1428571428601</v>
      </c>
      <c r="AK238" s="484"/>
      <c r="AL238" s="514">
        <f t="shared" si="89"/>
        <v>2118.1428571428601</v>
      </c>
      <c r="AM238" s="526">
        <v>1627.8320105820128</v>
      </c>
      <c r="AN238" s="485">
        <f t="shared" si="90"/>
        <v>1627.8320105820128</v>
      </c>
      <c r="AO238" s="485"/>
      <c r="AP238" s="514">
        <f t="shared" si="91"/>
        <v>1627.8320105820128</v>
      </c>
      <c r="AQ238" s="530">
        <f t="shared" si="92"/>
        <v>2118.1428571428601</v>
      </c>
    </row>
    <row r="239" spans="1:43" ht="14.7" thickBot="1" x14ac:dyDescent="0.6">
      <c r="A239" s="316" t="s">
        <v>390</v>
      </c>
      <c r="B239" s="218" t="s">
        <v>391</v>
      </c>
      <c r="C239" s="218" t="s">
        <v>410</v>
      </c>
      <c r="D239" s="105" t="s">
        <v>411</v>
      </c>
      <c r="E239" s="100"/>
      <c r="F239" s="34"/>
      <c r="G239" s="34"/>
      <c r="H239" s="480">
        <v>7750</v>
      </c>
      <c r="I239" s="480" t="s">
        <v>414</v>
      </c>
      <c r="J239" s="486">
        <v>3</v>
      </c>
      <c r="K239" s="318">
        <v>1162.5</v>
      </c>
      <c r="L239" s="482"/>
      <c r="M239" s="482">
        <f t="shared" si="93"/>
        <v>581.25</v>
      </c>
      <c r="N239" s="509">
        <f t="shared" si="77"/>
        <v>581.25</v>
      </c>
      <c r="O239" s="516">
        <v>1435.114</v>
      </c>
      <c r="P239" s="517"/>
      <c r="Q239" s="517">
        <f t="shared" si="94"/>
        <v>717.55700000000002</v>
      </c>
      <c r="R239" s="518">
        <f t="shared" si="79"/>
        <v>717.55700000000002</v>
      </c>
      <c r="S239" s="516">
        <v>2568.044207503222</v>
      </c>
      <c r="T239" s="517"/>
      <c r="U239" s="517">
        <f t="shared" si="95"/>
        <v>1284.022103751611</v>
      </c>
      <c r="V239" s="518">
        <f t="shared" si="81"/>
        <v>1284.022103751611</v>
      </c>
      <c r="W239" s="516">
        <v>1965.3678550191587</v>
      </c>
      <c r="X239" s="517"/>
      <c r="Y239" s="517">
        <f t="shared" si="96"/>
        <v>982.68392750957935</v>
      </c>
      <c r="Z239" s="518">
        <f t="shared" si="83"/>
        <v>982.68392750957935</v>
      </c>
      <c r="AA239" s="516">
        <v>3793.3158280108482</v>
      </c>
      <c r="AB239" s="517"/>
      <c r="AC239" s="517">
        <f t="shared" si="97"/>
        <v>1896.6579140054241</v>
      </c>
      <c r="AD239" s="518">
        <f t="shared" si="85"/>
        <v>1896.6579140054241</v>
      </c>
      <c r="AE239" s="516">
        <v>5936</v>
      </c>
      <c r="AF239" s="517"/>
      <c r="AG239" s="517">
        <f t="shared" si="98"/>
        <v>2968</v>
      </c>
      <c r="AH239" s="518">
        <f t="shared" si="87"/>
        <v>2968</v>
      </c>
      <c r="AI239" s="521">
        <v>5904.7619047619046</v>
      </c>
      <c r="AJ239" s="522"/>
      <c r="AK239" s="522">
        <f t="shared" si="99"/>
        <v>2952.3809523809523</v>
      </c>
      <c r="AL239" s="518">
        <f t="shared" si="89"/>
        <v>2952.3809523809523</v>
      </c>
      <c r="AM239" s="527">
        <v>5812.5</v>
      </c>
      <c r="AN239" s="528"/>
      <c r="AO239" s="528">
        <f t="shared" si="100"/>
        <v>2906.25</v>
      </c>
      <c r="AP239" s="518">
        <f t="shared" si="91"/>
        <v>2906.25</v>
      </c>
      <c r="AQ239" s="531">
        <f t="shared" si="92"/>
        <v>2968</v>
      </c>
    </row>
  </sheetData>
  <mergeCells count="2">
    <mergeCell ref="A1:F1"/>
    <mergeCell ref="H1:I1"/>
  </mergeCells>
  <pageMargins left="0.7" right="0.7" top="0.75" bottom="0.75" header="0.3" footer="0.3"/>
  <ignoredErrors>
    <ignoredError sqref="O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3EF6-E570-4102-AA05-5D33231F1D1C}">
  <sheetPr>
    <tabColor rgb="FFC00000"/>
  </sheetPr>
  <dimension ref="A1:AQ239"/>
  <sheetViews>
    <sheetView zoomScale="80" zoomScaleNormal="80" workbookViewId="0">
      <selection activeCell="AQ1" sqref="AQ1:AQ239"/>
    </sheetView>
  </sheetViews>
  <sheetFormatPr defaultRowHeight="14.4" x14ac:dyDescent="0.55000000000000004"/>
  <cols>
    <col min="1" max="1" width="21.41796875" style="103" bestFit="1" customWidth="1"/>
    <col min="2" max="2" width="12.41796875" style="103" bestFit="1" customWidth="1"/>
    <col min="3" max="3" width="18.15625" style="103" bestFit="1" customWidth="1"/>
    <col min="4" max="4" width="12.41796875" style="103" bestFit="1" customWidth="1"/>
    <col min="5" max="5" width="6.15625" style="20" bestFit="1" customWidth="1"/>
    <col min="6" max="6" width="7.15625" style="20" bestFit="1" customWidth="1"/>
    <col min="7" max="7" width="16.41796875" style="20" bestFit="1" customWidth="1"/>
    <col min="8" max="8" width="11.578125" style="487" bestFit="1" customWidth="1"/>
    <col min="9" max="9" width="12.15625" style="487" bestFit="1" customWidth="1"/>
    <col min="10" max="10" width="13.26171875" style="487" bestFit="1" customWidth="1"/>
    <col min="11" max="11" width="13.41796875" style="488" bestFit="1" customWidth="1"/>
    <col min="12" max="12" width="13.15625" style="488" bestFit="1" customWidth="1"/>
    <col min="13" max="13" width="12.68359375" style="488" bestFit="1" customWidth="1"/>
    <col min="14" max="14" width="11.26171875" style="538" bestFit="1" customWidth="1"/>
    <col min="15" max="15" width="13.41796875" style="487" bestFit="1" customWidth="1"/>
    <col min="16" max="16" width="13.41796875" style="487" customWidth="1"/>
    <col min="17" max="17" width="12.68359375" style="487" bestFit="1" customWidth="1"/>
    <col min="18" max="18" width="13.41796875" style="539" customWidth="1"/>
    <col min="19" max="19" width="13.41796875" style="487" bestFit="1" customWidth="1"/>
    <col min="20" max="20" width="13.41796875" style="487" customWidth="1"/>
    <col min="21" max="21" width="12.68359375" style="487" bestFit="1" customWidth="1"/>
    <col min="22" max="22" width="13.41796875" style="539" customWidth="1"/>
    <col min="23" max="23" width="15.578125" style="487" bestFit="1" customWidth="1"/>
    <col min="24" max="25" width="15.83984375" style="487" bestFit="1" customWidth="1"/>
    <col min="26" max="26" width="11.26171875" style="539" bestFit="1" customWidth="1"/>
    <col min="27" max="27" width="13.41796875" style="487" bestFit="1" customWidth="1"/>
    <col min="28" max="28" width="13.41796875" style="487" customWidth="1"/>
    <col min="29" max="29" width="12.68359375" style="487" bestFit="1" customWidth="1"/>
    <col min="30" max="30" width="13.41796875" style="539" customWidth="1"/>
    <col min="31" max="31" width="13.83984375" style="487" bestFit="1" customWidth="1"/>
    <col min="32" max="33" width="14" style="487" customWidth="1"/>
    <col min="34" max="34" width="13.41796875" style="539" bestFit="1" customWidth="1"/>
    <col min="35" max="36" width="13.41796875" style="487" bestFit="1" customWidth="1"/>
    <col min="37" max="37" width="12.68359375" style="487" bestFit="1" customWidth="1"/>
    <col min="38" max="38" width="13.41796875" style="539" bestFit="1" customWidth="1"/>
    <col min="39" max="39" width="13.41796875" style="487" bestFit="1" customWidth="1"/>
    <col min="40" max="40" width="13.41796875" style="487" customWidth="1"/>
    <col min="41" max="41" width="12.68359375" style="487" bestFit="1" customWidth="1"/>
    <col min="42" max="42" width="13.41796875" style="539" bestFit="1" customWidth="1"/>
    <col min="43" max="43" width="13.41796875" style="431" bestFit="1" customWidth="1"/>
  </cols>
  <sheetData>
    <row r="1" spans="1:43" ht="20.5" customHeight="1" thickBot="1" x14ac:dyDescent="0.65">
      <c r="A1" s="773" t="s">
        <v>61</v>
      </c>
      <c r="B1" s="773"/>
      <c r="C1" s="773"/>
      <c r="D1" s="773"/>
      <c r="E1" s="773"/>
      <c r="F1" s="773"/>
      <c r="G1" s="468"/>
      <c r="H1" s="774" t="s">
        <v>62</v>
      </c>
      <c r="I1" s="774"/>
      <c r="J1" s="493"/>
      <c r="K1" s="499">
        <f>SUM(K3:K239)</f>
        <v>1359005.6654804838</v>
      </c>
      <c r="L1" s="500">
        <f t="shared" ref="L1:AQ1" si="0">SUM(L3:L239)</f>
        <v>876005.05286696472</v>
      </c>
      <c r="M1" s="500">
        <f t="shared" si="0"/>
        <v>72626.14044692897</v>
      </c>
      <c r="N1" s="534">
        <f t="shared" si="0"/>
        <v>948631.19331389375</v>
      </c>
      <c r="O1" s="494">
        <f t="shared" si="0"/>
        <v>2435900.2640912938</v>
      </c>
      <c r="P1" s="476">
        <f t="shared" si="0"/>
        <v>1211253.0251154248</v>
      </c>
      <c r="Q1" s="476">
        <f t="shared" si="0"/>
        <v>248821.45241947714</v>
      </c>
      <c r="R1" s="540">
        <f t="shared" si="0"/>
        <v>1460074.4775349027</v>
      </c>
      <c r="S1" s="499">
        <f t="shared" si="0"/>
        <v>5250932.6034867046</v>
      </c>
      <c r="T1" s="500">
        <f t="shared" si="0"/>
        <v>2390499.4400632386</v>
      </c>
      <c r="U1" s="500">
        <f t="shared" si="0"/>
        <v>468583.07145084301</v>
      </c>
      <c r="V1" s="534">
        <f t="shared" si="0"/>
        <v>2859082.5115140821</v>
      </c>
      <c r="W1" s="499">
        <f t="shared" si="0"/>
        <v>7650961.5530535178</v>
      </c>
      <c r="X1" s="500">
        <f t="shared" si="0"/>
        <v>4009111.5008136625</v>
      </c>
      <c r="Y1" s="500">
        <f t="shared" si="0"/>
        <v>675829.92966934072</v>
      </c>
      <c r="Z1" s="534">
        <f t="shared" si="0"/>
        <v>675829.92966934072</v>
      </c>
      <c r="AA1" s="499">
        <f t="shared" si="0"/>
        <v>6269692.2333403639</v>
      </c>
      <c r="AB1" s="500">
        <f t="shared" si="0"/>
        <v>2989064.2378968713</v>
      </c>
      <c r="AC1" s="500">
        <f t="shared" si="0"/>
        <v>517229.07958941947</v>
      </c>
      <c r="AD1" s="534">
        <f t="shared" si="0"/>
        <v>3506293.3174862899</v>
      </c>
      <c r="AE1" s="499">
        <f t="shared" si="0"/>
        <v>4867750</v>
      </c>
      <c r="AF1" s="500">
        <f t="shared" si="0"/>
        <v>2567132</v>
      </c>
      <c r="AG1" s="500">
        <f t="shared" si="0"/>
        <v>374746</v>
      </c>
      <c r="AH1" s="534">
        <f t="shared" si="0"/>
        <v>2941878</v>
      </c>
      <c r="AI1" s="499">
        <f t="shared" si="0"/>
        <v>6669355.3914749231</v>
      </c>
      <c r="AJ1" s="500">
        <f t="shared" si="0"/>
        <v>3242636.8151461333</v>
      </c>
      <c r="AK1" s="500">
        <f t="shared" si="0"/>
        <v>538597.59087225818</v>
      </c>
      <c r="AL1" s="534">
        <f t="shared" si="0"/>
        <v>3781234.4060183908</v>
      </c>
      <c r="AM1" s="499">
        <f t="shared" si="0"/>
        <v>6806494.7796443868</v>
      </c>
      <c r="AN1" s="500">
        <f t="shared" si="0"/>
        <v>3190560.0171291395</v>
      </c>
      <c r="AO1" s="500">
        <f t="shared" si="0"/>
        <v>568262.06135483098</v>
      </c>
      <c r="AP1" s="534">
        <f t="shared" si="0"/>
        <v>3758822.0784839713</v>
      </c>
      <c r="AQ1" s="548">
        <f t="shared" si="0"/>
        <v>5044682.515334486</v>
      </c>
    </row>
    <row r="2" spans="1:43" ht="60.6" thickTop="1" thickBot="1" x14ac:dyDescent="0.6">
      <c r="A2" s="454" t="s">
        <v>75</v>
      </c>
      <c r="B2" s="452" t="s">
        <v>76</v>
      </c>
      <c r="C2" s="452" t="s">
        <v>77</v>
      </c>
      <c r="D2" s="452" t="s">
        <v>78</v>
      </c>
      <c r="E2" s="452" t="s">
        <v>79</v>
      </c>
      <c r="F2" s="452" t="s">
        <v>80</v>
      </c>
      <c r="G2" s="452" t="s">
        <v>228</v>
      </c>
      <c r="H2" s="477" t="s">
        <v>431</v>
      </c>
      <c r="I2" s="451" t="s">
        <v>82</v>
      </c>
      <c r="J2" s="460" t="s">
        <v>475</v>
      </c>
      <c r="K2" s="502" t="s">
        <v>83</v>
      </c>
      <c r="L2" s="478" t="s">
        <v>485</v>
      </c>
      <c r="M2" s="478" t="s">
        <v>486</v>
      </c>
      <c r="N2" s="535"/>
      <c r="O2" s="478" t="s">
        <v>56</v>
      </c>
      <c r="P2" s="478" t="s">
        <v>485</v>
      </c>
      <c r="Q2" s="478" t="s">
        <v>486</v>
      </c>
      <c r="R2" s="479"/>
      <c r="S2" s="502" t="s">
        <v>84</v>
      </c>
      <c r="T2" s="478" t="s">
        <v>485</v>
      </c>
      <c r="U2" s="478" t="s">
        <v>486</v>
      </c>
      <c r="V2" s="542"/>
      <c r="W2" s="502" t="s">
        <v>85</v>
      </c>
      <c r="X2" s="478" t="s">
        <v>485</v>
      </c>
      <c r="Y2" s="478" t="s">
        <v>486</v>
      </c>
      <c r="Z2" s="542"/>
      <c r="AA2" s="502" t="s">
        <v>86</v>
      </c>
      <c r="AB2" s="478" t="s">
        <v>485</v>
      </c>
      <c r="AC2" s="478" t="s">
        <v>486</v>
      </c>
      <c r="AD2" s="542"/>
      <c r="AE2" s="502" t="s">
        <v>87</v>
      </c>
      <c r="AF2" s="478" t="s">
        <v>485</v>
      </c>
      <c r="AG2" s="478" t="s">
        <v>486</v>
      </c>
      <c r="AH2" s="542"/>
      <c r="AI2" s="502" t="s">
        <v>88</v>
      </c>
      <c r="AJ2" s="478" t="s">
        <v>485</v>
      </c>
      <c r="AK2" s="478" t="s">
        <v>486</v>
      </c>
      <c r="AL2" s="542"/>
      <c r="AM2" s="523" t="s">
        <v>89</v>
      </c>
      <c r="AN2" s="478" t="s">
        <v>485</v>
      </c>
      <c r="AO2" s="478" t="s">
        <v>486</v>
      </c>
      <c r="AP2" s="547"/>
      <c r="AQ2" s="529" t="s">
        <v>476</v>
      </c>
    </row>
    <row r="3" spans="1:43" ht="27.9" thickTop="1" x14ac:dyDescent="0.55000000000000004">
      <c r="A3" s="259" t="s">
        <v>233</v>
      </c>
      <c r="B3" s="218" t="s">
        <v>234</v>
      </c>
      <c r="C3" s="260" t="s">
        <v>233</v>
      </c>
      <c r="D3" s="260" t="s">
        <v>235</v>
      </c>
      <c r="E3" s="100"/>
      <c r="F3" s="34"/>
      <c r="G3" s="34"/>
      <c r="H3" s="480">
        <v>122221.68957757292</v>
      </c>
      <c r="I3" s="481" t="s">
        <v>412</v>
      </c>
      <c r="J3" s="489">
        <v>1</v>
      </c>
      <c r="K3" s="503">
        <v>30000</v>
      </c>
      <c r="L3" s="482">
        <f>K3</f>
        <v>30000</v>
      </c>
      <c r="M3" s="482"/>
      <c r="N3" s="536">
        <f>SUM(L3:M3)</f>
        <v>30000</v>
      </c>
      <c r="O3" s="495">
        <v>26008.775542107513</v>
      </c>
      <c r="P3" s="483">
        <f>O3</f>
        <v>26008.775542107513</v>
      </c>
      <c r="Q3" s="483"/>
      <c r="R3" s="541">
        <f>SUM(P3:Q3)</f>
        <v>26008.775542107513</v>
      </c>
      <c r="S3" s="513">
        <v>45256.130915601672</v>
      </c>
      <c r="T3" s="483">
        <f>S3</f>
        <v>45256.130915601672</v>
      </c>
      <c r="U3" s="483"/>
      <c r="V3" s="543">
        <f>SUM(T3:U3)</f>
        <v>45256.130915601672</v>
      </c>
      <c r="W3" s="513">
        <v>75443.064683122982</v>
      </c>
      <c r="X3" s="483">
        <f>W3</f>
        <v>75443.064683122982</v>
      </c>
      <c r="Y3" s="483"/>
      <c r="Z3" s="543">
        <f>SUM(Y3)</f>
        <v>0</v>
      </c>
      <c r="AA3" s="513">
        <v>85561.698971807957</v>
      </c>
      <c r="AB3" s="483">
        <f>AA3</f>
        <v>85561.698971807957</v>
      </c>
      <c r="AC3" s="483"/>
      <c r="AD3" s="543">
        <f>SUM(AB3:AC3)</f>
        <v>85561.698971807957</v>
      </c>
      <c r="AE3" s="513">
        <v>84755</v>
      </c>
      <c r="AF3" s="483">
        <f>AE3</f>
        <v>84755</v>
      </c>
      <c r="AG3" s="483"/>
      <c r="AH3" s="543">
        <f>SUM(AF3:AG3)</f>
        <v>84755</v>
      </c>
      <c r="AI3" s="519">
        <v>76068.04456226567</v>
      </c>
      <c r="AJ3" s="484">
        <f>AI3</f>
        <v>76068.04456226567</v>
      </c>
      <c r="AK3" s="484"/>
      <c r="AL3" s="545">
        <f>SUM(AJ3:AK3)</f>
        <v>76068.04456226567</v>
      </c>
      <c r="AM3" s="525">
        <v>47530.65705794502</v>
      </c>
      <c r="AN3" s="485">
        <f>AM3</f>
        <v>47530.65705794502</v>
      </c>
      <c r="AO3" s="485"/>
      <c r="AP3" s="543">
        <f>SUM(AN3:AO3)</f>
        <v>47530.65705794502</v>
      </c>
      <c r="AQ3" s="530">
        <f>MAX(N3,R3,V3,Z3,AD3,AH3,AL3,AP3)</f>
        <v>85561.698971807957</v>
      </c>
    </row>
    <row r="4" spans="1:43" x14ac:dyDescent="0.55000000000000004">
      <c r="A4" s="259" t="s">
        <v>236</v>
      </c>
      <c r="B4" s="218" t="s">
        <v>237</v>
      </c>
      <c r="C4" s="260" t="s">
        <v>238</v>
      </c>
      <c r="D4" s="260" t="s">
        <v>239</v>
      </c>
      <c r="E4" s="100"/>
      <c r="F4" s="34"/>
      <c r="G4" s="34"/>
      <c r="H4" s="480">
        <v>185655.53028576757</v>
      </c>
      <c r="I4" s="481" t="s">
        <v>412</v>
      </c>
      <c r="J4" s="489">
        <v>4</v>
      </c>
      <c r="K4" s="503">
        <v>143125</v>
      </c>
      <c r="L4" s="482"/>
      <c r="M4" s="482"/>
      <c r="N4" s="536">
        <f t="shared" ref="N4:N67" si="1">SUM(L4:M4)</f>
        <v>0</v>
      </c>
      <c r="O4" s="495">
        <v>20629.114247703066</v>
      </c>
      <c r="P4" s="483"/>
      <c r="Q4" s="483"/>
      <c r="R4" s="541">
        <f t="shared" ref="R4:R67" si="2">SUM(P4:Q4)</f>
        <v>0</v>
      </c>
      <c r="S4" s="513">
        <v>55663.994410481486</v>
      </c>
      <c r="T4" s="483"/>
      <c r="U4" s="483"/>
      <c r="V4" s="543">
        <f t="shared" ref="V4:V67" si="3">SUM(T4:U4)</f>
        <v>0</v>
      </c>
      <c r="W4" s="513">
        <v>130641.61559673256</v>
      </c>
      <c r="X4" s="483"/>
      <c r="Y4" s="483"/>
      <c r="Z4" s="543">
        <f t="shared" ref="Z4:Z67" si="4">SUM(Y4)</f>
        <v>0</v>
      </c>
      <c r="AA4" s="513">
        <v>102957.42828930625</v>
      </c>
      <c r="AB4" s="483"/>
      <c r="AC4" s="483"/>
      <c r="AD4" s="543">
        <f t="shared" ref="AD4:AD67" si="5">SUM(AB4:AC4)</f>
        <v>0</v>
      </c>
      <c r="AE4" s="513">
        <v>125516</v>
      </c>
      <c r="AF4" s="483"/>
      <c r="AG4" s="483"/>
      <c r="AH4" s="543">
        <f t="shared" ref="AH4:AH67" si="6">SUM(AF4:AG4)</f>
        <v>0</v>
      </c>
      <c r="AI4" s="519">
        <v>156584.91344386805</v>
      </c>
      <c r="AJ4" s="484"/>
      <c r="AK4" s="484"/>
      <c r="AL4" s="545">
        <f t="shared" ref="AL4:AL67" si="7">SUM(AJ4:AK4)</f>
        <v>0</v>
      </c>
      <c r="AM4" s="525">
        <v>72574.434566254567</v>
      </c>
      <c r="AN4" s="485"/>
      <c r="AO4" s="485"/>
      <c r="AP4" s="543">
        <f t="shared" ref="AP4:AP67" si="8">SUM(AN4:AO4)</f>
        <v>0</v>
      </c>
      <c r="AQ4" s="530">
        <f t="shared" ref="AQ4:AQ67" si="9">MAX(N4,R4,V4,Z4,AD4,AH4,AL4,AP4)</f>
        <v>0</v>
      </c>
    </row>
    <row r="5" spans="1:43" x14ac:dyDescent="0.55000000000000004">
      <c r="A5" s="259" t="s">
        <v>236</v>
      </c>
      <c r="B5" s="218" t="s">
        <v>237</v>
      </c>
      <c r="C5" s="260" t="s">
        <v>240</v>
      </c>
      <c r="D5" s="105" t="s">
        <v>241</v>
      </c>
      <c r="E5" s="100"/>
      <c r="F5" s="34"/>
      <c r="G5" s="34"/>
      <c r="H5" s="480">
        <v>16311.747528959717</v>
      </c>
      <c r="I5" s="481" t="s">
        <v>412</v>
      </c>
      <c r="J5" s="489">
        <v>5</v>
      </c>
      <c r="K5" s="503">
        <v>0</v>
      </c>
      <c r="L5" s="482"/>
      <c r="M5" s="482"/>
      <c r="N5" s="536">
        <f t="shared" si="1"/>
        <v>0</v>
      </c>
      <c r="O5" s="495">
        <v>1218.1221572686422</v>
      </c>
      <c r="P5" s="483"/>
      <c r="Q5" s="483"/>
      <c r="R5" s="541">
        <f t="shared" si="2"/>
        <v>0</v>
      </c>
      <c r="S5" s="513">
        <v>5483.0313173129834</v>
      </c>
      <c r="T5" s="483"/>
      <c r="U5" s="483"/>
      <c r="V5" s="543">
        <f t="shared" si="3"/>
        <v>0</v>
      </c>
      <c r="W5" s="513">
        <v>11295.239262162</v>
      </c>
      <c r="X5" s="483"/>
      <c r="Y5" s="483"/>
      <c r="Z5" s="543">
        <f t="shared" si="4"/>
        <v>0</v>
      </c>
      <c r="AA5" s="513">
        <v>8641.7640411393641</v>
      </c>
      <c r="AB5" s="483"/>
      <c r="AC5" s="483"/>
      <c r="AD5" s="543">
        <f t="shared" si="5"/>
        <v>0</v>
      </c>
      <c r="AE5" s="513">
        <v>12061</v>
      </c>
      <c r="AF5" s="483"/>
      <c r="AG5" s="483"/>
      <c r="AH5" s="543">
        <f t="shared" si="6"/>
        <v>0</v>
      </c>
      <c r="AI5" s="519">
        <v>11514.174726324505</v>
      </c>
      <c r="AJ5" s="484"/>
      <c r="AK5" s="484"/>
      <c r="AL5" s="545">
        <f t="shared" si="7"/>
        <v>0</v>
      </c>
      <c r="AM5" s="525">
        <v>13291.053542115327</v>
      </c>
      <c r="AN5" s="485"/>
      <c r="AO5" s="485"/>
      <c r="AP5" s="543">
        <f t="shared" si="8"/>
        <v>0</v>
      </c>
      <c r="AQ5" s="530">
        <f t="shared" si="9"/>
        <v>0</v>
      </c>
    </row>
    <row r="6" spans="1:43" x14ac:dyDescent="0.55000000000000004">
      <c r="A6" s="259" t="s">
        <v>236</v>
      </c>
      <c r="B6" s="218" t="s">
        <v>237</v>
      </c>
      <c r="C6" s="260" t="s">
        <v>242</v>
      </c>
      <c r="D6" s="105" t="s">
        <v>243</v>
      </c>
      <c r="E6" s="100"/>
      <c r="F6" s="34"/>
      <c r="G6" s="34"/>
      <c r="H6" s="480">
        <v>7434.8763775539119</v>
      </c>
      <c r="I6" s="481" t="s">
        <v>412</v>
      </c>
      <c r="J6" s="489">
        <v>5</v>
      </c>
      <c r="K6" s="503">
        <v>0</v>
      </c>
      <c r="L6" s="482"/>
      <c r="M6" s="482"/>
      <c r="N6" s="536">
        <f t="shared" si="1"/>
        <v>0</v>
      </c>
      <c r="O6" s="495">
        <v>981.68620713946348</v>
      </c>
      <c r="P6" s="483"/>
      <c r="Q6" s="483"/>
      <c r="R6" s="541">
        <f t="shared" si="2"/>
        <v>0</v>
      </c>
      <c r="S6" s="513">
        <v>3016.7293663498526</v>
      </c>
      <c r="T6" s="483"/>
      <c r="U6" s="483"/>
      <c r="V6" s="543">
        <f t="shared" si="3"/>
        <v>0</v>
      </c>
      <c r="W6" s="513">
        <v>4690.9435850029386</v>
      </c>
      <c r="X6" s="483"/>
      <c r="Y6" s="483"/>
      <c r="Z6" s="543">
        <f t="shared" si="4"/>
        <v>0</v>
      </c>
      <c r="AA6" s="513">
        <v>3386.0205108896025</v>
      </c>
      <c r="AB6" s="483"/>
      <c r="AC6" s="483"/>
      <c r="AD6" s="543">
        <f t="shared" si="5"/>
        <v>0</v>
      </c>
      <c r="AE6" s="513">
        <v>5948</v>
      </c>
      <c r="AF6" s="483"/>
      <c r="AG6" s="483"/>
      <c r="AH6" s="543">
        <f t="shared" si="6"/>
        <v>0</v>
      </c>
      <c r="AI6" s="519">
        <v>4687.2046728057267</v>
      </c>
      <c r="AJ6" s="484"/>
      <c r="AK6" s="484"/>
      <c r="AL6" s="545">
        <f t="shared" si="7"/>
        <v>0</v>
      </c>
      <c r="AM6" s="525">
        <v>4405.8526681800959</v>
      </c>
      <c r="AN6" s="485"/>
      <c r="AO6" s="485"/>
      <c r="AP6" s="543">
        <f t="shared" si="8"/>
        <v>0</v>
      </c>
      <c r="AQ6" s="530">
        <f t="shared" si="9"/>
        <v>0</v>
      </c>
    </row>
    <row r="7" spans="1:43" x14ac:dyDescent="0.55000000000000004">
      <c r="A7" s="316" t="s">
        <v>236</v>
      </c>
      <c r="B7" s="218" t="s">
        <v>237</v>
      </c>
      <c r="C7" s="218" t="s">
        <v>244</v>
      </c>
      <c r="D7" s="105" t="s">
        <v>245</v>
      </c>
      <c r="E7" s="100"/>
      <c r="F7" s="34"/>
      <c r="G7" s="34"/>
      <c r="H7" s="480">
        <v>10995.852324765609</v>
      </c>
      <c r="I7" s="480" t="s">
        <v>412</v>
      </c>
      <c r="J7" s="490">
        <v>5</v>
      </c>
      <c r="K7" s="504">
        <v>10003.75</v>
      </c>
      <c r="L7" s="482"/>
      <c r="M7" s="482"/>
      <c r="N7" s="536">
        <f t="shared" si="1"/>
        <v>0</v>
      </c>
      <c r="O7" s="496">
        <v>1946.0349485846925</v>
      </c>
      <c r="P7" s="483"/>
      <c r="Q7" s="483"/>
      <c r="R7" s="541">
        <f t="shared" si="2"/>
        <v>0</v>
      </c>
      <c r="S7" s="515">
        <v>3652.351679331086</v>
      </c>
      <c r="T7" s="483"/>
      <c r="U7" s="483"/>
      <c r="V7" s="543">
        <f t="shared" si="3"/>
        <v>0</v>
      </c>
      <c r="W7" s="515">
        <v>7470.4403267122298</v>
      </c>
      <c r="X7" s="483"/>
      <c r="Y7" s="483"/>
      <c r="Z7" s="543">
        <f t="shared" si="4"/>
        <v>0</v>
      </c>
      <c r="AA7" s="515">
        <v>7139.7875687378446</v>
      </c>
      <c r="AB7" s="483"/>
      <c r="AC7" s="483"/>
      <c r="AD7" s="543">
        <f t="shared" si="5"/>
        <v>0</v>
      </c>
      <c r="AE7" s="515">
        <v>8797</v>
      </c>
      <c r="AF7" s="483"/>
      <c r="AG7" s="483"/>
      <c r="AH7" s="543">
        <f t="shared" si="6"/>
        <v>0</v>
      </c>
      <c r="AI7" s="520">
        <v>10472.24030930058</v>
      </c>
      <c r="AJ7" s="484"/>
      <c r="AK7" s="484"/>
      <c r="AL7" s="545">
        <f t="shared" si="7"/>
        <v>0</v>
      </c>
      <c r="AM7" s="526">
        <v>6210.620294543538</v>
      </c>
      <c r="AN7" s="485"/>
      <c r="AO7" s="485"/>
      <c r="AP7" s="543">
        <f t="shared" si="8"/>
        <v>0</v>
      </c>
      <c r="AQ7" s="530">
        <f t="shared" si="9"/>
        <v>0</v>
      </c>
    </row>
    <row r="8" spans="1:43" x14ac:dyDescent="0.55000000000000004">
      <c r="A8" s="316" t="s">
        <v>236</v>
      </c>
      <c r="B8" s="218" t="s">
        <v>237</v>
      </c>
      <c r="C8" s="218" t="s">
        <v>246</v>
      </c>
      <c r="D8" s="105" t="s">
        <v>247</v>
      </c>
      <c r="E8" s="100"/>
      <c r="F8" s="34"/>
      <c r="G8" s="34"/>
      <c r="H8" s="480">
        <v>13333.613326350463</v>
      </c>
      <c r="I8" s="480" t="s">
        <v>412</v>
      </c>
      <c r="J8" s="490">
        <v>4</v>
      </c>
      <c r="K8" s="504">
        <v>0</v>
      </c>
      <c r="L8" s="482"/>
      <c r="M8" s="482"/>
      <c r="N8" s="536">
        <f t="shared" si="1"/>
        <v>0</v>
      </c>
      <c r="O8" s="496">
        <v>3537.4742835474094</v>
      </c>
      <c r="P8" s="483"/>
      <c r="Q8" s="483"/>
      <c r="R8" s="541">
        <f t="shared" si="2"/>
        <v>0</v>
      </c>
      <c r="S8" s="515">
        <v>3921.0295061368129</v>
      </c>
      <c r="T8" s="483"/>
      <c r="U8" s="483"/>
      <c r="V8" s="543">
        <f t="shared" si="3"/>
        <v>0</v>
      </c>
      <c r="W8" s="515">
        <v>8587.0091798293361</v>
      </c>
      <c r="X8" s="483"/>
      <c r="Y8" s="483"/>
      <c r="Z8" s="543">
        <f t="shared" si="4"/>
        <v>0</v>
      </c>
      <c r="AA8" s="515">
        <v>6819.088880858395</v>
      </c>
      <c r="AB8" s="483"/>
      <c r="AC8" s="483"/>
      <c r="AD8" s="543">
        <f t="shared" si="5"/>
        <v>0</v>
      </c>
      <c r="AE8" s="515">
        <v>8429</v>
      </c>
      <c r="AF8" s="483"/>
      <c r="AG8" s="483"/>
      <c r="AH8" s="543">
        <f t="shared" si="6"/>
        <v>0</v>
      </c>
      <c r="AI8" s="520">
        <v>11111.344438625387</v>
      </c>
      <c r="AJ8" s="484"/>
      <c r="AK8" s="484"/>
      <c r="AL8" s="545">
        <f t="shared" si="7"/>
        <v>0</v>
      </c>
      <c r="AM8" s="526">
        <v>4814.9159234043336</v>
      </c>
      <c r="AN8" s="485"/>
      <c r="AO8" s="485"/>
      <c r="AP8" s="543">
        <f t="shared" si="8"/>
        <v>0</v>
      </c>
      <c r="AQ8" s="530">
        <f t="shared" si="9"/>
        <v>0</v>
      </c>
    </row>
    <row r="9" spans="1:43" x14ac:dyDescent="0.55000000000000004">
      <c r="A9" s="316" t="s">
        <v>236</v>
      </c>
      <c r="B9" s="218" t="s">
        <v>237</v>
      </c>
      <c r="C9" s="218" t="s">
        <v>248</v>
      </c>
      <c r="D9" s="105" t="s">
        <v>249</v>
      </c>
      <c r="E9" s="100"/>
      <c r="F9" s="34"/>
      <c r="G9" s="34"/>
      <c r="H9" s="480">
        <v>38535.006634969555</v>
      </c>
      <c r="I9" s="480" t="s">
        <v>412</v>
      </c>
      <c r="J9" s="490">
        <v>5</v>
      </c>
      <c r="K9" s="504">
        <v>6856.25</v>
      </c>
      <c r="L9" s="482"/>
      <c r="M9" s="482"/>
      <c r="N9" s="536">
        <f t="shared" si="1"/>
        <v>0</v>
      </c>
      <c r="O9" s="496">
        <v>6751.5258374798414</v>
      </c>
      <c r="P9" s="483"/>
      <c r="Q9" s="483"/>
      <c r="R9" s="541">
        <f t="shared" si="2"/>
        <v>0</v>
      </c>
      <c r="S9" s="515">
        <v>13241.129960863167</v>
      </c>
      <c r="T9" s="483"/>
      <c r="U9" s="483"/>
      <c r="V9" s="543">
        <f t="shared" si="3"/>
        <v>0</v>
      </c>
      <c r="W9" s="515">
        <v>18936.823915437224</v>
      </c>
      <c r="X9" s="483"/>
      <c r="Y9" s="483"/>
      <c r="Z9" s="543">
        <f t="shared" si="4"/>
        <v>0</v>
      </c>
      <c r="AA9" s="515">
        <v>17789.683120040547</v>
      </c>
      <c r="AB9" s="483"/>
      <c r="AC9" s="483"/>
      <c r="AD9" s="543">
        <f t="shared" si="5"/>
        <v>0</v>
      </c>
      <c r="AE9" s="515">
        <v>15408</v>
      </c>
      <c r="AF9" s="483"/>
      <c r="AG9" s="483"/>
      <c r="AH9" s="543">
        <f t="shared" si="6"/>
        <v>0</v>
      </c>
      <c r="AI9" s="520">
        <v>25047.754312730212</v>
      </c>
      <c r="AJ9" s="484"/>
      <c r="AK9" s="484"/>
      <c r="AL9" s="545">
        <f t="shared" si="7"/>
        <v>0</v>
      </c>
      <c r="AM9" s="526">
        <v>31398.894295160375</v>
      </c>
      <c r="AN9" s="485"/>
      <c r="AO9" s="485"/>
      <c r="AP9" s="543">
        <f t="shared" si="8"/>
        <v>0</v>
      </c>
      <c r="AQ9" s="530">
        <f t="shared" si="9"/>
        <v>0</v>
      </c>
    </row>
    <row r="10" spans="1:43" x14ac:dyDescent="0.55000000000000004">
      <c r="A10" s="316" t="s">
        <v>250</v>
      </c>
      <c r="B10" s="218" t="s">
        <v>251</v>
      </c>
      <c r="C10" s="218" t="s">
        <v>252</v>
      </c>
      <c r="D10" s="105" t="s">
        <v>253</v>
      </c>
      <c r="E10" s="100"/>
      <c r="F10" s="34"/>
      <c r="G10" s="34"/>
      <c r="H10" s="480">
        <v>4566.5835894145539</v>
      </c>
      <c r="I10" s="480" t="s">
        <v>412</v>
      </c>
      <c r="J10" s="490">
        <v>4</v>
      </c>
      <c r="K10" s="504">
        <v>0</v>
      </c>
      <c r="L10" s="482"/>
      <c r="M10" s="482"/>
      <c r="N10" s="536">
        <f t="shared" si="1"/>
        <v>0</v>
      </c>
      <c r="O10" s="496">
        <v>1492.7522432093658</v>
      </c>
      <c r="P10" s="483"/>
      <c r="Q10" s="483"/>
      <c r="R10" s="541">
        <f t="shared" si="2"/>
        <v>0</v>
      </c>
      <c r="S10" s="515">
        <v>1813.6109456368461</v>
      </c>
      <c r="T10" s="483"/>
      <c r="U10" s="483"/>
      <c r="V10" s="543">
        <f t="shared" si="3"/>
        <v>0</v>
      </c>
      <c r="W10" s="515">
        <v>2934.7298505674235</v>
      </c>
      <c r="X10" s="483"/>
      <c r="Y10" s="483"/>
      <c r="Z10" s="543">
        <f t="shared" si="4"/>
        <v>0</v>
      </c>
      <c r="AA10" s="515">
        <v>2000.988397539779</v>
      </c>
      <c r="AB10" s="483"/>
      <c r="AC10" s="483"/>
      <c r="AD10" s="543">
        <f t="shared" si="5"/>
        <v>0</v>
      </c>
      <c r="AE10" s="515">
        <v>3197</v>
      </c>
      <c r="AF10" s="483"/>
      <c r="AG10" s="483"/>
      <c r="AH10" s="543">
        <f t="shared" si="6"/>
        <v>0</v>
      </c>
      <c r="AI10" s="520">
        <v>3044.3890596097026</v>
      </c>
      <c r="AJ10" s="484"/>
      <c r="AK10" s="484"/>
      <c r="AL10" s="545">
        <f t="shared" si="7"/>
        <v>0</v>
      </c>
      <c r="AM10" s="526">
        <v>3424.9376920609157</v>
      </c>
      <c r="AN10" s="485"/>
      <c r="AO10" s="485"/>
      <c r="AP10" s="543">
        <f t="shared" si="8"/>
        <v>0</v>
      </c>
      <c r="AQ10" s="530">
        <f t="shared" si="9"/>
        <v>0</v>
      </c>
    </row>
    <row r="11" spans="1:43" x14ac:dyDescent="0.55000000000000004">
      <c r="A11" s="316" t="s">
        <v>250</v>
      </c>
      <c r="B11" s="218" t="s">
        <v>251</v>
      </c>
      <c r="C11" s="218" t="s">
        <v>254</v>
      </c>
      <c r="D11" s="105" t="s">
        <v>255</v>
      </c>
      <c r="E11" s="100"/>
      <c r="F11" s="34"/>
      <c r="G11" s="34"/>
      <c r="H11" s="480">
        <v>6185.6711628854973</v>
      </c>
      <c r="I11" s="480" t="s">
        <v>412</v>
      </c>
      <c r="J11" s="490">
        <v>4</v>
      </c>
      <c r="K11" s="504">
        <v>0</v>
      </c>
      <c r="L11" s="482"/>
      <c r="M11" s="482"/>
      <c r="N11" s="536">
        <f t="shared" si="1"/>
        <v>0</v>
      </c>
      <c r="O11" s="496">
        <v>693.40136601713857</v>
      </c>
      <c r="P11" s="483"/>
      <c r="Q11" s="483"/>
      <c r="R11" s="541">
        <f t="shared" si="2"/>
        <v>0</v>
      </c>
      <c r="S11" s="515">
        <v>2509.0423214440798</v>
      </c>
      <c r="T11" s="483"/>
      <c r="U11" s="483"/>
      <c r="V11" s="543">
        <f t="shared" si="3"/>
        <v>0</v>
      </c>
      <c r="W11" s="515">
        <v>2761.5031570219976</v>
      </c>
      <c r="X11" s="483"/>
      <c r="Y11" s="483"/>
      <c r="Z11" s="543">
        <f t="shared" si="4"/>
        <v>0</v>
      </c>
      <c r="AA11" s="515">
        <v>3482.4856610790357</v>
      </c>
      <c r="AB11" s="483"/>
      <c r="AC11" s="483"/>
      <c r="AD11" s="543">
        <f t="shared" si="5"/>
        <v>0</v>
      </c>
      <c r="AE11" s="515">
        <v>4315</v>
      </c>
      <c r="AF11" s="483"/>
      <c r="AG11" s="483"/>
      <c r="AH11" s="543">
        <f t="shared" si="6"/>
        <v>0</v>
      </c>
      <c r="AI11" s="520">
        <v>2617.0147227592488</v>
      </c>
      <c r="AJ11" s="484"/>
      <c r="AK11" s="484"/>
      <c r="AL11" s="545">
        <f t="shared" si="7"/>
        <v>0</v>
      </c>
      <c r="AM11" s="526">
        <v>3007.7116663571692</v>
      </c>
      <c r="AN11" s="485"/>
      <c r="AO11" s="485"/>
      <c r="AP11" s="543">
        <f t="shared" si="8"/>
        <v>0</v>
      </c>
      <c r="AQ11" s="530">
        <f t="shared" si="9"/>
        <v>0</v>
      </c>
    </row>
    <row r="12" spans="1:43" x14ac:dyDescent="0.55000000000000004">
      <c r="A12" s="316" t="s">
        <v>250</v>
      </c>
      <c r="B12" s="218" t="s">
        <v>251</v>
      </c>
      <c r="C12" s="218" t="s">
        <v>256</v>
      </c>
      <c r="D12" s="105" t="s">
        <v>257</v>
      </c>
      <c r="E12" s="100"/>
      <c r="F12" s="34"/>
      <c r="G12" s="34"/>
      <c r="H12" s="480">
        <v>2159.7729564411493</v>
      </c>
      <c r="I12" s="480" t="s">
        <v>412</v>
      </c>
      <c r="J12" s="490">
        <v>2</v>
      </c>
      <c r="K12" s="504">
        <v>0</v>
      </c>
      <c r="L12" s="482">
        <f t="shared" ref="L12:L65" si="10">K12</f>
        <v>0</v>
      </c>
      <c r="M12" s="482"/>
      <c r="N12" s="536">
        <f t="shared" si="1"/>
        <v>0</v>
      </c>
      <c r="O12" s="496">
        <v>737.7784419202967</v>
      </c>
      <c r="P12" s="483">
        <f t="shared" ref="P12:P65" si="11">O12</f>
        <v>737.7784419202967</v>
      </c>
      <c r="Q12" s="483"/>
      <c r="R12" s="541">
        <f t="shared" si="2"/>
        <v>737.7784419202967</v>
      </c>
      <c r="S12" s="515">
        <v>839.53465065268131</v>
      </c>
      <c r="T12" s="483">
        <f t="shared" ref="T12:T65" si="12">S12</f>
        <v>839.53465065268131</v>
      </c>
      <c r="U12" s="483"/>
      <c r="V12" s="543">
        <f t="shared" si="3"/>
        <v>839.53465065268131</v>
      </c>
      <c r="W12" s="515">
        <v>1540.0205724248333</v>
      </c>
      <c r="X12" s="483">
        <f t="shared" ref="X12:X65" si="13">W12</f>
        <v>1540.0205724248333</v>
      </c>
      <c r="Y12" s="483"/>
      <c r="Z12" s="543">
        <f t="shared" si="4"/>
        <v>0</v>
      </c>
      <c r="AA12" s="515">
        <v>837.76655048938323</v>
      </c>
      <c r="AB12" s="483">
        <f t="shared" ref="AB12:AB65" si="14">AA12</f>
        <v>837.76655048938323</v>
      </c>
      <c r="AC12" s="483"/>
      <c r="AD12" s="543">
        <f t="shared" si="5"/>
        <v>837.76655048938323</v>
      </c>
      <c r="AE12" s="515">
        <v>1512</v>
      </c>
      <c r="AF12" s="483">
        <f t="shared" ref="AF12:AF65" si="15">AE12</f>
        <v>1512</v>
      </c>
      <c r="AG12" s="483"/>
      <c r="AH12" s="543">
        <f t="shared" si="6"/>
        <v>1512</v>
      </c>
      <c r="AI12" s="520">
        <v>0</v>
      </c>
      <c r="AJ12" s="484">
        <f t="shared" ref="AJ12:AJ65" si="16">AI12</f>
        <v>0</v>
      </c>
      <c r="AK12" s="484"/>
      <c r="AL12" s="545">
        <f t="shared" si="7"/>
        <v>0</v>
      </c>
      <c r="AM12" s="526">
        <v>1719.8192060549893</v>
      </c>
      <c r="AN12" s="485">
        <f t="shared" ref="AN12:AN65" si="17">AM12</f>
        <v>1719.8192060549893</v>
      </c>
      <c r="AO12" s="485"/>
      <c r="AP12" s="543">
        <f t="shared" si="8"/>
        <v>1719.8192060549893</v>
      </c>
      <c r="AQ12" s="530">
        <f t="shared" si="9"/>
        <v>1719.8192060549893</v>
      </c>
    </row>
    <row r="13" spans="1:43" x14ac:dyDescent="0.55000000000000004">
      <c r="A13" s="316" t="s">
        <v>250</v>
      </c>
      <c r="B13" s="218" t="s">
        <v>251</v>
      </c>
      <c r="C13" s="218" t="s">
        <v>258</v>
      </c>
      <c r="D13" s="105" t="s">
        <v>259</v>
      </c>
      <c r="E13" s="100"/>
      <c r="F13" s="34"/>
      <c r="G13" s="34"/>
      <c r="H13" s="480">
        <v>8023.4115031633137</v>
      </c>
      <c r="I13" s="480" t="s">
        <v>412</v>
      </c>
      <c r="J13" s="490">
        <v>3</v>
      </c>
      <c r="K13" s="504">
        <v>0</v>
      </c>
      <c r="L13" s="482"/>
      <c r="M13" s="482">
        <f t="shared" ref="M13:M66" si="18">K13/2</f>
        <v>0</v>
      </c>
      <c r="N13" s="536">
        <f t="shared" si="1"/>
        <v>0</v>
      </c>
      <c r="O13" s="496">
        <v>3040.872959698896</v>
      </c>
      <c r="P13" s="483"/>
      <c r="Q13" s="483">
        <f t="shared" ref="Q13:Q66" si="19">O13/2</f>
        <v>1520.436479849448</v>
      </c>
      <c r="R13" s="541">
        <f t="shared" si="2"/>
        <v>1520.436479849448</v>
      </c>
      <c r="S13" s="515">
        <v>3020.3613084251488</v>
      </c>
      <c r="T13" s="483"/>
      <c r="U13" s="483">
        <f t="shared" ref="U13:U66" si="20">S13/2</f>
        <v>1510.1806542125744</v>
      </c>
      <c r="V13" s="543">
        <f t="shared" si="3"/>
        <v>1510.1806542125744</v>
      </c>
      <c r="W13" s="515">
        <v>5691.5355279765563</v>
      </c>
      <c r="X13" s="483"/>
      <c r="Y13" s="483">
        <f t="shared" ref="Y13:Y66" si="21">W13/2</f>
        <v>2845.7677639882781</v>
      </c>
      <c r="Z13" s="543">
        <f t="shared" si="4"/>
        <v>2845.7677639882781</v>
      </c>
      <c r="AA13" s="515">
        <v>2855.4831771933182</v>
      </c>
      <c r="AB13" s="483"/>
      <c r="AC13" s="483">
        <f t="shared" ref="AC13:AC66" si="22">AA13/2</f>
        <v>1427.7415885966591</v>
      </c>
      <c r="AD13" s="543">
        <f t="shared" si="5"/>
        <v>1427.7415885966591</v>
      </c>
      <c r="AE13" s="515">
        <v>4057</v>
      </c>
      <c r="AF13" s="483"/>
      <c r="AG13" s="483">
        <f t="shared" ref="AG13:AG66" si="23">AE13/2</f>
        <v>2028.5</v>
      </c>
      <c r="AH13" s="543">
        <f t="shared" si="6"/>
        <v>2028.5</v>
      </c>
      <c r="AI13" s="520">
        <v>8023.4115031633146</v>
      </c>
      <c r="AJ13" s="484"/>
      <c r="AK13" s="484">
        <f t="shared" ref="AK13:AK66" si="24">AI13/2</f>
        <v>4011.7057515816573</v>
      </c>
      <c r="AL13" s="545">
        <f t="shared" si="7"/>
        <v>4011.7057515816573</v>
      </c>
      <c r="AM13" s="526">
        <v>4122.1196713499603</v>
      </c>
      <c r="AN13" s="485"/>
      <c r="AO13" s="485">
        <f t="shared" ref="AO13:AO66" si="25">AM13/2</f>
        <v>2061.0598356749801</v>
      </c>
      <c r="AP13" s="543">
        <f t="shared" si="8"/>
        <v>2061.0598356749801</v>
      </c>
      <c r="AQ13" s="530">
        <f t="shared" si="9"/>
        <v>4011.7057515816573</v>
      </c>
    </row>
    <row r="14" spans="1:43" x14ac:dyDescent="0.55000000000000004">
      <c r="A14" s="316" t="s">
        <v>250</v>
      </c>
      <c r="B14" s="218" t="s">
        <v>251</v>
      </c>
      <c r="C14" s="218" t="s">
        <v>260</v>
      </c>
      <c r="D14" s="105" t="s">
        <v>261</v>
      </c>
      <c r="E14" s="100"/>
      <c r="F14" s="34"/>
      <c r="G14" s="34"/>
      <c r="H14" s="480">
        <v>4829.7886557975189</v>
      </c>
      <c r="I14" s="480" t="s">
        <v>412</v>
      </c>
      <c r="J14" s="490">
        <v>3</v>
      </c>
      <c r="K14" s="504">
        <v>0</v>
      </c>
      <c r="L14" s="482"/>
      <c r="M14" s="482">
        <f t="shared" si="18"/>
        <v>0</v>
      </c>
      <c r="N14" s="536">
        <f t="shared" si="1"/>
        <v>0</v>
      </c>
      <c r="O14" s="496">
        <v>1199.4625573436151</v>
      </c>
      <c r="P14" s="483"/>
      <c r="Q14" s="483">
        <f t="shared" si="19"/>
        <v>599.73127867180756</v>
      </c>
      <c r="R14" s="541">
        <f t="shared" si="2"/>
        <v>599.73127867180756</v>
      </c>
      <c r="S14" s="515">
        <v>1736.0189569086174</v>
      </c>
      <c r="T14" s="483"/>
      <c r="U14" s="483">
        <f t="shared" si="20"/>
        <v>868.00947845430869</v>
      </c>
      <c r="V14" s="543">
        <f t="shared" si="3"/>
        <v>868.00947845430869</v>
      </c>
      <c r="W14" s="515">
        <v>2134.1291226372955</v>
      </c>
      <c r="X14" s="483"/>
      <c r="Y14" s="483">
        <f t="shared" si="21"/>
        <v>1067.0645613186477</v>
      </c>
      <c r="Z14" s="543">
        <f t="shared" si="4"/>
        <v>1067.0645613186477</v>
      </c>
      <c r="AA14" s="515">
        <v>2357.176214784763</v>
      </c>
      <c r="AB14" s="483"/>
      <c r="AC14" s="483">
        <f t="shared" si="22"/>
        <v>1178.5881073923815</v>
      </c>
      <c r="AD14" s="543">
        <f t="shared" si="5"/>
        <v>1178.5881073923815</v>
      </c>
      <c r="AE14" s="515">
        <v>3381</v>
      </c>
      <c r="AF14" s="483"/>
      <c r="AG14" s="483">
        <f t="shared" si="23"/>
        <v>1690.5</v>
      </c>
      <c r="AH14" s="543">
        <f t="shared" si="6"/>
        <v>1690.5</v>
      </c>
      <c r="AI14" s="520">
        <v>3622.3414918481394</v>
      </c>
      <c r="AJ14" s="484"/>
      <c r="AK14" s="484">
        <f t="shared" si="24"/>
        <v>1811.1707459240697</v>
      </c>
      <c r="AL14" s="545">
        <f t="shared" si="7"/>
        <v>1811.1707459240697</v>
      </c>
      <c r="AM14" s="526">
        <v>4785.06839046606</v>
      </c>
      <c r="AN14" s="485"/>
      <c r="AO14" s="485">
        <f t="shared" si="25"/>
        <v>2392.53419523303</v>
      </c>
      <c r="AP14" s="543">
        <f t="shared" si="8"/>
        <v>2392.53419523303</v>
      </c>
      <c r="AQ14" s="530">
        <f t="shared" si="9"/>
        <v>2392.53419523303</v>
      </c>
    </row>
    <row r="15" spans="1:43" x14ac:dyDescent="0.55000000000000004">
      <c r="A15" s="316" t="s">
        <v>250</v>
      </c>
      <c r="B15" s="218" t="s">
        <v>251</v>
      </c>
      <c r="C15" s="218" t="s">
        <v>262</v>
      </c>
      <c r="D15" s="105" t="s">
        <v>263</v>
      </c>
      <c r="E15" s="100"/>
      <c r="F15" s="34"/>
      <c r="G15" s="34"/>
      <c r="H15" s="480">
        <v>21293.088674698796</v>
      </c>
      <c r="I15" s="480" t="s">
        <v>412</v>
      </c>
      <c r="J15" s="490">
        <v>3</v>
      </c>
      <c r="K15" s="504">
        <v>14262.5</v>
      </c>
      <c r="L15" s="482"/>
      <c r="M15" s="482">
        <f t="shared" si="18"/>
        <v>7131.25</v>
      </c>
      <c r="N15" s="536">
        <f t="shared" si="1"/>
        <v>7131.25</v>
      </c>
      <c r="O15" s="496">
        <v>1138.3285205493978</v>
      </c>
      <c r="P15" s="483"/>
      <c r="Q15" s="483">
        <f t="shared" si="19"/>
        <v>569.1642602746989</v>
      </c>
      <c r="R15" s="541">
        <f t="shared" si="2"/>
        <v>569.1642602746989</v>
      </c>
      <c r="S15" s="515">
        <v>6949.2517940572598</v>
      </c>
      <c r="T15" s="483"/>
      <c r="U15" s="483">
        <f t="shared" si="20"/>
        <v>3474.6258970286299</v>
      </c>
      <c r="V15" s="543">
        <f t="shared" si="3"/>
        <v>3474.6258970286299</v>
      </c>
      <c r="W15" s="515">
        <v>14604.061169572129</v>
      </c>
      <c r="X15" s="483"/>
      <c r="Y15" s="483">
        <f t="shared" si="21"/>
        <v>7302.0305847860645</v>
      </c>
      <c r="Z15" s="543">
        <f t="shared" si="4"/>
        <v>7302.0305847860645</v>
      </c>
      <c r="AA15" s="515">
        <v>8823.1210737882466</v>
      </c>
      <c r="AB15" s="483"/>
      <c r="AC15" s="483">
        <f t="shared" si="22"/>
        <v>4411.5605368941233</v>
      </c>
      <c r="AD15" s="543">
        <f t="shared" si="5"/>
        <v>4411.5605368941233</v>
      </c>
      <c r="AE15" s="515">
        <v>14039</v>
      </c>
      <c r="AF15" s="483"/>
      <c r="AG15" s="483">
        <f t="shared" si="23"/>
        <v>7019.5</v>
      </c>
      <c r="AH15" s="543">
        <f t="shared" si="6"/>
        <v>7019.5</v>
      </c>
      <c r="AI15" s="520">
        <v>7097.6962248995987</v>
      </c>
      <c r="AJ15" s="484"/>
      <c r="AK15" s="484">
        <f t="shared" si="24"/>
        <v>3548.8481124497994</v>
      </c>
      <c r="AL15" s="545">
        <f t="shared" si="7"/>
        <v>3548.8481124497994</v>
      </c>
      <c r="AM15" s="526">
        <v>6227.2240463741755</v>
      </c>
      <c r="AN15" s="485"/>
      <c r="AO15" s="485">
        <f t="shared" si="25"/>
        <v>3113.6120231870877</v>
      </c>
      <c r="AP15" s="543">
        <f t="shared" si="8"/>
        <v>3113.6120231870877</v>
      </c>
      <c r="AQ15" s="530">
        <f t="shared" si="9"/>
        <v>7302.0305847860645</v>
      </c>
    </row>
    <row r="16" spans="1:43" x14ac:dyDescent="0.55000000000000004">
      <c r="A16" s="316" t="s">
        <v>250</v>
      </c>
      <c r="B16" s="218" t="s">
        <v>251</v>
      </c>
      <c r="C16" s="218" t="s">
        <v>264</v>
      </c>
      <c r="D16" s="105" t="s">
        <v>265</v>
      </c>
      <c r="E16" s="100"/>
      <c r="F16" s="34"/>
      <c r="G16" s="34"/>
      <c r="H16" s="480">
        <v>40940.594481869215</v>
      </c>
      <c r="I16" s="480" t="s">
        <v>412</v>
      </c>
      <c r="J16" s="490">
        <v>4</v>
      </c>
      <c r="K16" s="504">
        <v>0</v>
      </c>
      <c r="L16" s="482"/>
      <c r="M16" s="482"/>
      <c r="N16" s="536">
        <f t="shared" si="1"/>
        <v>0</v>
      </c>
      <c r="O16" s="496">
        <v>2692.6096762997117</v>
      </c>
      <c r="P16" s="483"/>
      <c r="Q16" s="483"/>
      <c r="R16" s="541">
        <f t="shared" si="2"/>
        <v>0</v>
      </c>
      <c r="S16" s="515">
        <v>13324.992433803691</v>
      </c>
      <c r="T16" s="483"/>
      <c r="U16" s="483"/>
      <c r="V16" s="543">
        <f t="shared" si="3"/>
        <v>0</v>
      </c>
      <c r="W16" s="515">
        <v>9914.5548055213094</v>
      </c>
      <c r="X16" s="483"/>
      <c r="Y16" s="483"/>
      <c r="Z16" s="543">
        <f t="shared" si="4"/>
        <v>0</v>
      </c>
      <c r="AA16" s="515">
        <v>21383.94598798571</v>
      </c>
      <c r="AB16" s="483"/>
      <c r="AC16" s="483"/>
      <c r="AD16" s="543">
        <f t="shared" si="5"/>
        <v>0</v>
      </c>
      <c r="AE16" s="515">
        <v>28480</v>
      </c>
      <c r="AF16" s="483"/>
      <c r="AG16" s="483"/>
      <c r="AH16" s="543">
        <f t="shared" si="6"/>
        <v>0</v>
      </c>
      <c r="AI16" s="520">
        <v>2924.3281772763721</v>
      </c>
      <c r="AJ16" s="484"/>
      <c r="AK16" s="484"/>
      <c r="AL16" s="545">
        <f t="shared" si="7"/>
        <v>0</v>
      </c>
      <c r="AM16" s="526">
        <v>14157.027998403373</v>
      </c>
      <c r="AN16" s="485"/>
      <c r="AO16" s="485"/>
      <c r="AP16" s="543">
        <f t="shared" si="8"/>
        <v>0</v>
      </c>
      <c r="AQ16" s="530">
        <f t="shared" si="9"/>
        <v>0</v>
      </c>
    </row>
    <row r="17" spans="1:43" x14ac:dyDescent="0.55000000000000004">
      <c r="A17" s="316" t="s">
        <v>250</v>
      </c>
      <c r="B17" s="218" t="s">
        <v>251</v>
      </c>
      <c r="C17" s="218" t="s">
        <v>266</v>
      </c>
      <c r="D17" s="105" t="s">
        <v>267</v>
      </c>
      <c r="E17" s="100"/>
      <c r="F17" s="34"/>
      <c r="G17" s="34"/>
      <c r="H17" s="480">
        <v>2501.5236312386551</v>
      </c>
      <c r="I17" s="480" t="s">
        <v>412</v>
      </c>
      <c r="J17" s="490">
        <v>4</v>
      </c>
      <c r="K17" s="504">
        <v>0</v>
      </c>
      <c r="L17" s="482"/>
      <c r="M17" s="482"/>
      <c r="N17" s="536">
        <f t="shared" si="1"/>
        <v>0</v>
      </c>
      <c r="O17" s="496">
        <v>279.86546081571822</v>
      </c>
      <c r="P17" s="483"/>
      <c r="Q17" s="483"/>
      <c r="R17" s="541">
        <f t="shared" si="2"/>
        <v>0</v>
      </c>
      <c r="S17" s="515">
        <v>1219.1162945708784</v>
      </c>
      <c r="T17" s="483"/>
      <c r="U17" s="483"/>
      <c r="V17" s="543">
        <f t="shared" si="3"/>
        <v>0</v>
      </c>
      <c r="W17" s="515">
        <v>1404.6058331272616</v>
      </c>
      <c r="X17" s="483"/>
      <c r="Y17" s="483"/>
      <c r="Z17" s="543">
        <f t="shared" si="4"/>
        <v>0</v>
      </c>
      <c r="AA17" s="515">
        <v>1981.0929952949004</v>
      </c>
      <c r="AB17" s="483"/>
      <c r="AC17" s="483"/>
      <c r="AD17" s="543">
        <f t="shared" si="5"/>
        <v>0</v>
      </c>
      <c r="AE17" s="515">
        <v>1492</v>
      </c>
      <c r="AF17" s="483"/>
      <c r="AG17" s="483"/>
      <c r="AH17" s="543">
        <f t="shared" si="6"/>
        <v>0</v>
      </c>
      <c r="AI17" s="520">
        <v>2501.5236312386551</v>
      </c>
      <c r="AJ17" s="484"/>
      <c r="AK17" s="484"/>
      <c r="AL17" s="545">
        <f t="shared" si="7"/>
        <v>0</v>
      </c>
      <c r="AM17" s="526">
        <v>1728.3254179467071</v>
      </c>
      <c r="AN17" s="485"/>
      <c r="AO17" s="485"/>
      <c r="AP17" s="543">
        <f t="shared" si="8"/>
        <v>0</v>
      </c>
      <c r="AQ17" s="530">
        <f t="shared" si="9"/>
        <v>0</v>
      </c>
    </row>
    <row r="18" spans="1:43" x14ac:dyDescent="0.55000000000000004">
      <c r="A18" s="316" t="s">
        <v>268</v>
      </c>
      <c r="B18" s="218" t="s">
        <v>269</v>
      </c>
      <c r="C18" s="218" t="s">
        <v>270</v>
      </c>
      <c r="D18" s="105" t="s">
        <v>271</v>
      </c>
      <c r="E18" s="100"/>
      <c r="F18" s="34"/>
      <c r="G18" s="34"/>
      <c r="H18" s="480">
        <v>45687.987079478589</v>
      </c>
      <c r="I18" s="480" t="s">
        <v>412</v>
      </c>
      <c r="J18" s="490">
        <v>1</v>
      </c>
      <c r="K18" s="504">
        <v>30191.25</v>
      </c>
      <c r="L18" s="482">
        <f>K18</f>
        <v>30191.25</v>
      </c>
      <c r="M18" s="482"/>
      <c r="N18" s="536">
        <f t="shared" si="1"/>
        <v>30191.25</v>
      </c>
      <c r="O18" s="496">
        <v>9011.1330676597208</v>
      </c>
      <c r="P18" s="483">
        <f t="shared" si="11"/>
        <v>9011.1330676597208</v>
      </c>
      <c r="Q18" s="483"/>
      <c r="R18" s="541">
        <f t="shared" si="2"/>
        <v>9011.1330676597208</v>
      </c>
      <c r="S18" s="515">
        <v>20328.448264613897</v>
      </c>
      <c r="T18" s="483">
        <f t="shared" si="12"/>
        <v>20328.448264613897</v>
      </c>
      <c r="U18" s="483"/>
      <c r="V18" s="543">
        <f t="shared" si="3"/>
        <v>20328.448264613897</v>
      </c>
      <c r="W18" s="515">
        <v>39255.072141148179</v>
      </c>
      <c r="X18" s="483">
        <f t="shared" si="13"/>
        <v>39255.072141148179</v>
      </c>
      <c r="Y18" s="483"/>
      <c r="Z18" s="543">
        <f t="shared" si="4"/>
        <v>0</v>
      </c>
      <c r="AA18" s="515">
        <v>24457.221773689071</v>
      </c>
      <c r="AB18" s="483">
        <f t="shared" si="14"/>
        <v>24457.221773689071</v>
      </c>
      <c r="AC18" s="483"/>
      <c r="AD18" s="543">
        <f t="shared" si="5"/>
        <v>24457.221773689071</v>
      </c>
      <c r="AE18" s="515">
        <v>36373</v>
      </c>
      <c r="AF18" s="483">
        <f t="shared" si="15"/>
        <v>36373</v>
      </c>
      <c r="AG18" s="483"/>
      <c r="AH18" s="543">
        <f t="shared" si="6"/>
        <v>36373</v>
      </c>
      <c r="AI18" s="520">
        <v>40611.544070647637</v>
      </c>
      <c r="AJ18" s="484">
        <f t="shared" si="16"/>
        <v>40611.544070647637</v>
      </c>
      <c r="AK18" s="484"/>
      <c r="AL18" s="545">
        <f t="shared" si="7"/>
        <v>40611.544070647637</v>
      </c>
      <c r="AM18" s="526">
        <v>22843.993539739295</v>
      </c>
      <c r="AN18" s="485">
        <f t="shared" si="17"/>
        <v>22843.993539739295</v>
      </c>
      <c r="AO18" s="485"/>
      <c r="AP18" s="543">
        <f t="shared" si="8"/>
        <v>22843.993539739295</v>
      </c>
      <c r="AQ18" s="530">
        <f t="shared" si="9"/>
        <v>40611.544070647637</v>
      </c>
    </row>
    <row r="19" spans="1:43" x14ac:dyDescent="0.55000000000000004">
      <c r="A19" s="316" t="s">
        <v>268</v>
      </c>
      <c r="B19" s="218" t="s">
        <v>269</v>
      </c>
      <c r="C19" s="218" t="s">
        <v>272</v>
      </c>
      <c r="D19" s="105" t="s">
        <v>273</v>
      </c>
      <c r="E19" s="100"/>
      <c r="F19" s="34"/>
      <c r="G19" s="34"/>
      <c r="H19" s="480">
        <v>21857.689382345037</v>
      </c>
      <c r="I19" s="480" t="s">
        <v>412</v>
      </c>
      <c r="J19" s="490">
        <v>2</v>
      </c>
      <c r="K19" s="504">
        <v>0</v>
      </c>
      <c r="L19" s="482">
        <f t="shared" si="10"/>
        <v>0</v>
      </c>
      <c r="M19" s="482"/>
      <c r="N19" s="536">
        <f t="shared" si="1"/>
        <v>0</v>
      </c>
      <c r="O19" s="496">
        <v>3012.1644584022056</v>
      </c>
      <c r="P19" s="483">
        <f t="shared" si="11"/>
        <v>3012.1644584022056</v>
      </c>
      <c r="Q19" s="483"/>
      <c r="R19" s="541">
        <f t="shared" si="2"/>
        <v>3012.1644584022056</v>
      </c>
      <c r="S19" s="515">
        <v>7246.9332264528048</v>
      </c>
      <c r="T19" s="483">
        <f t="shared" si="12"/>
        <v>7246.9332264528048</v>
      </c>
      <c r="U19" s="483"/>
      <c r="V19" s="543">
        <f t="shared" si="3"/>
        <v>7246.9332264528048</v>
      </c>
      <c r="W19" s="515">
        <v>16171.05136149268</v>
      </c>
      <c r="X19" s="483">
        <f t="shared" si="13"/>
        <v>16171.05136149268</v>
      </c>
      <c r="Y19" s="483"/>
      <c r="Z19" s="543">
        <f t="shared" si="4"/>
        <v>0</v>
      </c>
      <c r="AA19" s="515">
        <v>9814.1802232710907</v>
      </c>
      <c r="AB19" s="483">
        <f t="shared" si="14"/>
        <v>9814.1802232710907</v>
      </c>
      <c r="AC19" s="483"/>
      <c r="AD19" s="543">
        <f t="shared" si="5"/>
        <v>9814.1802232710907</v>
      </c>
      <c r="AE19" s="515">
        <v>16888</v>
      </c>
      <c r="AF19" s="483">
        <f t="shared" si="15"/>
        <v>16888</v>
      </c>
      <c r="AG19" s="483"/>
      <c r="AH19" s="543">
        <f t="shared" si="6"/>
        <v>16888</v>
      </c>
      <c r="AI19" s="520">
        <v>13871.225954180503</v>
      </c>
      <c r="AJ19" s="484">
        <f t="shared" si="16"/>
        <v>13871.225954180503</v>
      </c>
      <c r="AK19" s="484"/>
      <c r="AL19" s="545">
        <f t="shared" si="7"/>
        <v>13871.225954180503</v>
      </c>
      <c r="AM19" s="526">
        <v>18659.003131270158</v>
      </c>
      <c r="AN19" s="485">
        <f t="shared" si="17"/>
        <v>18659.003131270158</v>
      </c>
      <c r="AO19" s="485"/>
      <c r="AP19" s="543">
        <f t="shared" si="8"/>
        <v>18659.003131270158</v>
      </c>
      <c r="AQ19" s="530">
        <f t="shared" si="9"/>
        <v>18659.003131270158</v>
      </c>
    </row>
    <row r="20" spans="1:43" x14ac:dyDescent="0.55000000000000004">
      <c r="A20" s="316" t="s">
        <v>268</v>
      </c>
      <c r="B20" s="218" t="s">
        <v>269</v>
      </c>
      <c r="C20" s="218" t="s">
        <v>274</v>
      </c>
      <c r="D20" s="105" t="s">
        <v>275</v>
      </c>
      <c r="E20" s="100"/>
      <c r="F20" s="34"/>
      <c r="G20" s="34"/>
      <c r="H20" s="480">
        <v>95901.175542296638</v>
      </c>
      <c r="I20" s="480" t="s">
        <v>412</v>
      </c>
      <c r="J20" s="490">
        <v>4</v>
      </c>
      <c r="K20" s="504">
        <v>50265</v>
      </c>
      <c r="L20" s="482"/>
      <c r="M20" s="482"/>
      <c r="N20" s="536">
        <f t="shared" si="1"/>
        <v>0</v>
      </c>
      <c r="O20" s="496">
        <v>19394.094729918648</v>
      </c>
      <c r="P20" s="483"/>
      <c r="Q20" s="483"/>
      <c r="R20" s="541">
        <f t="shared" si="2"/>
        <v>0</v>
      </c>
      <c r="S20" s="515">
        <v>36837.40550042902</v>
      </c>
      <c r="T20" s="483"/>
      <c r="U20" s="483"/>
      <c r="V20" s="543">
        <f t="shared" si="3"/>
        <v>0</v>
      </c>
      <c r="W20" s="515">
        <v>22913.183208266495</v>
      </c>
      <c r="X20" s="483"/>
      <c r="Y20" s="483"/>
      <c r="Z20" s="543">
        <f t="shared" si="4"/>
        <v>0</v>
      </c>
      <c r="AA20" s="515">
        <v>53275.674539844593</v>
      </c>
      <c r="AB20" s="483"/>
      <c r="AC20" s="483"/>
      <c r="AD20" s="543">
        <f t="shared" si="5"/>
        <v>0</v>
      </c>
      <c r="AE20" s="515">
        <v>66786</v>
      </c>
      <c r="AF20" s="483"/>
      <c r="AG20" s="483"/>
      <c r="AH20" s="543">
        <f t="shared" si="6"/>
        <v>0</v>
      </c>
      <c r="AI20" s="520">
        <v>71925.881656722486</v>
      </c>
      <c r="AJ20" s="484"/>
      <c r="AK20" s="484"/>
      <c r="AL20" s="545">
        <f t="shared" si="7"/>
        <v>0</v>
      </c>
      <c r="AM20" s="526">
        <v>45286.666228306742</v>
      </c>
      <c r="AN20" s="485"/>
      <c r="AO20" s="485"/>
      <c r="AP20" s="543">
        <f t="shared" si="8"/>
        <v>0</v>
      </c>
      <c r="AQ20" s="530">
        <f t="shared" si="9"/>
        <v>0</v>
      </c>
    </row>
    <row r="21" spans="1:43" x14ac:dyDescent="0.55000000000000004">
      <c r="A21" s="316" t="s">
        <v>268</v>
      </c>
      <c r="B21" s="218" t="s">
        <v>269</v>
      </c>
      <c r="C21" s="218" t="s">
        <v>276</v>
      </c>
      <c r="D21" s="105" t="s">
        <v>277</v>
      </c>
      <c r="E21" s="100"/>
      <c r="F21" s="34"/>
      <c r="G21" s="34"/>
      <c r="H21" s="480">
        <v>69039.732902168529</v>
      </c>
      <c r="I21" s="480" t="s">
        <v>412</v>
      </c>
      <c r="J21" s="490">
        <v>1</v>
      </c>
      <c r="K21" s="504">
        <v>2940</v>
      </c>
      <c r="L21" s="482">
        <f t="shared" si="10"/>
        <v>2940</v>
      </c>
      <c r="M21" s="482"/>
      <c r="N21" s="536">
        <f t="shared" si="1"/>
        <v>2940</v>
      </c>
      <c r="O21" s="496">
        <v>11234.283417306668</v>
      </c>
      <c r="P21" s="483">
        <f t="shared" si="11"/>
        <v>11234.283417306668</v>
      </c>
      <c r="Q21" s="483"/>
      <c r="R21" s="541">
        <f t="shared" si="2"/>
        <v>11234.283417306668</v>
      </c>
      <c r="S21" s="515">
        <v>26154.980284305846</v>
      </c>
      <c r="T21" s="483">
        <f t="shared" si="12"/>
        <v>26154.980284305846</v>
      </c>
      <c r="U21" s="483"/>
      <c r="V21" s="543">
        <f t="shared" si="3"/>
        <v>26154.980284305846</v>
      </c>
      <c r="W21" s="515">
        <v>60658.225579270336</v>
      </c>
      <c r="X21" s="483">
        <f t="shared" si="13"/>
        <v>60658.225579270336</v>
      </c>
      <c r="Y21" s="483"/>
      <c r="Z21" s="543">
        <f t="shared" si="4"/>
        <v>0</v>
      </c>
      <c r="AA21" s="515">
        <v>50858.935327370076</v>
      </c>
      <c r="AB21" s="483">
        <f t="shared" si="14"/>
        <v>50858.935327370076</v>
      </c>
      <c r="AC21" s="483"/>
      <c r="AD21" s="543">
        <f t="shared" si="5"/>
        <v>50858.935327370076</v>
      </c>
      <c r="AE21" s="515">
        <v>53298</v>
      </c>
      <c r="AF21" s="483">
        <f t="shared" si="15"/>
        <v>53298</v>
      </c>
      <c r="AG21" s="483"/>
      <c r="AH21" s="543">
        <f t="shared" si="6"/>
        <v>53298</v>
      </c>
      <c r="AI21" s="520">
        <v>69039.732902168529</v>
      </c>
      <c r="AJ21" s="484">
        <f t="shared" si="16"/>
        <v>69039.732902168529</v>
      </c>
      <c r="AK21" s="484"/>
      <c r="AL21" s="545">
        <f t="shared" si="7"/>
        <v>69039.732902168529</v>
      </c>
      <c r="AM21" s="526">
        <v>66482.705757643766</v>
      </c>
      <c r="AN21" s="485">
        <f t="shared" si="17"/>
        <v>66482.705757643766</v>
      </c>
      <c r="AO21" s="485"/>
      <c r="AP21" s="543">
        <f t="shared" si="8"/>
        <v>66482.705757643766</v>
      </c>
      <c r="AQ21" s="530">
        <f t="shared" si="9"/>
        <v>69039.732902168529</v>
      </c>
    </row>
    <row r="22" spans="1:43" x14ac:dyDescent="0.55000000000000004">
      <c r="A22" s="316" t="s">
        <v>268</v>
      </c>
      <c r="B22" s="218" t="s">
        <v>269</v>
      </c>
      <c r="C22" s="218" t="s">
        <v>278</v>
      </c>
      <c r="D22" s="105" t="s">
        <v>279</v>
      </c>
      <c r="E22" s="100"/>
      <c r="F22" s="34"/>
      <c r="G22" s="34"/>
      <c r="H22" s="480">
        <v>77068.443303189997</v>
      </c>
      <c r="I22" s="480" t="s">
        <v>412</v>
      </c>
      <c r="J22" s="490">
        <v>2</v>
      </c>
      <c r="K22" s="504">
        <v>0</v>
      </c>
      <c r="L22" s="482">
        <f t="shared" si="10"/>
        <v>0</v>
      </c>
      <c r="M22" s="482"/>
      <c r="N22" s="536">
        <f t="shared" si="1"/>
        <v>0</v>
      </c>
      <c r="O22" s="496">
        <v>8003.5578370362809</v>
      </c>
      <c r="P22" s="483">
        <f t="shared" si="11"/>
        <v>8003.5578370362809</v>
      </c>
      <c r="Q22" s="483"/>
      <c r="R22" s="541">
        <f t="shared" si="2"/>
        <v>8003.5578370362809</v>
      </c>
      <c r="S22" s="515">
        <v>29219.09106715216</v>
      </c>
      <c r="T22" s="483">
        <f t="shared" si="12"/>
        <v>29219.09106715216</v>
      </c>
      <c r="U22" s="483"/>
      <c r="V22" s="543">
        <f t="shared" si="3"/>
        <v>29219.09106715216</v>
      </c>
      <c r="W22" s="515">
        <v>53758.117095312671</v>
      </c>
      <c r="X22" s="483">
        <f t="shared" si="13"/>
        <v>53758.117095312671</v>
      </c>
      <c r="Y22" s="483"/>
      <c r="Z22" s="543">
        <f t="shared" si="4"/>
        <v>0</v>
      </c>
      <c r="AA22" s="515">
        <v>51263.151432420411</v>
      </c>
      <c r="AB22" s="483">
        <f t="shared" si="14"/>
        <v>51263.151432420411</v>
      </c>
      <c r="AC22" s="483"/>
      <c r="AD22" s="543">
        <f t="shared" si="5"/>
        <v>51263.151432420411</v>
      </c>
      <c r="AE22" s="515">
        <v>53948</v>
      </c>
      <c r="AF22" s="483">
        <f t="shared" si="15"/>
        <v>53948</v>
      </c>
      <c r="AG22" s="483"/>
      <c r="AH22" s="543">
        <f t="shared" si="6"/>
        <v>53948</v>
      </c>
      <c r="AI22" s="520">
        <v>77068.443303189997</v>
      </c>
      <c r="AJ22" s="484">
        <f t="shared" si="16"/>
        <v>77068.443303189997</v>
      </c>
      <c r="AK22" s="484"/>
      <c r="AL22" s="545">
        <f t="shared" si="7"/>
        <v>77068.443303189997</v>
      </c>
      <c r="AM22" s="526">
        <v>36393.431559839715</v>
      </c>
      <c r="AN22" s="485">
        <f t="shared" si="17"/>
        <v>36393.431559839715</v>
      </c>
      <c r="AO22" s="485"/>
      <c r="AP22" s="543">
        <f t="shared" si="8"/>
        <v>36393.431559839715</v>
      </c>
      <c r="AQ22" s="530">
        <f t="shared" si="9"/>
        <v>77068.443303189997</v>
      </c>
    </row>
    <row r="23" spans="1:43" x14ac:dyDescent="0.55000000000000004">
      <c r="A23" s="316" t="s">
        <v>268</v>
      </c>
      <c r="B23" s="218" t="s">
        <v>269</v>
      </c>
      <c r="C23" s="218" t="s">
        <v>280</v>
      </c>
      <c r="D23" s="105" t="s">
        <v>281</v>
      </c>
      <c r="E23" s="100"/>
      <c r="F23" s="34"/>
      <c r="G23" s="34"/>
      <c r="H23" s="480">
        <v>118740.98784317059</v>
      </c>
      <c r="I23" s="480" t="s">
        <v>412</v>
      </c>
      <c r="J23" s="490">
        <v>1</v>
      </c>
      <c r="K23" s="504">
        <v>53426.25</v>
      </c>
      <c r="L23" s="482">
        <f t="shared" si="10"/>
        <v>53426.25</v>
      </c>
      <c r="M23" s="482"/>
      <c r="N23" s="536">
        <f t="shared" si="1"/>
        <v>53426.25</v>
      </c>
      <c r="O23" s="496">
        <v>44409.129453345799</v>
      </c>
      <c r="P23" s="483">
        <f t="shared" si="11"/>
        <v>44409.129453345799</v>
      </c>
      <c r="Q23" s="483"/>
      <c r="R23" s="541">
        <f t="shared" si="2"/>
        <v>44409.129453345799</v>
      </c>
      <c r="S23" s="515">
        <v>40113.54086952786</v>
      </c>
      <c r="T23" s="483">
        <f t="shared" si="12"/>
        <v>40113.54086952786</v>
      </c>
      <c r="U23" s="483"/>
      <c r="V23" s="543">
        <f t="shared" si="3"/>
        <v>40113.54086952786</v>
      </c>
      <c r="W23" s="515">
        <v>103011.12865811396</v>
      </c>
      <c r="X23" s="483">
        <f t="shared" si="13"/>
        <v>103011.12865811396</v>
      </c>
      <c r="Y23" s="483"/>
      <c r="Z23" s="543">
        <f t="shared" si="4"/>
        <v>0</v>
      </c>
      <c r="AA23" s="515">
        <v>77337.079860623839</v>
      </c>
      <c r="AB23" s="483">
        <f t="shared" si="14"/>
        <v>77337.079860623839</v>
      </c>
      <c r="AC23" s="483"/>
      <c r="AD23" s="543">
        <f t="shared" si="5"/>
        <v>77337.079860623839</v>
      </c>
      <c r="AE23" s="515">
        <v>94945</v>
      </c>
      <c r="AF23" s="483">
        <f t="shared" si="15"/>
        <v>94945</v>
      </c>
      <c r="AG23" s="483"/>
      <c r="AH23" s="543">
        <f t="shared" si="6"/>
        <v>94945</v>
      </c>
      <c r="AI23" s="520">
        <v>74762.844197551851</v>
      </c>
      <c r="AJ23" s="484">
        <f t="shared" si="16"/>
        <v>74762.844197551851</v>
      </c>
      <c r="AK23" s="484"/>
      <c r="AL23" s="545">
        <f t="shared" si="7"/>
        <v>74762.844197551851</v>
      </c>
      <c r="AM23" s="526">
        <v>93453.55524693981</v>
      </c>
      <c r="AN23" s="485">
        <f t="shared" si="17"/>
        <v>93453.55524693981</v>
      </c>
      <c r="AO23" s="485"/>
      <c r="AP23" s="543">
        <f t="shared" si="8"/>
        <v>93453.55524693981</v>
      </c>
      <c r="AQ23" s="530">
        <f t="shared" si="9"/>
        <v>94945</v>
      </c>
    </row>
    <row r="24" spans="1:43" x14ac:dyDescent="0.55000000000000004">
      <c r="A24" s="316" t="s">
        <v>268</v>
      </c>
      <c r="B24" s="218" t="s">
        <v>269</v>
      </c>
      <c r="C24" s="218" t="s">
        <v>282</v>
      </c>
      <c r="D24" s="105" t="s">
        <v>283</v>
      </c>
      <c r="E24" s="100"/>
      <c r="F24" s="34"/>
      <c r="G24" s="34"/>
      <c r="H24" s="480">
        <v>53158.210520699089</v>
      </c>
      <c r="I24" s="480" t="s">
        <v>412</v>
      </c>
      <c r="J24" s="490">
        <v>2</v>
      </c>
      <c r="K24" s="504">
        <v>9342.5</v>
      </c>
      <c r="L24" s="482">
        <f t="shared" si="10"/>
        <v>9342.5</v>
      </c>
      <c r="M24" s="482"/>
      <c r="N24" s="536">
        <f t="shared" si="1"/>
        <v>9342.5</v>
      </c>
      <c r="O24" s="496">
        <v>18476.762707710903</v>
      </c>
      <c r="P24" s="483">
        <f t="shared" si="11"/>
        <v>18476.762707710903</v>
      </c>
      <c r="Q24" s="483"/>
      <c r="R24" s="541">
        <f t="shared" si="2"/>
        <v>18476.762707710903</v>
      </c>
      <c r="S24" s="515">
        <v>22173.945694892671</v>
      </c>
      <c r="T24" s="483">
        <f t="shared" si="12"/>
        <v>22173.945694892671</v>
      </c>
      <c r="U24" s="483"/>
      <c r="V24" s="543">
        <f t="shared" si="3"/>
        <v>22173.945694892671</v>
      </c>
      <c r="W24" s="515">
        <v>39836.572985494066</v>
      </c>
      <c r="X24" s="483">
        <f t="shared" si="13"/>
        <v>39836.572985494066</v>
      </c>
      <c r="Y24" s="483"/>
      <c r="Z24" s="543">
        <f t="shared" si="4"/>
        <v>0</v>
      </c>
      <c r="AA24" s="515">
        <v>37476.690262488526</v>
      </c>
      <c r="AB24" s="483">
        <f t="shared" si="14"/>
        <v>37476.690262488526</v>
      </c>
      <c r="AC24" s="483"/>
      <c r="AD24" s="543">
        <f t="shared" si="5"/>
        <v>37476.690262488526</v>
      </c>
      <c r="AE24" s="515">
        <v>37211</v>
      </c>
      <c r="AF24" s="483">
        <f t="shared" si="15"/>
        <v>37211</v>
      </c>
      <c r="AG24" s="483"/>
      <c r="AH24" s="543">
        <f t="shared" si="6"/>
        <v>37211</v>
      </c>
      <c r="AI24" s="520">
        <v>47024.570845233815</v>
      </c>
      <c r="AJ24" s="484">
        <f t="shared" si="16"/>
        <v>47024.570845233815</v>
      </c>
      <c r="AK24" s="484"/>
      <c r="AL24" s="545">
        <f t="shared" si="7"/>
        <v>47024.570845233815</v>
      </c>
      <c r="AM24" s="526">
        <v>36423.218319738276</v>
      </c>
      <c r="AN24" s="485">
        <f t="shared" si="17"/>
        <v>36423.218319738276</v>
      </c>
      <c r="AO24" s="485"/>
      <c r="AP24" s="543">
        <f t="shared" si="8"/>
        <v>36423.218319738276</v>
      </c>
      <c r="AQ24" s="530">
        <f t="shared" si="9"/>
        <v>47024.570845233815</v>
      </c>
    </row>
    <row r="25" spans="1:43" x14ac:dyDescent="0.55000000000000004">
      <c r="A25" s="316" t="s">
        <v>268</v>
      </c>
      <c r="B25" s="218" t="s">
        <v>269</v>
      </c>
      <c r="C25" s="218" t="s">
        <v>284</v>
      </c>
      <c r="D25" s="105" t="s">
        <v>285</v>
      </c>
      <c r="E25" s="100"/>
      <c r="F25" s="34"/>
      <c r="G25" s="34"/>
      <c r="H25" s="480">
        <v>46710.303757716349</v>
      </c>
      <c r="I25" s="480" t="s">
        <v>412</v>
      </c>
      <c r="J25" s="490">
        <v>1</v>
      </c>
      <c r="K25" s="504">
        <v>3985</v>
      </c>
      <c r="L25" s="482">
        <f t="shared" si="10"/>
        <v>3985</v>
      </c>
      <c r="M25" s="482"/>
      <c r="N25" s="536">
        <f t="shared" si="1"/>
        <v>3985</v>
      </c>
      <c r="O25" s="496">
        <v>13385.024382988649</v>
      </c>
      <c r="P25" s="483">
        <f t="shared" si="11"/>
        <v>13385.024382988649</v>
      </c>
      <c r="Q25" s="483"/>
      <c r="R25" s="541">
        <f t="shared" si="2"/>
        <v>13385.024382988649</v>
      </c>
      <c r="S25" s="515">
        <v>21719.780450793813</v>
      </c>
      <c r="T25" s="483">
        <f t="shared" si="12"/>
        <v>21719.780450793813</v>
      </c>
      <c r="U25" s="483"/>
      <c r="V25" s="543">
        <f t="shared" si="3"/>
        <v>21719.780450793813</v>
      </c>
      <c r="W25" s="515">
        <v>37316.911865707822</v>
      </c>
      <c r="X25" s="483">
        <f t="shared" si="13"/>
        <v>37316.911865707822</v>
      </c>
      <c r="Y25" s="483"/>
      <c r="Z25" s="543">
        <f t="shared" si="4"/>
        <v>0</v>
      </c>
      <c r="AA25" s="515">
        <v>28450.937364045618</v>
      </c>
      <c r="AB25" s="483">
        <f t="shared" si="14"/>
        <v>28450.937364045618</v>
      </c>
      <c r="AC25" s="483"/>
      <c r="AD25" s="543">
        <f t="shared" si="5"/>
        <v>28450.937364045618</v>
      </c>
      <c r="AE25" s="515">
        <v>32535</v>
      </c>
      <c r="AF25" s="483">
        <f t="shared" si="15"/>
        <v>32535</v>
      </c>
      <c r="AG25" s="483"/>
      <c r="AH25" s="543">
        <f t="shared" si="6"/>
        <v>32535</v>
      </c>
      <c r="AI25" s="520">
        <v>32697.212630401442</v>
      </c>
      <c r="AJ25" s="484">
        <f t="shared" si="16"/>
        <v>32697.212630401442</v>
      </c>
      <c r="AK25" s="484"/>
      <c r="AL25" s="545">
        <f t="shared" si="7"/>
        <v>32697.212630401442</v>
      </c>
      <c r="AM25" s="526">
        <v>38060.2475062874</v>
      </c>
      <c r="AN25" s="485">
        <f t="shared" si="17"/>
        <v>38060.2475062874</v>
      </c>
      <c r="AO25" s="485"/>
      <c r="AP25" s="543">
        <f t="shared" si="8"/>
        <v>38060.2475062874</v>
      </c>
      <c r="AQ25" s="530">
        <f t="shared" si="9"/>
        <v>38060.2475062874</v>
      </c>
    </row>
    <row r="26" spans="1:43" x14ac:dyDescent="0.55000000000000004">
      <c r="A26" s="316" t="s">
        <v>268</v>
      </c>
      <c r="B26" s="218" t="s">
        <v>269</v>
      </c>
      <c r="C26" s="218" t="s">
        <v>286</v>
      </c>
      <c r="D26" s="105" t="s">
        <v>287</v>
      </c>
      <c r="E26" s="100"/>
      <c r="F26" s="34"/>
      <c r="G26" s="34"/>
      <c r="H26" s="480">
        <v>15457.341069804937</v>
      </c>
      <c r="I26" s="480" t="s">
        <v>412</v>
      </c>
      <c r="J26" s="490">
        <v>3</v>
      </c>
      <c r="K26" s="504">
        <v>0</v>
      </c>
      <c r="L26" s="482"/>
      <c r="M26" s="482">
        <f t="shared" si="18"/>
        <v>0</v>
      </c>
      <c r="N26" s="536">
        <f t="shared" si="1"/>
        <v>0</v>
      </c>
      <c r="O26" s="496">
        <v>1984.9080814557915</v>
      </c>
      <c r="P26" s="483"/>
      <c r="Q26" s="483">
        <f t="shared" si="19"/>
        <v>992.45404072789574</v>
      </c>
      <c r="R26" s="541">
        <f t="shared" si="2"/>
        <v>992.45404072789574</v>
      </c>
      <c r="S26" s="515">
        <v>5322.885706808629</v>
      </c>
      <c r="T26" s="483"/>
      <c r="U26" s="483">
        <f t="shared" si="20"/>
        <v>2661.4428534043145</v>
      </c>
      <c r="V26" s="543">
        <f t="shared" si="3"/>
        <v>2661.4428534043145</v>
      </c>
      <c r="W26" s="515">
        <v>10432.941512055986</v>
      </c>
      <c r="X26" s="483"/>
      <c r="Y26" s="483">
        <f t="shared" si="21"/>
        <v>5216.470756027993</v>
      </c>
      <c r="Z26" s="543">
        <f t="shared" si="4"/>
        <v>5216.470756027993</v>
      </c>
      <c r="AA26" s="515">
        <v>9774.8209809490527</v>
      </c>
      <c r="AB26" s="483"/>
      <c r="AC26" s="483">
        <f t="shared" si="22"/>
        <v>4887.4104904745263</v>
      </c>
      <c r="AD26" s="543">
        <f t="shared" si="5"/>
        <v>4887.4104904745263</v>
      </c>
      <c r="AE26" s="515">
        <v>10820</v>
      </c>
      <c r="AF26" s="483"/>
      <c r="AG26" s="483">
        <f t="shared" si="23"/>
        <v>5410</v>
      </c>
      <c r="AH26" s="543">
        <f t="shared" si="6"/>
        <v>5410</v>
      </c>
      <c r="AI26" s="520">
        <v>14426.851665151275</v>
      </c>
      <c r="AJ26" s="484"/>
      <c r="AK26" s="484">
        <f t="shared" si="24"/>
        <v>7213.4258325756373</v>
      </c>
      <c r="AL26" s="545">
        <f t="shared" si="7"/>
        <v>7213.4258325756373</v>
      </c>
      <c r="AM26" s="526">
        <v>567.24187412128219</v>
      </c>
      <c r="AN26" s="485"/>
      <c r="AO26" s="485">
        <f t="shared" si="25"/>
        <v>283.6209370606411</v>
      </c>
      <c r="AP26" s="543">
        <f t="shared" si="8"/>
        <v>283.6209370606411</v>
      </c>
      <c r="AQ26" s="530">
        <f t="shared" si="9"/>
        <v>7213.4258325756373</v>
      </c>
    </row>
    <row r="27" spans="1:43" x14ac:dyDescent="0.55000000000000004">
      <c r="A27" s="316" t="s">
        <v>268</v>
      </c>
      <c r="B27" s="218" t="s">
        <v>269</v>
      </c>
      <c r="C27" s="218" t="s">
        <v>288</v>
      </c>
      <c r="D27" s="105" t="s">
        <v>289</v>
      </c>
      <c r="E27" s="100"/>
      <c r="F27" s="34"/>
      <c r="G27" s="34"/>
      <c r="H27" s="480">
        <v>25870.030094616061</v>
      </c>
      <c r="I27" s="480" t="s">
        <v>412</v>
      </c>
      <c r="J27" s="490">
        <v>2</v>
      </c>
      <c r="K27" s="504">
        <v>0</v>
      </c>
      <c r="L27" s="482">
        <f t="shared" si="10"/>
        <v>0</v>
      </c>
      <c r="M27" s="482"/>
      <c r="N27" s="536">
        <f t="shared" si="1"/>
        <v>0</v>
      </c>
      <c r="O27" s="496">
        <v>7810.8088363169554</v>
      </c>
      <c r="P27" s="483">
        <f t="shared" si="11"/>
        <v>7810.8088363169554</v>
      </c>
      <c r="Q27" s="483"/>
      <c r="R27" s="541">
        <f t="shared" si="2"/>
        <v>7810.8088363169554</v>
      </c>
      <c r="S27" s="515">
        <v>9979.4566480560989</v>
      </c>
      <c r="T27" s="483">
        <f t="shared" si="12"/>
        <v>9979.4566480560989</v>
      </c>
      <c r="U27" s="483"/>
      <c r="V27" s="543">
        <f t="shared" si="3"/>
        <v>9979.4566480560989</v>
      </c>
      <c r="W27" s="515">
        <v>18946.094558254914</v>
      </c>
      <c r="X27" s="483">
        <f t="shared" si="13"/>
        <v>18946.094558254914</v>
      </c>
      <c r="Y27" s="483"/>
      <c r="Z27" s="543">
        <f t="shared" si="4"/>
        <v>0</v>
      </c>
      <c r="AA27" s="515">
        <v>14421.909777090057</v>
      </c>
      <c r="AB27" s="483">
        <f t="shared" si="14"/>
        <v>14421.909777090057</v>
      </c>
      <c r="AC27" s="483"/>
      <c r="AD27" s="543">
        <f t="shared" si="5"/>
        <v>14421.909777090057</v>
      </c>
      <c r="AE27" s="515">
        <v>20696</v>
      </c>
      <c r="AF27" s="483">
        <f t="shared" si="15"/>
        <v>20696</v>
      </c>
      <c r="AG27" s="483"/>
      <c r="AH27" s="543">
        <f t="shared" si="6"/>
        <v>20696</v>
      </c>
      <c r="AI27" s="520">
        <v>25870.030094616064</v>
      </c>
      <c r="AJ27" s="484">
        <f t="shared" si="16"/>
        <v>25870.030094616064</v>
      </c>
      <c r="AK27" s="484"/>
      <c r="AL27" s="545">
        <f t="shared" si="7"/>
        <v>25870.030094616064</v>
      </c>
      <c r="AM27" s="526">
        <v>17246.68672974404</v>
      </c>
      <c r="AN27" s="485">
        <f t="shared" si="17"/>
        <v>17246.68672974404</v>
      </c>
      <c r="AO27" s="485"/>
      <c r="AP27" s="543">
        <f t="shared" si="8"/>
        <v>17246.68672974404</v>
      </c>
      <c r="AQ27" s="530">
        <f t="shared" si="9"/>
        <v>25870.030094616064</v>
      </c>
    </row>
    <row r="28" spans="1:43" x14ac:dyDescent="0.55000000000000004">
      <c r="A28" s="316" t="s">
        <v>268</v>
      </c>
      <c r="B28" s="218" t="s">
        <v>269</v>
      </c>
      <c r="C28" s="218" t="s">
        <v>290</v>
      </c>
      <c r="D28" s="105" t="s">
        <v>291</v>
      </c>
      <c r="E28" s="100"/>
      <c r="F28" s="34"/>
      <c r="G28" s="34"/>
      <c r="H28" s="480">
        <v>23976.103995536083</v>
      </c>
      <c r="I28" s="480" t="s">
        <v>412</v>
      </c>
      <c r="J28" s="490">
        <v>2</v>
      </c>
      <c r="K28" s="504">
        <v>3750</v>
      </c>
      <c r="L28" s="482">
        <f t="shared" si="10"/>
        <v>3750</v>
      </c>
      <c r="M28" s="482"/>
      <c r="N28" s="536">
        <f t="shared" si="1"/>
        <v>3750</v>
      </c>
      <c r="O28" s="496">
        <v>5890.5930862472778</v>
      </c>
      <c r="P28" s="483">
        <f t="shared" si="11"/>
        <v>5890.5930862472778</v>
      </c>
      <c r="Q28" s="483"/>
      <c r="R28" s="541">
        <f t="shared" si="2"/>
        <v>5890.5930862472778</v>
      </c>
      <c r="S28" s="515">
        <v>12235.778897909482</v>
      </c>
      <c r="T28" s="483">
        <f t="shared" si="12"/>
        <v>12235.778897909482</v>
      </c>
      <c r="U28" s="483"/>
      <c r="V28" s="543">
        <f t="shared" si="3"/>
        <v>12235.778897909482</v>
      </c>
      <c r="W28" s="515">
        <v>19540.244000728337</v>
      </c>
      <c r="X28" s="483">
        <f t="shared" si="13"/>
        <v>19540.244000728337</v>
      </c>
      <c r="Y28" s="483"/>
      <c r="Z28" s="543">
        <f t="shared" si="4"/>
        <v>0</v>
      </c>
      <c r="AA28" s="515">
        <v>11494.910930784306</v>
      </c>
      <c r="AB28" s="483">
        <f t="shared" si="14"/>
        <v>11494.910930784306</v>
      </c>
      <c r="AC28" s="483"/>
      <c r="AD28" s="543">
        <f t="shared" si="5"/>
        <v>11494.910930784306</v>
      </c>
      <c r="AE28" s="515">
        <v>16783</v>
      </c>
      <c r="AF28" s="483">
        <f t="shared" si="15"/>
        <v>16783</v>
      </c>
      <c r="AG28" s="483"/>
      <c r="AH28" s="543">
        <f t="shared" si="6"/>
        <v>16783</v>
      </c>
      <c r="AI28" s="520">
        <v>23976.103995536083</v>
      </c>
      <c r="AJ28" s="484">
        <f t="shared" si="16"/>
        <v>23976.103995536083</v>
      </c>
      <c r="AK28" s="484"/>
      <c r="AL28" s="545">
        <f t="shared" si="7"/>
        <v>23976.103995536083</v>
      </c>
      <c r="AM28" s="526">
        <v>19980.086662946735</v>
      </c>
      <c r="AN28" s="485">
        <f t="shared" si="17"/>
        <v>19980.086662946735</v>
      </c>
      <c r="AO28" s="485"/>
      <c r="AP28" s="543">
        <f t="shared" si="8"/>
        <v>19980.086662946735</v>
      </c>
      <c r="AQ28" s="530">
        <f t="shared" si="9"/>
        <v>23976.103995536083</v>
      </c>
    </row>
    <row r="29" spans="1:43" x14ac:dyDescent="0.55000000000000004">
      <c r="A29" s="316" t="s">
        <v>292</v>
      </c>
      <c r="B29" s="218" t="s">
        <v>293</v>
      </c>
      <c r="C29" s="218" t="s">
        <v>294</v>
      </c>
      <c r="D29" s="105" t="s">
        <v>295</v>
      </c>
      <c r="E29" s="100"/>
      <c r="F29" s="34"/>
      <c r="G29" s="34"/>
      <c r="H29" s="480">
        <v>48668.970941608946</v>
      </c>
      <c r="I29" s="480" t="s">
        <v>412</v>
      </c>
      <c r="J29" s="490">
        <v>3</v>
      </c>
      <c r="K29" s="504">
        <v>27592.5</v>
      </c>
      <c r="L29" s="482"/>
      <c r="M29" s="482">
        <f t="shared" si="18"/>
        <v>13796.25</v>
      </c>
      <c r="N29" s="536">
        <f t="shared" si="1"/>
        <v>13796.25</v>
      </c>
      <c r="O29" s="496">
        <v>18644.644746991911</v>
      </c>
      <c r="P29" s="483"/>
      <c r="Q29" s="483">
        <f t="shared" si="19"/>
        <v>9322.3223734959556</v>
      </c>
      <c r="R29" s="541">
        <f t="shared" si="2"/>
        <v>9322.3223734959556</v>
      </c>
      <c r="S29" s="515">
        <v>16670.82020771665</v>
      </c>
      <c r="T29" s="483"/>
      <c r="U29" s="483">
        <f t="shared" si="20"/>
        <v>8335.4101038583249</v>
      </c>
      <c r="V29" s="543">
        <f t="shared" si="3"/>
        <v>8335.4101038583249</v>
      </c>
      <c r="W29" s="515">
        <v>31631.790952911062</v>
      </c>
      <c r="X29" s="483"/>
      <c r="Y29" s="483">
        <f t="shared" si="21"/>
        <v>15815.895476455531</v>
      </c>
      <c r="Z29" s="543">
        <f t="shared" si="4"/>
        <v>15815.895476455531</v>
      </c>
      <c r="AA29" s="515">
        <v>23801.97264963109</v>
      </c>
      <c r="AB29" s="483"/>
      <c r="AC29" s="483">
        <f t="shared" si="22"/>
        <v>11900.986324815545</v>
      </c>
      <c r="AD29" s="543">
        <f t="shared" si="5"/>
        <v>11900.986324815545</v>
      </c>
      <c r="AE29" s="515">
        <v>9694</v>
      </c>
      <c r="AF29" s="483"/>
      <c r="AG29" s="483">
        <f t="shared" si="23"/>
        <v>4847</v>
      </c>
      <c r="AH29" s="543">
        <f t="shared" si="6"/>
        <v>4847</v>
      </c>
      <c r="AI29" s="520">
        <v>39461.327790493742</v>
      </c>
      <c r="AJ29" s="484"/>
      <c r="AK29" s="484">
        <f t="shared" si="24"/>
        <v>19730.663895246871</v>
      </c>
      <c r="AL29" s="545">
        <f t="shared" si="7"/>
        <v>19730.663895246871</v>
      </c>
      <c r="AM29" s="526">
        <v>36501.72820620671</v>
      </c>
      <c r="AN29" s="485"/>
      <c r="AO29" s="485">
        <f t="shared" si="25"/>
        <v>18250.864103103355</v>
      </c>
      <c r="AP29" s="543">
        <f t="shared" si="8"/>
        <v>18250.864103103355</v>
      </c>
      <c r="AQ29" s="530">
        <f t="shared" si="9"/>
        <v>19730.663895246871</v>
      </c>
    </row>
    <row r="30" spans="1:43" x14ac:dyDescent="0.55000000000000004">
      <c r="A30" s="316" t="s">
        <v>292</v>
      </c>
      <c r="B30" s="218" t="s">
        <v>293</v>
      </c>
      <c r="C30" s="218" t="s">
        <v>296</v>
      </c>
      <c r="D30" s="105" t="s">
        <v>297</v>
      </c>
      <c r="E30" s="100"/>
      <c r="F30" s="34"/>
      <c r="G30" s="34"/>
      <c r="H30" s="480">
        <v>5443.7472474147844</v>
      </c>
      <c r="I30" s="480" t="s">
        <v>412</v>
      </c>
      <c r="J30" s="490">
        <v>5</v>
      </c>
      <c r="K30" s="504">
        <v>0</v>
      </c>
      <c r="L30" s="482"/>
      <c r="M30" s="482"/>
      <c r="N30" s="536">
        <f t="shared" si="1"/>
        <v>0</v>
      </c>
      <c r="O30" s="496">
        <v>1524.9950226490353</v>
      </c>
      <c r="P30" s="483"/>
      <c r="Q30" s="483"/>
      <c r="R30" s="541">
        <f t="shared" si="2"/>
        <v>0</v>
      </c>
      <c r="S30" s="515">
        <v>1761.9655989273585</v>
      </c>
      <c r="T30" s="483"/>
      <c r="U30" s="483"/>
      <c r="V30" s="543">
        <f t="shared" si="3"/>
        <v>0</v>
      </c>
      <c r="W30" s="515">
        <v>2820.6659228924295</v>
      </c>
      <c r="X30" s="483"/>
      <c r="Y30" s="483"/>
      <c r="Z30" s="543">
        <f t="shared" si="4"/>
        <v>0</v>
      </c>
      <c r="AA30" s="515">
        <v>2281.8772120135632</v>
      </c>
      <c r="AB30" s="483"/>
      <c r="AC30" s="483"/>
      <c r="AD30" s="543">
        <f t="shared" si="5"/>
        <v>0</v>
      </c>
      <c r="AE30" s="515">
        <v>1089</v>
      </c>
      <c r="AF30" s="483"/>
      <c r="AG30" s="483"/>
      <c r="AH30" s="543">
        <f t="shared" si="6"/>
        <v>0</v>
      </c>
      <c r="AI30" s="520">
        <v>2721.8736237073922</v>
      </c>
      <c r="AJ30" s="484"/>
      <c r="AK30" s="484"/>
      <c r="AL30" s="545">
        <f t="shared" si="7"/>
        <v>0</v>
      </c>
      <c r="AM30" s="526">
        <v>3578.7597645041642</v>
      </c>
      <c r="AN30" s="485"/>
      <c r="AO30" s="485"/>
      <c r="AP30" s="543">
        <f t="shared" si="8"/>
        <v>0</v>
      </c>
      <c r="AQ30" s="530">
        <f t="shared" si="9"/>
        <v>0</v>
      </c>
    </row>
    <row r="31" spans="1:43" x14ac:dyDescent="0.55000000000000004">
      <c r="A31" s="316" t="s">
        <v>292</v>
      </c>
      <c r="B31" s="218" t="s">
        <v>293</v>
      </c>
      <c r="C31" s="218" t="s">
        <v>298</v>
      </c>
      <c r="D31" s="105" t="s">
        <v>299</v>
      </c>
      <c r="E31" s="100"/>
      <c r="F31" s="34"/>
      <c r="G31" s="34"/>
      <c r="H31" s="480">
        <v>2921.2783873957369</v>
      </c>
      <c r="I31" s="480" t="s">
        <v>412</v>
      </c>
      <c r="J31" s="490">
        <v>4</v>
      </c>
      <c r="K31" s="504">
        <v>0</v>
      </c>
      <c r="L31" s="482"/>
      <c r="M31" s="482"/>
      <c r="N31" s="536">
        <f t="shared" si="1"/>
        <v>0</v>
      </c>
      <c r="O31" s="496">
        <v>770.42874910787771</v>
      </c>
      <c r="P31" s="483"/>
      <c r="Q31" s="483"/>
      <c r="R31" s="541">
        <f t="shared" si="2"/>
        <v>0</v>
      </c>
      <c r="S31" s="515">
        <v>936.82857757413524</v>
      </c>
      <c r="T31" s="483"/>
      <c r="U31" s="483"/>
      <c r="V31" s="543">
        <f t="shared" si="3"/>
        <v>0</v>
      </c>
      <c r="W31" s="515">
        <v>2086.7142353334721</v>
      </c>
      <c r="X31" s="483"/>
      <c r="Y31" s="483"/>
      <c r="Z31" s="543">
        <f t="shared" si="4"/>
        <v>0</v>
      </c>
      <c r="AA31" s="515">
        <v>1464.6374692423374</v>
      </c>
      <c r="AB31" s="483"/>
      <c r="AC31" s="483"/>
      <c r="AD31" s="543">
        <f t="shared" si="5"/>
        <v>0</v>
      </c>
      <c r="AE31" s="515">
        <v>584</v>
      </c>
      <c r="AF31" s="483"/>
      <c r="AG31" s="483"/>
      <c r="AH31" s="543">
        <f t="shared" si="6"/>
        <v>0</v>
      </c>
      <c r="AI31" s="520">
        <v>0</v>
      </c>
      <c r="AJ31" s="484"/>
      <c r="AK31" s="484"/>
      <c r="AL31" s="545">
        <f t="shared" si="7"/>
        <v>0</v>
      </c>
      <c r="AM31" s="526">
        <v>1420.4381149722392</v>
      </c>
      <c r="AN31" s="485"/>
      <c r="AO31" s="485"/>
      <c r="AP31" s="543">
        <f t="shared" si="8"/>
        <v>0</v>
      </c>
      <c r="AQ31" s="530">
        <f t="shared" si="9"/>
        <v>0</v>
      </c>
    </row>
    <row r="32" spans="1:43" x14ac:dyDescent="0.55000000000000004">
      <c r="A32" s="316" t="s">
        <v>292</v>
      </c>
      <c r="B32" s="218" t="s">
        <v>293</v>
      </c>
      <c r="C32" s="218" t="s">
        <v>300</v>
      </c>
      <c r="D32" s="105" t="s">
        <v>301</v>
      </c>
      <c r="E32" s="100"/>
      <c r="F32" s="34"/>
      <c r="G32" s="34"/>
      <c r="H32" s="480">
        <v>6808.1234044964567</v>
      </c>
      <c r="I32" s="480" t="s">
        <v>412</v>
      </c>
      <c r="J32" s="490">
        <v>4</v>
      </c>
      <c r="K32" s="504">
        <v>1961.25</v>
      </c>
      <c r="L32" s="482"/>
      <c r="M32" s="482"/>
      <c r="N32" s="536">
        <f t="shared" si="1"/>
        <v>0</v>
      </c>
      <c r="O32" s="496">
        <v>974.6032897238814</v>
      </c>
      <c r="P32" s="483"/>
      <c r="Q32" s="483"/>
      <c r="R32" s="541">
        <f t="shared" si="2"/>
        <v>0</v>
      </c>
      <c r="S32" s="515">
        <v>2225.9042651408727</v>
      </c>
      <c r="T32" s="483"/>
      <c r="U32" s="483"/>
      <c r="V32" s="543">
        <f t="shared" si="3"/>
        <v>0</v>
      </c>
      <c r="W32" s="515">
        <v>5229.8277387173584</v>
      </c>
      <c r="X32" s="483"/>
      <c r="Y32" s="483"/>
      <c r="Z32" s="543">
        <f t="shared" si="4"/>
        <v>0</v>
      </c>
      <c r="AA32" s="515">
        <v>2473.1027379150541</v>
      </c>
      <c r="AB32" s="483"/>
      <c r="AC32" s="483"/>
      <c r="AD32" s="543">
        <f t="shared" si="5"/>
        <v>0</v>
      </c>
      <c r="AE32" s="515">
        <v>1362</v>
      </c>
      <c r="AF32" s="483"/>
      <c r="AG32" s="483"/>
      <c r="AH32" s="543">
        <f t="shared" si="6"/>
        <v>0</v>
      </c>
      <c r="AI32" s="520">
        <v>6808.1234044964567</v>
      </c>
      <c r="AJ32" s="484"/>
      <c r="AK32" s="484"/>
      <c r="AL32" s="545">
        <f t="shared" si="7"/>
        <v>0</v>
      </c>
      <c r="AM32" s="526">
        <v>3656.2144209332823</v>
      </c>
      <c r="AN32" s="485"/>
      <c r="AO32" s="485"/>
      <c r="AP32" s="543">
        <f t="shared" si="8"/>
        <v>0</v>
      </c>
      <c r="AQ32" s="530">
        <f t="shared" si="9"/>
        <v>0</v>
      </c>
    </row>
    <row r="33" spans="1:43" x14ac:dyDescent="0.55000000000000004">
      <c r="A33" s="316" t="s">
        <v>292</v>
      </c>
      <c r="B33" s="218" t="s">
        <v>293</v>
      </c>
      <c r="C33" s="218" t="s">
        <v>302</v>
      </c>
      <c r="D33" s="105" t="s">
        <v>303</v>
      </c>
      <c r="E33" s="100"/>
      <c r="F33" s="34"/>
      <c r="G33" s="34"/>
      <c r="H33" s="480">
        <v>23157.383024277355</v>
      </c>
      <c r="I33" s="480" t="s">
        <v>412</v>
      </c>
      <c r="J33" s="490">
        <v>3</v>
      </c>
      <c r="K33" s="504">
        <v>0</v>
      </c>
      <c r="L33" s="482"/>
      <c r="M33" s="482">
        <f t="shared" si="18"/>
        <v>0</v>
      </c>
      <c r="N33" s="536">
        <f t="shared" si="1"/>
        <v>0</v>
      </c>
      <c r="O33" s="496">
        <v>6297.210323174766</v>
      </c>
      <c r="P33" s="483"/>
      <c r="Q33" s="483">
        <f t="shared" si="19"/>
        <v>3148.605161587383</v>
      </c>
      <c r="R33" s="541">
        <f t="shared" si="2"/>
        <v>3148.605161587383</v>
      </c>
      <c r="S33" s="515">
        <v>7424.7877396599824</v>
      </c>
      <c r="T33" s="483"/>
      <c r="U33" s="483">
        <f t="shared" si="20"/>
        <v>3712.3938698299912</v>
      </c>
      <c r="V33" s="543">
        <f t="shared" si="3"/>
        <v>3712.3938698299912</v>
      </c>
      <c r="W33" s="515">
        <v>16423.63054500983</v>
      </c>
      <c r="X33" s="483"/>
      <c r="Y33" s="483">
        <f t="shared" si="21"/>
        <v>8211.8152725049149</v>
      </c>
      <c r="Z33" s="543">
        <f t="shared" si="4"/>
        <v>8211.8152725049149</v>
      </c>
      <c r="AA33" s="515">
        <v>12362.758698726082</v>
      </c>
      <c r="AB33" s="483"/>
      <c r="AC33" s="483">
        <f t="shared" si="22"/>
        <v>6181.379349363041</v>
      </c>
      <c r="AD33" s="543">
        <f t="shared" si="5"/>
        <v>6181.379349363041</v>
      </c>
      <c r="AE33" s="515">
        <v>4385</v>
      </c>
      <c r="AF33" s="483"/>
      <c r="AG33" s="483">
        <f t="shared" si="23"/>
        <v>2192.5</v>
      </c>
      <c r="AH33" s="543">
        <f t="shared" si="6"/>
        <v>2192.5</v>
      </c>
      <c r="AI33" s="520">
        <v>16898.630855553747</v>
      </c>
      <c r="AJ33" s="484"/>
      <c r="AK33" s="484">
        <f t="shared" si="24"/>
        <v>8449.3154277768735</v>
      </c>
      <c r="AL33" s="545">
        <f t="shared" si="7"/>
        <v>8449.3154277768735</v>
      </c>
      <c r="AM33" s="526">
        <v>4288.4042637550656</v>
      </c>
      <c r="AN33" s="485"/>
      <c r="AO33" s="485">
        <f t="shared" si="25"/>
        <v>2144.2021318775328</v>
      </c>
      <c r="AP33" s="543">
        <f t="shared" si="8"/>
        <v>2144.2021318775328</v>
      </c>
      <c r="AQ33" s="530">
        <f t="shared" si="9"/>
        <v>8449.3154277768735</v>
      </c>
    </row>
    <row r="34" spans="1:43" x14ac:dyDescent="0.55000000000000004">
      <c r="A34" s="316" t="s">
        <v>292</v>
      </c>
      <c r="B34" s="218" t="s">
        <v>293</v>
      </c>
      <c r="C34" s="218" t="s">
        <v>304</v>
      </c>
      <c r="D34" s="105" t="s">
        <v>305</v>
      </c>
      <c r="E34" s="100"/>
      <c r="F34" s="34"/>
      <c r="G34" s="34"/>
      <c r="H34" s="480">
        <v>9602.9953236523688</v>
      </c>
      <c r="I34" s="480" t="s">
        <v>412</v>
      </c>
      <c r="J34" s="490">
        <v>5</v>
      </c>
      <c r="K34" s="504">
        <v>0</v>
      </c>
      <c r="L34" s="482"/>
      <c r="M34" s="482"/>
      <c r="N34" s="536">
        <f t="shared" si="1"/>
        <v>0</v>
      </c>
      <c r="O34" s="496">
        <v>1474.8568307925018</v>
      </c>
      <c r="P34" s="483"/>
      <c r="Q34" s="483"/>
      <c r="R34" s="541">
        <f t="shared" si="2"/>
        <v>0</v>
      </c>
      <c r="S34" s="515">
        <v>3392.5638313927398</v>
      </c>
      <c r="T34" s="483"/>
      <c r="U34" s="483"/>
      <c r="V34" s="543">
        <f t="shared" si="3"/>
        <v>0</v>
      </c>
      <c r="W34" s="515">
        <v>2414.8464910307239</v>
      </c>
      <c r="X34" s="483"/>
      <c r="Y34" s="483"/>
      <c r="Z34" s="543">
        <f t="shared" si="4"/>
        <v>0</v>
      </c>
      <c r="AA34" s="515">
        <v>4727.5994284799453</v>
      </c>
      <c r="AB34" s="483"/>
      <c r="AC34" s="483"/>
      <c r="AD34" s="543">
        <f t="shared" si="5"/>
        <v>0</v>
      </c>
      <c r="AE34" s="515">
        <v>1921</v>
      </c>
      <c r="AF34" s="483"/>
      <c r="AG34" s="483"/>
      <c r="AH34" s="543">
        <f t="shared" si="6"/>
        <v>0</v>
      </c>
      <c r="AI34" s="520">
        <v>8322.595947165386</v>
      </c>
      <c r="AJ34" s="484"/>
      <c r="AK34" s="484"/>
      <c r="AL34" s="545">
        <f t="shared" si="7"/>
        <v>0</v>
      </c>
      <c r="AM34" s="526">
        <v>5334.9974020290929</v>
      </c>
      <c r="AN34" s="485"/>
      <c r="AO34" s="485"/>
      <c r="AP34" s="543">
        <f t="shared" si="8"/>
        <v>0</v>
      </c>
      <c r="AQ34" s="530">
        <f t="shared" si="9"/>
        <v>0</v>
      </c>
    </row>
    <row r="35" spans="1:43" x14ac:dyDescent="0.55000000000000004">
      <c r="A35" s="316" t="s">
        <v>292</v>
      </c>
      <c r="B35" s="218" t="s">
        <v>293</v>
      </c>
      <c r="C35" s="218" t="s">
        <v>306</v>
      </c>
      <c r="D35" s="105" t="s">
        <v>307</v>
      </c>
      <c r="E35" s="100"/>
      <c r="F35" s="34"/>
      <c r="G35" s="34"/>
      <c r="H35" s="480">
        <v>23378.692739825943</v>
      </c>
      <c r="I35" s="480" t="s">
        <v>412</v>
      </c>
      <c r="J35" s="490">
        <v>3</v>
      </c>
      <c r="K35" s="504">
        <v>0</v>
      </c>
      <c r="L35" s="482"/>
      <c r="M35" s="482">
        <f t="shared" si="18"/>
        <v>0</v>
      </c>
      <c r="N35" s="536">
        <f t="shared" si="1"/>
        <v>0</v>
      </c>
      <c r="O35" s="496">
        <v>3896.0591450919933</v>
      </c>
      <c r="P35" s="483"/>
      <c r="Q35" s="483">
        <f t="shared" si="19"/>
        <v>1948.0295725459966</v>
      </c>
      <c r="R35" s="541">
        <f t="shared" si="2"/>
        <v>1948.0295725459966</v>
      </c>
      <c r="S35" s="515">
        <v>7543.5561506952527</v>
      </c>
      <c r="T35" s="483"/>
      <c r="U35" s="483">
        <f t="shared" si="20"/>
        <v>3771.7780753476263</v>
      </c>
      <c r="V35" s="543">
        <f t="shared" si="3"/>
        <v>3771.7780753476263</v>
      </c>
      <c r="W35" s="515">
        <v>17522.912022449935</v>
      </c>
      <c r="X35" s="483"/>
      <c r="Y35" s="483">
        <f t="shared" si="21"/>
        <v>8761.4560112249674</v>
      </c>
      <c r="Z35" s="543">
        <f t="shared" si="4"/>
        <v>8761.4560112249674</v>
      </c>
      <c r="AA35" s="515">
        <v>9003.6718509253769</v>
      </c>
      <c r="AB35" s="483"/>
      <c r="AC35" s="483">
        <f t="shared" si="22"/>
        <v>4501.8359254626885</v>
      </c>
      <c r="AD35" s="543">
        <f t="shared" si="5"/>
        <v>4501.8359254626885</v>
      </c>
      <c r="AE35" s="515">
        <v>15391</v>
      </c>
      <c r="AF35" s="483"/>
      <c r="AG35" s="483">
        <f t="shared" si="23"/>
        <v>7695.5</v>
      </c>
      <c r="AH35" s="543">
        <f t="shared" si="6"/>
        <v>7695.5</v>
      </c>
      <c r="AI35" s="520">
        <v>21917.524443586823</v>
      </c>
      <c r="AJ35" s="484"/>
      <c r="AK35" s="484">
        <f t="shared" si="24"/>
        <v>10958.762221793411</v>
      </c>
      <c r="AL35" s="545">
        <f t="shared" si="7"/>
        <v>10958.762221793411</v>
      </c>
      <c r="AM35" s="526">
        <v>15585.795159883963</v>
      </c>
      <c r="AN35" s="485"/>
      <c r="AO35" s="485">
        <f t="shared" si="25"/>
        <v>7792.8975799419813</v>
      </c>
      <c r="AP35" s="543">
        <f t="shared" si="8"/>
        <v>7792.8975799419813</v>
      </c>
      <c r="AQ35" s="530">
        <f t="shared" si="9"/>
        <v>10958.762221793411</v>
      </c>
    </row>
    <row r="36" spans="1:43" x14ac:dyDescent="0.55000000000000004">
      <c r="A36" s="316" t="s">
        <v>292</v>
      </c>
      <c r="B36" s="218" t="s">
        <v>293</v>
      </c>
      <c r="C36" s="218" t="s">
        <v>308</v>
      </c>
      <c r="D36" s="105" t="s">
        <v>309</v>
      </c>
      <c r="E36" s="100"/>
      <c r="F36" s="34"/>
      <c r="G36" s="34"/>
      <c r="H36" s="480">
        <v>11657.898587687116</v>
      </c>
      <c r="I36" s="480" t="s">
        <v>412</v>
      </c>
      <c r="J36" s="490">
        <v>4</v>
      </c>
      <c r="K36" s="504">
        <v>0</v>
      </c>
      <c r="L36" s="482"/>
      <c r="M36" s="482"/>
      <c r="N36" s="536">
        <f t="shared" si="1"/>
        <v>0</v>
      </c>
      <c r="O36" s="496">
        <v>2415.563218963121</v>
      </c>
      <c r="P36" s="483"/>
      <c r="Q36" s="483"/>
      <c r="R36" s="541">
        <f t="shared" si="2"/>
        <v>0</v>
      </c>
      <c r="S36" s="515">
        <v>3755.1502060352823</v>
      </c>
      <c r="T36" s="483"/>
      <c r="U36" s="483"/>
      <c r="V36" s="543">
        <f t="shared" si="3"/>
        <v>0</v>
      </c>
      <c r="W36" s="515">
        <v>7422.1695295511654</v>
      </c>
      <c r="X36" s="483"/>
      <c r="Y36" s="483"/>
      <c r="Z36" s="543">
        <f t="shared" si="4"/>
        <v>0</v>
      </c>
      <c r="AA36" s="515">
        <v>4653.255551786312</v>
      </c>
      <c r="AB36" s="483"/>
      <c r="AC36" s="483"/>
      <c r="AD36" s="543">
        <f t="shared" si="5"/>
        <v>0</v>
      </c>
      <c r="AE36" s="515">
        <v>2079</v>
      </c>
      <c r="AF36" s="483"/>
      <c r="AG36" s="483"/>
      <c r="AH36" s="543">
        <f t="shared" si="6"/>
        <v>0</v>
      </c>
      <c r="AI36" s="520">
        <v>10362.576522388546</v>
      </c>
      <c r="AJ36" s="484"/>
      <c r="AK36" s="484"/>
      <c r="AL36" s="545">
        <f t="shared" si="7"/>
        <v>0</v>
      </c>
      <c r="AM36" s="526">
        <v>7556.0453809083147</v>
      </c>
      <c r="AN36" s="485"/>
      <c r="AO36" s="485"/>
      <c r="AP36" s="543">
        <f t="shared" si="8"/>
        <v>0</v>
      </c>
      <c r="AQ36" s="530">
        <f t="shared" si="9"/>
        <v>0</v>
      </c>
    </row>
    <row r="37" spans="1:43" x14ac:dyDescent="0.55000000000000004">
      <c r="A37" s="316" t="s">
        <v>310</v>
      </c>
      <c r="B37" s="218" t="s">
        <v>311</v>
      </c>
      <c r="C37" s="218" t="s">
        <v>312</v>
      </c>
      <c r="D37" s="105" t="s">
        <v>313</v>
      </c>
      <c r="E37" s="100"/>
      <c r="F37" s="34"/>
      <c r="G37" s="34"/>
      <c r="H37" s="480">
        <v>8794.7895188948787</v>
      </c>
      <c r="I37" s="480" t="s">
        <v>412</v>
      </c>
      <c r="J37" s="490">
        <v>4</v>
      </c>
      <c r="K37" s="504">
        <v>0</v>
      </c>
      <c r="L37" s="482"/>
      <c r="M37" s="482"/>
      <c r="N37" s="536">
        <f t="shared" si="1"/>
        <v>0</v>
      </c>
      <c r="O37" s="496">
        <v>1526.1228870978489</v>
      </c>
      <c r="P37" s="483"/>
      <c r="Q37" s="483"/>
      <c r="R37" s="541">
        <f t="shared" si="2"/>
        <v>0</v>
      </c>
      <c r="S37" s="515">
        <v>6096.439632573115</v>
      </c>
      <c r="T37" s="483"/>
      <c r="U37" s="483"/>
      <c r="V37" s="543">
        <f t="shared" si="3"/>
        <v>0</v>
      </c>
      <c r="W37" s="515">
        <v>5317.2943643502422</v>
      </c>
      <c r="X37" s="483"/>
      <c r="Y37" s="483"/>
      <c r="Z37" s="543">
        <f t="shared" si="4"/>
        <v>0</v>
      </c>
      <c r="AA37" s="515">
        <v>7245.0982575978587</v>
      </c>
      <c r="AB37" s="483"/>
      <c r="AC37" s="483"/>
      <c r="AD37" s="543">
        <f t="shared" si="5"/>
        <v>0</v>
      </c>
      <c r="AE37" s="515">
        <v>6157</v>
      </c>
      <c r="AF37" s="483"/>
      <c r="AG37" s="483"/>
      <c r="AH37" s="543">
        <f t="shared" si="6"/>
        <v>0</v>
      </c>
      <c r="AI37" s="520">
        <v>6156.3526632264156</v>
      </c>
      <c r="AJ37" s="484"/>
      <c r="AK37" s="484"/>
      <c r="AL37" s="545">
        <f t="shared" si="7"/>
        <v>0</v>
      </c>
      <c r="AM37" s="526">
        <v>5753.6006198377709</v>
      </c>
      <c r="AN37" s="485"/>
      <c r="AO37" s="485"/>
      <c r="AP37" s="543">
        <f t="shared" si="8"/>
        <v>0</v>
      </c>
      <c r="AQ37" s="530">
        <f t="shared" si="9"/>
        <v>0</v>
      </c>
    </row>
    <row r="38" spans="1:43" x14ac:dyDescent="0.55000000000000004">
      <c r="A38" s="316" t="s">
        <v>310</v>
      </c>
      <c r="B38" s="218" t="s">
        <v>311</v>
      </c>
      <c r="C38" s="218" t="s">
        <v>314</v>
      </c>
      <c r="D38" s="105" t="s">
        <v>315</v>
      </c>
      <c r="E38" s="100"/>
      <c r="F38" s="34"/>
      <c r="G38" s="34"/>
      <c r="H38" s="480">
        <v>56514.282244133567</v>
      </c>
      <c r="I38" s="480" t="s">
        <v>412</v>
      </c>
      <c r="J38" s="490">
        <v>2</v>
      </c>
      <c r="K38" s="504">
        <v>31645</v>
      </c>
      <c r="L38" s="482">
        <f t="shared" si="10"/>
        <v>31645</v>
      </c>
      <c r="M38" s="482"/>
      <c r="N38" s="536">
        <f t="shared" si="1"/>
        <v>31645</v>
      </c>
      <c r="O38" s="496">
        <v>20725.79920737167</v>
      </c>
      <c r="P38" s="483">
        <f t="shared" si="11"/>
        <v>20725.79920737167</v>
      </c>
      <c r="Q38" s="483"/>
      <c r="R38" s="541">
        <f t="shared" si="2"/>
        <v>20725.79920737167</v>
      </c>
      <c r="S38" s="515">
        <v>21802.567492248902</v>
      </c>
      <c r="T38" s="483">
        <f t="shared" si="12"/>
        <v>21802.567492248902</v>
      </c>
      <c r="U38" s="483"/>
      <c r="V38" s="543">
        <f t="shared" si="3"/>
        <v>21802.567492248902</v>
      </c>
      <c r="W38" s="515">
        <v>43545.091047850299</v>
      </c>
      <c r="X38" s="483">
        <f t="shared" si="13"/>
        <v>43545.091047850299</v>
      </c>
      <c r="Y38" s="483"/>
      <c r="Z38" s="543">
        <f t="shared" si="4"/>
        <v>0</v>
      </c>
      <c r="AA38" s="515">
        <v>23873.32943540845</v>
      </c>
      <c r="AB38" s="483">
        <f t="shared" si="14"/>
        <v>23873.32943540845</v>
      </c>
      <c r="AC38" s="483"/>
      <c r="AD38" s="543">
        <f t="shared" si="5"/>
        <v>23873.32943540845</v>
      </c>
      <c r="AE38" s="515">
        <v>39123</v>
      </c>
      <c r="AF38" s="483">
        <f t="shared" si="15"/>
        <v>39123</v>
      </c>
      <c r="AG38" s="483"/>
      <c r="AH38" s="543">
        <f t="shared" si="6"/>
        <v>39123</v>
      </c>
      <c r="AI38" s="520">
        <v>47590.974521375632</v>
      </c>
      <c r="AJ38" s="484">
        <f t="shared" si="16"/>
        <v>47590.974521375632</v>
      </c>
      <c r="AK38" s="484"/>
      <c r="AL38" s="545">
        <f t="shared" si="7"/>
        <v>47590.974521375632</v>
      </c>
      <c r="AM38" s="526">
        <v>23024.33721057294</v>
      </c>
      <c r="AN38" s="485">
        <f t="shared" si="17"/>
        <v>23024.33721057294</v>
      </c>
      <c r="AO38" s="485"/>
      <c r="AP38" s="543">
        <f t="shared" si="8"/>
        <v>23024.33721057294</v>
      </c>
      <c r="AQ38" s="530">
        <f t="shared" si="9"/>
        <v>47590.974521375632</v>
      </c>
    </row>
    <row r="39" spans="1:43" x14ac:dyDescent="0.55000000000000004">
      <c r="A39" s="316" t="s">
        <v>310</v>
      </c>
      <c r="B39" s="218" t="s">
        <v>311</v>
      </c>
      <c r="C39" s="218" t="s">
        <v>316</v>
      </c>
      <c r="D39" s="105" t="s">
        <v>317</v>
      </c>
      <c r="E39" s="100"/>
      <c r="F39" s="34"/>
      <c r="G39" s="34"/>
      <c r="H39" s="480">
        <v>0</v>
      </c>
      <c r="I39" s="480" t="s">
        <v>412</v>
      </c>
      <c r="J39" s="490">
        <v>2</v>
      </c>
      <c r="K39" s="504">
        <v>0</v>
      </c>
      <c r="L39" s="482">
        <f t="shared" si="10"/>
        <v>0</v>
      </c>
      <c r="M39" s="482"/>
      <c r="N39" s="536">
        <f t="shared" si="1"/>
        <v>0</v>
      </c>
      <c r="O39" s="496">
        <v>0</v>
      </c>
      <c r="P39" s="483">
        <f t="shared" si="11"/>
        <v>0</v>
      </c>
      <c r="Q39" s="483"/>
      <c r="R39" s="541">
        <f t="shared" si="2"/>
        <v>0</v>
      </c>
      <c r="S39" s="515">
        <v>0</v>
      </c>
      <c r="T39" s="483">
        <f t="shared" si="12"/>
        <v>0</v>
      </c>
      <c r="U39" s="483"/>
      <c r="V39" s="543">
        <f t="shared" si="3"/>
        <v>0</v>
      </c>
      <c r="W39" s="515">
        <v>0</v>
      </c>
      <c r="X39" s="483">
        <f t="shared" si="13"/>
        <v>0</v>
      </c>
      <c r="Y39" s="483"/>
      <c r="Z39" s="543">
        <f t="shared" si="4"/>
        <v>0</v>
      </c>
      <c r="AA39" s="515">
        <v>0</v>
      </c>
      <c r="AB39" s="483">
        <f t="shared" si="14"/>
        <v>0</v>
      </c>
      <c r="AC39" s="483"/>
      <c r="AD39" s="543">
        <f t="shared" si="5"/>
        <v>0</v>
      </c>
      <c r="AE39" s="515">
        <v>0</v>
      </c>
      <c r="AF39" s="483">
        <f t="shared" si="15"/>
        <v>0</v>
      </c>
      <c r="AG39" s="483"/>
      <c r="AH39" s="543">
        <f t="shared" si="6"/>
        <v>0</v>
      </c>
      <c r="AI39" s="520">
        <v>0</v>
      </c>
      <c r="AJ39" s="484">
        <f t="shared" si="16"/>
        <v>0</v>
      </c>
      <c r="AK39" s="484"/>
      <c r="AL39" s="545">
        <f t="shared" si="7"/>
        <v>0</v>
      </c>
      <c r="AM39" s="526">
        <v>0</v>
      </c>
      <c r="AN39" s="485">
        <f t="shared" si="17"/>
        <v>0</v>
      </c>
      <c r="AO39" s="485"/>
      <c r="AP39" s="543">
        <f t="shared" si="8"/>
        <v>0</v>
      </c>
      <c r="AQ39" s="530">
        <f t="shared" si="9"/>
        <v>0</v>
      </c>
    </row>
    <row r="40" spans="1:43" x14ac:dyDescent="0.55000000000000004">
      <c r="A40" s="316" t="s">
        <v>310</v>
      </c>
      <c r="B40" s="218" t="s">
        <v>311</v>
      </c>
      <c r="C40" s="218" t="s">
        <v>318</v>
      </c>
      <c r="D40" s="105" t="s">
        <v>319</v>
      </c>
      <c r="E40" s="100"/>
      <c r="F40" s="34"/>
      <c r="G40" s="34"/>
      <c r="H40" s="480">
        <v>8245.4682123487128</v>
      </c>
      <c r="I40" s="480" t="s">
        <v>412</v>
      </c>
      <c r="J40" s="490">
        <v>2</v>
      </c>
      <c r="K40" s="504">
        <v>0</v>
      </c>
      <c r="L40" s="482">
        <f t="shared" si="10"/>
        <v>0</v>
      </c>
      <c r="M40" s="482"/>
      <c r="N40" s="536">
        <f t="shared" si="1"/>
        <v>0</v>
      </c>
      <c r="O40" s="496">
        <v>1504.2826069903681</v>
      </c>
      <c r="P40" s="483">
        <f t="shared" si="11"/>
        <v>1504.2826069903681</v>
      </c>
      <c r="Q40" s="483"/>
      <c r="R40" s="541">
        <f t="shared" si="2"/>
        <v>1504.2826069903681</v>
      </c>
      <c r="S40" s="515">
        <v>3824.0659036693</v>
      </c>
      <c r="T40" s="483">
        <f t="shared" si="12"/>
        <v>3824.0659036693</v>
      </c>
      <c r="U40" s="483"/>
      <c r="V40" s="543">
        <f t="shared" si="3"/>
        <v>3824.0659036693</v>
      </c>
      <c r="W40" s="515">
        <v>6262.5878943591415</v>
      </c>
      <c r="X40" s="483">
        <f t="shared" si="13"/>
        <v>6262.5878943591415</v>
      </c>
      <c r="Y40" s="483"/>
      <c r="Z40" s="543">
        <f t="shared" si="4"/>
        <v>0</v>
      </c>
      <c r="AA40" s="515">
        <v>3888.5009814634523</v>
      </c>
      <c r="AB40" s="483">
        <f t="shared" si="14"/>
        <v>3888.5009814634523</v>
      </c>
      <c r="AC40" s="483"/>
      <c r="AD40" s="543">
        <f t="shared" si="5"/>
        <v>3888.5009814634523</v>
      </c>
      <c r="AE40" s="515">
        <v>5772</v>
      </c>
      <c r="AF40" s="483">
        <f t="shared" si="15"/>
        <v>5772</v>
      </c>
      <c r="AG40" s="483"/>
      <c r="AH40" s="543">
        <f t="shared" si="6"/>
        <v>5772</v>
      </c>
      <c r="AI40" s="520">
        <v>6413.1419429378875</v>
      </c>
      <c r="AJ40" s="484">
        <f t="shared" si="16"/>
        <v>6413.1419429378875</v>
      </c>
      <c r="AK40" s="484"/>
      <c r="AL40" s="545">
        <f t="shared" si="7"/>
        <v>6413.1419429378875</v>
      </c>
      <c r="AM40" s="526">
        <v>4722.4045216178984</v>
      </c>
      <c r="AN40" s="485">
        <f t="shared" si="17"/>
        <v>4722.4045216178984</v>
      </c>
      <c r="AO40" s="485"/>
      <c r="AP40" s="543">
        <f t="shared" si="8"/>
        <v>4722.4045216178984</v>
      </c>
      <c r="AQ40" s="530">
        <f t="shared" si="9"/>
        <v>6413.1419429378875</v>
      </c>
    </row>
    <row r="41" spans="1:43" x14ac:dyDescent="0.55000000000000004">
      <c r="A41" s="316" t="s">
        <v>310</v>
      </c>
      <c r="B41" s="218" t="s">
        <v>311</v>
      </c>
      <c r="C41" s="218" t="s">
        <v>320</v>
      </c>
      <c r="D41" s="105" t="s">
        <v>321</v>
      </c>
      <c r="E41" s="100"/>
      <c r="F41" s="34"/>
      <c r="G41" s="34"/>
      <c r="H41" s="480">
        <v>736.57326854984808</v>
      </c>
      <c r="I41" s="480" t="s">
        <v>412</v>
      </c>
      <c r="J41" s="490">
        <v>3</v>
      </c>
      <c r="K41" s="504">
        <v>0</v>
      </c>
      <c r="L41" s="482"/>
      <c r="M41" s="482">
        <f t="shared" si="18"/>
        <v>0</v>
      </c>
      <c r="N41" s="536">
        <f t="shared" si="1"/>
        <v>0</v>
      </c>
      <c r="O41" s="496">
        <v>115.4004071302418</v>
      </c>
      <c r="P41" s="483"/>
      <c r="Q41" s="483">
        <f t="shared" si="19"/>
        <v>57.700203565120901</v>
      </c>
      <c r="R41" s="541">
        <f t="shared" si="2"/>
        <v>57.700203565120901</v>
      </c>
      <c r="S41" s="515">
        <v>254.73760012449753</v>
      </c>
      <c r="T41" s="483"/>
      <c r="U41" s="483">
        <f t="shared" si="20"/>
        <v>127.36880006224877</v>
      </c>
      <c r="V41" s="543">
        <f t="shared" si="3"/>
        <v>127.36880006224877</v>
      </c>
      <c r="W41" s="515">
        <v>498.34516109062099</v>
      </c>
      <c r="X41" s="483"/>
      <c r="Y41" s="483">
        <f t="shared" si="21"/>
        <v>249.1725805453105</v>
      </c>
      <c r="Z41" s="543">
        <f t="shared" si="4"/>
        <v>249.1725805453105</v>
      </c>
      <c r="AA41" s="515">
        <v>313.3875472339538</v>
      </c>
      <c r="AB41" s="483"/>
      <c r="AC41" s="483">
        <f t="shared" si="22"/>
        <v>156.6937736169769</v>
      </c>
      <c r="AD41" s="543">
        <f t="shared" si="5"/>
        <v>156.6937736169769</v>
      </c>
      <c r="AE41" s="515">
        <v>469</v>
      </c>
      <c r="AF41" s="483"/>
      <c r="AG41" s="483">
        <f t="shared" si="23"/>
        <v>234.5</v>
      </c>
      <c r="AH41" s="543">
        <f t="shared" si="6"/>
        <v>234.5</v>
      </c>
      <c r="AI41" s="520">
        <v>633.7956031707995</v>
      </c>
      <c r="AJ41" s="484"/>
      <c r="AK41" s="484">
        <f t="shared" si="24"/>
        <v>316.89780158539975</v>
      </c>
      <c r="AL41" s="545">
        <f t="shared" si="7"/>
        <v>316.89780158539975</v>
      </c>
      <c r="AM41" s="526">
        <v>283.81722274397816</v>
      </c>
      <c r="AN41" s="485"/>
      <c r="AO41" s="485">
        <f t="shared" si="25"/>
        <v>141.90861137198908</v>
      </c>
      <c r="AP41" s="543">
        <f t="shared" si="8"/>
        <v>141.90861137198908</v>
      </c>
      <c r="AQ41" s="530">
        <f t="shared" si="9"/>
        <v>316.89780158539975</v>
      </c>
    </row>
    <row r="42" spans="1:43" x14ac:dyDescent="0.55000000000000004">
      <c r="A42" s="316" t="s">
        <v>322</v>
      </c>
      <c r="B42" s="218" t="s">
        <v>323</v>
      </c>
      <c r="C42" s="218" t="s">
        <v>324</v>
      </c>
      <c r="D42" s="105" t="s">
        <v>325</v>
      </c>
      <c r="E42" s="100"/>
      <c r="F42" s="34"/>
      <c r="G42" s="34"/>
      <c r="H42" s="480">
        <v>8191.9832367247782</v>
      </c>
      <c r="I42" s="480" t="s">
        <v>412</v>
      </c>
      <c r="J42" s="490">
        <v>4</v>
      </c>
      <c r="K42" s="504">
        <v>0</v>
      </c>
      <c r="L42" s="482"/>
      <c r="M42" s="482"/>
      <c r="N42" s="536">
        <f t="shared" si="1"/>
        <v>0</v>
      </c>
      <c r="O42" s="496">
        <v>652.26536606779484</v>
      </c>
      <c r="P42" s="483"/>
      <c r="Q42" s="483"/>
      <c r="R42" s="541">
        <f t="shared" si="2"/>
        <v>0</v>
      </c>
      <c r="S42" s="515">
        <v>3213.6343218737725</v>
      </c>
      <c r="T42" s="483"/>
      <c r="U42" s="483"/>
      <c r="V42" s="543">
        <f t="shared" si="3"/>
        <v>0</v>
      </c>
      <c r="W42" s="515">
        <v>5106.1027347013696</v>
      </c>
      <c r="X42" s="483"/>
      <c r="Y42" s="483"/>
      <c r="Z42" s="543">
        <f t="shared" si="4"/>
        <v>0</v>
      </c>
      <c r="AA42" s="515">
        <v>4152.3577038046233</v>
      </c>
      <c r="AB42" s="483"/>
      <c r="AC42" s="483"/>
      <c r="AD42" s="543">
        <f t="shared" si="5"/>
        <v>0</v>
      </c>
      <c r="AE42" s="515">
        <v>1638</v>
      </c>
      <c r="AF42" s="483"/>
      <c r="AG42" s="483"/>
      <c r="AH42" s="543">
        <f t="shared" si="6"/>
        <v>0</v>
      </c>
      <c r="AI42" s="520">
        <v>8191.9832367247782</v>
      </c>
      <c r="AJ42" s="484"/>
      <c r="AK42" s="484"/>
      <c r="AL42" s="545">
        <f t="shared" si="7"/>
        <v>0</v>
      </c>
      <c r="AM42" s="526">
        <v>2123.8475058175354</v>
      </c>
      <c r="AN42" s="485"/>
      <c r="AO42" s="485"/>
      <c r="AP42" s="543">
        <f t="shared" si="8"/>
        <v>0</v>
      </c>
      <c r="AQ42" s="530">
        <f t="shared" si="9"/>
        <v>0</v>
      </c>
    </row>
    <row r="43" spans="1:43" x14ac:dyDescent="0.55000000000000004">
      <c r="A43" s="316" t="s">
        <v>322</v>
      </c>
      <c r="B43" s="218" t="s">
        <v>323</v>
      </c>
      <c r="C43" s="218" t="s">
        <v>326</v>
      </c>
      <c r="D43" s="105" t="s">
        <v>327</v>
      </c>
      <c r="E43" s="100"/>
      <c r="F43" s="34"/>
      <c r="G43" s="34"/>
      <c r="H43" s="480">
        <v>25939.727484978604</v>
      </c>
      <c r="I43" s="480" t="s">
        <v>412</v>
      </c>
      <c r="J43" s="490">
        <v>3</v>
      </c>
      <c r="K43" s="504">
        <v>22557.5</v>
      </c>
      <c r="L43" s="482"/>
      <c r="M43" s="482">
        <f t="shared" si="18"/>
        <v>11278.75</v>
      </c>
      <c r="N43" s="536">
        <f t="shared" si="1"/>
        <v>11278.75</v>
      </c>
      <c r="O43" s="496">
        <v>5909.7676997474728</v>
      </c>
      <c r="P43" s="483"/>
      <c r="Q43" s="483">
        <f t="shared" si="19"/>
        <v>2954.8838498737364</v>
      </c>
      <c r="R43" s="541">
        <f t="shared" si="2"/>
        <v>2954.8838498737364</v>
      </c>
      <c r="S43" s="515">
        <v>8966.1074964812524</v>
      </c>
      <c r="T43" s="483"/>
      <c r="U43" s="483">
        <f t="shared" si="20"/>
        <v>4483.0537482406262</v>
      </c>
      <c r="V43" s="543">
        <f t="shared" si="3"/>
        <v>4483.0537482406262</v>
      </c>
      <c r="W43" s="515">
        <v>21363.392178563096</v>
      </c>
      <c r="X43" s="483"/>
      <c r="Y43" s="483">
        <f t="shared" si="21"/>
        <v>10681.696089281548</v>
      </c>
      <c r="Z43" s="543">
        <f t="shared" si="4"/>
        <v>10681.696089281548</v>
      </c>
      <c r="AA43" s="515">
        <v>13327.318954058459</v>
      </c>
      <c r="AB43" s="483"/>
      <c r="AC43" s="483">
        <f t="shared" si="22"/>
        <v>6663.6594770292295</v>
      </c>
      <c r="AD43" s="543">
        <f t="shared" si="5"/>
        <v>6663.6594770292295</v>
      </c>
      <c r="AE43" s="515">
        <v>18094</v>
      </c>
      <c r="AF43" s="483"/>
      <c r="AG43" s="483">
        <f t="shared" si="23"/>
        <v>9047</v>
      </c>
      <c r="AH43" s="543">
        <f t="shared" si="6"/>
        <v>9047</v>
      </c>
      <c r="AI43" s="520">
        <v>22234.052129981661</v>
      </c>
      <c r="AJ43" s="484"/>
      <c r="AK43" s="484">
        <f t="shared" si="24"/>
        <v>11117.02606499083</v>
      </c>
      <c r="AL43" s="545">
        <f t="shared" si="7"/>
        <v>11117.02606499083</v>
      </c>
      <c r="AM43" s="526">
        <v>13450.229066285201</v>
      </c>
      <c r="AN43" s="485"/>
      <c r="AO43" s="485">
        <f t="shared" si="25"/>
        <v>6725.1145331426005</v>
      </c>
      <c r="AP43" s="543">
        <f t="shared" si="8"/>
        <v>6725.1145331426005</v>
      </c>
      <c r="AQ43" s="530">
        <f t="shared" si="9"/>
        <v>11278.75</v>
      </c>
    </row>
    <row r="44" spans="1:43" x14ac:dyDescent="0.55000000000000004">
      <c r="A44" s="316" t="s">
        <v>322</v>
      </c>
      <c r="B44" s="218" t="s">
        <v>323</v>
      </c>
      <c r="C44" s="218" t="s">
        <v>328</v>
      </c>
      <c r="D44" s="105" t="s">
        <v>329</v>
      </c>
      <c r="E44" s="100"/>
      <c r="F44" s="34"/>
      <c r="G44" s="34"/>
      <c r="H44" s="480">
        <v>31198.282244133567</v>
      </c>
      <c r="I44" s="480" t="s">
        <v>412</v>
      </c>
      <c r="J44" s="490">
        <v>3</v>
      </c>
      <c r="K44" s="504">
        <v>0</v>
      </c>
      <c r="L44" s="482"/>
      <c r="M44" s="482">
        <f t="shared" si="18"/>
        <v>0</v>
      </c>
      <c r="N44" s="536">
        <f t="shared" si="1"/>
        <v>0</v>
      </c>
      <c r="O44" s="496">
        <v>7478.939574753982</v>
      </c>
      <c r="P44" s="483"/>
      <c r="Q44" s="483">
        <f t="shared" si="19"/>
        <v>3739.469787376991</v>
      </c>
      <c r="R44" s="541">
        <f t="shared" si="2"/>
        <v>3739.469787376991</v>
      </c>
      <c r="S44" s="515">
        <v>12005.797664351909</v>
      </c>
      <c r="T44" s="483"/>
      <c r="U44" s="483">
        <f t="shared" si="20"/>
        <v>6002.8988321759543</v>
      </c>
      <c r="V44" s="543">
        <f t="shared" si="3"/>
        <v>6002.8988321759543</v>
      </c>
      <c r="W44" s="515">
        <v>25721.288553470346</v>
      </c>
      <c r="X44" s="483"/>
      <c r="Y44" s="483">
        <f t="shared" si="21"/>
        <v>12860.644276735173</v>
      </c>
      <c r="Z44" s="543">
        <f t="shared" si="4"/>
        <v>12860.644276735173</v>
      </c>
      <c r="AA44" s="515">
        <v>15994.252409673876</v>
      </c>
      <c r="AB44" s="483"/>
      <c r="AC44" s="483">
        <f t="shared" si="22"/>
        <v>7997.1262048369381</v>
      </c>
      <c r="AD44" s="543">
        <f t="shared" si="5"/>
        <v>7997.1262048369381</v>
      </c>
      <c r="AE44" s="515">
        <v>20386</v>
      </c>
      <c r="AF44" s="483"/>
      <c r="AG44" s="483">
        <f t="shared" si="23"/>
        <v>10193</v>
      </c>
      <c r="AH44" s="543">
        <f t="shared" si="6"/>
        <v>10193</v>
      </c>
      <c r="AI44" s="520">
        <v>7799.5705610333916</v>
      </c>
      <c r="AJ44" s="484"/>
      <c r="AK44" s="484">
        <f t="shared" si="24"/>
        <v>3899.7852805166958</v>
      </c>
      <c r="AL44" s="545">
        <f t="shared" si="7"/>
        <v>3899.7852805166958</v>
      </c>
      <c r="AM44" s="526">
        <v>18776.743943228539</v>
      </c>
      <c r="AN44" s="485"/>
      <c r="AO44" s="485">
        <f t="shared" si="25"/>
        <v>9388.3719716142696</v>
      </c>
      <c r="AP44" s="543">
        <f t="shared" si="8"/>
        <v>9388.3719716142696</v>
      </c>
      <c r="AQ44" s="530">
        <f t="shared" si="9"/>
        <v>12860.644276735173</v>
      </c>
    </row>
    <row r="45" spans="1:43" x14ac:dyDescent="0.55000000000000004">
      <c r="A45" s="316" t="s">
        <v>322</v>
      </c>
      <c r="B45" s="218" t="s">
        <v>323</v>
      </c>
      <c r="C45" s="218" t="s">
        <v>330</v>
      </c>
      <c r="D45" s="105" t="s">
        <v>331</v>
      </c>
      <c r="E45" s="100"/>
      <c r="F45" s="34"/>
      <c r="G45" s="34"/>
      <c r="H45" s="480">
        <v>44969.201203905293</v>
      </c>
      <c r="I45" s="480" t="s">
        <v>412</v>
      </c>
      <c r="J45" s="490">
        <v>2</v>
      </c>
      <c r="K45" s="504">
        <v>25145</v>
      </c>
      <c r="L45" s="482">
        <f t="shared" si="10"/>
        <v>25145</v>
      </c>
      <c r="M45" s="482"/>
      <c r="N45" s="536">
        <f t="shared" si="1"/>
        <v>25145</v>
      </c>
      <c r="O45" s="496">
        <v>8773.086432071088</v>
      </c>
      <c r="P45" s="483">
        <f t="shared" si="11"/>
        <v>8773.086432071088</v>
      </c>
      <c r="Q45" s="483"/>
      <c r="R45" s="541">
        <f t="shared" si="2"/>
        <v>8773.086432071088</v>
      </c>
      <c r="S45" s="515">
        <v>15288.695997555973</v>
      </c>
      <c r="T45" s="483">
        <f t="shared" si="12"/>
        <v>15288.695997555973</v>
      </c>
      <c r="U45" s="483"/>
      <c r="V45" s="543">
        <f t="shared" si="3"/>
        <v>15288.695997555973</v>
      </c>
      <c r="W45" s="515">
        <v>32430.489674210403</v>
      </c>
      <c r="X45" s="483">
        <f t="shared" si="13"/>
        <v>32430.489674210403</v>
      </c>
      <c r="Y45" s="483"/>
      <c r="Z45" s="543">
        <f t="shared" si="4"/>
        <v>0</v>
      </c>
      <c r="AA45" s="515">
        <v>24942.84097150544</v>
      </c>
      <c r="AB45" s="483">
        <f t="shared" si="14"/>
        <v>24942.84097150544</v>
      </c>
      <c r="AC45" s="483"/>
      <c r="AD45" s="543">
        <f t="shared" si="5"/>
        <v>24942.84097150544</v>
      </c>
      <c r="AE45" s="515">
        <v>31478</v>
      </c>
      <c r="AF45" s="483">
        <f t="shared" si="15"/>
        <v>31478</v>
      </c>
      <c r="AG45" s="483"/>
      <c r="AH45" s="543">
        <f t="shared" si="6"/>
        <v>31478</v>
      </c>
      <c r="AI45" s="520">
        <v>38545.029603347393</v>
      </c>
      <c r="AJ45" s="484">
        <f t="shared" si="16"/>
        <v>38545.029603347393</v>
      </c>
      <c r="AK45" s="484"/>
      <c r="AL45" s="545">
        <f t="shared" si="7"/>
        <v>38545.029603347393</v>
      </c>
      <c r="AM45" s="526">
        <v>16238.878212521355</v>
      </c>
      <c r="AN45" s="485">
        <f t="shared" si="17"/>
        <v>16238.878212521355</v>
      </c>
      <c r="AO45" s="485"/>
      <c r="AP45" s="543">
        <f t="shared" si="8"/>
        <v>16238.878212521355</v>
      </c>
      <c r="AQ45" s="530">
        <f t="shared" si="9"/>
        <v>38545.029603347393</v>
      </c>
    </row>
    <row r="46" spans="1:43" x14ac:dyDescent="0.55000000000000004">
      <c r="A46" s="316" t="s">
        <v>322</v>
      </c>
      <c r="B46" s="218" t="s">
        <v>323</v>
      </c>
      <c r="C46" s="218" t="s">
        <v>332</v>
      </c>
      <c r="D46" s="105" t="s">
        <v>333</v>
      </c>
      <c r="E46" s="100"/>
      <c r="F46" s="34"/>
      <c r="G46" s="34"/>
      <c r="H46" s="480">
        <v>30389.775329136301</v>
      </c>
      <c r="I46" s="480" t="s">
        <v>412</v>
      </c>
      <c r="J46" s="490">
        <v>2</v>
      </c>
      <c r="K46" s="504">
        <v>15678.75</v>
      </c>
      <c r="L46" s="482">
        <f t="shared" si="10"/>
        <v>15678.75</v>
      </c>
      <c r="M46" s="482"/>
      <c r="N46" s="536">
        <f t="shared" si="1"/>
        <v>15678.75</v>
      </c>
      <c r="O46" s="496">
        <v>1377.7508543217234</v>
      </c>
      <c r="P46" s="483">
        <f t="shared" si="11"/>
        <v>1377.7508543217234</v>
      </c>
      <c r="Q46" s="483"/>
      <c r="R46" s="541">
        <f t="shared" si="2"/>
        <v>1377.7508543217234</v>
      </c>
      <c r="S46" s="515">
        <v>12808.60290556908</v>
      </c>
      <c r="T46" s="483">
        <f t="shared" si="12"/>
        <v>12808.60290556908</v>
      </c>
      <c r="U46" s="483"/>
      <c r="V46" s="543">
        <f t="shared" si="3"/>
        <v>12808.60290556908</v>
      </c>
      <c r="W46" s="515">
        <v>22768.814394256126</v>
      </c>
      <c r="X46" s="483">
        <f t="shared" si="13"/>
        <v>22768.814394256126</v>
      </c>
      <c r="Y46" s="483"/>
      <c r="Z46" s="543">
        <f t="shared" si="4"/>
        <v>0</v>
      </c>
      <c r="AA46" s="515">
        <v>14585.685611122632</v>
      </c>
      <c r="AB46" s="483">
        <f t="shared" si="14"/>
        <v>14585.685611122632</v>
      </c>
      <c r="AC46" s="483"/>
      <c r="AD46" s="543">
        <f t="shared" si="5"/>
        <v>14585.685611122632</v>
      </c>
      <c r="AE46" s="515">
        <v>21273</v>
      </c>
      <c r="AF46" s="483">
        <f t="shared" si="15"/>
        <v>21273</v>
      </c>
      <c r="AG46" s="483"/>
      <c r="AH46" s="543">
        <f t="shared" si="6"/>
        <v>21273</v>
      </c>
      <c r="AI46" s="520">
        <v>30389.775329136304</v>
      </c>
      <c r="AJ46" s="484">
        <f t="shared" si="16"/>
        <v>30389.775329136304</v>
      </c>
      <c r="AK46" s="484"/>
      <c r="AL46" s="545">
        <f t="shared" si="7"/>
        <v>30389.775329136304</v>
      </c>
      <c r="AM46" s="526">
        <v>12381.019578537012</v>
      </c>
      <c r="AN46" s="485">
        <f t="shared" si="17"/>
        <v>12381.019578537012</v>
      </c>
      <c r="AO46" s="485"/>
      <c r="AP46" s="543">
        <f t="shared" si="8"/>
        <v>12381.019578537012</v>
      </c>
      <c r="AQ46" s="530">
        <f t="shared" si="9"/>
        <v>30389.775329136304</v>
      </c>
    </row>
    <row r="47" spans="1:43" x14ac:dyDescent="0.55000000000000004">
      <c r="A47" s="316" t="s">
        <v>322</v>
      </c>
      <c r="B47" s="218" t="s">
        <v>323</v>
      </c>
      <c r="C47" s="218" t="s">
        <v>334</v>
      </c>
      <c r="D47" s="105" t="s">
        <v>335</v>
      </c>
      <c r="E47" s="100"/>
      <c r="F47" s="34"/>
      <c r="G47" s="34"/>
      <c r="H47" s="480">
        <v>44141.695035855759</v>
      </c>
      <c r="I47" s="480" t="s">
        <v>412</v>
      </c>
      <c r="J47" s="490">
        <v>3</v>
      </c>
      <c r="K47" s="504">
        <v>0</v>
      </c>
      <c r="L47" s="482"/>
      <c r="M47" s="482">
        <f t="shared" si="18"/>
        <v>0</v>
      </c>
      <c r="N47" s="536">
        <f t="shared" si="1"/>
        <v>0</v>
      </c>
      <c r="O47" s="496">
        <v>13507.755956227185</v>
      </c>
      <c r="P47" s="483"/>
      <c r="Q47" s="483">
        <f t="shared" si="19"/>
        <v>6753.8779781135927</v>
      </c>
      <c r="R47" s="541">
        <f t="shared" si="2"/>
        <v>6753.8779781135927</v>
      </c>
      <c r="S47" s="515">
        <v>16137.025442343989</v>
      </c>
      <c r="T47" s="483"/>
      <c r="U47" s="483">
        <f t="shared" si="20"/>
        <v>8068.5127211719946</v>
      </c>
      <c r="V47" s="543">
        <f t="shared" si="3"/>
        <v>8068.5127211719946</v>
      </c>
      <c r="W47" s="515">
        <v>29153.471897626488</v>
      </c>
      <c r="X47" s="483"/>
      <c r="Y47" s="483">
        <f t="shared" si="21"/>
        <v>14576.735948813244</v>
      </c>
      <c r="Z47" s="543">
        <f t="shared" si="4"/>
        <v>14576.735948813244</v>
      </c>
      <c r="AA47" s="515">
        <v>23834.92627879652</v>
      </c>
      <c r="AB47" s="483"/>
      <c r="AC47" s="483">
        <f t="shared" si="22"/>
        <v>11917.46313939826</v>
      </c>
      <c r="AD47" s="543">
        <f t="shared" si="5"/>
        <v>11917.46313939826</v>
      </c>
      <c r="AE47" s="515">
        <v>30899</v>
      </c>
      <c r="AF47" s="483"/>
      <c r="AG47" s="483">
        <f t="shared" si="23"/>
        <v>15449.5</v>
      </c>
      <c r="AH47" s="543">
        <f t="shared" si="6"/>
        <v>15449.5</v>
      </c>
      <c r="AI47" s="520">
        <v>16815.883823183147</v>
      </c>
      <c r="AJ47" s="484"/>
      <c r="AK47" s="484">
        <f t="shared" si="24"/>
        <v>8407.9419115915734</v>
      </c>
      <c r="AL47" s="545">
        <f t="shared" si="7"/>
        <v>8407.9419115915734</v>
      </c>
      <c r="AM47" s="526">
        <v>18801.092330086714</v>
      </c>
      <c r="AN47" s="485"/>
      <c r="AO47" s="485">
        <f t="shared" si="25"/>
        <v>9400.5461650433572</v>
      </c>
      <c r="AP47" s="543">
        <f t="shared" si="8"/>
        <v>9400.5461650433572</v>
      </c>
      <c r="AQ47" s="530">
        <f t="shared" si="9"/>
        <v>15449.5</v>
      </c>
    </row>
    <row r="48" spans="1:43" x14ac:dyDescent="0.55000000000000004">
      <c r="A48" s="316" t="s">
        <v>322</v>
      </c>
      <c r="B48" s="218" t="s">
        <v>323</v>
      </c>
      <c r="C48" s="218" t="s">
        <v>336</v>
      </c>
      <c r="D48" s="105" t="s">
        <v>337</v>
      </c>
      <c r="E48" s="100"/>
      <c r="F48" s="34"/>
      <c r="G48" s="34"/>
      <c r="H48" s="480">
        <v>63061.040191389133</v>
      </c>
      <c r="I48" s="480" t="s">
        <v>412</v>
      </c>
      <c r="J48" s="490">
        <v>1</v>
      </c>
      <c r="K48" s="504">
        <v>34478.75</v>
      </c>
      <c r="L48" s="482">
        <f t="shared" si="10"/>
        <v>34478.75</v>
      </c>
      <c r="M48" s="482"/>
      <c r="N48" s="536">
        <f t="shared" si="1"/>
        <v>34478.75</v>
      </c>
      <c r="O48" s="496">
        <v>12479.729405043756</v>
      </c>
      <c r="P48" s="483">
        <f t="shared" si="11"/>
        <v>12479.729405043756</v>
      </c>
      <c r="Q48" s="483"/>
      <c r="R48" s="541">
        <f t="shared" si="2"/>
        <v>12479.729405043756</v>
      </c>
      <c r="S48" s="515">
        <v>24607.146779216342</v>
      </c>
      <c r="T48" s="483">
        <f t="shared" si="12"/>
        <v>24607.146779216342</v>
      </c>
      <c r="U48" s="483"/>
      <c r="V48" s="543">
        <f t="shared" si="3"/>
        <v>24607.146779216342</v>
      </c>
      <c r="W48" s="515">
        <v>46221.661749142266</v>
      </c>
      <c r="X48" s="483">
        <f t="shared" si="13"/>
        <v>46221.661749142266</v>
      </c>
      <c r="Y48" s="483"/>
      <c r="Z48" s="543">
        <f t="shared" si="4"/>
        <v>0</v>
      </c>
      <c r="AA48" s="515">
        <v>40518.916515767763</v>
      </c>
      <c r="AB48" s="483">
        <f t="shared" si="14"/>
        <v>40518.916515767763</v>
      </c>
      <c r="AC48" s="483"/>
      <c r="AD48" s="543">
        <f t="shared" si="5"/>
        <v>40518.916515767763</v>
      </c>
      <c r="AE48" s="515">
        <v>43485</v>
      </c>
      <c r="AF48" s="483">
        <f t="shared" si="15"/>
        <v>43485</v>
      </c>
      <c r="AG48" s="483"/>
      <c r="AH48" s="543">
        <f t="shared" si="6"/>
        <v>43485</v>
      </c>
      <c r="AI48" s="520">
        <v>54052.320164047829</v>
      </c>
      <c r="AJ48" s="484">
        <f t="shared" si="16"/>
        <v>54052.320164047829</v>
      </c>
      <c r="AK48" s="484"/>
      <c r="AL48" s="545">
        <f t="shared" si="7"/>
        <v>54052.320164047829</v>
      </c>
      <c r="AM48" s="526">
        <v>33282.215656566485</v>
      </c>
      <c r="AN48" s="485">
        <f t="shared" si="17"/>
        <v>33282.215656566485</v>
      </c>
      <c r="AO48" s="485"/>
      <c r="AP48" s="543">
        <f t="shared" si="8"/>
        <v>33282.215656566485</v>
      </c>
      <c r="AQ48" s="530">
        <f t="shared" si="9"/>
        <v>54052.320164047829</v>
      </c>
    </row>
    <row r="49" spans="1:43" x14ac:dyDescent="0.55000000000000004">
      <c r="A49" s="316" t="s">
        <v>322</v>
      </c>
      <c r="B49" s="218" t="s">
        <v>323</v>
      </c>
      <c r="C49" s="218" t="s">
        <v>338</v>
      </c>
      <c r="D49" s="105" t="s">
        <v>339</v>
      </c>
      <c r="E49" s="100"/>
      <c r="F49" s="34"/>
      <c r="G49" s="34"/>
      <c r="H49" s="480">
        <v>12256.01658411525</v>
      </c>
      <c r="I49" s="480" t="s">
        <v>412</v>
      </c>
      <c r="J49" s="490">
        <v>2</v>
      </c>
      <c r="K49" s="504">
        <v>0</v>
      </c>
      <c r="L49" s="482">
        <f t="shared" si="10"/>
        <v>0</v>
      </c>
      <c r="M49" s="482"/>
      <c r="N49" s="536">
        <f t="shared" si="1"/>
        <v>0</v>
      </c>
      <c r="O49" s="496">
        <v>1850.3643598033841</v>
      </c>
      <c r="P49" s="483">
        <f t="shared" si="11"/>
        <v>1850.3643598033841</v>
      </c>
      <c r="Q49" s="483"/>
      <c r="R49" s="541">
        <f t="shared" si="2"/>
        <v>1850.3643598033841</v>
      </c>
      <c r="S49" s="515">
        <v>4697.5558725250112</v>
      </c>
      <c r="T49" s="483">
        <f t="shared" si="12"/>
        <v>4697.5558725250112</v>
      </c>
      <c r="U49" s="483"/>
      <c r="V49" s="543">
        <f t="shared" si="3"/>
        <v>4697.5558725250112</v>
      </c>
      <c r="W49" s="515">
        <v>7754.778001379178</v>
      </c>
      <c r="X49" s="483">
        <f t="shared" si="13"/>
        <v>7754.778001379178</v>
      </c>
      <c r="Y49" s="483"/>
      <c r="Z49" s="543">
        <f t="shared" si="4"/>
        <v>0</v>
      </c>
      <c r="AA49" s="515">
        <v>10954.255548004925</v>
      </c>
      <c r="AB49" s="483">
        <f t="shared" si="14"/>
        <v>10954.255548004925</v>
      </c>
      <c r="AC49" s="483"/>
      <c r="AD49" s="543">
        <f t="shared" si="5"/>
        <v>10954.255548004925</v>
      </c>
      <c r="AE49" s="515">
        <v>2451</v>
      </c>
      <c r="AF49" s="483">
        <f t="shared" si="15"/>
        <v>2451</v>
      </c>
      <c r="AG49" s="483"/>
      <c r="AH49" s="543">
        <f t="shared" si="6"/>
        <v>2451</v>
      </c>
      <c r="AI49" s="520">
        <v>5252.5785360493928</v>
      </c>
      <c r="AJ49" s="484">
        <f t="shared" si="16"/>
        <v>5252.5785360493928</v>
      </c>
      <c r="AK49" s="484"/>
      <c r="AL49" s="545">
        <f t="shared" si="7"/>
        <v>5252.5785360493928</v>
      </c>
      <c r="AM49" s="526">
        <v>5172.2638795348767</v>
      </c>
      <c r="AN49" s="485">
        <f t="shared" si="17"/>
        <v>5172.2638795348767</v>
      </c>
      <c r="AO49" s="485"/>
      <c r="AP49" s="543">
        <f t="shared" si="8"/>
        <v>5172.2638795348767</v>
      </c>
      <c r="AQ49" s="530">
        <f t="shared" si="9"/>
        <v>10954.255548004925</v>
      </c>
    </row>
    <row r="50" spans="1:43" x14ac:dyDescent="0.55000000000000004">
      <c r="A50" s="316" t="s">
        <v>322</v>
      </c>
      <c r="B50" s="218" t="s">
        <v>323</v>
      </c>
      <c r="C50" s="218" t="s">
        <v>340</v>
      </c>
      <c r="D50" s="105" t="s">
        <v>341</v>
      </c>
      <c r="E50" s="100"/>
      <c r="F50" s="34"/>
      <c r="G50" s="34"/>
      <c r="H50" s="480">
        <v>233351.6448103383</v>
      </c>
      <c r="I50" s="480" t="s">
        <v>412</v>
      </c>
      <c r="J50" s="490">
        <v>1</v>
      </c>
      <c r="K50" s="504">
        <v>233351.6448103383</v>
      </c>
      <c r="L50" s="482">
        <f t="shared" si="10"/>
        <v>233351.6448103383</v>
      </c>
      <c r="M50" s="482"/>
      <c r="N50" s="536">
        <f t="shared" si="1"/>
        <v>233351.6448103383</v>
      </c>
      <c r="O50" s="496">
        <v>64255.662244645791</v>
      </c>
      <c r="P50" s="483">
        <f t="shared" si="11"/>
        <v>64255.662244645791</v>
      </c>
      <c r="Q50" s="483"/>
      <c r="R50" s="541">
        <f t="shared" si="2"/>
        <v>64255.662244645791</v>
      </c>
      <c r="S50" s="515">
        <v>74302.744858180435</v>
      </c>
      <c r="T50" s="483">
        <f t="shared" si="12"/>
        <v>74302.744858180435</v>
      </c>
      <c r="U50" s="483"/>
      <c r="V50" s="543">
        <f t="shared" si="3"/>
        <v>74302.744858180435</v>
      </c>
      <c r="W50" s="515">
        <v>193493.98589746177</v>
      </c>
      <c r="X50" s="483">
        <f t="shared" si="13"/>
        <v>193493.98589746177</v>
      </c>
      <c r="Y50" s="483"/>
      <c r="Z50" s="543">
        <f t="shared" si="4"/>
        <v>0</v>
      </c>
      <c r="AA50" s="515">
        <v>147561.08000448596</v>
      </c>
      <c r="AB50" s="483">
        <f t="shared" si="14"/>
        <v>147561.08000448596</v>
      </c>
      <c r="AC50" s="483"/>
      <c r="AD50" s="543">
        <f t="shared" si="5"/>
        <v>147561.08000448596</v>
      </c>
      <c r="AE50" s="515">
        <v>162104</v>
      </c>
      <c r="AF50" s="483">
        <f t="shared" si="15"/>
        <v>162104</v>
      </c>
      <c r="AG50" s="483"/>
      <c r="AH50" s="543">
        <f t="shared" si="6"/>
        <v>162104</v>
      </c>
      <c r="AI50" s="520">
        <v>143193.05476998031</v>
      </c>
      <c r="AJ50" s="484">
        <f t="shared" si="16"/>
        <v>143193.05476998031</v>
      </c>
      <c r="AK50" s="484"/>
      <c r="AL50" s="545">
        <f t="shared" si="7"/>
        <v>143193.05476998031</v>
      </c>
      <c r="AM50" s="526">
        <v>110193.83227154864</v>
      </c>
      <c r="AN50" s="485">
        <f t="shared" si="17"/>
        <v>110193.83227154864</v>
      </c>
      <c r="AO50" s="485"/>
      <c r="AP50" s="543">
        <f t="shared" si="8"/>
        <v>110193.83227154864</v>
      </c>
      <c r="AQ50" s="530">
        <f t="shared" si="9"/>
        <v>233351.6448103383</v>
      </c>
    </row>
    <row r="51" spans="1:43" x14ac:dyDescent="0.55000000000000004">
      <c r="A51" s="316" t="s">
        <v>342</v>
      </c>
      <c r="B51" s="218" t="s">
        <v>343</v>
      </c>
      <c r="C51" s="218" t="s">
        <v>344</v>
      </c>
      <c r="D51" s="105" t="s">
        <v>345</v>
      </c>
      <c r="E51" s="100"/>
      <c r="F51" s="34"/>
      <c r="G51" s="34"/>
      <c r="H51" s="480">
        <v>6074.719927136859</v>
      </c>
      <c r="I51" s="480" t="s">
        <v>412</v>
      </c>
      <c r="J51" s="490">
        <v>2</v>
      </c>
      <c r="K51" s="504">
        <v>740</v>
      </c>
      <c r="L51" s="482">
        <f t="shared" si="10"/>
        <v>740</v>
      </c>
      <c r="M51" s="482"/>
      <c r="N51" s="536">
        <f t="shared" si="1"/>
        <v>740</v>
      </c>
      <c r="O51" s="496">
        <v>486.8037560810393</v>
      </c>
      <c r="P51" s="483">
        <f t="shared" si="11"/>
        <v>486.8037560810393</v>
      </c>
      <c r="Q51" s="483"/>
      <c r="R51" s="541">
        <f t="shared" si="2"/>
        <v>486.8037560810393</v>
      </c>
      <c r="S51" s="515">
        <v>3347.4854039009592</v>
      </c>
      <c r="T51" s="483">
        <f t="shared" si="12"/>
        <v>3347.4854039009592</v>
      </c>
      <c r="U51" s="483"/>
      <c r="V51" s="543">
        <f t="shared" si="3"/>
        <v>3347.4854039009592</v>
      </c>
      <c r="W51" s="515">
        <v>4897.2706090857473</v>
      </c>
      <c r="X51" s="483">
        <f t="shared" si="13"/>
        <v>4897.2706090857473</v>
      </c>
      <c r="Y51" s="483"/>
      <c r="Z51" s="543">
        <f t="shared" si="4"/>
        <v>0</v>
      </c>
      <c r="AA51" s="515">
        <v>3001.1641404185989</v>
      </c>
      <c r="AB51" s="483">
        <f t="shared" si="14"/>
        <v>3001.1641404185989</v>
      </c>
      <c r="AC51" s="483"/>
      <c r="AD51" s="543">
        <f t="shared" si="5"/>
        <v>3001.1641404185989</v>
      </c>
      <c r="AE51" s="515">
        <v>1215</v>
      </c>
      <c r="AF51" s="483">
        <f t="shared" si="15"/>
        <v>1215</v>
      </c>
      <c r="AG51" s="483"/>
      <c r="AH51" s="543">
        <f t="shared" si="6"/>
        <v>1215</v>
      </c>
      <c r="AI51" s="520">
        <v>3037.3599635684295</v>
      </c>
      <c r="AJ51" s="484">
        <f t="shared" si="16"/>
        <v>3037.3599635684295</v>
      </c>
      <c r="AK51" s="484"/>
      <c r="AL51" s="545">
        <f t="shared" si="7"/>
        <v>3037.3599635684295</v>
      </c>
      <c r="AM51" s="526">
        <v>5455.9984530766233</v>
      </c>
      <c r="AN51" s="485">
        <f t="shared" si="17"/>
        <v>5455.9984530766233</v>
      </c>
      <c r="AO51" s="485"/>
      <c r="AP51" s="543">
        <f t="shared" si="8"/>
        <v>5455.9984530766233</v>
      </c>
      <c r="AQ51" s="530">
        <f t="shared" si="9"/>
        <v>5455.9984530766233</v>
      </c>
    </row>
    <row r="52" spans="1:43" x14ac:dyDescent="0.55000000000000004">
      <c r="A52" s="316" t="s">
        <v>342</v>
      </c>
      <c r="B52" s="218" t="s">
        <v>343</v>
      </c>
      <c r="C52" s="218" t="s">
        <v>346</v>
      </c>
      <c r="D52" s="105" t="s">
        <v>347</v>
      </c>
      <c r="E52" s="100"/>
      <c r="F52" s="34"/>
      <c r="G52" s="34"/>
      <c r="H52" s="480">
        <v>30713.015967447398</v>
      </c>
      <c r="I52" s="480" t="s">
        <v>412</v>
      </c>
      <c r="J52" s="490">
        <v>1</v>
      </c>
      <c r="K52" s="504">
        <v>19468.75</v>
      </c>
      <c r="L52" s="482">
        <f t="shared" si="10"/>
        <v>19468.75</v>
      </c>
      <c r="M52" s="482"/>
      <c r="N52" s="536">
        <f t="shared" si="1"/>
        <v>19468.75</v>
      </c>
      <c r="O52" s="496">
        <v>10474.612669666001</v>
      </c>
      <c r="P52" s="483">
        <f t="shared" si="11"/>
        <v>10474.612669666001</v>
      </c>
      <c r="Q52" s="483"/>
      <c r="R52" s="541">
        <f t="shared" si="2"/>
        <v>10474.612669666001</v>
      </c>
      <c r="S52" s="515">
        <v>9891.9663615882655</v>
      </c>
      <c r="T52" s="483">
        <f t="shared" si="12"/>
        <v>9891.9663615882655</v>
      </c>
      <c r="U52" s="483"/>
      <c r="V52" s="543">
        <f t="shared" si="3"/>
        <v>9891.9663615882655</v>
      </c>
      <c r="W52" s="515">
        <v>21266.865942258526</v>
      </c>
      <c r="X52" s="483">
        <f t="shared" si="13"/>
        <v>21266.865942258526</v>
      </c>
      <c r="Y52" s="483"/>
      <c r="Z52" s="543">
        <f t="shared" si="4"/>
        <v>0</v>
      </c>
      <c r="AA52" s="515">
        <v>13521.010083917387</v>
      </c>
      <c r="AB52" s="483">
        <f t="shared" si="14"/>
        <v>13521.010083917387</v>
      </c>
      <c r="AC52" s="483"/>
      <c r="AD52" s="543">
        <f t="shared" si="5"/>
        <v>13521.010083917387</v>
      </c>
      <c r="AE52" s="515">
        <v>24497</v>
      </c>
      <c r="AF52" s="483">
        <f t="shared" si="15"/>
        <v>24497</v>
      </c>
      <c r="AG52" s="483"/>
      <c r="AH52" s="543">
        <f t="shared" si="6"/>
        <v>24497</v>
      </c>
      <c r="AI52" s="520">
        <v>24570.41277395792</v>
      </c>
      <c r="AJ52" s="484">
        <f t="shared" si="16"/>
        <v>24570.41277395792</v>
      </c>
      <c r="AK52" s="484"/>
      <c r="AL52" s="545">
        <f t="shared" si="7"/>
        <v>24570.41277395792</v>
      </c>
      <c r="AM52" s="526">
        <v>29304.162023986508</v>
      </c>
      <c r="AN52" s="485">
        <f t="shared" si="17"/>
        <v>29304.162023986508</v>
      </c>
      <c r="AO52" s="485"/>
      <c r="AP52" s="543">
        <f t="shared" si="8"/>
        <v>29304.162023986508</v>
      </c>
      <c r="AQ52" s="530">
        <f t="shared" si="9"/>
        <v>29304.162023986508</v>
      </c>
    </row>
    <row r="53" spans="1:43" x14ac:dyDescent="0.55000000000000004">
      <c r="A53" s="316" t="s">
        <v>342</v>
      </c>
      <c r="B53" s="218" t="s">
        <v>343</v>
      </c>
      <c r="C53" s="218" t="s">
        <v>348</v>
      </c>
      <c r="D53" s="105" t="s">
        <v>349</v>
      </c>
      <c r="E53" s="100"/>
      <c r="F53" s="34"/>
      <c r="G53" s="34"/>
      <c r="H53" s="480">
        <v>4270.8268474169781</v>
      </c>
      <c r="I53" s="480" t="s">
        <v>412</v>
      </c>
      <c r="J53" s="490">
        <v>2</v>
      </c>
      <c r="K53" s="504">
        <v>0</v>
      </c>
      <c r="L53" s="482">
        <f t="shared" si="10"/>
        <v>0</v>
      </c>
      <c r="M53" s="482"/>
      <c r="N53" s="536">
        <f t="shared" si="1"/>
        <v>0</v>
      </c>
      <c r="O53" s="496">
        <v>1471.4770882493167</v>
      </c>
      <c r="P53" s="483">
        <f t="shared" si="11"/>
        <v>1471.4770882493167</v>
      </c>
      <c r="Q53" s="483"/>
      <c r="R53" s="541">
        <f t="shared" si="2"/>
        <v>1471.4770882493167</v>
      </c>
      <c r="S53" s="515">
        <v>1455.4663953559398</v>
      </c>
      <c r="T53" s="483">
        <f t="shared" si="12"/>
        <v>1455.4663953559398</v>
      </c>
      <c r="U53" s="483"/>
      <c r="V53" s="543">
        <f t="shared" si="3"/>
        <v>1455.4663953559398</v>
      </c>
      <c r="W53" s="515">
        <v>3884.6441218386626</v>
      </c>
      <c r="X53" s="483">
        <f t="shared" si="13"/>
        <v>3884.6441218386626</v>
      </c>
      <c r="Y53" s="483"/>
      <c r="Z53" s="543">
        <f t="shared" si="4"/>
        <v>0</v>
      </c>
      <c r="AA53" s="515">
        <v>1854.771206867475</v>
      </c>
      <c r="AB53" s="483">
        <f t="shared" si="14"/>
        <v>1854.771206867475</v>
      </c>
      <c r="AC53" s="483"/>
      <c r="AD53" s="543">
        <f t="shared" si="5"/>
        <v>1854.771206867475</v>
      </c>
      <c r="AE53" s="515">
        <v>3417</v>
      </c>
      <c r="AF53" s="483">
        <f t="shared" si="15"/>
        <v>3417</v>
      </c>
      <c r="AG53" s="483"/>
      <c r="AH53" s="543">
        <f t="shared" si="6"/>
        <v>3417</v>
      </c>
      <c r="AI53" s="520">
        <v>4270.8268474169781</v>
      </c>
      <c r="AJ53" s="484">
        <f t="shared" si="16"/>
        <v>4270.8268474169781</v>
      </c>
      <c r="AK53" s="484"/>
      <c r="AL53" s="545">
        <f t="shared" si="7"/>
        <v>4270.8268474169781</v>
      </c>
      <c r="AM53" s="526">
        <v>1449.7302142608091</v>
      </c>
      <c r="AN53" s="485">
        <f t="shared" si="17"/>
        <v>1449.7302142608091</v>
      </c>
      <c r="AO53" s="485"/>
      <c r="AP53" s="543">
        <f t="shared" si="8"/>
        <v>1449.7302142608091</v>
      </c>
      <c r="AQ53" s="530">
        <f t="shared" si="9"/>
        <v>4270.8268474169781</v>
      </c>
    </row>
    <row r="54" spans="1:43" x14ac:dyDescent="0.55000000000000004">
      <c r="A54" s="316" t="s">
        <v>342</v>
      </c>
      <c r="B54" s="218" t="s">
        <v>343</v>
      </c>
      <c r="C54" s="218" t="s">
        <v>350</v>
      </c>
      <c r="D54" s="105" t="s">
        <v>351</v>
      </c>
      <c r="E54" s="100"/>
      <c r="F54" s="34"/>
      <c r="G54" s="34"/>
      <c r="H54" s="480">
        <v>17587.64076058444</v>
      </c>
      <c r="I54" s="480" t="s">
        <v>412</v>
      </c>
      <c r="J54" s="490">
        <v>1</v>
      </c>
      <c r="K54" s="504">
        <v>15476.25</v>
      </c>
      <c r="L54" s="482">
        <f t="shared" si="10"/>
        <v>15476.25</v>
      </c>
      <c r="M54" s="482"/>
      <c r="N54" s="536">
        <f t="shared" si="1"/>
        <v>15476.25</v>
      </c>
      <c r="O54" s="496">
        <v>0</v>
      </c>
      <c r="P54" s="483">
        <f t="shared" si="11"/>
        <v>0</v>
      </c>
      <c r="Q54" s="483"/>
      <c r="R54" s="541">
        <f t="shared" si="2"/>
        <v>0</v>
      </c>
      <c r="S54" s="515">
        <v>6587.4605130774107</v>
      </c>
      <c r="T54" s="483">
        <f t="shared" si="12"/>
        <v>6587.4605130774107</v>
      </c>
      <c r="U54" s="483"/>
      <c r="V54" s="543">
        <f t="shared" si="3"/>
        <v>6587.4605130774107</v>
      </c>
      <c r="W54" s="515">
        <v>15813.857369323312</v>
      </c>
      <c r="X54" s="483">
        <f t="shared" si="13"/>
        <v>15813.857369323312</v>
      </c>
      <c r="Y54" s="483"/>
      <c r="Z54" s="543">
        <f t="shared" si="4"/>
        <v>0</v>
      </c>
      <c r="AA54" s="515">
        <v>10860.326796665742</v>
      </c>
      <c r="AB54" s="483">
        <f t="shared" si="14"/>
        <v>10860.326796665742</v>
      </c>
      <c r="AC54" s="483"/>
      <c r="AD54" s="543">
        <f t="shared" si="5"/>
        <v>10860.326796665742</v>
      </c>
      <c r="AE54" s="515">
        <v>14010</v>
      </c>
      <c r="AF54" s="483">
        <f t="shared" si="15"/>
        <v>14010</v>
      </c>
      <c r="AG54" s="483"/>
      <c r="AH54" s="543">
        <f t="shared" si="6"/>
        <v>14010</v>
      </c>
      <c r="AI54" s="520">
        <v>10992.275475365275</v>
      </c>
      <c r="AJ54" s="484">
        <f t="shared" si="16"/>
        <v>10992.275475365275</v>
      </c>
      <c r="AK54" s="484"/>
      <c r="AL54" s="545">
        <f t="shared" si="7"/>
        <v>10992.275475365275</v>
      </c>
      <c r="AM54" s="526">
        <v>13190.730570438327</v>
      </c>
      <c r="AN54" s="485">
        <f t="shared" si="17"/>
        <v>13190.730570438327</v>
      </c>
      <c r="AO54" s="485"/>
      <c r="AP54" s="543">
        <f t="shared" si="8"/>
        <v>13190.730570438327</v>
      </c>
      <c r="AQ54" s="530">
        <f t="shared" si="9"/>
        <v>15476.25</v>
      </c>
    </row>
    <row r="55" spans="1:43" x14ac:dyDescent="0.55000000000000004">
      <c r="A55" s="316" t="s">
        <v>342</v>
      </c>
      <c r="B55" s="218" t="s">
        <v>343</v>
      </c>
      <c r="C55" s="218" t="s">
        <v>352</v>
      </c>
      <c r="D55" s="105" t="s">
        <v>353</v>
      </c>
      <c r="E55" s="100"/>
      <c r="F55" s="34"/>
      <c r="G55" s="34"/>
      <c r="H55" s="480">
        <v>10736.997624544605</v>
      </c>
      <c r="I55" s="480" t="s">
        <v>412</v>
      </c>
      <c r="J55" s="490">
        <v>1</v>
      </c>
      <c r="K55" s="504">
        <v>7217.5</v>
      </c>
      <c r="L55" s="482">
        <f t="shared" si="10"/>
        <v>7217.5</v>
      </c>
      <c r="M55" s="482"/>
      <c r="N55" s="536">
        <f t="shared" si="1"/>
        <v>7217.5</v>
      </c>
      <c r="O55" s="496">
        <v>3698.0957753325883</v>
      </c>
      <c r="P55" s="483">
        <f t="shared" si="11"/>
        <v>3698.0957753325883</v>
      </c>
      <c r="Q55" s="483"/>
      <c r="R55" s="541">
        <f t="shared" si="2"/>
        <v>3698.0957753325883</v>
      </c>
      <c r="S55" s="515">
        <v>3331.5582463381697</v>
      </c>
      <c r="T55" s="483">
        <f t="shared" si="12"/>
        <v>3331.5582463381697</v>
      </c>
      <c r="U55" s="483"/>
      <c r="V55" s="543">
        <f t="shared" si="3"/>
        <v>3331.5582463381697</v>
      </c>
      <c r="W55" s="515">
        <v>6994.220324453735</v>
      </c>
      <c r="X55" s="483">
        <f t="shared" si="13"/>
        <v>6994.220324453735</v>
      </c>
      <c r="Y55" s="483"/>
      <c r="Z55" s="543">
        <f t="shared" si="4"/>
        <v>0</v>
      </c>
      <c r="AA55" s="515">
        <v>6107.5659290461826</v>
      </c>
      <c r="AB55" s="483">
        <f t="shared" si="14"/>
        <v>6107.5659290461826</v>
      </c>
      <c r="AC55" s="483"/>
      <c r="AD55" s="543">
        <f t="shared" si="5"/>
        <v>6107.5659290461826</v>
      </c>
      <c r="AE55" s="515">
        <v>7487</v>
      </c>
      <c r="AF55" s="483">
        <f t="shared" si="15"/>
        <v>7487</v>
      </c>
      <c r="AG55" s="483"/>
      <c r="AH55" s="543">
        <f t="shared" si="6"/>
        <v>7487</v>
      </c>
      <c r="AI55" s="520">
        <v>10736.997624544605</v>
      </c>
      <c r="AJ55" s="484">
        <f t="shared" si="16"/>
        <v>10736.997624544605</v>
      </c>
      <c r="AK55" s="484"/>
      <c r="AL55" s="545">
        <f t="shared" si="7"/>
        <v>10736.997624544605</v>
      </c>
      <c r="AM55" s="526">
        <v>5368.4988122723025</v>
      </c>
      <c r="AN55" s="485">
        <f t="shared" si="17"/>
        <v>5368.4988122723025</v>
      </c>
      <c r="AO55" s="485"/>
      <c r="AP55" s="543">
        <f t="shared" si="8"/>
        <v>5368.4988122723025</v>
      </c>
      <c r="AQ55" s="530">
        <f t="shared" si="9"/>
        <v>10736.997624544605</v>
      </c>
    </row>
    <row r="56" spans="1:43" x14ac:dyDescent="0.55000000000000004">
      <c r="A56" s="316" t="s">
        <v>342</v>
      </c>
      <c r="B56" s="218" t="s">
        <v>343</v>
      </c>
      <c r="C56" s="218" t="s">
        <v>354</v>
      </c>
      <c r="D56" s="105" t="s">
        <v>355</v>
      </c>
      <c r="E56" s="100"/>
      <c r="F56" s="34"/>
      <c r="G56" s="34"/>
      <c r="H56" s="480">
        <v>541.05925656197849</v>
      </c>
      <c r="I56" s="480" t="s">
        <v>412</v>
      </c>
      <c r="J56" s="490">
        <v>4</v>
      </c>
      <c r="K56" s="504">
        <v>0</v>
      </c>
      <c r="L56" s="482"/>
      <c r="M56" s="482"/>
      <c r="N56" s="536">
        <f t="shared" si="1"/>
        <v>0</v>
      </c>
      <c r="O56" s="496">
        <v>101.68949018639236</v>
      </c>
      <c r="P56" s="483"/>
      <c r="Q56" s="483"/>
      <c r="R56" s="541">
        <f t="shared" si="2"/>
        <v>0</v>
      </c>
      <c r="S56" s="515">
        <v>172.35776823736074</v>
      </c>
      <c r="T56" s="483"/>
      <c r="U56" s="483"/>
      <c r="V56" s="543">
        <f t="shared" si="3"/>
        <v>0</v>
      </c>
      <c r="W56" s="515">
        <v>323.57340367304914</v>
      </c>
      <c r="X56" s="483"/>
      <c r="Y56" s="483"/>
      <c r="Z56" s="543">
        <f t="shared" si="4"/>
        <v>0</v>
      </c>
      <c r="AA56" s="515">
        <v>237.26650978335931</v>
      </c>
      <c r="AB56" s="483"/>
      <c r="AC56" s="483"/>
      <c r="AD56" s="543">
        <f t="shared" si="5"/>
        <v>0</v>
      </c>
      <c r="AE56" s="515">
        <v>379</v>
      </c>
      <c r="AF56" s="483"/>
      <c r="AG56" s="483"/>
      <c r="AH56" s="543">
        <f t="shared" si="6"/>
        <v>0</v>
      </c>
      <c r="AI56" s="520">
        <v>0</v>
      </c>
      <c r="AJ56" s="484"/>
      <c r="AK56" s="484"/>
      <c r="AL56" s="545">
        <f t="shared" si="7"/>
        <v>0</v>
      </c>
      <c r="AM56" s="526">
        <v>435.8532900082605</v>
      </c>
      <c r="AN56" s="485"/>
      <c r="AO56" s="485"/>
      <c r="AP56" s="543">
        <f t="shared" si="8"/>
        <v>0</v>
      </c>
      <c r="AQ56" s="530">
        <f t="shared" si="9"/>
        <v>0</v>
      </c>
    </row>
    <row r="57" spans="1:43" x14ac:dyDescent="0.55000000000000004">
      <c r="A57" s="316" t="s">
        <v>342</v>
      </c>
      <c r="B57" s="218" t="s">
        <v>343</v>
      </c>
      <c r="C57" s="218" t="s">
        <v>356</v>
      </c>
      <c r="D57" s="105" t="s">
        <v>357</v>
      </c>
      <c r="E57" s="100"/>
      <c r="F57" s="34"/>
      <c r="G57" s="34"/>
      <c r="H57" s="480">
        <v>107560.86765914821</v>
      </c>
      <c r="I57" s="480" t="s">
        <v>412</v>
      </c>
      <c r="J57" s="490">
        <v>1</v>
      </c>
      <c r="K57" s="504">
        <v>74185</v>
      </c>
      <c r="L57" s="482">
        <f t="shared" si="10"/>
        <v>74185</v>
      </c>
      <c r="M57" s="482"/>
      <c r="N57" s="536">
        <f t="shared" si="1"/>
        <v>74185</v>
      </c>
      <c r="O57" s="496">
        <v>3013.7694631152058</v>
      </c>
      <c r="P57" s="483">
        <f t="shared" si="11"/>
        <v>3013.7694631152058</v>
      </c>
      <c r="Q57" s="483"/>
      <c r="R57" s="541">
        <f t="shared" si="2"/>
        <v>3013.7694631152058</v>
      </c>
      <c r="S57" s="515">
        <v>39329.93079403638</v>
      </c>
      <c r="T57" s="483">
        <f t="shared" si="12"/>
        <v>39329.93079403638</v>
      </c>
      <c r="U57" s="483"/>
      <c r="V57" s="543">
        <f t="shared" si="3"/>
        <v>39329.93079403638</v>
      </c>
      <c r="W57" s="515">
        <v>87059.249524592815</v>
      </c>
      <c r="X57" s="483">
        <f t="shared" si="13"/>
        <v>87059.249524592815</v>
      </c>
      <c r="Y57" s="483"/>
      <c r="Z57" s="543">
        <f t="shared" si="4"/>
        <v>0</v>
      </c>
      <c r="AA57" s="515">
        <v>72678.61042533537</v>
      </c>
      <c r="AB57" s="483">
        <f t="shared" si="14"/>
        <v>72678.61042533537</v>
      </c>
      <c r="AC57" s="483"/>
      <c r="AD57" s="543">
        <f t="shared" si="5"/>
        <v>72678.61042533537</v>
      </c>
      <c r="AE57" s="515">
        <v>75082</v>
      </c>
      <c r="AF57" s="483">
        <f t="shared" si="15"/>
        <v>75082</v>
      </c>
      <c r="AG57" s="483"/>
      <c r="AH57" s="543">
        <f t="shared" si="6"/>
        <v>75082</v>
      </c>
      <c r="AI57" s="520">
        <v>85703.579043920239</v>
      </c>
      <c r="AJ57" s="484">
        <f t="shared" si="16"/>
        <v>85703.579043920239</v>
      </c>
      <c r="AK57" s="484"/>
      <c r="AL57" s="545">
        <f t="shared" si="7"/>
        <v>85703.579043920239</v>
      </c>
      <c r="AM57" s="526">
        <v>85273.480666712072</v>
      </c>
      <c r="AN57" s="485">
        <f t="shared" si="17"/>
        <v>85273.480666712072</v>
      </c>
      <c r="AO57" s="485"/>
      <c r="AP57" s="543">
        <f t="shared" si="8"/>
        <v>85273.480666712072</v>
      </c>
      <c r="AQ57" s="530">
        <f t="shared" si="9"/>
        <v>85703.579043920239</v>
      </c>
    </row>
    <row r="58" spans="1:43" x14ac:dyDescent="0.55000000000000004">
      <c r="A58" s="316" t="s">
        <v>342</v>
      </c>
      <c r="B58" s="218" t="s">
        <v>343</v>
      </c>
      <c r="C58" s="218" t="s">
        <v>358</v>
      </c>
      <c r="D58" s="105" t="s">
        <v>359</v>
      </c>
      <c r="E58" s="100"/>
      <c r="F58" s="34"/>
      <c r="G58" s="34"/>
      <c r="H58" s="480">
        <v>19743.531183340554</v>
      </c>
      <c r="I58" s="480" t="s">
        <v>412</v>
      </c>
      <c r="J58" s="490">
        <v>3</v>
      </c>
      <c r="K58" s="504">
        <v>0</v>
      </c>
      <c r="L58" s="482"/>
      <c r="M58" s="482">
        <f t="shared" si="18"/>
        <v>0</v>
      </c>
      <c r="N58" s="536">
        <f t="shared" si="1"/>
        <v>0</v>
      </c>
      <c r="O58" s="496">
        <v>2123.7721623295765</v>
      </c>
      <c r="P58" s="483"/>
      <c r="Q58" s="483">
        <f t="shared" si="19"/>
        <v>1061.8860811647883</v>
      </c>
      <c r="R58" s="541">
        <f t="shared" si="2"/>
        <v>1061.8860811647883</v>
      </c>
      <c r="S58" s="515">
        <v>7457.1688528865989</v>
      </c>
      <c r="T58" s="483"/>
      <c r="U58" s="483">
        <f t="shared" si="20"/>
        <v>3728.5844264432994</v>
      </c>
      <c r="V58" s="543">
        <f t="shared" si="3"/>
        <v>3728.5844264432994</v>
      </c>
      <c r="W58" s="515">
        <v>13885.140815532421</v>
      </c>
      <c r="X58" s="483"/>
      <c r="Y58" s="483">
        <f t="shared" si="21"/>
        <v>6942.5704077662103</v>
      </c>
      <c r="Z58" s="543">
        <f t="shared" si="4"/>
        <v>6942.5704077662103</v>
      </c>
      <c r="AA58" s="515">
        <v>9737.7592085402703</v>
      </c>
      <c r="AB58" s="483"/>
      <c r="AC58" s="483">
        <f t="shared" si="22"/>
        <v>4868.8796042701351</v>
      </c>
      <c r="AD58" s="543">
        <f t="shared" si="5"/>
        <v>4868.8796042701351</v>
      </c>
      <c r="AE58" s="515">
        <v>13821</v>
      </c>
      <c r="AF58" s="483"/>
      <c r="AG58" s="483">
        <f t="shared" si="23"/>
        <v>6910.5</v>
      </c>
      <c r="AH58" s="543">
        <f t="shared" si="6"/>
        <v>6910.5</v>
      </c>
      <c r="AI58" s="520">
        <v>11957.349871600618</v>
      </c>
      <c r="AJ58" s="484"/>
      <c r="AK58" s="484">
        <f t="shared" si="24"/>
        <v>5978.674935800309</v>
      </c>
      <c r="AL58" s="545">
        <f t="shared" si="7"/>
        <v>5978.674935800309</v>
      </c>
      <c r="AM58" s="526">
        <v>16635.753126703614</v>
      </c>
      <c r="AN58" s="485"/>
      <c r="AO58" s="485">
        <f t="shared" si="25"/>
        <v>8317.8765633518069</v>
      </c>
      <c r="AP58" s="543">
        <f t="shared" si="8"/>
        <v>8317.8765633518069</v>
      </c>
      <c r="AQ58" s="530">
        <f t="shared" si="9"/>
        <v>8317.8765633518069</v>
      </c>
    </row>
    <row r="59" spans="1:43" x14ac:dyDescent="0.55000000000000004">
      <c r="A59" s="316" t="s">
        <v>342</v>
      </c>
      <c r="B59" s="218" t="s">
        <v>343</v>
      </c>
      <c r="C59" s="218" t="s">
        <v>360</v>
      </c>
      <c r="D59" s="105" t="s">
        <v>361</v>
      </c>
      <c r="E59" s="100"/>
      <c r="F59" s="34"/>
      <c r="G59" s="34"/>
      <c r="H59" s="480">
        <v>33846.254411291047</v>
      </c>
      <c r="I59" s="480" t="s">
        <v>412</v>
      </c>
      <c r="J59" s="490">
        <v>4</v>
      </c>
      <c r="K59" s="504">
        <v>27668.75</v>
      </c>
      <c r="L59" s="482"/>
      <c r="M59" s="482"/>
      <c r="N59" s="536">
        <f t="shared" si="1"/>
        <v>0</v>
      </c>
      <c r="O59" s="496">
        <v>7214.4408204062447</v>
      </c>
      <c r="P59" s="483"/>
      <c r="Q59" s="483"/>
      <c r="R59" s="541">
        <f t="shared" si="2"/>
        <v>0</v>
      </c>
      <c r="S59" s="515">
        <v>12061.434048358844</v>
      </c>
      <c r="T59" s="483"/>
      <c r="U59" s="483"/>
      <c r="V59" s="543">
        <f t="shared" si="3"/>
        <v>0</v>
      </c>
      <c r="W59" s="515">
        <v>22661.952052378263</v>
      </c>
      <c r="X59" s="483"/>
      <c r="Y59" s="483"/>
      <c r="Z59" s="543">
        <f t="shared" si="4"/>
        <v>0</v>
      </c>
      <c r="AA59" s="515">
        <v>16478.699802361254</v>
      </c>
      <c r="AB59" s="483"/>
      <c r="AC59" s="483"/>
      <c r="AD59" s="543">
        <f t="shared" si="5"/>
        <v>0</v>
      </c>
      <c r="AE59" s="515">
        <v>21793</v>
      </c>
      <c r="AF59" s="483"/>
      <c r="AG59" s="483"/>
      <c r="AH59" s="543">
        <f t="shared" si="6"/>
        <v>0</v>
      </c>
      <c r="AI59" s="520">
        <v>0</v>
      </c>
      <c r="AJ59" s="484"/>
      <c r="AK59" s="484"/>
      <c r="AL59" s="545">
        <f t="shared" si="7"/>
        <v>0</v>
      </c>
      <c r="AM59" s="526">
        <v>3133.912445489912</v>
      </c>
      <c r="AN59" s="485"/>
      <c r="AO59" s="485"/>
      <c r="AP59" s="543">
        <f t="shared" si="8"/>
        <v>0</v>
      </c>
      <c r="AQ59" s="530">
        <f t="shared" si="9"/>
        <v>0</v>
      </c>
    </row>
    <row r="60" spans="1:43" x14ac:dyDescent="0.55000000000000004">
      <c r="A60" s="316" t="s">
        <v>342</v>
      </c>
      <c r="B60" s="218" t="s">
        <v>343</v>
      </c>
      <c r="C60" s="218" t="s">
        <v>362</v>
      </c>
      <c r="D60" s="105" t="s">
        <v>363</v>
      </c>
      <c r="E60" s="100"/>
      <c r="F60" s="34"/>
      <c r="G60" s="34"/>
      <c r="H60" s="480">
        <v>17038.14092740557</v>
      </c>
      <c r="I60" s="480" t="s">
        <v>412</v>
      </c>
      <c r="J60" s="490">
        <v>2</v>
      </c>
      <c r="K60" s="504">
        <v>2480</v>
      </c>
      <c r="L60" s="482">
        <f t="shared" si="10"/>
        <v>2480</v>
      </c>
      <c r="M60" s="482"/>
      <c r="N60" s="536">
        <f t="shared" si="1"/>
        <v>2480</v>
      </c>
      <c r="O60" s="496">
        <v>1409.2553047593842</v>
      </c>
      <c r="P60" s="483">
        <f t="shared" si="11"/>
        <v>1409.2553047593842</v>
      </c>
      <c r="Q60" s="483"/>
      <c r="R60" s="541">
        <f t="shared" si="2"/>
        <v>1409.2553047593842</v>
      </c>
      <c r="S60" s="515">
        <v>8248.3502247827291</v>
      </c>
      <c r="T60" s="483">
        <f t="shared" si="12"/>
        <v>8248.3502247827291</v>
      </c>
      <c r="U60" s="483"/>
      <c r="V60" s="543">
        <f t="shared" si="3"/>
        <v>8248.3502247827291</v>
      </c>
      <c r="W60" s="515">
        <v>14303.487592208576</v>
      </c>
      <c r="X60" s="483">
        <f t="shared" si="13"/>
        <v>14303.487592208576</v>
      </c>
      <c r="Y60" s="483"/>
      <c r="Z60" s="543">
        <f t="shared" si="4"/>
        <v>0</v>
      </c>
      <c r="AA60" s="515">
        <v>10357.715611792308</v>
      </c>
      <c r="AB60" s="483">
        <f t="shared" si="14"/>
        <v>10357.715611792308</v>
      </c>
      <c r="AC60" s="483"/>
      <c r="AD60" s="543">
        <f t="shared" si="5"/>
        <v>10357.715611792308</v>
      </c>
      <c r="AE60" s="515">
        <v>13630</v>
      </c>
      <c r="AF60" s="483">
        <f t="shared" si="15"/>
        <v>13630</v>
      </c>
      <c r="AG60" s="483"/>
      <c r="AH60" s="543">
        <f t="shared" si="6"/>
        <v>13630</v>
      </c>
      <c r="AI60" s="520">
        <v>14074.985983508948</v>
      </c>
      <c r="AJ60" s="484">
        <f t="shared" si="16"/>
        <v>14074.985983508948</v>
      </c>
      <c r="AK60" s="484"/>
      <c r="AL60" s="545">
        <f t="shared" si="7"/>
        <v>14074.985983508948</v>
      </c>
      <c r="AM60" s="526">
        <v>16263.67997615986</v>
      </c>
      <c r="AN60" s="485">
        <f t="shared" si="17"/>
        <v>16263.67997615986</v>
      </c>
      <c r="AO60" s="485"/>
      <c r="AP60" s="543">
        <f t="shared" si="8"/>
        <v>16263.67997615986</v>
      </c>
      <c r="AQ60" s="530">
        <f t="shared" si="9"/>
        <v>16263.67997615986</v>
      </c>
    </row>
    <row r="61" spans="1:43" x14ac:dyDescent="0.55000000000000004">
      <c r="A61" s="316" t="s">
        <v>342</v>
      </c>
      <c r="B61" s="218" t="s">
        <v>343</v>
      </c>
      <c r="C61" s="218" t="s">
        <v>364</v>
      </c>
      <c r="D61" s="105" t="s">
        <v>365</v>
      </c>
      <c r="E61" s="100"/>
      <c r="F61" s="34"/>
      <c r="G61" s="34"/>
      <c r="H61" s="480">
        <v>119449.90934019189</v>
      </c>
      <c r="I61" s="480" t="s">
        <v>412</v>
      </c>
      <c r="J61" s="490">
        <v>1</v>
      </c>
      <c r="K61" s="504">
        <v>14442.5</v>
      </c>
      <c r="L61" s="482">
        <f t="shared" si="10"/>
        <v>14442.5</v>
      </c>
      <c r="M61" s="482"/>
      <c r="N61" s="536">
        <f t="shared" si="1"/>
        <v>14442.5</v>
      </c>
      <c r="O61" s="496">
        <v>21877.250895656147</v>
      </c>
      <c r="P61" s="483">
        <f t="shared" si="11"/>
        <v>21877.250895656147</v>
      </c>
      <c r="Q61" s="483"/>
      <c r="R61" s="541">
        <f t="shared" si="2"/>
        <v>21877.250895656147</v>
      </c>
      <c r="S61" s="515">
        <v>35482.086558697258</v>
      </c>
      <c r="T61" s="483">
        <f t="shared" si="12"/>
        <v>35482.086558697258</v>
      </c>
      <c r="U61" s="483"/>
      <c r="V61" s="543">
        <f t="shared" si="3"/>
        <v>35482.086558697258</v>
      </c>
      <c r="W61" s="515">
        <v>79879.706711881663</v>
      </c>
      <c r="X61" s="483">
        <f t="shared" si="13"/>
        <v>79879.706711881663</v>
      </c>
      <c r="Y61" s="483"/>
      <c r="Z61" s="543">
        <f t="shared" si="4"/>
        <v>0</v>
      </c>
      <c r="AA61" s="515">
        <v>50475.166102858719</v>
      </c>
      <c r="AB61" s="483">
        <f t="shared" si="14"/>
        <v>50475.166102858719</v>
      </c>
      <c r="AC61" s="483"/>
      <c r="AD61" s="543">
        <f t="shared" si="5"/>
        <v>50475.166102858719</v>
      </c>
      <c r="AE61" s="515">
        <v>83615</v>
      </c>
      <c r="AF61" s="483">
        <f t="shared" si="15"/>
        <v>83615</v>
      </c>
      <c r="AG61" s="483"/>
      <c r="AH61" s="543">
        <f t="shared" si="6"/>
        <v>83615</v>
      </c>
      <c r="AI61" s="520">
        <v>39816.636446730634</v>
      </c>
      <c r="AJ61" s="484">
        <f t="shared" si="16"/>
        <v>39816.636446730634</v>
      </c>
      <c r="AK61" s="484"/>
      <c r="AL61" s="545">
        <f t="shared" si="7"/>
        <v>39816.636446730634</v>
      </c>
      <c r="AM61" s="526">
        <v>57512.919311944243</v>
      </c>
      <c r="AN61" s="485">
        <f t="shared" si="17"/>
        <v>57512.919311944243</v>
      </c>
      <c r="AO61" s="485"/>
      <c r="AP61" s="543">
        <f t="shared" si="8"/>
        <v>57512.919311944243</v>
      </c>
      <c r="AQ61" s="530">
        <f t="shared" si="9"/>
        <v>83615</v>
      </c>
    </row>
    <row r="62" spans="1:43" x14ac:dyDescent="0.55000000000000004">
      <c r="A62" s="316" t="s">
        <v>342</v>
      </c>
      <c r="B62" s="218" t="s">
        <v>343</v>
      </c>
      <c r="C62" s="218" t="s">
        <v>366</v>
      </c>
      <c r="D62" s="105" t="s">
        <v>367</v>
      </c>
      <c r="E62" s="100"/>
      <c r="F62" s="34"/>
      <c r="G62" s="34"/>
      <c r="H62" s="480">
        <v>18966</v>
      </c>
      <c r="I62" s="480" t="s">
        <v>412</v>
      </c>
      <c r="J62" s="490">
        <v>1</v>
      </c>
      <c r="K62" s="504">
        <v>18966</v>
      </c>
      <c r="L62" s="482">
        <f t="shared" si="10"/>
        <v>18966</v>
      </c>
      <c r="M62" s="482"/>
      <c r="N62" s="536">
        <f t="shared" si="1"/>
        <v>18966</v>
      </c>
      <c r="O62" s="496">
        <v>6161.2947599999998</v>
      </c>
      <c r="P62" s="483">
        <f t="shared" si="11"/>
        <v>6161.2947599999998</v>
      </c>
      <c r="Q62" s="483"/>
      <c r="R62" s="541">
        <f t="shared" si="2"/>
        <v>6161.2947599999998</v>
      </c>
      <c r="S62" s="515">
        <v>6832.5707043785615</v>
      </c>
      <c r="T62" s="483">
        <f t="shared" si="12"/>
        <v>6832.5707043785615</v>
      </c>
      <c r="U62" s="483"/>
      <c r="V62" s="543">
        <f t="shared" si="3"/>
        <v>6832.5707043785615</v>
      </c>
      <c r="W62" s="515">
        <v>16512.268942576724</v>
      </c>
      <c r="X62" s="483">
        <f t="shared" si="13"/>
        <v>16512.268942576724</v>
      </c>
      <c r="Y62" s="483"/>
      <c r="Z62" s="543">
        <f t="shared" si="4"/>
        <v>0</v>
      </c>
      <c r="AA62" s="515">
        <v>12227.112267970875</v>
      </c>
      <c r="AB62" s="483">
        <f t="shared" si="14"/>
        <v>12227.112267970875</v>
      </c>
      <c r="AC62" s="483"/>
      <c r="AD62" s="543">
        <f t="shared" si="5"/>
        <v>12227.112267970875</v>
      </c>
      <c r="AE62" s="515">
        <v>15173</v>
      </c>
      <c r="AF62" s="483">
        <f t="shared" si="15"/>
        <v>15173</v>
      </c>
      <c r="AG62" s="483"/>
      <c r="AH62" s="543">
        <f t="shared" si="6"/>
        <v>15173</v>
      </c>
      <c r="AI62" s="520">
        <v>12644</v>
      </c>
      <c r="AJ62" s="484">
        <f t="shared" si="16"/>
        <v>12644</v>
      </c>
      <c r="AK62" s="484"/>
      <c r="AL62" s="545">
        <f t="shared" si="7"/>
        <v>12644</v>
      </c>
      <c r="AM62" s="526">
        <v>14224.500000000002</v>
      </c>
      <c r="AN62" s="485">
        <f t="shared" si="17"/>
        <v>14224.500000000002</v>
      </c>
      <c r="AO62" s="485"/>
      <c r="AP62" s="543">
        <f t="shared" si="8"/>
        <v>14224.500000000002</v>
      </c>
      <c r="AQ62" s="530">
        <f t="shared" si="9"/>
        <v>18966</v>
      </c>
    </row>
    <row r="63" spans="1:43" x14ac:dyDescent="0.55000000000000004">
      <c r="A63" s="316" t="s">
        <v>368</v>
      </c>
      <c r="B63" s="218" t="s">
        <v>369</v>
      </c>
      <c r="C63" s="218" t="s">
        <v>370</v>
      </c>
      <c r="D63" s="105" t="s">
        <v>371</v>
      </c>
      <c r="E63" s="100"/>
      <c r="F63" s="34"/>
      <c r="G63" s="34"/>
      <c r="H63" s="480">
        <v>18326.432795999659</v>
      </c>
      <c r="I63" s="480" t="s">
        <v>412</v>
      </c>
      <c r="J63" s="490">
        <v>3</v>
      </c>
      <c r="K63" s="504">
        <v>0</v>
      </c>
      <c r="L63" s="482"/>
      <c r="M63" s="482">
        <f t="shared" si="18"/>
        <v>0</v>
      </c>
      <c r="N63" s="536">
        <f t="shared" si="1"/>
        <v>0</v>
      </c>
      <c r="O63" s="496">
        <v>6898.0693044142718</v>
      </c>
      <c r="P63" s="483"/>
      <c r="Q63" s="483">
        <f t="shared" si="19"/>
        <v>3449.0346522071359</v>
      </c>
      <c r="R63" s="541">
        <f t="shared" si="2"/>
        <v>3449.0346522071359</v>
      </c>
      <c r="S63" s="515">
        <v>6544.1632097958354</v>
      </c>
      <c r="T63" s="483"/>
      <c r="U63" s="483">
        <f t="shared" si="20"/>
        <v>3272.0816048979177</v>
      </c>
      <c r="V63" s="543">
        <f t="shared" si="3"/>
        <v>3272.0816048979177</v>
      </c>
      <c r="W63" s="515">
        <v>10733.781411342512</v>
      </c>
      <c r="X63" s="483"/>
      <c r="Y63" s="483">
        <f t="shared" si="21"/>
        <v>5366.890705671256</v>
      </c>
      <c r="Z63" s="543">
        <f t="shared" si="4"/>
        <v>5366.890705671256</v>
      </c>
      <c r="AA63" s="515">
        <v>8819.012139698023</v>
      </c>
      <c r="AB63" s="483"/>
      <c r="AC63" s="483">
        <f t="shared" si="22"/>
        <v>4409.5060698490115</v>
      </c>
      <c r="AD63" s="543">
        <f t="shared" si="5"/>
        <v>4409.5060698490115</v>
      </c>
      <c r="AE63" s="515">
        <v>12072</v>
      </c>
      <c r="AF63" s="483"/>
      <c r="AG63" s="483">
        <f t="shared" si="23"/>
        <v>6036</v>
      </c>
      <c r="AH63" s="543">
        <f t="shared" si="6"/>
        <v>6036</v>
      </c>
      <c r="AI63" s="520">
        <v>14399.340053999733</v>
      </c>
      <c r="AJ63" s="484"/>
      <c r="AK63" s="484">
        <f t="shared" si="24"/>
        <v>7199.6700269998664</v>
      </c>
      <c r="AL63" s="545">
        <f t="shared" si="7"/>
        <v>7199.6700269998664</v>
      </c>
      <c r="AM63" s="526">
        <v>6108.8109319998857</v>
      </c>
      <c r="AN63" s="485"/>
      <c r="AO63" s="485">
        <f t="shared" si="25"/>
        <v>3054.4054659999429</v>
      </c>
      <c r="AP63" s="543">
        <f t="shared" si="8"/>
        <v>3054.4054659999429</v>
      </c>
      <c r="AQ63" s="530">
        <f t="shared" si="9"/>
        <v>7199.6700269998664</v>
      </c>
    </row>
    <row r="64" spans="1:43" x14ac:dyDescent="0.55000000000000004">
      <c r="A64" s="316" t="s">
        <v>368</v>
      </c>
      <c r="B64" s="218" t="s">
        <v>369</v>
      </c>
      <c r="C64" s="218" t="s">
        <v>372</v>
      </c>
      <c r="D64" s="105" t="s">
        <v>373</v>
      </c>
      <c r="E64" s="100"/>
      <c r="F64" s="34"/>
      <c r="G64" s="34"/>
      <c r="H64" s="480">
        <v>24686.538616861621</v>
      </c>
      <c r="I64" s="480" t="s">
        <v>412</v>
      </c>
      <c r="J64" s="490">
        <v>3</v>
      </c>
      <c r="K64" s="504">
        <v>2611.25</v>
      </c>
      <c r="L64" s="482"/>
      <c r="M64" s="482">
        <f t="shared" si="18"/>
        <v>1305.625</v>
      </c>
      <c r="N64" s="536">
        <f t="shared" si="1"/>
        <v>1305.625</v>
      </c>
      <c r="O64" s="496">
        <v>5617.8884378467201</v>
      </c>
      <c r="P64" s="483"/>
      <c r="Q64" s="483">
        <f t="shared" si="19"/>
        <v>2808.94421892336</v>
      </c>
      <c r="R64" s="541">
        <f t="shared" si="2"/>
        <v>2808.94421892336</v>
      </c>
      <c r="S64" s="515">
        <v>8915.6976319139521</v>
      </c>
      <c r="T64" s="483"/>
      <c r="U64" s="483">
        <f t="shared" si="20"/>
        <v>4457.8488159569761</v>
      </c>
      <c r="V64" s="543">
        <f t="shared" si="3"/>
        <v>4457.8488159569761</v>
      </c>
      <c r="W64" s="515">
        <v>13123.758275597456</v>
      </c>
      <c r="X64" s="483"/>
      <c r="Y64" s="483">
        <f t="shared" si="21"/>
        <v>6561.8791377987282</v>
      </c>
      <c r="Z64" s="543">
        <f t="shared" si="4"/>
        <v>6561.8791377987282</v>
      </c>
      <c r="AA64" s="515">
        <v>12514.74824793882</v>
      </c>
      <c r="AB64" s="483"/>
      <c r="AC64" s="483">
        <f t="shared" si="22"/>
        <v>6257.37412396941</v>
      </c>
      <c r="AD64" s="543">
        <f t="shared" si="5"/>
        <v>6257.37412396941</v>
      </c>
      <c r="AE64" s="515">
        <v>17195</v>
      </c>
      <c r="AF64" s="483"/>
      <c r="AG64" s="483">
        <f t="shared" si="23"/>
        <v>8597.5</v>
      </c>
      <c r="AH64" s="543">
        <f t="shared" si="6"/>
        <v>8597.5</v>
      </c>
      <c r="AI64" s="520">
        <v>15709.615483457397</v>
      </c>
      <c r="AJ64" s="484"/>
      <c r="AK64" s="484">
        <f t="shared" si="24"/>
        <v>7854.8077417286986</v>
      </c>
      <c r="AL64" s="545">
        <f t="shared" si="7"/>
        <v>7854.8077417286986</v>
      </c>
      <c r="AM64" s="526">
        <v>12343.26930843081</v>
      </c>
      <c r="AN64" s="485"/>
      <c r="AO64" s="485">
        <f t="shared" si="25"/>
        <v>6171.6346542154051</v>
      </c>
      <c r="AP64" s="543">
        <f t="shared" si="8"/>
        <v>6171.6346542154051</v>
      </c>
      <c r="AQ64" s="530">
        <f t="shared" si="9"/>
        <v>8597.5</v>
      </c>
    </row>
    <row r="65" spans="1:43" x14ac:dyDescent="0.55000000000000004">
      <c r="A65" s="316" t="s">
        <v>368</v>
      </c>
      <c r="B65" s="218" t="s">
        <v>369</v>
      </c>
      <c r="C65" s="218" t="s">
        <v>374</v>
      </c>
      <c r="D65" s="105" t="s">
        <v>375</v>
      </c>
      <c r="E65" s="100"/>
      <c r="F65" s="34"/>
      <c r="G65" s="34"/>
      <c r="H65" s="480">
        <v>23538.621025019514</v>
      </c>
      <c r="I65" s="480" t="s">
        <v>412</v>
      </c>
      <c r="J65" s="490">
        <v>2</v>
      </c>
      <c r="K65" s="504">
        <v>240</v>
      </c>
      <c r="L65" s="482">
        <f t="shared" si="10"/>
        <v>240</v>
      </c>
      <c r="M65" s="482"/>
      <c r="N65" s="536">
        <f t="shared" si="1"/>
        <v>240</v>
      </c>
      <c r="O65" s="496">
        <v>7700.4762670911396</v>
      </c>
      <c r="P65" s="483">
        <f t="shared" si="11"/>
        <v>7700.4762670911396</v>
      </c>
      <c r="Q65" s="483"/>
      <c r="R65" s="541">
        <f t="shared" si="2"/>
        <v>7700.4762670911396</v>
      </c>
      <c r="S65" s="515">
        <v>10047.548765193676</v>
      </c>
      <c r="T65" s="483">
        <f t="shared" si="12"/>
        <v>10047.548765193676</v>
      </c>
      <c r="U65" s="483"/>
      <c r="V65" s="543">
        <f t="shared" si="3"/>
        <v>10047.548765193676</v>
      </c>
      <c r="W65" s="515">
        <v>17357.362182742232</v>
      </c>
      <c r="X65" s="483">
        <f t="shared" si="13"/>
        <v>17357.362182742232</v>
      </c>
      <c r="Y65" s="483"/>
      <c r="Z65" s="543">
        <f t="shared" si="4"/>
        <v>0</v>
      </c>
      <c r="AA65" s="515">
        <v>10068.816557931883</v>
      </c>
      <c r="AB65" s="483">
        <f t="shared" si="14"/>
        <v>10068.816557931883</v>
      </c>
      <c r="AC65" s="483"/>
      <c r="AD65" s="543">
        <f t="shared" si="5"/>
        <v>10068.816557931883</v>
      </c>
      <c r="AE65" s="515">
        <v>18831</v>
      </c>
      <c r="AF65" s="483">
        <f t="shared" si="15"/>
        <v>18831</v>
      </c>
      <c r="AG65" s="483"/>
      <c r="AH65" s="543">
        <f t="shared" si="6"/>
        <v>18831</v>
      </c>
      <c r="AI65" s="520">
        <v>23538.621025019514</v>
      </c>
      <c r="AJ65" s="484">
        <f t="shared" si="16"/>
        <v>23538.621025019514</v>
      </c>
      <c r="AK65" s="484"/>
      <c r="AL65" s="545">
        <f t="shared" si="7"/>
        <v>23538.621025019514</v>
      </c>
      <c r="AM65" s="526">
        <v>11551.360317833653</v>
      </c>
      <c r="AN65" s="485">
        <f t="shared" si="17"/>
        <v>11551.360317833653</v>
      </c>
      <c r="AO65" s="485"/>
      <c r="AP65" s="543">
        <f t="shared" si="8"/>
        <v>11551.360317833653</v>
      </c>
      <c r="AQ65" s="530">
        <f t="shared" si="9"/>
        <v>23538.621025019514</v>
      </c>
    </row>
    <row r="66" spans="1:43" x14ac:dyDescent="0.55000000000000004">
      <c r="A66" s="316" t="s">
        <v>368</v>
      </c>
      <c r="B66" s="218" t="s">
        <v>369</v>
      </c>
      <c r="C66" s="218" t="s">
        <v>376</v>
      </c>
      <c r="D66" s="105" t="s">
        <v>377</v>
      </c>
      <c r="E66" s="100"/>
      <c r="F66" s="34"/>
      <c r="G66" s="34"/>
      <c r="H66" s="480">
        <v>35756.212335130236</v>
      </c>
      <c r="I66" s="480" t="s">
        <v>412</v>
      </c>
      <c r="J66" s="490">
        <v>3</v>
      </c>
      <c r="K66" s="504">
        <v>0</v>
      </c>
      <c r="L66" s="482"/>
      <c r="M66" s="482">
        <f t="shared" si="18"/>
        <v>0</v>
      </c>
      <c r="N66" s="536">
        <f t="shared" si="1"/>
        <v>0</v>
      </c>
      <c r="O66" s="496">
        <v>9480.6166758104409</v>
      </c>
      <c r="P66" s="483"/>
      <c r="Q66" s="483">
        <f t="shared" si="19"/>
        <v>4740.3083379052205</v>
      </c>
      <c r="R66" s="541">
        <f t="shared" si="2"/>
        <v>4740.3083379052205</v>
      </c>
      <c r="S66" s="515">
        <v>13420.801446190691</v>
      </c>
      <c r="T66" s="483"/>
      <c r="U66" s="483">
        <f t="shared" si="20"/>
        <v>6710.4007230953457</v>
      </c>
      <c r="V66" s="543">
        <f t="shared" si="3"/>
        <v>6710.4007230953457</v>
      </c>
      <c r="W66" s="515">
        <v>22205.011671083026</v>
      </c>
      <c r="X66" s="483"/>
      <c r="Y66" s="483">
        <f t="shared" si="21"/>
        <v>11102.505835541513</v>
      </c>
      <c r="Z66" s="543">
        <f t="shared" si="4"/>
        <v>11102.505835541513</v>
      </c>
      <c r="AA66" s="515">
        <v>16120.24674715752</v>
      </c>
      <c r="AB66" s="483"/>
      <c r="AC66" s="483">
        <f t="shared" si="22"/>
        <v>8060.12337357876</v>
      </c>
      <c r="AD66" s="543">
        <f t="shared" si="5"/>
        <v>8060.12337357876</v>
      </c>
      <c r="AE66" s="515">
        <v>25029</v>
      </c>
      <c r="AF66" s="483"/>
      <c r="AG66" s="483">
        <f t="shared" si="23"/>
        <v>12514.5</v>
      </c>
      <c r="AH66" s="543">
        <f t="shared" si="6"/>
        <v>12514.5</v>
      </c>
      <c r="AI66" s="520">
        <v>17878.106167565114</v>
      </c>
      <c r="AJ66" s="484"/>
      <c r="AK66" s="484">
        <f t="shared" si="24"/>
        <v>8939.0530837825572</v>
      </c>
      <c r="AL66" s="545">
        <f t="shared" si="7"/>
        <v>8939.0530837825572</v>
      </c>
      <c r="AM66" s="526">
        <v>21519.942609106154</v>
      </c>
      <c r="AN66" s="485"/>
      <c r="AO66" s="485">
        <f t="shared" si="25"/>
        <v>10759.971304553077</v>
      </c>
      <c r="AP66" s="543">
        <f t="shared" si="8"/>
        <v>10759.971304553077</v>
      </c>
      <c r="AQ66" s="530">
        <f t="shared" si="9"/>
        <v>12514.5</v>
      </c>
    </row>
    <row r="67" spans="1:43" x14ac:dyDescent="0.55000000000000004">
      <c r="A67" s="316" t="s">
        <v>368</v>
      </c>
      <c r="B67" s="218" t="s">
        <v>369</v>
      </c>
      <c r="C67" s="218" t="s">
        <v>378</v>
      </c>
      <c r="D67" s="105" t="s">
        <v>379</v>
      </c>
      <c r="E67" s="100"/>
      <c r="F67" s="34"/>
      <c r="G67" s="34"/>
      <c r="H67" s="480">
        <v>7457.5791677040434</v>
      </c>
      <c r="I67" s="480" t="s">
        <v>412</v>
      </c>
      <c r="J67" s="490">
        <v>4</v>
      </c>
      <c r="K67" s="504">
        <v>0</v>
      </c>
      <c r="L67" s="482"/>
      <c r="M67" s="482"/>
      <c r="N67" s="536">
        <f t="shared" si="1"/>
        <v>0</v>
      </c>
      <c r="O67" s="496">
        <v>1158.2925523798729</v>
      </c>
      <c r="P67" s="483"/>
      <c r="Q67" s="483"/>
      <c r="R67" s="541">
        <f t="shared" si="2"/>
        <v>0</v>
      </c>
      <c r="S67" s="515">
        <v>3325.3650088040599</v>
      </c>
      <c r="T67" s="483"/>
      <c r="U67" s="483"/>
      <c r="V67" s="543">
        <f t="shared" si="3"/>
        <v>0</v>
      </c>
      <c r="W67" s="515">
        <v>4228.2661319429981</v>
      </c>
      <c r="X67" s="483"/>
      <c r="Y67" s="483"/>
      <c r="Z67" s="543">
        <f t="shared" si="4"/>
        <v>0</v>
      </c>
      <c r="AA67" s="515">
        <v>4251.9555195741968</v>
      </c>
      <c r="AB67" s="483"/>
      <c r="AC67" s="483"/>
      <c r="AD67" s="543">
        <f t="shared" si="5"/>
        <v>0</v>
      </c>
      <c r="AE67" s="515">
        <v>5221</v>
      </c>
      <c r="AF67" s="483"/>
      <c r="AG67" s="483"/>
      <c r="AH67" s="543">
        <f t="shared" si="6"/>
        <v>0</v>
      </c>
      <c r="AI67" s="520">
        <v>4971.7194451360283</v>
      </c>
      <c r="AJ67" s="484"/>
      <c r="AK67" s="484"/>
      <c r="AL67" s="545">
        <f t="shared" si="7"/>
        <v>0</v>
      </c>
      <c r="AM67" s="526">
        <v>5731.2876936984776</v>
      </c>
      <c r="AN67" s="485"/>
      <c r="AO67" s="485"/>
      <c r="AP67" s="543">
        <f t="shared" si="8"/>
        <v>0</v>
      </c>
      <c r="AQ67" s="530">
        <f t="shared" si="9"/>
        <v>0</v>
      </c>
    </row>
    <row r="68" spans="1:43" x14ac:dyDescent="0.55000000000000004">
      <c r="A68" s="316" t="s">
        <v>368</v>
      </c>
      <c r="B68" s="218" t="s">
        <v>369</v>
      </c>
      <c r="C68" s="218" t="s">
        <v>380</v>
      </c>
      <c r="D68" s="105" t="s">
        <v>381</v>
      </c>
      <c r="E68" s="100"/>
      <c r="F68" s="34"/>
      <c r="G68" s="34"/>
      <c r="H68" s="480">
        <v>150879.3340223525</v>
      </c>
      <c r="I68" s="480" t="s">
        <v>412</v>
      </c>
      <c r="J68" s="490">
        <v>1</v>
      </c>
      <c r="K68" s="504">
        <v>84325</v>
      </c>
      <c r="L68" s="482">
        <f t="shared" ref="L68:L131" si="26">K68</f>
        <v>84325</v>
      </c>
      <c r="M68" s="482"/>
      <c r="N68" s="536">
        <f t="shared" ref="N68:N131" si="27">SUM(L68:M68)</f>
        <v>84325</v>
      </c>
      <c r="O68" s="496">
        <v>18528.283976612929</v>
      </c>
      <c r="P68" s="483">
        <f t="shared" ref="P68:P131" si="28">O68</f>
        <v>18528.283976612929</v>
      </c>
      <c r="Q68" s="483"/>
      <c r="R68" s="541">
        <f t="shared" ref="R68:R131" si="29">SUM(P68:Q68)</f>
        <v>18528.283976612929</v>
      </c>
      <c r="S68" s="515">
        <v>62421.428794820094</v>
      </c>
      <c r="T68" s="483">
        <f t="shared" ref="T68:T131" si="30">S68</f>
        <v>62421.428794820094</v>
      </c>
      <c r="U68" s="483"/>
      <c r="V68" s="543">
        <f t="shared" ref="V68:V131" si="31">SUM(T68:U68)</f>
        <v>62421.428794820094</v>
      </c>
      <c r="W68" s="515">
        <v>88035.172558781574</v>
      </c>
      <c r="X68" s="483">
        <f t="shared" ref="X68:X131" si="32">W68</f>
        <v>88035.172558781574</v>
      </c>
      <c r="Y68" s="483"/>
      <c r="Z68" s="543">
        <f t="shared" ref="Z68:Z131" si="33">SUM(Y68)</f>
        <v>0</v>
      </c>
      <c r="AA68" s="515">
        <v>91148.735693234499</v>
      </c>
      <c r="AB68" s="483">
        <f t="shared" ref="AB68:AB131" si="34">AA68</f>
        <v>91148.735693234499</v>
      </c>
      <c r="AC68" s="483"/>
      <c r="AD68" s="543">
        <f t="shared" ref="AD68:AD131" si="35">SUM(AB68:AC68)</f>
        <v>91148.735693234499</v>
      </c>
      <c r="AE68" s="515">
        <v>116376</v>
      </c>
      <c r="AF68" s="483">
        <f t="shared" ref="AF68:AF131" si="36">AE68</f>
        <v>116376</v>
      </c>
      <c r="AG68" s="483"/>
      <c r="AH68" s="543">
        <f t="shared" ref="AH68:AH131" si="37">SUM(AF68:AG68)</f>
        <v>116376</v>
      </c>
      <c r="AI68" s="520">
        <v>85279.623577851424</v>
      </c>
      <c r="AJ68" s="484">
        <f t="shared" ref="AJ68:AJ131" si="38">AI68</f>
        <v>85279.623577851424</v>
      </c>
      <c r="AK68" s="484"/>
      <c r="AL68" s="545">
        <f t="shared" ref="AL68:AL131" si="39">SUM(AJ68:AK68)</f>
        <v>85279.623577851424</v>
      </c>
      <c r="AM68" s="526">
        <v>68454.512658289575</v>
      </c>
      <c r="AN68" s="485">
        <f t="shared" ref="AN68:AN131" si="40">AM68</f>
        <v>68454.512658289575</v>
      </c>
      <c r="AO68" s="485"/>
      <c r="AP68" s="543">
        <f t="shared" ref="AP68:AP131" si="41">SUM(AN68:AO68)</f>
        <v>68454.512658289575</v>
      </c>
      <c r="AQ68" s="530">
        <f t="shared" ref="AQ68:AQ131" si="42">MAX(N68,R68,V68,Z68,AD68,AH68,AL68,AP68)</f>
        <v>116376</v>
      </c>
    </row>
    <row r="69" spans="1:43" x14ac:dyDescent="0.55000000000000004">
      <c r="A69" s="316" t="s">
        <v>382</v>
      </c>
      <c r="B69" s="218" t="s">
        <v>383</v>
      </c>
      <c r="C69" s="218" t="s">
        <v>384</v>
      </c>
      <c r="D69" s="105" t="s">
        <v>385</v>
      </c>
      <c r="E69" s="100"/>
      <c r="F69" s="34"/>
      <c r="G69" s="34"/>
      <c r="H69" s="480">
        <v>47398.331065600592</v>
      </c>
      <c r="I69" s="480" t="s">
        <v>412</v>
      </c>
      <c r="J69" s="490">
        <v>4</v>
      </c>
      <c r="K69" s="504">
        <v>29770</v>
      </c>
      <c r="L69" s="482"/>
      <c r="M69" s="482"/>
      <c r="N69" s="536">
        <f t="shared" si="27"/>
        <v>0</v>
      </c>
      <c r="O69" s="496">
        <v>9690.8068186849396</v>
      </c>
      <c r="P69" s="483"/>
      <c r="Q69" s="483"/>
      <c r="R69" s="541">
        <f t="shared" si="29"/>
        <v>0</v>
      </c>
      <c r="S69" s="515">
        <v>14544.814203475513</v>
      </c>
      <c r="T69" s="483"/>
      <c r="U69" s="483"/>
      <c r="V69" s="543">
        <f t="shared" si="31"/>
        <v>0</v>
      </c>
      <c r="W69" s="515">
        <v>14505.466379567835</v>
      </c>
      <c r="X69" s="483"/>
      <c r="Y69" s="483"/>
      <c r="Z69" s="543">
        <f t="shared" si="33"/>
        <v>0</v>
      </c>
      <c r="AA69" s="515">
        <v>24636.291496195918</v>
      </c>
      <c r="AB69" s="483"/>
      <c r="AC69" s="483"/>
      <c r="AD69" s="543">
        <f t="shared" si="35"/>
        <v>0</v>
      </c>
      <c r="AE69" s="515">
        <v>33053</v>
      </c>
      <c r="AF69" s="483"/>
      <c r="AG69" s="483"/>
      <c r="AH69" s="543">
        <f t="shared" si="37"/>
        <v>0</v>
      </c>
      <c r="AI69" s="520">
        <v>22751.198911488282</v>
      </c>
      <c r="AJ69" s="484"/>
      <c r="AK69" s="484"/>
      <c r="AL69" s="545">
        <f t="shared" si="39"/>
        <v>0</v>
      </c>
      <c r="AM69" s="526">
        <v>33793.25455603005</v>
      </c>
      <c r="AN69" s="485"/>
      <c r="AO69" s="485"/>
      <c r="AP69" s="543">
        <f t="shared" si="41"/>
        <v>0</v>
      </c>
      <c r="AQ69" s="530">
        <f t="shared" si="42"/>
        <v>0</v>
      </c>
    </row>
    <row r="70" spans="1:43" x14ac:dyDescent="0.55000000000000004">
      <c r="A70" s="316" t="s">
        <v>382</v>
      </c>
      <c r="B70" s="218" t="s">
        <v>383</v>
      </c>
      <c r="C70" s="218" t="s">
        <v>386</v>
      </c>
      <c r="D70" s="105" t="s">
        <v>387</v>
      </c>
      <c r="E70" s="100"/>
      <c r="F70" s="34"/>
      <c r="G70" s="34"/>
      <c r="H70" s="480">
        <v>7607.0241213008612</v>
      </c>
      <c r="I70" s="480" t="s">
        <v>412</v>
      </c>
      <c r="J70" s="490">
        <v>3</v>
      </c>
      <c r="K70" s="504">
        <v>5708.75</v>
      </c>
      <c r="L70" s="482"/>
      <c r="M70" s="482">
        <f t="shared" ref="M70:M126" si="43">K70/2</f>
        <v>2854.375</v>
      </c>
      <c r="N70" s="536">
        <f t="shared" si="27"/>
        <v>2854.375</v>
      </c>
      <c r="O70" s="496">
        <v>2002.2181943831749</v>
      </c>
      <c r="P70" s="483"/>
      <c r="Q70" s="483">
        <f t="shared" ref="Q70:Q126" si="44">O70/2</f>
        <v>1001.1090971915875</v>
      </c>
      <c r="R70" s="541">
        <f t="shared" si="29"/>
        <v>1001.1090971915875</v>
      </c>
      <c r="S70" s="515">
        <v>2396.4767092317202</v>
      </c>
      <c r="T70" s="483"/>
      <c r="U70" s="483">
        <f t="shared" ref="U70:U126" si="45">S70/2</f>
        <v>1198.2383546158601</v>
      </c>
      <c r="V70" s="543">
        <f t="shared" si="31"/>
        <v>1198.2383546158601</v>
      </c>
      <c r="W70" s="515">
        <v>3957.0969391456388</v>
      </c>
      <c r="X70" s="483"/>
      <c r="Y70" s="483">
        <f t="shared" ref="Y70:Y126" si="46">W70/2</f>
        <v>1978.5484695728194</v>
      </c>
      <c r="Z70" s="543">
        <f t="shared" si="33"/>
        <v>1978.5484695728194</v>
      </c>
      <c r="AA70" s="515">
        <v>3945.0872702433403</v>
      </c>
      <c r="AB70" s="483"/>
      <c r="AC70" s="483">
        <f t="shared" ref="AC70:AC126" si="47">AA70/2</f>
        <v>1972.5436351216701</v>
      </c>
      <c r="AD70" s="543">
        <f t="shared" si="35"/>
        <v>1972.5436351216701</v>
      </c>
      <c r="AE70" s="515">
        <v>5112</v>
      </c>
      <c r="AF70" s="483"/>
      <c r="AG70" s="483">
        <f t="shared" ref="AG70:AG126" si="48">AE70/2</f>
        <v>2556</v>
      </c>
      <c r="AH70" s="543">
        <f t="shared" si="37"/>
        <v>2556</v>
      </c>
      <c r="AI70" s="520">
        <v>6684.9605914462118</v>
      </c>
      <c r="AJ70" s="484"/>
      <c r="AK70" s="484">
        <f t="shared" ref="AK70:AK126" si="49">AI70/2</f>
        <v>3342.4802957231059</v>
      </c>
      <c r="AL70" s="545">
        <f t="shared" si="39"/>
        <v>3342.4802957231059</v>
      </c>
      <c r="AM70" s="526">
        <v>1972.1914388557791</v>
      </c>
      <c r="AN70" s="485"/>
      <c r="AO70" s="485">
        <f t="shared" ref="AO70:AO126" si="50">AM70/2</f>
        <v>986.09571942788955</v>
      </c>
      <c r="AP70" s="543">
        <f t="shared" si="41"/>
        <v>986.09571942788955</v>
      </c>
      <c r="AQ70" s="530">
        <f t="shared" si="42"/>
        <v>3342.4802957231059</v>
      </c>
    </row>
    <row r="71" spans="1:43" x14ac:dyDescent="0.55000000000000004">
      <c r="A71" s="316" t="s">
        <v>382</v>
      </c>
      <c r="B71" s="218" t="s">
        <v>383</v>
      </c>
      <c r="C71" s="218" t="s">
        <v>388</v>
      </c>
      <c r="D71" s="105" t="s">
        <v>389</v>
      </c>
      <c r="E71" s="100"/>
      <c r="F71" s="34"/>
      <c r="G71" s="34"/>
      <c r="H71" s="480">
        <v>17868.652727011824</v>
      </c>
      <c r="I71" s="480" t="s">
        <v>412</v>
      </c>
      <c r="J71" s="490">
        <v>4</v>
      </c>
      <c r="K71" s="504">
        <v>12495</v>
      </c>
      <c r="L71" s="482"/>
      <c r="M71" s="482"/>
      <c r="N71" s="536">
        <f t="shared" si="27"/>
        <v>0</v>
      </c>
      <c r="O71" s="496">
        <v>2435.5974311469831</v>
      </c>
      <c r="P71" s="483"/>
      <c r="Q71" s="483"/>
      <c r="R71" s="541">
        <f t="shared" si="29"/>
        <v>0</v>
      </c>
      <c r="S71" s="515">
        <v>5600.7481603773604</v>
      </c>
      <c r="T71" s="483"/>
      <c r="U71" s="483"/>
      <c r="V71" s="543">
        <f t="shared" si="31"/>
        <v>0</v>
      </c>
      <c r="W71" s="515">
        <v>8857.7260476905867</v>
      </c>
      <c r="X71" s="483"/>
      <c r="Y71" s="483"/>
      <c r="Z71" s="543">
        <f t="shared" si="33"/>
        <v>0</v>
      </c>
      <c r="AA71" s="515">
        <v>8138.121867898999</v>
      </c>
      <c r="AB71" s="483"/>
      <c r="AC71" s="483"/>
      <c r="AD71" s="543">
        <f t="shared" si="35"/>
        <v>0</v>
      </c>
      <c r="AE71" s="515">
        <v>12461</v>
      </c>
      <c r="AF71" s="483"/>
      <c r="AG71" s="483"/>
      <c r="AH71" s="543">
        <f t="shared" si="37"/>
        <v>0</v>
      </c>
      <c r="AI71" s="520">
        <v>11809.741744864135</v>
      </c>
      <c r="AJ71" s="484"/>
      <c r="AK71" s="484"/>
      <c r="AL71" s="545">
        <f t="shared" si="39"/>
        <v>0</v>
      </c>
      <c r="AM71" s="526">
        <v>7776.1729460144043</v>
      </c>
      <c r="AN71" s="485"/>
      <c r="AO71" s="485"/>
      <c r="AP71" s="543">
        <f t="shared" si="41"/>
        <v>0</v>
      </c>
      <c r="AQ71" s="530">
        <f t="shared" si="42"/>
        <v>0</v>
      </c>
    </row>
    <row r="72" spans="1:43" x14ac:dyDescent="0.55000000000000004">
      <c r="A72" s="316" t="s">
        <v>390</v>
      </c>
      <c r="B72" s="218" t="s">
        <v>391</v>
      </c>
      <c r="C72" s="218" t="s">
        <v>392</v>
      </c>
      <c r="D72" s="105" t="s">
        <v>393</v>
      </c>
      <c r="E72" s="100"/>
      <c r="F72" s="34"/>
      <c r="G72" s="34"/>
      <c r="H72" s="480">
        <v>41205.344743342968</v>
      </c>
      <c r="I72" s="480" t="s">
        <v>412</v>
      </c>
      <c r="J72" s="490">
        <v>3</v>
      </c>
      <c r="K72" s="504">
        <v>28443.75</v>
      </c>
      <c r="L72" s="482"/>
      <c r="M72" s="482">
        <f t="shared" si="43"/>
        <v>14221.875</v>
      </c>
      <c r="N72" s="536">
        <f t="shared" si="27"/>
        <v>14221.875</v>
      </c>
      <c r="O72" s="496">
        <v>9063.5482324180903</v>
      </c>
      <c r="P72" s="483"/>
      <c r="Q72" s="483">
        <f t="shared" si="44"/>
        <v>4531.7741162090451</v>
      </c>
      <c r="R72" s="541">
        <f t="shared" si="29"/>
        <v>4531.7741162090451</v>
      </c>
      <c r="S72" s="515">
        <v>15443.460454234011</v>
      </c>
      <c r="T72" s="483"/>
      <c r="U72" s="483">
        <f t="shared" si="45"/>
        <v>7721.7302271170056</v>
      </c>
      <c r="V72" s="543">
        <f t="shared" si="31"/>
        <v>7721.7302271170056</v>
      </c>
      <c r="W72" s="515">
        <v>7366.4824054815472</v>
      </c>
      <c r="X72" s="483"/>
      <c r="Y72" s="483">
        <f t="shared" si="46"/>
        <v>3683.2412027407736</v>
      </c>
      <c r="Z72" s="543">
        <f t="shared" si="33"/>
        <v>3683.2412027407736</v>
      </c>
      <c r="AA72" s="515">
        <v>20365.728284970235</v>
      </c>
      <c r="AB72" s="483"/>
      <c r="AC72" s="483">
        <f t="shared" si="47"/>
        <v>10182.864142485118</v>
      </c>
      <c r="AD72" s="543">
        <f t="shared" si="35"/>
        <v>10182.864142485118</v>
      </c>
      <c r="AE72" s="515">
        <v>27390</v>
      </c>
      <c r="AF72" s="483"/>
      <c r="AG72" s="483">
        <f t="shared" si="48"/>
        <v>13695</v>
      </c>
      <c r="AH72" s="543">
        <f t="shared" si="37"/>
        <v>13695</v>
      </c>
      <c r="AI72" s="520">
        <v>32680.101003340977</v>
      </c>
      <c r="AJ72" s="484"/>
      <c r="AK72" s="484">
        <f t="shared" si="49"/>
        <v>16340.050501670488</v>
      </c>
      <c r="AL72" s="545">
        <f t="shared" si="39"/>
        <v>16340.050501670488</v>
      </c>
      <c r="AM72" s="526">
        <v>30522.477587661459</v>
      </c>
      <c r="AN72" s="485"/>
      <c r="AO72" s="485">
        <f t="shared" si="50"/>
        <v>15261.238793830729</v>
      </c>
      <c r="AP72" s="543">
        <f t="shared" si="41"/>
        <v>15261.238793830729</v>
      </c>
      <c r="AQ72" s="530">
        <f t="shared" si="42"/>
        <v>16340.050501670488</v>
      </c>
    </row>
    <row r="73" spans="1:43" x14ac:dyDescent="0.55000000000000004">
      <c r="A73" s="316" t="s">
        <v>390</v>
      </c>
      <c r="B73" s="218" t="s">
        <v>391</v>
      </c>
      <c r="C73" s="218" t="s">
        <v>394</v>
      </c>
      <c r="D73" s="105" t="s">
        <v>395</v>
      </c>
      <c r="E73" s="100"/>
      <c r="F73" s="34"/>
      <c r="G73" s="34"/>
      <c r="H73" s="480">
        <v>7434.8763775539119</v>
      </c>
      <c r="I73" s="480" t="s">
        <v>412</v>
      </c>
      <c r="J73" s="490">
        <v>5</v>
      </c>
      <c r="K73" s="504">
        <v>0</v>
      </c>
      <c r="L73" s="482"/>
      <c r="M73" s="482"/>
      <c r="N73" s="536">
        <f t="shared" si="27"/>
        <v>0</v>
      </c>
      <c r="O73" s="496">
        <v>1065.1352596011284</v>
      </c>
      <c r="P73" s="483"/>
      <c r="Q73" s="483"/>
      <c r="R73" s="541">
        <f t="shared" si="29"/>
        <v>0</v>
      </c>
      <c r="S73" s="515">
        <v>2509.5581547841798</v>
      </c>
      <c r="T73" s="483"/>
      <c r="U73" s="483"/>
      <c r="V73" s="543">
        <f t="shared" si="31"/>
        <v>0</v>
      </c>
      <c r="W73" s="515">
        <v>1873.3688115038503</v>
      </c>
      <c r="X73" s="483"/>
      <c r="Y73" s="483"/>
      <c r="Z73" s="543">
        <f t="shared" si="33"/>
        <v>0</v>
      </c>
      <c r="AA73" s="515">
        <v>3232.081327090078</v>
      </c>
      <c r="AB73" s="483"/>
      <c r="AC73" s="483"/>
      <c r="AD73" s="543">
        <f t="shared" si="35"/>
        <v>0</v>
      </c>
      <c r="AE73" s="515">
        <v>5205</v>
      </c>
      <c r="AF73" s="483"/>
      <c r="AG73" s="483"/>
      <c r="AH73" s="543">
        <f t="shared" si="37"/>
        <v>0</v>
      </c>
      <c r="AI73" s="520">
        <v>4956.5842517026076</v>
      </c>
      <c r="AJ73" s="484"/>
      <c r="AK73" s="484"/>
      <c r="AL73" s="545">
        <f t="shared" si="39"/>
        <v>0</v>
      </c>
      <c r="AM73" s="526">
        <v>6333.4132105088875</v>
      </c>
      <c r="AN73" s="485"/>
      <c r="AO73" s="485"/>
      <c r="AP73" s="543">
        <f t="shared" si="41"/>
        <v>0</v>
      </c>
      <c r="AQ73" s="530">
        <f t="shared" si="42"/>
        <v>0</v>
      </c>
    </row>
    <row r="74" spans="1:43" x14ac:dyDescent="0.55000000000000004">
      <c r="A74" s="316" t="s">
        <v>390</v>
      </c>
      <c r="B74" s="218" t="s">
        <v>391</v>
      </c>
      <c r="C74" s="218" t="s">
        <v>396</v>
      </c>
      <c r="D74" s="105" t="s">
        <v>397</v>
      </c>
      <c r="E74" s="100"/>
      <c r="F74" s="34"/>
      <c r="G74" s="34"/>
      <c r="H74" s="480">
        <v>11522.074781291758</v>
      </c>
      <c r="I74" s="480" t="s">
        <v>412</v>
      </c>
      <c r="J74" s="490">
        <v>5</v>
      </c>
      <c r="K74" s="504">
        <v>0</v>
      </c>
      <c r="L74" s="482"/>
      <c r="M74" s="482"/>
      <c r="N74" s="536">
        <f t="shared" si="27"/>
        <v>0</v>
      </c>
      <c r="O74" s="496">
        <v>1799.3171552409522</v>
      </c>
      <c r="P74" s="483"/>
      <c r="Q74" s="483"/>
      <c r="R74" s="541">
        <f t="shared" si="29"/>
        <v>0</v>
      </c>
      <c r="S74" s="515">
        <v>5074.6842863832189</v>
      </c>
      <c r="T74" s="483"/>
      <c r="U74" s="483"/>
      <c r="V74" s="543">
        <f t="shared" si="31"/>
        <v>0</v>
      </c>
      <c r="W74" s="515">
        <v>2922.2520778946996</v>
      </c>
      <c r="X74" s="483"/>
      <c r="Y74" s="483"/>
      <c r="Z74" s="543">
        <f t="shared" si="33"/>
        <v>0</v>
      </c>
      <c r="AA74" s="515">
        <v>4525.3940897146904</v>
      </c>
      <c r="AB74" s="483"/>
      <c r="AC74" s="483"/>
      <c r="AD74" s="543">
        <f t="shared" si="35"/>
        <v>0</v>
      </c>
      <c r="AE74" s="515">
        <v>7305</v>
      </c>
      <c r="AF74" s="483"/>
      <c r="AG74" s="483"/>
      <c r="AH74" s="543">
        <f t="shared" si="37"/>
        <v>0</v>
      </c>
      <c r="AI74" s="520">
        <v>5761.037390645879</v>
      </c>
      <c r="AJ74" s="484"/>
      <c r="AK74" s="484"/>
      <c r="AL74" s="545">
        <f t="shared" si="39"/>
        <v>0</v>
      </c>
      <c r="AM74" s="526">
        <v>8321.4984531551581</v>
      </c>
      <c r="AN74" s="485"/>
      <c r="AO74" s="485"/>
      <c r="AP74" s="543">
        <f t="shared" si="41"/>
        <v>0</v>
      </c>
      <c r="AQ74" s="530">
        <f t="shared" si="42"/>
        <v>0</v>
      </c>
    </row>
    <row r="75" spans="1:43" x14ac:dyDescent="0.55000000000000004">
      <c r="A75" s="316" t="s">
        <v>390</v>
      </c>
      <c r="B75" s="218" t="s">
        <v>391</v>
      </c>
      <c r="C75" s="218" t="s">
        <v>398</v>
      </c>
      <c r="D75" s="105" t="s">
        <v>399</v>
      </c>
      <c r="E75" s="100"/>
      <c r="F75" s="34"/>
      <c r="G75" s="34"/>
      <c r="H75" s="480">
        <v>17357.293062226148</v>
      </c>
      <c r="I75" s="480" t="s">
        <v>412</v>
      </c>
      <c r="J75" s="490">
        <v>5</v>
      </c>
      <c r="K75" s="504">
        <v>0</v>
      </c>
      <c r="L75" s="482"/>
      <c r="M75" s="482"/>
      <c r="N75" s="536">
        <f t="shared" si="27"/>
        <v>0</v>
      </c>
      <c r="O75" s="496">
        <v>272.84276110374532</v>
      </c>
      <c r="P75" s="483"/>
      <c r="Q75" s="483"/>
      <c r="R75" s="541">
        <f t="shared" si="29"/>
        <v>0</v>
      </c>
      <c r="S75" s="515">
        <v>7034.7446622852367</v>
      </c>
      <c r="T75" s="483"/>
      <c r="U75" s="483"/>
      <c r="V75" s="543">
        <f t="shared" si="31"/>
        <v>0</v>
      </c>
      <c r="W75" s="515">
        <v>7466.511357740781</v>
      </c>
      <c r="X75" s="483"/>
      <c r="Y75" s="483"/>
      <c r="Z75" s="543">
        <f t="shared" si="33"/>
        <v>0</v>
      </c>
      <c r="AA75" s="515">
        <v>8370.1757209202042</v>
      </c>
      <c r="AB75" s="483"/>
      <c r="AC75" s="483"/>
      <c r="AD75" s="543">
        <f t="shared" si="35"/>
        <v>0</v>
      </c>
      <c r="AE75" s="515">
        <v>13014</v>
      </c>
      <c r="AF75" s="483"/>
      <c r="AG75" s="483"/>
      <c r="AH75" s="543">
        <f t="shared" si="37"/>
        <v>0</v>
      </c>
      <c r="AI75" s="520">
        <v>7546.649157489629</v>
      </c>
      <c r="AJ75" s="484"/>
      <c r="AK75" s="484"/>
      <c r="AL75" s="545">
        <f t="shared" si="39"/>
        <v>0</v>
      </c>
      <c r="AM75" s="526">
        <v>10767.950325640297</v>
      </c>
      <c r="AN75" s="485"/>
      <c r="AO75" s="485"/>
      <c r="AP75" s="543">
        <f t="shared" si="41"/>
        <v>0</v>
      </c>
      <c r="AQ75" s="530">
        <f t="shared" si="42"/>
        <v>0</v>
      </c>
    </row>
    <row r="76" spans="1:43" x14ac:dyDescent="0.55000000000000004">
      <c r="A76" s="316" t="s">
        <v>390</v>
      </c>
      <c r="B76" s="218" t="s">
        <v>391</v>
      </c>
      <c r="C76" s="218" t="s">
        <v>400</v>
      </c>
      <c r="D76" s="105" t="s">
        <v>401</v>
      </c>
      <c r="E76" s="100"/>
      <c r="F76" s="34"/>
      <c r="G76" s="34"/>
      <c r="H76" s="480">
        <v>1326.2143950586142</v>
      </c>
      <c r="I76" s="480" t="s">
        <v>412</v>
      </c>
      <c r="J76" s="490">
        <v>5</v>
      </c>
      <c r="K76" s="504">
        <v>0</v>
      </c>
      <c r="L76" s="482"/>
      <c r="M76" s="482"/>
      <c r="N76" s="536">
        <f t="shared" si="27"/>
        <v>0</v>
      </c>
      <c r="O76" s="496">
        <v>108.99890870107737</v>
      </c>
      <c r="P76" s="483"/>
      <c r="Q76" s="483"/>
      <c r="R76" s="541">
        <f t="shared" si="29"/>
        <v>0</v>
      </c>
      <c r="S76" s="515">
        <v>549.3738376210955</v>
      </c>
      <c r="T76" s="483"/>
      <c r="U76" s="483"/>
      <c r="V76" s="543">
        <f t="shared" si="31"/>
        <v>0</v>
      </c>
      <c r="W76" s="515">
        <v>509.88966782520589</v>
      </c>
      <c r="X76" s="483"/>
      <c r="Y76" s="483"/>
      <c r="Z76" s="543">
        <f t="shared" si="33"/>
        <v>0</v>
      </c>
      <c r="AA76" s="515">
        <v>657.96969478899121</v>
      </c>
      <c r="AB76" s="483"/>
      <c r="AC76" s="483"/>
      <c r="AD76" s="543">
        <f t="shared" si="35"/>
        <v>0</v>
      </c>
      <c r="AE76" s="515">
        <v>928</v>
      </c>
      <c r="AF76" s="483"/>
      <c r="AG76" s="483"/>
      <c r="AH76" s="543">
        <f t="shared" si="37"/>
        <v>0</v>
      </c>
      <c r="AI76" s="520">
        <v>1326.2143950586142</v>
      </c>
      <c r="AJ76" s="484"/>
      <c r="AK76" s="484"/>
      <c r="AL76" s="545">
        <f t="shared" si="39"/>
        <v>0</v>
      </c>
      <c r="AM76" s="526">
        <v>502.35393752220233</v>
      </c>
      <c r="AN76" s="485"/>
      <c r="AO76" s="485"/>
      <c r="AP76" s="543">
        <f t="shared" si="41"/>
        <v>0</v>
      </c>
      <c r="AQ76" s="530">
        <f t="shared" si="42"/>
        <v>0</v>
      </c>
    </row>
    <row r="77" spans="1:43" x14ac:dyDescent="0.55000000000000004">
      <c r="A77" s="316" t="s">
        <v>390</v>
      </c>
      <c r="B77" s="218" t="s">
        <v>391</v>
      </c>
      <c r="C77" s="218" t="s">
        <v>402</v>
      </c>
      <c r="D77" s="105" t="s">
        <v>403</v>
      </c>
      <c r="E77" s="100"/>
      <c r="F77" s="34"/>
      <c r="G77" s="34"/>
      <c r="H77" s="480">
        <v>0</v>
      </c>
      <c r="I77" s="480" t="s">
        <v>412</v>
      </c>
      <c r="J77" s="490">
        <v>5</v>
      </c>
      <c r="K77" s="504">
        <v>0</v>
      </c>
      <c r="L77" s="482"/>
      <c r="M77" s="482"/>
      <c r="N77" s="536">
        <f t="shared" si="27"/>
        <v>0</v>
      </c>
      <c r="O77" s="496">
        <v>0</v>
      </c>
      <c r="P77" s="483"/>
      <c r="Q77" s="483"/>
      <c r="R77" s="541">
        <f t="shared" si="29"/>
        <v>0</v>
      </c>
      <c r="S77" s="515">
        <v>0</v>
      </c>
      <c r="T77" s="483"/>
      <c r="U77" s="483"/>
      <c r="V77" s="543">
        <f t="shared" si="31"/>
        <v>0</v>
      </c>
      <c r="W77" s="515">
        <v>0</v>
      </c>
      <c r="X77" s="483"/>
      <c r="Y77" s="483"/>
      <c r="Z77" s="543">
        <f t="shared" si="33"/>
        <v>0</v>
      </c>
      <c r="AA77" s="515">
        <v>0</v>
      </c>
      <c r="AB77" s="483"/>
      <c r="AC77" s="483"/>
      <c r="AD77" s="543">
        <f t="shared" si="35"/>
        <v>0</v>
      </c>
      <c r="AE77" s="515">
        <v>0</v>
      </c>
      <c r="AF77" s="483"/>
      <c r="AG77" s="483"/>
      <c r="AH77" s="543">
        <f t="shared" si="37"/>
        <v>0</v>
      </c>
      <c r="AI77" s="520">
        <v>0</v>
      </c>
      <c r="AJ77" s="484"/>
      <c r="AK77" s="484"/>
      <c r="AL77" s="545">
        <f t="shared" si="39"/>
        <v>0</v>
      </c>
      <c r="AM77" s="526">
        <v>0</v>
      </c>
      <c r="AN77" s="485"/>
      <c r="AO77" s="485"/>
      <c r="AP77" s="543">
        <f t="shared" si="41"/>
        <v>0</v>
      </c>
      <c r="AQ77" s="530">
        <f t="shared" si="42"/>
        <v>0</v>
      </c>
    </row>
    <row r="78" spans="1:43" x14ac:dyDescent="0.55000000000000004">
      <c r="A78" s="316" t="s">
        <v>390</v>
      </c>
      <c r="B78" s="218" t="s">
        <v>391</v>
      </c>
      <c r="C78" s="218" t="s">
        <v>404</v>
      </c>
      <c r="D78" s="105" t="s">
        <v>405</v>
      </c>
      <c r="E78" s="100"/>
      <c r="F78" s="34"/>
      <c r="G78" s="34"/>
      <c r="H78" s="480">
        <v>36534.526328235108</v>
      </c>
      <c r="I78" s="480" t="s">
        <v>412</v>
      </c>
      <c r="J78" s="490">
        <v>2</v>
      </c>
      <c r="K78" s="504">
        <v>4387.5</v>
      </c>
      <c r="L78" s="482">
        <f t="shared" si="26"/>
        <v>4387.5</v>
      </c>
      <c r="M78" s="482"/>
      <c r="N78" s="536">
        <f t="shared" si="27"/>
        <v>4387.5</v>
      </c>
      <c r="O78" s="496">
        <v>1916.1336092422125</v>
      </c>
      <c r="P78" s="483">
        <f t="shared" si="28"/>
        <v>1916.1336092422125</v>
      </c>
      <c r="Q78" s="483"/>
      <c r="R78" s="541">
        <f t="shared" si="29"/>
        <v>1916.1336092422125</v>
      </c>
      <c r="S78" s="515">
        <v>12211.82251672217</v>
      </c>
      <c r="T78" s="483">
        <f t="shared" si="30"/>
        <v>12211.82251672217</v>
      </c>
      <c r="U78" s="483"/>
      <c r="V78" s="543">
        <f t="shared" si="31"/>
        <v>12211.82251672217</v>
      </c>
      <c r="W78" s="515">
        <v>20297.572470561903</v>
      </c>
      <c r="X78" s="483">
        <f t="shared" si="32"/>
        <v>20297.572470561903</v>
      </c>
      <c r="Y78" s="483"/>
      <c r="Z78" s="543">
        <f t="shared" si="33"/>
        <v>0</v>
      </c>
      <c r="AA78" s="515">
        <v>19755.537132872738</v>
      </c>
      <c r="AB78" s="483">
        <f t="shared" si="34"/>
        <v>19755.537132872738</v>
      </c>
      <c r="AC78" s="483"/>
      <c r="AD78" s="543">
        <f t="shared" si="35"/>
        <v>19755.537132872738</v>
      </c>
      <c r="AE78" s="515">
        <v>24688</v>
      </c>
      <c r="AF78" s="483">
        <f t="shared" si="36"/>
        <v>24688</v>
      </c>
      <c r="AG78" s="483"/>
      <c r="AH78" s="543">
        <f t="shared" si="37"/>
        <v>24688</v>
      </c>
      <c r="AI78" s="520">
        <v>9786.0338379201185</v>
      </c>
      <c r="AJ78" s="484">
        <f t="shared" si="38"/>
        <v>9786.0338379201185</v>
      </c>
      <c r="AK78" s="484"/>
      <c r="AL78" s="545">
        <f t="shared" si="39"/>
        <v>9786.0338379201185</v>
      </c>
      <c r="AM78" s="526">
        <v>24356.350885490076</v>
      </c>
      <c r="AN78" s="485">
        <f t="shared" si="40"/>
        <v>24356.350885490076</v>
      </c>
      <c r="AO78" s="485"/>
      <c r="AP78" s="543">
        <f t="shared" si="41"/>
        <v>24356.350885490076</v>
      </c>
      <c r="AQ78" s="530">
        <f t="shared" si="42"/>
        <v>24688</v>
      </c>
    </row>
    <row r="79" spans="1:43" x14ac:dyDescent="0.55000000000000004">
      <c r="A79" s="316" t="s">
        <v>390</v>
      </c>
      <c r="B79" s="218" t="s">
        <v>391</v>
      </c>
      <c r="C79" s="218" t="s">
        <v>406</v>
      </c>
      <c r="D79" s="105" t="s">
        <v>407</v>
      </c>
      <c r="E79" s="100"/>
      <c r="F79" s="34"/>
      <c r="G79" s="34"/>
      <c r="H79" s="480">
        <v>2761.8509896481692</v>
      </c>
      <c r="I79" s="480" t="s">
        <v>412</v>
      </c>
      <c r="J79" s="490">
        <v>5</v>
      </c>
      <c r="K79" s="504">
        <v>0</v>
      </c>
      <c r="L79" s="482"/>
      <c r="M79" s="482"/>
      <c r="N79" s="536">
        <f t="shared" si="27"/>
        <v>0</v>
      </c>
      <c r="O79" s="496">
        <v>529.06790875977435</v>
      </c>
      <c r="P79" s="483"/>
      <c r="Q79" s="483"/>
      <c r="R79" s="541">
        <f t="shared" si="29"/>
        <v>0</v>
      </c>
      <c r="S79" s="515">
        <v>1135.9991627354789</v>
      </c>
      <c r="T79" s="483"/>
      <c r="U79" s="483"/>
      <c r="V79" s="543">
        <f t="shared" si="31"/>
        <v>0</v>
      </c>
      <c r="W79" s="515">
        <v>536.39969440630443</v>
      </c>
      <c r="X79" s="483"/>
      <c r="Y79" s="483"/>
      <c r="Z79" s="543">
        <f t="shared" si="33"/>
        <v>0</v>
      </c>
      <c r="AA79" s="515">
        <v>1199.984685202463</v>
      </c>
      <c r="AB79" s="483"/>
      <c r="AC79" s="483"/>
      <c r="AD79" s="543">
        <f t="shared" si="35"/>
        <v>0</v>
      </c>
      <c r="AE79" s="515">
        <v>1933</v>
      </c>
      <c r="AF79" s="483"/>
      <c r="AG79" s="483"/>
      <c r="AH79" s="543">
        <f t="shared" si="37"/>
        <v>0</v>
      </c>
      <c r="AI79" s="520">
        <v>2761.8509896481692</v>
      </c>
      <c r="AJ79" s="484"/>
      <c r="AK79" s="484"/>
      <c r="AL79" s="545">
        <f t="shared" si="39"/>
        <v>0</v>
      </c>
      <c r="AM79" s="526">
        <v>2173.6790196305033</v>
      </c>
      <c r="AN79" s="485"/>
      <c r="AO79" s="485"/>
      <c r="AP79" s="543">
        <f t="shared" si="41"/>
        <v>0</v>
      </c>
      <c r="AQ79" s="530">
        <f t="shared" si="42"/>
        <v>0</v>
      </c>
    </row>
    <row r="80" spans="1:43" x14ac:dyDescent="0.55000000000000004">
      <c r="A80" s="316" t="s">
        <v>390</v>
      </c>
      <c r="B80" s="218" t="s">
        <v>391</v>
      </c>
      <c r="C80" s="218" t="s">
        <v>408</v>
      </c>
      <c r="D80" s="105" t="s">
        <v>409</v>
      </c>
      <c r="E80" s="100"/>
      <c r="F80" s="34"/>
      <c r="G80" s="34"/>
      <c r="H80" s="480">
        <v>24855.8360229996</v>
      </c>
      <c r="I80" s="480" t="s">
        <v>412</v>
      </c>
      <c r="J80" s="490">
        <v>2</v>
      </c>
      <c r="K80" s="504">
        <v>24855.8360229996</v>
      </c>
      <c r="L80" s="482">
        <f t="shared" si="26"/>
        <v>24855.8360229996</v>
      </c>
      <c r="M80" s="482"/>
      <c r="N80" s="536">
        <f t="shared" si="27"/>
        <v>24855.8360229996</v>
      </c>
      <c r="O80" s="496">
        <v>5005.1948441154063</v>
      </c>
      <c r="P80" s="483">
        <f t="shared" si="28"/>
        <v>5005.1948441154063</v>
      </c>
      <c r="Q80" s="483"/>
      <c r="R80" s="541">
        <f t="shared" si="29"/>
        <v>5005.1948441154063</v>
      </c>
      <c r="S80" s="515">
        <v>8189.1338242402062</v>
      </c>
      <c r="T80" s="483">
        <f t="shared" si="30"/>
        <v>8189.1338242402062</v>
      </c>
      <c r="U80" s="483"/>
      <c r="V80" s="543">
        <f t="shared" si="31"/>
        <v>8189.1338242402062</v>
      </c>
      <c r="W80" s="515">
        <v>10683.7141002236</v>
      </c>
      <c r="X80" s="483">
        <f t="shared" si="32"/>
        <v>10683.7141002236</v>
      </c>
      <c r="Y80" s="483"/>
      <c r="Z80" s="543">
        <f t="shared" si="33"/>
        <v>0</v>
      </c>
      <c r="AA80" s="515">
        <v>15120.438459041348</v>
      </c>
      <c r="AB80" s="483">
        <f t="shared" si="34"/>
        <v>15120.438459041348</v>
      </c>
      <c r="AC80" s="483"/>
      <c r="AD80" s="543">
        <f t="shared" si="35"/>
        <v>15120.438459041348</v>
      </c>
      <c r="AE80" s="515">
        <v>19885</v>
      </c>
      <c r="AF80" s="483">
        <f t="shared" si="36"/>
        <v>19885</v>
      </c>
      <c r="AG80" s="483"/>
      <c r="AH80" s="543">
        <f t="shared" si="37"/>
        <v>19885</v>
      </c>
      <c r="AI80" s="520">
        <v>24124.782022323139</v>
      </c>
      <c r="AJ80" s="484">
        <f t="shared" si="38"/>
        <v>24124.782022323139</v>
      </c>
      <c r="AK80" s="484"/>
      <c r="AL80" s="545">
        <f t="shared" si="39"/>
        <v>24124.782022323139</v>
      </c>
      <c r="AM80" s="526">
        <v>19102.170276934878</v>
      </c>
      <c r="AN80" s="485">
        <f t="shared" si="40"/>
        <v>19102.170276934878</v>
      </c>
      <c r="AO80" s="485"/>
      <c r="AP80" s="543">
        <f t="shared" si="41"/>
        <v>19102.170276934878</v>
      </c>
      <c r="AQ80" s="530">
        <f t="shared" si="42"/>
        <v>24855.8360229996</v>
      </c>
    </row>
    <row r="81" spans="1:43" x14ac:dyDescent="0.55000000000000004">
      <c r="A81" s="316" t="s">
        <v>390</v>
      </c>
      <c r="B81" s="218" t="s">
        <v>391</v>
      </c>
      <c r="C81" s="218" t="s">
        <v>410</v>
      </c>
      <c r="D81" s="105" t="s">
        <v>411</v>
      </c>
      <c r="E81" s="100"/>
      <c r="F81" s="34"/>
      <c r="G81" s="34"/>
      <c r="H81" s="480">
        <v>10973.797642312536</v>
      </c>
      <c r="I81" s="480" t="s">
        <v>412</v>
      </c>
      <c r="J81" s="490">
        <v>5</v>
      </c>
      <c r="K81" s="504">
        <v>0</v>
      </c>
      <c r="L81" s="482"/>
      <c r="M81" s="482"/>
      <c r="N81" s="536">
        <f t="shared" si="27"/>
        <v>0</v>
      </c>
      <c r="O81" s="496">
        <v>2032.0839522128661</v>
      </c>
      <c r="P81" s="483"/>
      <c r="Q81" s="483"/>
      <c r="R81" s="541">
        <f t="shared" si="29"/>
        <v>0</v>
      </c>
      <c r="S81" s="515">
        <v>3636.2835444713837</v>
      </c>
      <c r="T81" s="483"/>
      <c r="U81" s="483"/>
      <c r="V81" s="543">
        <f t="shared" si="31"/>
        <v>0</v>
      </c>
      <c r="W81" s="515">
        <v>2782.9095656369154</v>
      </c>
      <c r="X81" s="483"/>
      <c r="Y81" s="483"/>
      <c r="Z81" s="543">
        <f t="shared" si="33"/>
        <v>0</v>
      </c>
      <c r="AA81" s="515">
        <v>5371.2361664480359</v>
      </c>
      <c r="AB81" s="483"/>
      <c r="AC81" s="483"/>
      <c r="AD81" s="543">
        <f t="shared" si="35"/>
        <v>0</v>
      </c>
      <c r="AE81" s="515">
        <v>8779</v>
      </c>
      <c r="AF81" s="483"/>
      <c r="AG81" s="483"/>
      <c r="AH81" s="543">
        <f t="shared" si="37"/>
        <v>0</v>
      </c>
      <c r="AI81" s="520">
        <v>8779.0381138500288</v>
      </c>
      <c r="AJ81" s="484"/>
      <c r="AK81" s="484"/>
      <c r="AL81" s="545">
        <f t="shared" si="39"/>
        <v>0</v>
      </c>
      <c r="AM81" s="526">
        <v>8230.3482317344024</v>
      </c>
      <c r="AN81" s="485"/>
      <c r="AO81" s="485"/>
      <c r="AP81" s="543">
        <f t="shared" si="41"/>
        <v>0</v>
      </c>
      <c r="AQ81" s="530">
        <f t="shared" si="42"/>
        <v>0</v>
      </c>
    </row>
    <row r="82" spans="1:43" ht="27.6" x14ac:dyDescent="0.55000000000000004">
      <c r="A82" s="316" t="s">
        <v>233</v>
      </c>
      <c r="B82" s="218" t="s">
        <v>234</v>
      </c>
      <c r="C82" s="218" t="s">
        <v>233</v>
      </c>
      <c r="D82" s="105" t="s">
        <v>235</v>
      </c>
      <c r="E82" s="100"/>
      <c r="F82" s="34"/>
      <c r="G82" s="34"/>
      <c r="H82" s="480">
        <v>14516.802522734295</v>
      </c>
      <c r="I82" s="480" t="s">
        <v>413</v>
      </c>
      <c r="J82" s="490">
        <v>1</v>
      </c>
      <c r="K82" s="504"/>
      <c r="L82" s="482">
        <f t="shared" si="26"/>
        <v>0</v>
      </c>
      <c r="M82" s="482"/>
      <c r="N82" s="536">
        <f t="shared" si="27"/>
        <v>0</v>
      </c>
      <c r="O82" s="496">
        <v>1280.3819825051648</v>
      </c>
      <c r="P82" s="483">
        <f t="shared" si="28"/>
        <v>1280.3819825051648</v>
      </c>
      <c r="Q82" s="483"/>
      <c r="R82" s="541">
        <f t="shared" si="29"/>
        <v>1280.3819825051648</v>
      </c>
      <c r="S82" s="515">
        <v>7035.6908697905883</v>
      </c>
      <c r="T82" s="483">
        <f t="shared" si="30"/>
        <v>7035.6908697905883</v>
      </c>
      <c r="U82" s="483"/>
      <c r="V82" s="543">
        <f t="shared" si="31"/>
        <v>7035.6908697905883</v>
      </c>
      <c r="W82" s="515">
        <v>8960.7014556909598</v>
      </c>
      <c r="X82" s="483">
        <f t="shared" si="32"/>
        <v>8960.7014556909598</v>
      </c>
      <c r="Y82" s="483"/>
      <c r="Z82" s="543">
        <f t="shared" si="33"/>
        <v>0</v>
      </c>
      <c r="AA82" s="515">
        <v>10162.535731393538</v>
      </c>
      <c r="AB82" s="483">
        <f t="shared" si="34"/>
        <v>10162.535731393538</v>
      </c>
      <c r="AC82" s="483"/>
      <c r="AD82" s="543">
        <f t="shared" si="35"/>
        <v>10162.535731393538</v>
      </c>
      <c r="AE82" s="515">
        <v>2555</v>
      </c>
      <c r="AF82" s="483">
        <f t="shared" si="36"/>
        <v>2555</v>
      </c>
      <c r="AG82" s="483"/>
      <c r="AH82" s="543">
        <f t="shared" si="37"/>
        <v>2555</v>
      </c>
      <c r="AI82" s="520">
        <v>4573.7870962039569</v>
      </c>
      <c r="AJ82" s="484">
        <f t="shared" si="38"/>
        <v>4573.7870962039569</v>
      </c>
      <c r="AK82" s="484"/>
      <c r="AL82" s="545">
        <f t="shared" si="39"/>
        <v>4573.7870962039569</v>
      </c>
      <c r="AM82" s="526">
        <v>5645.423203285558</v>
      </c>
      <c r="AN82" s="485">
        <f t="shared" si="40"/>
        <v>5645.423203285558</v>
      </c>
      <c r="AO82" s="485"/>
      <c r="AP82" s="543">
        <f t="shared" si="41"/>
        <v>5645.423203285558</v>
      </c>
      <c r="AQ82" s="530">
        <f t="shared" si="42"/>
        <v>10162.535731393538</v>
      </c>
    </row>
    <row r="83" spans="1:43" x14ac:dyDescent="0.55000000000000004">
      <c r="A83" s="316" t="s">
        <v>236</v>
      </c>
      <c r="B83" s="218" t="s">
        <v>237</v>
      </c>
      <c r="C83" s="218" t="s">
        <v>238</v>
      </c>
      <c r="D83" s="105" t="s">
        <v>239</v>
      </c>
      <c r="E83" s="100"/>
      <c r="F83" s="34"/>
      <c r="G83" s="34"/>
      <c r="H83" s="480">
        <v>310546.09109739598</v>
      </c>
      <c r="I83" s="480" t="s">
        <v>413</v>
      </c>
      <c r="J83" s="490">
        <v>4</v>
      </c>
      <c r="K83" s="504"/>
      <c r="L83" s="482"/>
      <c r="M83" s="482"/>
      <c r="N83" s="536">
        <f t="shared" si="27"/>
        <v>0</v>
      </c>
      <c r="O83" s="496">
        <v>34506.328912287157</v>
      </c>
      <c r="P83" s="483"/>
      <c r="Q83" s="483"/>
      <c r="R83" s="541">
        <f t="shared" si="29"/>
        <v>0</v>
      </c>
      <c r="S83" s="515">
        <v>121870.66637679518</v>
      </c>
      <c r="T83" s="483"/>
      <c r="U83" s="483"/>
      <c r="V83" s="543">
        <f t="shared" si="31"/>
        <v>0</v>
      </c>
      <c r="W83" s="515">
        <v>218524.29063527889</v>
      </c>
      <c r="X83" s="483"/>
      <c r="Y83" s="483"/>
      <c r="Z83" s="543">
        <f t="shared" si="33"/>
        <v>0</v>
      </c>
      <c r="AA83" s="515">
        <v>172216.93776355864</v>
      </c>
      <c r="AB83" s="483"/>
      <c r="AC83" s="483"/>
      <c r="AD83" s="543">
        <f t="shared" si="35"/>
        <v>0</v>
      </c>
      <c r="AE83" s="515">
        <v>109312</v>
      </c>
      <c r="AF83" s="483"/>
      <c r="AG83" s="483"/>
      <c r="AH83" s="543">
        <f t="shared" si="37"/>
        <v>0</v>
      </c>
      <c r="AI83" s="520">
        <v>115937.20734302783</v>
      </c>
      <c r="AJ83" s="484"/>
      <c r="AK83" s="484"/>
      <c r="AL83" s="545">
        <f t="shared" si="39"/>
        <v>0</v>
      </c>
      <c r="AM83" s="526">
        <v>121395.29015625475</v>
      </c>
      <c r="AN83" s="485"/>
      <c r="AO83" s="485"/>
      <c r="AP83" s="543">
        <f t="shared" si="41"/>
        <v>0</v>
      </c>
      <c r="AQ83" s="530">
        <f t="shared" si="42"/>
        <v>0</v>
      </c>
    </row>
    <row r="84" spans="1:43" x14ac:dyDescent="0.55000000000000004">
      <c r="A84" s="316" t="s">
        <v>236</v>
      </c>
      <c r="B84" s="218" t="s">
        <v>237</v>
      </c>
      <c r="C84" s="218" t="s">
        <v>240</v>
      </c>
      <c r="D84" s="105" t="s">
        <v>241</v>
      </c>
      <c r="E84" s="100"/>
      <c r="F84" s="34"/>
      <c r="G84" s="34"/>
      <c r="H84" s="480">
        <v>165087.87496325735</v>
      </c>
      <c r="I84" s="480" t="s">
        <v>413</v>
      </c>
      <c r="J84" s="490">
        <v>5</v>
      </c>
      <c r="K84" s="504"/>
      <c r="L84" s="482"/>
      <c r="M84" s="482"/>
      <c r="N84" s="536">
        <f t="shared" si="27"/>
        <v>0</v>
      </c>
      <c r="O84" s="496">
        <v>12328.366291356146</v>
      </c>
      <c r="P84" s="483"/>
      <c r="Q84" s="483"/>
      <c r="R84" s="541">
        <f t="shared" si="29"/>
        <v>0</v>
      </c>
      <c r="S84" s="515">
        <v>72634.349974065291</v>
      </c>
      <c r="T84" s="483"/>
      <c r="U84" s="483"/>
      <c r="V84" s="543">
        <f t="shared" si="31"/>
        <v>0</v>
      </c>
      <c r="W84" s="515">
        <v>114316.81637306442</v>
      </c>
      <c r="X84" s="483"/>
      <c r="Y84" s="483"/>
      <c r="Z84" s="543">
        <f t="shared" si="33"/>
        <v>0</v>
      </c>
      <c r="AA84" s="515">
        <v>87461.53402342253</v>
      </c>
      <c r="AB84" s="483"/>
      <c r="AC84" s="483"/>
      <c r="AD84" s="543">
        <f t="shared" si="35"/>
        <v>0</v>
      </c>
      <c r="AE84" s="515">
        <v>53008</v>
      </c>
      <c r="AF84" s="483"/>
      <c r="AG84" s="483"/>
      <c r="AH84" s="543">
        <f t="shared" si="37"/>
        <v>0</v>
      </c>
      <c r="AI84" s="520">
        <v>98446.897913869063</v>
      </c>
      <c r="AJ84" s="484"/>
      <c r="AK84" s="484"/>
      <c r="AL84" s="545">
        <f t="shared" si="39"/>
        <v>0</v>
      </c>
      <c r="AM84" s="526">
        <v>134516.04626635785</v>
      </c>
      <c r="AN84" s="485"/>
      <c r="AO84" s="485"/>
      <c r="AP84" s="543">
        <f t="shared" si="41"/>
        <v>0</v>
      </c>
      <c r="AQ84" s="530">
        <f t="shared" si="42"/>
        <v>0</v>
      </c>
    </row>
    <row r="85" spans="1:43" x14ac:dyDescent="0.55000000000000004">
      <c r="A85" s="316" t="s">
        <v>236</v>
      </c>
      <c r="B85" s="218" t="s">
        <v>237</v>
      </c>
      <c r="C85" s="218" t="s">
        <v>242</v>
      </c>
      <c r="D85" s="105" t="s">
        <v>243</v>
      </c>
      <c r="E85" s="100"/>
      <c r="F85" s="34"/>
      <c r="G85" s="34"/>
      <c r="H85" s="480">
        <v>81323.353354623177</v>
      </c>
      <c r="I85" s="480" t="s">
        <v>413</v>
      </c>
      <c r="J85" s="490">
        <v>5</v>
      </c>
      <c r="K85" s="504"/>
      <c r="L85" s="482"/>
      <c r="M85" s="482"/>
      <c r="N85" s="536">
        <f t="shared" si="27"/>
        <v>0</v>
      </c>
      <c r="O85" s="496">
        <v>10737.772930237736</v>
      </c>
      <c r="P85" s="483"/>
      <c r="Q85" s="483"/>
      <c r="R85" s="541">
        <f t="shared" si="29"/>
        <v>0</v>
      </c>
      <c r="S85" s="515">
        <v>43190.130773320248</v>
      </c>
      <c r="T85" s="483"/>
      <c r="U85" s="483"/>
      <c r="V85" s="543">
        <f t="shared" si="31"/>
        <v>0</v>
      </c>
      <c r="W85" s="515">
        <v>51309.967154464714</v>
      </c>
      <c r="X85" s="483"/>
      <c r="Y85" s="483"/>
      <c r="Z85" s="543">
        <f t="shared" si="33"/>
        <v>0</v>
      </c>
      <c r="AA85" s="515">
        <v>37036.600003788044</v>
      </c>
      <c r="AB85" s="483"/>
      <c r="AC85" s="483"/>
      <c r="AD85" s="543">
        <f t="shared" si="35"/>
        <v>0</v>
      </c>
      <c r="AE85" s="515">
        <v>16640</v>
      </c>
      <c r="AF85" s="483"/>
      <c r="AG85" s="483"/>
      <c r="AH85" s="543">
        <f t="shared" si="37"/>
        <v>0</v>
      </c>
      <c r="AI85" s="520">
        <v>42131.375834322847</v>
      </c>
      <c r="AJ85" s="484"/>
      <c r="AK85" s="484"/>
      <c r="AL85" s="545">
        <f t="shared" si="39"/>
        <v>0</v>
      </c>
      <c r="AM85" s="526">
        <v>48191.616802739656</v>
      </c>
      <c r="AN85" s="485"/>
      <c r="AO85" s="485"/>
      <c r="AP85" s="543">
        <f t="shared" si="41"/>
        <v>0</v>
      </c>
      <c r="AQ85" s="530">
        <f t="shared" si="42"/>
        <v>0</v>
      </c>
    </row>
    <row r="86" spans="1:43" x14ac:dyDescent="0.55000000000000004">
      <c r="A86" s="316" t="s">
        <v>236</v>
      </c>
      <c r="B86" s="218" t="s">
        <v>237</v>
      </c>
      <c r="C86" s="218" t="s">
        <v>244</v>
      </c>
      <c r="D86" s="105" t="s">
        <v>245</v>
      </c>
      <c r="E86" s="100"/>
      <c r="F86" s="34"/>
      <c r="G86" s="34"/>
      <c r="H86" s="480">
        <v>76038.235545987191</v>
      </c>
      <c r="I86" s="480" t="s">
        <v>413</v>
      </c>
      <c r="J86" s="490">
        <v>5</v>
      </c>
      <c r="K86" s="504"/>
      <c r="L86" s="482"/>
      <c r="M86" s="482"/>
      <c r="N86" s="536">
        <f t="shared" si="27"/>
        <v>0</v>
      </c>
      <c r="O86" s="496">
        <v>13457.17088869327</v>
      </c>
      <c r="P86" s="483"/>
      <c r="Q86" s="483"/>
      <c r="R86" s="541">
        <f t="shared" si="29"/>
        <v>0</v>
      </c>
      <c r="S86" s="515">
        <v>33058.440464696396</v>
      </c>
      <c r="T86" s="483"/>
      <c r="U86" s="483"/>
      <c r="V86" s="543">
        <f t="shared" si="31"/>
        <v>0</v>
      </c>
      <c r="W86" s="515">
        <v>51659.39705423377</v>
      </c>
      <c r="X86" s="483"/>
      <c r="Y86" s="483"/>
      <c r="Z86" s="543">
        <f t="shared" si="33"/>
        <v>0</v>
      </c>
      <c r="AA86" s="515">
        <v>49372.875595759877</v>
      </c>
      <c r="AB86" s="483"/>
      <c r="AC86" s="483"/>
      <c r="AD86" s="543">
        <f t="shared" si="35"/>
        <v>0</v>
      </c>
      <c r="AE86" s="515">
        <v>26850</v>
      </c>
      <c r="AF86" s="483"/>
      <c r="AG86" s="483"/>
      <c r="AH86" s="543">
        <f t="shared" si="37"/>
        <v>0</v>
      </c>
      <c r="AI86" s="520">
        <v>44275.428292600132</v>
      </c>
      <c r="AJ86" s="484"/>
      <c r="AK86" s="484"/>
      <c r="AL86" s="545">
        <f t="shared" si="39"/>
        <v>0</v>
      </c>
      <c r="AM86" s="526">
        <v>42947.521928752023</v>
      </c>
      <c r="AN86" s="485"/>
      <c r="AO86" s="485"/>
      <c r="AP86" s="543">
        <f t="shared" si="41"/>
        <v>0</v>
      </c>
      <c r="AQ86" s="530">
        <f t="shared" si="42"/>
        <v>0</v>
      </c>
    </row>
    <row r="87" spans="1:43" x14ac:dyDescent="0.55000000000000004">
      <c r="A87" s="316" t="s">
        <v>236</v>
      </c>
      <c r="B87" s="218" t="s">
        <v>237</v>
      </c>
      <c r="C87" s="218" t="s">
        <v>246</v>
      </c>
      <c r="D87" s="105" t="s">
        <v>247</v>
      </c>
      <c r="E87" s="100"/>
      <c r="F87" s="34"/>
      <c r="G87" s="34"/>
      <c r="H87" s="480">
        <v>198861.49864411939</v>
      </c>
      <c r="I87" s="480" t="s">
        <v>413</v>
      </c>
      <c r="J87" s="490">
        <v>4</v>
      </c>
      <c r="K87" s="504"/>
      <c r="L87" s="482"/>
      <c r="M87" s="482"/>
      <c r="N87" s="536">
        <f t="shared" si="27"/>
        <v>0</v>
      </c>
      <c r="O87" s="496">
        <v>52758.949897778082</v>
      </c>
      <c r="P87" s="483"/>
      <c r="Q87" s="483"/>
      <c r="R87" s="541">
        <f t="shared" si="29"/>
        <v>0</v>
      </c>
      <c r="S87" s="515">
        <v>76543.726766279651</v>
      </c>
      <c r="T87" s="483"/>
      <c r="U87" s="483"/>
      <c r="V87" s="543">
        <f t="shared" si="31"/>
        <v>0</v>
      </c>
      <c r="W87" s="515">
        <v>128069.22419123921</v>
      </c>
      <c r="X87" s="483"/>
      <c r="Y87" s="483"/>
      <c r="Z87" s="543">
        <f t="shared" si="33"/>
        <v>0</v>
      </c>
      <c r="AA87" s="515">
        <v>101701.93188031472</v>
      </c>
      <c r="AB87" s="483"/>
      <c r="AC87" s="483"/>
      <c r="AD87" s="543">
        <f t="shared" si="35"/>
        <v>0</v>
      </c>
      <c r="AE87" s="515">
        <v>70441</v>
      </c>
      <c r="AF87" s="483"/>
      <c r="AG87" s="483"/>
      <c r="AH87" s="543">
        <f t="shared" si="37"/>
        <v>0</v>
      </c>
      <c r="AI87" s="520">
        <v>151270.7126438173</v>
      </c>
      <c r="AJ87" s="484"/>
      <c r="AK87" s="484"/>
      <c r="AL87" s="545">
        <f t="shared" si="39"/>
        <v>0</v>
      </c>
      <c r="AM87" s="526">
        <v>71811.096732598671</v>
      </c>
      <c r="AN87" s="485"/>
      <c r="AO87" s="485"/>
      <c r="AP87" s="543">
        <f t="shared" si="41"/>
        <v>0</v>
      </c>
      <c r="AQ87" s="530">
        <f t="shared" si="42"/>
        <v>0</v>
      </c>
    </row>
    <row r="88" spans="1:43" x14ac:dyDescent="0.55000000000000004">
      <c r="A88" s="316" t="s">
        <v>236</v>
      </c>
      <c r="B88" s="218" t="s">
        <v>237</v>
      </c>
      <c r="C88" s="218" t="s">
        <v>248</v>
      </c>
      <c r="D88" s="105" t="s">
        <v>249</v>
      </c>
      <c r="E88" s="100"/>
      <c r="F88" s="34"/>
      <c r="G88" s="34"/>
      <c r="H88" s="480">
        <v>194205.26881302349</v>
      </c>
      <c r="I88" s="480" t="s">
        <v>413</v>
      </c>
      <c r="J88" s="490">
        <v>5</v>
      </c>
      <c r="K88" s="504"/>
      <c r="L88" s="482"/>
      <c r="M88" s="482"/>
      <c r="N88" s="536">
        <f t="shared" si="27"/>
        <v>0</v>
      </c>
      <c r="O88" s="496">
        <v>34025.73412238578</v>
      </c>
      <c r="P88" s="483"/>
      <c r="Q88" s="483"/>
      <c r="R88" s="541">
        <f t="shared" si="29"/>
        <v>0</v>
      </c>
      <c r="S88" s="515">
        <v>87344.841219222537</v>
      </c>
      <c r="T88" s="483"/>
      <c r="U88" s="483"/>
      <c r="V88" s="543">
        <f t="shared" si="31"/>
        <v>0</v>
      </c>
      <c r="W88" s="515">
        <v>95436.106026903348</v>
      </c>
      <c r="X88" s="483"/>
      <c r="Y88" s="483"/>
      <c r="Z88" s="543">
        <f t="shared" si="33"/>
        <v>0</v>
      </c>
      <c r="AA88" s="515">
        <v>89654.848775627062</v>
      </c>
      <c r="AB88" s="483"/>
      <c r="AC88" s="483"/>
      <c r="AD88" s="543">
        <f t="shared" si="35"/>
        <v>0</v>
      </c>
      <c r="AE88" s="515">
        <v>63216</v>
      </c>
      <c r="AF88" s="483"/>
      <c r="AG88" s="483"/>
      <c r="AH88" s="543">
        <f t="shared" si="37"/>
        <v>0</v>
      </c>
      <c r="AI88" s="520">
        <v>87999.262430901275</v>
      </c>
      <c r="AJ88" s="484"/>
      <c r="AK88" s="484"/>
      <c r="AL88" s="545">
        <f t="shared" si="39"/>
        <v>0</v>
      </c>
      <c r="AM88" s="526">
        <v>158241.33014394506</v>
      </c>
      <c r="AN88" s="485"/>
      <c r="AO88" s="485"/>
      <c r="AP88" s="543">
        <f t="shared" si="41"/>
        <v>0</v>
      </c>
      <c r="AQ88" s="530">
        <f t="shared" si="42"/>
        <v>0</v>
      </c>
    </row>
    <row r="89" spans="1:43" x14ac:dyDescent="0.55000000000000004">
      <c r="A89" s="316" t="s">
        <v>250</v>
      </c>
      <c r="B89" s="218" t="s">
        <v>251</v>
      </c>
      <c r="C89" s="218" t="s">
        <v>252</v>
      </c>
      <c r="D89" s="105" t="s">
        <v>253</v>
      </c>
      <c r="E89" s="100"/>
      <c r="F89" s="34"/>
      <c r="G89" s="34"/>
      <c r="H89" s="480">
        <v>80977.342990929319</v>
      </c>
      <c r="I89" s="480" t="s">
        <v>413</v>
      </c>
      <c r="J89" s="490">
        <v>4</v>
      </c>
      <c r="K89" s="504"/>
      <c r="L89" s="482"/>
      <c r="M89" s="482"/>
      <c r="N89" s="536">
        <f t="shared" si="27"/>
        <v>0</v>
      </c>
      <c r="O89" s="496">
        <v>26470.35974093292</v>
      </c>
      <c r="P89" s="483"/>
      <c r="Q89" s="483"/>
      <c r="R89" s="541">
        <f t="shared" si="29"/>
        <v>0</v>
      </c>
      <c r="S89" s="515">
        <v>42094.260145199667</v>
      </c>
      <c r="T89" s="483"/>
      <c r="U89" s="483"/>
      <c r="V89" s="543">
        <f t="shared" si="31"/>
        <v>0</v>
      </c>
      <c r="W89" s="515">
        <v>52040.353809790613</v>
      </c>
      <c r="X89" s="483"/>
      <c r="Y89" s="483"/>
      <c r="Z89" s="543">
        <f t="shared" si="33"/>
        <v>0</v>
      </c>
      <c r="AA89" s="515">
        <v>35482.701808864054</v>
      </c>
      <c r="AB89" s="483"/>
      <c r="AC89" s="483"/>
      <c r="AD89" s="543">
        <f t="shared" si="35"/>
        <v>0</v>
      </c>
      <c r="AE89" s="515">
        <v>13243</v>
      </c>
      <c r="AF89" s="483"/>
      <c r="AG89" s="483"/>
      <c r="AH89" s="543">
        <f t="shared" si="37"/>
        <v>0</v>
      </c>
      <c r="AI89" s="520">
        <v>46442.887891856524</v>
      </c>
      <c r="AJ89" s="484"/>
      <c r="AK89" s="484"/>
      <c r="AL89" s="545">
        <f t="shared" si="39"/>
        <v>0</v>
      </c>
      <c r="AM89" s="526">
        <v>60733.007243196989</v>
      </c>
      <c r="AN89" s="485"/>
      <c r="AO89" s="485"/>
      <c r="AP89" s="543">
        <f t="shared" si="41"/>
        <v>0</v>
      </c>
      <c r="AQ89" s="530">
        <f t="shared" si="42"/>
        <v>0</v>
      </c>
    </row>
    <row r="90" spans="1:43" x14ac:dyDescent="0.55000000000000004">
      <c r="A90" s="316" t="s">
        <v>250</v>
      </c>
      <c r="B90" s="218" t="s">
        <v>251</v>
      </c>
      <c r="C90" s="218" t="s">
        <v>254</v>
      </c>
      <c r="D90" s="105" t="s">
        <v>255</v>
      </c>
      <c r="E90" s="100"/>
      <c r="F90" s="34"/>
      <c r="G90" s="34"/>
      <c r="H90" s="480">
        <v>79454.880620653479</v>
      </c>
      <c r="I90" s="480" t="s">
        <v>413</v>
      </c>
      <c r="J90" s="490">
        <v>4</v>
      </c>
      <c r="K90" s="504"/>
      <c r="L90" s="482"/>
      <c r="M90" s="482"/>
      <c r="N90" s="536">
        <f t="shared" si="27"/>
        <v>0</v>
      </c>
      <c r="O90" s="496">
        <v>10528.407321281551</v>
      </c>
      <c r="P90" s="483"/>
      <c r="Q90" s="483"/>
      <c r="R90" s="541">
        <f t="shared" si="29"/>
        <v>0</v>
      </c>
      <c r="S90" s="515">
        <v>42184.060293550596</v>
      </c>
      <c r="T90" s="483"/>
      <c r="U90" s="483"/>
      <c r="V90" s="543">
        <f t="shared" si="31"/>
        <v>0</v>
      </c>
      <c r="W90" s="515">
        <v>35471.478825328893</v>
      </c>
      <c r="X90" s="483"/>
      <c r="Y90" s="483"/>
      <c r="Z90" s="543">
        <f t="shared" si="33"/>
        <v>0</v>
      </c>
      <c r="AA90" s="515">
        <v>44732.491459357952</v>
      </c>
      <c r="AB90" s="483"/>
      <c r="AC90" s="483"/>
      <c r="AD90" s="543">
        <f t="shared" si="35"/>
        <v>0</v>
      </c>
      <c r="AE90" s="515">
        <v>14557</v>
      </c>
      <c r="AF90" s="483"/>
      <c r="AG90" s="483"/>
      <c r="AH90" s="543">
        <f t="shared" si="37"/>
        <v>0</v>
      </c>
      <c r="AI90" s="520">
        <v>19014.843225455534</v>
      </c>
      <c r="AJ90" s="484"/>
      <c r="AK90" s="484"/>
      <c r="AL90" s="545">
        <f t="shared" si="39"/>
        <v>0</v>
      </c>
      <c r="AM90" s="526">
        <v>38634.024521969128</v>
      </c>
      <c r="AN90" s="485"/>
      <c r="AO90" s="485"/>
      <c r="AP90" s="543">
        <f t="shared" si="41"/>
        <v>0</v>
      </c>
      <c r="AQ90" s="530">
        <f t="shared" si="42"/>
        <v>0</v>
      </c>
    </row>
    <row r="91" spans="1:43" x14ac:dyDescent="0.55000000000000004">
      <c r="A91" s="316" t="s">
        <v>250</v>
      </c>
      <c r="B91" s="218" t="s">
        <v>251</v>
      </c>
      <c r="C91" s="218" t="s">
        <v>256</v>
      </c>
      <c r="D91" s="105" t="s">
        <v>257</v>
      </c>
      <c r="E91" s="100"/>
      <c r="F91" s="34"/>
      <c r="G91" s="34"/>
      <c r="H91" s="480">
        <v>135919.18209910189</v>
      </c>
      <c r="I91" s="480" t="s">
        <v>413</v>
      </c>
      <c r="J91" s="490">
        <v>2</v>
      </c>
      <c r="K91" s="504"/>
      <c r="L91" s="482">
        <f t="shared" si="26"/>
        <v>0</v>
      </c>
      <c r="M91" s="482"/>
      <c r="N91" s="536">
        <f t="shared" si="27"/>
        <v>0</v>
      </c>
      <c r="O91" s="496">
        <v>46429.992605053216</v>
      </c>
      <c r="P91" s="483">
        <f t="shared" si="28"/>
        <v>46429.992605053216</v>
      </c>
      <c r="Q91" s="483"/>
      <c r="R91" s="541">
        <f t="shared" si="29"/>
        <v>46429.992605053216</v>
      </c>
      <c r="S91" s="515">
        <v>69154.097960808984</v>
      </c>
      <c r="T91" s="483">
        <f t="shared" si="30"/>
        <v>69154.097960808984</v>
      </c>
      <c r="U91" s="483"/>
      <c r="V91" s="543">
        <f t="shared" si="31"/>
        <v>69154.097960808984</v>
      </c>
      <c r="W91" s="515">
        <v>96916.824518761714</v>
      </c>
      <c r="X91" s="483">
        <f t="shared" si="32"/>
        <v>96916.824518761714</v>
      </c>
      <c r="Y91" s="483"/>
      <c r="Z91" s="543">
        <f t="shared" si="33"/>
        <v>0</v>
      </c>
      <c r="AA91" s="515">
        <v>52722.460475722546</v>
      </c>
      <c r="AB91" s="483">
        <f t="shared" si="34"/>
        <v>52722.460475722546</v>
      </c>
      <c r="AC91" s="483"/>
      <c r="AD91" s="543">
        <f t="shared" si="35"/>
        <v>52722.460475722546</v>
      </c>
      <c r="AE91" s="515">
        <v>45226</v>
      </c>
      <c r="AF91" s="483">
        <f t="shared" si="36"/>
        <v>45226</v>
      </c>
      <c r="AG91" s="483"/>
      <c r="AH91" s="543">
        <f t="shared" si="37"/>
        <v>45226</v>
      </c>
      <c r="AI91" s="520">
        <v>70224.910751202638</v>
      </c>
      <c r="AJ91" s="484">
        <f t="shared" si="38"/>
        <v>70224.910751202638</v>
      </c>
      <c r="AK91" s="484"/>
      <c r="AL91" s="545">
        <f t="shared" si="39"/>
        <v>70224.910751202638</v>
      </c>
      <c r="AM91" s="526">
        <v>108231.94130113669</v>
      </c>
      <c r="AN91" s="485">
        <f t="shared" si="40"/>
        <v>108231.94130113669</v>
      </c>
      <c r="AO91" s="485"/>
      <c r="AP91" s="543">
        <f t="shared" si="41"/>
        <v>108231.94130113669</v>
      </c>
      <c r="AQ91" s="530">
        <f t="shared" si="42"/>
        <v>108231.94130113669</v>
      </c>
    </row>
    <row r="92" spans="1:43" x14ac:dyDescent="0.55000000000000004">
      <c r="A92" s="316" t="s">
        <v>250</v>
      </c>
      <c r="B92" s="218" t="s">
        <v>251</v>
      </c>
      <c r="C92" s="218" t="s">
        <v>258</v>
      </c>
      <c r="D92" s="105" t="s">
        <v>259</v>
      </c>
      <c r="E92" s="100"/>
      <c r="F92" s="34"/>
      <c r="G92" s="34"/>
      <c r="H92" s="480">
        <v>121484.03458105327</v>
      </c>
      <c r="I92" s="480" t="s">
        <v>413</v>
      </c>
      <c r="J92" s="490">
        <v>3</v>
      </c>
      <c r="K92" s="504"/>
      <c r="L92" s="482"/>
      <c r="M92" s="482">
        <f t="shared" si="43"/>
        <v>0</v>
      </c>
      <c r="N92" s="536">
        <f t="shared" si="27"/>
        <v>0</v>
      </c>
      <c r="O92" s="496">
        <v>46042.449106219196</v>
      </c>
      <c r="P92" s="483"/>
      <c r="Q92" s="483">
        <f t="shared" si="44"/>
        <v>23021.224553109598</v>
      </c>
      <c r="R92" s="541">
        <f t="shared" si="29"/>
        <v>23021.224553109598</v>
      </c>
      <c r="S92" s="515">
        <v>59858.47932407858</v>
      </c>
      <c r="T92" s="483"/>
      <c r="U92" s="483">
        <f t="shared" si="45"/>
        <v>29929.23966203929</v>
      </c>
      <c r="V92" s="543">
        <f t="shared" si="31"/>
        <v>29929.23966203929</v>
      </c>
      <c r="W92" s="515">
        <v>86176.646757728115</v>
      </c>
      <c r="X92" s="483"/>
      <c r="Y92" s="483">
        <f t="shared" si="46"/>
        <v>43088.323378864057</v>
      </c>
      <c r="Z92" s="543">
        <f t="shared" si="33"/>
        <v>43088.323378864057</v>
      </c>
      <c r="AA92" s="515">
        <v>43235.42634040417</v>
      </c>
      <c r="AB92" s="483"/>
      <c r="AC92" s="483">
        <f t="shared" si="47"/>
        <v>21617.713170202085</v>
      </c>
      <c r="AD92" s="543">
        <f t="shared" si="35"/>
        <v>21617.713170202085</v>
      </c>
      <c r="AE92" s="515">
        <v>20486</v>
      </c>
      <c r="AF92" s="483"/>
      <c r="AG92" s="483">
        <f t="shared" si="48"/>
        <v>10243</v>
      </c>
      <c r="AH92" s="543">
        <f t="shared" si="37"/>
        <v>10243</v>
      </c>
      <c r="AI92" s="520">
        <v>89929.739884675801</v>
      </c>
      <c r="AJ92" s="484"/>
      <c r="AK92" s="484">
        <f t="shared" si="49"/>
        <v>44964.8699423379</v>
      </c>
      <c r="AL92" s="545">
        <f t="shared" si="39"/>
        <v>44964.8699423379</v>
      </c>
      <c r="AM92" s="526">
        <v>62413.815931550314</v>
      </c>
      <c r="AN92" s="485"/>
      <c r="AO92" s="485">
        <f t="shared" si="50"/>
        <v>31206.907965775157</v>
      </c>
      <c r="AP92" s="543">
        <f t="shared" si="41"/>
        <v>31206.907965775157</v>
      </c>
      <c r="AQ92" s="530">
        <f t="shared" si="42"/>
        <v>44964.8699423379</v>
      </c>
    </row>
    <row r="93" spans="1:43" x14ac:dyDescent="0.55000000000000004">
      <c r="A93" s="316" t="s">
        <v>250</v>
      </c>
      <c r="B93" s="218" t="s">
        <v>251</v>
      </c>
      <c r="C93" s="218" t="s">
        <v>260</v>
      </c>
      <c r="D93" s="105" t="s">
        <v>261</v>
      </c>
      <c r="E93" s="100"/>
      <c r="F93" s="34"/>
      <c r="G93" s="34"/>
      <c r="H93" s="480">
        <v>79271.088602523028</v>
      </c>
      <c r="I93" s="480" t="s">
        <v>413</v>
      </c>
      <c r="J93" s="490">
        <v>3</v>
      </c>
      <c r="K93" s="504"/>
      <c r="L93" s="482"/>
      <c r="M93" s="482">
        <f t="shared" si="43"/>
        <v>0</v>
      </c>
      <c r="N93" s="536">
        <f t="shared" si="27"/>
        <v>0</v>
      </c>
      <c r="O93" s="496">
        <v>19686.721186953062</v>
      </c>
      <c r="P93" s="483"/>
      <c r="Q93" s="483">
        <f t="shared" si="44"/>
        <v>9843.360593476531</v>
      </c>
      <c r="R93" s="541">
        <f t="shared" si="29"/>
        <v>9843.360593476531</v>
      </c>
      <c r="S93" s="515">
        <v>37294.758549978993</v>
      </c>
      <c r="T93" s="483"/>
      <c r="U93" s="483">
        <f t="shared" si="45"/>
        <v>18647.379274989496</v>
      </c>
      <c r="V93" s="543">
        <f t="shared" si="31"/>
        <v>18647.379274989496</v>
      </c>
      <c r="W93" s="515">
        <v>35027.358509100399</v>
      </c>
      <c r="X93" s="483"/>
      <c r="Y93" s="483">
        <f t="shared" si="46"/>
        <v>17513.679254550199</v>
      </c>
      <c r="Z93" s="543">
        <f t="shared" si="33"/>
        <v>17513.679254550199</v>
      </c>
      <c r="AA93" s="515">
        <v>38688.219690455218</v>
      </c>
      <c r="AB93" s="483"/>
      <c r="AC93" s="483">
        <f t="shared" si="47"/>
        <v>19344.109845227609</v>
      </c>
      <c r="AD93" s="543">
        <f t="shared" si="35"/>
        <v>19344.109845227609</v>
      </c>
      <c r="AE93" s="515">
        <v>14100</v>
      </c>
      <c r="AF93" s="483"/>
      <c r="AG93" s="483">
        <f t="shared" si="48"/>
        <v>7050</v>
      </c>
      <c r="AH93" s="543">
        <f t="shared" si="37"/>
        <v>7050</v>
      </c>
      <c r="AI93" s="520">
        <v>42994.488733571816</v>
      </c>
      <c r="AJ93" s="484"/>
      <c r="AK93" s="484">
        <f t="shared" si="49"/>
        <v>21497.244366785908</v>
      </c>
      <c r="AL93" s="545">
        <f t="shared" si="39"/>
        <v>21497.244366785908</v>
      </c>
      <c r="AM93" s="526">
        <v>78537.097041388552</v>
      </c>
      <c r="AN93" s="485"/>
      <c r="AO93" s="485">
        <f t="shared" si="50"/>
        <v>39268.548520694276</v>
      </c>
      <c r="AP93" s="543">
        <f t="shared" si="41"/>
        <v>39268.548520694276</v>
      </c>
      <c r="AQ93" s="530">
        <f t="shared" si="42"/>
        <v>39268.548520694276</v>
      </c>
    </row>
    <row r="94" spans="1:43" x14ac:dyDescent="0.55000000000000004">
      <c r="A94" s="316" t="s">
        <v>250</v>
      </c>
      <c r="B94" s="218" t="s">
        <v>251</v>
      </c>
      <c r="C94" s="218" t="s">
        <v>262</v>
      </c>
      <c r="D94" s="105" t="s">
        <v>263</v>
      </c>
      <c r="E94" s="100"/>
      <c r="F94" s="34"/>
      <c r="G94" s="34"/>
      <c r="H94" s="480">
        <v>107170.91979145796</v>
      </c>
      <c r="I94" s="480" t="s">
        <v>413</v>
      </c>
      <c r="J94" s="490">
        <v>3</v>
      </c>
      <c r="K94" s="504"/>
      <c r="L94" s="482"/>
      <c r="M94" s="482">
        <f t="shared" si="43"/>
        <v>0</v>
      </c>
      <c r="N94" s="536">
        <f t="shared" si="27"/>
        <v>0</v>
      </c>
      <c r="O94" s="496">
        <v>5729.3573720513423</v>
      </c>
      <c r="P94" s="483"/>
      <c r="Q94" s="483">
        <f t="shared" si="44"/>
        <v>2864.6786860256711</v>
      </c>
      <c r="R94" s="541">
        <f t="shared" si="29"/>
        <v>2864.6786860256711</v>
      </c>
      <c r="S94" s="515">
        <v>45780.758584537936</v>
      </c>
      <c r="T94" s="483"/>
      <c r="U94" s="483">
        <f t="shared" si="45"/>
        <v>22890.379292268968</v>
      </c>
      <c r="V94" s="543">
        <f t="shared" si="31"/>
        <v>22890.379292268968</v>
      </c>
      <c r="W94" s="515">
        <v>73504.163352942982</v>
      </c>
      <c r="X94" s="483"/>
      <c r="Y94" s="483">
        <f t="shared" si="46"/>
        <v>36752.081676471491</v>
      </c>
      <c r="Z94" s="543">
        <f t="shared" si="33"/>
        <v>36752.081676471491</v>
      </c>
      <c r="AA94" s="515">
        <v>44407.930448946878</v>
      </c>
      <c r="AB94" s="483"/>
      <c r="AC94" s="483">
        <f t="shared" si="47"/>
        <v>22203.965224473439</v>
      </c>
      <c r="AD94" s="543">
        <f t="shared" si="35"/>
        <v>22203.965224473439</v>
      </c>
      <c r="AE94" s="515">
        <v>18196</v>
      </c>
      <c r="AF94" s="483"/>
      <c r="AG94" s="483">
        <f t="shared" si="48"/>
        <v>9098</v>
      </c>
      <c r="AH94" s="543">
        <f t="shared" si="37"/>
        <v>9098</v>
      </c>
      <c r="AI94" s="520">
        <v>26792.729947864493</v>
      </c>
      <c r="AJ94" s="484"/>
      <c r="AK94" s="484">
        <f t="shared" si="49"/>
        <v>13396.364973932246</v>
      </c>
      <c r="AL94" s="545">
        <f t="shared" si="39"/>
        <v>13396.364973932246</v>
      </c>
      <c r="AM94" s="526">
        <v>31342.438806935817</v>
      </c>
      <c r="AN94" s="485"/>
      <c r="AO94" s="485">
        <f t="shared" si="50"/>
        <v>15671.219403467909</v>
      </c>
      <c r="AP94" s="543">
        <f t="shared" si="41"/>
        <v>15671.219403467909</v>
      </c>
      <c r="AQ94" s="530">
        <f t="shared" si="42"/>
        <v>36752.081676471491</v>
      </c>
    </row>
    <row r="95" spans="1:43" x14ac:dyDescent="0.55000000000000004">
      <c r="A95" s="316" t="s">
        <v>250</v>
      </c>
      <c r="B95" s="218" t="s">
        <v>251</v>
      </c>
      <c r="C95" s="218" t="s">
        <v>264</v>
      </c>
      <c r="D95" s="105" t="s">
        <v>265</v>
      </c>
      <c r="E95" s="100"/>
      <c r="F95" s="34"/>
      <c r="G95" s="34"/>
      <c r="H95" s="480">
        <v>159337.28264572358</v>
      </c>
      <c r="I95" s="480" t="s">
        <v>413</v>
      </c>
      <c r="J95" s="490">
        <v>4</v>
      </c>
      <c r="K95" s="504"/>
      <c r="L95" s="482"/>
      <c r="M95" s="482"/>
      <c r="N95" s="536">
        <f t="shared" si="27"/>
        <v>0</v>
      </c>
      <c r="O95" s="496">
        <v>10479.4059411418</v>
      </c>
      <c r="P95" s="483"/>
      <c r="Q95" s="483"/>
      <c r="R95" s="541">
        <f t="shared" si="29"/>
        <v>0</v>
      </c>
      <c r="S95" s="515">
        <v>67879.22486518354</v>
      </c>
      <c r="T95" s="483"/>
      <c r="U95" s="483"/>
      <c r="V95" s="543">
        <f t="shared" si="31"/>
        <v>0</v>
      </c>
      <c r="W95" s="515">
        <v>38586.597027883196</v>
      </c>
      <c r="X95" s="483"/>
      <c r="Y95" s="483"/>
      <c r="Z95" s="543">
        <f t="shared" si="33"/>
        <v>0</v>
      </c>
      <c r="AA95" s="515">
        <v>83224.483891593016</v>
      </c>
      <c r="AB95" s="483"/>
      <c r="AC95" s="483"/>
      <c r="AD95" s="543">
        <f t="shared" si="35"/>
        <v>0</v>
      </c>
      <c r="AE95" s="515">
        <v>54019</v>
      </c>
      <c r="AF95" s="483"/>
      <c r="AG95" s="483"/>
      <c r="AH95" s="543">
        <f t="shared" si="37"/>
        <v>0</v>
      </c>
      <c r="AI95" s="520">
        <v>10448.346402998268</v>
      </c>
      <c r="AJ95" s="484"/>
      <c r="AK95" s="484"/>
      <c r="AL95" s="545">
        <f t="shared" si="39"/>
        <v>0</v>
      </c>
      <c r="AM95" s="526">
        <v>55097.938858801615</v>
      </c>
      <c r="AN95" s="485"/>
      <c r="AO95" s="485"/>
      <c r="AP95" s="543">
        <f t="shared" si="41"/>
        <v>0</v>
      </c>
      <c r="AQ95" s="530">
        <f t="shared" si="42"/>
        <v>0</v>
      </c>
    </row>
    <row r="96" spans="1:43" x14ac:dyDescent="0.55000000000000004">
      <c r="A96" s="316" t="s">
        <v>250</v>
      </c>
      <c r="B96" s="218" t="s">
        <v>251</v>
      </c>
      <c r="C96" s="218" t="s">
        <v>266</v>
      </c>
      <c r="D96" s="105" t="s">
        <v>267</v>
      </c>
      <c r="E96" s="100"/>
      <c r="F96" s="34"/>
      <c r="G96" s="34"/>
      <c r="H96" s="480">
        <v>47474.399116158442</v>
      </c>
      <c r="I96" s="480" t="s">
        <v>413</v>
      </c>
      <c r="J96" s="490">
        <v>4</v>
      </c>
      <c r="K96" s="504"/>
      <c r="L96" s="482"/>
      <c r="M96" s="482"/>
      <c r="N96" s="536">
        <f t="shared" si="27"/>
        <v>0</v>
      </c>
      <c r="O96" s="496">
        <v>5311.3408243175745</v>
      </c>
      <c r="P96" s="483"/>
      <c r="Q96" s="483"/>
      <c r="R96" s="541">
        <f t="shared" si="29"/>
        <v>0</v>
      </c>
      <c r="S96" s="515">
        <v>30283.540237307421</v>
      </c>
      <c r="T96" s="483"/>
      <c r="U96" s="483"/>
      <c r="V96" s="543">
        <f t="shared" si="31"/>
        <v>0</v>
      </c>
      <c r="W96" s="515">
        <v>26656.881066419981</v>
      </c>
      <c r="X96" s="483"/>
      <c r="Y96" s="483"/>
      <c r="Z96" s="543">
        <f t="shared" si="33"/>
        <v>0</v>
      </c>
      <c r="AA96" s="515">
        <v>37597.565887588869</v>
      </c>
      <c r="AB96" s="483"/>
      <c r="AC96" s="483"/>
      <c r="AD96" s="543">
        <f t="shared" si="35"/>
        <v>0</v>
      </c>
      <c r="AE96" s="515">
        <v>15714</v>
      </c>
      <c r="AF96" s="483"/>
      <c r="AG96" s="483"/>
      <c r="AH96" s="543">
        <f t="shared" si="37"/>
        <v>0</v>
      </c>
      <c r="AI96" s="520">
        <v>26110.919513887144</v>
      </c>
      <c r="AJ96" s="484"/>
      <c r="AK96" s="484"/>
      <c r="AL96" s="545">
        <f t="shared" si="39"/>
        <v>0</v>
      </c>
      <c r="AM96" s="526">
        <v>32800.493934800375</v>
      </c>
      <c r="AN96" s="485"/>
      <c r="AO96" s="485"/>
      <c r="AP96" s="543">
        <f t="shared" si="41"/>
        <v>0</v>
      </c>
      <c r="AQ96" s="530">
        <f t="shared" si="42"/>
        <v>0</v>
      </c>
    </row>
    <row r="97" spans="1:43" x14ac:dyDescent="0.55000000000000004">
      <c r="A97" s="316" t="s">
        <v>268</v>
      </c>
      <c r="B97" s="218" t="s">
        <v>269</v>
      </c>
      <c r="C97" s="218" t="s">
        <v>270</v>
      </c>
      <c r="D97" s="105" t="s">
        <v>271</v>
      </c>
      <c r="E97" s="100"/>
      <c r="F97" s="34"/>
      <c r="G97" s="34"/>
      <c r="H97" s="480">
        <v>146807.46329287597</v>
      </c>
      <c r="I97" s="480" t="s">
        <v>413</v>
      </c>
      <c r="J97" s="490">
        <v>1</v>
      </c>
      <c r="K97" s="504"/>
      <c r="L97" s="482">
        <f t="shared" si="26"/>
        <v>0</v>
      </c>
      <c r="M97" s="482"/>
      <c r="N97" s="536">
        <f t="shared" si="27"/>
        <v>0</v>
      </c>
      <c r="O97" s="496">
        <v>28955.129600180513</v>
      </c>
      <c r="P97" s="483">
        <f t="shared" si="28"/>
        <v>28955.129600180513</v>
      </c>
      <c r="Q97" s="483"/>
      <c r="R97" s="541">
        <f t="shared" si="29"/>
        <v>28955.129600180513</v>
      </c>
      <c r="S97" s="515">
        <v>85498.20173389159</v>
      </c>
      <c r="T97" s="483">
        <f t="shared" si="30"/>
        <v>85498.20173389159</v>
      </c>
      <c r="U97" s="483"/>
      <c r="V97" s="543">
        <f t="shared" si="31"/>
        <v>85498.20173389159</v>
      </c>
      <c r="W97" s="515">
        <v>126136.8235023275</v>
      </c>
      <c r="X97" s="483">
        <f t="shared" si="32"/>
        <v>126136.8235023275</v>
      </c>
      <c r="Y97" s="483"/>
      <c r="Z97" s="543">
        <f t="shared" si="33"/>
        <v>0</v>
      </c>
      <c r="AA97" s="515">
        <v>78587.456294377014</v>
      </c>
      <c r="AB97" s="483">
        <f t="shared" si="34"/>
        <v>78587.456294377014</v>
      </c>
      <c r="AC97" s="483"/>
      <c r="AD97" s="543">
        <f t="shared" si="35"/>
        <v>78587.456294377014</v>
      </c>
      <c r="AE97" s="515">
        <v>57549</v>
      </c>
      <c r="AF97" s="483">
        <f t="shared" si="36"/>
        <v>57549</v>
      </c>
      <c r="AG97" s="483"/>
      <c r="AH97" s="543">
        <f t="shared" si="37"/>
        <v>57549</v>
      </c>
      <c r="AI97" s="520">
        <v>101635.93612583721</v>
      </c>
      <c r="AJ97" s="484">
        <f t="shared" si="38"/>
        <v>101635.93612583721</v>
      </c>
      <c r="AK97" s="484"/>
      <c r="AL97" s="545">
        <f t="shared" si="39"/>
        <v>101635.93612583721</v>
      </c>
      <c r="AM97" s="526">
        <v>73403.731646437984</v>
      </c>
      <c r="AN97" s="485">
        <f t="shared" si="40"/>
        <v>73403.731646437984</v>
      </c>
      <c r="AO97" s="485"/>
      <c r="AP97" s="543">
        <f t="shared" si="41"/>
        <v>73403.731646437984</v>
      </c>
      <c r="AQ97" s="530">
        <f t="shared" si="42"/>
        <v>101635.93612583721</v>
      </c>
    </row>
    <row r="98" spans="1:43" x14ac:dyDescent="0.55000000000000004">
      <c r="A98" s="316" t="s">
        <v>268</v>
      </c>
      <c r="B98" s="218" t="s">
        <v>269</v>
      </c>
      <c r="C98" s="218" t="s">
        <v>272</v>
      </c>
      <c r="D98" s="105" t="s">
        <v>273</v>
      </c>
      <c r="E98" s="100"/>
      <c r="F98" s="34"/>
      <c r="G98" s="34"/>
      <c r="H98" s="480">
        <v>126785.47631993188</v>
      </c>
      <c r="I98" s="480" t="s">
        <v>413</v>
      </c>
      <c r="J98" s="490">
        <v>2</v>
      </c>
      <c r="K98" s="504"/>
      <c r="L98" s="482">
        <f t="shared" si="26"/>
        <v>0</v>
      </c>
      <c r="M98" s="482"/>
      <c r="N98" s="536">
        <f t="shared" si="27"/>
        <v>0</v>
      </c>
      <c r="O98" s="496">
        <v>17472.052920697173</v>
      </c>
      <c r="P98" s="483">
        <f t="shared" si="28"/>
        <v>17472.052920697173</v>
      </c>
      <c r="Q98" s="483"/>
      <c r="R98" s="541">
        <f t="shared" si="29"/>
        <v>17472.052920697173</v>
      </c>
      <c r="S98" s="515">
        <v>55020.705877044304</v>
      </c>
      <c r="T98" s="483">
        <f t="shared" si="30"/>
        <v>55020.705877044304</v>
      </c>
      <c r="U98" s="483"/>
      <c r="V98" s="543">
        <f t="shared" si="31"/>
        <v>55020.705877044304</v>
      </c>
      <c r="W98" s="515">
        <v>93800.145733472207</v>
      </c>
      <c r="X98" s="483">
        <f t="shared" si="32"/>
        <v>93800.145733472207</v>
      </c>
      <c r="Y98" s="483"/>
      <c r="Z98" s="543">
        <f t="shared" si="33"/>
        <v>0</v>
      </c>
      <c r="AA98" s="515">
        <v>56927.12951178303</v>
      </c>
      <c r="AB98" s="483">
        <f t="shared" si="34"/>
        <v>56927.12951178303</v>
      </c>
      <c r="AC98" s="483"/>
      <c r="AD98" s="543">
        <f t="shared" si="35"/>
        <v>56927.12951178303</v>
      </c>
      <c r="AE98" s="515">
        <v>44328</v>
      </c>
      <c r="AF98" s="483">
        <f t="shared" si="36"/>
        <v>44328</v>
      </c>
      <c r="AG98" s="483"/>
      <c r="AH98" s="543">
        <f t="shared" si="37"/>
        <v>44328</v>
      </c>
      <c r="AI98" s="520">
        <v>55823.455991611794</v>
      </c>
      <c r="AJ98" s="484">
        <f t="shared" si="38"/>
        <v>55823.455991611794</v>
      </c>
      <c r="AK98" s="484"/>
      <c r="AL98" s="545">
        <f t="shared" si="39"/>
        <v>55823.455991611794</v>
      </c>
      <c r="AM98" s="526">
        <v>108231.50417555163</v>
      </c>
      <c r="AN98" s="485">
        <f t="shared" si="40"/>
        <v>108231.50417555163</v>
      </c>
      <c r="AO98" s="485"/>
      <c r="AP98" s="543">
        <f t="shared" si="41"/>
        <v>108231.50417555163</v>
      </c>
      <c r="AQ98" s="530">
        <f t="shared" si="42"/>
        <v>108231.50417555163</v>
      </c>
    </row>
    <row r="99" spans="1:43" x14ac:dyDescent="0.55000000000000004">
      <c r="A99" s="316" t="s">
        <v>268</v>
      </c>
      <c r="B99" s="218" t="s">
        <v>269</v>
      </c>
      <c r="C99" s="218" t="s">
        <v>274</v>
      </c>
      <c r="D99" s="105" t="s">
        <v>275</v>
      </c>
      <c r="E99" s="100"/>
      <c r="F99" s="34"/>
      <c r="G99" s="34"/>
      <c r="H99" s="480">
        <v>191777.77641387403</v>
      </c>
      <c r="I99" s="480" t="s">
        <v>413</v>
      </c>
      <c r="J99" s="490">
        <v>4</v>
      </c>
      <c r="K99" s="504"/>
      <c r="L99" s="482"/>
      <c r="M99" s="482"/>
      <c r="N99" s="536">
        <f t="shared" si="27"/>
        <v>0</v>
      </c>
      <c r="O99" s="496">
        <v>38783.219724177747</v>
      </c>
      <c r="P99" s="483"/>
      <c r="Q99" s="483"/>
      <c r="R99" s="541">
        <f t="shared" si="29"/>
        <v>0</v>
      </c>
      <c r="S99" s="515">
        <v>96420.643217037126</v>
      </c>
      <c r="T99" s="483"/>
      <c r="U99" s="483"/>
      <c r="V99" s="543">
        <f t="shared" si="31"/>
        <v>0</v>
      </c>
      <c r="W99" s="515">
        <v>45820.494914653173</v>
      </c>
      <c r="X99" s="483"/>
      <c r="Y99" s="483"/>
      <c r="Z99" s="543">
        <f t="shared" si="33"/>
        <v>0</v>
      </c>
      <c r="AA99" s="515">
        <v>106537.69719115124</v>
      </c>
      <c r="AB99" s="483"/>
      <c r="AC99" s="483"/>
      <c r="AD99" s="543">
        <f t="shared" si="35"/>
        <v>0</v>
      </c>
      <c r="AE99" s="515">
        <v>65882</v>
      </c>
      <c r="AF99" s="483"/>
      <c r="AG99" s="483"/>
      <c r="AH99" s="543">
        <f t="shared" si="37"/>
        <v>0</v>
      </c>
      <c r="AI99" s="520">
        <v>157119.14212221006</v>
      </c>
      <c r="AJ99" s="484"/>
      <c r="AK99" s="484"/>
      <c r="AL99" s="545">
        <f t="shared" si="39"/>
        <v>0</v>
      </c>
      <c r="AM99" s="526">
        <v>90561.72775099607</v>
      </c>
      <c r="AN99" s="485"/>
      <c r="AO99" s="485"/>
      <c r="AP99" s="543">
        <f t="shared" si="41"/>
        <v>0</v>
      </c>
      <c r="AQ99" s="530">
        <f t="shared" si="42"/>
        <v>0</v>
      </c>
    </row>
    <row r="100" spans="1:43" x14ac:dyDescent="0.55000000000000004">
      <c r="A100" s="316" t="s">
        <v>268</v>
      </c>
      <c r="B100" s="218" t="s">
        <v>269</v>
      </c>
      <c r="C100" s="218" t="s">
        <v>276</v>
      </c>
      <c r="D100" s="105" t="s">
        <v>277</v>
      </c>
      <c r="E100" s="100"/>
      <c r="F100" s="34"/>
      <c r="G100" s="34"/>
      <c r="H100" s="480">
        <v>32762.733973342118</v>
      </c>
      <c r="I100" s="480" t="s">
        <v>413</v>
      </c>
      <c r="J100" s="490">
        <v>1</v>
      </c>
      <c r="K100" s="504"/>
      <c r="L100" s="482">
        <f t="shared" si="26"/>
        <v>0</v>
      </c>
      <c r="M100" s="482"/>
      <c r="N100" s="536">
        <f t="shared" si="27"/>
        <v>0</v>
      </c>
      <c r="O100" s="496">
        <v>4590.8780980145648</v>
      </c>
      <c r="P100" s="483">
        <f t="shared" si="28"/>
        <v>4590.8780980145648</v>
      </c>
      <c r="Q100" s="483"/>
      <c r="R100" s="541">
        <f t="shared" si="29"/>
        <v>4590.8780980145648</v>
      </c>
      <c r="S100" s="515">
        <v>16245.83624605341</v>
      </c>
      <c r="T100" s="483">
        <f t="shared" si="30"/>
        <v>16245.83624605341</v>
      </c>
      <c r="U100" s="483"/>
      <c r="V100" s="543">
        <f t="shared" si="31"/>
        <v>16245.83624605341</v>
      </c>
      <c r="W100" s="515">
        <v>28785.298326178607</v>
      </c>
      <c r="X100" s="483">
        <f t="shared" si="32"/>
        <v>28785.298326178607</v>
      </c>
      <c r="Y100" s="483"/>
      <c r="Z100" s="543">
        <f t="shared" si="33"/>
        <v>0</v>
      </c>
      <c r="AA100" s="515">
        <v>24135.055253750837</v>
      </c>
      <c r="AB100" s="483">
        <f t="shared" si="34"/>
        <v>24135.055253750837</v>
      </c>
      <c r="AC100" s="483"/>
      <c r="AD100" s="543">
        <f t="shared" si="35"/>
        <v>24135.055253750837</v>
      </c>
      <c r="AE100" s="515">
        <v>11168</v>
      </c>
      <c r="AF100" s="483">
        <f t="shared" si="36"/>
        <v>11168</v>
      </c>
      <c r="AG100" s="483"/>
      <c r="AH100" s="543">
        <f t="shared" si="37"/>
        <v>11168</v>
      </c>
      <c r="AI100" s="520">
        <v>25482.126423710535</v>
      </c>
      <c r="AJ100" s="484">
        <f t="shared" si="38"/>
        <v>25482.126423710535</v>
      </c>
      <c r="AK100" s="484"/>
      <c r="AL100" s="545">
        <f t="shared" si="39"/>
        <v>25482.126423710535</v>
      </c>
      <c r="AM100" s="526">
        <v>31549.299381736855</v>
      </c>
      <c r="AN100" s="485">
        <f t="shared" si="40"/>
        <v>31549.299381736855</v>
      </c>
      <c r="AO100" s="485"/>
      <c r="AP100" s="543">
        <f t="shared" si="41"/>
        <v>31549.299381736855</v>
      </c>
      <c r="AQ100" s="530">
        <f t="shared" si="42"/>
        <v>31549.299381736855</v>
      </c>
    </row>
    <row r="101" spans="1:43" x14ac:dyDescent="0.55000000000000004">
      <c r="A101" s="316" t="s">
        <v>268</v>
      </c>
      <c r="B101" s="218" t="s">
        <v>269</v>
      </c>
      <c r="C101" s="218" t="s">
        <v>278</v>
      </c>
      <c r="D101" s="105" t="s">
        <v>279</v>
      </c>
      <c r="E101" s="100"/>
      <c r="F101" s="34"/>
      <c r="G101" s="34"/>
      <c r="H101" s="480">
        <v>95901.718428606313</v>
      </c>
      <c r="I101" s="480" t="s">
        <v>413</v>
      </c>
      <c r="J101" s="490">
        <v>2</v>
      </c>
      <c r="K101" s="504"/>
      <c r="L101" s="482">
        <f t="shared" si="26"/>
        <v>0</v>
      </c>
      <c r="M101" s="482"/>
      <c r="N101" s="536">
        <f t="shared" si="27"/>
        <v>0</v>
      </c>
      <c r="O101" s="496">
        <v>10794.697426323926</v>
      </c>
      <c r="P101" s="483">
        <f t="shared" si="28"/>
        <v>10794.697426323926</v>
      </c>
      <c r="Q101" s="483"/>
      <c r="R101" s="541">
        <f t="shared" si="29"/>
        <v>10794.697426323926</v>
      </c>
      <c r="S101" s="515">
        <v>47590.815393860707</v>
      </c>
      <c r="T101" s="483">
        <f t="shared" si="30"/>
        <v>47590.815393860707</v>
      </c>
      <c r="U101" s="483"/>
      <c r="V101" s="543">
        <f t="shared" si="31"/>
        <v>47590.815393860707</v>
      </c>
      <c r="W101" s="515">
        <v>66895.029767823638</v>
      </c>
      <c r="X101" s="483">
        <f t="shared" si="32"/>
        <v>66895.029767823638</v>
      </c>
      <c r="Y101" s="483"/>
      <c r="Z101" s="543">
        <f t="shared" si="33"/>
        <v>0</v>
      </c>
      <c r="AA101" s="515">
        <v>63790.367415290682</v>
      </c>
      <c r="AB101" s="483">
        <f t="shared" si="34"/>
        <v>63790.367415290682</v>
      </c>
      <c r="AC101" s="483"/>
      <c r="AD101" s="543">
        <f t="shared" si="35"/>
        <v>63790.367415290682</v>
      </c>
      <c r="AE101" s="515">
        <v>32952</v>
      </c>
      <c r="AF101" s="483">
        <f t="shared" si="36"/>
        <v>32952</v>
      </c>
      <c r="AG101" s="483"/>
      <c r="AH101" s="543">
        <f t="shared" si="37"/>
        <v>32952</v>
      </c>
      <c r="AI101" s="520">
        <v>90800.563193042151</v>
      </c>
      <c r="AJ101" s="484">
        <f t="shared" si="38"/>
        <v>90800.563193042151</v>
      </c>
      <c r="AK101" s="484"/>
      <c r="AL101" s="545">
        <f t="shared" si="39"/>
        <v>90800.563193042151</v>
      </c>
      <c r="AM101" s="526">
        <v>45286.922591286311</v>
      </c>
      <c r="AN101" s="485">
        <f t="shared" si="40"/>
        <v>45286.922591286311</v>
      </c>
      <c r="AO101" s="485"/>
      <c r="AP101" s="543">
        <f t="shared" si="41"/>
        <v>45286.922591286311</v>
      </c>
      <c r="AQ101" s="530">
        <f t="shared" si="42"/>
        <v>90800.563193042151</v>
      </c>
    </row>
    <row r="102" spans="1:43" x14ac:dyDescent="0.55000000000000004">
      <c r="A102" s="316" t="s">
        <v>268</v>
      </c>
      <c r="B102" s="218" t="s">
        <v>269</v>
      </c>
      <c r="C102" s="218" t="s">
        <v>280</v>
      </c>
      <c r="D102" s="105" t="s">
        <v>281</v>
      </c>
      <c r="E102" s="100"/>
      <c r="F102" s="34"/>
      <c r="G102" s="34"/>
      <c r="H102" s="480">
        <v>57313.644275077953</v>
      </c>
      <c r="I102" s="480" t="s">
        <v>413</v>
      </c>
      <c r="J102" s="490">
        <v>1</v>
      </c>
      <c r="K102" s="504"/>
      <c r="L102" s="482">
        <f t="shared" si="26"/>
        <v>0</v>
      </c>
      <c r="M102" s="482"/>
      <c r="N102" s="536">
        <f t="shared" si="27"/>
        <v>0</v>
      </c>
      <c r="O102" s="496">
        <v>13139.840713792923</v>
      </c>
      <c r="P102" s="483">
        <f t="shared" si="28"/>
        <v>13139.840713792923</v>
      </c>
      <c r="Q102" s="483"/>
      <c r="R102" s="541">
        <f t="shared" si="29"/>
        <v>13139.840713792923</v>
      </c>
      <c r="S102" s="515">
        <v>25342.82396965627</v>
      </c>
      <c r="T102" s="483">
        <f t="shared" si="30"/>
        <v>25342.82396965627</v>
      </c>
      <c r="U102" s="483"/>
      <c r="V102" s="543">
        <f t="shared" si="31"/>
        <v>25342.82396965627</v>
      </c>
      <c r="W102" s="515">
        <v>49721.189721641669</v>
      </c>
      <c r="X102" s="483">
        <f t="shared" si="32"/>
        <v>49721.189721641669</v>
      </c>
      <c r="Y102" s="483"/>
      <c r="Z102" s="543">
        <f t="shared" si="33"/>
        <v>0</v>
      </c>
      <c r="AA102" s="515">
        <v>37328.895143262234</v>
      </c>
      <c r="AB102" s="483">
        <f t="shared" si="34"/>
        <v>37328.895143262234</v>
      </c>
      <c r="AC102" s="483"/>
      <c r="AD102" s="543">
        <f t="shared" si="35"/>
        <v>37328.895143262234</v>
      </c>
      <c r="AE102" s="515">
        <v>20380</v>
      </c>
      <c r="AF102" s="483">
        <f t="shared" si="36"/>
        <v>20380</v>
      </c>
      <c r="AG102" s="483"/>
      <c r="AH102" s="543">
        <f t="shared" si="37"/>
        <v>20380</v>
      </c>
      <c r="AI102" s="520">
        <v>30861.193071195819</v>
      </c>
      <c r="AJ102" s="484">
        <f t="shared" si="38"/>
        <v>30861.193071195819</v>
      </c>
      <c r="AK102" s="484"/>
      <c r="AL102" s="545">
        <f t="shared" si="39"/>
        <v>30861.193071195819</v>
      </c>
      <c r="AM102" s="526">
        <v>45107.960772052087</v>
      </c>
      <c r="AN102" s="485">
        <f t="shared" si="40"/>
        <v>45107.960772052087</v>
      </c>
      <c r="AO102" s="485"/>
      <c r="AP102" s="543">
        <f t="shared" si="41"/>
        <v>45107.960772052087</v>
      </c>
      <c r="AQ102" s="530">
        <f t="shared" si="42"/>
        <v>45107.960772052087</v>
      </c>
    </row>
    <row r="103" spans="1:43" x14ac:dyDescent="0.55000000000000004">
      <c r="A103" s="316" t="s">
        <v>268</v>
      </c>
      <c r="B103" s="218" t="s">
        <v>269</v>
      </c>
      <c r="C103" s="218" t="s">
        <v>282</v>
      </c>
      <c r="D103" s="105" t="s">
        <v>283</v>
      </c>
      <c r="E103" s="100"/>
      <c r="F103" s="34"/>
      <c r="G103" s="34"/>
      <c r="H103" s="480">
        <v>65001.764922770279</v>
      </c>
      <c r="I103" s="480" t="s">
        <v>413</v>
      </c>
      <c r="J103" s="490">
        <v>2</v>
      </c>
      <c r="K103" s="504"/>
      <c r="L103" s="482">
        <f t="shared" si="26"/>
        <v>0</v>
      </c>
      <c r="M103" s="482"/>
      <c r="N103" s="536">
        <f t="shared" si="27"/>
        <v>0</v>
      </c>
      <c r="O103" s="496">
        <v>22593.352452915449</v>
      </c>
      <c r="P103" s="483">
        <f t="shared" si="28"/>
        <v>22593.352452915449</v>
      </c>
      <c r="Q103" s="483"/>
      <c r="R103" s="541">
        <f t="shared" si="29"/>
        <v>22593.352452915449</v>
      </c>
      <c r="S103" s="515">
        <v>35489.870692616212</v>
      </c>
      <c r="T103" s="483">
        <f t="shared" si="30"/>
        <v>35489.870692616212</v>
      </c>
      <c r="U103" s="483"/>
      <c r="V103" s="543">
        <f t="shared" si="31"/>
        <v>35489.870692616212</v>
      </c>
      <c r="W103" s="515">
        <v>48712.090327487043</v>
      </c>
      <c r="X103" s="483">
        <f t="shared" si="32"/>
        <v>48712.090327487043</v>
      </c>
      <c r="Y103" s="483"/>
      <c r="Z103" s="543">
        <f t="shared" si="33"/>
        <v>0</v>
      </c>
      <c r="AA103" s="515">
        <v>45826.429946831784</v>
      </c>
      <c r="AB103" s="483">
        <f t="shared" si="34"/>
        <v>45826.429946831784</v>
      </c>
      <c r="AC103" s="483"/>
      <c r="AD103" s="543">
        <f t="shared" si="35"/>
        <v>45826.429946831784</v>
      </c>
      <c r="AE103" s="515">
        <v>22360</v>
      </c>
      <c r="AF103" s="483">
        <f t="shared" si="36"/>
        <v>22360</v>
      </c>
      <c r="AG103" s="483"/>
      <c r="AH103" s="543">
        <f t="shared" si="37"/>
        <v>22360</v>
      </c>
      <c r="AI103" s="520">
        <v>47896.037311514949</v>
      </c>
      <c r="AJ103" s="484">
        <f t="shared" si="38"/>
        <v>47896.037311514949</v>
      </c>
      <c r="AK103" s="484"/>
      <c r="AL103" s="545">
        <f t="shared" si="39"/>
        <v>47896.037311514949</v>
      </c>
      <c r="AM103" s="526">
        <v>44538.246335972239</v>
      </c>
      <c r="AN103" s="485">
        <f t="shared" si="40"/>
        <v>44538.246335972239</v>
      </c>
      <c r="AO103" s="485"/>
      <c r="AP103" s="543">
        <f t="shared" si="41"/>
        <v>44538.246335972239</v>
      </c>
      <c r="AQ103" s="530">
        <f t="shared" si="42"/>
        <v>47896.037311514949</v>
      </c>
    </row>
    <row r="104" spans="1:43" x14ac:dyDescent="0.55000000000000004">
      <c r="A104" s="316" t="s">
        <v>268</v>
      </c>
      <c r="B104" s="218" t="s">
        <v>269</v>
      </c>
      <c r="C104" s="218" t="s">
        <v>284</v>
      </c>
      <c r="D104" s="105" t="s">
        <v>285</v>
      </c>
      <c r="E104" s="100"/>
      <c r="F104" s="34"/>
      <c r="G104" s="34"/>
      <c r="H104" s="480">
        <v>146214.98577625639</v>
      </c>
      <c r="I104" s="480" t="s">
        <v>413</v>
      </c>
      <c r="J104" s="490">
        <v>1</v>
      </c>
      <c r="K104" s="504"/>
      <c r="L104" s="482">
        <f t="shared" si="26"/>
        <v>0</v>
      </c>
      <c r="M104" s="482"/>
      <c r="N104" s="536">
        <f t="shared" si="27"/>
        <v>0</v>
      </c>
      <c r="O104" s="496">
        <v>41898.489034129365</v>
      </c>
      <c r="P104" s="483">
        <f t="shared" si="28"/>
        <v>41898.489034129365</v>
      </c>
      <c r="Q104" s="483"/>
      <c r="R104" s="541">
        <f t="shared" si="29"/>
        <v>41898.489034129365</v>
      </c>
      <c r="S104" s="515">
        <v>88990.012388021394</v>
      </c>
      <c r="T104" s="483">
        <f t="shared" si="30"/>
        <v>88990.012388021394</v>
      </c>
      <c r="U104" s="483"/>
      <c r="V104" s="543">
        <f t="shared" si="31"/>
        <v>88990.012388021394</v>
      </c>
      <c r="W104" s="515">
        <v>116811.30925544295</v>
      </c>
      <c r="X104" s="483">
        <f t="shared" si="32"/>
        <v>116811.30925544295</v>
      </c>
      <c r="Y104" s="483"/>
      <c r="Z104" s="543">
        <f t="shared" si="33"/>
        <v>0</v>
      </c>
      <c r="AA104" s="515">
        <v>89058.581669314983</v>
      </c>
      <c r="AB104" s="483">
        <f t="shared" si="34"/>
        <v>89058.581669314983</v>
      </c>
      <c r="AC104" s="483"/>
      <c r="AD104" s="543">
        <f t="shared" si="35"/>
        <v>89058.581669314983</v>
      </c>
      <c r="AE104" s="515">
        <v>48790</v>
      </c>
      <c r="AF104" s="483">
        <f t="shared" si="36"/>
        <v>48790</v>
      </c>
      <c r="AG104" s="483"/>
      <c r="AH104" s="543">
        <f t="shared" si="37"/>
        <v>48790</v>
      </c>
      <c r="AI104" s="520">
        <v>77309.072939170044</v>
      </c>
      <c r="AJ104" s="484">
        <f t="shared" si="38"/>
        <v>77309.072939170044</v>
      </c>
      <c r="AK104" s="484"/>
      <c r="AL104" s="545">
        <f t="shared" si="39"/>
        <v>77309.072939170044</v>
      </c>
      <c r="AM104" s="526">
        <v>119138.13655843114</v>
      </c>
      <c r="AN104" s="485">
        <f t="shared" si="40"/>
        <v>119138.13655843114</v>
      </c>
      <c r="AO104" s="485"/>
      <c r="AP104" s="543">
        <f t="shared" si="41"/>
        <v>119138.13655843114</v>
      </c>
      <c r="AQ104" s="530">
        <f t="shared" si="42"/>
        <v>119138.13655843114</v>
      </c>
    </row>
    <row r="105" spans="1:43" x14ac:dyDescent="0.55000000000000004">
      <c r="A105" s="316" t="s">
        <v>268</v>
      </c>
      <c r="B105" s="218" t="s">
        <v>269</v>
      </c>
      <c r="C105" s="218" t="s">
        <v>286</v>
      </c>
      <c r="D105" s="105" t="s">
        <v>287</v>
      </c>
      <c r="E105" s="100"/>
      <c r="F105" s="34"/>
      <c r="G105" s="34"/>
      <c r="H105" s="480">
        <v>50788.148876183637</v>
      </c>
      <c r="I105" s="480" t="s">
        <v>413</v>
      </c>
      <c r="J105" s="490">
        <v>3</v>
      </c>
      <c r="K105" s="504"/>
      <c r="L105" s="482"/>
      <c r="M105" s="482">
        <f t="shared" si="43"/>
        <v>0</v>
      </c>
      <c r="N105" s="536">
        <f t="shared" si="27"/>
        <v>0</v>
      </c>
      <c r="O105" s="496">
        <v>6521.8077734884937</v>
      </c>
      <c r="P105" s="483"/>
      <c r="Q105" s="483">
        <f t="shared" si="44"/>
        <v>3260.9038867442468</v>
      </c>
      <c r="R105" s="541">
        <f t="shared" si="29"/>
        <v>3260.9038867442468</v>
      </c>
      <c r="S105" s="515">
        <v>22891.875571757526</v>
      </c>
      <c r="T105" s="483"/>
      <c r="U105" s="483">
        <f t="shared" si="45"/>
        <v>11445.937785878763</v>
      </c>
      <c r="V105" s="543">
        <f t="shared" si="31"/>
        <v>11445.937785878763</v>
      </c>
      <c r="W105" s="515">
        <v>34279.491171084221</v>
      </c>
      <c r="X105" s="483"/>
      <c r="Y105" s="483">
        <f t="shared" si="46"/>
        <v>17139.74558554211</v>
      </c>
      <c r="Z105" s="543">
        <f t="shared" si="33"/>
        <v>17139.74558554211</v>
      </c>
      <c r="AA105" s="515">
        <v>32117.106103601607</v>
      </c>
      <c r="AB105" s="483"/>
      <c r="AC105" s="483">
        <f t="shared" si="47"/>
        <v>16058.553051800804</v>
      </c>
      <c r="AD105" s="543">
        <f t="shared" si="35"/>
        <v>16058.553051800804</v>
      </c>
      <c r="AE105" s="515">
        <v>17143</v>
      </c>
      <c r="AF105" s="483"/>
      <c r="AG105" s="483">
        <f t="shared" si="48"/>
        <v>8571.5</v>
      </c>
      <c r="AH105" s="543">
        <f t="shared" si="37"/>
        <v>8571.5</v>
      </c>
      <c r="AI105" s="520">
        <v>38340.073171236669</v>
      </c>
      <c r="AJ105" s="484"/>
      <c r="AK105" s="484">
        <f t="shared" si="49"/>
        <v>19170.036585618334</v>
      </c>
      <c r="AL105" s="545">
        <f t="shared" si="39"/>
        <v>19170.036585618334</v>
      </c>
      <c r="AM105" s="526">
        <v>1863.7852798599502</v>
      </c>
      <c r="AN105" s="485"/>
      <c r="AO105" s="485">
        <f t="shared" si="50"/>
        <v>931.89263992997508</v>
      </c>
      <c r="AP105" s="543">
        <f t="shared" si="41"/>
        <v>931.89263992997508</v>
      </c>
      <c r="AQ105" s="530">
        <f t="shared" si="42"/>
        <v>19170.036585618334</v>
      </c>
    </row>
    <row r="106" spans="1:43" x14ac:dyDescent="0.55000000000000004">
      <c r="A106" s="316" t="s">
        <v>268</v>
      </c>
      <c r="B106" s="218" t="s">
        <v>269</v>
      </c>
      <c r="C106" s="218" t="s">
        <v>288</v>
      </c>
      <c r="D106" s="105" t="s">
        <v>289</v>
      </c>
      <c r="E106" s="100"/>
      <c r="F106" s="34"/>
      <c r="G106" s="34"/>
      <c r="H106" s="480">
        <v>77537.996273544151</v>
      </c>
      <c r="I106" s="480" t="s">
        <v>413</v>
      </c>
      <c r="J106" s="490">
        <v>2</v>
      </c>
      <c r="K106" s="504"/>
      <c r="L106" s="482">
        <f t="shared" si="26"/>
        <v>0</v>
      </c>
      <c r="M106" s="482"/>
      <c r="N106" s="536">
        <f t="shared" si="27"/>
        <v>0</v>
      </c>
      <c r="O106" s="496">
        <v>21646.670109666691</v>
      </c>
      <c r="P106" s="483">
        <f t="shared" si="28"/>
        <v>21646.670109666691</v>
      </c>
      <c r="Q106" s="483"/>
      <c r="R106" s="541">
        <f t="shared" si="29"/>
        <v>21646.670109666691</v>
      </c>
      <c r="S106" s="515">
        <v>39149.946887182959</v>
      </c>
      <c r="T106" s="483">
        <f t="shared" si="30"/>
        <v>39149.946887182959</v>
      </c>
      <c r="U106" s="483"/>
      <c r="V106" s="543">
        <f t="shared" si="31"/>
        <v>39149.946887182959</v>
      </c>
      <c r="W106" s="515">
        <v>56785.48513022079</v>
      </c>
      <c r="X106" s="483">
        <f t="shared" si="32"/>
        <v>56785.48513022079</v>
      </c>
      <c r="Y106" s="483"/>
      <c r="Z106" s="543">
        <f t="shared" si="33"/>
        <v>0</v>
      </c>
      <c r="AA106" s="515">
        <v>43225.538681770711</v>
      </c>
      <c r="AB106" s="483">
        <f t="shared" si="34"/>
        <v>43225.538681770711</v>
      </c>
      <c r="AC106" s="483"/>
      <c r="AD106" s="543">
        <f t="shared" si="35"/>
        <v>43225.538681770711</v>
      </c>
      <c r="AE106" s="515">
        <v>12858</v>
      </c>
      <c r="AF106" s="483">
        <f t="shared" si="36"/>
        <v>12858</v>
      </c>
      <c r="AG106" s="483"/>
      <c r="AH106" s="543">
        <f t="shared" si="37"/>
        <v>12858</v>
      </c>
      <c r="AI106" s="520">
        <v>73931.577842216517</v>
      </c>
      <c r="AJ106" s="484">
        <f t="shared" si="38"/>
        <v>73931.577842216517</v>
      </c>
      <c r="AK106" s="484"/>
      <c r="AL106" s="545">
        <f t="shared" si="39"/>
        <v>73931.577842216517</v>
      </c>
      <c r="AM106" s="526">
        <v>51691.997515696101</v>
      </c>
      <c r="AN106" s="485">
        <f t="shared" si="40"/>
        <v>51691.997515696101</v>
      </c>
      <c r="AO106" s="485"/>
      <c r="AP106" s="543">
        <f t="shared" si="41"/>
        <v>51691.997515696101</v>
      </c>
      <c r="AQ106" s="530">
        <f t="shared" si="42"/>
        <v>73931.577842216517</v>
      </c>
    </row>
    <row r="107" spans="1:43" x14ac:dyDescent="0.55000000000000004">
      <c r="A107" s="316" t="s">
        <v>268</v>
      </c>
      <c r="B107" s="218" t="s">
        <v>269</v>
      </c>
      <c r="C107" s="218" t="s">
        <v>290</v>
      </c>
      <c r="D107" s="105" t="s">
        <v>291</v>
      </c>
      <c r="E107" s="100"/>
      <c r="F107" s="34"/>
      <c r="G107" s="34"/>
      <c r="H107" s="480">
        <v>136551.06257292113</v>
      </c>
      <c r="I107" s="480" t="s">
        <v>413</v>
      </c>
      <c r="J107" s="490">
        <v>2</v>
      </c>
      <c r="K107" s="504"/>
      <c r="L107" s="482">
        <f t="shared" si="26"/>
        <v>0</v>
      </c>
      <c r="M107" s="482"/>
      <c r="N107" s="536">
        <f t="shared" si="27"/>
        <v>0</v>
      </c>
      <c r="O107" s="496">
        <v>33504.714917142221</v>
      </c>
      <c r="P107" s="483">
        <f t="shared" si="28"/>
        <v>33504.714917142221</v>
      </c>
      <c r="Q107" s="483"/>
      <c r="R107" s="541">
        <f t="shared" si="29"/>
        <v>33504.714917142221</v>
      </c>
      <c r="S107" s="515">
        <v>91212.578352857352</v>
      </c>
      <c r="T107" s="483">
        <f t="shared" si="30"/>
        <v>91212.578352857352</v>
      </c>
      <c r="U107" s="483"/>
      <c r="V107" s="543">
        <f t="shared" si="31"/>
        <v>91212.578352857352</v>
      </c>
      <c r="W107" s="515">
        <v>111287.51700986865</v>
      </c>
      <c r="X107" s="483">
        <f t="shared" si="32"/>
        <v>111287.51700986865</v>
      </c>
      <c r="Y107" s="483"/>
      <c r="Z107" s="543">
        <f t="shared" si="33"/>
        <v>0</v>
      </c>
      <c r="AA107" s="515">
        <v>65466.945842073503</v>
      </c>
      <c r="AB107" s="483">
        <f t="shared" si="34"/>
        <v>65466.945842073503</v>
      </c>
      <c r="AC107" s="483"/>
      <c r="AD107" s="543">
        <f t="shared" si="35"/>
        <v>65466.945842073503</v>
      </c>
      <c r="AE107" s="515">
        <v>47365</v>
      </c>
      <c r="AF107" s="483">
        <f t="shared" si="36"/>
        <v>47365</v>
      </c>
      <c r="AG107" s="483"/>
      <c r="AH107" s="543">
        <f t="shared" si="37"/>
        <v>47365</v>
      </c>
      <c r="AI107" s="520">
        <v>29586.063557466245</v>
      </c>
      <c r="AJ107" s="484">
        <f t="shared" si="38"/>
        <v>29586.063557466245</v>
      </c>
      <c r="AK107" s="484"/>
      <c r="AL107" s="545">
        <f t="shared" si="39"/>
        <v>29586.063557466245</v>
      </c>
      <c r="AM107" s="526">
        <v>113792.55214410093</v>
      </c>
      <c r="AN107" s="485">
        <f t="shared" si="40"/>
        <v>113792.55214410093</v>
      </c>
      <c r="AO107" s="485"/>
      <c r="AP107" s="543">
        <f t="shared" si="41"/>
        <v>113792.55214410093</v>
      </c>
      <c r="AQ107" s="530">
        <f t="shared" si="42"/>
        <v>113792.55214410093</v>
      </c>
    </row>
    <row r="108" spans="1:43" x14ac:dyDescent="0.55000000000000004">
      <c r="A108" s="316" t="s">
        <v>292</v>
      </c>
      <c r="B108" s="218" t="s">
        <v>293</v>
      </c>
      <c r="C108" s="218" t="s">
        <v>294</v>
      </c>
      <c r="D108" s="105" t="s">
        <v>295</v>
      </c>
      <c r="E108" s="100"/>
      <c r="F108" s="34"/>
      <c r="G108" s="34"/>
      <c r="H108" s="480">
        <v>73916.557684246116</v>
      </c>
      <c r="I108" s="480" t="s">
        <v>413</v>
      </c>
      <c r="J108" s="490">
        <v>3</v>
      </c>
      <c r="K108" s="504"/>
      <c r="L108" s="482"/>
      <c r="M108" s="482">
        <f t="shared" si="43"/>
        <v>0</v>
      </c>
      <c r="N108" s="536">
        <f t="shared" si="27"/>
        <v>0</v>
      </c>
      <c r="O108" s="496">
        <v>28316.767999815525</v>
      </c>
      <c r="P108" s="483"/>
      <c r="Q108" s="483">
        <f t="shared" si="44"/>
        <v>14158.383999907763</v>
      </c>
      <c r="R108" s="541">
        <f t="shared" si="29"/>
        <v>14158.383999907763</v>
      </c>
      <c r="S108" s="515">
        <v>33140.051502320777</v>
      </c>
      <c r="T108" s="483"/>
      <c r="U108" s="483">
        <f t="shared" si="45"/>
        <v>16570.025751160389</v>
      </c>
      <c r="V108" s="543">
        <f t="shared" si="31"/>
        <v>16570.025751160389</v>
      </c>
      <c r="W108" s="515">
        <v>48041.145218213831</v>
      </c>
      <c r="X108" s="483"/>
      <c r="Y108" s="483">
        <f t="shared" si="46"/>
        <v>24020.572609106915</v>
      </c>
      <c r="Z108" s="543">
        <f t="shared" si="33"/>
        <v>24020.572609106915</v>
      </c>
      <c r="AA108" s="515">
        <v>36149.518888864797</v>
      </c>
      <c r="AB108" s="483"/>
      <c r="AC108" s="483">
        <f t="shared" si="47"/>
        <v>18074.759444432399</v>
      </c>
      <c r="AD108" s="543">
        <f t="shared" si="35"/>
        <v>18074.759444432399</v>
      </c>
      <c r="AE108" s="515">
        <v>12054</v>
      </c>
      <c r="AF108" s="483"/>
      <c r="AG108" s="483">
        <f t="shared" si="48"/>
        <v>6027</v>
      </c>
      <c r="AH108" s="543">
        <f t="shared" si="37"/>
        <v>6027</v>
      </c>
      <c r="AI108" s="520">
        <v>46197.848552653828</v>
      </c>
      <c r="AJ108" s="484"/>
      <c r="AK108" s="484">
        <f t="shared" si="49"/>
        <v>23098.924276326914</v>
      </c>
      <c r="AL108" s="545">
        <f t="shared" si="39"/>
        <v>23098.924276326914</v>
      </c>
      <c r="AM108" s="526">
        <v>55437.418263184583</v>
      </c>
      <c r="AN108" s="485"/>
      <c r="AO108" s="485">
        <f t="shared" si="50"/>
        <v>27718.709131592292</v>
      </c>
      <c r="AP108" s="543">
        <f t="shared" si="41"/>
        <v>27718.709131592292</v>
      </c>
      <c r="AQ108" s="530">
        <f t="shared" si="42"/>
        <v>27718.709131592292</v>
      </c>
    </row>
    <row r="109" spans="1:43" x14ac:dyDescent="0.55000000000000004">
      <c r="A109" s="316" t="s">
        <v>292</v>
      </c>
      <c r="B109" s="218" t="s">
        <v>293</v>
      </c>
      <c r="C109" s="218" t="s">
        <v>296</v>
      </c>
      <c r="D109" s="105" t="s">
        <v>297</v>
      </c>
      <c r="E109" s="100"/>
      <c r="F109" s="34"/>
      <c r="G109" s="34"/>
      <c r="H109" s="480">
        <v>143892.97660154747</v>
      </c>
      <c r="I109" s="480" t="s">
        <v>413</v>
      </c>
      <c r="J109" s="490">
        <v>5</v>
      </c>
      <c r="K109" s="504"/>
      <c r="L109" s="482"/>
      <c r="M109" s="482"/>
      <c r="N109" s="536">
        <f t="shared" si="27"/>
        <v>0</v>
      </c>
      <c r="O109" s="496">
        <v>40309.746786227704</v>
      </c>
      <c r="P109" s="483"/>
      <c r="Q109" s="483"/>
      <c r="R109" s="541">
        <f t="shared" si="29"/>
        <v>0</v>
      </c>
      <c r="S109" s="515">
        <v>60960.105528764623</v>
      </c>
      <c r="T109" s="483"/>
      <c r="U109" s="483"/>
      <c r="V109" s="543">
        <f t="shared" si="31"/>
        <v>0</v>
      </c>
      <c r="W109" s="515">
        <v>74557.836210395471</v>
      </c>
      <c r="X109" s="483"/>
      <c r="Y109" s="483"/>
      <c r="Z109" s="543">
        <f t="shared" si="33"/>
        <v>0</v>
      </c>
      <c r="AA109" s="515">
        <v>60316.192018614078</v>
      </c>
      <c r="AB109" s="483"/>
      <c r="AC109" s="483"/>
      <c r="AD109" s="543">
        <f t="shared" si="35"/>
        <v>0</v>
      </c>
      <c r="AE109" s="515">
        <v>25325</v>
      </c>
      <c r="AF109" s="483"/>
      <c r="AG109" s="483"/>
      <c r="AH109" s="543">
        <f t="shared" si="37"/>
        <v>0</v>
      </c>
      <c r="AI109" s="520">
        <v>45865.886291743263</v>
      </c>
      <c r="AJ109" s="484"/>
      <c r="AK109" s="484"/>
      <c r="AL109" s="545">
        <f t="shared" si="39"/>
        <v>0</v>
      </c>
      <c r="AM109" s="526">
        <v>94596.308691758051</v>
      </c>
      <c r="AN109" s="485"/>
      <c r="AO109" s="485"/>
      <c r="AP109" s="543">
        <f t="shared" si="41"/>
        <v>0</v>
      </c>
      <c r="AQ109" s="530">
        <f t="shared" si="42"/>
        <v>0</v>
      </c>
    </row>
    <row r="110" spans="1:43" x14ac:dyDescent="0.55000000000000004">
      <c r="A110" s="316" t="s">
        <v>292</v>
      </c>
      <c r="B110" s="218" t="s">
        <v>293</v>
      </c>
      <c r="C110" s="218" t="s">
        <v>298</v>
      </c>
      <c r="D110" s="105" t="s">
        <v>299</v>
      </c>
      <c r="E110" s="100"/>
      <c r="F110" s="34"/>
      <c r="G110" s="34"/>
      <c r="H110" s="480">
        <v>170865.34327385121</v>
      </c>
      <c r="I110" s="480" t="s">
        <v>413</v>
      </c>
      <c r="J110" s="490">
        <v>4</v>
      </c>
      <c r="K110" s="504"/>
      <c r="L110" s="482"/>
      <c r="M110" s="482"/>
      <c r="N110" s="536">
        <f t="shared" si="27"/>
        <v>0</v>
      </c>
      <c r="O110" s="496">
        <v>45062.31698161277</v>
      </c>
      <c r="P110" s="483"/>
      <c r="Q110" s="483"/>
      <c r="R110" s="541">
        <f t="shared" si="29"/>
        <v>0</v>
      </c>
      <c r="S110" s="515">
        <v>71721.243285350851</v>
      </c>
      <c r="T110" s="483"/>
      <c r="U110" s="483"/>
      <c r="V110" s="543">
        <f t="shared" si="31"/>
        <v>0</v>
      </c>
      <c r="W110" s="515">
        <v>122051.75161431311</v>
      </c>
      <c r="X110" s="483"/>
      <c r="Y110" s="483"/>
      <c r="Z110" s="543">
        <f t="shared" si="33"/>
        <v>0</v>
      </c>
      <c r="AA110" s="515">
        <v>85666.530459267466</v>
      </c>
      <c r="AB110" s="483"/>
      <c r="AC110" s="483"/>
      <c r="AD110" s="543">
        <f t="shared" si="35"/>
        <v>0</v>
      </c>
      <c r="AE110" s="515">
        <v>31928</v>
      </c>
      <c r="AF110" s="483"/>
      <c r="AG110" s="483"/>
      <c r="AH110" s="543">
        <f t="shared" si="37"/>
        <v>0</v>
      </c>
      <c r="AI110" s="520">
        <v>125533.7215889519</v>
      </c>
      <c r="AJ110" s="484"/>
      <c r="AK110" s="484"/>
      <c r="AL110" s="545">
        <f t="shared" si="39"/>
        <v>0</v>
      </c>
      <c r="AM110" s="526">
        <v>83081.313701964347</v>
      </c>
      <c r="AN110" s="485"/>
      <c r="AO110" s="485"/>
      <c r="AP110" s="543">
        <f t="shared" si="41"/>
        <v>0</v>
      </c>
      <c r="AQ110" s="530">
        <f t="shared" si="42"/>
        <v>0</v>
      </c>
    </row>
    <row r="111" spans="1:43" x14ac:dyDescent="0.55000000000000004">
      <c r="A111" s="316" t="s">
        <v>292</v>
      </c>
      <c r="B111" s="218" t="s">
        <v>293</v>
      </c>
      <c r="C111" s="218" t="s">
        <v>300</v>
      </c>
      <c r="D111" s="105" t="s">
        <v>301</v>
      </c>
      <c r="E111" s="100"/>
      <c r="F111" s="34"/>
      <c r="G111" s="34"/>
      <c r="H111" s="480">
        <v>131576.89060543224</v>
      </c>
      <c r="I111" s="480" t="s">
        <v>413</v>
      </c>
      <c r="J111" s="490">
        <v>4</v>
      </c>
      <c r="K111" s="504"/>
      <c r="L111" s="482"/>
      <c r="M111" s="482"/>
      <c r="N111" s="536">
        <f t="shared" si="27"/>
        <v>0</v>
      </c>
      <c r="O111" s="496">
        <v>18835.626620839445</v>
      </c>
      <c r="P111" s="483"/>
      <c r="Q111" s="483"/>
      <c r="R111" s="541">
        <f t="shared" si="29"/>
        <v>0</v>
      </c>
      <c r="S111" s="515">
        <v>56307.380382966548</v>
      </c>
      <c r="T111" s="483"/>
      <c r="U111" s="483"/>
      <c r="V111" s="543">
        <f t="shared" si="31"/>
        <v>0</v>
      </c>
      <c r="W111" s="515">
        <v>101074.03044545196</v>
      </c>
      <c r="X111" s="483"/>
      <c r="Y111" s="483"/>
      <c r="Z111" s="543">
        <f t="shared" si="33"/>
        <v>0</v>
      </c>
      <c r="AA111" s="515">
        <v>47796.308772506978</v>
      </c>
      <c r="AB111" s="483"/>
      <c r="AC111" s="483"/>
      <c r="AD111" s="543">
        <f t="shared" si="35"/>
        <v>0</v>
      </c>
      <c r="AE111" s="515">
        <v>21803</v>
      </c>
      <c r="AF111" s="483"/>
      <c r="AG111" s="483"/>
      <c r="AH111" s="543">
        <f t="shared" si="37"/>
        <v>0</v>
      </c>
      <c r="AI111" s="520">
        <v>112657.3377079191</v>
      </c>
      <c r="AJ111" s="484"/>
      <c r="AK111" s="484"/>
      <c r="AL111" s="545">
        <f t="shared" si="39"/>
        <v>0</v>
      </c>
      <c r="AM111" s="526">
        <v>70661.663473287685</v>
      </c>
      <c r="AN111" s="485"/>
      <c r="AO111" s="485"/>
      <c r="AP111" s="543">
        <f t="shared" si="41"/>
        <v>0</v>
      </c>
      <c r="AQ111" s="530">
        <f t="shared" si="42"/>
        <v>0</v>
      </c>
    </row>
    <row r="112" spans="1:43" x14ac:dyDescent="0.55000000000000004">
      <c r="A112" s="316" t="s">
        <v>292</v>
      </c>
      <c r="B112" s="218" t="s">
        <v>293</v>
      </c>
      <c r="C112" s="218" t="s">
        <v>302</v>
      </c>
      <c r="D112" s="105" t="s">
        <v>303</v>
      </c>
      <c r="E112" s="100"/>
      <c r="F112" s="34"/>
      <c r="G112" s="34"/>
      <c r="H112" s="480">
        <v>38561.747092505328</v>
      </c>
      <c r="I112" s="480" t="s">
        <v>413</v>
      </c>
      <c r="J112" s="490">
        <v>3</v>
      </c>
      <c r="K112" s="504"/>
      <c r="L112" s="482"/>
      <c r="M112" s="482">
        <f t="shared" si="43"/>
        <v>0</v>
      </c>
      <c r="N112" s="536">
        <f t="shared" si="27"/>
        <v>0</v>
      </c>
      <c r="O112" s="496">
        <v>10486.134448612065</v>
      </c>
      <c r="P112" s="483"/>
      <c r="Q112" s="483">
        <f t="shared" si="44"/>
        <v>5243.0672243060326</v>
      </c>
      <c r="R112" s="541">
        <f t="shared" si="29"/>
        <v>5243.0672243060326</v>
      </c>
      <c r="S112" s="515">
        <v>16182.957998996868</v>
      </c>
      <c r="T112" s="483"/>
      <c r="U112" s="483">
        <f t="shared" si="45"/>
        <v>8091.478999498434</v>
      </c>
      <c r="V112" s="543">
        <f t="shared" si="31"/>
        <v>8091.478999498434</v>
      </c>
      <c r="W112" s="515">
        <v>27348.681271690366</v>
      </c>
      <c r="X112" s="483"/>
      <c r="Y112" s="483">
        <f t="shared" si="46"/>
        <v>13674.340635845183</v>
      </c>
      <c r="Z112" s="543">
        <f t="shared" si="33"/>
        <v>13674.340635845183</v>
      </c>
      <c r="AA112" s="515">
        <v>20586.504692959457</v>
      </c>
      <c r="AB112" s="483"/>
      <c r="AC112" s="483">
        <f t="shared" si="47"/>
        <v>10293.252346479729</v>
      </c>
      <c r="AD112" s="543">
        <f t="shared" si="35"/>
        <v>10293.252346479729</v>
      </c>
      <c r="AE112" s="515">
        <v>6436</v>
      </c>
      <c r="AF112" s="483"/>
      <c r="AG112" s="483">
        <f t="shared" si="48"/>
        <v>3218</v>
      </c>
      <c r="AH112" s="543">
        <f t="shared" si="37"/>
        <v>3218</v>
      </c>
      <c r="AI112" s="520">
        <v>15131.824808451458</v>
      </c>
      <c r="AJ112" s="484"/>
      <c r="AK112" s="484">
        <f t="shared" si="49"/>
        <v>7565.912404225729</v>
      </c>
      <c r="AL112" s="545">
        <f t="shared" si="39"/>
        <v>7565.912404225729</v>
      </c>
      <c r="AM112" s="526">
        <v>7141.064276389875</v>
      </c>
      <c r="AN112" s="485"/>
      <c r="AO112" s="485">
        <f t="shared" si="50"/>
        <v>3570.5321381949375</v>
      </c>
      <c r="AP112" s="543">
        <f t="shared" si="41"/>
        <v>3570.5321381949375</v>
      </c>
      <c r="AQ112" s="530">
        <f t="shared" si="42"/>
        <v>13674.340635845183</v>
      </c>
    </row>
    <row r="113" spans="1:43" x14ac:dyDescent="0.55000000000000004">
      <c r="A113" s="316" t="s">
        <v>292</v>
      </c>
      <c r="B113" s="218" t="s">
        <v>293</v>
      </c>
      <c r="C113" s="218" t="s">
        <v>304</v>
      </c>
      <c r="D113" s="105" t="s">
        <v>305</v>
      </c>
      <c r="E113" s="100"/>
      <c r="F113" s="34"/>
      <c r="G113" s="34"/>
      <c r="H113" s="480">
        <v>62742.537670413069</v>
      </c>
      <c r="I113" s="480" t="s">
        <v>413</v>
      </c>
      <c r="J113" s="490">
        <v>5</v>
      </c>
      <c r="K113" s="504"/>
      <c r="L113" s="482"/>
      <c r="M113" s="482"/>
      <c r="N113" s="536">
        <f t="shared" si="27"/>
        <v>0</v>
      </c>
      <c r="O113" s="496">
        <v>9636.1871630350524</v>
      </c>
      <c r="P113" s="483"/>
      <c r="Q113" s="483"/>
      <c r="R113" s="541">
        <f t="shared" si="29"/>
        <v>0</v>
      </c>
      <c r="S113" s="515">
        <v>29012.825895570022</v>
      </c>
      <c r="T113" s="483"/>
      <c r="U113" s="483"/>
      <c r="V113" s="543">
        <f t="shared" si="31"/>
        <v>0</v>
      </c>
      <c r="W113" s="515">
        <v>15777.743487865606</v>
      </c>
      <c r="X113" s="483"/>
      <c r="Y113" s="483"/>
      <c r="Z113" s="543">
        <f t="shared" si="33"/>
        <v>0</v>
      </c>
      <c r="AA113" s="515">
        <v>30888.444202554321</v>
      </c>
      <c r="AB113" s="483"/>
      <c r="AC113" s="483"/>
      <c r="AD113" s="543">
        <f t="shared" si="35"/>
        <v>0</v>
      </c>
      <c r="AE113" s="515">
        <v>10952</v>
      </c>
      <c r="AF113" s="483"/>
      <c r="AG113" s="483"/>
      <c r="AH113" s="543">
        <f t="shared" si="37"/>
        <v>0</v>
      </c>
      <c r="AI113" s="520">
        <v>8783.9552738578313</v>
      </c>
      <c r="AJ113" s="484"/>
      <c r="AK113" s="484"/>
      <c r="AL113" s="545">
        <f t="shared" si="39"/>
        <v>0</v>
      </c>
      <c r="AM113" s="526">
        <v>34856.965372451705</v>
      </c>
      <c r="AN113" s="485"/>
      <c r="AO113" s="485"/>
      <c r="AP113" s="543">
        <f t="shared" si="41"/>
        <v>0</v>
      </c>
      <c r="AQ113" s="530">
        <f t="shared" si="42"/>
        <v>0</v>
      </c>
    </row>
    <row r="114" spans="1:43" x14ac:dyDescent="0.55000000000000004">
      <c r="A114" s="316" t="s">
        <v>292</v>
      </c>
      <c r="B114" s="218" t="s">
        <v>293</v>
      </c>
      <c r="C114" s="218" t="s">
        <v>306</v>
      </c>
      <c r="D114" s="105" t="s">
        <v>307</v>
      </c>
      <c r="E114" s="100"/>
      <c r="F114" s="34"/>
      <c r="G114" s="34"/>
      <c r="H114" s="480">
        <v>110327.5657380367</v>
      </c>
      <c r="I114" s="480" t="s">
        <v>413</v>
      </c>
      <c r="J114" s="490">
        <v>3</v>
      </c>
      <c r="K114" s="504"/>
      <c r="L114" s="482"/>
      <c r="M114" s="482">
        <f t="shared" si="43"/>
        <v>0</v>
      </c>
      <c r="N114" s="536">
        <f t="shared" si="27"/>
        <v>0</v>
      </c>
      <c r="O114" s="496">
        <v>18386.088830243818</v>
      </c>
      <c r="P114" s="483"/>
      <c r="Q114" s="483">
        <f t="shared" si="44"/>
        <v>9193.044415121909</v>
      </c>
      <c r="R114" s="541">
        <f t="shared" si="29"/>
        <v>9193.044415121909</v>
      </c>
      <c r="S114" s="515">
        <v>46595.779523535297</v>
      </c>
      <c r="T114" s="483"/>
      <c r="U114" s="483">
        <f t="shared" si="45"/>
        <v>23297.889761767648</v>
      </c>
      <c r="V114" s="543">
        <f t="shared" si="31"/>
        <v>23297.889761767648</v>
      </c>
      <c r="W114" s="515">
        <v>82693.25618815895</v>
      </c>
      <c r="X114" s="483"/>
      <c r="Y114" s="483">
        <f t="shared" si="46"/>
        <v>41346.628094079475</v>
      </c>
      <c r="Z114" s="543">
        <f t="shared" si="33"/>
        <v>41346.628094079475</v>
      </c>
      <c r="AA114" s="515">
        <v>42489.681055796951</v>
      </c>
      <c r="AB114" s="483"/>
      <c r="AC114" s="483">
        <f t="shared" si="47"/>
        <v>21244.840527898476</v>
      </c>
      <c r="AD114" s="543">
        <f t="shared" si="35"/>
        <v>21244.840527898476</v>
      </c>
      <c r="AE114" s="515">
        <v>18457</v>
      </c>
      <c r="AF114" s="483"/>
      <c r="AG114" s="483">
        <f t="shared" si="48"/>
        <v>9228.5</v>
      </c>
      <c r="AH114" s="543">
        <f t="shared" si="37"/>
        <v>9228.5</v>
      </c>
      <c r="AI114" s="520">
        <v>61032.270408275625</v>
      </c>
      <c r="AJ114" s="484"/>
      <c r="AK114" s="484">
        <f t="shared" si="49"/>
        <v>30516.135204137812</v>
      </c>
      <c r="AL114" s="545">
        <f t="shared" si="39"/>
        <v>30516.135204137812</v>
      </c>
      <c r="AM114" s="526">
        <v>73551.71049202446</v>
      </c>
      <c r="AN114" s="485"/>
      <c r="AO114" s="485">
        <f t="shared" si="50"/>
        <v>36775.85524601223</v>
      </c>
      <c r="AP114" s="543">
        <f t="shared" si="41"/>
        <v>36775.85524601223</v>
      </c>
      <c r="AQ114" s="530">
        <f t="shared" si="42"/>
        <v>41346.628094079475</v>
      </c>
    </row>
    <row r="115" spans="1:43" x14ac:dyDescent="0.55000000000000004">
      <c r="A115" s="316" t="s">
        <v>292</v>
      </c>
      <c r="B115" s="218" t="s">
        <v>293</v>
      </c>
      <c r="C115" s="218" t="s">
        <v>308</v>
      </c>
      <c r="D115" s="105" t="s">
        <v>309</v>
      </c>
      <c r="E115" s="100"/>
      <c r="F115" s="34"/>
      <c r="G115" s="34"/>
      <c r="H115" s="480">
        <v>128918.60101552917</v>
      </c>
      <c r="I115" s="480" t="s">
        <v>413</v>
      </c>
      <c r="J115" s="490">
        <v>4</v>
      </c>
      <c r="K115" s="504"/>
      <c r="L115" s="482"/>
      <c r="M115" s="482"/>
      <c r="N115" s="536">
        <f t="shared" si="27"/>
        <v>0</v>
      </c>
      <c r="O115" s="496">
        <v>26712.449804821703</v>
      </c>
      <c r="P115" s="483"/>
      <c r="Q115" s="483"/>
      <c r="R115" s="541">
        <f t="shared" si="29"/>
        <v>0</v>
      </c>
      <c r="S115" s="515">
        <v>54353.719131979582</v>
      </c>
      <c r="T115" s="483"/>
      <c r="U115" s="483"/>
      <c r="V115" s="543">
        <f t="shared" si="31"/>
        <v>0</v>
      </c>
      <c r="W115" s="515">
        <v>82077.88951436241</v>
      </c>
      <c r="X115" s="483"/>
      <c r="Y115" s="483"/>
      <c r="Z115" s="543">
        <f t="shared" si="33"/>
        <v>0</v>
      </c>
      <c r="AA115" s="515">
        <v>51457.918542680673</v>
      </c>
      <c r="AB115" s="483"/>
      <c r="AC115" s="483"/>
      <c r="AD115" s="543">
        <f t="shared" si="35"/>
        <v>0</v>
      </c>
      <c r="AE115" s="515">
        <v>22299</v>
      </c>
      <c r="AF115" s="483"/>
      <c r="AG115" s="483"/>
      <c r="AH115" s="543">
        <f t="shared" si="37"/>
        <v>0</v>
      </c>
      <c r="AI115" s="520">
        <v>90469.193695108203</v>
      </c>
      <c r="AJ115" s="484"/>
      <c r="AK115" s="484"/>
      <c r="AL115" s="545">
        <f t="shared" si="39"/>
        <v>0</v>
      </c>
      <c r="AM115" s="526">
        <v>83558.352510065204</v>
      </c>
      <c r="AN115" s="485"/>
      <c r="AO115" s="485"/>
      <c r="AP115" s="543">
        <f t="shared" si="41"/>
        <v>0</v>
      </c>
      <c r="AQ115" s="530">
        <f t="shared" si="42"/>
        <v>0</v>
      </c>
    </row>
    <row r="116" spans="1:43" x14ac:dyDescent="0.55000000000000004">
      <c r="A116" s="316" t="s">
        <v>310</v>
      </c>
      <c r="B116" s="218" t="s">
        <v>311</v>
      </c>
      <c r="C116" s="218" t="s">
        <v>312</v>
      </c>
      <c r="D116" s="105" t="s">
        <v>313</v>
      </c>
      <c r="E116" s="100"/>
      <c r="F116" s="34"/>
      <c r="G116" s="34"/>
      <c r="H116" s="480">
        <v>53097.621318074722</v>
      </c>
      <c r="I116" s="480" t="s">
        <v>413</v>
      </c>
      <c r="J116" s="490">
        <v>4</v>
      </c>
      <c r="K116" s="504"/>
      <c r="L116" s="482"/>
      <c r="M116" s="482"/>
      <c r="N116" s="536">
        <f t="shared" si="27"/>
        <v>0</v>
      </c>
      <c r="O116" s="496">
        <v>9213.8072173159708</v>
      </c>
      <c r="P116" s="483"/>
      <c r="Q116" s="483"/>
      <c r="R116" s="541">
        <f t="shared" si="29"/>
        <v>0</v>
      </c>
      <c r="S116" s="515">
        <v>48176.199306504182</v>
      </c>
      <c r="T116" s="483"/>
      <c r="U116" s="483"/>
      <c r="V116" s="543">
        <f t="shared" si="31"/>
        <v>0</v>
      </c>
      <c r="W116" s="515">
        <v>32102.608253264854</v>
      </c>
      <c r="X116" s="483"/>
      <c r="Y116" s="483"/>
      <c r="Z116" s="543">
        <f t="shared" si="33"/>
        <v>0</v>
      </c>
      <c r="AA116" s="515">
        <v>43741.522508035392</v>
      </c>
      <c r="AB116" s="483"/>
      <c r="AC116" s="483"/>
      <c r="AD116" s="543">
        <f t="shared" si="35"/>
        <v>0</v>
      </c>
      <c r="AE116" s="515">
        <v>8953</v>
      </c>
      <c r="AF116" s="483"/>
      <c r="AG116" s="483"/>
      <c r="AH116" s="543">
        <f t="shared" si="37"/>
        <v>0</v>
      </c>
      <c r="AI116" s="520">
        <v>37028.604340236314</v>
      </c>
      <c r="AJ116" s="484"/>
      <c r="AK116" s="484"/>
      <c r="AL116" s="545">
        <f t="shared" si="39"/>
        <v>0</v>
      </c>
      <c r="AM116" s="526">
        <v>34736.761609955422</v>
      </c>
      <c r="AN116" s="485"/>
      <c r="AO116" s="485"/>
      <c r="AP116" s="543">
        <f t="shared" si="41"/>
        <v>0</v>
      </c>
      <c r="AQ116" s="530">
        <f t="shared" si="42"/>
        <v>0</v>
      </c>
    </row>
    <row r="117" spans="1:43" x14ac:dyDescent="0.55000000000000004">
      <c r="A117" s="316" t="s">
        <v>310</v>
      </c>
      <c r="B117" s="218" t="s">
        <v>311</v>
      </c>
      <c r="C117" s="218" t="s">
        <v>314</v>
      </c>
      <c r="D117" s="105" t="s">
        <v>315</v>
      </c>
      <c r="E117" s="100"/>
      <c r="F117" s="34"/>
      <c r="G117" s="34"/>
      <c r="H117" s="480">
        <v>211899.62896361714</v>
      </c>
      <c r="I117" s="480" t="s">
        <v>413</v>
      </c>
      <c r="J117" s="490">
        <v>2</v>
      </c>
      <c r="K117" s="504"/>
      <c r="L117" s="482">
        <f t="shared" si="26"/>
        <v>0</v>
      </c>
      <c r="M117" s="482"/>
      <c r="N117" s="536">
        <f t="shared" si="27"/>
        <v>0</v>
      </c>
      <c r="O117" s="496">
        <v>77711.137567749509</v>
      </c>
      <c r="P117" s="483">
        <f t="shared" si="28"/>
        <v>77711.137567749509</v>
      </c>
      <c r="Q117" s="483"/>
      <c r="R117" s="541">
        <f t="shared" si="29"/>
        <v>77711.137567749509</v>
      </c>
      <c r="S117" s="515">
        <v>107000.61183552348</v>
      </c>
      <c r="T117" s="483">
        <f t="shared" si="30"/>
        <v>107000.61183552348</v>
      </c>
      <c r="U117" s="483"/>
      <c r="V117" s="543">
        <f t="shared" si="31"/>
        <v>107000.61183552348</v>
      </c>
      <c r="W117" s="515">
        <v>163271.80085852064</v>
      </c>
      <c r="X117" s="483">
        <f t="shared" si="32"/>
        <v>163271.80085852064</v>
      </c>
      <c r="Y117" s="483"/>
      <c r="Z117" s="543">
        <f t="shared" si="33"/>
        <v>0</v>
      </c>
      <c r="AA117" s="515">
        <v>89512.764713814802</v>
      </c>
      <c r="AB117" s="483">
        <f t="shared" si="34"/>
        <v>89512.764713814802</v>
      </c>
      <c r="AC117" s="483"/>
      <c r="AD117" s="543">
        <f t="shared" si="35"/>
        <v>89512.764713814802</v>
      </c>
      <c r="AE117" s="515">
        <v>35655</v>
      </c>
      <c r="AF117" s="483">
        <f t="shared" si="36"/>
        <v>35655</v>
      </c>
      <c r="AG117" s="483"/>
      <c r="AH117" s="543">
        <f t="shared" si="37"/>
        <v>35655</v>
      </c>
      <c r="AI117" s="520">
        <v>175141.5300617652</v>
      </c>
      <c r="AJ117" s="484">
        <f t="shared" si="38"/>
        <v>175141.5300617652</v>
      </c>
      <c r="AK117" s="484"/>
      <c r="AL117" s="545">
        <f t="shared" si="39"/>
        <v>175141.5300617652</v>
      </c>
      <c r="AM117" s="526">
        <v>86329.478466658853</v>
      </c>
      <c r="AN117" s="485">
        <f t="shared" si="40"/>
        <v>86329.478466658853</v>
      </c>
      <c r="AO117" s="485"/>
      <c r="AP117" s="543">
        <f t="shared" si="41"/>
        <v>86329.478466658853</v>
      </c>
      <c r="AQ117" s="530">
        <f t="shared" si="42"/>
        <v>175141.5300617652</v>
      </c>
    </row>
    <row r="118" spans="1:43" x14ac:dyDescent="0.55000000000000004">
      <c r="A118" s="316" t="s">
        <v>310</v>
      </c>
      <c r="B118" s="218" t="s">
        <v>311</v>
      </c>
      <c r="C118" s="218" t="s">
        <v>316</v>
      </c>
      <c r="D118" s="105" t="s">
        <v>317</v>
      </c>
      <c r="E118" s="100"/>
      <c r="F118" s="34"/>
      <c r="G118" s="34"/>
      <c r="H118" s="480">
        <v>109801.05355905752</v>
      </c>
      <c r="I118" s="480" t="s">
        <v>413</v>
      </c>
      <c r="J118" s="490">
        <v>2</v>
      </c>
      <c r="K118" s="504"/>
      <c r="L118" s="482">
        <f t="shared" si="26"/>
        <v>0</v>
      </c>
      <c r="M118" s="482"/>
      <c r="N118" s="536">
        <f t="shared" si="27"/>
        <v>0</v>
      </c>
      <c r="O118" s="496">
        <v>28724.548536738668</v>
      </c>
      <c r="P118" s="483">
        <f t="shared" si="28"/>
        <v>28724.548536738668</v>
      </c>
      <c r="Q118" s="483"/>
      <c r="R118" s="541">
        <f t="shared" si="29"/>
        <v>28724.548536738668</v>
      </c>
      <c r="S118" s="515">
        <v>79008.885083413552</v>
      </c>
      <c r="T118" s="483">
        <f t="shared" si="30"/>
        <v>79008.885083413552</v>
      </c>
      <c r="U118" s="483"/>
      <c r="V118" s="543">
        <f t="shared" si="31"/>
        <v>79008.885083413552</v>
      </c>
      <c r="W118" s="515">
        <v>78867.214716435919</v>
      </c>
      <c r="X118" s="483">
        <f t="shared" si="32"/>
        <v>78867.214716435919</v>
      </c>
      <c r="Y118" s="483"/>
      <c r="Z118" s="543">
        <f t="shared" si="33"/>
        <v>0</v>
      </c>
      <c r="AA118" s="515">
        <v>50227.822636798279</v>
      </c>
      <c r="AB118" s="483">
        <f t="shared" si="34"/>
        <v>50227.822636798279</v>
      </c>
      <c r="AC118" s="483"/>
      <c r="AD118" s="543">
        <f t="shared" si="35"/>
        <v>50227.822636798279</v>
      </c>
      <c r="AE118" s="515">
        <v>18893</v>
      </c>
      <c r="AF118" s="483">
        <f t="shared" si="36"/>
        <v>18893</v>
      </c>
      <c r="AG118" s="483"/>
      <c r="AH118" s="543">
        <f t="shared" si="37"/>
        <v>18893</v>
      </c>
      <c r="AI118" s="520">
        <v>64754.467483546738</v>
      </c>
      <c r="AJ118" s="484">
        <f t="shared" si="38"/>
        <v>64754.467483546738</v>
      </c>
      <c r="AK118" s="484"/>
      <c r="AL118" s="545">
        <f t="shared" si="39"/>
        <v>64754.467483546738</v>
      </c>
      <c r="AM118" s="526">
        <v>27450.263389764379</v>
      </c>
      <c r="AN118" s="485">
        <f t="shared" si="40"/>
        <v>27450.263389764379</v>
      </c>
      <c r="AO118" s="485"/>
      <c r="AP118" s="543">
        <f t="shared" si="41"/>
        <v>27450.263389764379</v>
      </c>
      <c r="AQ118" s="530">
        <f t="shared" si="42"/>
        <v>79008.885083413552</v>
      </c>
    </row>
    <row r="119" spans="1:43" x14ac:dyDescent="0.55000000000000004">
      <c r="A119" s="316" t="s">
        <v>310</v>
      </c>
      <c r="B119" s="218" t="s">
        <v>311</v>
      </c>
      <c r="C119" s="218" t="s">
        <v>318</v>
      </c>
      <c r="D119" s="105" t="s">
        <v>319</v>
      </c>
      <c r="E119" s="100"/>
      <c r="F119" s="34"/>
      <c r="G119" s="34"/>
      <c r="H119" s="480">
        <v>105778.12989801918</v>
      </c>
      <c r="I119" s="480" t="s">
        <v>413</v>
      </c>
      <c r="J119" s="490">
        <v>2</v>
      </c>
      <c r="K119" s="504"/>
      <c r="L119" s="482">
        <f t="shared" si="26"/>
        <v>0</v>
      </c>
      <c r="M119" s="482"/>
      <c r="N119" s="536">
        <f t="shared" si="27"/>
        <v>0</v>
      </c>
      <c r="O119" s="496">
        <v>19297.897573269878</v>
      </c>
      <c r="P119" s="483">
        <f t="shared" si="28"/>
        <v>19297.897573269878</v>
      </c>
      <c r="Q119" s="483"/>
      <c r="R119" s="541">
        <f t="shared" si="29"/>
        <v>19297.897573269878</v>
      </c>
      <c r="S119" s="515">
        <v>64211.464117899392</v>
      </c>
      <c r="T119" s="483">
        <f t="shared" si="30"/>
        <v>64211.464117899392</v>
      </c>
      <c r="U119" s="483"/>
      <c r="V119" s="543">
        <f t="shared" si="31"/>
        <v>64211.464117899392</v>
      </c>
      <c r="W119" s="515">
        <v>80340.475365023216</v>
      </c>
      <c r="X119" s="483">
        <f t="shared" si="32"/>
        <v>80340.475365023216</v>
      </c>
      <c r="Y119" s="483"/>
      <c r="Z119" s="543">
        <f t="shared" si="33"/>
        <v>0</v>
      </c>
      <c r="AA119" s="515">
        <v>49884.172897520948</v>
      </c>
      <c r="AB119" s="483">
        <f t="shared" si="34"/>
        <v>49884.172897520948</v>
      </c>
      <c r="AC119" s="483"/>
      <c r="AD119" s="543">
        <f t="shared" si="35"/>
        <v>49884.172897520948</v>
      </c>
      <c r="AE119" s="515">
        <v>18336</v>
      </c>
      <c r="AF119" s="483">
        <f t="shared" si="36"/>
        <v>18336</v>
      </c>
      <c r="AG119" s="483"/>
      <c r="AH119" s="543">
        <f t="shared" si="37"/>
        <v>18336</v>
      </c>
      <c r="AI119" s="520">
        <v>41349.632596498406</v>
      </c>
      <c r="AJ119" s="484">
        <f t="shared" si="38"/>
        <v>41349.632596498406</v>
      </c>
      <c r="AK119" s="484"/>
      <c r="AL119" s="545">
        <f t="shared" si="39"/>
        <v>41349.632596498406</v>
      </c>
      <c r="AM119" s="526">
        <v>60582.019850683711</v>
      </c>
      <c r="AN119" s="485">
        <f t="shared" si="40"/>
        <v>60582.019850683711</v>
      </c>
      <c r="AO119" s="485"/>
      <c r="AP119" s="543">
        <f t="shared" si="41"/>
        <v>60582.019850683711</v>
      </c>
      <c r="AQ119" s="530">
        <f t="shared" si="42"/>
        <v>64211.464117899392</v>
      </c>
    </row>
    <row r="120" spans="1:43" x14ac:dyDescent="0.55000000000000004">
      <c r="A120" s="316" t="s">
        <v>310</v>
      </c>
      <c r="B120" s="218" t="s">
        <v>311</v>
      </c>
      <c r="C120" s="218" t="s">
        <v>320</v>
      </c>
      <c r="D120" s="105" t="s">
        <v>321</v>
      </c>
      <c r="E120" s="100"/>
      <c r="F120" s="34"/>
      <c r="G120" s="34"/>
      <c r="H120" s="480">
        <v>138670.80517744401</v>
      </c>
      <c r="I120" s="480" t="s">
        <v>413</v>
      </c>
      <c r="J120" s="490">
        <v>3</v>
      </c>
      <c r="K120" s="504"/>
      <c r="L120" s="482"/>
      <c r="M120" s="482">
        <f t="shared" si="43"/>
        <v>0</v>
      </c>
      <c r="N120" s="536">
        <f t="shared" si="27"/>
        <v>0</v>
      </c>
      <c r="O120" s="496">
        <v>21725.832388760507</v>
      </c>
      <c r="P120" s="483"/>
      <c r="Q120" s="483">
        <f t="shared" si="44"/>
        <v>10862.916194380254</v>
      </c>
      <c r="R120" s="541">
        <f t="shared" si="29"/>
        <v>10862.916194380254</v>
      </c>
      <c r="S120" s="515">
        <v>62772.406451263734</v>
      </c>
      <c r="T120" s="483"/>
      <c r="U120" s="483">
        <f t="shared" si="45"/>
        <v>31386.203225631867</v>
      </c>
      <c r="V120" s="543">
        <f t="shared" si="31"/>
        <v>31386.203225631867</v>
      </c>
      <c r="W120" s="515">
        <v>93820.84267159726</v>
      </c>
      <c r="X120" s="483"/>
      <c r="Y120" s="483">
        <f t="shared" si="46"/>
        <v>46910.42133579863</v>
      </c>
      <c r="Z120" s="543">
        <f t="shared" si="33"/>
        <v>46910.42133579863</v>
      </c>
      <c r="AA120" s="515">
        <v>58999.837983633821</v>
      </c>
      <c r="AB120" s="483"/>
      <c r="AC120" s="483">
        <f t="shared" si="47"/>
        <v>29499.91899181691</v>
      </c>
      <c r="AD120" s="543">
        <f t="shared" si="35"/>
        <v>29499.91899181691</v>
      </c>
      <c r="AE120" s="515">
        <v>47766</v>
      </c>
      <c r="AF120" s="483"/>
      <c r="AG120" s="483">
        <f t="shared" si="48"/>
        <v>23883</v>
      </c>
      <c r="AH120" s="543">
        <f t="shared" si="37"/>
        <v>23883</v>
      </c>
      <c r="AI120" s="520">
        <v>74084.402766031722</v>
      </c>
      <c r="AJ120" s="484"/>
      <c r="AK120" s="484">
        <f t="shared" si="49"/>
        <v>37042.201383015861</v>
      </c>
      <c r="AL120" s="545">
        <f t="shared" si="39"/>
        <v>37042.201383015861</v>
      </c>
      <c r="AM120" s="526">
        <v>53432.787316079339</v>
      </c>
      <c r="AN120" s="485"/>
      <c r="AO120" s="485">
        <f t="shared" si="50"/>
        <v>26716.393658039669</v>
      </c>
      <c r="AP120" s="543">
        <f t="shared" si="41"/>
        <v>26716.393658039669</v>
      </c>
      <c r="AQ120" s="530">
        <f t="shared" si="42"/>
        <v>46910.42133579863</v>
      </c>
    </row>
    <row r="121" spans="1:43" x14ac:dyDescent="0.55000000000000004">
      <c r="A121" s="316" t="s">
        <v>322</v>
      </c>
      <c r="B121" s="218" t="s">
        <v>323</v>
      </c>
      <c r="C121" s="218" t="s">
        <v>324</v>
      </c>
      <c r="D121" s="105" t="s">
        <v>325</v>
      </c>
      <c r="E121" s="100"/>
      <c r="F121" s="34"/>
      <c r="G121" s="34"/>
      <c r="H121" s="480">
        <v>39195.118555506007</v>
      </c>
      <c r="I121" s="480" t="s">
        <v>413</v>
      </c>
      <c r="J121" s="490">
        <v>4</v>
      </c>
      <c r="K121" s="504"/>
      <c r="L121" s="482"/>
      <c r="M121" s="482"/>
      <c r="N121" s="536">
        <f t="shared" si="27"/>
        <v>0</v>
      </c>
      <c r="O121" s="496">
        <v>3120.8094076739217</v>
      </c>
      <c r="P121" s="483"/>
      <c r="Q121" s="483"/>
      <c r="R121" s="541">
        <f t="shared" si="29"/>
        <v>0</v>
      </c>
      <c r="S121" s="515">
        <v>20125.469745358765</v>
      </c>
      <c r="T121" s="483"/>
      <c r="U121" s="483"/>
      <c r="V121" s="543">
        <f t="shared" si="31"/>
        <v>0</v>
      </c>
      <c r="W121" s="515">
        <v>24430.506784487628</v>
      </c>
      <c r="X121" s="483"/>
      <c r="Y121" s="483"/>
      <c r="Z121" s="543">
        <f t="shared" si="33"/>
        <v>0</v>
      </c>
      <c r="AA121" s="515">
        <v>19867.246768263718</v>
      </c>
      <c r="AB121" s="483"/>
      <c r="AC121" s="483"/>
      <c r="AD121" s="543">
        <f t="shared" si="35"/>
        <v>0</v>
      </c>
      <c r="AE121" s="515">
        <v>6940</v>
      </c>
      <c r="AF121" s="483"/>
      <c r="AG121" s="483"/>
      <c r="AH121" s="543">
        <f t="shared" si="37"/>
        <v>0</v>
      </c>
      <c r="AI121" s="520">
        <v>29105.286056068817</v>
      </c>
      <c r="AJ121" s="484"/>
      <c r="AK121" s="484"/>
      <c r="AL121" s="545">
        <f t="shared" si="39"/>
        <v>0</v>
      </c>
      <c r="AM121" s="526">
        <v>10161.697403279335</v>
      </c>
      <c r="AN121" s="485"/>
      <c r="AO121" s="485"/>
      <c r="AP121" s="543">
        <f t="shared" si="41"/>
        <v>0</v>
      </c>
      <c r="AQ121" s="530">
        <f t="shared" si="42"/>
        <v>0</v>
      </c>
    </row>
    <row r="122" spans="1:43" x14ac:dyDescent="0.55000000000000004">
      <c r="A122" s="316" t="s">
        <v>322</v>
      </c>
      <c r="B122" s="218" t="s">
        <v>323</v>
      </c>
      <c r="C122" s="218" t="s">
        <v>326</v>
      </c>
      <c r="D122" s="105" t="s">
        <v>327</v>
      </c>
      <c r="E122" s="100"/>
      <c r="F122" s="34"/>
      <c r="G122" s="34"/>
      <c r="H122" s="480">
        <v>37012.158261154211</v>
      </c>
      <c r="I122" s="480" t="s">
        <v>413</v>
      </c>
      <c r="J122" s="490">
        <v>3</v>
      </c>
      <c r="K122" s="504"/>
      <c r="L122" s="482"/>
      <c r="M122" s="482">
        <f t="shared" si="43"/>
        <v>0</v>
      </c>
      <c r="N122" s="536">
        <f t="shared" si="27"/>
        <v>0</v>
      </c>
      <c r="O122" s="496">
        <v>8432.3652789481548</v>
      </c>
      <c r="P122" s="483"/>
      <c r="Q122" s="483">
        <f t="shared" si="44"/>
        <v>4216.1826394740774</v>
      </c>
      <c r="R122" s="541">
        <f t="shared" si="29"/>
        <v>4216.1826394740774</v>
      </c>
      <c r="S122" s="515">
        <v>16745.17089455263</v>
      </c>
      <c r="T122" s="483"/>
      <c r="U122" s="483">
        <f t="shared" si="45"/>
        <v>8372.5854472763149</v>
      </c>
      <c r="V122" s="543">
        <f t="shared" si="31"/>
        <v>8372.5854472763149</v>
      </c>
      <c r="W122" s="515">
        <v>30482.403979223356</v>
      </c>
      <c r="X122" s="483"/>
      <c r="Y122" s="483">
        <f t="shared" si="46"/>
        <v>15241.201989611678</v>
      </c>
      <c r="Z122" s="543">
        <f t="shared" si="33"/>
        <v>15241.201989611678</v>
      </c>
      <c r="AA122" s="515">
        <v>19016.114899824621</v>
      </c>
      <c r="AB122" s="483"/>
      <c r="AC122" s="483">
        <f t="shared" si="47"/>
        <v>9508.0574499123104</v>
      </c>
      <c r="AD122" s="543">
        <f t="shared" si="35"/>
        <v>9508.0574499123104</v>
      </c>
      <c r="AE122" s="515">
        <v>6696</v>
      </c>
      <c r="AF122" s="483"/>
      <c r="AG122" s="483">
        <f t="shared" si="48"/>
        <v>3348</v>
      </c>
      <c r="AH122" s="543">
        <f t="shared" si="37"/>
        <v>3348</v>
      </c>
      <c r="AI122" s="520">
        <v>18980.59398007908</v>
      </c>
      <c r="AJ122" s="484"/>
      <c r="AK122" s="484">
        <f t="shared" si="49"/>
        <v>9490.2969900395401</v>
      </c>
      <c r="AL122" s="545">
        <f t="shared" si="39"/>
        <v>9490.2969900395401</v>
      </c>
      <c r="AM122" s="526">
        <v>19191.489468746622</v>
      </c>
      <c r="AN122" s="485"/>
      <c r="AO122" s="485">
        <f t="shared" si="50"/>
        <v>9595.7447343733111</v>
      </c>
      <c r="AP122" s="543">
        <f t="shared" si="41"/>
        <v>9595.7447343733111</v>
      </c>
      <c r="AQ122" s="530">
        <f t="shared" si="42"/>
        <v>15241.201989611678</v>
      </c>
    </row>
    <row r="123" spans="1:43" x14ac:dyDescent="0.55000000000000004">
      <c r="A123" s="316" t="s">
        <v>322</v>
      </c>
      <c r="B123" s="218" t="s">
        <v>323</v>
      </c>
      <c r="C123" s="218" t="s">
        <v>328</v>
      </c>
      <c r="D123" s="105" t="s">
        <v>329</v>
      </c>
      <c r="E123" s="100"/>
      <c r="F123" s="34"/>
      <c r="G123" s="34"/>
      <c r="H123" s="480">
        <v>52356.268586149592</v>
      </c>
      <c r="I123" s="480" t="s">
        <v>413</v>
      </c>
      <c r="J123" s="490">
        <v>3</v>
      </c>
      <c r="K123" s="504"/>
      <c r="L123" s="482"/>
      <c r="M123" s="482">
        <f t="shared" si="43"/>
        <v>0</v>
      </c>
      <c r="N123" s="536">
        <f t="shared" si="27"/>
        <v>0</v>
      </c>
      <c r="O123" s="496">
        <v>11162.953324028977</v>
      </c>
      <c r="P123" s="483"/>
      <c r="Q123" s="483">
        <f t="shared" si="44"/>
        <v>5581.4766620144883</v>
      </c>
      <c r="R123" s="541">
        <f t="shared" si="29"/>
        <v>5581.4766620144883</v>
      </c>
      <c r="S123" s="515">
        <v>26371.550552860583</v>
      </c>
      <c r="T123" s="483"/>
      <c r="U123" s="483">
        <f t="shared" si="45"/>
        <v>13185.775276430291</v>
      </c>
      <c r="V123" s="543">
        <f t="shared" si="31"/>
        <v>13185.775276430291</v>
      </c>
      <c r="W123" s="515">
        <v>43164.898674527911</v>
      </c>
      <c r="X123" s="483"/>
      <c r="Y123" s="483">
        <f t="shared" si="46"/>
        <v>21582.449337263955</v>
      </c>
      <c r="Z123" s="543">
        <f t="shared" si="33"/>
        <v>21582.449337263955</v>
      </c>
      <c r="AA123" s="515">
        <v>26841.201334186208</v>
      </c>
      <c r="AB123" s="483"/>
      <c r="AC123" s="483">
        <f t="shared" si="47"/>
        <v>13420.600667093104</v>
      </c>
      <c r="AD123" s="543">
        <f t="shared" si="35"/>
        <v>13420.600667093104</v>
      </c>
      <c r="AE123" s="515">
        <v>8646</v>
      </c>
      <c r="AF123" s="483"/>
      <c r="AG123" s="483">
        <f t="shared" si="48"/>
        <v>4323</v>
      </c>
      <c r="AH123" s="543">
        <f t="shared" si="37"/>
        <v>4323</v>
      </c>
      <c r="AI123" s="520">
        <v>12082.215827572982</v>
      </c>
      <c r="AJ123" s="484"/>
      <c r="AK123" s="484">
        <f t="shared" si="49"/>
        <v>6041.1079137864908</v>
      </c>
      <c r="AL123" s="545">
        <f t="shared" si="39"/>
        <v>6041.1079137864908</v>
      </c>
      <c r="AM123" s="526">
        <v>31510.717204627075</v>
      </c>
      <c r="AN123" s="485"/>
      <c r="AO123" s="485">
        <f t="shared" si="50"/>
        <v>15755.358602313538</v>
      </c>
      <c r="AP123" s="543">
        <f t="shared" si="41"/>
        <v>15755.358602313538</v>
      </c>
      <c r="AQ123" s="530">
        <f t="shared" si="42"/>
        <v>21582.449337263955</v>
      </c>
    </row>
    <row r="124" spans="1:43" x14ac:dyDescent="0.55000000000000004">
      <c r="A124" s="316" t="s">
        <v>322</v>
      </c>
      <c r="B124" s="218" t="s">
        <v>323</v>
      </c>
      <c r="C124" s="218" t="s">
        <v>330</v>
      </c>
      <c r="D124" s="105" t="s">
        <v>331</v>
      </c>
      <c r="E124" s="100"/>
      <c r="F124" s="34"/>
      <c r="G124" s="34"/>
      <c r="H124" s="480">
        <v>27460.602325830623</v>
      </c>
      <c r="I124" s="480" t="s">
        <v>413</v>
      </c>
      <c r="J124" s="490">
        <v>2</v>
      </c>
      <c r="K124" s="504"/>
      <c r="L124" s="482">
        <f t="shared" si="26"/>
        <v>0</v>
      </c>
      <c r="M124" s="482"/>
      <c r="N124" s="536">
        <f t="shared" si="27"/>
        <v>0</v>
      </c>
      <c r="O124" s="496">
        <v>5357.3163683486218</v>
      </c>
      <c r="P124" s="483">
        <f t="shared" si="28"/>
        <v>5357.3163683486218</v>
      </c>
      <c r="Q124" s="483"/>
      <c r="R124" s="541">
        <f t="shared" si="29"/>
        <v>5357.3163683486218</v>
      </c>
      <c r="S124" s="515">
        <v>12220.021564894554</v>
      </c>
      <c r="T124" s="483">
        <f t="shared" si="30"/>
        <v>12220.021564894554</v>
      </c>
      <c r="U124" s="483"/>
      <c r="V124" s="543">
        <f t="shared" si="31"/>
        <v>12220.021564894554</v>
      </c>
      <c r="W124" s="515">
        <v>19803.793626160932</v>
      </c>
      <c r="X124" s="483">
        <f t="shared" si="32"/>
        <v>19803.793626160932</v>
      </c>
      <c r="Y124" s="483"/>
      <c r="Z124" s="543">
        <f t="shared" si="33"/>
        <v>0</v>
      </c>
      <c r="AA124" s="515">
        <v>15231.434369696173</v>
      </c>
      <c r="AB124" s="483">
        <f t="shared" si="34"/>
        <v>15231.434369696173</v>
      </c>
      <c r="AC124" s="483"/>
      <c r="AD124" s="543">
        <f t="shared" si="35"/>
        <v>15231.434369696173</v>
      </c>
      <c r="AE124" s="515">
        <v>4855</v>
      </c>
      <c r="AF124" s="483">
        <f t="shared" si="36"/>
        <v>4855</v>
      </c>
      <c r="AG124" s="483"/>
      <c r="AH124" s="543">
        <f t="shared" si="37"/>
        <v>4855</v>
      </c>
      <c r="AI124" s="520">
        <v>25629.895504108583</v>
      </c>
      <c r="AJ124" s="484">
        <f t="shared" si="38"/>
        <v>25629.895504108583</v>
      </c>
      <c r="AK124" s="484"/>
      <c r="AL124" s="545">
        <f t="shared" si="39"/>
        <v>25629.895504108583</v>
      </c>
      <c r="AM124" s="526">
        <v>9916.3286176610563</v>
      </c>
      <c r="AN124" s="485">
        <f t="shared" si="40"/>
        <v>9916.3286176610563</v>
      </c>
      <c r="AO124" s="485"/>
      <c r="AP124" s="543">
        <f t="shared" si="41"/>
        <v>9916.3286176610563</v>
      </c>
      <c r="AQ124" s="530">
        <f t="shared" si="42"/>
        <v>25629.895504108583</v>
      </c>
    </row>
    <row r="125" spans="1:43" x14ac:dyDescent="0.55000000000000004">
      <c r="A125" s="316" t="s">
        <v>322</v>
      </c>
      <c r="B125" s="218" t="s">
        <v>323</v>
      </c>
      <c r="C125" s="218" t="s">
        <v>332</v>
      </c>
      <c r="D125" s="105" t="s">
        <v>333</v>
      </c>
      <c r="E125" s="100"/>
      <c r="F125" s="34"/>
      <c r="G125" s="34"/>
      <c r="H125" s="480">
        <v>32690.293010704088</v>
      </c>
      <c r="I125" s="480" t="s">
        <v>413</v>
      </c>
      <c r="J125" s="490">
        <v>2</v>
      </c>
      <c r="K125" s="504"/>
      <c r="L125" s="482">
        <f t="shared" si="26"/>
        <v>0</v>
      </c>
      <c r="M125" s="482"/>
      <c r="N125" s="536">
        <f t="shared" si="27"/>
        <v>0</v>
      </c>
      <c r="O125" s="496">
        <v>4038.5784127181892</v>
      </c>
      <c r="P125" s="483">
        <f t="shared" si="28"/>
        <v>4038.5784127181892</v>
      </c>
      <c r="Q125" s="483"/>
      <c r="R125" s="541">
        <f t="shared" si="29"/>
        <v>4038.5784127181892</v>
      </c>
      <c r="S125" s="515">
        <v>18034.318157374215</v>
      </c>
      <c r="T125" s="483">
        <f t="shared" si="30"/>
        <v>18034.318157374215</v>
      </c>
      <c r="U125" s="483"/>
      <c r="V125" s="543">
        <f t="shared" si="31"/>
        <v>18034.318157374215</v>
      </c>
      <c r="W125" s="515">
        <v>24492.422401719799</v>
      </c>
      <c r="X125" s="483">
        <f t="shared" si="32"/>
        <v>24492.422401719799</v>
      </c>
      <c r="Y125" s="483"/>
      <c r="Z125" s="543">
        <f t="shared" si="33"/>
        <v>0</v>
      </c>
      <c r="AA125" s="515">
        <v>15689.827622136641</v>
      </c>
      <c r="AB125" s="483">
        <f t="shared" si="34"/>
        <v>15689.827622136641</v>
      </c>
      <c r="AC125" s="483"/>
      <c r="AD125" s="543">
        <f t="shared" si="35"/>
        <v>15689.827622136641</v>
      </c>
      <c r="AE125" s="515">
        <v>5532</v>
      </c>
      <c r="AF125" s="483">
        <f t="shared" si="36"/>
        <v>5532</v>
      </c>
      <c r="AG125" s="483"/>
      <c r="AH125" s="543">
        <f t="shared" si="37"/>
        <v>5532</v>
      </c>
      <c r="AI125" s="520">
        <v>18859.784429252359</v>
      </c>
      <c r="AJ125" s="484">
        <f t="shared" si="38"/>
        <v>18859.784429252359</v>
      </c>
      <c r="AK125" s="484"/>
      <c r="AL125" s="545">
        <f t="shared" si="39"/>
        <v>18859.784429252359</v>
      </c>
      <c r="AM125" s="526">
        <v>13318.267522879445</v>
      </c>
      <c r="AN125" s="485">
        <f t="shared" si="40"/>
        <v>13318.267522879445</v>
      </c>
      <c r="AO125" s="485"/>
      <c r="AP125" s="543">
        <f t="shared" si="41"/>
        <v>13318.267522879445</v>
      </c>
      <c r="AQ125" s="530">
        <f t="shared" si="42"/>
        <v>18859.784429252359</v>
      </c>
    </row>
    <row r="126" spans="1:43" x14ac:dyDescent="0.55000000000000004">
      <c r="A126" s="316" t="s">
        <v>322</v>
      </c>
      <c r="B126" s="218" t="s">
        <v>323</v>
      </c>
      <c r="C126" s="218" t="s">
        <v>334</v>
      </c>
      <c r="D126" s="105" t="s">
        <v>335</v>
      </c>
      <c r="E126" s="100"/>
      <c r="F126" s="34"/>
      <c r="G126" s="34"/>
      <c r="H126" s="480">
        <v>95120.28021781116</v>
      </c>
      <c r="I126" s="480" t="s">
        <v>413</v>
      </c>
      <c r="J126" s="490">
        <v>3</v>
      </c>
      <c r="K126" s="504"/>
      <c r="L126" s="482"/>
      <c r="M126" s="482">
        <f t="shared" si="43"/>
        <v>0</v>
      </c>
      <c r="N126" s="536">
        <f t="shared" si="27"/>
        <v>0</v>
      </c>
      <c r="O126" s="496">
        <v>29107.661829172175</v>
      </c>
      <c r="P126" s="483"/>
      <c r="Q126" s="483">
        <f t="shared" si="44"/>
        <v>14553.830914586088</v>
      </c>
      <c r="R126" s="541">
        <f t="shared" si="29"/>
        <v>14553.830914586088</v>
      </c>
      <c r="S126" s="515">
        <v>45514.967836092444</v>
      </c>
      <c r="T126" s="483"/>
      <c r="U126" s="483">
        <f t="shared" si="45"/>
        <v>22757.483918046222</v>
      </c>
      <c r="V126" s="543">
        <f t="shared" si="31"/>
        <v>22757.483918046222</v>
      </c>
      <c r="W126" s="515">
        <v>62822.381740705023</v>
      </c>
      <c r="X126" s="483"/>
      <c r="Y126" s="483">
        <f t="shared" si="46"/>
        <v>31411.190870352511</v>
      </c>
      <c r="Z126" s="543">
        <f t="shared" si="33"/>
        <v>31411.190870352511</v>
      </c>
      <c r="AA126" s="515">
        <v>51361.527117805272</v>
      </c>
      <c r="AB126" s="483"/>
      <c r="AC126" s="483">
        <f t="shared" si="47"/>
        <v>25680.763558902636</v>
      </c>
      <c r="AD126" s="543">
        <f t="shared" si="35"/>
        <v>25680.763558902636</v>
      </c>
      <c r="AE126" s="515">
        <v>16258</v>
      </c>
      <c r="AF126" s="483"/>
      <c r="AG126" s="483">
        <f t="shared" si="48"/>
        <v>8129</v>
      </c>
      <c r="AH126" s="543">
        <f t="shared" si="37"/>
        <v>8129</v>
      </c>
      <c r="AI126" s="520">
        <v>16710.319497723583</v>
      </c>
      <c r="AJ126" s="484"/>
      <c r="AK126" s="484">
        <f t="shared" si="49"/>
        <v>8355.1597488617917</v>
      </c>
      <c r="AL126" s="545">
        <f t="shared" si="39"/>
        <v>8355.1597488617917</v>
      </c>
      <c r="AM126" s="526">
        <v>40514.193426104757</v>
      </c>
      <c r="AN126" s="485"/>
      <c r="AO126" s="485">
        <f t="shared" si="50"/>
        <v>20257.096713052379</v>
      </c>
      <c r="AP126" s="543">
        <f t="shared" si="41"/>
        <v>20257.096713052379</v>
      </c>
      <c r="AQ126" s="530">
        <f t="shared" si="42"/>
        <v>31411.190870352511</v>
      </c>
    </row>
    <row r="127" spans="1:43" x14ac:dyDescent="0.55000000000000004">
      <c r="A127" s="316" t="s">
        <v>322</v>
      </c>
      <c r="B127" s="218" t="s">
        <v>323</v>
      </c>
      <c r="C127" s="218" t="s">
        <v>336</v>
      </c>
      <c r="D127" s="105" t="s">
        <v>337</v>
      </c>
      <c r="E127" s="100"/>
      <c r="F127" s="34"/>
      <c r="G127" s="34"/>
      <c r="H127" s="480">
        <v>46967.678081984632</v>
      </c>
      <c r="I127" s="480" t="s">
        <v>413</v>
      </c>
      <c r="J127" s="490">
        <v>1</v>
      </c>
      <c r="K127" s="504"/>
      <c r="L127" s="482">
        <f t="shared" si="26"/>
        <v>0</v>
      </c>
      <c r="M127" s="482"/>
      <c r="N127" s="536">
        <f t="shared" si="27"/>
        <v>0</v>
      </c>
      <c r="O127" s="496">
        <v>14267.427932178172</v>
      </c>
      <c r="P127" s="483">
        <f t="shared" si="28"/>
        <v>14267.427932178172</v>
      </c>
      <c r="Q127" s="483"/>
      <c r="R127" s="541">
        <f t="shared" si="29"/>
        <v>14267.427932178172</v>
      </c>
      <c r="S127" s="515">
        <v>23988.652968058013</v>
      </c>
      <c r="T127" s="483">
        <f t="shared" si="30"/>
        <v>23988.652968058013</v>
      </c>
      <c r="U127" s="483"/>
      <c r="V127" s="543">
        <f t="shared" si="31"/>
        <v>23988.652968058013</v>
      </c>
      <c r="W127" s="515">
        <v>34425.758326525865</v>
      </c>
      <c r="X127" s="483">
        <f t="shared" si="32"/>
        <v>34425.758326525865</v>
      </c>
      <c r="Y127" s="483"/>
      <c r="Z127" s="543">
        <f t="shared" si="33"/>
        <v>0</v>
      </c>
      <c r="AA127" s="515">
        <v>30178.3703752361</v>
      </c>
      <c r="AB127" s="483">
        <f t="shared" si="34"/>
        <v>30178.3703752361</v>
      </c>
      <c r="AC127" s="483"/>
      <c r="AD127" s="543">
        <f t="shared" si="35"/>
        <v>30178.3703752361</v>
      </c>
      <c r="AE127" s="515">
        <v>16304</v>
      </c>
      <c r="AF127" s="483">
        <f t="shared" si="36"/>
        <v>16304</v>
      </c>
      <c r="AG127" s="483"/>
      <c r="AH127" s="543">
        <f t="shared" si="37"/>
        <v>16304</v>
      </c>
      <c r="AI127" s="520">
        <v>31957.389210422531</v>
      </c>
      <c r="AJ127" s="484">
        <f t="shared" si="38"/>
        <v>31957.389210422531</v>
      </c>
      <c r="AK127" s="484"/>
      <c r="AL127" s="545">
        <f t="shared" si="39"/>
        <v>31957.389210422531</v>
      </c>
      <c r="AM127" s="526">
        <v>24788.496765491887</v>
      </c>
      <c r="AN127" s="485">
        <f t="shared" si="40"/>
        <v>24788.496765491887</v>
      </c>
      <c r="AO127" s="485"/>
      <c r="AP127" s="543">
        <f t="shared" si="41"/>
        <v>24788.496765491887</v>
      </c>
      <c r="AQ127" s="530">
        <f t="shared" si="42"/>
        <v>31957.389210422531</v>
      </c>
    </row>
    <row r="128" spans="1:43" x14ac:dyDescent="0.55000000000000004">
      <c r="A128" s="316" t="s">
        <v>322</v>
      </c>
      <c r="B128" s="218" t="s">
        <v>323</v>
      </c>
      <c r="C128" s="218" t="s">
        <v>338</v>
      </c>
      <c r="D128" s="105" t="s">
        <v>339</v>
      </c>
      <c r="E128" s="100"/>
      <c r="F128" s="34"/>
      <c r="G128" s="34"/>
      <c r="H128" s="480">
        <v>96392.652760116689</v>
      </c>
      <c r="I128" s="480" t="s">
        <v>413</v>
      </c>
      <c r="J128" s="490">
        <v>2</v>
      </c>
      <c r="K128" s="504"/>
      <c r="L128" s="482">
        <f t="shared" si="26"/>
        <v>0</v>
      </c>
      <c r="M128" s="482"/>
      <c r="N128" s="536">
        <f t="shared" si="27"/>
        <v>0</v>
      </c>
      <c r="O128" s="496">
        <v>11272.060421115288</v>
      </c>
      <c r="P128" s="483">
        <f t="shared" si="28"/>
        <v>11272.060421115288</v>
      </c>
      <c r="Q128" s="483"/>
      <c r="R128" s="541">
        <f t="shared" si="29"/>
        <v>11272.060421115288</v>
      </c>
      <c r="S128" s="515">
        <v>48358.540845692078</v>
      </c>
      <c r="T128" s="483">
        <f t="shared" si="30"/>
        <v>48358.540845692078</v>
      </c>
      <c r="U128" s="483"/>
      <c r="V128" s="543">
        <f t="shared" si="31"/>
        <v>48358.540845692078</v>
      </c>
      <c r="W128" s="515">
        <v>60990.748338865458</v>
      </c>
      <c r="X128" s="483">
        <f t="shared" si="32"/>
        <v>60990.748338865458</v>
      </c>
      <c r="Y128" s="483"/>
      <c r="Z128" s="543">
        <f t="shared" si="33"/>
        <v>0</v>
      </c>
      <c r="AA128" s="515">
        <v>86154.399680966613</v>
      </c>
      <c r="AB128" s="483">
        <f t="shared" si="34"/>
        <v>86154.399680966613</v>
      </c>
      <c r="AC128" s="483"/>
      <c r="AD128" s="543">
        <f t="shared" si="35"/>
        <v>86154.399680966613</v>
      </c>
      <c r="AE128" s="515">
        <v>17701</v>
      </c>
      <c r="AF128" s="483">
        <f t="shared" si="36"/>
        <v>17701</v>
      </c>
      <c r="AG128" s="483"/>
      <c r="AH128" s="543">
        <f t="shared" si="37"/>
        <v>17701</v>
      </c>
      <c r="AI128" s="520">
        <v>16957.966689279787</v>
      </c>
      <c r="AJ128" s="484">
        <f t="shared" si="38"/>
        <v>16957.966689279787</v>
      </c>
      <c r="AK128" s="484"/>
      <c r="AL128" s="545">
        <f t="shared" si="39"/>
        <v>16957.966689279787</v>
      </c>
      <c r="AM128" s="526">
        <v>40679.46813729695</v>
      </c>
      <c r="AN128" s="485">
        <f t="shared" si="40"/>
        <v>40679.46813729695</v>
      </c>
      <c r="AO128" s="485"/>
      <c r="AP128" s="543">
        <f t="shared" si="41"/>
        <v>40679.46813729695</v>
      </c>
      <c r="AQ128" s="530">
        <f t="shared" si="42"/>
        <v>86154.399680966613</v>
      </c>
    </row>
    <row r="129" spans="1:43" x14ac:dyDescent="0.55000000000000004">
      <c r="A129" s="316" t="s">
        <v>322</v>
      </c>
      <c r="B129" s="218" t="s">
        <v>323</v>
      </c>
      <c r="C129" s="218" t="s">
        <v>340</v>
      </c>
      <c r="D129" s="105" t="s">
        <v>341</v>
      </c>
      <c r="E129" s="100"/>
      <c r="F129" s="34"/>
      <c r="G129" s="34"/>
      <c r="H129" s="480">
        <v>128065.73135408323</v>
      </c>
      <c r="I129" s="480" t="s">
        <v>413</v>
      </c>
      <c r="J129" s="490">
        <v>1</v>
      </c>
      <c r="K129" s="504"/>
      <c r="L129" s="482">
        <f t="shared" si="26"/>
        <v>0</v>
      </c>
      <c r="M129" s="482"/>
      <c r="N129" s="536">
        <f t="shared" si="27"/>
        <v>0</v>
      </c>
      <c r="O129" s="496">
        <v>35264.154172514085</v>
      </c>
      <c r="P129" s="483">
        <f t="shared" si="28"/>
        <v>35264.154172514085</v>
      </c>
      <c r="Q129" s="483"/>
      <c r="R129" s="541">
        <f t="shared" si="29"/>
        <v>35264.154172514085</v>
      </c>
      <c r="S129" s="515">
        <v>53374.468893477038</v>
      </c>
      <c r="T129" s="483">
        <f t="shared" si="30"/>
        <v>53374.468893477038</v>
      </c>
      <c r="U129" s="483"/>
      <c r="V129" s="543">
        <f t="shared" si="31"/>
        <v>53374.468893477038</v>
      </c>
      <c r="W129" s="515">
        <v>106191.44697572436</v>
      </c>
      <c r="X129" s="483">
        <f t="shared" si="32"/>
        <v>106191.44697572436</v>
      </c>
      <c r="Y129" s="483"/>
      <c r="Z129" s="543">
        <f t="shared" si="33"/>
        <v>0</v>
      </c>
      <c r="AA129" s="515">
        <v>80983.005907381768</v>
      </c>
      <c r="AB129" s="483">
        <f t="shared" si="34"/>
        <v>80983.005907381768</v>
      </c>
      <c r="AC129" s="483"/>
      <c r="AD129" s="543">
        <f t="shared" si="35"/>
        <v>80983.005907381768</v>
      </c>
      <c r="AE129" s="515">
        <v>21634</v>
      </c>
      <c r="AF129" s="483">
        <f t="shared" si="36"/>
        <v>21634</v>
      </c>
      <c r="AG129" s="483"/>
      <c r="AH129" s="543">
        <f t="shared" si="37"/>
        <v>21634</v>
      </c>
      <c r="AI129" s="520">
        <v>94863.504706728301</v>
      </c>
      <c r="AJ129" s="484">
        <f t="shared" si="38"/>
        <v>94863.504706728301</v>
      </c>
      <c r="AK129" s="484"/>
      <c r="AL129" s="545">
        <f t="shared" si="39"/>
        <v>94863.504706728301</v>
      </c>
      <c r="AM129" s="526">
        <v>60475.484250539295</v>
      </c>
      <c r="AN129" s="485">
        <f t="shared" si="40"/>
        <v>60475.484250539295</v>
      </c>
      <c r="AO129" s="485"/>
      <c r="AP129" s="543">
        <f t="shared" si="41"/>
        <v>60475.484250539295</v>
      </c>
      <c r="AQ129" s="530">
        <f t="shared" si="42"/>
        <v>94863.504706728301</v>
      </c>
    </row>
    <row r="130" spans="1:43" x14ac:dyDescent="0.55000000000000004">
      <c r="A130" s="316" t="s">
        <v>342</v>
      </c>
      <c r="B130" s="218" t="s">
        <v>343</v>
      </c>
      <c r="C130" s="218" t="s">
        <v>344</v>
      </c>
      <c r="D130" s="105" t="s">
        <v>345</v>
      </c>
      <c r="E130" s="100"/>
      <c r="F130" s="34"/>
      <c r="G130" s="34"/>
      <c r="H130" s="480">
        <v>38631.891660273708</v>
      </c>
      <c r="I130" s="480" t="s">
        <v>413</v>
      </c>
      <c r="J130" s="490">
        <v>2</v>
      </c>
      <c r="K130" s="504"/>
      <c r="L130" s="482">
        <f t="shared" si="26"/>
        <v>0</v>
      </c>
      <c r="M130" s="482"/>
      <c r="N130" s="536">
        <f t="shared" si="27"/>
        <v>0</v>
      </c>
      <c r="O130" s="496">
        <v>3095.8052700876942</v>
      </c>
      <c r="P130" s="483">
        <f t="shared" si="28"/>
        <v>3095.8052700876942</v>
      </c>
      <c r="Q130" s="483"/>
      <c r="R130" s="541">
        <f t="shared" si="29"/>
        <v>3095.8052700876942</v>
      </c>
      <c r="S130" s="515">
        <v>27864.101802863486</v>
      </c>
      <c r="T130" s="483">
        <f t="shared" si="30"/>
        <v>27864.101802863486</v>
      </c>
      <c r="U130" s="483"/>
      <c r="V130" s="543">
        <f t="shared" si="31"/>
        <v>27864.101802863486</v>
      </c>
      <c r="W130" s="515">
        <v>31143.958877197612</v>
      </c>
      <c r="X130" s="483">
        <f t="shared" si="32"/>
        <v>31143.958877197612</v>
      </c>
      <c r="Y130" s="483"/>
      <c r="Z130" s="543">
        <f t="shared" si="33"/>
        <v>0</v>
      </c>
      <c r="AA130" s="515">
        <v>19085.760219071533</v>
      </c>
      <c r="AB130" s="483">
        <f t="shared" si="34"/>
        <v>19085.760219071533</v>
      </c>
      <c r="AC130" s="483"/>
      <c r="AD130" s="543">
        <f t="shared" si="35"/>
        <v>19085.760219071533</v>
      </c>
      <c r="AE130" s="515">
        <v>6506</v>
      </c>
      <c r="AF130" s="483">
        <f t="shared" si="36"/>
        <v>6506</v>
      </c>
      <c r="AG130" s="483"/>
      <c r="AH130" s="543">
        <f t="shared" si="37"/>
        <v>6506</v>
      </c>
      <c r="AI130" s="520">
        <v>12291.965528268907</v>
      </c>
      <c r="AJ130" s="484">
        <f t="shared" si="38"/>
        <v>12291.965528268907</v>
      </c>
      <c r="AK130" s="484"/>
      <c r="AL130" s="545">
        <f t="shared" si="39"/>
        <v>12291.965528268907</v>
      </c>
      <c r="AM130" s="526">
        <v>34697.161954134717</v>
      </c>
      <c r="AN130" s="485">
        <f t="shared" si="40"/>
        <v>34697.161954134717</v>
      </c>
      <c r="AO130" s="485"/>
      <c r="AP130" s="543">
        <f t="shared" si="41"/>
        <v>34697.161954134717</v>
      </c>
      <c r="AQ130" s="530">
        <f t="shared" si="42"/>
        <v>34697.161954134717</v>
      </c>
    </row>
    <row r="131" spans="1:43" x14ac:dyDescent="0.55000000000000004">
      <c r="A131" s="316" t="s">
        <v>342</v>
      </c>
      <c r="B131" s="218" t="s">
        <v>343</v>
      </c>
      <c r="C131" s="218" t="s">
        <v>346</v>
      </c>
      <c r="D131" s="105" t="s">
        <v>347</v>
      </c>
      <c r="E131" s="100"/>
      <c r="F131" s="34"/>
      <c r="G131" s="34"/>
      <c r="H131" s="480">
        <v>44904.26104030956</v>
      </c>
      <c r="I131" s="480" t="s">
        <v>413</v>
      </c>
      <c r="J131" s="490">
        <v>1</v>
      </c>
      <c r="K131" s="504"/>
      <c r="L131" s="482">
        <f t="shared" si="26"/>
        <v>0</v>
      </c>
      <c r="M131" s="482"/>
      <c r="N131" s="536">
        <f t="shared" si="27"/>
        <v>0</v>
      </c>
      <c r="O131" s="496">
        <v>15314.508419275495</v>
      </c>
      <c r="P131" s="483">
        <f t="shared" si="28"/>
        <v>15314.508419275495</v>
      </c>
      <c r="Q131" s="483"/>
      <c r="R131" s="541">
        <f t="shared" si="29"/>
        <v>15314.508419275495</v>
      </c>
      <c r="S131" s="515">
        <v>18930.163309395608</v>
      </c>
      <c r="T131" s="483">
        <f t="shared" si="30"/>
        <v>18930.163309395608</v>
      </c>
      <c r="U131" s="483"/>
      <c r="V131" s="543">
        <f t="shared" si="31"/>
        <v>18930.163309395608</v>
      </c>
      <c r="W131" s="515">
        <v>31093.426343821713</v>
      </c>
      <c r="X131" s="483">
        <f t="shared" si="32"/>
        <v>31093.426343821713</v>
      </c>
      <c r="Y131" s="483"/>
      <c r="Z131" s="543">
        <f t="shared" si="33"/>
        <v>0</v>
      </c>
      <c r="AA131" s="515">
        <v>19768.52312323873</v>
      </c>
      <c r="AB131" s="483">
        <f t="shared" si="34"/>
        <v>19768.52312323873</v>
      </c>
      <c r="AC131" s="483"/>
      <c r="AD131" s="543">
        <f t="shared" si="35"/>
        <v>19768.52312323873</v>
      </c>
      <c r="AE131" s="515">
        <v>7803</v>
      </c>
      <c r="AF131" s="483">
        <f t="shared" si="36"/>
        <v>7803</v>
      </c>
      <c r="AG131" s="483"/>
      <c r="AH131" s="543">
        <f t="shared" si="37"/>
        <v>7803</v>
      </c>
      <c r="AI131" s="520">
        <v>26343.83314364828</v>
      </c>
      <c r="AJ131" s="484">
        <f t="shared" si="38"/>
        <v>26343.83314364828</v>
      </c>
      <c r="AK131" s="484"/>
      <c r="AL131" s="545">
        <f t="shared" si="39"/>
        <v>26343.83314364828</v>
      </c>
      <c r="AM131" s="526">
        <v>42844.432552221973</v>
      </c>
      <c r="AN131" s="485">
        <f t="shared" si="40"/>
        <v>42844.432552221973</v>
      </c>
      <c r="AO131" s="485"/>
      <c r="AP131" s="543">
        <f t="shared" si="41"/>
        <v>42844.432552221973</v>
      </c>
      <c r="AQ131" s="530">
        <f t="shared" si="42"/>
        <v>42844.432552221973</v>
      </c>
    </row>
    <row r="132" spans="1:43" x14ac:dyDescent="0.55000000000000004">
      <c r="A132" s="316" t="s">
        <v>342</v>
      </c>
      <c r="B132" s="218" t="s">
        <v>343</v>
      </c>
      <c r="C132" s="218" t="s">
        <v>348</v>
      </c>
      <c r="D132" s="105" t="s">
        <v>349</v>
      </c>
      <c r="E132" s="100"/>
      <c r="F132" s="34"/>
      <c r="G132" s="34"/>
      <c r="H132" s="480">
        <v>45380.431986163101</v>
      </c>
      <c r="I132" s="480" t="s">
        <v>413</v>
      </c>
      <c r="J132" s="490">
        <v>2</v>
      </c>
      <c r="K132" s="504"/>
      <c r="L132" s="482">
        <f t="shared" ref="L132:L186" si="51">K132</f>
        <v>0</v>
      </c>
      <c r="M132" s="482"/>
      <c r="N132" s="536">
        <f t="shared" ref="N132:N195" si="52">SUM(L132:M132)</f>
        <v>0</v>
      </c>
      <c r="O132" s="496">
        <v>15635.442107160614</v>
      </c>
      <c r="P132" s="483">
        <f t="shared" ref="P132:P186" si="53">O132</f>
        <v>15635.442107160614</v>
      </c>
      <c r="Q132" s="483"/>
      <c r="R132" s="541">
        <f t="shared" ref="R132:R195" si="54">SUM(P132:Q132)</f>
        <v>15635.442107160614</v>
      </c>
      <c r="S132" s="515">
        <v>20242.562350459291</v>
      </c>
      <c r="T132" s="483">
        <f t="shared" ref="T132:T186" si="55">S132</f>
        <v>20242.562350459291</v>
      </c>
      <c r="U132" s="483"/>
      <c r="V132" s="543">
        <f t="shared" ref="V132:V195" si="56">SUM(T132:U132)</f>
        <v>20242.562350459291</v>
      </c>
      <c r="W132" s="515">
        <v>41276.978594476866</v>
      </c>
      <c r="X132" s="483">
        <f t="shared" ref="X132:X186" si="57">W132</f>
        <v>41276.978594476866</v>
      </c>
      <c r="Y132" s="483"/>
      <c r="Z132" s="543">
        <f t="shared" ref="Z132:Z195" si="58">SUM(Y132)</f>
        <v>0</v>
      </c>
      <c r="AA132" s="515">
        <v>19708.202090667717</v>
      </c>
      <c r="AB132" s="483">
        <f t="shared" ref="AB132:AB186" si="59">AA132</f>
        <v>19708.202090667717</v>
      </c>
      <c r="AC132" s="483"/>
      <c r="AD132" s="543">
        <f t="shared" ref="AD132:AD195" si="60">SUM(AB132:AC132)</f>
        <v>19708.202090667717</v>
      </c>
      <c r="AE132" s="515">
        <v>15536</v>
      </c>
      <c r="AF132" s="483">
        <f t="shared" ref="AF132:AF186" si="61">AE132</f>
        <v>15536</v>
      </c>
      <c r="AG132" s="483"/>
      <c r="AH132" s="543">
        <f t="shared" ref="AH132:AH195" si="62">SUM(AF132:AG132)</f>
        <v>15536</v>
      </c>
      <c r="AI132" s="520">
        <v>44682.271494068285</v>
      </c>
      <c r="AJ132" s="484">
        <f t="shared" ref="AJ132:AJ186" si="63">AI132</f>
        <v>44682.271494068285</v>
      </c>
      <c r="AK132" s="484"/>
      <c r="AL132" s="545">
        <f t="shared" ref="AL132:AL195" si="64">SUM(AJ132:AK132)</f>
        <v>44682.271494068285</v>
      </c>
      <c r="AM132" s="526">
        <v>15404.366820991147</v>
      </c>
      <c r="AN132" s="485">
        <f t="shared" ref="AN132:AN186" si="65">AM132</f>
        <v>15404.366820991147</v>
      </c>
      <c r="AO132" s="485"/>
      <c r="AP132" s="543">
        <f t="shared" ref="AP132:AP195" si="66">SUM(AN132:AO132)</f>
        <v>15404.366820991147</v>
      </c>
      <c r="AQ132" s="530">
        <f t="shared" ref="AQ132:AQ195" si="67">MAX(N132,R132,V132,Z132,AD132,AH132,AL132,AP132)</f>
        <v>44682.271494068285</v>
      </c>
    </row>
    <row r="133" spans="1:43" x14ac:dyDescent="0.55000000000000004">
      <c r="A133" s="316" t="s">
        <v>342</v>
      </c>
      <c r="B133" s="218" t="s">
        <v>343</v>
      </c>
      <c r="C133" s="218" t="s">
        <v>350</v>
      </c>
      <c r="D133" s="105" t="s">
        <v>351</v>
      </c>
      <c r="E133" s="100"/>
      <c r="F133" s="34"/>
      <c r="G133" s="34"/>
      <c r="H133" s="480">
        <v>117681.01108725299</v>
      </c>
      <c r="I133" s="480" t="s">
        <v>413</v>
      </c>
      <c r="J133" s="490">
        <v>1</v>
      </c>
      <c r="K133" s="504"/>
      <c r="L133" s="482">
        <f t="shared" si="51"/>
        <v>0</v>
      </c>
      <c r="M133" s="482"/>
      <c r="N133" s="536">
        <f t="shared" si="52"/>
        <v>0</v>
      </c>
      <c r="O133" s="496">
        <v>28749.294487099272</v>
      </c>
      <c r="P133" s="483">
        <f t="shared" si="53"/>
        <v>28749.294487099272</v>
      </c>
      <c r="Q133" s="483"/>
      <c r="R133" s="541">
        <f t="shared" si="54"/>
        <v>28749.294487099272</v>
      </c>
      <c r="S133" s="515">
        <v>57693.046309471312</v>
      </c>
      <c r="T133" s="483">
        <f t="shared" si="55"/>
        <v>57693.046309471312</v>
      </c>
      <c r="U133" s="483"/>
      <c r="V133" s="543">
        <f t="shared" si="56"/>
        <v>57693.046309471312</v>
      </c>
      <c r="W133" s="515">
        <v>105812.41394139855</v>
      </c>
      <c r="X133" s="483">
        <f t="shared" si="57"/>
        <v>105812.41394139855</v>
      </c>
      <c r="Y133" s="483"/>
      <c r="Z133" s="543">
        <f t="shared" si="58"/>
        <v>0</v>
      </c>
      <c r="AA133" s="515">
        <v>72667.747514712275</v>
      </c>
      <c r="AB133" s="483">
        <f t="shared" si="59"/>
        <v>72667.747514712275</v>
      </c>
      <c r="AC133" s="483"/>
      <c r="AD133" s="543">
        <f t="shared" si="60"/>
        <v>72667.747514712275</v>
      </c>
      <c r="AE133" s="515">
        <v>40354</v>
      </c>
      <c r="AF133" s="483">
        <f t="shared" si="61"/>
        <v>40354</v>
      </c>
      <c r="AG133" s="483"/>
      <c r="AH133" s="543">
        <f t="shared" si="62"/>
        <v>40354</v>
      </c>
      <c r="AI133" s="520">
        <v>39227.003695750995</v>
      </c>
      <c r="AJ133" s="484">
        <f t="shared" si="63"/>
        <v>39227.003695750995</v>
      </c>
      <c r="AK133" s="484"/>
      <c r="AL133" s="545">
        <f t="shared" si="64"/>
        <v>39227.003695750995</v>
      </c>
      <c r="AM133" s="526">
        <v>88260.758315439714</v>
      </c>
      <c r="AN133" s="485">
        <f t="shared" si="65"/>
        <v>88260.758315439714</v>
      </c>
      <c r="AO133" s="485"/>
      <c r="AP133" s="543">
        <f t="shared" si="66"/>
        <v>88260.758315439714</v>
      </c>
      <c r="AQ133" s="530">
        <f t="shared" si="67"/>
        <v>88260.758315439714</v>
      </c>
    </row>
    <row r="134" spans="1:43" x14ac:dyDescent="0.55000000000000004">
      <c r="A134" s="316" t="s">
        <v>342</v>
      </c>
      <c r="B134" s="218" t="s">
        <v>343</v>
      </c>
      <c r="C134" s="218" t="s">
        <v>352</v>
      </c>
      <c r="D134" s="105" t="s">
        <v>353</v>
      </c>
      <c r="E134" s="100"/>
      <c r="F134" s="34"/>
      <c r="G134" s="34"/>
      <c r="H134" s="480">
        <v>54056.787582147139</v>
      </c>
      <c r="I134" s="480" t="s">
        <v>413</v>
      </c>
      <c r="J134" s="490">
        <v>1</v>
      </c>
      <c r="K134" s="504"/>
      <c r="L134" s="482">
        <f t="shared" si="51"/>
        <v>0</v>
      </c>
      <c r="M134" s="482"/>
      <c r="N134" s="536">
        <f t="shared" si="52"/>
        <v>0</v>
      </c>
      <c r="O134" s="496">
        <v>18618.536091374819</v>
      </c>
      <c r="P134" s="483">
        <f t="shared" si="53"/>
        <v>18618.536091374819</v>
      </c>
      <c r="Q134" s="483"/>
      <c r="R134" s="541">
        <f t="shared" si="54"/>
        <v>18618.536091374819</v>
      </c>
      <c r="S134" s="515">
        <v>21954.392708159565</v>
      </c>
      <c r="T134" s="483">
        <f t="shared" si="55"/>
        <v>21954.392708159565</v>
      </c>
      <c r="U134" s="483"/>
      <c r="V134" s="543">
        <f t="shared" si="56"/>
        <v>21954.392708159565</v>
      </c>
      <c r="W134" s="515">
        <v>35213.296640527828</v>
      </c>
      <c r="X134" s="483">
        <f t="shared" si="57"/>
        <v>35213.296640527828</v>
      </c>
      <c r="Y134" s="483"/>
      <c r="Z134" s="543">
        <f t="shared" si="58"/>
        <v>0</v>
      </c>
      <c r="AA134" s="515">
        <v>30749.321701969897</v>
      </c>
      <c r="AB134" s="483">
        <f t="shared" si="59"/>
        <v>30749.321701969897</v>
      </c>
      <c r="AC134" s="483"/>
      <c r="AD134" s="543">
        <f t="shared" si="60"/>
        <v>30749.321701969897</v>
      </c>
      <c r="AE134" s="515">
        <v>17593</v>
      </c>
      <c r="AF134" s="483">
        <f t="shared" si="61"/>
        <v>17593</v>
      </c>
      <c r="AG134" s="483"/>
      <c r="AH134" s="543">
        <f t="shared" si="62"/>
        <v>17593</v>
      </c>
      <c r="AI134" s="520">
        <v>29939.143891650725</v>
      </c>
      <c r="AJ134" s="484">
        <f t="shared" si="63"/>
        <v>29939.143891650725</v>
      </c>
      <c r="AK134" s="484"/>
      <c r="AL134" s="545">
        <f t="shared" si="64"/>
        <v>29939.143891650725</v>
      </c>
      <c r="AM134" s="526">
        <v>27028.393791073569</v>
      </c>
      <c r="AN134" s="485">
        <f t="shared" si="65"/>
        <v>27028.393791073569</v>
      </c>
      <c r="AO134" s="485"/>
      <c r="AP134" s="543">
        <f t="shared" si="66"/>
        <v>27028.393791073569</v>
      </c>
      <c r="AQ134" s="530">
        <f t="shared" si="67"/>
        <v>30749.321701969897</v>
      </c>
    </row>
    <row r="135" spans="1:43" x14ac:dyDescent="0.55000000000000004">
      <c r="A135" s="316" t="s">
        <v>342</v>
      </c>
      <c r="B135" s="218" t="s">
        <v>343</v>
      </c>
      <c r="C135" s="218" t="s">
        <v>354</v>
      </c>
      <c r="D135" s="105" t="s">
        <v>355</v>
      </c>
      <c r="E135" s="100"/>
      <c r="F135" s="34"/>
      <c r="G135" s="34"/>
      <c r="H135" s="480">
        <v>75995.604930880276</v>
      </c>
      <c r="I135" s="480" t="s">
        <v>413</v>
      </c>
      <c r="J135" s="490">
        <v>4</v>
      </c>
      <c r="K135" s="504"/>
      <c r="L135" s="482"/>
      <c r="M135" s="482"/>
      <c r="N135" s="536">
        <f t="shared" si="52"/>
        <v>0</v>
      </c>
      <c r="O135" s="496">
        <v>14283.00916785528</v>
      </c>
      <c r="P135" s="483"/>
      <c r="Q135" s="483"/>
      <c r="R135" s="541">
        <f t="shared" si="54"/>
        <v>0</v>
      </c>
      <c r="S135" s="515">
        <v>31687.001788830639</v>
      </c>
      <c r="T135" s="483"/>
      <c r="U135" s="483"/>
      <c r="V135" s="543">
        <f t="shared" si="56"/>
        <v>0</v>
      </c>
      <c r="W135" s="515">
        <v>45448.176430672487</v>
      </c>
      <c r="X135" s="483"/>
      <c r="Y135" s="483"/>
      <c r="Z135" s="543">
        <f t="shared" si="58"/>
        <v>0</v>
      </c>
      <c r="AA135" s="515">
        <v>33325.761868302005</v>
      </c>
      <c r="AB135" s="483"/>
      <c r="AC135" s="483"/>
      <c r="AD135" s="543">
        <f t="shared" si="60"/>
        <v>0</v>
      </c>
      <c r="AE135" s="515">
        <v>28182</v>
      </c>
      <c r="AF135" s="483"/>
      <c r="AG135" s="483"/>
      <c r="AH135" s="543">
        <f t="shared" si="62"/>
        <v>0</v>
      </c>
      <c r="AI135" s="520">
        <v>21566.320318222781</v>
      </c>
      <c r="AJ135" s="484"/>
      <c r="AK135" s="484"/>
      <c r="AL135" s="545">
        <f t="shared" si="64"/>
        <v>0</v>
      </c>
      <c r="AM135" s="526">
        <v>61218.681749875781</v>
      </c>
      <c r="AN135" s="485"/>
      <c r="AO135" s="485"/>
      <c r="AP135" s="543">
        <f t="shared" si="66"/>
        <v>0</v>
      </c>
      <c r="AQ135" s="530">
        <f t="shared" si="67"/>
        <v>0</v>
      </c>
    </row>
    <row r="136" spans="1:43" x14ac:dyDescent="0.55000000000000004">
      <c r="A136" s="316" t="s">
        <v>342</v>
      </c>
      <c r="B136" s="218" t="s">
        <v>343</v>
      </c>
      <c r="C136" s="218" t="s">
        <v>356</v>
      </c>
      <c r="D136" s="105" t="s">
        <v>357</v>
      </c>
      <c r="E136" s="100"/>
      <c r="F136" s="34"/>
      <c r="G136" s="34"/>
      <c r="H136" s="480">
        <v>123133.14998785798</v>
      </c>
      <c r="I136" s="480" t="s">
        <v>413</v>
      </c>
      <c r="J136" s="490">
        <v>1</v>
      </c>
      <c r="K136" s="504"/>
      <c r="L136" s="482">
        <f t="shared" si="51"/>
        <v>0</v>
      </c>
      <c r="M136" s="482"/>
      <c r="N136" s="536">
        <f t="shared" si="52"/>
        <v>0</v>
      </c>
      <c r="O136" s="496">
        <v>3450.0923561397899</v>
      </c>
      <c r="P136" s="483">
        <f t="shared" si="53"/>
        <v>3450.0923561397899</v>
      </c>
      <c r="Q136" s="483"/>
      <c r="R136" s="541">
        <f t="shared" si="54"/>
        <v>3450.0923561397899</v>
      </c>
      <c r="S136" s="515">
        <v>58931.909938574638</v>
      </c>
      <c r="T136" s="483">
        <f t="shared" si="55"/>
        <v>58931.909938574638</v>
      </c>
      <c r="U136" s="483"/>
      <c r="V136" s="543">
        <f t="shared" si="56"/>
        <v>58931.909938574638</v>
      </c>
      <c r="W136" s="515">
        <v>99663.380026948871</v>
      </c>
      <c r="X136" s="483">
        <f t="shared" si="57"/>
        <v>99663.380026948871</v>
      </c>
      <c r="Y136" s="483"/>
      <c r="Z136" s="543">
        <f t="shared" si="58"/>
        <v>0</v>
      </c>
      <c r="AA136" s="515">
        <v>83200.762816185612</v>
      </c>
      <c r="AB136" s="483">
        <f t="shared" si="59"/>
        <v>83200.762816185612</v>
      </c>
      <c r="AC136" s="483"/>
      <c r="AD136" s="543">
        <f t="shared" si="60"/>
        <v>83200.762816185612</v>
      </c>
      <c r="AE136" s="515">
        <v>21613</v>
      </c>
      <c r="AF136" s="483">
        <f t="shared" si="61"/>
        <v>21613</v>
      </c>
      <c r="AG136" s="483"/>
      <c r="AH136" s="543">
        <f t="shared" si="62"/>
        <v>21613</v>
      </c>
      <c r="AI136" s="520">
        <v>75081.189016986566</v>
      </c>
      <c r="AJ136" s="484">
        <f t="shared" si="63"/>
        <v>75081.189016986566</v>
      </c>
      <c r="AK136" s="484"/>
      <c r="AL136" s="545">
        <f t="shared" si="64"/>
        <v>75081.189016986566</v>
      </c>
      <c r="AM136" s="526">
        <v>97619.073864247752</v>
      </c>
      <c r="AN136" s="485">
        <f t="shared" si="65"/>
        <v>97619.073864247752</v>
      </c>
      <c r="AO136" s="485"/>
      <c r="AP136" s="543">
        <f t="shared" si="66"/>
        <v>97619.073864247752</v>
      </c>
      <c r="AQ136" s="530">
        <f t="shared" si="67"/>
        <v>97619.073864247752</v>
      </c>
    </row>
    <row r="137" spans="1:43" x14ac:dyDescent="0.55000000000000004">
      <c r="A137" s="316" t="s">
        <v>342</v>
      </c>
      <c r="B137" s="218" t="s">
        <v>343</v>
      </c>
      <c r="C137" s="218" t="s">
        <v>358</v>
      </c>
      <c r="D137" s="105" t="s">
        <v>359</v>
      </c>
      <c r="E137" s="100"/>
      <c r="F137" s="34"/>
      <c r="G137" s="34"/>
      <c r="H137" s="480">
        <v>55774.82852003994</v>
      </c>
      <c r="I137" s="480" t="s">
        <v>413</v>
      </c>
      <c r="J137" s="490">
        <v>3</v>
      </c>
      <c r="K137" s="504"/>
      <c r="L137" s="482"/>
      <c r="M137" s="482">
        <f t="shared" ref="M137:M193" si="68">K137/2</f>
        <v>0</v>
      </c>
      <c r="N137" s="536">
        <f t="shared" si="52"/>
        <v>0</v>
      </c>
      <c r="O137" s="496">
        <v>5999.5867542436563</v>
      </c>
      <c r="P137" s="483"/>
      <c r="Q137" s="483">
        <f t="shared" ref="Q137:Q193" si="69">O137/2</f>
        <v>2999.7933771218281</v>
      </c>
      <c r="R137" s="541">
        <f t="shared" si="54"/>
        <v>2999.7933771218281</v>
      </c>
      <c r="S137" s="515">
        <v>27573.635613553237</v>
      </c>
      <c r="T137" s="483"/>
      <c r="U137" s="483">
        <f t="shared" ref="U137:U193" si="70">S137/2</f>
        <v>13786.817806776618</v>
      </c>
      <c r="V137" s="543">
        <f t="shared" si="56"/>
        <v>13786.817806776618</v>
      </c>
      <c r="W137" s="515">
        <v>39225.067733394935</v>
      </c>
      <c r="X137" s="483"/>
      <c r="Y137" s="483">
        <f t="shared" ref="Y137:Y193" si="71">W137/2</f>
        <v>19612.533866697468</v>
      </c>
      <c r="Z137" s="543">
        <f t="shared" si="58"/>
        <v>19612.533866697468</v>
      </c>
      <c r="AA137" s="515">
        <v>27508.850619592082</v>
      </c>
      <c r="AB137" s="483"/>
      <c r="AC137" s="483">
        <f t="shared" ref="AC137:AC193" si="72">AA137/2</f>
        <v>13754.425309796041</v>
      </c>
      <c r="AD137" s="543">
        <f t="shared" si="60"/>
        <v>13754.425309796041</v>
      </c>
      <c r="AE137" s="515">
        <v>19633</v>
      </c>
      <c r="AF137" s="483"/>
      <c r="AG137" s="483">
        <f t="shared" ref="AG137:AG193" si="73">AE137/2</f>
        <v>9816.5</v>
      </c>
      <c r="AH137" s="543">
        <f t="shared" si="62"/>
        <v>9816.5</v>
      </c>
      <c r="AI137" s="520">
        <v>0</v>
      </c>
      <c r="AJ137" s="484"/>
      <c r="AK137" s="484">
        <f t="shared" ref="AK137:AK193" si="74">AI137/2</f>
        <v>0</v>
      </c>
      <c r="AL137" s="545">
        <f t="shared" si="64"/>
        <v>0</v>
      </c>
      <c r="AM137" s="526">
        <v>46995.45736410773</v>
      </c>
      <c r="AN137" s="485"/>
      <c r="AO137" s="485">
        <f t="shared" ref="AO137:AO193" si="75">AM137/2</f>
        <v>23497.728682053865</v>
      </c>
      <c r="AP137" s="543">
        <f t="shared" si="66"/>
        <v>23497.728682053865</v>
      </c>
      <c r="AQ137" s="530">
        <f t="shared" si="67"/>
        <v>23497.728682053865</v>
      </c>
    </row>
    <row r="138" spans="1:43" x14ac:dyDescent="0.55000000000000004">
      <c r="A138" s="316" t="s">
        <v>342</v>
      </c>
      <c r="B138" s="218" t="s">
        <v>343</v>
      </c>
      <c r="C138" s="218" t="s">
        <v>360</v>
      </c>
      <c r="D138" s="105" t="s">
        <v>361</v>
      </c>
      <c r="E138" s="100"/>
      <c r="F138" s="34"/>
      <c r="G138" s="34"/>
      <c r="H138" s="480">
        <v>84237.505871052446</v>
      </c>
      <c r="I138" s="480" t="s">
        <v>413</v>
      </c>
      <c r="J138" s="490">
        <v>4</v>
      </c>
      <c r="K138" s="504"/>
      <c r="L138" s="482"/>
      <c r="M138" s="482"/>
      <c r="N138" s="536">
        <f t="shared" si="52"/>
        <v>0</v>
      </c>
      <c r="O138" s="496">
        <v>17955.502360184204</v>
      </c>
      <c r="P138" s="483"/>
      <c r="Q138" s="483"/>
      <c r="R138" s="541">
        <f t="shared" si="54"/>
        <v>0</v>
      </c>
      <c r="S138" s="515">
        <v>39291.668651767097</v>
      </c>
      <c r="T138" s="483"/>
      <c r="U138" s="483"/>
      <c r="V138" s="543">
        <f t="shared" si="56"/>
        <v>0</v>
      </c>
      <c r="W138" s="515">
        <v>56401.700934591106</v>
      </c>
      <c r="X138" s="483"/>
      <c r="Y138" s="483"/>
      <c r="Z138" s="543">
        <f t="shared" si="58"/>
        <v>0</v>
      </c>
      <c r="AA138" s="515">
        <v>41012.649567676861</v>
      </c>
      <c r="AB138" s="483"/>
      <c r="AC138" s="483"/>
      <c r="AD138" s="543">
        <f t="shared" si="60"/>
        <v>0</v>
      </c>
      <c r="AE138" s="515">
        <v>28577</v>
      </c>
      <c r="AF138" s="483"/>
      <c r="AG138" s="483"/>
      <c r="AH138" s="543">
        <f t="shared" si="62"/>
        <v>0</v>
      </c>
      <c r="AI138" s="520">
        <v>36802.793827158835</v>
      </c>
      <c r="AJ138" s="484"/>
      <c r="AK138" s="484"/>
      <c r="AL138" s="545">
        <f t="shared" si="64"/>
        <v>0</v>
      </c>
      <c r="AM138" s="526">
        <v>7799.7690621344855</v>
      </c>
      <c r="AN138" s="485"/>
      <c r="AO138" s="485"/>
      <c r="AP138" s="543">
        <f t="shared" si="66"/>
        <v>0</v>
      </c>
      <c r="AQ138" s="530">
        <f t="shared" si="67"/>
        <v>0</v>
      </c>
    </row>
    <row r="139" spans="1:43" x14ac:dyDescent="0.55000000000000004">
      <c r="A139" s="316" t="s">
        <v>342</v>
      </c>
      <c r="B139" s="218" t="s">
        <v>343</v>
      </c>
      <c r="C139" s="218" t="s">
        <v>362</v>
      </c>
      <c r="D139" s="105" t="s">
        <v>363</v>
      </c>
      <c r="E139" s="100"/>
      <c r="F139" s="34"/>
      <c r="G139" s="34"/>
      <c r="H139" s="480">
        <v>39623.047823684894</v>
      </c>
      <c r="I139" s="480" t="s">
        <v>413</v>
      </c>
      <c r="J139" s="490">
        <v>2</v>
      </c>
      <c r="K139" s="504"/>
      <c r="L139" s="482">
        <f t="shared" si="51"/>
        <v>0</v>
      </c>
      <c r="M139" s="482"/>
      <c r="N139" s="536">
        <f t="shared" si="52"/>
        <v>0</v>
      </c>
      <c r="O139" s="496">
        <v>3277.2936069830607</v>
      </c>
      <c r="P139" s="483">
        <f t="shared" si="53"/>
        <v>3277.2936069830607</v>
      </c>
      <c r="Q139" s="483"/>
      <c r="R139" s="541">
        <f t="shared" si="54"/>
        <v>3277.2936069830607</v>
      </c>
      <c r="S139" s="515">
        <v>25107.265017137095</v>
      </c>
      <c r="T139" s="483">
        <f t="shared" si="55"/>
        <v>25107.265017137095</v>
      </c>
      <c r="U139" s="483"/>
      <c r="V139" s="543">
        <f t="shared" si="56"/>
        <v>25107.265017137095</v>
      </c>
      <c r="W139" s="515">
        <v>33263.474890030957</v>
      </c>
      <c r="X139" s="483">
        <f t="shared" si="57"/>
        <v>33263.474890030957</v>
      </c>
      <c r="Y139" s="483"/>
      <c r="Z139" s="543">
        <f t="shared" si="58"/>
        <v>0</v>
      </c>
      <c r="AA139" s="515">
        <v>24087.385048567459</v>
      </c>
      <c r="AB139" s="483">
        <f t="shared" si="59"/>
        <v>24087.385048567459</v>
      </c>
      <c r="AC139" s="483"/>
      <c r="AD139" s="543">
        <f t="shared" si="60"/>
        <v>24087.385048567459</v>
      </c>
      <c r="AE139" s="515">
        <v>13541</v>
      </c>
      <c r="AF139" s="483">
        <f t="shared" si="61"/>
        <v>13541</v>
      </c>
      <c r="AG139" s="483"/>
      <c r="AH139" s="543">
        <f t="shared" si="62"/>
        <v>13541</v>
      </c>
      <c r="AI139" s="520">
        <v>27853.825697837899</v>
      </c>
      <c r="AJ139" s="484">
        <f t="shared" si="63"/>
        <v>27853.825697837899</v>
      </c>
      <c r="AK139" s="484"/>
      <c r="AL139" s="545">
        <f t="shared" si="64"/>
        <v>27853.825697837899</v>
      </c>
      <c r="AM139" s="526">
        <v>37822.000195335575</v>
      </c>
      <c r="AN139" s="485">
        <f t="shared" si="65"/>
        <v>37822.000195335575</v>
      </c>
      <c r="AO139" s="485"/>
      <c r="AP139" s="543">
        <f t="shared" si="66"/>
        <v>37822.000195335575</v>
      </c>
      <c r="AQ139" s="530">
        <f t="shared" si="67"/>
        <v>37822.000195335575</v>
      </c>
    </row>
    <row r="140" spans="1:43" x14ac:dyDescent="0.55000000000000004">
      <c r="A140" s="316" t="s">
        <v>342</v>
      </c>
      <c r="B140" s="218" t="s">
        <v>343</v>
      </c>
      <c r="C140" s="218" t="s">
        <v>364</v>
      </c>
      <c r="D140" s="105" t="s">
        <v>365</v>
      </c>
      <c r="E140" s="100"/>
      <c r="F140" s="34"/>
      <c r="G140" s="34"/>
      <c r="H140" s="480">
        <v>208923.05518722511</v>
      </c>
      <c r="I140" s="480" t="s">
        <v>413</v>
      </c>
      <c r="J140" s="490">
        <v>1</v>
      </c>
      <c r="K140" s="504"/>
      <c r="L140" s="482">
        <f t="shared" si="51"/>
        <v>0</v>
      </c>
      <c r="M140" s="482"/>
      <c r="N140" s="536">
        <f t="shared" si="52"/>
        <v>0</v>
      </c>
      <c r="O140" s="496">
        <v>38264.257557540281</v>
      </c>
      <c r="P140" s="483">
        <f t="shared" si="53"/>
        <v>38264.257557540281</v>
      </c>
      <c r="Q140" s="483"/>
      <c r="R140" s="541">
        <f t="shared" si="54"/>
        <v>38264.257557540281</v>
      </c>
      <c r="S140" s="515">
        <v>81229.978090916178</v>
      </c>
      <c r="T140" s="483">
        <f t="shared" si="55"/>
        <v>81229.978090916178</v>
      </c>
      <c r="U140" s="483"/>
      <c r="V140" s="543">
        <f t="shared" si="56"/>
        <v>81229.978090916178</v>
      </c>
      <c r="W140" s="515">
        <v>139713.06019309364</v>
      </c>
      <c r="X140" s="483">
        <f t="shared" si="57"/>
        <v>139713.06019309364</v>
      </c>
      <c r="Y140" s="483"/>
      <c r="Z140" s="543">
        <f t="shared" si="58"/>
        <v>0</v>
      </c>
      <c r="AA140" s="515">
        <v>88283.247526447769</v>
      </c>
      <c r="AB140" s="483">
        <f t="shared" si="59"/>
        <v>88283.247526447769</v>
      </c>
      <c r="AC140" s="483"/>
      <c r="AD140" s="543">
        <f t="shared" si="60"/>
        <v>88283.247526447769</v>
      </c>
      <c r="AE140" s="515">
        <v>73541</v>
      </c>
      <c r="AF140" s="483">
        <f t="shared" si="61"/>
        <v>73541</v>
      </c>
      <c r="AG140" s="483"/>
      <c r="AH140" s="543">
        <f t="shared" si="62"/>
        <v>73541</v>
      </c>
      <c r="AI140" s="520">
        <v>43983.80109204739</v>
      </c>
      <c r="AJ140" s="484">
        <f t="shared" si="63"/>
        <v>43983.80109204739</v>
      </c>
      <c r="AK140" s="484"/>
      <c r="AL140" s="545">
        <f t="shared" si="64"/>
        <v>43983.80109204739</v>
      </c>
      <c r="AM140" s="526">
        <v>100592.58212718245</v>
      </c>
      <c r="AN140" s="485">
        <f t="shared" si="65"/>
        <v>100592.58212718245</v>
      </c>
      <c r="AO140" s="485"/>
      <c r="AP140" s="543">
        <f t="shared" si="66"/>
        <v>100592.58212718245</v>
      </c>
      <c r="AQ140" s="530">
        <f t="shared" si="67"/>
        <v>100592.58212718245</v>
      </c>
    </row>
    <row r="141" spans="1:43" x14ac:dyDescent="0.55000000000000004">
      <c r="A141" s="316" t="s">
        <v>342</v>
      </c>
      <c r="B141" s="218" t="s">
        <v>343</v>
      </c>
      <c r="C141" s="218" t="s">
        <v>366</v>
      </c>
      <c r="D141" s="105" t="s">
        <v>367</v>
      </c>
      <c r="E141" s="100"/>
      <c r="F141" s="34"/>
      <c r="G141" s="34"/>
      <c r="H141" s="480">
        <v>68673.985334433135</v>
      </c>
      <c r="I141" s="480" t="s">
        <v>413</v>
      </c>
      <c r="J141" s="490">
        <v>1</v>
      </c>
      <c r="K141" s="504"/>
      <c r="L141" s="482">
        <f t="shared" si="51"/>
        <v>0</v>
      </c>
      <c r="M141" s="482"/>
      <c r="N141" s="536">
        <f t="shared" si="52"/>
        <v>0</v>
      </c>
      <c r="O141" s="496">
        <v>22309.43087574395</v>
      </c>
      <c r="P141" s="483">
        <f t="shared" si="53"/>
        <v>22309.43087574395</v>
      </c>
      <c r="Q141" s="483"/>
      <c r="R141" s="541">
        <f t="shared" si="54"/>
        <v>22309.43087574395</v>
      </c>
      <c r="S141" s="515">
        <v>32382.269370221249</v>
      </c>
      <c r="T141" s="483">
        <f t="shared" si="55"/>
        <v>32382.269370221249</v>
      </c>
      <c r="U141" s="483"/>
      <c r="V141" s="543">
        <f t="shared" si="56"/>
        <v>32382.269370221249</v>
      </c>
      <c r="W141" s="515">
        <v>59789.271074592936</v>
      </c>
      <c r="X141" s="483">
        <f t="shared" si="57"/>
        <v>59789.271074592936</v>
      </c>
      <c r="Y141" s="483"/>
      <c r="Z141" s="543">
        <f t="shared" si="58"/>
        <v>0</v>
      </c>
      <c r="AA141" s="515">
        <v>44273.148190082211</v>
      </c>
      <c r="AB141" s="483">
        <f t="shared" si="59"/>
        <v>44273.148190082211</v>
      </c>
      <c r="AC141" s="483"/>
      <c r="AD141" s="543">
        <f t="shared" si="60"/>
        <v>44273.148190082211</v>
      </c>
      <c r="AE141" s="515">
        <v>11369</v>
      </c>
      <c r="AF141" s="483">
        <f t="shared" si="61"/>
        <v>11369</v>
      </c>
      <c r="AG141" s="483"/>
      <c r="AH141" s="543">
        <f t="shared" si="62"/>
        <v>11369</v>
      </c>
      <c r="AI141" s="520">
        <v>29801.918163999289</v>
      </c>
      <c r="AJ141" s="484">
        <f t="shared" si="63"/>
        <v>29801.918163999289</v>
      </c>
      <c r="AK141" s="484"/>
      <c r="AL141" s="545">
        <f t="shared" si="64"/>
        <v>29801.918163999289</v>
      </c>
      <c r="AM141" s="526">
        <v>51505.489000824855</v>
      </c>
      <c r="AN141" s="485">
        <f t="shared" si="65"/>
        <v>51505.489000824855</v>
      </c>
      <c r="AO141" s="485"/>
      <c r="AP141" s="543">
        <f t="shared" si="66"/>
        <v>51505.489000824855</v>
      </c>
      <c r="AQ141" s="530">
        <f t="shared" si="67"/>
        <v>51505.489000824855</v>
      </c>
    </row>
    <row r="142" spans="1:43" x14ac:dyDescent="0.55000000000000004">
      <c r="A142" s="316" t="s">
        <v>368</v>
      </c>
      <c r="B142" s="218" t="s">
        <v>369</v>
      </c>
      <c r="C142" s="218" t="s">
        <v>370</v>
      </c>
      <c r="D142" s="105" t="s">
        <v>371</v>
      </c>
      <c r="E142" s="100"/>
      <c r="F142" s="34"/>
      <c r="G142" s="34"/>
      <c r="H142" s="480">
        <v>66451.811981503241</v>
      </c>
      <c r="I142" s="480" t="s">
        <v>413</v>
      </c>
      <c r="J142" s="490">
        <v>3</v>
      </c>
      <c r="K142" s="504"/>
      <c r="L142" s="482"/>
      <c r="M142" s="482">
        <f t="shared" si="68"/>
        <v>0</v>
      </c>
      <c r="N142" s="536">
        <f t="shared" si="52"/>
        <v>0</v>
      </c>
      <c r="O142" s="496">
        <v>12506.231014918911</v>
      </c>
      <c r="P142" s="483"/>
      <c r="Q142" s="483">
        <f t="shared" si="69"/>
        <v>6253.1155074594553</v>
      </c>
      <c r="R142" s="541">
        <f t="shared" si="54"/>
        <v>6253.1155074594553</v>
      </c>
      <c r="S142" s="515">
        <v>31059.156167903904</v>
      </c>
      <c r="T142" s="483"/>
      <c r="U142" s="483">
        <f t="shared" si="70"/>
        <v>15529.578083951952</v>
      </c>
      <c r="V142" s="543">
        <f t="shared" si="56"/>
        <v>15529.578083951952</v>
      </c>
      <c r="W142" s="515">
        <v>38920.789012075693</v>
      </c>
      <c r="X142" s="483"/>
      <c r="Y142" s="483">
        <f t="shared" si="71"/>
        <v>19460.394506037846</v>
      </c>
      <c r="Z142" s="543">
        <f t="shared" si="58"/>
        <v>19460.394506037846</v>
      </c>
      <c r="AA142" s="515">
        <v>31977.818219906374</v>
      </c>
      <c r="AB142" s="483"/>
      <c r="AC142" s="483">
        <f t="shared" si="72"/>
        <v>15988.909109953187</v>
      </c>
      <c r="AD142" s="543">
        <f t="shared" si="60"/>
        <v>15988.909109953187</v>
      </c>
      <c r="AE142" s="515">
        <v>11294</v>
      </c>
      <c r="AF142" s="483"/>
      <c r="AG142" s="483">
        <f t="shared" si="73"/>
        <v>5647</v>
      </c>
      <c r="AH142" s="543">
        <f t="shared" si="62"/>
        <v>5647</v>
      </c>
      <c r="AI142" s="520">
        <v>26271.646597338491</v>
      </c>
      <c r="AJ142" s="484"/>
      <c r="AK142" s="484">
        <f t="shared" si="74"/>
        <v>13135.823298669246</v>
      </c>
      <c r="AL142" s="545">
        <f t="shared" si="64"/>
        <v>13135.823298669246</v>
      </c>
      <c r="AM142" s="526">
        <v>22150.603993834415</v>
      </c>
      <c r="AN142" s="485"/>
      <c r="AO142" s="485">
        <f t="shared" si="75"/>
        <v>11075.301996917207</v>
      </c>
      <c r="AP142" s="543">
        <f t="shared" si="66"/>
        <v>11075.301996917207</v>
      </c>
      <c r="AQ142" s="530">
        <f t="shared" si="67"/>
        <v>19460.394506037846</v>
      </c>
    </row>
    <row r="143" spans="1:43" x14ac:dyDescent="0.55000000000000004">
      <c r="A143" s="316" t="s">
        <v>368</v>
      </c>
      <c r="B143" s="218" t="s">
        <v>369</v>
      </c>
      <c r="C143" s="218" t="s">
        <v>372</v>
      </c>
      <c r="D143" s="105" t="s">
        <v>373</v>
      </c>
      <c r="E143" s="100"/>
      <c r="F143" s="34"/>
      <c r="G143" s="34"/>
      <c r="H143" s="480">
        <v>175059.60932121321</v>
      </c>
      <c r="I143" s="480" t="s">
        <v>413</v>
      </c>
      <c r="J143" s="490">
        <v>3</v>
      </c>
      <c r="K143" s="504"/>
      <c r="L143" s="482"/>
      <c r="M143" s="482">
        <f t="shared" si="68"/>
        <v>0</v>
      </c>
      <c r="N143" s="536">
        <f t="shared" si="52"/>
        <v>0</v>
      </c>
      <c r="O143" s="496">
        <v>39838.122727658229</v>
      </c>
      <c r="P143" s="483"/>
      <c r="Q143" s="483">
        <f t="shared" si="69"/>
        <v>19919.061363829114</v>
      </c>
      <c r="R143" s="541">
        <f t="shared" si="54"/>
        <v>19919.061363829114</v>
      </c>
      <c r="S143" s="515">
        <v>82753.758453595903</v>
      </c>
      <c r="T143" s="483"/>
      <c r="U143" s="483">
        <f t="shared" si="70"/>
        <v>41376.879226797952</v>
      </c>
      <c r="V143" s="543">
        <f t="shared" si="56"/>
        <v>41376.879226797952</v>
      </c>
      <c r="W143" s="515">
        <v>93064.484746472765</v>
      </c>
      <c r="X143" s="483"/>
      <c r="Y143" s="483">
        <f t="shared" si="71"/>
        <v>46532.242373236382</v>
      </c>
      <c r="Z143" s="543">
        <f t="shared" si="58"/>
        <v>46532.242373236382</v>
      </c>
      <c r="AA143" s="515">
        <v>88745.812972787884</v>
      </c>
      <c r="AB143" s="483"/>
      <c r="AC143" s="483">
        <f t="shared" si="72"/>
        <v>44372.906486393942</v>
      </c>
      <c r="AD143" s="543">
        <f t="shared" si="60"/>
        <v>44372.906486393942</v>
      </c>
      <c r="AE143" s="515">
        <v>60142</v>
      </c>
      <c r="AF143" s="483"/>
      <c r="AG143" s="483">
        <f t="shared" si="73"/>
        <v>30071</v>
      </c>
      <c r="AH143" s="543">
        <f t="shared" si="62"/>
        <v>30071</v>
      </c>
      <c r="AI143" s="520">
        <v>61424.424323232699</v>
      </c>
      <c r="AJ143" s="484"/>
      <c r="AK143" s="484">
        <f t="shared" si="74"/>
        <v>30712.212161616349</v>
      </c>
      <c r="AL143" s="545">
        <f t="shared" si="64"/>
        <v>30712.212161616349</v>
      </c>
      <c r="AM143" s="526">
        <v>87529.804660606605</v>
      </c>
      <c r="AN143" s="485"/>
      <c r="AO143" s="485">
        <f t="shared" si="75"/>
        <v>43764.902330303303</v>
      </c>
      <c r="AP143" s="543">
        <f t="shared" si="66"/>
        <v>43764.902330303303</v>
      </c>
      <c r="AQ143" s="530">
        <f t="shared" si="67"/>
        <v>46532.242373236382</v>
      </c>
    </row>
    <row r="144" spans="1:43" x14ac:dyDescent="0.55000000000000004">
      <c r="A144" s="316" t="s">
        <v>368</v>
      </c>
      <c r="B144" s="218" t="s">
        <v>369</v>
      </c>
      <c r="C144" s="218" t="s">
        <v>374</v>
      </c>
      <c r="D144" s="105" t="s">
        <v>375</v>
      </c>
      <c r="E144" s="100"/>
      <c r="F144" s="34"/>
      <c r="G144" s="34"/>
      <c r="H144" s="480">
        <v>118674.00478882086</v>
      </c>
      <c r="I144" s="480" t="s">
        <v>413</v>
      </c>
      <c r="J144" s="490">
        <v>2</v>
      </c>
      <c r="K144" s="504"/>
      <c r="L144" s="482">
        <f t="shared" si="51"/>
        <v>0</v>
      </c>
      <c r="M144" s="482"/>
      <c r="N144" s="536">
        <f t="shared" si="52"/>
        <v>0</v>
      </c>
      <c r="O144" s="496">
        <v>38823.275009425401</v>
      </c>
      <c r="P144" s="483">
        <f t="shared" si="53"/>
        <v>38823.275009425401</v>
      </c>
      <c r="Q144" s="483"/>
      <c r="R144" s="541">
        <f t="shared" si="54"/>
        <v>38823.275009425401</v>
      </c>
      <c r="S144" s="515">
        <v>66304.246767566918</v>
      </c>
      <c r="T144" s="483">
        <f t="shared" si="55"/>
        <v>66304.246767566918</v>
      </c>
      <c r="U144" s="483"/>
      <c r="V144" s="543">
        <f t="shared" si="56"/>
        <v>66304.246767566918</v>
      </c>
      <c r="W144" s="515">
        <v>87510.12561893872</v>
      </c>
      <c r="X144" s="483">
        <f t="shared" si="57"/>
        <v>87510.12561893872</v>
      </c>
      <c r="Y144" s="483"/>
      <c r="Z144" s="543">
        <f t="shared" si="58"/>
        <v>0</v>
      </c>
      <c r="AA144" s="515">
        <v>50763.66976398851</v>
      </c>
      <c r="AB144" s="483">
        <f t="shared" si="59"/>
        <v>50763.66976398851</v>
      </c>
      <c r="AC144" s="483"/>
      <c r="AD144" s="543">
        <f t="shared" si="60"/>
        <v>50763.66976398851</v>
      </c>
      <c r="AE144" s="515">
        <v>40780</v>
      </c>
      <c r="AF144" s="483">
        <f t="shared" si="61"/>
        <v>40780</v>
      </c>
      <c r="AG144" s="483"/>
      <c r="AH144" s="543">
        <f t="shared" si="62"/>
        <v>40780</v>
      </c>
      <c r="AI144" s="520">
        <v>70639.288564774324</v>
      </c>
      <c r="AJ144" s="484">
        <f t="shared" si="63"/>
        <v>70639.288564774324</v>
      </c>
      <c r="AK144" s="484"/>
      <c r="AL144" s="545">
        <f t="shared" si="64"/>
        <v>70639.288564774324</v>
      </c>
      <c r="AM144" s="526">
        <v>58238.169016736174</v>
      </c>
      <c r="AN144" s="485">
        <f t="shared" si="65"/>
        <v>58238.169016736174</v>
      </c>
      <c r="AO144" s="485"/>
      <c r="AP144" s="543">
        <f t="shared" si="66"/>
        <v>58238.169016736174</v>
      </c>
      <c r="AQ144" s="530">
        <f t="shared" si="67"/>
        <v>70639.288564774324</v>
      </c>
    </row>
    <row r="145" spans="1:43" x14ac:dyDescent="0.55000000000000004">
      <c r="A145" s="316" t="s">
        <v>368</v>
      </c>
      <c r="B145" s="218" t="s">
        <v>369</v>
      </c>
      <c r="C145" s="218" t="s">
        <v>376</v>
      </c>
      <c r="D145" s="105" t="s">
        <v>377</v>
      </c>
      <c r="E145" s="100"/>
      <c r="F145" s="34"/>
      <c r="G145" s="34"/>
      <c r="H145" s="480">
        <v>176910.11306393327</v>
      </c>
      <c r="I145" s="480" t="s">
        <v>413</v>
      </c>
      <c r="J145" s="490">
        <v>3</v>
      </c>
      <c r="K145" s="504"/>
      <c r="L145" s="482"/>
      <c r="M145" s="482">
        <f t="shared" si="68"/>
        <v>0</v>
      </c>
      <c r="N145" s="536">
        <f t="shared" si="52"/>
        <v>0</v>
      </c>
      <c r="O145" s="496">
        <v>46907.008838449648</v>
      </c>
      <c r="P145" s="483"/>
      <c r="Q145" s="483">
        <f t="shared" si="69"/>
        <v>23453.504419224824</v>
      </c>
      <c r="R145" s="541">
        <f t="shared" si="54"/>
        <v>23453.504419224824</v>
      </c>
      <c r="S145" s="515">
        <v>86913.301038166988</v>
      </c>
      <c r="T145" s="483"/>
      <c r="U145" s="483">
        <f t="shared" si="70"/>
        <v>43456.650519083494</v>
      </c>
      <c r="V145" s="543">
        <f t="shared" si="56"/>
        <v>43456.650519083494</v>
      </c>
      <c r="W145" s="515">
        <v>109863.17813807524</v>
      </c>
      <c r="X145" s="483"/>
      <c r="Y145" s="483">
        <f t="shared" si="71"/>
        <v>54931.589069037618</v>
      </c>
      <c r="Z145" s="543">
        <f t="shared" si="58"/>
        <v>54931.589069037618</v>
      </c>
      <c r="AA145" s="515">
        <v>79757.739660143794</v>
      </c>
      <c r="AB145" s="483"/>
      <c r="AC145" s="483">
        <f t="shared" si="72"/>
        <v>39878.869830071897</v>
      </c>
      <c r="AD145" s="543">
        <f t="shared" si="60"/>
        <v>39878.869830071897</v>
      </c>
      <c r="AE145" s="515">
        <v>29494</v>
      </c>
      <c r="AF145" s="483"/>
      <c r="AG145" s="483">
        <f t="shared" si="73"/>
        <v>14747</v>
      </c>
      <c r="AH145" s="543">
        <f t="shared" si="62"/>
        <v>14747</v>
      </c>
      <c r="AI145" s="520">
        <v>84076.093337314829</v>
      </c>
      <c r="AJ145" s="484"/>
      <c r="AK145" s="484">
        <f t="shared" si="74"/>
        <v>42038.046668657415</v>
      </c>
      <c r="AL145" s="545">
        <f t="shared" si="64"/>
        <v>42038.046668657415</v>
      </c>
      <c r="AM145" s="526">
        <v>106473.6791588487</v>
      </c>
      <c r="AN145" s="485"/>
      <c r="AO145" s="485">
        <f t="shared" si="75"/>
        <v>53236.839579424348</v>
      </c>
      <c r="AP145" s="543">
        <f t="shared" si="66"/>
        <v>53236.839579424348</v>
      </c>
      <c r="AQ145" s="530">
        <f t="shared" si="67"/>
        <v>54931.589069037618</v>
      </c>
    </row>
    <row r="146" spans="1:43" x14ac:dyDescent="0.55000000000000004">
      <c r="A146" s="316" t="s">
        <v>368</v>
      </c>
      <c r="B146" s="218" t="s">
        <v>369</v>
      </c>
      <c r="C146" s="218" t="s">
        <v>378</v>
      </c>
      <c r="D146" s="105" t="s">
        <v>379</v>
      </c>
      <c r="E146" s="100"/>
      <c r="F146" s="34"/>
      <c r="G146" s="34"/>
      <c r="H146" s="480">
        <v>85516.790119838945</v>
      </c>
      <c r="I146" s="480" t="s">
        <v>413</v>
      </c>
      <c r="J146" s="490">
        <v>4</v>
      </c>
      <c r="K146" s="504"/>
      <c r="L146" s="482"/>
      <c r="M146" s="482"/>
      <c r="N146" s="536">
        <f t="shared" si="52"/>
        <v>0</v>
      </c>
      <c r="O146" s="496">
        <v>13282.254049438088</v>
      </c>
      <c r="P146" s="483"/>
      <c r="Q146" s="483"/>
      <c r="R146" s="541">
        <f t="shared" si="54"/>
        <v>0</v>
      </c>
      <c r="S146" s="515">
        <v>49911.369081728808</v>
      </c>
      <c r="T146" s="483"/>
      <c r="U146" s="483"/>
      <c r="V146" s="543">
        <f t="shared" si="56"/>
        <v>0</v>
      </c>
      <c r="W146" s="515">
        <v>48485.941515993887</v>
      </c>
      <c r="X146" s="483"/>
      <c r="Y146" s="483"/>
      <c r="Z146" s="543">
        <f t="shared" si="58"/>
        <v>0</v>
      </c>
      <c r="AA146" s="515">
        <v>48757.59004222045</v>
      </c>
      <c r="AB146" s="483"/>
      <c r="AC146" s="483"/>
      <c r="AD146" s="543">
        <f t="shared" si="60"/>
        <v>0</v>
      </c>
      <c r="AE146" s="515">
        <v>29796</v>
      </c>
      <c r="AF146" s="483"/>
      <c r="AG146" s="483"/>
      <c r="AH146" s="543">
        <f t="shared" si="62"/>
        <v>0</v>
      </c>
      <c r="AI146" s="520">
        <v>44565.087808930155</v>
      </c>
      <c r="AJ146" s="484"/>
      <c r="AK146" s="484"/>
      <c r="AL146" s="545">
        <f t="shared" si="64"/>
        <v>0</v>
      </c>
      <c r="AM146" s="526">
        <v>65721.236851357709</v>
      </c>
      <c r="AN146" s="485"/>
      <c r="AO146" s="485"/>
      <c r="AP146" s="543">
        <f t="shared" si="66"/>
        <v>0</v>
      </c>
      <c r="AQ146" s="530">
        <f t="shared" si="67"/>
        <v>0</v>
      </c>
    </row>
    <row r="147" spans="1:43" x14ac:dyDescent="0.55000000000000004">
      <c r="A147" s="316" t="s">
        <v>368</v>
      </c>
      <c r="B147" s="218" t="s">
        <v>369</v>
      </c>
      <c r="C147" s="218" t="s">
        <v>380</v>
      </c>
      <c r="D147" s="105" t="s">
        <v>381</v>
      </c>
      <c r="E147" s="100"/>
      <c r="F147" s="34"/>
      <c r="G147" s="34"/>
      <c r="H147" s="480">
        <v>56495.39881084334</v>
      </c>
      <c r="I147" s="480" t="s">
        <v>413</v>
      </c>
      <c r="J147" s="490">
        <v>1</v>
      </c>
      <c r="K147" s="504"/>
      <c r="L147" s="482">
        <f t="shared" si="51"/>
        <v>0</v>
      </c>
      <c r="M147" s="482"/>
      <c r="N147" s="536">
        <f t="shared" si="52"/>
        <v>0</v>
      </c>
      <c r="O147" s="496">
        <v>6937.7479647691844</v>
      </c>
      <c r="P147" s="483">
        <f t="shared" si="53"/>
        <v>6937.7479647691844</v>
      </c>
      <c r="Q147" s="483"/>
      <c r="R147" s="541">
        <f t="shared" si="54"/>
        <v>6937.7479647691844</v>
      </c>
      <c r="S147" s="515">
        <v>30593.112727266733</v>
      </c>
      <c r="T147" s="483">
        <f t="shared" si="55"/>
        <v>30593.112727266733</v>
      </c>
      <c r="U147" s="483"/>
      <c r="V147" s="543">
        <f t="shared" si="56"/>
        <v>30593.112727266733</v>
      </c>
      <c r="W147" s="515">
        <v>32963.972271729072</v>
      </c>
      <c r="X147" s="483">
        <f t="shared" si="57"/>
        <v>32963.972271729072</v>
      </c>
      <c r="Y147" s="483"/>
      <c r="Z147" s="543">
        <f t="shared" si="58"/>
        <v>0</v>
      </c>
      <c r="AA147" s="515">
        <v>34129.817761062943</v>
      </c>
      <c r="AB147" s="483">
        <f t="shared" si="59"/>
        <v>34129.817761062943</v>
      </c>
      <c r="AC147" s="483"/>
      <c r="AD147" s="543">
        <f t="shared" si="60"/>
        <v>34129.817761062943</v>
      </c>
      <c r="AE147" s="515">
        <v>19172</v>
      </c>
      <c r="AF147" s="483">
        <f t="shared" si="61"/>
        <v>19172</v>
      </c>
      <c r="AG147" s="483"/>
      <c r="AH147" s="543">
        <f t="shared" si="62"/>
        <v>19172</v>
      </c>
      <c r="AI147" s="520">
        <v>17383.199634105644</v>
      </c>
      <c r="AJ147" s="484">
        <f t="shared" si="63"/>
        <v>17383.199634105644</v>
      </c>
      <c r="AK147" s="484"/>
      <c r="AL147" s="545">
        <f t="shared" si="64"/>
        <v>17383.199634105644</v>
      </c>
      <c r="AM147" s="526">
        <v>25632.171682697448</v>
      </c>
      <c r="AN147" s="485">
        <f t="shared" si="65"/>
        <v>25632.171682697448</v>
      </c>
      <c r="AO147" s="485"/>
      <c r="AP147" s="543">
        <f t="shared" si="66"/>
        <v>25632.171682697448</v>
      </c>
      <c r="AQ147" s="530">
        <f t="shared" si="67"/>
        <v>34129.817761062943</v>
      </c>
    </row>
    <row r="148" spans="1:43" x14ac:dyDescent="0.55000000000000004">
      <c r="A148" s="316" t="s">
        <v>382</v>
      </c>
      <c r="B148" s="218" t="s">
        <v>383</v>
      </c>
      <c r="C148" s="218" t="s">
        <v>384</v>
      </c>
      <c r="D148" s="105" t="s">
        <v>385</v>
      </c>
      <c r="E148" s="100"/>
      <c r="F148" s="34"/>
      <c r="G148" s="34"/>
      <c r="H148" s="480">
        <v>178742.31540837008</v>
      </c>
      <c r="I148" s="480" t="s">
        <v>413</v>
      </c>
      <c r="J148" s="490">
        <v>4</v>
      </c>
      <c r="K148" s="504"/>
      <c r="L148" s="482"/>
      <c r="M148" s="482"/>
      <c r="N148" s="536">
        <f t="shared" si="52"/>
        <v>0</v>
      </c>
      <c r="O148" s="496">
        <v>36544.688599892135</v>
      </c>
      <c r="P148" s="483"/>
      <c r="Q148" s="483"/>
      <c r="R148" s="541">
        <f t="shared" si="54"/>
        <v>0</v>
      </c>
      <c r="S148" s="515">
        <v>71792.511876647914</v>
      </c>
      <c r="T148" s="483"/>
      <c r="U148" s="483"/>
      <c r="V148" s="543">
        <f t="shared" si="56"/>
        <v>0</v>
      </c>
      <c r="W148" s="515">
        <v>54701.095765878286</v>
      </c>
      <c r="X148" s="483"/>
      <c r="Y148" s="483"/>
      <c r="Z148" s="543">
        <f t="shared" si="58"/>
        <v>0</v>
      </c>
      <c r="AA148" s="515">
        <v>92905.123157415932</v>
      </c>
      <c r="AB148" s="483"/>
      <c r="AC148" s="483"/>
      <c r="AD148" s="543">
        <f t="shared" si="60"/>
        <v>0</v>
      </c>
      <c r="AE148" s="515">
        <v>30952</v>
      </c>
      <c r="AF148" s="483"/>
      <c r="AG148" s="483"/>
      <c r="AH148" s="543">
        <f t="shared" si="62"/>
        <v>0</v>
      </c>
      <c r="AI148" s="520">
        <v>70264.220539842034</v>
      </c>
      <c r="AJ148" s="484"/>
      <c r="AK148" s="484"/>
      <c r="AL148" s="545">
        <f t="shared" si="64"/>
        <v>0</v>
      </c>
      <c r="AM148" s="526">
        <v>127436.650800412</v>
      </c>
      <c r="AN148" s="485"/>
      <c r="AO148" s="485"/>
      <c r="AP148" s="543">
        <f t="shared" si="66"/>
        <v>0</v>
      </c>
      <c r="AQ148" s="530">
        <f t="shared" si="67"/>
        <v>0</v>
      </c>
    </row>
    <row r="149" spans="1:43" x14ac:dyDescent="0.55000000000000004">
      <c r="A149" s="316" t="s">
        <v>382</v>
      </c>
      <c r="B149" s="218" t="s">
        <v>383</v>
      </c>
      <c r="C149" s="218" t="s">
        <v>386</v>
      </c>
      <c r="D149" s="105" t="s">
        <v>387</v>
      </c>
      <c r="E149" s="100"/>
      <c r="F149" s="34"/>
      <c r="G149" s="34"/>
      <c r="H149" s="480">
        <v>37008.275019605207</v>
      </c>
      <c r="I149" s="480" t="s">
        <v>413</v>
      </c>
      <c r="J149" s="490">
        <v>3</v>
      </c>
      <c r="K149" s="504"/>
      <c r="L149" s="482"/>
      <c r="M149" s="482">
        <f t="shared" si="68"/>
        <v>0</v>
      </c>
      <c r="N149" s="536">
        <f t="shared" si="52"/>
        <v>0</v>
      </c>
      <c r="O149" s="496">
        <v>9740.8185389477185</v>
      </c>
      <c r="P149" s="483"/>
      <c r="Q149" s="483">
        <f t="shared" si="69"/>
        <v>4870.4092694738592</v>
      </c>
      <c r="R149" s="541">
        <f t="shared" si="54"/>
        <v>4870.4092694738592</v>
      </c>
      <c r="S149" s="515">
        <v>15260.32923411262</v>
      </c>
      <c r="T149" s="483"/>
      <c r="U149" s="483">
        <f t="shared" si="70"/>
        <v>7630.1646170563099</v>
      </c>
      <c r="V149" s="543">
        <f t="shared" si="56"/>
        <v>7630.1646170563099</v>
      </c>
      <c r="W149" s="515">
        <v>19251.330016565855</v>
      </c>
      <c r="X149" s="483"/>
      <c r="Y149" s="483">
        <f t="shared" si="71"/>
        <v>9625.6650082829274</v>
      </c>
      <c r="Z149" s="543">
        <f t="shared" si="58"/>
        <v>9625.6650082829274</v>
      </c>
      <c r="AA149" s="515">
        <v>19192.902815265665</v>
      </c>
      <c r="AB149" s="483"/>
      <c r="AC149" s="483">
        <f t="shared" si="72"/>
        <v>9596.4514076328323</v>
      </c>
      <c r="AD149" s="543">
        <f t="shared" si="60"/>
        <v>9596.4514076328323</v>
      </c>
      <c r="AE149" s="515">
        <v>6609</v>
      </c>
      <c r="AF149" s="483"/>
      <c r="AG149" s="483">
        <f t="shared" si="73"/>
        <v>3304.5</v>
      </c>
      <c r="AH149" s="543">
        <f t="shared" si="62"/>
        <v>3304.5</v>
      </c>
      <c r="AI149" s="520">
        <v>0</v>
      </c>
      <c r="AJ149" s="484"/>
      <c r="AK149" s="484">
        <f t="shared" si="74"/>
        <v>0</v>
      </c>
      <c r="AL149" s="545">
        <f t="shared" si="64"/>
        <v>0</v>
      </c>
      <c r="AM149" s="526">
        <v>9594.7379680457962</v>
      </c>
      <c r="AN149" s="485"/>
      <c r="AO149" s="485">
        <f t="shared" si="75"/>
        <v>4797.3689840228981</v>
      </c>
      <c r="AP149" s="543">
        <f t="shared" si="66"/>
        <v>4797.3689840228981</v>
      </c>
      <c r="AQ149" s="530">
        <f t="shared" si="67"/>
        <v>9625.6650082829274</v>
      </c>
    </row>
    <row r="150" spans="1:43" x14ac:dyDescent="0.55000000000000004">
      <c r="A150" s="316" t="s">
        <v>382</v>
      </c>
      <c r="B150" s="218" t="s">
        <v>383</v>
      </c>
      <c r="C150" s="218" t="s">
        <v>388</v>
      </c>
      <c r="D150" s="105" t="s">
        <v>389</v>
      </c>
      <c r="E150" s="100"/>
      <c r="F150" s="34"/>
      <c r="G150" s="34"/>
      <c r="H150" s="480">
        <v>225180.53774946873</v>
      </c>
      <c r="I150" s="480" t="s">
        <v>413</v>
      </c>
      <c r="J150" s="490">
        <v>4</v>
      </c>
      <c r="K150" s="504"/>
      <c r="L150" s="482"/>
      <c r="M150" s="482"/>
      <c r="N150" s="536">
        <f t="shared" si="52"/>
        <v>0</v>
      </c>
      <c r="O150" s="496">
        <v>30693.36830626399</v>
      </c>
      <c r="P150" s="483"/>
      <c r="Q150" s="483"/>
      <c r="R150" s="541">
        <f t="shared" si="54"/>
        <v>0</v>
      </c>
      <c r="S150" s="515">
        <v>92382.929493153322</v>
      </c>
      <c r="T150" s="483"/>
      <c r="U150" s="483"/>
      <c r="V150" s="543">
        <f t="shared" si="56"/>
        <v>0</v>
      </c>
      <c r="W150" s="515">
        <v>111624.95265472641</v>
      </c>
      <c r="X150" s="483"/>
      <c r="Y150" s="483"/>
      <c r="Z150" s="543">
        <f t="shared" si="58"/>
        <v>0</v>
      </c>
      <c r="AA150" s="515">
        <v>102556.50979852382</v>
      </c>
      <c r="AB150" s="483"/>
      <c r="AC150" s="483"/>
      <c r="AD150" s="543">
        <f t="shared" si="60"/>
        <v>0</v>
      </c>
      <c r="AE150" s="515">
        <v>35550</v>
      </c>
      <c r="AF150" s="483"/>
      <c r="AG150" s="483"/>
      <c r="AH150" s="543">
        <f t="shared" si="62"/>
        <v>0</v>
      </c>
      <c r="AI150" s="520">
        <v>54353.922905044179</v>
      </c>
      <c r="AJ150" s="484"/>
      <c r="AK150" s="484"/>
      <c r="AL150" s="545">
        <f t="shared" si="64"/>
        <v>0</v>
      </c>
      <c r="AM150" s="526">
        <v>97995.234020602133</v>
      </c>
      <c r="AN150" s="485"/>
      <c r="AO150" s="485"/>
      <c r="AP150" s="543">
        <f t="shared" si="66"/>
        <v>0</v>
      </c>
      <c r="AQ150" s="530">
        <f t="shared" si="67"/>
        <v>0</v>
      </c>
    </row>
    <row r="151" spans="1:43" x14ac:dyDescent="0.55000000000000004">
      <c r="A151" s="316" t="s">
        <v>390</v>
      </c>
      <c r="B151" s="218" t="s">
        <v>391</v>
      </c>
      <c r="C151" s="218" t="s">
        <v>392</v>
      </c>
      <c r="D151" s="105" t="s">
        <v>393</v>
      </c>
      <c r="E151" s="100"/>
      <c r="F151" s="34"/>
      <c r="G151" s="34"/>
      <c r="H151" s="480">
        <v>73520.181474041485</v>
      </c>
      <c r="I151" s="480" t="s">
        <v>413</v>
      </c>
      <c r="J151" s="490">
        <v>3</v>
      </c>
      <c r="K151" s="504"/>
      <c r="L151" s="482"/>
      <c r="M151" s="482">
        <f t="shared" si="68"/>
        <v>0</v>
      </c>
      <c r="N151" s="536">
        <f t="shared" si="52"/>
        <v>0</v>
      </c>
      <c r="O151" s="496">
        <v>16171.535877120903</v>
      </c>
      <c r="P151" s="483"/>
      <c r="Q151" s="483">
        <f t="shared" si="69"/>
        <v>8085.7679385604515</v>
      </c>
      <c r="R151" s="541">
        <f t="shared" si="54"/>
        <v>8085.7679385604515</v>
      </c>
      <c r="S151" s="515">
        <v>36066.523335321421</v>
      </c>
      <c r="T151" s="483"/>
      <c r="U151" s="483">
        <f t="shared" si="70"/>
        <v>18033.26166766071</v>
      </c>
      <c r="V151" s="543">
        <f t="shared" si="56"/>
        <v>18033.26166766071</v>
      </c>
      <c r="W151" s="515">
        <v>13143.564910079635</v>
      </c>
      <c r="X151" s="483"/>
      <c r="Y151" s="483">
        <f t="shared" si="71"/>
        <v>6571.7824550398173</v>
      </c>
      <c r="Z151" s="543">
        <f t="shared" si="58"/>
        <v>6571.7824550398173</v>
      </c>
      <c r="AA151" s="515">
        <v>36337.325866056002</v>
      </c>
      <c r="AB151" s="483"/>
      <c r="AC151" s="483">
        <f t="shared" si="72"/>
        <v>18168.662933028001</v>
      </c>
      <c r="AD151" s="543">
        <f t="shared" si="60"/>
        <v>18168.662933028001</v>
      </c>
      <c r="AE151" s="515">
        <v>12761</v>
      </c>
      <c r="AF151" s="483"/>
      <c r="AG151" s="483">
        <f t="shared" si="73"/>
        <v>6380.5</v>
      </c>
      <c r="AH151" s="543">
        <f t="shared" si="62"/>
        <v>6380.5</v>
      </c>
      <c r="AI151" s="520">
        <v>29249.964672468115</v>
      </c>
      <c r="AJ151" s="484"/>
      <c r="AK151" s="484">
        <f t="shared" si="74"/>
        <v>14624.982336234058</v>
      </c>
      <c r="AL151" s="545">
        <f t="shared" si="64"/>
        <v>14624.982336234058</v>
      </c>
      <c r="AM151" s="526">
        <v>54459.393684475173</v>
      </c>
      <c r="AN151" s="485"/>
      <c r="AO151" s="485">
        <f t="shared" si="75"/>
        <v>27229.696842237587</v>
      </c>
      <c r="AP151" s="543">
        <f t="shared" si="66"/>
        <v>27229.696842237587</v>
      </c>
      <c r="AQ151" s="530">
        <f t="shared" si="67"/>
        <v>27229.696842237587</v>
      </c>
    </row>
    <row r="152" spans="1:43" x14ac:dyDescent="0.55000000000000004">
      <c r="A152" s="316" t="s">
        <v>390</v>
      </c>
      <c r="B152" s="218" t="s">
        <v>391</v>
      </c>
      <c r="C152" s="218" t="s">
        <v>394</v>
      </c>
      <c r="D152" s="105" t="s">
        <v>395</v>
      </c>
      <c r="E152" s="100"/>
      <c r="F152" s="34"/>
      <c r="G152" s="34"/>
      <c r="H152" s="480">
        <v>47140.450098552225</v>
      </c>
      <c r="I152" s="480" t="s">
        <v>413</v>
      </c>
      <c r="J152" s="490">
        <v>5</v>
      </c>
      <c r="K152" s="504"/>
      <c r="L152" s="482"/>
      <c r="M152" s="482"/>
      <c r="N152" s="536">
        <f t="shared" si="52"/>
        <v>0</v>
      </c>
      <c r="O152" s="496">
        <v>6753.435162018789</v>
      </c>
      <c r="P152" s="483"/>
      <c r="Q152" s="483"/>
      <c r="R152" s="541">
        <f t="shared" si="54"/>
        <v>0</v>
      </c>
      <c r="S152" s="515">
        <v>20826.863886890918</v>
      </c>
      <c r="T152" s="483"/>
      <c r="U152" s="483"/>
      <c r="V152" s="543">
        <f t="shared" si="56"/>
        <v>0</v>
      </c>
      <c r="W152" s="515">
        <v>11877.998300213296</v>
      </c>
      <c r="X152" s="483"/>
      <c r="Y152" s="483"/>
      <c r="Z152" s="543">
        <f t="shared" si="58"/>
        <v>0</v>
      </c>
      <c r="AA152" s="515">
        <v>20492.844907836869</v>
      </c>
      <c r="AB152" s="483"/>
      <c r="AC152" s="483"/>
      <c r="AD152" s="543">
        <f t="shared" si="60"/>
        <v>0</v>
      </c>
      <c r="AE152" s="515">
        <v>9428</v>
      </c>
      <c r="AF152" s="483"/>
      <c r="AG152" s="483"/>
      <c r="AH152" s="543">
        <f t="shared" si="62"/>
        <v>0</v>
      </c>
      <c r="AI152" s="520">
        <v>17495.424778844124</v>
      </c>
      <c r="AJ152" s="484"/>
      <c r="AK152" s="484"/>
      <c r="AL152" s="545">
        <f t="shared" si="64"/>
        <v>0</v>
      </c>
      <c r="AM152" s="526">
        <v>40156.679713581529</v>
      </c>
      <c r="AN152" s="485"/>
      <c r="AO152" s="485"/>
      <c r="AP152" s="543">
        <f t="shared" si="66"/>
        <v>0</v>
      </c>
      <c r="AQ152" s="530">
        <f t="shared" si="67"/>
        <v>0</v>
      </c>
    </row>
    <row r="153" spans="1:43" x14ac:dyDescent="0.55000000000000004">
      <c r="A153" s="316" t="s">
        <v>390</v>
      </c>
      <c r="B153" s="218" t="s">
        <v>391</v>
      </c>
      <c r="C153" s="218" t="s">
        <v>396</v>
      </c>
      <c r="D153" s="105" t="s">
        <v>397</v>
      </c>
      <c r="E153" s="100"/>
      <c r="F153" s="34"/>
      <c r="G153" s="34"/>
      <c r="H153" s="480">
        <v>80255.412925910496</v>
      </c>
      <c r="I153" s="480" t="s">
        <v>413</v>
      </c>
      <c r="J153" s="490">
        <v>5</v>
      </c>
      <c r="K153" s="504"/>
      <c r="L153" s="482"/>
      <c r="M153" s="482"/>
      <c r="N153" s="536">
        <f t="shared" si="52"/>
        <v>0</v>
      </c>
      <c r="O153" s="496">
        <v>12532.89394658379</v>
      </c>
      <c r="P153" s="483"/>
      <c r="Q153" s="483"/>
      <c r="R153" s="541">
        <f t="shared" si="54"/>
        <v>0</v>
      </c>
      <c r="S153" s="515">
        <v>46265.718799877228</v>
      </c>
      <c r="T153" s="483"/>
      <c r="U153" s="483"/>
      <c r="V153" s="543">
        <f t="shared" si="56"/>
        <v>0</v>
      </c>
      <c r="W153" s="515">
        <v>20354.541316277235</v>
      </c>
      <c r="X153" s="483"/>
      <c r="Y153" s="483"/>
      <c r="Z153" s="543">
        <f t="shared" si="58"/>
        <v>0</v>
      </c>
      <c r="AA153" s="515">
        <v>31521.004525350756</v>
      </c>
      <c r="AB153" s="483"/>
      <c r="AC153" s="483"/>
      <c r="AD153" s="543">
        <f t="shared" si="60"/>
        <v>0</v>
      </c>
      <c r="AE153" s="515">
        <v>24696</v>
      </c>
      <c r="AF153" s="483"/>
      <c r="AG153" s="483"/>
      <c r="AH153" s="543">
        <f t="shared" si="62"/>
        <v>0</v>
      </c>
      <c r="AI153" s="520">
        <v>22224.575887175215</v>
      </c>
      <c r="AJ153" s="484"/>
      <c r="AK153" s="484"/>
      <c r="AL153" s="545">
        <f t="shared" si="64"/>
        <v>0</v>
      </c>
      <c r="AM153" s="526">
        <v>57962.24266871313</v>
      </c>
      <c r="AN153" s="485"/>
      <c r="AO153" s="485"/>
      <c r="AP153" s="543">
        <f t="shared" si="66"/>
        <v>0</v>
      </c>
      <c r="AQ153" s="530">
        <f t="shared" si="67"/>
        <v>0</v>
      </c>
    </row>
    <row r="154" spans="1:43" x14ac:dyDescent="0.55000000000000004">
      <c r="A154" s="316" t="s">
        <v>390</v>
      </c>
      <c r="B154" s="218" t="s">
        <v>391</v>
      </c>
      <c r="C154" s="218" t="s">
        <v>398</v>
      </c>
      <c r="D154" s="105" t="s">
        <v>399</v>
      </c>
      <c r="E154" s="100"/>
      <c r="F154" s="34"/>
      <c r="G154" s="34"/>
      <c r="H154" s="480">
        <v>64180.342035561967</v>
      </c>
      <c r="I154" s="480" t="s">
        <v>413</v>
      </c>
      <c r="J154" s="490">
        <v>5</v>
      </c>
      <c r="K154" s="504"/>
      <c r="L154" s="482"/>
      <c r="M154" s="482"/>
      <c r="N154" s="536">
        <f t="shared" si="52"/>
        <v>0</v>
      </c>
      <c r="O154" s="496">
        <v>1008.8636325254056</v>
      </c>
      <c r="P154" s="483"/>
      <c r="Q154" s="483"/>
      <c r="R154" s="541">
        <f t="shared" si="54"/>
        <v>0</v>
      </c>
      <c r="S154" s="515">
        <v>34046.698988476506</v>
      </c>
      <c r="T154" s="483"/>
      <c r="U154" s="483"/>
      <c r="V154" s="543">
        <f t="shared" si="56"/>
        <v>0</v>
      </c>
      <c r="W154" s="515">
        <v>27608.178938631787</v>
      </c>
      <c r="X154" s="483"/>
      <c r="Y154" s="483"/>
      <c r="Z154" s="543">
        <f t="shared" si="58"/>
        <v>0</v>
      </c>
      <c r="AA154" s="515">
        <v>30949.569079725894</v>
      </c>
      <c r="AB154" s="483"/>
      <c r="AC154" s="483"/>
      <c r="AD154" s="543">
        <f t="shared" si="60"/>
        <v>0</v>
      </c>
      <c r="AE154" s="515">
        <v>21894</v>
      </c>
      <c r="AF154" s="483"/>
      <c r="AG154" s="483"/>
      <c r="AH154" s="543">
        <f t="shared" si="62"/>
        <v>0</v>
      </c>
      <c r="AI154" s="520">
        <v>15281.033817990945</v>
      </c>
      <c r="AJ154" s="484"/>
      <c r="AK154" s="484"/>
      <c r="AL154" s="545">
        <f t="shared" si="64"/>
        <v>0</v>
      </c>
      <c r="AM154" s="526">
        <v>39815.582559098635</v>
      </c>
      <c r="AN154" s="485"/>
      <c r="AO154" s="485"/>
      <c r="AP154" s="543">
        <f t="shared" si="66"/>
        <v>0</v>
      </c>
      <c r="AQ154" s="530">
        <f t="shared" si="67"/>
        <v>0</v>
      </c>
    </row>
    <row r="155" spans="1:43" x14ac:dyDescent="0.55000000000000004">
      <c r="A155" s="316" t="s">
        <v>390</v>
      </c>
      <c r="B155" s="218" t="s">
        <v>391</v>
      </c>
      <c r="C155" s="218" t="s">
        <v>400</v>
      </c>
      <c r="D155" s="105" t="s">
        <v>401</v>
      </c>
      <c r="E155" s="100"/>
      <c r="F155" s="34"/>
      <c r="G155" s="34"/>
      <c r="H155" s="480">
        <v>37549.507730213714</v>
      </c>
      <c r="I155" s="480" t="s">
        <v>413</v>
      </c>
      <c r="J155" s="490">
        <v>5</v>
      </c>
      <c r="K155" s="504"/>
      <c r="L155" s="482"/>
      <c r="M155" s="482"/>
      <c r="N155" s="536">
        <f t="shared" si="52"/>
        <v>0</v>
      </c>
      <c r="O155" s="496">
        <v>3086.1189413308048</v>
      </c>
      <c r="P155" s="483"/>
      <c r="Q155" s="483"/>
      <c r="R155" s="541">
        <f t="shared" si="54"/>
        <v>0</v>
      </c>
      <c r="S155" s="515">
        <v>20359.407042341969</v>
      </c>
      <c r="T155" s="483"/>
      <c r="U155" s="483"/>
      <c r="V155" s="543">
        <f t="shared" si="56"/>
        <v>0</v>
      </c>
      <c r="W155" s="515">
        <v>14436.659785096421</v>
      </c>
      <c r="X155" s="483"/>
      <c r="Y155" s="483"/>
      <c r="Z155" s="543">
        <f t="shared" si="58"/>
        <v>0</v>
      </c>
      <c r="AA155" s="515">
        <v>18629.294202189416</v>
      </c>
      <c r="AB155" s="483"/>
      <c r="AC155" s="483"/>
      <c r="AD155" s="543">
        <f t="shared" si="60"/>
        <v>0</v>
      </c>
      <c r="AE155" s="515">
        <v>12595</v>
      </c>
      <c r="AF155" s="483"/>
      <c r="AG155" s="483"/>
      <c r="AH155" s="543">
        <f t="shared" si="62"/>
        <v>0</v>
      </c>
      <c r="AI155" s="520">
        <v>15461.562006558588</v>
      </c>
      <c r="AJ155" s="484"/>
      <c r="AK155" s="484"/>
      <c r="AL155" s="545">
        <f t="shared" si="64"/>
        <v>0</v>
      </c>
      <c r="AM155" s="526">
        <v>14223.298382656711</v>
      </c>
      <c r="AN155" s="485"/>
      <c r="AO155" s="485"/>
      <c r="AP155" s="543">
        <f t="shared" si="66"/>
        <v>0</v>
      </c>
      <c r="AQ155" s="530">
        <f t="shared" si="67"/>
        <v>0</v>
      </c>
    </row>
    <row r="156" spans="1:43" x14ac:dyDescent="0.55000000000000004">
      <c r="A156" s="316" t="s">
        <v>390</v>
      </c>
      <c r="B156" s="218" t="s">
        <v>391</v>
      </c>
      <c r="C156" s="218" t="s">
        <v>402</v>
      </c>
      <c r="D156" s="105" t="s">
        <v>403</v>
      </c>
      <c r="E156" s="100"/>
      <c r="F156" s="34"/>
      <c r="G156" s="34"/>
      <c r="H156" s="480">
        <v>57305.25569680793</v>
      </c>
      <c r="I156" s="480" t="s">
        <v>413</v>
      </c>
      <c r="J156" s="490">
        <v>5</v>
      </c>
      <c r="K156" s="504"/>
      <c r="L156" s="482"/>
      <c r="M156" s="482"/>
      <c r="N156" s="536">
        <f t="shared" si="52"/>
        <v>0</v>
      </c>
      <c r="O156" s="496">
        <v>4644.4763637148881</v>
      </c>
      <c r="P156" s="483"/>
      <c r="Q156" s="483"/>
      <c r="R156" s="541">
        <f t="shared" si="54"/>
        <v>0</v>
      </c>
      <c r="S156" s="515">
        <v>26042.618213549027</v>
      </c>
      <c r="T156" s="483"/>
      <c r="U156" s="483"/>
      <c r="V156" s="543">
        <f t="shared" si="56"/>
        <v>0</v>
      </c>
      <c r="W156" s="515">
        <v>33121.614517212045</v>
      </c>
      <c r="X156" s="483"/>
      <c r="Y156" s="483"/>
      <c r="Z156" s="543">
        <f t="shared" si="58"/>
        <v>0</v>
      </c>
      <c r="AA156" s="515">
        <v>26440.849003206466</v>
      </c>
      <c r="AB156" s="483"/>
      <c r="AC156" s="483"/>
      <c r="AD156" s="543">
        <f t="shared" si="60"/>
        <v>0</v>
      </c>
      <c r="AE156" s="515">
        <v>9671</v>
      </c>
      <c r="AF156" s="483"/>
      <c r="AG156" s="483"/>
      <c r="AH156" s="543">
        <f t="shared" si="62"/>
        <v>0</v>
      </c>
      <c r="AI156" s="520">
        <v>39397.363291555448</v>
      </c>
      <c r="AJ156" s="484"/>
      <c r="AK156" s="484"/>
      <c r="AL156" s="545">
        <f t="shared" si="64"/>
        <v>0</v>
      </c>
      <c r="AM156" s="526">
        <v>26530.210970744411</v>
      </c>
      <c r="AN156" s="485"/>
      <c r="AO156" s="485"/>
      <c r="AP156" s="543">
        <f t="shared" si="66"/>
        <v>0</v>
      </c>
      <c r="AQ156" s="530">
        <f t="shared" si="67"/>
        <v>0</v>
      </c>
    </row>
    <row r="157" spans="1:43" x14ac:dyDescent="0.55000000000000004">
      <c r="A157" s="316" t="s">
        <v>390</v>
      </c>
      <c r="B157" s="218" t="s">
        <v>391</v>
      </c>
      <c r="C157" s="218" t="s">
        <v>404</v>
      </c>
      <c r="D157" s="105" t="s">
        <v>405</v>
      </c>
      <c r="E157" s="100"/>
      <c r="F157" s="34"/>
      <c r="G157" s="34"/>
      <c r="H157" s="480">
        <v>20533.496005228379</v>
      </c>
      <c r="I157" s="480" t="s">
        <v>413</v>
      </c>
      <c r="J157" s="490">
        <v>2</v>
      </c>
      <c r="K157" s="504"/>
      <c r="L157" s="482">
        <f t="shared" si="51"/>
        <v>0</v>
      </c>
      <c r="M157" s="482"/>
      <c r="N157" s="536">
        <f t="shared" si="52"/>
        <v>0</v>
      </c>
      <c r="O157" s="496">
        <v>1339.5888525842954</v>
      </c>
      <c r="P157" s="483">
        <f t="shared" si="53"/>
        <v>1339.5888525842954</v>
      </c>
      <c r="Q157" s="483"/>
      <c r="R157" s="541">
        <f t="shared" si="54"/>
        <v>1339.5888525842954</v>
      </c>
      <c r="S157" s="515">
        <v>8983.5200652778312</v>
      </c>
      <c r="T157" s="483">
        <f t="shared" si="55"/>
        <v>8983.5200652778312</v>
      </c>
      <c r="U157" s="483"/>
      <c r="V157" s="543">
        <f t="shared" si="56"/>
        <v>8983.5200652778312</v>
      </c>
      <c r="W157" s="515">
        <v>11407.842529438098</v>
      </c>
      <c r="X157" s="483">
        <f t="shared" si="57"/>
        <v>11407.842529438098</v>
      </c>
      <c r="Y157" s="483"/>
      <c r="Z157" s="543">
        <f t="shared" si="58"/>
        <v>0</v>
      </c>
      <c r="AA157" s="515">
        <v>11103.202465375422</v>
      </c>
      <c r="AB157" s="483">
        <f t="shared" si="59"/>
        <v>11103.202465375422</v>
      </c>
      <c r="AC157" s="483"/>
      <c r="AD157" s="543">
        <f t="shared" si="60"/>
        <v>11103.202465375422</v>
      </c>
      <c r="AE157" s="515">
        <v>6954</v>
      </c>
      <c r="AF157" s="483">
        <f t="shared" si="61"/>
        <v>6954</v>
      </c>
      <c r="AG157" s="483"/>
      <c r="AH157" s="543">
        <f t="shared" si="62"/>
        <v>6954</v>
      </c>
      <c r="AI157" s="520">
        <v>4297.7084662105908</v>
      </c>
      <c r="AJ157" s="484">
        <f t="shared" si="63"/>
        <v>4297.7084662105908</v>
      </c>
      <c r="AK157" s="484"/>
      <c r="AL157" s="545">
        <f t="shared" si="64"/>
        <v>4297.7084662105908</v>
      </c>
      <c r="AM157" s="526">
        <v>13688.99733681892</v>
      </c>
      <c r="AN157" s="485">
        <f t="shared" si="65"/>
        <v>13688.99733681892</v>
      </c>
      <c r="AO157" s="485"/>
      <c r="AP157" s="543">
        <f t="shared" si="66"/>
        <v>13688.99733681892</v>
      </c>
      <c r="AQ157" s="530">
        <f t="shared" si="67"/>
        <v>13688.99733681892</v>
      </c>
    </row>
    <row r="158" spans="1:43" x14ac:dyDescent="0.55000000000000004">
      <c r="A158" s="316" t="s">
        <v>390</v>
      </c>
      <c r="B158" s="218" t="s">
        <v>391</v>
      </c>
      <c r="C158" s="218" t="s">
        <v>406</v>
      </c>
      <c r="D158" s="105" t="s">
        <v>407</v>
      </c>
      <c r="E158" s="100"/>
      <c r="F158" s="34"/>
      <c r="G158" s="34"/>
      <c r="H158" s="480">
        <v>65499.917413585019</v>
      </c>
      <c r="I158" s="480" t="s">
        <v>413</v>
      </c>
      <c r="J158" s="490">
        <v>5</v>
      </c>
      <c r="K158" s="504"/>
      <c r="L158" s="482"/>
      <c r="M158" s="482"/>
      <c r="N158" s="536">
        <f t="shared" si="52"/>
        <v>0</v>
      </c>
      <c r="O158" s="496">
        <v>12547.347579515104</v>
      </c>
      <c r="P158" s="483"/>
      <c r="Q158" s="483"/>
      <c r="R158" s="541">
        <f t="shared" si="54"/>
        <v>0</v>
      </c>
      <c r="S158" s="515">
        <v>35263.479435482092</v>
      </c>
      <c r="T158" s="483"/>
      <c r="U158" s="483"/>
      <c r="V158" s="543">
        <f t="shared" si="56"/>
        <v>0</v>
      </c>
      <c r="W158" s="515">
        <v>12721.227834511414</v>
      </c>
      <c r="X158" s="483"/>
      <c r="Y158" s="483"/>
      <c r="Z158" s="543">
        <f t="shared" si="58"/>
        <v>0</v>
      </c>
      <c r="AA158" s="515">
        <v>28458.77568084903</v>
      </c>
      <c r="AB158" s="483"/>
      <c r="AC158" s="483"/>
      <c r="AD158" s="543">
        <f t="shared" si="60"/>
        <v>0</v>
      </c>
      <c r="AE158" s="515">
        <v>11528</v>
      </c>
      <c r="AF158" s="483"/>
      <c r="AG158" s="483"/>
      <c r="AH158" s="543">
        <f t="shared" si="62"/>
        <v>0</v>
      </c>
      <c r="AI158" s="520">
        <v>46989.071188006637</v>
      </c>
      <c r="AJ158" s="484"/>
      <c r="AK158" s="484"/>
      <c r="AL158" s="545">
        <f t="shared" si="64"/>
        <v>0</v>
      </c>
      <c r="AM158" s="526">
        <v>51550.860927358575</v>
      </c>
      <c r="AN158" s="485"/>
      <c r="AO158" s="485"/>
      <c r="AP158" s="543">
        <f t="shared" si="66"/>
        <v>0</v>
      </c>
      <c r="AQ158" s="530">
        <f t="shared" si="67"/>
        <v>0</v>
      </c>
    </row>
    <row r="159" spans="1:43" x14ac:dyDescent="0.55000000000000004">
      <c r="A159" s="316" t="s">
        <v>390</v>
      </c>
      <c r="B159" s="218" t="s">
        <v>391</v>
      </c>
      <c r="C159" s="218" t="s">
        <v>408</v>
      </c>
      <c r="D159" s="105" t="s">
        <v>409</v>
      </c>
      <c r="E159" s="100"/>
      <c r="F159" s="34"/>
      <c r="G159" s="34"/>
      <c r="H159" s="480">
        <v>76119.104669093867</v>
      </c>
      <c r="I159" s="480" t="s">
        <v>413</v>
      </c>
      <c r="J159" s="490">
        <v>2</v>
      </c>
      <c r="K159" s="504"/>
      <c r="L159" s="482">
        <f t="shared" si="51"/>
        <v>0</v>
      </c>
      <c r="M159" s="482"/>
      <c r="N159" s="536">
        <f t="shared" si="52"/>
        <v>0</v>
      </c>
      <c r="O159" s="496">
        <v>15328.027988110762</v>
      </c>
      <c r="P159" s="483">
        <f t="shared" si="53"/>
        <v>15328.027988110762</v>
      </c>
      <c r="Q159" s="483"/>
      <c r="R159" s="541">
        <f t="shared" si="54"/>
        <v>15328.027988110762</v>
      </c>
      <c r="S159" s="515">
        <v>32825.390849720112</v>
      </c>
      <c r="T159" s="483">
        <f t="shared" si="55"/>
        <v>32825.390849720112</v>
      </c>
      <c r="U159" s="483"/>
      <c r="V159" s="543">
        <f t="shared" si="56"/>
        <v>32825.390849720112</v>
      </c>
      <c r="W159" s="515">
        <v>32718.060704017036</v>
      </c>
      <c r="X159" s="483">
        <f t="shared" si="57"/>
        <v>32718.060704017036</v>
      </c>
      <c r="Y159" s="483"/>
      <c r="Z159" s="543">
        <f t="shared" si="58"/>
        <v>0</v>
      </c>
      <c r="AA159" s="515">
        <v>46305.191128608982</v>
      </c>
      <c r="AB159" s="483">
        <f t="shared" si="59"/>
        <v>46305.191128608982</v>
      </c>
      <c r="AC159" s="483"/>
      <c r="AD159" s="543">
        <f t="shared" si="60"/>
        <v>46305.191128608982</v>
      </c>
      <c r="AE159" s="515">
        <v>26794</v>
      </c>
      <c r="AF159" s="483">
        <f t="shared" si="61"/>
        <v>26794</v>
      </c>
      <c r="AG159" s="483"/>
      <c r="AH159" s="543">
        <f t="shared" si="62"/>
        <v>26794</v>
      </c>
      <c r="AI159" s="520">
        <v>71842.750474200948</v>
      </c>
      <c r="AJ159" s="484">
        <f t="shared" si="63"/>
        <v>71842.750474200948</v>
      </c>
      <c r="AK159" s="484"/>
      <c r="AL159" s="545">
        <f t="shared" si="64"/>
        <v>71842.750474200948</v>
      </c>
      <c r="AM159" s="526">
        <v>58498.941551248063</v>
      </c>
      <c r="AN159" s="485">
        <f t="shared" si="65"/>
        <v>58498.941551248063</v>
      </c>
      <c r="AO159" s="485"/>
      <c r="AP159" s="543">
        <f t="shared" si="66"/>
        <v>58498.941551248063</v>
      </c>
      <c r="AQ159" s="530">
        <f t="shared" si="67"/>
        <v>71842.750474200948</v>
      </c>
    </row>
    <row r="160" spans="1:43" x14ac:dyDescent="0.55000000000000004">
      <c r="A160" s="316" t="s">
        <v>390</v>
      </c>
      <c r="B160" s="218" t="s">
        <v>391</v>
      </c>
      <c r="C160" s="218" t="s">
        <v>410</v>
      </c>
      <c r="D160" s="105" t="s">
        <v>411</v>
      </c>
      <c r="E160" s="100"/>
      <c r="F160" s="34"/>
      <c r="G160" s="34"/>
      <c r="H160" s="480">
        <v>122615.70597189905</v>
      </c>
      <c r="I160" s="480" t="s">
        <v>413</v>
      </c>
      <c r="J160" s="490">
        <v>5</v>
      </c>
      <c r="K160" s="504"/>
      <c r="L160" s="482"/>
      <c r="M160" s="482"/>
      <c r="N160" s="536">
        <f t="shared" si="52"/>
        <v>0</v>
      </c>
      <c r="O160" s="496">
        <v>22705.485969052377</v>
      </c>
      <c r="P160" s="483"/>
      <c r="Q160" s="483"/>
      <c r="R160" s="541">
        <f t="shared" si="54"/>
        <v>0</v>
      </c>
      <c r="S160" s="515">
        <v>53180.637302829513</v>
      </c>
      <c r="T160" s="483"/>
      <c r="U160" s="483"/>
      <c r="V160" s="543">
        <f t="shared" si="56"/>
        <v>0</v>
      </c>
      <c r="W160" s="515">
        <v>31094.834456471111</v>
      </c>
      <c r="X160" s="483"/>
      <c r="Y160" s="483"/>
      <c r="Z160" s="543">
        <f t="shared" si="58"/>
        <v>0</v>
      </c>
      <c r="AA160" s="515">
        <v>60015.496545281159</v>
      </c>
      <c r="AB160" s="483"/>
      <c r="AC160" s="483"/>
      <c r="AD160" s="543">
        <f t="shared" si="60"/>
        <v>0</v>
      </c>
      <c r="AE160" s="515">
        <v>43161</v>
      </c>
      <c r="AF160" s="483"/>
      <c r="AG160" s="483"/>
      <c r="AH160" s="543">
        <f t="shared" si="62"/>
        <v>0</v>
      </c>
      <c r="AI160" s="520">
        <v>81743.803981266028</v>
      </c>
      <c r="AJ160" s="484"/>
      <c r="AK160" s="484"/>
      <c r="AL160" s="545">
        <f t="shared" si="64"/>
        <v>0</v>
      </c>
      <c r="AM160" s="526">
        <v>91961.779478924291</v>
      </c>
      <c r="AN160" s="485"/>
      <c r="AO160" s="485"/>
      <c r="AP160" s="543">
        <f t="shared" si="66"/>
        <v>0</v>
      </c>
      <c r="AQ160" s="530">
        <f t="shared" si="67"/>
        <v>0</v>
      </c>
    </row>
    <row r="161" spans="1:43" ht="27.6" x14ac:dyDescent="0.55000000000000004">
      <c r="A161" s="316" t="s">
        <v>233</v>
      </c>
      <c r="B161" s="218" t="s">
        <v>234</v>
      </c>
      <c r="C161" s="218" t="s">
        <v>233</v>
      </c>
      <c r="D161" s="105" t="s">
        <v>235</v>
      </c>
      <c r="E161" s="100"/>
      <c r="F161" s="34"/>
      <c r="G161" s="34"/>
      <c r="H161" s="480">
        <v>19107.704392085096</v>
      </c>
      <c r="I161" s="480" t="s">
        <v>414</v>
      </c>
      <c r="J161" s="490">
        <v>1</v>
      </c>
      <c r="K161" s="504">
        <v>0</v>
      </c>
      <c r="L161" s="482">
        <f t="shared" si="51"/>
        <v>0</v>
      </c>
      <c r="M161" s="482"/>
      <c r="N161" s="536">
        <f t="shared" si="52"/>
        <v>0</v>
      </c>
      <c r="O161" s="496">
        <v>2193.5644642113693</v>
      </c>
      <c r="P161" s="483">
        <f t="shared" si="53"/>
        <v>2193.5644642113693</v>
      </c>
      <c r="Q161" s="483"/>
      <c r="R161" s="541">
        <f t="shared" si="54"/>
        <v>2193.5644642113693</v>
      </c>
      <c r="S161" s="515">
        <v>7075.1826001879772</v>
      </c>
      <c r="T161" s="483">
        <f t="shared" si="55"/>
        <v>7075.1826001879772</v>
      </c>
      <c r="U161" s="483"/>
      <c r="V161" s="543">
        <f t="shared" si="56"/>
        <v>7075.1826001879772</v>
      </c>
      <c r="W161" s="515">
        <v>11794.500496437133</v>
      </c>
      <c r="X161" s="483">
        <f t="shared" si="57"/>
        <v>11794.500496437133</v>
      </c>
      <c r="Y161" s="483"/>
      <c r="Z161" s="543">
        <f t="shared" si="58"/>
        <v>0</v>
      </c>
      <c r="AA161" s="515">
        <v>13376.411804553156</v>
      </c>
      <c r="AB161" s="483">
        <f t="shared" si="59"/>
        <v>13376.411804553156</v>
      </c>
      <c r="AC161" s="483"/>
      <c r="AD161" s="543">
        <f t="shared" si="60"/>
        <v>13376.411804553156</v>
      </c>
      <c r="AE161" s="515">
        <v>12835</v>
      </c>
      <c r="AF161" s="483">
        <f t="shared" si="61"/>
        <v>12835</v>
      </c>
      <c r="AG161" s="483"/>
      <c r="AH161" s="543">
        <f t="shared" si="62"/>
        <v>12835</v>
      </c>
      <c r="AI161" s="520">
        <v>3980.7717483510619</v>
      </c>
      <c r="AJ161" s="484">
        <f t="shared" si="63"/>
        <v>3980.7717483510619</v>
      </c>
      <c r="AK161" s="484"/>
      <c r="AL161" s="545">
        <f t="shared" si="64"/>
        <v>3980.7717483510619</v>
      </c>
      <c r="AM161" s="526">
        <v>7430.7739302553136</v>
      </c>
      <c r="AN161" s="485">
        <f t="shared" si="65"/>
        <v>7430.7739302553136</v>
      </c>
      <c r="AO161" s="485"/>
      <c r="AP161" s="543">
        <f t="shared" si="66"/>
        <v>7430.7739302553136</v>
      </c>
      <c r="AQ161" s="530">
        <f t="shared" si="67"/>
        <v>13376.411804553156</v>
      </c>
    </row>
    <row r="162" spans="1:43" x14ac:dyDescent="0.55000000000000004">
      <c r="A162" s="316" t="s">
        <v>236</v>
      </c>
      <c r="B162" s="218" t="s">
        <v>237</v>
      </c>
      <c r="C162" s="218" t="s">
        <v>238</v>
      </c>
      <c r="D162" s="105" t="s">
        <v>239</v>
      </c>
      <c r="E162" s="100"/>
      <c r="F162" s="34"/>
      <c r="G162" s="34"/>
      <c r="H162" s="480">
        <v>58949.896431430854</v>
      </c>
      <c r="I162" s="480" t="s">
        <v>414</v>
      </c>
      <c r="J162" s="490">
        <v>4</v>
      </c>
      <c r="K162" s="504">
        <v>8842.4844647146274</v>
      </c>
      <c r="L162" s="482"/>
      <c r="M162" s="482"/>
      <c r="N162" s="536">
        <f t="shared" si="52"/>
        <v>0</v>
      </c>
      <c r="O162" s="496">
        <v>6550.2177419784402</v>
      </c>
      <c r="P162" s="483"/>
      <c r="Q162" s="483"/>
      <c r="R162" s="541">
        <f t="shared" si="54"/>
        <v>0</v>
      </c>
      <c r="S162" s="515">
        <v>17674.597144544001</v>
      </c>
      <c r="T162" s="483"/>
      <c r="U162" s="483"/>
      <c r="V162" s="543">
        <f t="shared" si="56"/>
        <v>0</v>
      </c>
      <c r="W162" s="515">
        <v>41481.714534482526</v>
      </c>
      <c r="X162" s="483"/>
      <c r="Y162" s="483"/>
      <c r="Z162" s="543">
        <f t="shared" si="58"/>
        <v>0</v>
      </c>
      <c r="AA162" s="515">
        <v>32691.349000802427</v>
      </c>
      <c r="AB162" s="483"/>
      <c r="AC162" s="483"/>
      <c r="AD162" s="543">
        <f t="shared" si="60"/>
        <v>0</v>
      </c>
      <c r="AE162" s="515">
        <v>36350</v>
      </c>
      <c r="AF162" s="483"/>
      <c r="AG162" s="483"/>
      <c r="AH162" s="543">
        <f t="shared" si="62"/>
        <v>0</v>
      </c>
      <c r="AI162" s="520">
        <v>53054.906788287772</v>
      </c>
      <c r="AJ162" s="484"/>
      <c r="AK162" s="484"/>
      <c r="AL162" s="545">
        <f t="shared" si="64"/>
        <v>0</v>
      </c>
      <c r="AM162" s="526">
        <v>23044.050423195691</v>
      </c>
      <c r="AN162" s="485"/>
      <c r="AO162" s="485"/>
      <c r="AP162" s="543">
        <f t="shared" si="66"/>
        <v>0</v>
      </c>
      <c r="AQ162" s="530">
        <f t="shared" si="67"/>
        <v>0</v>
      </c>
    </row>
    <row r="163" spans="1:43" x14ac:dyDescent="0.55000000000000004">
      <c r="A163" s="316" t="s">
        <v>236</v>
      </c>
      <c r="B163" s="218" t="s">
        <v>237</v>
      </c>
      <c r="C163" s="218" t="s">
        <v>240</v>
      </c>
      <c r="D163" s="105" t="s">
        <v>241</v>
      </c>
      <c r="E163" s="100"/>
      <c r="F163" s="34"/>
      <c r="G163" s="34"/>
      <c r="H163" s="480">
        <v>15480.714285714301</v>
      </c>
      <c r="I163" s="480" t="s">
        <v>414</v>
      </c>
      <c r="J163" s="490">
        <v>5</v>
      </c>
      <c r="K163" s="504">
        <v>2322.1071428571449</v>
      </c>
      <c r="L163" s="482"/>
      <c r="M163" s="482"/>
      <c r="N163" s="536">
        <f t="shared" si="52"/>
        <v>0</v>
      </c>
      <c r="O163" s="496">
        <v>1156.0625891428585</v>
      </c>
      <c r="P163" s="483"/>
      <c r="Q163" s="483"/>
      <c r="R163" s="541">
        <f t="shared" si="54"/>
        <v>0</v>
      </c>
      <c r="S163" s="515">
        <v>5203.6877773058141</v>
      </c>
      <c r="T163" s="483"/>
      <c r="U163" s="483"/>
      <c r="V163" s="543">
        <f t="shared" si="56"/>
        <v>0</v>
      </c>
      <c r="W163" s="515">
        <v>10719.781647911757</v>
      </c>
      <c r="X163" s="483"/>
      <c r="Y163" s="483"/>
      <c r="Z163" s="543">
        <f t="shared" si="58"/>
        <v>0</v>
      </c>
      <c r="AA163" s="515">
        <v>8201.4928080468017</v>
      </c>
      <c r="AB163" s="483"/>
      <c r="AC163" s="483"/>
      <c r="AD163" s="543">
        <f t="shared" si="60"/>
        <v>0</v>
      </c>
      <c r="AE163" s="515">
        <v>11582</v>
      </c>
      <c r="AF163" s="483"/>
      <c r="AG163" s="483"/>
      <c r="AH163" s="543">
        <f t="shared" si="62"/>
        <v>0</v>
      </c>
      <c r="AI163" s="520">
        <v>12115.341614906843</v>
      </c>
      <c r="AJ163" s="484"/>
      <c r="AK163" s="484"/>
      <c r="AL163" s="545">
        <f t="shared" si="64"/>
        <v>0</v>
      </c>
      <c r="AM163" s="526">
        <v>12613.915343915358</v>
      </c>
      <c r="AN163" s="485"/>
      <c r="AO163" s="485"/>
      <c r="AP163" s="543">
        <f t="shared" si="66"/>
        <v>0</v>
      </c>
      <c r="AQ163" s="530">
        <f t="shared" si="67"/>
        <v>0</v>
      </c>
    </row>
    <row r="164" spans="1:43" x14ac:dyDescent="0.55000000000000004">
      <c r="A164" s="316" t="s">
        <v>236</v>
      </c>
      <c r="B164" s="218" t="s">
        <v>237</v>
      </c>
      <c r="C164" s="218" t="s">
        <v>242</v>
      </c>
      <c r="D164" s="105" t="s">
        <v>243</v>
      </c>
      <c r="E164" s="100"/>
      <c r="F164" s="34"/>
      <c r="G164" s="34"/>
      <c r="H164" s="480">
        <v>7168.4285714285697</v>
      </c>
      <c r="I164" s="480" t="s">
        <v>414</v>
      </c>
      <c r="J164" s="490">
        <v>5</v>
      </c>
      <c r="K164" s="504">
        <v>1075.2642857142855</v>
      </c>
      <c r="L164" s="482"/>
      <c r="M164" s="482"/>
      <c r="N164" s="536">
        <f t="shared" si="52"/>
        <v>0</v>
      </c>
      <c r="O164" s="496">
        <v>946.50497171428538</v>
      </c>
      <c r="P164" s="483"/>
      <c r="Q164" s="483"/>
      <c r="R164" s="541">
        <f t="shared" si="54"/>
        <v>0</v>
      </c>
      <c r="S164" s="515">
        <v>2908.6171556660938</v>
      </c>
      <c r="T164" s="483"/>
      <c r="U164" s="483"/>
      <c r="V164" s="543">
        <f t="shared" si="56"/>
        <v>0</v>
      </c>
      <c r="W164" s="515">
        <v>4522.8316267926803</v>
      </c>
      <c r="X164" s="483"/>
      <c r="Y164" s="483"/>
      <c r="Z164" s="543">
        <f t="shared" si="58"/>
        <v>0</v>
      </c>
      <c r="AA164" s="515">
        <v>3264.6738077560167</v>
      </c>
      <c r="AB164" s="483"/>
      <c r="AC164" s="483"/>
      <c r="AD164" s="543">
        <f t="shared" si="60"/>
        <v>0</v>
      </c>
      <c r="AE164" s="515">
        <v>5734</v>
      </c>
      <c r="AF164" s="483"/>
      <c r="AG164" s="483"/>
      <c r="AH164" s="543">
        <f t="shared" si="62"/>
        <v>0</v>
      </c>
      <c r="AI164" s="520">
        <v>4262.3088803088795</v>
      </c>
      <c r="AJ164" s="484"/>
      <c r="AK164" s="484"/>
      <c r="AL164" s="545">
        <f t="shared" si="64"/>
        <v>0</v>
      </c>
      <c r="AM164" s="526">
        <v>4247.9576719576708</v>
      </c>
      <c r="AN164" s="485"/>
      <c r="AO164" s="485"/>
      <c r="AP164" s="543">
        <f t="shared" si="66"/>
        <v>0</v>
      </c>
      <c r="AQ164" s="530">
        <f t="shared" si="67"/>
        <v>0</v>
      </c>
    </row>
    <row r="165" spans="1:43" x14ac:dyDescent="0.55000000000000004">
      <c r="A165" s="316" t="s">
        <v>236</v>
      </c>
      <c r="B165" s="218" t="s">
        <v>237</v>
      </c>
      <c r="C165" s="218" t="s">
        <v>244</v>
      </c>
      <c r="D165" s="105" t="s">
        <v>245</v>
      </c>
      <c r="E165" s="100"/>
      <c r="F165" s="34"/>
      <c r="G165" s="34"/>
      <c r="H165" s="480">
        <v>12810</v>
      </c>
      <c r="I165" s="480" t="s">
        <v>414</v>
      </c>
      <c r="J165" s="490">
        <v>5</v>
      </c>
      <c r="K165" s="504">
        <v>1921.5</v>
      </c>
      <c r="L165" s="482"/>
      <c r="M165" s="482"/>
      <c r="N165" s="536">
        <f t="shared" si="52"/>
        <v>0</v>
      </c>
      <c r="O165" s="496">
        <v>2267.1009900000008</v>
      </c>
      <c r="P165" s="483"/>
      <c r="Q165" s="483"/>
      <c r="R165" s="541">
        <f t="shared" si="54"/>
        <v>0</v>
      </c>
      <c r="S165" s="515">
        <v>4254.9339178423834</v>
      </c>
      <c r="T165" s="483"/>
      <c r="U165" s="483"/>
      <c r="V165" s="543">
        <f t="shared" si="56"/>
        <v>0</v>
      </c>
      <c r="W165" s="515">
        <v>8702.9488718805223</v>
      </c>
      <c r="X165" s="483"/>
      <c r="Y165" s="483"/>
      <c r="Z165" s="543">
        <f t="shared" si="58"/>
        <v>0</v>
      </c>
      <c r="AA165" s="515">
        <v>8317.7434594622391</v>
      </c>
      <c r="AB165" s="483"/>
      <c r="AC165" s="483"/>
      <c r="AD165" s="543">
        <f t="shared" si="60"/>
        <v>0</v>
      </c>
      <c r="AE165" s="515">
        <v>10248</v>
      </c>
      <c r="AF165" s="483"/>
      <c r="AG165" s="483"/>
      <c r="AH165" s="543">
        <f t="shared" si="62"/>
        <v>0</v>
      </c>
      <c r="AI165" s="520">
        <v>6767.5471698113206</v>
      </c>
      <c r="AJ165" s="484"/>
      <c r="AK165" s="484"/>
      <c r="AL165" s="545">
        <f t="shared" si="64"/>
        <v>0</v>
      </c>
      <c r="AM165" s="526">
        <v>7235.2777777777774</v>
      </c>
      <c r="AN165" s="485"/>
      <c r="AO165" s="485"/>
      <c r="AP165" s="543">
        <f t="shared" si="66"/>
        <v>0</v>
      </c>
      <c r="AQ165" s="530">
        <f t="shared" si="67"/>
        <v>0</v>
      </c>
    </row>
    <row r="166" spans="1:43" x14ac:dyDescent="0.55000000000000004">
      <c r="A166" s="316" t="s">
        <v>236</v>
      </c>
      <c r="B166" s="218" t="s">
        <v>237</v>
      </c>
      <c r="C166" s="218" t="s">
        <v>246</v>
      </c>
      <c r="D166" s="105" t="s">
        <v>247</v>
      </c>
      <c r="E166" s="100"/>
      <c r="F166" s="34"/>
      <c r="G166" s="34"/>
      <c r="H166" s="480">
        <v>1080</v>
      </c>
      <c r="I166" s="480" t="s">
        <v>414</v>
      </c>
      <c r="J166" s="490">
        <v>4</v>
      </c>
      <c r="K166" s="504">
        <v>162</v>
      </c>
      <c r="L166" s="482"/>
      <c r="M166" s="482"/>
      <c r="N166" s="536">
        <f t="shared" si="52"/>
        <v>0</v>
      </c>
      <c r="O166" s="496">
        <v>286.52939999999995</v>
      </c>
      <c r="P166" s="483"/>
      <c r="Q166" s="483"/>
      <c r="R166" s="541">
        <f t="shared" si="54"/>
        <v>0</v>
      </c>
      <c r="S166" s="515">
        <v>317.59672063227879</v>
      </c>
      <c r="T166" s="483"/>
      <c r="U166" s="483"/>
      <c r="V166" s="543">
        <f t="shared" si="56"/>
        <v>0</v>
      </c>
      <c r="W166" s="515">
        <v>695.53313773454511</v>
      </c>
      <c r="X166" s="483"/>
      <c r="Y166" s="483"/>
      <c r="Z166" s="543">
        <f t="shared" si="58"/>
        <v>0</v>
      </c>
      <c r="AA166" s="515">
        <v>552.33460061218318</v>
      </c>
      <c r="AB166" s="483"/>
      <c r="AC166" s="483"/>
      <c r="AD166" s="543">
        <f t="shared" si="60"/>
        <v>0</v>
      </c>
      <c r="AE166" s="515">
        <v>756</v>
      </c>
      <c r="AF166" s="483"/>
      <c r="AG166" s="483"/>
      <c r="AH166" s="543">
        <f t="shared" si="62"/>
        <v>0</v>
      </c>
      <c r="AI166" s="520">
        <v>1080</v>
      </c>
      <c r="AJ166" s="484"/>
      <c r="AK166" s="484"/>
      <c r="AL166" s="545">
        <f t="shared" si="64"/>
        <v>0</v>
      </c>
      <c r="AM166" s="526">
        <v>390</v>
      </c>
      <c r="AN166" s="485"/>
      <c r="AO166" s="485"/>
      <c r="AP166" s="543">
        <f t="shared" si="66"/>
        <v>0</v>
      </c>
      <c r="AQ166" s="530">
        <f t="shared" si="67"/>
        <v>0</v>
      </c>
    </row>
    <row r="167" spans="1:43" x14ac:dyDescent="0.55000000000000004">
      <c r="A167" s="316" t="s">
        <v>236</v>
      </c>
      <c r="B167" s="218" t="s">
        <v>237</v>
      </c>
      <c r="C167" s="218" t="s">
        <v>248</v>
      </c>
      <c r="D167" s="105" t="s">
        <v>249</v>
      </c>
      <c r="E167" s="100"/>
      <c r="F167" s="34"/>
      <c r="G167" s="34"/>
      <c r="H167" s="480">
        <v>29744.714285714301</v>
      </c>
      <c r="I167" s="480" t="s">
        <v>414</v>
      </c>
      <c r="J167" s="490">
        <v>5</v>
      </c>
      <c r="K167" s="504">
        <v>4461.7071428571453</v>
      </c>
      <c r="L167" s="482"/>
      <c r="M167" s="482"/>
      <c r="N167" s="536">
        <f t="shared" si="52"/>
        <v>0</v>
      </c>
      <c r="O167" s="496">
        <v>5211.4226664285743</v>
      </c>
      <c r="P167" s="483"/>
      <c r="Q167" s="483"/>
      <c r="R167" s="541">
        <f t="shared" si="54"/>
        <v>0</v>
      </c>
      <c r="S167" s="515">
        <v>10220.671070248991</v>
      </c>
      <c r="T167" s="483"/>
      <c r="U167" s="483"/>
      <c r="V167" s="543">
        <f t="shared" si="56"/>
        <v>0</v>
      </c>
      <c r="W167" s="515">
        <v>14617.10963694004</v>
      </c>
      <c r="X167" s="483"/>
      <c r="Y167" s="483"/>
      <c r="Z167" s="543">
        <f t="shared" si="58"/>
        <v>0</v>
      </c>
      <c r="AA167" s="515">
        <v>13731.645271310555</v>
      </c>
      <c r="AB167" s="483"/>
      <c r="AC167" s="483"/>
      <c r="AD167" s="543">
        <f t="shared" si="60"/>
        <v>0</v>
      </c>
      <c r="AE167" s="515">
        <v>12526</v>
      </c>
      <c r="AF167" s="483"/>
      <c r="AG167" s="483"/>
      <c r="AH167" s="543">
        <f t="shared" si="62"/>
        <v>0</v>
      </c>
      <c r="AI167" s="520">
        <v>12747.734693877555</v>
      </c>
      <c r="AJ167" s="484"/>
      <c r="AK167" s="484"/>
      <c r="AL167" s="545">
        <f t="shared" si="64"/>
        <v>0</v>
      </c>
      <c r="AM167" s="526">
        <v>24236.433862433874</v>
      </c>
      <c r="AN167" s="485"/>
      <c r="AO167" s="485"/>
      <c r="AP167" s="543">
        <f t="shared" si="66"/>
        <v>0</v>
      </c>
      <c r="AQ167" s="530">
        <f t="shared" si="67"/>
        <v>0</v>
      </c>
    </row>
    <row r="168" spans="1:43" x14ac:dyDescent="0.55000000000000004">
      <c r="A168" s="316" t="s">
        <v>250</v>
      </c>
      <c r="B168" s="218" t="s">
        <v>251</v>
      </c>
      <c r="C168" s="218" t="s">
        <v>252</v>
      </c>
      <c r="D168" s="105" t="s">
        <v>253</v>
      </c>
      <c r="E168" s="100"/>
      <c r="F168" s="34"/>
      <c r="G168" s="34"/>
      <c r="H168" s="480">
        <v>2130</v>
      </c>
      <c r="I168" s="480" t="s">
        <v>414</v>
      </c>
      <c r="J168" s="490">
        <v>4</v>
      </c>
      <c r="K168" s="504">
        <v>319.5</v>
      </c>
      <c r="L168" s="482"/>
      <c r="M168" s="482"/>
      <c r="N168" s="536">
        <f t="shared" si="52"/>
        <v>0</v>
      </c>
      <c r="O168" s="496">
        <v>696.26717999999994</v>
      </c>
      <c r="P168" s="483"/>
      <c r="Q168" s="483"/>
      <c r="R168" s="541">
        <f t="shared" si="54"/>
        <v>0</v>
      </c>
      <c r="S168" s="515">
        <v>845.92589592819127</v>
      </c>
      <c r="T168" s="483"/>
      <c r="U168" s="483"/>
      <c r="V168" s="543">
        <f t="shared" si="56"/>
        <v>0</v>
      </c>
      <c r="W168" s="515">
        <v>1368.8514530202656</v>
      </c>
      <c r="X168" s="483"/>
      <c r="Y168" s="483"/>
      <c r="Z168" s="543">
        <f t="shared" si="58"/>
        <v>0</v>
      </c>
      <c r="AA168" s="515">
        <v>933.32470616313424</v>
      </c>
      <c r="AB168" s="483"/>
      <c r="AC168" s="483"/>
      <c r="AD168" s="543">
        <f t="shared" si="60"/>
        <v>0</v>
      </c>
      <c r="AE168" s="515">
        <v>1491</v>
      </c>
      <c r="AF168" s="483"/>
      <c r="AG168" s="483"/>
      <c r="AH168" s="543">
        <f t="shared" si="62"/>
        <v>0</v>
      </c>
      <c r="AI168" s="520">
        <v>0</v>
      </c>
      <c r="AJ168" s="484"/>
      <c r="AK168" s="484"/>
      <c r="AL168" s="545">
        <f t="shared" si="64"/>
        <v>0</v>
      </c>
      <c r="AM168" s="526">
        <v>1597.5000000000002</v>
      </c>
      <c r="AN168" s="485"/>
      <c r="AO168" s="485"/>
      <c r="AP168" s="543">
        <f t="shared" si="66"/>
        <v>0</v>
      </c>
      <c r="AQ168" s="530">
        <f t="shared" si="67"/>
        <v>0</v>
      </c>
    </row>
    <row r="169" spans="1:43" x14ac:dyDescent="0.55000000000000004">
      <c r="A169" s="316" t="s">
        <v>250</v>
      </c>
      <c r="B169" s="218" t="s">
        <v>251</v>
      </c>
      <c r="C169" s="218" t="s">
        <v>254</v>
      </c>
      <c r="D169" s="105" t="s">
        <v>255</v>
      </c>
      <c r="E169" s="100"/>
      <c r="F169" s="34"/>
      <c r="G169" s="34"/>
      <c r="H169" s="480">
        <v>3437.4285714285702</v>
      </c>
      <c r="I169" s="480" t="s">
        <v>414</v>
      </c>
      <c r="J169" s="490">
        <v>4</v>
      </c>
      <c r="K169" s="504">
        <v>515.61428571428553</v>
      </c>
      <c r="L169" s="482"/>
      <c r="M169" s="482"/>
      <c r="N169" s="536">
        <f t="shared" si="52"/>
        <v>0</v>
      </c>
      <c r="O169" s="496">
        <v>150.03000742857137</v>
      </c>
      <c r="P169" s="483"/>
      <c r="Q169" s="483"/>
      <c r="R169" s="541">
        <f t="shared" si="54"/>
        <v>0</v>
      </c>
      <c r="S169" s="515">
        <v>1394.2955478144281</v>
      </c>
      <c r="T169" s="483"/>
      <c r="U169" s="483"/>
      <c r="V169" s="543">
        <f t="shared" si="56"/>
        <v>0</v>
      </c>
      <c r="W169" s="515">
        <v>1534.5901199845798</v>
      </c>
      <c r="X169" s="483"/>
      <c r="Y169" s="483"/>
      <c r="Z169" s="543">
        <f t="shared" si="58"/>
        <v>0</v>
      </c>
      <c r="AA169" s="515">
        <v>1935.2460542695972</v>
      </c>
      <c r="AB169" s="483"/>
      <c r="AC169" s="483"/>
      <c r="AD169" s="543">
        <f t="shared" si="60"/>
        <v>0</v>
      </c>
      <c r="AE169" s="515">
        <v>2406</v>
      </c>
      <c r="AF169" s="483"/>
      <c r="AG169" s="483"/>
      <c r="AH169" s="543">
        <f t="shared" si="62"/>
        <v>0</v>
      </c>
      <c r="AI169" s="520">
        <v>264.41758241758231</v>
      </c>
      <c r="AJ169" s="484"/>
      <c r="AK169" s="484"/>
      <c r="AL169" s="545">
        <f t="shared" si="64"/>
        <v>0</v>
      </c>
      <c r="AM169" s="526">
        <v>1671.4102228047179</v>
      </c>
      <c r="AN169" s="485"/>
      <c r="AO169" s="485"/>
      <c r="AP169" s="543">
        <f t="shared" si="66"/>
        <v>0</v>
      </c>
      <c r="AQ169" s="530">
        <f t="shared" si="67"/>
        <v>0</v>
      </c>
    </row>
    <row r="170" spans="1:43" x14ac:dyDescent="0.55000000000000004">
      <c r="A170" s="316" t="s">
        <v>250</v>
      </c>
      <c r="B170" s="218" t="s">
        <v>251</v>
      </c>
      <c r="C170" s="218" t="s">
        <v>256</v>
      </c>
      <c r="D170" s="105" t="s">
        <v>257</v>
      </c>
      <c r="E170" s="100"/>
      <c r="F170" s="34"/>
      <c r="G170" s="34"/>
      <c r="H170" s="480">
        <v>3548.7142857142862</v>
      </c>
      <c r="I170" s="480" t="s">
        <v>414</v>
      </c>
      <c r="J170" s="490">
        <v>2</v>
      </c>
      <c r="K170" s="504">
        <v>532.30714285714294</v>
      </c>
      <c r="L170" s="482">
        <f t="shared" si="51"/>
        <v>532.30714285714294</v>
      </c>
      <c r="M170" s="482"/>
      <c r="N170" s="536">
        <f t="shared" si="52"/>
        <v>532.30714285714294</v>
      </c>
      <c r="O170" s="496">
        <v>1212.2408000000003</v>
      </c>
      <c r="P170" s="483">
        <f t="shared" si="53"/>
        <v>1212.2408000000003</v>
      </c>
      <c r="Q170" s="483"/>
      <c r="R170" s="541">
        <f t="shared" si="54"/>
        <v>1212.2408000000003</v>
      </c>
      <c r="S170" s="515">
        <v>1379.4360186047193</v>
      </c>
      <c r="T170" s="483">
        <f t="shared" si="55"/>
        <v>1379.4360186047193</v>
      </c>
      <c r="U170" s="483"/>
      <c r="V170" s="543">
        <f t="shared" si="56"/>
        <v>1379.4360186047193</v>
      </c>
      <c r="W170" s="515">
        <v>2530.4016282633802</v>
      </c>
      <c r="X170" s="483">
        <f t="shared" si="57"/>
        <v>2530.4016282633802</v>
      </c>
      <c r="Y170" s="483"/>
      <c r="Z170" s="543">
        <f t="shared" si="58"/>
        <v>0</v>
      </c>
      <c r="AA170" s="515">
        <v>1376.5308603151145</v>
      </c>
      <c r="AB170" s="483">
        <f t="shared" si="59"/>
        <v>1376.5308603151145</v>
      </c>
      <c r="AC170" s="483"/>
      <c r="AD170" s="543">
        <f t="shared" si="60"/>
        <v>1376.5308603151145</v>
      </c>
      <c r="AE170" s="515">
        <v>2090</v>
      </c>
      <c r="AF170" s="483">
        <f t="shared" si="61"/>
        <v>2090</v>
      </c>
      <c r="AG170" s="483"/>
      <c r="AH170" s="543">
        <f t="shared" si="62"/>
        <v>2090</v>
      </c>
      <c r="AI170" s="520">
        <v>0</v>
      </c>
      <c r="AJ170" s="484">
        <f t="shared" si="63"/>
        <v>0</v>
      </c>
      <c r="AK170" s="484"/>
      <c r="AL170" s="545">
        <f t="shared" si="64"/>
        <v>0</v>
      </c>
      <c r="AM170" s="526">
        <v>2825.828042328043</v>
      </c>
      <c r="AN170" s="485">
        <f t="shared" si="65"/>
        <v>2825.828042328043</v>
      </c>
      <c r="AO170" s="485"/>
      <c r="AP170" s="543">
        <f t="shared" si="66"/>
        <v>2825.828042328043</v>
      </c>
      <c r="AQ170" s="530">
        <f t="shared" si="67"/>
        <v>2825.828042328043</v>
      </c>
    </row>
    <row r="171" spans="1:43" x14ac:dyDescent="0.55000000000000004">
      <c r="A171" s="316" t="s">
        <v>250</v>
      </c>
      <c r="B171" s="218" t="s">
        <v>251</v>
      </c>
      <c r="C171" s="218" t="s">
        <v>258</v>
      </c>
      <c r="D171" s="105" t="s">
        <v>259</v>
      </c>
      <c r="E171" s="100"/>
      <c r="F171" s="34"/>
      <c r="G171" s="34"/>
      <c r="H171" s="480">
        <v>3</v>
      </c>
      <c r="I171" s="480" t="s">
        <v>414</v>
      </c>
      <c r="J171" s="490">
        <v>3</v>
      </c>
      <c r="K171" s="504">
        <v>0.44999999999999996</v>
      </c>
      <c r="L171" s="482"/>
      <c r="M171" s="482">
        <f t="shared" si="68"/>
        <v>0.22499999999999998</v>
      </c>
      <c r="N171" s="536">
        <f t="shared" si="52"/>
        <v>0.22499999999999998</v>
      </c>
      <c r="O171" s="496">
        <v>1.137</v>
      </c>
      <c r="P171" s="483"/>
      <c r="Q171" s="483">
        <f t="shared" si="69"/>
        <v>0.56850000000000001</v>
      </c>
      <c r="R171" s="541">
        <f t="shared" si="54"/>
        <v>0.56850000000000001</v>
      </c>
      <c r="S171" s="515">
        <v>1.129330574868685</v>
      </c>
      <c r="T171" s="483"/>
      <c r="U171" s="483">
        <f t="shared" si="70"/>
        <v>0.56466528743434252</v>
      </c>
      <c r="V171" s="543">
        <f t="shared" si="56"/>
        <v>0.56466528743434252</v>
      </c>
      <c r="W171" s="515">
        <v>2.128098076136046</v>
      </c>
      <c r="X171" s="483"/>
      <c r="Y171" s="483">
        <f t="shared" si="71"/>
        <v>1.064049038068023</v>
      </c>
      <c r="Z171" s="543">
        <f t="shared" si="58"/>
        <v>1.064049038068023</v>
      </c>
      <c r="AA171" s="515">
        <v>1.067681687297547</v>
      </c>
      <c r="AB171" s="483"/>
      <c r="AC171" s="483">
        <f t="shared" si="72"/>
        <v>0.53384084364877349</v>
      </c>
      <c r="AD171" s="543">
        <f t="shared" si="60"/>
        <v>0.53384084364877349</v>
      </c>
      <c r="AE171" s="515">
        <v>2</v>
      </c>
      <c r="AF171" s="483"/>
      <c r="AG171" s="483">
        <f t="shared" si="73"/>
        <v>1</v>
      </c>
      <c r="AH171" s="543">
        <f t="shared" si="62"/>
        <v>1</v>
      </c>
      <c r="AI171" s="520">
        <v>0</v>
      </c>
      <c r="AJ171" s="484"/>
      <c r="AK171" s="484">
        <f t="shared" si="74"/>
        <v>0</v>
      </c>
      <c r="AL171" s="545">
        <f t="shared" si="64"/>
        <v>0</v>
      </c>
      <c r="AM171" s="526">
        <v>1.5412844036697249</v>
      </c>
      <c r="AN171" s="485"/>
      <c r="AO171" s="485">
        <f t="shared" si="75"/>
        <v>0.77064220183486243</v>
      </c>
      <c r="AP171" s="543">
        <f t="shared" si="66"/>
        <v>0.77064220183486243</v>
      </c>
      <c r="AQ171" s="530">
        <f t="shared" si="67"/>
        <v>1.064049038068023</v>
      </c>
    </row>
    <row r="172" spans="1:43" x14ac:dyDescent="0.55000000000000004">
      <c r="A172" s="316" t="s">
        <v>250</v>
      </c>
      <c r="B172" s="218" t="s">
        <v>251</v>
      </c>
      <c r="C172" s="218" t="s">
        <v>260</v>
      </c>
      <c r="D172" s="105" t="s">
        <v>261</v>
      </c>
      <c r="E172" s="100"/>
      <c r="F172" s="34"/>
      <c r="G172" s="34"/>
      <c r="H172" s="480">
        <v>9189.5714285714294</v>
      </c>
      <c r="I172" s="480" t="s">
        <v>414</v>
      </c>
      <c r="J172" s="490">
        <v>3</v>
      </c>
      <c r="K172" s="504">
        <v>1378.4357142857143</v>
      </c>
      <c r="L172" s="482"/>
      <c r="M172" s="482">
        <f t="shared" si="68"/>
        <v>689.21785714285716</v>
      </c>
      <c r="N172" s="536">
        <f t="shared" si="52"/>
        <v>689.21785714285716</v>
      </c>
      <c r="O172" s="496">
        <v>2282.200657657143</v>
      </c>
      <c r="P172" s="483"/>
      <c r="Q172" s="483">
        <f t="shared" si="69"/>
        <v>1141.1003288285715</v>
      </c>
      <c r="R172" s="541">
        <f t="shared" si="54"/>
        <v>1141.1003288285715</v>
      </c>
      <c r="S172" s="515">
        <v>3303.0990262308942</v>
      </c>
      <c r="T172" s="483"/>
      <c r="U172" s="483">
        <f t="shared" si="70"/>
        <v>1651.5495131154471</v>
      </c>
      <c r="V172" s="543">
        <f t="shared" si="56"/>
        <v>1651.5495131154471</v>
      </c>
      <c r="W172" s="515">
        <v>4060.5776790519863</v>
      </c>
      <c r="X172" s="483"/>
      <c r="Y172" s="483">
        <f t="shared" si="71"/>
        <v>2030.2888395259931</v>
      </c>
      <c r="Z172" s="543">
        <f t="shared" si="58"/>
        <v>2030.2888395259931</v>
      </c>
      <c r="AA172" s="515">
        <v>4484.9662664830139</v>
      </c>
      <c r="AB172" s="483"/>
      <c r="AC172" s="483">
        <f t="shared" si="72"/>
        <v>2242.4831332415069</v>
      </c>
      <c r="AD172" s="543">
        <f t="shared" si="60"/>
        <v>2242.4831332415069</v>
      </c>
      <c r="AE172" s="515">
        <v>5391</v>
      </c>
      <c r="AF172" s="483"/>
      <c r="AG172" s="483">
        <f t="shared" si="73"/>
        <v>2695.5</v>
      </c>
      <c r="AH172" s="543">
        <f t="shared" si="62"/>
        <v>2695.5</v>
      </c>
      <c r="AI172" s="520">
        <v>0</v>
      </c>
      <c r="AJ172" s="484"/>
      <c r="AK172" s="484">
        <f t="shared" si="74"/>
        <v>0</v>
      </c>
      <c r="AL172" s="545">
        <f t="shared" si="64"/>
        <v>0</v>
      </c>
      <c r="AM172" s="526">
        <v>9104.4828042328045</v>
      </c>
      <c r="AN172" s="485"/>
      <c r="AO172" s="485">
        <f t="shared" si="75"/>
        <v>4552.2414021164022</v>
      </c>
      <c r="AP172" s="543">
        <f t="shared" si="66"/>
        <v>4552.2414021164022</v>
      </c>
      <c r="AQ172" s="530">
        <f t="shared" si="67"/>
        <v>4552.2414021164022</v>
      </c>
    </row>
    <row r="173" spans="1:43" x14ac:dyDescent="0.55000000000000004">
      <c r="A173" s="316" t="s">
        <v>250</v>
      </c>
      <c r="B173" s="218" t="s">
        <v>251</v>
      </c>
      <c r="C173" s="218" t="s">
        <v>262</v>
      </c>
      <c r="D173" s="105" t="s">
        <v>263</v>
      </c>
      <c r="E173" s="100"/>
      <c r="F173" s="34"/>
      <c r="G173" s="34"/>
      <c r="H173" s="480">
        <v>5555.8571428571404</v>
      </c>
      <c r="I173" s="480" t="s">
        <v>414</v>
      </c>
      <c r="J173" s="490">
        <v>3</v>
      </c>
      <c r="K173" s="504">
        <v>833.37857142857104</v>
      </c>
      <c r="L173" s="482"/>
      <c r="M173" s="482">
        <f t="shared" si="68"/>
        <v>416.68928571428552</v>
      </c>
      <c r="N173" s="536">
        <f t="shared" si="52"/>
        <v>416.68928571428552</v>
      </c>
      <c r="O173" s="496">
        <v>297.01612285714276</v>
      </c>
      <c r="P173" s="483"/>
      <c r="Q173" s="483">
        <f t="shared" si="69"/>
        <v>148.50806142857138</v>
      </c>
      <c r="R173" s="541">
        <f t="shared" si="54"/>
        <v>148.50806142857138</v>
      </c>
      <c r="S173" s="515">
        <v>1813.2198107737402</v>
      </c>
      <c r="T173" s="483"/>
      <c r="U173" s="483">
        <f t="shared" si="70"/>
        <v>906.60990538687008</v>
      </c>
      <c r="V173" s="543">
        <f t="shared" si="56"/>
        <v>906.60990538687008</v>
      </c>
      <c r="W173" s="515">
        <v>3810.5358411483567</v>
      </c>
      <c r="X173" s="483"/>
      <c r="Y173" s="483">
        <f t="shared" si="71"/>
        <v>1905.2679205741783</v>
      </c>
      <c r="Z173" s="543">
        <f t="shared" si="58"/>
        <v>1905.2679205741783</v>
      </c>
      <c r="AA173" s="515">
        <v>2302.1554547108562</v>
      </c>
      <c r="AB173" s="483"/>
      <c r="AC173" s="483">
        <f t="shared" si="72"/>
        <v>1151.0777273554281</v>
      </c>
      <c r="AD173" s="543">
        <f t="shared" si="60"/>
        <v>1151.0777273554281</v>
      </c>
      <c r="AE173" s="515">
        <v>3812</v>
      </c>
      <c r="AF173" s="483"/>
      <c r="AG173" s="483">
        <f t="shared" si="73"/>
        <v>1906</v>
      </c>
      <c r="AH173" s="543">
        <f t="shared" si="62"/>
        <v>1906</v>
      </c>
      <c r="AI173" s="520">
        <v>3472.4107142857129</v>
      </c>
      <c r="AJ173" s="484"/>
      <c r="AK173" s="484">
        <f t="shared" si="74"/>
        <v>1736.2053571428564</v>
      </c>
      <c r="AL173" s="545">
        <f t="shared" si="64"/>
        <v>1736.2053571428564</v>
      </c>
      <c r="AM173" s="526">
        <v>1624.8261455525599</v>
      </c>
      <c r="AN173" s="485"/>
      <c r="AO173" s="485">
        <f t="shared" si="75"/>
        <v>812.41307277627993</v>
      </c>
      <c r="AP173" s="543">
        <f t="shared" si="66"/>
        <v>812.41307277627993</v>
      </c>
      <c r="AQ173" s="530">
        <f t="shared" si="67"/>
        <v>1906</v>
      </c>
    </row>
    <row r="174" spans="1:43" x14ac:dyDescent="0.55000000000000004">
      <c r="A174" s="316" t="s">
        <v>250</v>
      </c>
      <c r="B174" s="218" t="s">
        <v>251</v>
      </c>
      <c r="C174" s="218" t="s">
        <v>264</v>
      </c>
      <c r="D174" s="105" t="s">
        <v>265</v>
      </c>
      <c r="E174" s="100"/>
      <c r="F174" s="34"/>
      <c r="G174" s="34"/>
      <c r="H174" s="480">
        <v>33159.142857142899</v>
      </c>
      <c r="I174" s="480" t="s">
        <v>414</v>
      </c>
      <c r="J174" s="490">
        <v>4</v>
      </c>
      <c r="K174" s="504">
        <v>4973.871428571435</v>
      </c>
      <c r="L174" s="482"/>
      <c r="M174" s="482"/>
      <c r="N174" s="536">
        <f t="shared" si="52"/>
        <v>0</v>
      </c>
      <c r="O174" s="496">
        <v>2180.8337188285741</v>
      </c>
      <c r="P174" s="483"/>
      <c r="Q174" s="483"/>
      <c r="R174" s="541">
        <f t="shared" si="54"/>
        <v>0</v>
      </c>
      <c r="S174" s="515">
        <v>10792.352511601137</v>
      </c>
      <c r="T174" s="483"/>
      <c r="U174" s="483"/>
      <c r="V174" s="543">
        <f t="shared" si="56"/>
        <v>0</v>
      </c>
      <c r="W174" s="515">
        <v>8030.1261699276547</v>
      </c>
      <c r="X174" s="483"/>
      <c r="Y174" s="483"/>
      <c r="Z174" s="543">
        <f t="shared" si="58"/>
        <v>0</v>
      </c>
      <c r="AA174" s="515">
        <v>17319.565796218794</v>
      </c>
      <c r="AB174" s="483"/>
      <c r="AC174" s="483"/>
      <c r="AD174" s="543">
        <f t="shared" si="60"/>
        <v>0</v>
      </c>
      <c r="AE174" s="515">
        <v>21427</v>
      </c>
      <c r="AF174" s="483"/>
      <c r="AG174" s="483"/>
      <c r="AH174" s="543">
        <f t="shared" si="62"/>
        <v>0</v>
      </c>
      <c r="AI174" s="520">
        <v>3789.6163265306172</v>
      </c>
      <c r="AJ174" s="484"/>
      <c r="AK174" s="484"/>
      <c r="AL174" s="545">
        <f t="shared" si="64"/>
        <v>0</v>
      </c>
      <c r="AM174" s="526">
        <v>11466.245660881188</v>
      </c>
      <c r="AN174" s="485"/>
      <c r="AO174" s="485"/>
      <c r="AP174" s="543">
        <f t="shared" si="66"/>
        <v>0</v>
      </c>
      <c r="AQ174" s="530">
        <f t="shared" si="67"/>
        <v>0</v>
      </c>
    </row>
    <row r="175" spans="1:43" x14ac:dyDescent="0.55000000000000004">
      <c r="A175" s="316" t="s">
        <v>250</v>
      </c>
      <c r="B175" s="218" t="s">
        <v>251</v>
      </c>
      <c r="C175" s="218" t="s">
        <v>266</v>
      </c>
      <c r="D175" s="105" t="s">
        <v>267</v>
      </c>
      <c r="E175" s="100"/>
      <c r="F175" s="34"/>
      <c r="G175" s="34"/>
      <c r="H175" s="480">
        <v>9209.5714285714294</v>
      </c>
      <c r="I175" s="480" t="s">
        <v>414</v>
      </c>
      <c r="J175" s="490">
        <v>4</v>
      </c>
      <c r="K175" s="504">
        <v>1381.4357142857143</v>
      </c>
      <c r="L175" s="482"/>
      <c r="M175" s="482"/>
      <c r="N175" s="536">
        <f t="shared" si="52"/>
        <v>0</v>
      </c>
      <c r="O175" s="496">
        <v>1030.3484322857144</v>
      </c>
      <c r="P175" s="483"/>
      <c r="Q175" s="483"/>
      <c r="R175" s="541">
        <f t="shared" si="54"/>
        <v>0</v>
      </c>
      <c r="S175" s="515">
        <v>4488.2800443609649</v>
      </c>
      <c r="T175" s="483"/>
      <c r="U175" s="483"/>
      <c r="V175" s="543">
        <f t="shared" si="56"/>
        <v>0</v>
      </c>
      <c r="W175" s="515">
        <v>5171.175513848053</v>
      </c>
      <c r="X175" s="483"/>
      <c r="Y175" s="483"/>
      <c r="Z175" s="543">
        <f t="shared" si="58"/>
        <v>0</v>
      </c>
      <c r="AA175" s="515">
        <v>7293.5618992240752</v>
      </c>
      <c r="AB175" s="483"/>
      <c r="AC175" s="483"/>
      <c r="AD175" s="543">
        <f t="shared" si="60"/>
        <v>0</v>
      </c>
      <c r="AE175" s="515">
        <v>5385</v>
      </c>
      <c r="AF175" s="483"/>
      <c r="AG175" s="483"/>
      <c r="AH175" s="543">
        <f t="shared" si="62"/>
        <v>0</v>
      </c>
      <c r="AI175" s="520">
        <v>7367.6571428571442</v>
      </c>
      <c r="AJ175" s="484"/>
      <c r="AK175" s="484"/>
      <c r="AL175" s="545">
        <f t="shared" si="64"/>
        <v>0</v>
      </c>
      <c r="AM175" s="526">
        <v>6362.976623376624</v>
      </c>
      <c r="AN175" s="485"/>
      <c r="AO175" s="485"/>
      <c r="AP175" s="543">
        <f t="shared" si="66"/>
        <v>0</v>
      </c>
      <c r="AQ175" s="530">
        <f t="shared" si="67"/>
        <v>0</v>
      </c>
    </row>
    <row r="176" spans="1:43" x14ac:dyDescent="0.55000000000000004">
      <c r="A176" s="316" t="s">
        <v>268</v>
      </c>
      <c r="B176" s="218" t="s">
        <v>269</v>
      </c>
      <c r="C176" s="218" t="s">
        <v>270</v>
      </c>
      <c r="D176" s="105" t="s">
        <v>271</v>
      </c>
      <c r="E176" s="100"/>
      <c r="F176" s="34"/>
      <c r="G176" s="34"/>
      <c r="H176" s="480">
        <v>6904.2601395402035</v>
      </c>
      <c r="I176" s="480" t="s">
        <v>414</v>
      </c>
      <c r="J176" s="490">
        <v>1</v>
      </c>
      <c r="K176" s="504">
        <v>1035.6390209310305</v>
      </c>
      <c r="L176" s="482">
        <f t="shared" si="51"/>
        <v>1035.6390209310305</v>
      </c>
      <c r="M176" s="482"/>
      <c r="N176" s="536">
        <f t="shared" si="52"/>
        <v>1035.6390209310305</v>
      </c>
      <c r="O176" s="496">
        <v>1361.7410358417935</v>
      </c>
      <c r="P176" s="483">
        <f t="shared" si="53"/>
        <v>1361.7410358417935</v>
      </c>
      <c r="Q176" s="483"/>
      <c r="R176" s="541">
        <f t="shared" si="54"/>
        <v>1361.7410358417935</v>
      </c>
      <c r="S176" s="515">
        <v>3071.9868399525189</v>
      </c>
      <c r="T176" s="483">
        <f t="shared" si="55"/>
        <v>3071.9868399525189</v>
      </c>
      <c r="U176" s="483"/>
      <c r="V176" s="543">
        <f t="shared" si="56"/>
        <v>3071.9868399525189</v>
      </c>
      <c r="W176" s="515">
        <v>5932.133306451582</v>
      </c>
      <c r="X176" s="483">
        <f t="shared" si="57"/>
        <v>5932.133306451582</v>
      </c>
      <c r="Y176" s="483"/>
      <c r="Z176" s="543">
        <f t="shared" si="58"/>
        <v>0</v>
      </c>
      <c r="AA176" s="515">
        <v>3695.9172905173059</v>
      </c>
      <c r="AB176" s="483">
        <f t="shared" si="59"/>
        <v>3695.9172905173059</v>
      </c>
      <c r="AC176" s="483"/>
      <c r="AD176" s="543">
        <f t="shared" si="60"/>
        <v>3695.9172905173059</v>
      </c>
      <c r="AE176" s="515">
        <v>5270</v>
      </c>
      <c r="AF176" s="483">
        <f t="shared" si="61"/>
        <v>5270</v>
      </c>
      <c r="AG176" s="483"/>
      <c r="AH176" s="543">
        <f t="shared" si="62"/>
        <v>5270</v>
      </c>
      <c r="AI176" s="520">
        <v>6904.2601395402035</v>
      </c>
      <c r="AJ176" s="484">
        <f t="shared" si="63"/>
        <v>6904.2601395402035</v>
      </c>
      <c r="AK176" s="484"/>
      <c r="AL176" s="545">
        <f t="shared" si="64"/>
        <v>6904.2601395402035</v>
      </c>
      <c r="AM176" s="526">
        <v>3452.1300697701017</v>
      </c>
      <c r="AN176" s="485">
        <f t="shared" si="65"/>
        <v>3452.1300697701017</v>
      </c>
      <c r="AO176" s="485"/>
      <c r="AP176" s="543">
        <f t="shared" si="66"/>
        <v>3452.1300697701017</v>
      </c>
      <c r="AQ176" s="530">
        <f t="shared" si="67"/>
        <v>6904.2601395402035</v>
      </c>
    </row>
    <row r="177" spans="1:43" x14ac:dyDescent="0.55000000000000004">
      <c r="A177" s="316" t="s">
        <v>268</v>
      </c>
      <c r="B177" s="218" t="s">
        <v>269</v>
      </c>
      <c r="C177" s="218" t="s">
        <v>272</v>
      </c>
      <c r="D177" s="105" t="s">
        <v>273</v>
      </c>
      <c r="E177" s="100"/>
      <c r="F177" s="34"/>
      <c r="G177" s="34"/>
      <c r="H177" s="480">
        <v>19402.803122498015</v>
      </c>
      <c r="I177" s="480" t="s">
        <v>414</v>
      </c>
      <c r="J177" s="490">
        <v>2</v>
      </c>
      <c r="K177" s="504">
        <v>2910.4204683747021</v>
      </c>
      <c r="L177" s="482">
        <f t="shared" si="51"/>
        <v>2910.4204683747021</v>
      </c>
      <c r="M177" s="482"/>
      <c r="N177" s="536">
        <f t="shared" si="52"/>
        <v>2910.4204683747021</v>
      </c>
      <c r="O177" s="496">
        <v>2673.8614927052067</v>
      </c>
      <c r="P177" s="483">
        <f t="shared" si="53"/>
        <v>2673.8614927052067</v>
      </c>
      <c r="Q177" s="483"/>
      <c r="R177" s="541">
        <f t="shared" si="54"/>
        <v>2673.8614927052067</v>
      </c>
      <c r="S177" s="515">
        <v>6433.0138549927296</v>
      </c>
      <c r="T177" s="483">
        <f t="shared" si="55"/>
        <v>6433.0138549927296</v>
      </c>
      <c r="U177" s="483"/>
      <c r="V177" s="543">
        <f t="shared" si="56"/>
        <v>6433.0138549927296</v>
      </c>
      <c r="W177" s="515">
        <v>14354.844208934554</v>
      </c>
      <c r="X177" s="483">
        <f t="shared" si="57"/>
        <v>14354.844208934554</v>
      </c>
      <c r="Y177" s="483"/>
      <c r="Z177" s="543">
        <f t="shared" si="58"/>
        <v>0</v>
      </c>
      <c r="AA177" s="515">
        <v>8711.9275669939452</v>
      </c>
      <c r="AB177" s="483">
        <f t="shared" si="59"/>
        <v>8711.9275669939452</v>
      </c>
      <c r="AC177" s="483"/>
      <c r="AD177" s="543">
        <f t="shared" si="60"/>
        <v>8711.9275669939452</v>
      </c>
      <c r="AE177" s="515">
        <v>13028</v>
      </c>
      <c r="AF177" s="483">
        <f t="shared" si="61"/>
        <v>13028</v>
      </c>
      <c r="AG177" s="483"/>
      <c r="AH177" s="543">
        <f t="shared" si="62"/>
        <v>13028</v>
      </c>
      <c r="AI177" s="520">
        <v>11906.265552441964</v>
      </c>
      <c r="AJ177" s="484">
        <f t="shared" si="63"/>
        <v>11906.265552441964</v>
      </c>
      <c r="AK177" s="484"/>
      <c r="AL177" s="545">
        <f t="shared" si="64"/>
        <v>11906.265552441964</v>
      </c>
      <c r="AM177" s="526">
        <v>16563.368519205622</v>
      </c>
      <c r="AN177" s="485">
        <f t="shared" si="65"/>
        <v>16563.368519205622</v>
      </c>
      <c r="AO177" s="485"/>
      <c r="AP177" s="543">
        <f t="shared" si="66"/>
        <v>16563.368519205622</v>
      </c>
      <c r="AQ177" s="530">
        <f t="shared" si="67"/>
        <v>16563.368519205622</v>
      </c>
    </row>
    <row r="178" spans="1:43" x14ac:dyDescent="0.55000000000000004">
      <c r="A178" s="316" t="s">
        <v>268</v>
      </c>
      <c r="B178" s="218" t="s">
        <v>269</v>
      </c>
      <c r="C178" s="218" t="s">
        <v>274</v>
      </c>
      <c r="D178" s="105" t="s">
        <v>275</v>
      </c>
      <c r="E178" s="100"/>
      <c r="F178" s="34"/>
      <c r="G178" s="34"/>
      <c r="H178" s="480">
        <v>16703</v>
      </c>
      <c r="I178" s="480" t="s">
        <v>414</v>
      </c>
      <c r="J178" s="490">
        <v>4</v>
      </c>
      <c r="K178" s="504">
        <v>2505.4499999999998</v>
      </c>
      <c r="L178" s="482"/>
      <c r="M178" s="482"/>
      <c r="N178" s="536">
        <f t="shared" si="52"/>
        <v>0</v>
      </c>
      <c r="O178" s="496">
        <v>3377.8476900000001</v>
      </c>
      <c r="P178" s="483"/>
      <c r="Q178" s="483"/>
      <c r="R178" s="541">
        <f t="shared" si="54"/>
        <v>0</v>
      </c>
      <c r="S178" s="515">
        <v>6415.9295294799977</v>
      </c>
      <c r="T178" s="483"/>
      <c r="U178" s="483"/>
      <c r="V178" s="543">
        <f t="shared" si="56"/>
        <v>0</v>
      </c>
      <c r="W178" s="515">
        <v>3990.7633766061545</v>
      </c>
      <c r="X178" s="483"/>
      <c r="Y178" s="483"/>
      <c r="Z178" s="543">
        <f t="shared" si="58"/>
        <v>0</v>
      </c>
      <c r="AA178" s="515">
        <v>9278.9643798115412</v>
      </c>
      <c r="AB178" s="483"/>
      <c r="AC178" s="483"/>
      <c r="AD178" s="543">
        <f t="shared" si="60"/>
        <v>0</v>
      </c>
      <c r="AE178" s="515">
        <v>11075</v>
      </c>
      <c r="AF178" s="483"/>
      <c r="AG178" s="483"/>
      <c r="AH178" s="543">
        <f t="shared" si="62"/>
        <v>0</v>
      </c>
      <c r="AI178" s="520">
        <v>16703</v>
      </c>
      <c r="AJ178" s="484"/>
      <c r="AK178" s="484"/>
      <c r="AL178" s="545">
        <f t="shared" si="64"/>
        <v>0</v>
      </c>
      <c r="AM178" s="526">
        <v>7887.5277777777774</v>
      </c>
      <c r="AN178" s="485"/>
      <c r="AO178" s="485"/>
      <c r="AP178" s="543">
        <f t="shared" si="66"/>
        <v>0</v>
      </c>
      <c r="AQ178" s="530">
        <f t="shared" si="67"/>
        <v>0</v>
      </c>
    </row>
    <row r="179" spans="1:43" x14ac:dyDescent="0.55000000000000004">
      <c r="A179" s="316" t="s">
        <v>268</v>
      </c>
      <c r="B179" s="218" t="s">
        <v>269</v>
      </c>
      <c r="C179" s="218" t="s">
        <v>276</v>
      </c>
      <c r="D179" s="105" t="s">
        <v>277</v>
      </c>
      <c r="E179" s="100"/>
      <c r="F179" s="34"/>
      <c r="G179" s="34"/>
      <c r="H179" s="480">
        <v>1206</v>
      </c>
      <c r="I179" s="480" t="s">
        <v>414</v>
      </c>
      <c r="J179" s="490">
        <v>1</v>
      </c>
      <c r="K179" s="504">
        <v>180.9</v>
      </c>
      <c r="L179" s="482">
        <f t="shared" si="51"/>
        <v>180.9</v>
      </c>
      <c r="M179" s="482"/>
      <c r="N179" s="536">
        <f t="shared" si="52"/>
        <v>180.9</v>
      </c>
      <c r="O179" s="496">
        <v>196.24273199999999</v>
      </c>
      <c r="P179" s="483">
        <f t="shared" si="53"/>
        <v>196.24273199999999</v>
      </c>
      <c r="Q179" s="483"/>
      <c r="R179" s="541">
        <f t="shared" si="54"/>
        <v>196.24273199999999</v>
      </c>
      <c r="S179" s="515">
        <v>456.88047877546308</v>
      </c>
      <c r="T179" s="483">
        <f t="shared" si="55"/>
        <v>456.88047877546308</v>
      </c>
      <c r="U179" s="483"/>
      <c r="V179" s="543">
        <f t="shared" si="56"/>
        <v>456.88047877546308</v>
      </c>
      <c r="W179" s="515">
        <v>1059.5901370629763</v>
      </c>
      <c r="X179" s="483">
        <f t="shared" si="57"/>
        <v>1059.5901370629763</v>
      </c>
      <c r="Y179" s="483"/>
      <c r="Z179" s="543">
        <f t="shared" si="58"/>
        <v>0</v>
      </c>
      <c r="AA179" s="515">
        <v>888.41415553740876</v>
      </c>
      <c r="AB179" s="483">
        <f t="shared" si="59"/>
        <v>888.41415553740876</v>
      </c>
      <c r="AC179" s="483"/>
      <c r="AD179" s="543">
        <f t="shared" si="60"/>
        <v>888.41415553740876</v>
      </c>
      <c r="AE179" s="515">
        <v>965</v>
      </c>
      <c r="AF179" s="483">
        <f t="shared" si="61"/>
        <v>965</v>
      </c>
      <c r="AG179" s="483"/>
      <c r="AH179" s="543">
        <f t="shared" si="62"/>
        <v>965</v>
      </c>
      <c r="AI179" s="520">
        <v>0</v>
      </c>
      <c r="AJ179" s="484">
        <f t="shared" si="63"/>
        <v>0</v>
      </c>
      <c r="AK179" s="484"/>
      <c r="AL179" s="545">
        <f t="shared" si="64"/>
        <v>0</v>
      </c>
      <c r="AM179" s="526">
        <v>1161.3333333333333</v>
      </c>
      <c r="AN179" s="485">
        <f t="shared" si="65"/>
        <v>1161.3333333333333</v>
      </c>
      <c r="AO179" s="485"/>
      <c r="AP179" s="543">
        <f t="shared" si="66"/>
        <v>1161.3333333333333</v>
      </c>
      <c r="AQ179" s="530">
        <f t="shared" si="67"/>
        <v>1161.3333333333333</v>
      </c>
    </row>
    <row r="180" spans="1:43" x14ac:dyDescent="0.55000000000000004">
      <c r="A180" s="316" t="s">
        <v>268</v>
      </c>
      <c r="B180" s="218" t="s">
        <v>269</v>
      </c>
      <c r="C180" s="218" t="s">
        <v>278</v>
      </c>
      <c r="D180" s="105" t="s">
        <v>279</v>
      </c>
      <c r="E180" s="100"/>
      <c r="F180" s="34"/>
      <c r="G180" s="34"/>
      <c r="H180" s="480">
        <v>9262.1428571428605</v>
      </c>
      <c r="I180" s="480" t="s">
        <v>414</v>
      </c>
      <c r="J180" s="490">
        <v>2</v>
      </c>
      <c r="K180" s="504">
        <v>1389.3214285714291</v>
      </c>
      <c r="L180" s="482">
        <f t="shared" si="51"/>
        <v>1389.3214285714291</v>
      </c>
      <c r="M180" s="482"/>
      <c r="N180" s="536">
        <f t="shared" si="52"/>
        <v>1389.3214285714291</v>
      </c>
      <c r="O180" s="496">
        <v>887.40590714285759</v>
      </c>
      <c r="P180" s="483">
        <f t="shared" si="53"/>
        <v>887.40590714285759</v>
      </c>
      <c r="Q180" s="483"/>
      <c r="R180" s="541">
        <f t="shared" si="54"/>
        <v>887.40590714285759</v>
      </c>
      <c r="S180" s="515">
        <v>3511.5721042289201</v>
      </c>
      <c r="T180" s="483">
        <f t="shared" si="55"/>
        <v>3511.5721042289201</v>
      </c>
      <c r="U180" s="483"/>
      <c r="V180" s="543">
        <f t="shared" si="56"/>
        <v>3511.5721042289201</v>
      </c>
      <c r="W180" s="515">
        <v>6460.6905099793312</v>
      </c>
      <c r="X180" s="483">
        <f t="shared" si="57"/>
        <v>6460.6905099793312</v>
      </c>
      <c r="Y180" s="483"/>
      <c r="Z180" s="543">
        <f t="shared" si="58"/>
        <v>0</v>
      </c>
      <c r="AA180" s="515">
        <v>6160.8436802923252</v>
      </c>
      <c r="AB180" s="483">
        <f t="shared" si="59"/>
        <v>6160.8436802923252</v>
      </c>
      <c r="AC180" s="483"/>
      <c r="AD180" s="543">
        <f t="shared" si="60"/>
        <v>6160.8436802923252</v>
      </c>
      <c r="AE180" s="515">
        <v>6483</v>
      </c>
      <c r="AF180" s="483">
        <f t="shared" si="61"/>
        <v>6483</v>
      </c>
      <c r="AG180" s="483"/>
      <c r="AH180" s="543">
        <f t="shared" si="62"/>
        <v>6483</v>
      </c>
      <c r="AI180" s="520">
        <v>9262.1428571428605</v>
      </c>
      <c r="AJ180" s="484">
        <f t="shared" si="63"/>
        <v>9262.1428571428605</v>
      </c>
      <c r="AK180" s="484"/>
      <c r="AL180" s="545">
        <f t="shared" si="64"/>
        <v>9262.1428571428605</v>
      </c>
      <c r="AM180" s="526">
        <v>4373.7896825396838</v>
      </c>
      <c r="AN180" s="485">
        <f t="shared" si="65"/>
        <v>4373.7896825396838</v>
      </c>
      <c r="AO180" s="485"/>
      <c r="AP180" s="543">
        <f t="shared" si="66"/>
        <v>4373.7896825396838</v>
      </c>
      <c r="AQ180" s="530">
        <f t="shared" si="67"/>
        <v>9262.1428571428605</v>
      </c>
    </row>
    <row r="181" spans="1:43" x14ac:dyDescent="0.55000000000000004">
      <c r="A181" s="316" t="s">
        <v>268</v>
      </c>
      <c r="B181" s="218" t="s">
        <v>269</v>
      </c>
      <c r="C181" s="218" t="s">
        <v>280</v>
      </c>
      <c r="D181" s="105" t="s">
        <v>281</v>
      </c>
      <c r="E181" s="100"/>
      <c r="F181" s="34"/>
      <c r="G181" s="34"/>
      <c r="H181" s="480">
        <v>33686.173990621071</v>
      </c>
      <c r="I181" s="480" t="s">
        <v>414</v>
      </c>
      <c r="J181" s="490">
        <v>1</v>
      </c>
      <c r="K181" s="504">
        <v>5052.9260985931605</v>
      </c>
      <c r="L181" s="482">
        <f t="shared" si="51"/>
        <v>5052.9260985931605</v>
      </c>
      <c r="M181" s="482"/>
      <c r="N181" s="536">
        <f t="shared" si="52"/>
        <v>5052.9260985931605</v>
      </c>
      <c r="O181" s="496">
        <v>12598.62907249228</v>
      </c>
      <c r="P181" s="483">
        <f t="shared" si="53"/>
        <v>12598.62907249228</v>
      </c>
      <c r="Q181" s="483"/>
      <c r="R181" s="541">
        <f t="shared" si="54"/>
        <v>12598.62907249228</v>
      </c>
      <c r="S181" s="515">
        <v>11379.993898109744</v>
      </c>
      <c r="T181" s="483">
        <f t="shared" si="55"/>
        <v>11379.993898109744</v>
      </c>
      <c r="U181" s="483"/>
      <c r="V181" s="543">
        <f t="shared" si="56"/>
        <v>11379.993898109744</v>
      </c>
      <c r="W181" s="515">
        <v>29223.698286312181</v>
      </c>
      <c r="X181" s="483">
        <f t="shared" si="57"/>
        <v>29223.698286312181</v>
      </c>
      <c r="Y181" s="483"/>
      <c r="Z181" s="543">
        <f t="shared" si="58"/>
        <v>0</v>
      </c>
      <c r="AA181" s="515">
        <v>21940.109943774314</v>
      </c>
      <c r="AB181" s="483">
        <f t="shared" si="59"/>
        <v>21940.109943774314</v>
      </c>
      <c r="AC181" s="483"/>
      <c r="AD181" s="543">
        <f t="shared" si="60"/>
        <v>21940.109943774314</v>
      </c>
      <c r="AE181" s="515">
        <v>25587</v>
      </c>
      <c r="AF181" s="483">
        <f t="shared" si="61"/>
        <v>25587</v>
      </c>
      <c r="AG181" s="483"/>
      <c r="AH181" s="543">
        <f t="shared" si="62"/>
        <v>25587</v>
      </c>
      <c r="AI181" s="520">
        <v>33686.173990621071</v>
      </c>
      <c r="AJ181" s="484">
        <f t="shared" si="63"/>
        <v>33686.173990621071</v>
      </c>
      <c r="AK181" s="484"/>
      <c r="AL181" s="545">
        <f t="shared" si="64"/>
        <v>33686.173990621071</v>
      </c>
      <c r="AM181" s="526">
        <v>26512.26656669251</v>
      </c>
      <c r="AN181" s="485">
        <f t="shared" si="65"/>
        <v>26512.26656669251</v>
      </c>
      <c r="AO181" s="485"/>
      <c r="AP181" s="543">
        <f t="shared" si="66"/>
        <v>26512.26656669251</v>
      </c>
      <c r="AQ181" s="530">
        <f t="shared" si="67"/>
        <v>33686.173990621071</v>
      </c>
    </row>
    <row r="182" spans="1:43" x14ac:dyDescent="0.55000000000000004">
      <c r="A182" s="316" t="s">
        <v>268</v>
      </c>
      <c r="B182" s="218" t="s">
        <v>269</v>
      </c>
      <c r="C182" s="218" t="s">
        <v>282</v>
      </c>
      <c r="D182" s="105" t="s">
        <v>283</v>
      </c>
      <c r="E182" s="100"/>
      <c r="F182" s="34"/>
      <c r="G182" s="34"/>
      <c r="H182" s="480">
        <v>13146.5714285714</v>
      </c>
      <c r="I182" s="480" t="s">
        <v>414</v>
      </c>
      <c r="J182" s="490">
        <v>2</v>
      </c>
      <c r="K182" s="504">
        <v>1971.9857142857099</v>
      </c>
      <c r="L182" s="482">
        <f t="shared" si="51"/>
        <v>1971.9857142857099</v>
      </c>
      <c r="M182" s="482"/>
      <c r="N182" s="536">
        <f t="shared" si="52"/>
        <v>1971.9857142857099</v>
      </c>
      <c r="O182" s="496">
        <v>4569.4931850857047</v>
      </c>
      <c r="P182" s="483">
        <f t="shared" si="53"/>
        <v>4569.4931850857047</v>
      </c>
      <c r="Q182" s="483"/>
      <c r="R182" s="541">
        <f t="shared" si="54"/>
        <v>4569.4931850857047</v>
      </c>
      <c r="S182" s="515">
        <v>5483.8445101092939</v>
      </c>
      <c r="T182" s="483">
        <f t="shared" si="55"/>
        <v>5483.8445101092939</v>
      </c>
      <c r="U182" s="483"/>
      <c r="V182" s="543">
        <f t="shared" si="56"/>
        <v>5483.8445101092939</v>
      </c>
      <c r="W182" s="515">
        <v>9851.9936448832923</v>
      </c>
      <c r="X182" s="483">
        <f t="shared" si="57"/>
        <v>9851.9936448832923</v>
      </c>
      <c r="Y182" s="483"/>
      <c r="Z182" s="543">
        <f t="shared" si="58"/>
        <v>0</v>
      </c>
      <c r="AA182" s="515">
        <v>9268.3704100687301</v>
      </c>
      <c r="AB182" s="483">
        <f t="shared" si="59"/>
        <v>9268.3704100687301</v>
      </c>
      <c r="AC182" s="483"/>
      <c r="AD182" s="543">
        <f t="shared" si="60"/>
        <v>9268.3704100687301</v>
      </c>
      <c r="AE182" s="515">
        <v>8751</v>
      </c>
      <c r="AF182" s="483">
        <f t="shared" si="61"/>
        <v>8751</v>
      </c>
      <c r="AG182" s="483"/>
      <c r="AH182" s="543">
        <f t="shared" si="62"/>
        <v>8751</v>
      </c>
      <c r="AI182" s="520">
        <v>9465.5314285714085</v>
      </c>
      <c r="AJ182" s="484">
        <f t="shared" si="63"/>
        <v>9465.5314285714085</v>
      </c>
      <c r="AK182" s="484"/>
      <c r="AL182" s="545">
        <f t="shared" si="64"/>
        <v>9465.5314285714085</v>
      </c>
      <c r="AM182" s="526">
        <v>9007.8359788359612</v>
      </c>
      <c r="AN182" s="485">
        <f t="shared" si="65"/>
        <v>9007.8359788359612</v>
      </c>
      <c r="AO182" s="485"/>
      <c r="AP182" s="543">
        <f t="shared" si="66"/>
        <v>9007.8359788359612</v>
      </c>
      <c r="AQ182" s="530">
        <f t="shared" si="67"/>
        <v>9465.5314285714085</v>
      </c>
    </row>
    <row r="183" spans="1:43" x14ac:dyDescent="0.55000000000000004">
      <c r="A183" s="316" t="s">
        <v>268</v>
      </c>
      <c r="B183" s="218" t="s">
        <v>269</v>
      </c>
      <c r="C183" s="218" t="s">
        <v>284</v>
      </c>
      <c r="D183" s="105" t="s">
        <v>285</v>
      </c>
      <c r="E183" s="100"/>
      <c r="F183" s="34"/>
      <c r="G183" s="34"/>
      <c r="H183" s="480">
        <v>4238</v>
      </c>
      <c r="I183" s="480" t="s">
        <v>414</v>
      </c>
      <c r="J183" s="490">
        <v>1</v>
      </c>
      <c r="K183" s="504">
        <v>635.69999999999993</v>
      </c>
      <c r="L183" s="482">
        <f t="shared" si="51"/>
        <v>635.69999999999993</v>
      </c>
      <c r="M183" s="482"/>
      <c r="N183" s="536">
        <f t="shared" si="52"/>
        <v>635.69999999999993</v>
      </c>
      <c r="O183" s="496">
        <v>1214.4158519999999</v>
      </c>
      <c r="P183" s="483">
        <f t="shared" si="53"/>
        <v>1214.4158519999999</v>
      </c>
      <c r="Q183" s="483"/>
      <c r="R183" s="541">
        <f t="shared" si="54"/>
        <v>1214.4158519999999</v>
      </c>
      <c r="S183" s="515">
        <v>1970.6236557123259</v>
      </c>
      <c r="T183" s="483">
        <f t="shared" si="55"/>
        <v>1970.6236557123259</v>
      </c>
      <c r="U183" s="483"/>
      <c r="V183" s="543">
        <f t="shared" si="56"/>
        <v>1970.6236557123259</v>
      </c>
      <c r="W183" s="515">
        <v>3385.7427540437307</v>
      </c>
      <c r="X183" s="483">
        <f t="shared" si="57"/>
        <v>3385.7427540437307</v>
      </c>
      <c r="Y183" s="483"/>
      <c r="Z183" s="543">
        <f t="shared" si="58"/>
        <v>0</v>
      </c>
      <c r="AA183" s="515">
        <v>2581.3377959227432</v>
      </c>
      <c r="AB183" s="483">
        <f t="shared" si="59"/>
        <v>2581.3377959227432</v>
      </c>
      <c r="AC183" s="483"/>
      <c r="AD183" s="543">
        <f t="shared" si="60"/>
        <v>2581.3377959227432</v>
      </c>
      <c r="AE183" s="515">
        <v>2967</v>
      </c>
      <c r="AF183" s="483">
        <f t="shared" si="61"/>
        <v>2967</v>
      </c>
      <c r="AG183" s="483"/>
      <c r="AH183" s="543">
        <f t="shared" si="62"/>
        <v>2967</v>
      </c>
      <c r="AI183" s="520">
        <v>2421.7142857142858</v>
      </c>
      <c r="AJ183" s="484">
        <f t="shared" si="63"/>
        <v>2421.7142857142858</v>
      </c>
      <c r="AK183" s="484"/>
      <c r="AL183" s="545">
        <f t="shared" si="64"/>
        <v>2421.7142857142858</v>
      </c>
      <c r="AM183" s="526">
        <v>3453.1851851851857</v>
      </c>
      <c r="AN183" s="485">
        <f t="shared" si="65"/>
        <v>3453.1851851851857</v>
      </c>
      <c r="AO183" s="485"/>
      <c r="AP183" s="543">
        <f t="shared" si="66"/>
        <v>3453.1851851851857</v>
      </c>
      <c r="AQ183" s="530">
        <f t="shared" si="67"/>
        <v>3453.1851851851857</v>
      </c>
    </row>
    <row r="184" spans="1:43" x14ac:dyDescent="0.55000000000000004">
      <c r="A184" s="316" t="s">
        <v>268</v>
      </c>
      <c r="B184" s="218" t="s">
        <v>269</v>
      </c>
      <c r="C184" s="218" t="s">
        <v>286</v>
      </c>
      <c r="D184" s="105" t="s">
        <v>287</v>
      </c>
      <c r="E184" s="100"/>
      <c r="F184" s="34"/>
      <c r="G184" s="34"/>
      <c r="H184" s="480">
        <v>2811.1428571428601</v>
      </c>
      <c r="I184" s="480" t="s">
        <v>414</v>
      </c>
      <c r="J184" s="490">
        <v>3</v>
      </c>
      <c r="K184" s="504">
        <v>421.67142857142898</v>
      </c>
      <c r="L184" s="482"/>
      <c r="M184" s="482">
        <f t="shared" si="68"/>
        <v>210.83571428571449</v>
      </c>
      <c r="N184" s="536">
        <f t="shared" si="52"/>
        <v>210.83571428571449</v>
      </c>
      <c r="O184" s="496">
        <v>360.98447657142896</v>
      </c>
      <c r="P184" s="483"/>
      <c r="Q184" s="483">
        <f t="shared" si="69"/>
        <v>180.49223828571448</v>
      </c>
      <c r="R184" s="541">
        <f t="shared" si="54"/>
        <v>180.49223828571448</v>
      </c>
      <c r="S184" s="515">
        <v>968.04437881706997</v>
      </c>
      <c r="T184" s="483"/>
      <c r="U184" s="483">
        <f t="shared" si="70"/>
        <v>484.02218940853498</v>
      </c>
      <c r="V184" s="543">
        <f t="shared" si="56"/>
        <v>484.02218940853498</v>
      </c>
      <c r="W184" s="515">
        <v>1897.3825367609311</v>
      </c>
      <c r="X184" s="483"/>
      <c r="Y184" s="483">
        <f t="shared" si="71"/>
        <v>948.69126838046554</v>
      </c>
      <c r="Z184" s="543">
        <f t="shared" si="58"/>
        <v>948.69126838046554</v>
      </c>
      <c r="AA184" s="515">
        <v>1777.6937221190433</v>
      </c>
      <c r="AB184" s="483"/>
      <c r="AC184" s="483">
        <f t="shared" si="72"/>
        <v>888.84686105952164</v>
      </c>
      <c r="AD184" s="543">
        <f t="shared" si="60"/>
        <v>888.84686105952164</v>
      </c>
      <c r="AE184" s="515">
        <v>1968</v>
      </c>
      <c r="AF184" s="483"/>
      <c r="AG184" s="483">
        <f t="shared" si="73"/>
        <v>984</v>
      </c>
      <c r="AH184" s="543">
        <f t="shared" si="62"/>
        <v>984</v>
      </c>
      <c r="AI184" s="520">
        <v>2409.5510204081656</v>
      </c>
      <c r="AJ184" s="484"/>
      <c r="AK184" s="484">
        <f t="shared" si="74"/>
        <v>1204.7755102040828</v>
      </c>
      <c r="AL184" s="545">
        <f t="shared" si="64"/>
        <v>1204.7755102040828</v>
      </c>
      <c r="AM184" s="526">
        <v>103.16120576671047</v>
      </c>
      <c r="AN184" s="485"/>
      <c r="AO184" s="485">
        <f t="shared" si="75"/>
        <v>51.580602883355233</v>
      </c>
      <c r="AP184" s="543">
        <f t="shared" si="66"/>
        <v>51.580602883355233</v>
      </c>
      <c r="AQ184" s="530">
        <f t="shared" si="67"/>
        <v>1204.7755102040828</v>
      </c>
    </row>
    <row r="185" spans="1:43" x14ac:dyDescent="0.55000000000000004">
      <c r="A185" s="316" t="s">
        <v>268</v>
      </c>
      <c r="B185" s="218" t="s">
        <v>269</v>
      </c>
      <c r="C185" s="218" t="s">
        <v>288</v>
      </c>
      <c r="D185" s="105" t="s">
        <v>289</v>
      </c>
      <c r="E185" s="100"/>
      <c r="F185" s="34"/>
      <c r="G185" s="34"/>
      <c r="H185" s="480">
        <v>5169</v>
      </c>
      <c r="I185" s="480" t="s">
        <v>414</v>
      </c>
      <c r="J185" s="490">
        <v>2</v>
      </c>
      <c r="K185" s="504">
        <v>775.35</v>
      </c>
      <c r="L185" s="482">
        <f t="shared" si="51"/>
        <v>775.35</v>
      </c>
      <c r="M185" s="482"/>
      <c r="N185" s="536">
        <f t="shared" si="52"/>
        <v>775.35</v>
      </c>
      <c r="O185" s="496">
        <v>1679.9250000000002</v>
      </c>
      <c r="P185" s="483">
        <f t="shared" si="53"/>
        <v>1679.9250000000002</v>
      </c>
      <c r="Q185" s="483"/>
      <c r="R185" s="541">
        <f t="shared" si="54"/>
        <v>1679.9250000000002</v>
      </c>
      <c r="S185" s="515">
        <v>1993.9602399046814</v>
      </c>
      <c r="T185" s="483">
        <f t="shared" si="55"/>
        <v>1993.9602399046814</v>
      </c>
      <c r="U185" s="483"/>
      <c r="V185" s="543">
        <f t="shared" si="56"/>
        <v>1993.9602399046814</v>
      </c>
      <c r="W185" s="515">
        <v>3785.552719244839</v>
      </c>
      <c r="X185" s="483">
        <f t="shared" si="57"/>
        <v>3785.552719244839</v>
      </c>
      <c r="Y185" s="483"/>
      <c r="Z185" s="543">
        <f t="shared" si="58"/>
        <v>0</v>
      </c>
      <c r="AA185" s="515">
        <v>2881.5912221645549</v>
      </c>
      <c r="AB185" s="483">
        <f t="shared" si="59"/>
        <v>2881.5912221645549</v>
      </c>
      <c r="AC185" s="483"/>
      <c r="AD185" s="543">
        <f t="shared" si="60"/>
        <v>2881.5912221645549</v>
      </c>
      <c r="AE185" s="515">
        <v>3546</v>
      </c>
      <c r="AF185" s="483">
        <f t="shared" si="61"/>
        <v>3546</v>
      </c>
      <c r="AG185" s="483"/>
      <c r="AH185" s="543">
        <f t="shared" si="62"/>
        <v>3546</v>
      </c>
      <c r="AI185" s="520">
        <v>5169</v>
      </c>
      <c r="AJ185" s="484">
        <f t="shared" si="63"/>
        <v>5169</v>
      </c>
      <c r="AK185" s="484"/>
      <c r="AL185" s="545">
        <f t="shared" si="64"/>
        <v>5169</v>
      </c>
      <c r="AM185" s="526">
        <v>3446</v>
      </c>
      <c r="AN185" s="485">
        <f t="shared" si="65"/>
        <v>3446</v>
      </c>
      <c r="AO185" s="485"/>
      <c r="AP185" s="543">
        <f t="shared" si="66"/>
        <v>3446</v>
      </c>
      <c r="AQ185" s="530">
        <f t="shared" si="67"/>
        <v>5169</v>
      </c>
    </row>
    <row r="186" spans="1:43" x14ac:dyDescent="0.55000000000000004">
      <c r="A186" s="316" t="s">
        <v>268</v>
      </c>
      <c r="B186" s="218" t="s">
        <v>269</v>
      </c>
      <c r="C186" s="218" t="s">
        <v>290</v>
      </c>
      <c r="D186" s="105" t="s">
        <v>291</v>
      </c>
      <c r="E186" s="100"/>
      <c r="F186" s="34"/>
      <c r="G186" s="34"/>
      <c r="H186" s="480">
        <v>5651</v>
      </c>
      <c r="I186" s="480" t="s">
        <v>414</v>
      </c>
      <c r="J186" s="490">
        <v>2</v>
      </c>
      <c r="K186" s="504">
        <v>847.65</v>
      </c>
      <c r="L186" s="482">
        <f t="shared" si="51"/>
        <v>847.65</v>
      </c>
      <c r="M186" s="482"/>
      <c r="N186" s="536">
        <f t="shared" si="52"/>
        <v>847.65</v>
      </c>
      <c r="O186" s="496">
        <v>1011.709832</v>
      </c>
      <c r="P186" s="483">
        <f t="shared" si="53"/>
        <v>1011.709832</v>
      </c>
      <c r="Q186" s="483"/>
      <c r="R186" s="541">
        <f t="shared" si="54"/>
        <v>1011.709832</v>
      </c>
      <c r="S186" s="515">
        <v>2883.8874975250328</v>
      </c>
      <c r="T186" s="483">
        <f t="shared" si="55"/>
        <v>2883.8874975250328</v>
      </c>
      <c r="U186" s="483"/>
      <c r="V186" s="543">
        <f t="shared" si="56"/>
        <v>2883.8874975250328</v>
      </c>
      <c r="W186" s="515">
        <v>4605.4988278610399</v>
      </c>
      <c r="X186" s="483">
        <f t="shared" si="57"/>
        <v>4605.4988278610399</v>
      </c>
      <c r="Y186" s="483"/>
      <c r="Z186" s="543">
        <f t="shared" si="58"/>
        <v>0</v>
      </c>
      <c r="AA186" s="515">
        <v>2709.270100011081</v>
      </c>
      <c r="AB186" s="483">
        <f t="shared" si="59"/>
        <v>2709.270100011081</v>
      </c>
      <c r="AC186" s="483"/>
      <c r="AD186" s="543">
        <f t="shared" si="60"/>
        <v>2709.270100011081</v>
      </c>
      <c r="AE186" s="515">
        <v>3697</v>
      </c>
      <c r="AF186" s="483">
        <f t="shared" si="61"/>
        <v>3697</v>
      </c>
      <c r="AG186" s="483"/>
      <c r="AH186" s="543">
        <f t="shared" si="62"/>
        <v>3697</v>
      </c>
      <c r="AI186" s="520">
        <v>2825.5</v>
      </c>
      <c r="AJ186" s="484">
        <f t="shared" si="63"/>
        <v>2825.5</v>
      </c>
      <c r="AK186" s="484"/>
      <c r="AL186" s="545">
        <f t="shared" si="64"/>
        <v>2825.5</v>
      </c>
      <c r="AM186" s="526">
        <v>4709.166666666667</v>
      </c>
      <c r="AN186" s="485">
        <f t="shared" si="65"/>
        <v>4709.166666666667</v>
      </c>
      <c r="AO186" s="485"/>
      <c r="AP186" s="543">
        <f t="shared" si="66"/>
        <v>4709.166666666667</v>
      </c>
      <c r="AQ186" s="530">
        <f t="shared" si="67"/>
        <v>4709.166666666667</v>
      </c>
    </row>
    <row r="187" spans="1:43" x14ac:dyDescent="0.55000000000000004">
      <c r="A187" s="316" t="s">
        <v>292</v>
      </c>
      <c r="B187" s="218" t="s">
        <v>293</v>
      </c>
      <c r="C187" s="218" t="s">
        <v>294</v>
      </c>
      <c r="D187" s="105" t="s">
        <v>295</v>
      </c>
      <c r="E187" s="100"/>
      <c r="F187" s="34"/>
      <c r="G187" s="34"/>
      <c r="H187" s="480">
        <v>3073.7142857142899</v>
      </c>
      <c r="I187" s="480" t="s">
        <v>414</v>
      </c>
      <c r="J187" s="490">
        <v>3</v>
      </c>
      <c r="K187" s="504">
        <v>461.05714285714345</v>
      </c>
      <c r="L187" s="482"/>
      <c r="M187" s="482">
        <f t="shared" si="68"/>
        <v>230.52857142857172</v>
      </c>
      <c r="N187" s="536">
        <f t="shared" si="52"/>
        <v>230.52857142857172</v>
      </c>
      <c r="O187" s="496">
        <v>1177.512279428573</v>
      </c>
      <c r="P187" s="483"/>
      <c r="Q187" s="483">
        <f t="shared" si="69"/>
        <v>588.75613971428652</v>
      </c>
      <c r="R187" s="541">
        <f t="shared" si="54"/>
        <v>588.75613971428652</v>
      </c>
      <c r="S187" s="515">
        <v>1052.8543594749599</v>
      </c>
      <c r="T187" s="483"/>
      <c r="U187" s="483">
        <f t="shared" si="70"/>
        <v>526.42717973747995</v>
      </c>
      <c r="V187" s="543">
        <f t="shared" si="56"/>
        <v>526.42717973747995</v>
      </c>
      <c r="W187" s="515">
        <v>1997.7222828758775</v>
      </c>
      <c r="X187" s="483"/>
      <c r="Y187" s="483">
        <f t="shared" si="71"/>
        <v>998.86114143793873</v>
      </c>
      <c r="Z187" s="543">
        <f t="shared" si="58"/>
        <v>998.86114143793873</v>
      </c>
      <c r="AA187" s="515">
        <v>1503.2260174378218</v>
      </c>
      <c r="AB187" s="483"/>
      <c r="AC187" s="483">
        <f t="shared" si="72"/>
        <v>751.61300871891092</v>
      </c>
      <c r="AD187" s="543">
        <f t="shared" si="60"/>
        <v>751.61300871891092</v>
      </c>
      <c r="AE187" s="515">
        <v>615</v>
      </c>
      <c r="AF187" s="483"/>
      <c r="AG187" s="483">
        <f t="shared" si="73"/>
        <v>307.5</v>
      </c>
      <c r="AH187" s="543">
        <f t="shared" si="62"/>
        <v>307.5</v>
      </c>
      <c r="AI187" s="520">
        <v>2195.5102040816355</v>
      </c>
      <c r="AJ187" s="484"/>
      <c r="AK187" s="484">
        <f t="shared" si="74"/>
        <v>1097.7551020408177</v>
      </c>
      <c r="AL187" s="545">
        <f t="shared" si="64"/>
        <v>1097.7551020408177</v>
      </c>
      <c r="AM187" s="526">
        <v>2305.2857142857174</v>
      </c>
      <c r="AN187" s="485"/>
      <c r="AO187" s="485">
        <f t="shared" si="75"/>
        <v>1152.6428571428587</v>
      </c>
      <c r="AP187" s="543">
        <f t="shared" si="66"/>
        <v>1152.6428571428587</v>
      </c>
      <c r="AQ187" s="530">
        <f t="shared" si="67"/>
        <v>1152.6428571428587</v>
      </c>
    </row>
    <row r="188" spans="1:43" x14ac:dyDescent="0.55000000000000004">
      <c r="A188" s="316" t="s">
        <v>292</v>
      </c>
      <c r="B188" s="218" t="s">
        <v>293</v>
      </c>
      <c r="C188" s="218" t="s">
        <v>296</v>
      </c>
      <c r="D188" s="105" t="s">
        <v>297</v>
      </c>
      <c r="E188" s="100"/>
      <c r="F188" s="34"/>
      <c r="G188" s="34"/>
      <c r="H188" s="480">
        <v>1148</v>
      </c>
      <c r="I188" s="480" t="s">
        <v>414</v>
      </c>
      <c r="J188" s="490">
        <v>5</v>
      </c>
      <c r="K188" s="504">
        <v>172.2</v>
      </c>
      <c r="L188" s="482"/>
      <c r="M188" s="482"/>
      <c r="N188" s="536">
        <f t="shared" si="52"/>
        <v>0</v>
      </c>
      <c r="O188" s="496">
        <v>321.59727599999997</v>
      </c>
      <c r="P188" s="483"/>
      <c r="Q188" s="483"/>
      <c r="R188" s="541">
        <f t="shared" si="54"/>
        <v>0</v>
      </c>
      <c r="S188" s="515">
        <v>371.57061407088617</v>
      </c>
      <c r="T188" s="483"/>
      <c r="U188" s="483"/>
      <c r="V188" s="543">
        <f t="shared" si="56"/>
        <v>0</v>
      </c>
      <c r="W188" s="515">
        <v>594.83372983899699</v>
      </c>
      <c r="X188" s="483"/>
      <c r="Y188" s="483"/>
      <c r="Z188" s="543">
        <f t="shared" si="58"/>
        <v>0</v>
      </c>
      <c r="AA188" s="515">
        <v>481.21173161292643</v>
      </c>
      <c r="AB188" s="483"/>
      <c r="AC188" s="483"/>
      <c r="AD188" s="543">
        <f t="shared" si="60"/>
        <v>0</v>
      </c>
      <c r="AE188" s="515">
        <v>230</v>
      </c>
      <c r="AF188" s="483"/>
      <c r="AG188" s="483"/>
      <c r="AH188" s="543">
        <f t="shared" si="62"/>
        <v>0</v>
      </c>
      <c r="AI188" s="520">
        <v>765.33333333333337</v>
      </c>
      <c r="AJ188" s="484"/>
      <c r="AK188" s="484"/>
      <c r="AL188" s="545">
        <f t="shared" si="64"/>
        <v>0</v>
      </c>
      <c r="AM188" s="526">
        <v>754.7037037037037</v>
      </c>
      <c r="AN188" s="485"/>
      <c r="AO188" s="485"/>
      <c r="AP188" s="543">
        <f t="shared" si="66"/>
        <v>0</v>
      </c>
      <c r="AQ188" s="530">
        <f t="shared" si="67"/>
        <v>0</v>
      </c>
    </row>
    <row r="189" spans="1:43" x14ac:dyDescent="0.55000000000000004">
      <c r="A189" s="316" t="s">
        <v>292</v>
      </c>
      <c r="B189" s="218" t="s">
        <v>293</v>
      </c>
      <c r="C189" s="218" t="s">
        <v>298</v>
      </c>
      <c r="D189" s="105" t="s">
        <v>299</v>
      </c>
      <c r="E189" s="100"/>
      <c r="F189" s="34"/>
      <c r="G189" s="34"/>
      <c r="H189" s="480">
        <v>2881</v>
      </c>
      <c r="I189" s="480" t="s">
        <v>414</v>
      </c>
      <c r="J189" s="490">
        <v>4</v>
      </c>
      <c r="K189" s="504">
        <v>432.15</v>
      </c>
      <c r="L189" s="482"/>
      <c r="M189" s="482"/>
      <c r="N189" s="536">
        <f t="shared" si="52"/>
        <v>0</v>
      </c>
      <c r="O189" s="496">
        <v>759.80612999999994</v>
      </c>
      <c r="P189" s="483"/>
      <c r="Q189" s="483"/>
      <c r="R189" s="541">
        <f t="shared" si="54"/>
        <v>0</v>
      </c>
      <c r="S189" s="515">
        <v>923.91164896721557</v>
      </c>
      <c r="T189" s="483"/>
      <c r="U189" s="483"/>
      <c r="V189" s="543">
        <f t="shared" si="56"/>
        <v>0</v>
      </c>
      <c r="W189" s="515">
        <v>2057.9427616123767</v>
      </c>
      <c r="X189" s="483"/>
      <c r="Y189" s="483"/>
      <c r="Z189" s="543">
        <f t="shared" si="58"/>
        <v>0</v>
      </c>
      <c r="AA189" s="515">
        <v>1444.4431475936408</v>
      </c>
      <c r="AB189" s="483"/>
      <c r="AC189" s="483"/>
      <c r="AD189" s="543">
        <f t="shared" si="60"/>
        <v>0</v>
      </c>
      <c r="AE189" s="515">
        <v>576</v>
      </c>
      <c r="AF189" s="483"/>
      <c r="AG189" s="483"/>
      <c r="AH189" s="543">
        <f t="shared" si="62"/>
        <v>0</v>
      </c>
      <c r="AI189" s="520">
        <v>2016.6999999999998</v>
      </c>
      <c r="AJ189" s="484"/>
      <c r="AK189" s="484"/>
      <c r="AL189" s="545">
        <f t="shared" si="64"/>
        <v>0</v>
      </c>
      <c r="AM189" s="526">
        <v>1400.8532110091742</v>
      </c>
      <c r="AN189" s="485"/>
      <c r="AO189" s="485"/>
      <c r="AP189" s="543">
        <f t="shared" si="66"/>
        <v>0</v>
      </c>
      <c r="AQ189" s="530">
        <f t="shared" si="67"/>
        <v>0</v>
      </c>
    </row>
    <row r="190" spans="1:43" x14ac:dyDescent="0.55000000000000004">
      <c r="A190" s="316" t="s">
        <v>292</v>
      </c>
      <c r="B190" s="218" t="s">
        <v>293</v>
      </c>
      <c r="C190" s="218" t="s">
        <v>300</v>
      </c>
      <c r="D190" s="105" t="s">
        <v>301</v>
      </c>
      <c r="E190" s="100"/>
      <c r="F190" s="34"/>
      <c r="G190" s="34"/>
      <c r="H190" s="480">
        <v>6622</v>
      </c>
      <c r="I190" s="480" t="s">
        <v>414</v>
      </c>
      <c r="J190" s="490">
        <v>4</v>
      </c>
      <c r="K190" s="504">
        <v>993.3</v>
      </c>
      <c r="L190" s="482"/>
      <c r="M190" s="482"/>
      <c r="N190" s="536">
        <f t="shared" si="52"/>
        <v>0</v>
      </c>
      <c r="O190" s="496">
        <v>947.95916600000021</v>
      </c>
      <c r="P190" s="483"/>
      <c r="Q190" s="483"/>
      <c r="R190" s="541">
        <f t="shared" si="54"/>
        <v>0</v>
      </c>
      <c r="S190" s="515">
        <v>2165.0515374071806</v>
      </c>
      <c r="T190" s="483"/>
      <c r="U190" s="483"/>
      <c r="V190" s="543">
        <f t="shared" si="56"/>
        <v>0</v>
      </c>
      <c r="W190" s="515">
        <v>5086.8524596533507</v>
      </c>
      <c r="X190" s="483"/>
      <c r="Y190" s="483"/>
      <c r="Z190" s="543">
        <f t="shared" si="58"/>
        <v>0</v>
      </c>
      <c r="AA190" s="515">
        <v>2405.4919920601465</v>
      </c>
      <c r="AB190" s="483"/>
      <c r="AC190" s="483"/>
      <c r="AD190" s="543">
        <f t="shared" si="60"/>
        <v>0</v>
      </c>
      <c r="AE190" s="515">
        <v>897</v>
      </c>
      <c r="AF190" s="483"/>
      <c r="AG190" s="483"/>
      <c r="AH190" s="543">
        <f t="shared" si="62"/>
        <v>0</v>
      </c>
      <c r="AI190" s="520">
        <v>6376.7407407407409</v>
      </c>
      <c r="AJ190" s="484"/>
      <c r="AK190" s="484"/>
      <c r="AL190" s="545">
        <f t="shared" si="64"/>
        <v>0</v>
      </c>
      <c r="AM190" s="526">
        <v>3556.2592592592591</v>
      </c>
      <c r="AN190" s="485"/>
      <c r="AO190" s="485"/>
      <c r="AP190" s="543">
        <f t="shared" si="66"/>
        <v>0</v>
      </c>
      <c r="AQ190" s="530">
        <f t="shared" si="67"/>
        <v>0</v>
      </c>
    </row>
    <row r="191" spans="1:43" x14ac:dyDescent="0.55000000000000004">
      <c r="A191" s="316" t="s">
        <v>292</v>
      </c>
      <c r="B191" s="218" t="s">
        <v>293</v>
      </c>
      <c r="C191" s="218" t="s">
        <v>302</v>
      </c>
      <c r="D191" s="105" t="s">
        <v>303</v>
      </c>
      <c r="E191" s="100"/>
      <c r="F191" s="34"/>
      <c r="G191" s="34"/>
      <c r="H191" s="480">
        <v>3719.2857142857101</v>
      </c>
      <c r="I191" s="480" t="s">
        <v>414</v>
      </c>
      <c r="J191" s="490">
        <v>3</v>
      </c>
      <c r="K191" s="504">
        <v>557.89285714285654</v>
      </c>
      <c r="L191" s="482"/>
      <c r="M191" s="482">
        <f t="shared" si="68"/>
        <v>278.94642857142827</v>
      </c>
      <c r="N191" s="536">
        <f t="shared" si="52"/>
        <v>278.94642857142827</v>
      </c>
      <c r="O191" s="496">
        <v>1011.3890835714274</v>
      </c>
      <c r="P191" s="483"/>
      <c r="Q191" s="483">
        <f t="shared" si="69"/>
        <v>505.69454178571368</v>
      </c>
      <c r="R191" s="541">
        <f t="shared" si="54"/>
        <v>505.69454178571368</v>
      </c>
      <c r="S191" s="515">
        <v>1192.4882419904961</v>
      </c>
      <c r="T191" s="483"/>
      <c r="U191" s="483">
        <f t="shared" si="70"/>
        <v>596.24412099524807</v>
      </c>
      <c r="V191" s="543">
        <f t="shared" si="56"/>
        <v>596.24412099524807</v>
      </c>
      <c r="W191" s="515">
        <v>2637.7840017036069</v>
      </c>
      <c r="X191" s="483"/>
      <c r="Y191" s="483">
        <f t="shared" si="71"/>
        <v>1318.8920008518035</v>
      </c>
      <c r="Z191" s="543">
        <f t="shared" si="58"/>
        <v>1318.8920008518035</v>
      </c>
      <c r="AA191" s="515">
        <v>1985.571157549577</v>
      </c>
      <c r="AB191" s="483"/>
      <c r="AC191" s="483">
        <f t="shared" si="72"/>
        <v>992.78557877478852</v>
      </c>
      <c r="AD191" s="543">
        <f t="shared" si="60"/>
        <v>992.78557877478852</v>
      </c>
      <c r="AE191" s="515">
        <v>710</v>
      </c>
      <c r="AF191" s="483"/>
      <c r="AG191" s="483">
        <f t="shared" si="73"/>
        <v>355</v>
      </c>
      <c r="AH191" s="543">
        <f t="shared" si="62"/>
        <v>355</v>
      </c>
      <c r="AI191" s="520">
        <v>1969.033613445376</v>
      </c>
      <c r="AJ191" s="484"/>
      <c r="AK191" s="484">
        <f t="shared" si="74"/>
        <v>984.51680672268799</v>
      </c>
      <c r="AL191" s="545">
        <f t="shared" si="64"/>
        <v>984.51680672268799</v>
      </c>
      <c r="AM191" s="526">
        <v>688.75661375661298</v>
      </c>
      <c r="AN191" s="485"/>
      <c r="AO191" s="485">
        <f t="shared" si="75"/>
        <v>344.37830687830649</v>
      </c>
      <c r="AP191" s="543">
        <f t="shared" si="66"/>
        <v>344.37830687830649</v>
      </c>
      <c r="AQ191" s="530">
        <f t="shared" si="67"/>
        <v>1318.8920008518035</v>
      </c>
    </row>
    <row r="192" spans="1:43" x14ac:dyDescent="0.55000000000000004">
      <c r="A192" s="316" t="s">
        <v>292</v>
      </c>
      <c r="B192" s="218" t="s">
        <v>293</v>
      </c>
      <c r="C192" s="218" t="s">
        <v>304</v>
      </c>
      <c r="D192" s="105" t="s">
        <v>305</v>
      </c>
      <c r="E192" s="100"/>
      <c r="F192" s="34"/>
      <c r="G192" s="34"/>
      <c r="H192" s="480">
        <v>2968</v>
      </c>
      <c r="I192" s="480" t="s">
        <v>414</v>
      </c>
      <c r="J192" s="490">
        <v>5</v>
      </c>
      <c r="K192" s="504">
        <v>445.2</v>
      </c>
      <c r="L192" s="482"/>
      <c r="M192" s="482"/>
      <c r="N192" s="536">
        <f t="shared" si="52"/>
        <v>0</v>
      </c>
      <c r="O192" s="496">
        <v>455.83434400000004</v>
      </c>
      <c r="P192" s="483"/>
      <c r="Q192" s="483"/>
      <c r="R192" s="541">
        <f t="shared" si="54"/>
        <v>0</v>
      </c>
      <c r="S192" s="515">
        <v>1048.5404930660732</v>
      </c>
      <c r="T192" s="483"/>
      <c r="U192" s="483"/>
      <c r="V192" s="543">
        <f t="shared" si="56"/>
        <v>0</v>
      </c>
      <c r="W192" s="515">
        <v>746.35716709411224</v>
      </c>
      <c r="X192" s="483"/>
      <c r="Y192" s="483"/>
      <c r="Z192" s="543">
        <f t="shared" si="58"/>
        <v>0</v>
      </c>
      <c r="AA192" s="515">
        <v>1461.1602558181589</v>
      </c>
      <c r="AB192" s="483"/>
      <c r="AC192" s="483"/>
      <c r="AD192" s="543">
        <f t="shared" si="60"/>
        <v>0</v>
      </c>
      <c r="AE192" s="515">
        <v>594</v>
      </c>
      <c r="AF192" s="483"/>
      <c r="AG192" s="483"/>
      <c r="AH192" s="543">
        <f t="shared" si="62"/>
        <v>0</v>
      </c>
      <c r="AI192" s="520">
        <v>1826.4615384615383</v>
      </c>
      <c r="AJ192" s="484"/>
      <c r="AK192" s="484"/>
      <c r="AL192" s="545">
        <f t="shared" si="64"/>
        <v>0</v>
      </c>
      <c r="AM192" s="526">
        <v>1648.8888888888889</v>
      </c>
      <c r="AN192" s="485"/>
      <c r="AO192" s="485"/>
      <c r="AP192" s="543">
        <f t="shared" si="66"/>
        <v>0</v>
      </c>
      <c r="AQ192" s="530">
        <f t="shared" si="67"/>
        <v>0</v>
      </c>
    </row>
    <row r="193" spans="1:43" x14ac:dyDescent="0.55000000000000004">
      <c r="A193" s="316" t="s">
        <v>292</v>
      </c>
      <c r="B193" s="218" t="s">
        <v>293</v>
      </c>
      <c r="C193" s="218" t="s">
        <v>306</v>
      </c>
      <c r="D193" s="105" t="s">
        <v>307</v>
      </c>
      <c r="E193" s="100"/>
      <c r="F193" s="34"/>
      <c r="G193" s="34"/>
      <c r="H193" s="480">
        <v>3047.871016813448</v>
      </c>
      <c r="I193" s="480" t="s">
        <v>414</v>
      </c>
      <c r="J193" s="490">
        <v>3</v>
      </c>
      <c r="K193" s="504">
        <v>457.18065252201717</v>
      </c>
      <c r="L193" s="482"/>
      <c r="M193" s="482">
        <f t="shared" si="68"/>
        <v>228.59032626100858</v>
      </c>
      <c r="N193" s="536">
        <f t="shared" si="52"/>
        <v>228.59032626100858</v>
      </c>
      <c r="O193" s="496">
        <v>507.92770495196112</v>
      </c>
      <c r="P193" s="483"/>
      <c r="Q193" s="483">
        <f t="shared" si="69"/>
        <v>253.96385247598056</v>
      </c>
      <c r="R193" s="541">
        <f t="shared" si="54"/>
        <v>253.96385247598056</v>
      </c>
      <c r="S193" s="515">
        <v>983.45046112189311</v>
      </c>
      <c r="T193" s="483"/>
      <c r="U193" s="483">
        <f t="shared" si="70"/>
        <v>491.72523056094656</v>
      </c>
      <c r="V193" s="543">
        <f t="shared" si="56"/>
        <v>491.72523056094656</v>
      </c>
      <c r="W193" s="515">
        <v>2284.4551779585386</v>
      </c>
      <c r="X193" s="483"/>
      <c r="Y193" s="483">
        <f t="shared" si="71"/>
        <v>1142.2275889792693</v>
      </c>
      <c r="Z193" s="543">
        <f t="shared" si="58"/>
        <v>1142.2275889792693</v>
      </c>
      <c r="AA193" s="515">
        <v>1173.8051731432633</v>
      </c>
      <c r="AB193" s="483"/>
      <c r="AC193" s="483">
        <f t="shared" si="72"/>
        <v>586.90258657163167</v>
      </c>
      <c r="AD193" s="543">
        <f t="shared" si="60"/>
        <v>586.90258657163167</v>
      </c>
      <c r="AE193" s="515">
        <v>2062</v>
      </c>
      <c r="AF193" s="483"/>
      <c r="AG193" s="483">
        <f t="shared" si="73"/>
        <v>1031</v>
      </c>
      <c r="AH193" s="543">
        <f t="shared" si="62"/>
        <v>1031</v>
      </c>
      <c r="AI193" s="520">
        <v>2216.6334667734168</v>
      </c>
      <c r="AJ193" s="484"/>
      <c r="AK193" s="484">
        <f t="shared" si="74"/>
        <v>1108.3167333867084</v>
      </c>
      <c r="AL193" s="545">
        <f t="shared" si="64"/>
        <v>1108.3167333867084</v>
      </c>
      <c r="AM193" s="526">
        <v>2031.9140112089651</v>
      </c>
      <c r="AN193" s="485"/>
      <c r="AO193" s="485">
        <f t="shared" si="75"/>
        <v>1015.9570056044826</v>
      </c>
      <c r="AP193" s="543">
        <f t="shared" si="66"/>
        <v>1015.9570056044826</v>
      </c>
      <c r="AQ193" s="530">
        <f t="shared" si="67"/>
        <v>1142.2275889792693</v>
      </c>
    </row>
    <row r="194" spans="1:43" x14ac:dyDescent="0.55000000000000004">
      <c r="A194" s="316" t="s">
        <v>292</v>
      </c>
      <c r="B194" s="218" t="s">
        <v>293</v>
      </c>
      <c r="C194" s="218" t="s">
        <v>308</v>
      </c>
      <c r="D194" s="105" t="s">
        <v>309</v>
      </c>
      <c r="E194" s="100"/>
      <c r="F194" s="34"/>
      <c r="G194" s="34"/>
      <c r="H194" s="480">
        <v>5119.8571428571404</v>
      </c>
      <c r="I194" s="480" t="s">
        <v>414</v>
      </c>
      <c r="J194" s="490">
        <v>4</v>
      </c>
      <c r="K194" s="504">
        <v>767.97857142857106</v>
      </c>
      <c r="L194" s="482"/>
      <c r="M194" s="482"/>
      <c r="N194" s="536">
        <f t="shared" si="52"/>
        <v>0</v>
      </c>
      <c r="O194" s="496">
        <v>1060.8548794285709</v>
      </c>
      <c r="P194" s="483"/>
      <c r="Q194" s="483"/>
      <c r="R194" s="541">
        <f t="shared" si="54"/>
        <v>0</v>
      </c>
      <c r="S194" s="515">
        <v>1649.1679405392335</v>
      </c>
      <c r="T194" s="483"/>
      <c r="U194" s="483"/>
      <c r="V194" s="543">
        <f t="shared" si="56"/>
        <v>0</v>
      </c>
      <c r="W194" s="515">
        <v>3259.6310042964874</v>
      </c>
      <c r="X194" s="483"/>
      <c r="Y194" s="483"/>
      <c r="Z194" s="543">
        <f t="shared" si="58"/>
        <v>0</v>
      </c>
      <c r="AA194" s="515">
        <v>2043.5933195983814</v>
      </c>
      <c r="AB194" s="483"/>
      <c r="AC194" s="483"/>
      <c r="AD194" s="543">
        <f t="shared" si="60"/>
        <v>0</v>
      </c>
      <c r="AE194" s="515">
        <v>1018</v>
      </c>
      <c r="AF194" s="483"/>
      <c r="AG194" s="483"/>
      <c r="AH194" s="543">
        <f t="shared" si="62"/>
        <v>0</v>
      </c>
      <c r="AI194" s="520">
        <v>4188.9740259740229</v>
      </c>
      <c r="AJ194" s="484"/>
      <c r="AK194" s="484"/>
      <c r="AL194" s="545">
        <f t="shared" si="64"/>
        <v>0</v>
      </c>
      <c r="AM194" s="526">
        <v>3318.4259259259243</v>
      </c>
      <c r="AN194" s="485"/>
      <c r="AO194" s="485"/>
      <c r="AP194" s="543">
        <f t="shared" si="66"/>
        <v>0</v>
      </c>
      <c r="AQ194" s="530">
        <f t="shared" si="67"/>
        <v>0</v>
      </c>
    </row>
    <row r="195" spans="1:43" x14ac:dyDescent="0.55000000000000004">
      <c r="A195" s="316" t="s">
        <v>310</v>
      </c>
      <c r="B195" s="218" t="s">
        <v>311</v>
      </c>
      <c r="C195" s="218" t="s">
        <v>312</v>
      </c>
      <c r="D195" s="105" t="s">
        <v>313</v>
      </c>
      <c r="E195" s="100"/>
      <c r="F195" s="34"/>
      <c r="G195" s="34"/>
      <c r="H195" s="480">
        <v>16513.487018186021</v>
      </c>
      <c r="I195" s="480" t="s">
        <v>414</v>
      </c>
      <c r="J195" s="490">
        <v>4</v>
      </c>
      <c r="K195" s="504">
        <v>2477.0230527279032</v>
      </c>
      <c r="L195" s="482"/>
      <c r="M195" s="482"/>
      <c r="N195" s="536">
        <f t="shared" si="52"/>
        <v>0</v>
      </c>
      <c r="O195" s="496">
        <v>2865.5160456203439</v>
      </c>
      <c r="P195" s="483"/>
      <c r="Q195" s="483"/>
      <c r="R195" s="541">
        <f t="shared" si="54"/>
        <v>0</v>
      </c>
      <c r="S195" s="515">
        <v>11446.945548084152</v>
      </c>
      <c r="T195" s="483"/>
      <c r="U195" s="483"/>
      <c r="V195" s="543">
        <f t="shared" si="56"/>
        <v>0</v>
      </c>
      <c r="W195" s="515">
        <v>9983.9878224402255</v>
      </c>
      <c r="X195" s="483"/>
      <c r="Y195" s="483"/>
      <c r="Z195" s="543">
        <f t="shared" si="58"/>
        <v>0</v>
      </c>
      <c r="AA195" s="515">
        <v>13603.717947460118</v>
      </c>
      <c r="AB195" s="483"/>
      <c r="AC195" s="483"/>
      <c r="AD195" s="543">
        <f t="shared" si="60"/>
        <v>0</v>
      </c>
      <c r="AE195" s="515">
        <v>10867</v>
      </c>
      <c r="AF195" s="483"/>
      <c r="AG195" s="483"/>
      <c r="AH195" s="543">
        <f t="shared" si="62"/>
        <v>0</v>
      </c>
      <c r="AI195" s="520">
        <v>8615.7323573144458</v>
      </c>
      <c r="AJ195" s="484"/>
      <c r="AK195" s="484"/>
      <c r="AL195" s="545">
        <f t="shared" si="64"/>
        <v>0</v>
      </c>
      <c r="AM195" s="526">
        <v>10803.21580628992</v>
      </c>
      <c r="AN195" s="485"/>
      <c r="AO195" s="485"/>
      <c r="AP195" s="543">
        <f t="shared" si="66"/>
        <v>0</v>
      </c>
      <c r="AQ195" s="530">
        <f t="shared" si="67"/>
        <v>0</v>
      </c>
    </row>
    <row r="196" spans="1:43" x14ac:dyDescent="0.55000000000000004">
      <c r="A196" s="316" t="s">
        <v>310</v>
      </c>
      <c r="B196" s="218" t="s">
        <v>311</v>
      </c>
      <c r="C196" s="218" t="s">
        <v>314</v>
      </c>
      <c r="D196" s="105" t="s">
        <v>315</v>
      </c>
      <c r="E196" s="100"/>
      <c r="F196" s="34"/>
      <c r="G196" s="34"/>
      <c r="H196" s="480">
        <v>84624.371794578474</v>
      </c>
      <c r="I196" s="480" t="s">
        <v>414</v>
      </c>
      <c r="J196" s="490">
        <v>2</v>
      </c>
      <c r="K196" s="504">
        <v>12693.655769186771</v>
      </c>
      <c r="L196" s="482">
        <f t="shared" ref="L196:L238" si="76">K196</f>
        <v>12693.655769186771</v>
      </c>
      <c r="M196" s="482"/>
      <c r="N196" s="536">
        <f t="shared" ref="N196:N239" si="77">SUM(L196:M196)</f>
        <v>12693.655769186771</v>
      </c>
      <c r="O196" s="496">
        <v>31034.769764707813</v>
      </c>
      <c r="P196" s="483">
        <f t="shared" ref="P196:P238" si="78">O196</f>
        <v>31034.769764707813</v>
      </c>
      <c r="Q196" s="483"/>
      <c r="R196" s="541">
        <f t="shared" ref="R196:R239" si="79">SUM(P196:Q196)</f>
        <v>31034.769764707813</v>
      </c>
      <c r="S196" s="515">
        <v>32647.120414096447</v>
      </c>
      <c r="T196" s="483">
        <f t="shared" ref="T196:T238" si="80">S196</f>
        <v>32647.120414096447</v>
      </c>
      <c r="U196" s="483"/>
      <c r="V196" s="543">
        <f t="shared" ref="V196:V239" si="81">SUM(T196:U196)</f>
        <v>32647.120414096447</v>
      </c>
      <c r="W196" s="515">
        <v>65204.331159042034</v>
      </c>
      <c r="X196" s="483">
        <f t="shared" ref="X196:X238" si="82">W196</f>
        <v>65204.331159042034</v>
      </c>
      <c r="Y196" s="483"/>
      <c r="Z196" s="543">
        <f t="shared" ref="Z196:Z239" si="83">SUM(Y196)</f>
        <v>0</v>
      </c>
      <c r="AA196" s="515">
        <v>35747.875154623791</v>
      </c>
      <c r="AB196" s="483">
        <f t="shared" ref="AB196:AB238" si="84">AA196</f>
        <v>35747.875154623791</v>
      </c>
      <c r="AC196" s="483"/>
      <c r="AD196" s="543">
        <f t="shared" ref="AD196:AD239" si="85">SUM(AB196:AC196)</f>
        <v>35747.875154623791</v>
      </c>
      <c r="AE196" s="515">
        <v>56110</v>
      </c>
      <c r="AF196" s="483">
        <f t="shared" ref="AF196:AF238" si="86">AE196</f>
        <v>56110</v>
      </c>
      <c r="AG196" s="483"/>
      <c r="AH196" s="543">
        <f t="shared" ref="AH196:AH239" si="87">SUM(AF196:AG196)</f>
        <v>56110</v>
      </c>
      <c r="AI196" s="520">
        <v>84624.371794578474</v>
      </c>
      <c r="AJ196" s="484">
        <f t="shared" ref="AJ196:AJ238" si="88">AI196</f>
        <v>84624.371794578474</v>
      </c>
      <c r="AK196" s="484"/>
      <c r="AL196" s="545">
        <f t="shared" ref="AL196:AL239" si="89">SUM(AJ196:AK196)</f>
        <v>84624.371794578474</v>
      </c>
      <c r="AM196" s="526">
        <v>34476.59591630975</v>
      </c>
      <c r="AN196" s="485">
        <f t="shared" ref="AN196:AN238" si="90">AM196</f>
        <v>34476.59591630975</v>
      </c>
      <c r="AO196" s="485"/>
      <c r="AP196" s="543">
        <f t="shared" ref="AP196:AP239" si="91">SUM(AN196:AO196)</f>
        <v>34476.59591630975</v>
      </c>
      <c r="AQ196" s="530">
        <f t="shared" ref="AQ196:AQ239" si="92">MAX(N196,R196,V196,Z196,AD196,AH196,AL196,AP196)</f>
        <v>84624.371794578474</v>
      </c>
    </row>
    <row r="197" spans="1:43" x14ac:dyDescent="0.55000000000000004">
      <c r="A197" s="316" t="s">
        <v>310</v>
      </c>
      <c r="B197" s="218" t="s">
        <v>311</v>
      </c>
      <c r="C197" s="218" t="s">
        <v>316</v>
      </c>
      <c r="D197" s="105" t="s">
        <v>317</v>
      </c>
      <c r="E197" s="100"/>
      <c r="F197" s="34"/>
      <c r="G197" s="34"/>
      <c r="H197" s="480">
        <v>62262.159201647075</v>
      </c>
      <c r="I197" s="480" t="s">
        <v>414</v>
      </c>
      <c r="J197" s="490">
        <v>2</v>
      </c>
      <c r="K197" s="504">
        <v>9339.3238802470605</v>
      </c>
      <c r="L197" s="482">
        <f t="shared" si="76"/>
        <v>9339.3238802470605</v>
      </c>
      <c r="M197" s="482"/>
      <c r="N197" s="536">
        <f t="shared" si="77"/>
        <v>9339.3238802470605</v>
      </c>
      <c r="O197" s="496">
        <v>16288.117062810563</v>
      </c>
      <c r="P197" s="483">
        <f t="shared" si="78"/>
        <v>16288.117062810563</v>
      </c>
      <c r="Q197" s="483"/>
      <c r="R197" s="541">
        <f t="shared" si="79"/>
        <v>16288.117062810563</v>
      </c>
      <c r="S197" s="515">
        <v>34228.428664160019</v>
      </c>
      <c r="T197" s="483">
        <f t="shared" si="80"/>
        <v>34228.428664160019</v>
      </c>
      <c r="U197" s="483"/>
      <c r="V197" s="543">
        <f t="shared" si="81"/>
        <v>34228.428664160019</v>
      </c>
      <c r="W197" s="515">
        <v>44721.274699100119</v>
      </c>
      <c r="X197" s="483">
        <f t="shared" si="82"/>
        <v>44721.274699100119</v>
      </c>
      <c r="Y197" s="483"/>
      <c r="Z197" s="543">
        <f t="shared" si="83"/>
        <v>0</v>
      </c>
      <c r="AA197" s="515">
        <v>28481.445195627231</v>
      </c>
      <c r="AB197" s="483">
        <f t="shared" si="84"/>
        <v>28481.445195627231</v>
      </c>
      <c r="AC197" s="483"/>
      <c r="AD197" s="543">
        <f t="shared" si="85"/>
        <v>28481.445195627231</v>
      </c>
      <c r="AE197" s="515">
        <v>40492</v>
      </c>
      <c r="AF197" s="483">
        <f t="shared" si="86"/>
        <v>40492</v>
      </c>
      <c r="AG197" s="483"/>
      <c r="AH197" s="543">
        <f t="shared" si="87"/>
        <v>40492</v>
      </c>
      <c r="AI197" s="520">
        <v>48677.688103105895</v>
      </c>
      <c r="AJ197" s="484">
        <f t="shared" si="88"/>
        <v>48677.688103105895</v>
      </c>
      <c r="AK197" s="484"/>
      <c r="AL197" s="545">
        <f t="shared" si="89"/>
        <v>48677.688103105895</v>
      </c>
      <c r="AM197" s="526">
        <v>15565.539800411769</v>
      </c>
      <c r="AN197" s="485">
        <f t="shared" si="90"/>
        <v>15565.539800411769</v>
      </c>
      <c r="AO197" s="485"/>
      <c r="AP197" s="543">
        <f t="shared" si="91"/>
        <v>15565.539800411769</v>
      </c>
      <c r="AQ197" s="530">
        <f t="shared" si="92"/>
        <v>48677.688103105895</v>
      </c>
    </row>
    <row r="198" spans="1:43" x14ac:dyDescent="0.55000000000000004">
      <c r="A198" s="316" t="s">
        <v>310</v>
      </c>
      <c r="B198" s="218" t="s">
        <v>311</v>
      </c>
      <c r="C198" s="218" t="s">
        <v>318</v>
      </c>
      <c r="D198" s="105" t="s">
        <v>319</v>
      </c>
      <c r="E198" s="100"/>
      <c r="F198" s="34"/>
      <c r="G198" s="34"/>
      <c r="H198" s="480">
        <v>8876.9955392885731</v>
      </c>
      <c r="I198" s="480" t="s">
        <v>414</v>
      </c>
      <c r="J198" s="490">
        <v>2</v>
      </c>
      <c r="K198" s="504">
        <v>1331.549330893286</v>
      </c>
      <c r="L198" s="482">
        <f t="shared" si="76"/>
        <v>1331.549330893286</v>
      </c>
      <c r="M198" s="482"/>
      <c r="N198" s="536">
        <f t="shared" si="77"/>
        <v>1331.549330893286</v>
      </c>
      <c r="O198" s="496">
        <v>1619.496873698959</v>
      </c>
      <c r="P198" s="483">
        <f t="shared" si="78"/>
        <v>1619.496873698959</v>
      </c>
      <c r="Q198" s="483"/>
      <c r="R198" s="541">
        <f t="shared" si="79"/>
        <v>1619.496873698959</v>
      </c>
      <c r="S198" s="515">
        <v>4116.9543189771584</v>
      </c>
      <c r="T198" s="483">
        <f t="shared" si="80"/>
        <v>4116.9543189771584</v>
      </c>
      <c r="U198" s="483"/>
      <c r="V198" s="543">
        <f t="shared" si="81"/>
        <v>4116.9543189771584</v>
      </c>
      <c r="W198" s="515">
        <v>6742.2447544422866</v>
      </c>
      <c r="X198" s="483">
        <f t="shared" si="82"/>
        <v>6742.2447544422866</v>
      </c>
      <c r="Y198" s="483"/>
      <c r="Z198" s="543">
        <f t="shared" si="83"/>
        <v>0</v>
      </c>
      <c r="AA198" s="515">
        <v>4186.3245334297198</v>
      </c>
      <c r="AB198" s="483">
        <f t="shared" si="84"/>
        <v>4186.3245334297198</v>
      </c>
      <c r="AC198" s="483"/>
      <c r="AD198" s="543">
        <f t="shared" si="85"/>
        <v>4186.3245334297198</v>
      </c>
      <c r="AE198" s="515">
        <v>6115</v>
      </c>
      <c r="AF198" s="483">
        <f t="shared" si="86"/>
        <v>6115</v>
      </c>
      <c r="AG198" s="483"/>
      <c r="AH198" s="543">
        <f t="shared" si="87"/>
        <v>6115</v>
      </c>
      <c r="AI198" s="520">
        <v>5743.9382901279005</v>
      </c>
      <c r="AJ198" s="484">
        <f t="shared" si="88"/>
        <v>5743.9382901279005</v>
      </c>
      <c r="AK198" s="484"/>
      <c r="AL198" s="545">
        <f t="shared" si="89"/>
        <v>5743.9382901279005</v>
      </c>
      <c r="AM198" s="526">
        <v>5084.0974452289101</v>
      </c>
      <c r="AN198" s="485">
        <f t="shared" si="90"/>
        <v>5084.0974452289101</v>
      </c>
      <c r="AO198" s="485"/>
      <c r="AP198" s="543">
        <f t="shared" si="91"/>
        <v>5084.0974452289101</v>
      </c>
      <c r="AQ198" s="530">
        <f t="shared" si="92"/>
        <v>6115</v>
      </c>
    </row>
    <row r="199" spans="1:43" x14ac:dyDescent="0.55000000000000004">
      <c r="A199" s="316" t="s">
        <v>310</v>
      </c>
      <c r="B199" s="218" t="s">
        <v>311</v>
      </c>
      <c r="C199" s="218" t="s">
        <v>320</v>
      </c>
      <c r="D199" s="105" t="s">
        <v>321</v>
      </c>
      <c r="E199" s="100"/>
      <c r="F199" s="34"/>
      <c r="G199" s="34"/>
      <c r="H199" s="480">
        <v>46727.292920050364</v>
      </c>
      <c r="I199" s="480" t="s">
        <v>414</v>
      </c>
      <c r="J199" s="490">
        <v>3</v>
      </c>
      <c r="K199" s="504">
        <v>7009.0939380075542</v>
      </c>
      <c r="L199" s="482"/>
      <c r="M199" s="482">
        <f t="shared" ref="M199:M230" si="93">K199/2</f>
        <v>3504.5469690037771</v>
      </c>
      <c r="N199" s="536">
        <f t="shared" si="77"/>
        <v>3504.5469690037771</v>
      </c>
      <c r="O199" s="496">
        <v>7320.8584363701311</v>
      </c>
      <c r="P199" s="483"/>
      <c r="Q199" s="483">
        <f t="shared" ref="Q199:Q230" si="94">O199/2</f>
        <v>3660.4292181850656</v>
      </c>
      <c r="R199" s="541">
        <f t="shared" si="79"/>
        <v>3660.4292181850656</v>
      </c>
      <c r="S199" s="515">
        <v>16160.236825051841</v>
      </c>
      <c r="T199" s="483"/>
      <c r="U199" s="483">
        <f t="shared" ref="U199:U230" si="95">S199/2</f>
        <v>8080.1184125259206</v>
      </c>
      <c r="V199" s="543">
        <f t="shared" si="81"/>
        <v>8080.1184125259206</v>
      </c>
      <c r="W199" s="515">
        <v>31614.397795641988</v>
      </c>
      <c r="X199" s="483"/>
      <c r="Y199" s="483">
        <f t="shared" ref="Y199:Y230" si="96">W199/2</f>
        <v>15807.198897820994</v>
      </c>
      <c r="Z199" s="543">
        <f t="shared" si="83"/>
        <v>15807.198897820994</v>
      </c>
      <c r="AA199" s="515">
        <v>19880.916593575854</v>
      </c>
      <c r="AB199" s="483"/>
      <c r="AC199" s="483">
        <f t="shared" ref="AC199:AC230" si="97">AA199/2</f>
        <v>9940.4582967879269</v>
      </c>
      <c r="AD199" s="543">
        <f t="shared" si="85"/>
        <v>9940.4582967879269</v>
      </c>
      <c r="AE199" s="515">
        <v>31590</v>
      </c>
      <c r="AF199" s="483"/>
      <c r="AG199" s="483">
        <f t="shared" ref="AG199:AG230" si="98">AE199/2</f>
        <v>15795</v>
      </c>
      <c r="AH199" s="543">
        <f t="shared" si="87"/>
        <v>15795</v>
      </c>
      <c r="AI199" s="520">
        <v>32349.664329265637</v>
      </c>
      <c r="AJ199" s="484"/>
      <c r="AK199" s="484">
        <f t="shared" ref="AK199:AK230" si="99">AI199/2</f>
        <v>16174.832164632819</v>
      </c>
      <c r="AL199" s="545">
        <f t="shared" si="89"/>
        <v>16174.832164632819</v>
      </c>
      <c r="AM199" s="526">
        <v>18005.011950845092</v>
      </c>
      <c r="AN199" s="485"/>
      <c r="AO199" s="485">
        <f t="shared" ref="AO199:AO230" si="100">AM199/2</f>
        <v>9002.5059754225458</v>
      </c>
      <c r="AP199" s="543">
        <f t="shared" si="91"/>
        <v>9002.5059754225458</v>
      </c>
      <c r="AQ199" s="530">
        <f t="shared" si="92"/>
        <v>16174.832164632819</v>
      </c>
    </row>
    <row r="200" spans="1:43" x14ac:dyDescent="0.55000000000000004">
      <c r="A200" s="316" t="s">
        <v>322</v>
      </c>
      <c r="B200" s="218" t="s">
        <v>323</v>
      </c>
      <c r="C200" s="218" t="s">
        <v>324</v>
      </c>
      <c r="D200" s="105" t="s">
        <v>325</v>
      </c>
      <c r="E200" s="100"/>
      <c r="F200" s="34"/>
      <c r="G200" s="34"/>
      <c r="H200" s="480">
        <v>1708.2679972549467</v>
      </c>
      <c r="I200" s="480" t="s">
        <v>414</v>
      </c>
      <c r="J200" s="490">
        <v>4</v>
      </c>
      <c r="K200" s="504">
        <v>256.24019958824198</v>
      </c>
      <c r="L200" s="482"/>
      <c r="M200" s="482"/>
      <c r="N200" s="536">
        <f t="shared" si="77"/>
        <v>0</v>
      </c>
      <c r="O200" s="496">
        <v>136.01639778463226</v>
      </c>
      <c r="P200" s="483"/>
      <c r="Q200" s="483"/>
      <c r="R200" s="541">
        <f t="shared" si="79"/>
        <v>0</v>
      </c>
      <c r="S200" s="515">
        <v>670.13670661903291</v>
      </c>
      <c r="T200" s="483"/>
      <c r="U200" s="483"/>
      <c r="V200" s="543">
        <f t="shared" si="81"/>
        <v>0</v>
      </c>
      <c r="W200" s="515">
        <v>1064.7716969540184</v>
      </c>
      <c r="X200" s="483"/>
      <c r="Y200" s="483"/>
      <c r="Z200" s="543">
        <f t="shared" si="83"/>
        <v>0</v>
      </c>
      <c r="AA200" s="515">
        <v>865.88797530309</v>
      </c>
      <c r="AB200" s="483"/>
      <c r="AC200" s="483"/>
      <c r="AD200" s="543">
        <f t="shared" si="85"/>
        <v>0</v>
      </c>
      <c r="AE200" s="515">
        <v>328</v>
      </c>
      <c r="AF200" s="483"/>
      <c r="AG200" s="483"/>
      <c r="AH200" s="543">
        <f t="shared" si="87"/>
        <v>0</v>
      </c>
      <c r="AI200" s="520">
        <v>1087.0796346167842</v>
      </c>
      <c r="AJ200" s="484"/>
      <c r="AK200" s="484"/>
      <c r="AL200" s="545">
        <f t="shared" si="89"/>
        <v>0</v>
      </c>
      <c r="AM200" s="526">
        <v>442.88429558461581</v>
      </c>
      <c r="AN200" s="485"/>
      <c r="AO200" s="485"/>
      <c r="AP200" s="543">
        <f t="shared" si="91"/>
        <v>0</v>
      </c>
      <c r="AQ200" s="530">
        <f t="shared" si="92"/>
        <v>0</v>
      </c>
    </row>
    <row r="201" spans="1:43" x14ac:dyDescent="0.55000000000000004">
      <c r="A201" s="316" t="s">
        <v>322</v>
      </c>
      <c r="B201" s="218" t="s">
        <v>323</v>
      </c>
      <c r="C201" s="218" t="s">
        <v>326</v>
      </c>
      <c r="D201" s="105" t="s">
        <v>327</v>
      </c>
      <c r="E201" s="100"/>
      <c r="F201" s="34"/>
      <c r="G201" s="34"/>
      <c r="H201" s="480">
        <v>1810</v>
      </c>
      <c r="I201" s="480" t="s">
        <v>414</v>
      </c>
      <c r="J201" s="490">
        <v>3</v>
      </c>
      <c r="K201" s="504">
        <v>271.5</v>
      </c>
      <c r="L201" s="482"/>
      <c r="M201" s="482">
        <f t="shared" si="93"/>
        <v>135.75</v>
      </c>
      <c r="N201" s="536">
        <f t="shared" si="77"/>
        <v>135.75</v>
      </c>
      <c r="O201" s="496">
        <v>412.36668899999995</v>
      </c>
      <c r="P201" s="483"/>
      <c r="Q201" s="483">
        <f t="shared" si="94"/>
        <v>206.18334449999998</v>
      </c>
      <c r="R201" s="541">
        <f t="shared" si="79"/>
        <v>206.18334449999998</v>
      </c>
      <c r="S201" s="515">
        <v>625.62933932243084</v>
      </c>
      <c r="T201" s="483"/>
      <c r="U201" s="483">
        <f t="shared" si="95"/>
        <v>312.81466966121542</v>
      </c>
      <c r="V201" s="543">
        <f t="shared" si="81"/>
        <v>312.81466966121542</v>
      </c>
      <c r="W201" s="515">
        <v>1490.6764099812244</v>
      </c>
      <c r="X201" s="483"/>
      <c r="Y201" s="483">
        <f t="shared" si="96"/>
        <v>745.33820499061221</v>
      </c>
      <c r="Z201" s="543">
        <f t="shared" si="83"/>
        <v>745.33820499061221</v>
      </c>
      <c r="AA201" s="515">
        <v>929.94220239263655</v>
      </c>
      <c r="AB201" s="483"/>
      <c r="AC201" s="483">
        <f t="shared" si="97"/>
        <v>464.97110119631827</v>
      </c>
      <c r="AD201" s="543">
        <f t="shared" si="85"/>
        <v>464.97110119631827</v>
      </c>
      <c r="AE201" s="515">
        <v>1267</v>
      </c>
      <c r="AF201" s="483"/>
      <c r="AG201" s="483">
        <f t="shared" si="98"/>
        <v>633.5</v>
      </c>
      <c r="AH201" s="543">
        <f t="shared" si="87"/>
        <v>633.5</v>
      </c>
      <c r="AI201" s="520">
        <v>1086</v>
      </c>
      <c r="AJ201" s="484"/>
      <c r="AK201" s="484">
        <f t="shared" si="99"/>
        <v>543</v>
      </c>
      <c r="AL201" s="545">
        <f t="shared" si="89"/>
        <v>543</v>
      </c>
      <c r="AM201" s="526">
        <v>938.51851851851836</v>
      </c>
      <c r="AN201" s="485"/>
      <c r="AO201" s="485">
        <f t="shared" si="100"/>
        <v>469.25925925925918</v>
      </c>
      <c r="AP201" s="543">
        <f t="shared" si="91"/>
        <v>469.25925925925918</v>
      </c>
      <c r="AQ201" s="530">
        <f t="shared" si="92"/>
        <v>745.33820499061221</v>
      </c>
    </row>
    <row r="202" spans="1:43" x14ac:dyDescent="0.55000000000000004">
      <c r="A202" s="316" t="s">
        <v>322</v>
      </c>
      <c r="B202" s="218" t="s">
        <v>323</v>
      </c>
      <c r="C202" s="218" t="s">
        <v>328</v>
      </c>
      <c r="D202" s="105" t="s">
        <v>329</v>
      </c>
      <c r="E202" s="100"/>
      <c r="F202" s="34"/>
      <c r="G202" s="34"/>
      <c r="H202" s="480">
        <v>7417</v>
      </c>
      <c r="I202" s="480" t="s">
        <v>414</v>
      </c>
      <c r="J202" s="490">
        <v>3</v>
      </c>
      <c r="K202" s="504">
        <v>1112.55</v>
      </c>
      <c r="L202" s="482"/>
      <c r="M202" s="482">
        <f t="shared" si="93"/>
        <v>556.27499999999998</v>
      </c>
      <c r="N202" s="536">
        <f t="shared" si="77"/>
        <v>556.27499999999998</v>
      </c>
      <c r="O202" s="496">
        <v>2667.0360114</v>
      </c>
      <c r="P202" s="483"/>
      <c r="Q202" s="483">
        <f t="shared" si="94"/>
        <v>1333.5180057</v>
      </c>
      <c r="R202" s="541">
        <f t="shared" si="79"/>
        <v>1333.5180057</v>
      </c>
      <c r="S202" s="515">
        <v>2854.2276968868132</v>
      </c>
      <c r="T202" s="483"/>
      <c r="U202" s="483">
        <f t="shared" si="95"/>
        <v>1427.1138484434066</v>
      </c>
      <c r="V202" s="543">
        <f t="shared" si="81"/>
        <v>1427.1138484434066</v>
      </c>
      <c r="W202" s="515">
        <v>6114.9134977443282</v>
      </c>
      <c r="X202" s="483"/>
      <c r="Y202" s="483">
        <f t="shared" si="96"/>
        <v>3057.4567488721641</v>
      </c>
      <c r="Z202" s="543">
        <f t="shared" si="83"/>
        <v>3057.4567488721641</v>
      </c>
      <c r="AA202" s="515">
        <v>3802.4327491574586</v>
      </c>
      <c r="AB202" s="483"/>
      <c r="AC202" s="483">
        <f t="shared" si="97"/>
        <v>1901.2163745787293</v>
      </c>
      <c r="AD202" s="543">
        <f t="shared" si="85"/>
        <v>1901.2163745787293</v>
      </c>
      <c r="AE202" s="515">
        <v>4825</v>
      </c>
      <c r="AF202" s="483"/>
      <c r="AG202" s="483">
        <f t="shared" si="98"/>
        <v>2412.5</v>
      </c>
      <c r="AH202" s="543">
        <f t="shared" si="87"/>
        <v>2412.5</v>
      </c>
      <c r="AI202" s="520">
        <v>285.26923076923077</v>
      </c>
      <c r="AJ202" s="484"/>
      <c r="AK202" s="484">
        <f t="shared" si="99"/>
        <v>142.63461538461539</v>
      </c>
      <c r="AL202" s="545">
        <f t="shared" si="89"/>
        <v>142.63461538461539</v>
      </c>
      <c r="AM202" s="526">
        <v>4463.9351851851852</v>
      </c>
      <c r="AN202" s="485"/>
      <c r="AO202" s="485">
        <f t="shared" si="100"/>
        <v>2231.9675925925926</v>
      </c>
      <c r="AP202" s="543">
        <f t="shared" si="91"/>
        <v>2231.9675925925926</v>
      </c>
      <c r="AQ202" s="530">
        <f t="shared" si="92"/>
        <v>3057.4567488721641</v>
      </c>
    </row>
    <row r="203" spans="1:43" x14ac:dyDescent="0.55000000000000004">
      <c r="A203" s="316" t="s">
        <v>322</v>
      </c>
      <c r="B203" s="218" t="s">
        <v>323</v>
      </c>
      <c r="C203" s="218" t="s">
        <v>330</v>
      </c>
      <c r="D203" s="105" t="s">
        <v>331</v>
      </c>
      <c r="E203" s="100"/>
      <c r="F203" s="34"/>
      <c r="G203" s="34"/>
      <c r="H203" s="480">
        <v>5041.023996339929</v>
      </c>
      <c r="I203" s="480" t="s">
        <v>414</v>
      </c>
      <c r="J203" s="490">
        <v>2</v>
      </c>
      <c r="K203" s="504">
        <v>756.1535994509893</v>
      </c>
      <c r="L203" s="482">
        <f t="shared" si="76"/>
        <v>756.1535994509893</v>
      </c>
      <c r="M203" s="482"/>
      <c r="N203" s="536">
        <f t="shared" si="77"/>
        <v>756.1535994509893</v>
      </c>
      <c r="O203" s="496">
        <v>983.45841246995303</v>
      </c>
      <c r="P203" s="483">
        <f t="shared" si="78"/>
        <v>983.45841246995303</v>
      </c>
      <c r="Q203" s="483"/>
      <c r="R203" s="541">
        <f t="shared" si="79"/>
        <v>983.45841246995303</v>
      </c>
      <c r="S203" s="515">
        <v>1713.8548458301896</v>
      </c>
      <c r="T203" s="483">
        <f t="shared" si="80"/>
        <v>1713.8548458301896</v>
      </c>
      <c r="U203" s="483"/>
      <c r="V203" s="543">
        <f t="shared" si="81"/>
        <v>1713.8548458301896</v>
      </c>
      <c r="W203" s="515">
        <v>3635.4409748010257</v>
      </c>
      <c r="X203" s="483">
        <f t="shared" si="82"/>
        <v>3635.4409748010257</v>
      </c>
      <c r="Y203" s="483"/>
      <c r="Z203" s="543">
        <f t="shared" si="83"/>
        <v>0</v>
      </c>
      <c r="AA203" s="515">
        <v>2796.0794612320165</v>
      </c>
      <c r="AB203" s="483">
        <f t="shared" si="84"/>
        <v>2796.0794612320165</v>
      </c>
      <c r="AC203" s="483"/>
      <c r="AD203" s="543">
        <f t="shared" si="85"/>
        <v>2796.0794612320165</v>
      </c>
      <c r="AE203" s="515">
        <v>3474</v>
      </c>
      <c r="AF203" s="483">
        <f t="shared" si="86"/>
        <v>3474</v>
      </c>
      <c r="AG203" s="483"/>
      <c r="AH203" s="543">
        <f t="shared" si="87"/>
        <v>3474</v>
      </c>
      <c r="AI203" s="520">
        <v>4602.6740836147183</v>
      </c>
      <c r="AJ203" s="484">
        <f t="shared" si="88"/>
        <v>4602.6740836147183</v>
      </c>
      <c r="AK203" s="484"/>
      <c r="AL203" s="545">
        <f t="shared" si="89"/>
        <v>4602.6740836147183</v>
      </c>
      <c r="AM203" s="526">
        <v>1820.3697764560852</v>
      </c>
      <c r="AN203" s="485">
        <f t="shared" si="90"/>
        <v>1820.3697764560852</v>
      </c>
      <c r="AO203" s="485"/>
      <c r="AP203" s="543">
        <f t="shared" si="91"/>
        <v>1820.3697764560852</v>
      </c>
      <c r="AQ203" s="530">
        <f t="shared" si="92"/>
        <v>4602.6740836147183</v>
      </c>
    </row>
    <row r="204" spans="1:43" x14ac:dyDescent="0.55000000000000004">
      <c r="A204" s="316" t="s">
        <v>322</v>
      </c>
      <c r="B204" s="218" t="s">
        <v>323</v>
      </c>
      <c r="C204" s="218" t="s">
        <v>332</v>
      </c>
      <c r="D204" s="105" t="s">
        <v>333</v>
      </c>
      <c r="E204" s="100"/>
      <c r="F204" s="34"/>
      <c r="G204" s="34"/>
      <c r="H204" s="480">
        <v>3069.1428571428601</v>
      </c>
      <c r="I204" s="480" t="s">
        <v>414</v>
      </c>
      <c r="J204" s="490">
        <v>2</v>
      </c>
      <c r="K204" s="504">
        <v>460.37142857142902</v>
      </c>
      <c r="L204" s="482">
        <f t="shared" si="76"/>
        <v>460.37142857142902</v>
      </c>
      <c r="M204" s="482"/>
      <c r="N204" s="536">
        <f t="shared" si="77"/>
        <v>460.37142857142902</v>
      </c>
      <c r="O204" s="496">
        <v>597.15391828571489</v>
      </c>
      <c r="P204" s="483">
        <f t="shared" si="78"/>
        <v>597.15391828571489</v>
      </c>
      <c r="Q204" s="483"/>
      <c r="R204" s="541">
        <f t="shared" si="79"/>
        <v>597.15391828571489</v>
      </c>
      <c r="S204" s="515">
        <v>1293.574292400795</v>
      </c>
      <c r="T204" s="483">
        <f t="shared" si="80"/>
        <v>1293.574292400795</v>
      </c>
      <c r="U204" s="483"/>
      <c r="V204" s="543">
        <f t="shared" si="81"/>
        <v>1293.574292400795</v>
      </c>
      <c r="W204" s="515">
        <v>2299.4820891862373</v>
      </c>
      <c r="X204" s="483">
        <f t="shared" si="82"/>
        <v>2299.4820891862373</v>
      </c>
      <c r="Y204" s="483"/>
      <c r="Z204" s="543">
        <f t="shared" si="83"/>
        <v>0</v>
      </c>
      <c r="AA204" s="515">
        <v>1473.0465205838257</v>
      </c>
      <c r="AB204" s="483">
        <f t="shared" si="84"/>
        <v>1473.0465205838257</v>
      </c>
      <c r="AC204" s="483"/>
      <c r="AD204" s="543">
        <f t="shared" si="85"/>
        <v>1473.0465205838257</v>
      </c>
      <c r="AE204" s="515">
        <v>2142</v>
      </c>
      <c r="AF204" s="483">
        <f t="shared" si="86"/>
        <v>2142</v>
      </c>
      <c r="AG204" s="483"/>
      <c r="AH204" s="543">
        <f t="shared" si="87"/>
        <v>2142</v>
      </c>
      <c r="AI204" s="520">
        <v>3069.1428571428601</v>
      </c>
      <c r="AJ204" s="484">
        <f t="shared" si="88"/>
        <v>3069.1428571428601</v>
      </c>
      <c r="AK204" s="484"/>
      <c r="AL204" s="545">
        <f t="shared" si="89"/>
        <v>3069.1428571428601</v>
      </c>
      <c r="AM204" s="526">
        <v>1250.3915343915355</v>
      </c>
      <c r="AN204" s="485">
        <f t="shared" si="90"/>
        <v>1250.3915343915355</v>
      </c>
      <c r="AO204" s="485"/>
      <c r="AP204" s="543">
        <f t="shared" si="91"/>
        <v>1250.3915343915355</v>
      </c>
      <c r="AQ204" s="530">
        <f t="shared" si="92"/>
        <v>3069.1428571428601</v>
      </c>
    </row>
    <row r="205" spans="1:43" x14ac:dyDescent="0.55000000000000004">
      <c r="A205" s="316" t="s">
        <v>322</v>
      </c>
      <c r="B205" s="218" t="s">
        <v>323</v>
      </c>
      <c r="C205" s="218" t="s">
        <v>334</v>
      </c>
      <c r="D205" s="105" t="s">
        <v>335</v>
      </c>
      <c r="E205" s="100"/>
      <c r="F205" s="34"/>
      <c r="G205" s="34"/>
      <c r="H205" s="480">
        <v>7050.3021159784967</v>
      </c>
      <c r="I205" s="480" t="s">
        <v>414</v>
      </c>
      <c r="J205" s="490">
        <v>3</v>
      </c>
      <c r="K205" s="504">
        <v>1057.5453173967744</v>
      </c>
      <c r="L205" s="482"/>
      <c r="M205" s="482">
        <f t="shared" si="93"/>
        <v>528.7726586983872</v>
      </c>
      <c r="N205" s="536">
        <f t="shared" si="77"/>
        <v>528.7726586983872</v>
      </c>
      <c r="O205" s="496">
        <v>2157.4559002084634</v>
      </c>
      <c r="P205" s="483"/>
      <c r="Q205" s="483">
        <f t="shared" si="94"/>
        <v>1078.7279501042317</v>
      </c>
      <c r="R205" s="541">
        <f t="shared" si="79"/>
        <v>1078.7279501042317</v>
      </c>
      <c r="S205" s="515">
        <v>2577.4022617242485</v>
      </c>
      <c r="T205" s="483"/>
      <c r="U205" s="483">
        <f t="shared" si="95"/>
        <v>1288.7011308621243</v>
      </c>
      <c r="V205" s="543">
        <f t="shared" si="81"/>
        <v>1288.7011308621243</v>
      </c>
      <c r="W205" s="515">
        <v>4656.3863132350816</v>
      </c>
      <c r="X205" s="483"/>
      <c r="Y205" s="483">
        <f t="shared" si="96"/>
        <v>2328.1931566175408</v>
      </c>
      <c r="Z205" s="543">
        <f t="shared" si="83"/>
        <v>2328.1931566175408</v>
      </c>
      <c r="AA205" s="515">
        <v>3806.9093414081844</v>
      </c>
      <c r="AB205" s="483"/>
      <c r="AC205" s="483">
        <f t="shared" si="97"/>
        <v>1903.4546707040922</v>
      </c>
      <c r="AD205" s="543">
        <f t="shared" si="85"/>
        <v>1903.4546707040922</v>
      </c>
      <c r="AE205" s="515">
        <v>4717</v>
      </c>
      <c r="AF205" s="483"/>
      <c r="AG205" s="483">
        <f t="shared" si="98"/>
        <v>2358.5</v>
      </c>
      <c r="AH205" s="543">
        <f t="shared" si="87"/>
        <v>2358.5</v>
      </c>
      <c r="AI205" s="520">
        <v>2769.7615455629812</v>
      </c>
      <c r="AJ205" s="484"/>
      <c r="AK205" s="484">
        <f t="shared" si="99"/>
        <v>1384.8807727814906</v>
      </c>
      <c r="AL205" s="545">
        <f t="shared" si="89"/>
        <v>1384.8807727814906</v>
      </c>
      <c r="AM205" s="526">
        <v>3002.9064568056565</v>
      </c>
      <c r="AN205" s="485"/>
      <c r="AO205" s="485">
        <f t="shared" si="100"/>
        <v>1501.4532284028282</v>
      </c>
      <c r="AP205" s="543">
        <f t="shared" si="91"/>
        <v>1501.4532284028282</v>
      </c>
      <c r="AQ205" s="530">
        <f t="shared" si="92"/>
        <v>2358.5</v>
      </c>
    </row>
    <row r="206" spans="1:43" x14ac:dyDescent="0.55000000000000004">
      <c r="A206" s="316" t="s">
        <v>322</v>
      </c>
      <c r="B206" s="218" t="s">
        <v>323</v>
      </c>
      <c r="C206" s="218" t="s">
        <v>336</v>
      </c>
      <c r="D206" s="105" t="s">
        <v>337</v>
      </c>
      <c r="E206" s="100"/>
      <c r="F206" s="34"/>
      <c r="G206" s="34"/>
      <c r="H206" s="480">
        <v>3636</v>
      </c>
      <c r="I206" s="480" t="s">
        <v>414</v>
      </c>
      <c r="J206" s="490">
        <v>1</v>
      </c>
      <c r="K206" s="504">
        <v>545.4</v>
      </c>
      <c r="L206" s="482">
        <f t="shared" si="76"/>
        <v>545.4</v>
      </c>
      <c r="M206" s="482"/>
      <c r="N206" s="536">
        <f t="shared" si="77"/>
        <v>545.4</v>
      </c>
      <c r="O206" s="496">
        <v>688.46932800000013</v>
      </c>
      <c r="P206" s="483">
        <f t="shared" si="78"/>
        <v>688.46932800000013</v>
      </c>
      <c r="Q206" s="483"/>
      <c r="R206" s="541">
        <f t="shared" si="79"/>
        <v>688.46932800000013</v>
      </c>
      <c r="S206" s="515">
        <v>1418.8092270233087</v>
      </c>
      <c r="T206" s="483">
        <f t="shared" si="80"/>
        <v>1418.8092270233087</v>
      </c>
      <c r="U206" s="483"/>
      <c r="V206" s="543">
        <f t="shared" si="81"/>
        <v>1418.8092270233087</v>
      </c>
      <c r="W206" s="515">
        <v>2665.0680294809003</v>
      </c>
      <c r="X206" s="483">
        <f t="shared" si="82"/>
        <v>2665.0680294809003</v>
      </c>
      <c r="Y206" s="483"/>
      <c r="Z206" s="543">
        <f t="shared" si="83"/>
        <v>0</v>
      </c>
      <c r="AA206" s="515">
        <v>2336.2567443257749</v>
      </c>
      <c r="AB206" s="483">
        <f t="shared" si="84"/>
        <v>2336.2567443257749</v>
      </c>
      <c r="AC206" s="483"/>
      <c r="AD206" s="543">
        <f t="shared" si="85"/>
        <v>2336.2567443257749</v>
      </c>
      <c r="AE206" s="515">
        <v>2445</v>
      </c>
      <c r="AF206" s="483">
        <f t="shared" si="86"/>
        <v>2445</v>
      </c>
      <c r="AG206" s="483"/>
      <c r="AH206" s="543">
        <f t="shared" si="87"/>
        <v>2445</v>
      </c>
      <c r="AI206" s="520">
        <v>3636</v>
      </c>
      <c r="AJ206" s="484">
        <f t="shared" si="88"/>
        <v>3636</v>
      </c>
      <c r="AK206" s="484"/>
      <c r="AL206" s="545">
        <f t="shared" si="89"/>
        <v>3636</v>
      </c>
      <c r="AM206" s="526">
        <v>1919</v>
      </c>
      <c r="AN206" s="485">
        <f t="shared" si="90"/>
        <v>1919</v>
      </c>
      <c r="AO206" s="485"/>
      <c r="AP206" s="543">
        <f t="shared" si="91"/>
        <v>1919</v>
      </c>
      <c r="AQ206" s="530">
        <f t="shared" si="92"/>
        <v>3636</v>
      </c>
    </row>
    <row r="207" spans="1:43" x14ac:dyDescent="0.55000000000000004">
      <c r="A207" s="316" t="s">
        <v>322</v>
      </c>
      <c r="B207" s="218" t="s">
        <v>323</v>
      </c>
      <c r="C207" s="218" t="s">
        <v>338</v>
      </c>
      <c r="D207" s="105" t="s">
        <v>339</v>
      </c>
      <c r="E207" s="100"/>
      <c r="F207" s="34"/>
      <c r="G207" s="34"/>
      <c r="H207" s="480">
        <v>3515.9389111289033</v>
      </c>
      <c r="I207" s="480" t="s">
        <v>414</v>
      </c>
      <c r="J207" s="490">
        <v>2</v>
      </c>
      <c r="K207" s="504">
        <v>527.3908366693355</v>
      </c>
      <c r="L207" s="482">
        <f t="shared" si="76"/>
        <v>527.3908366693355</v>
      </c>
      <c r="M207" s="482"/>
      <c r="N207" s="536">
        <f t="shared" si="77"/>
        <v>527.3908366693355</v>
      </c>
      <c r="O207" s="496">
        <v>188.39455467502003</v>
      </c>
      <c r="P207" s="483">
        <f t="shared" si="78"/>
        <v>188.39455467502003</v>
      </c>
      <c r="Q207" s="483"/>
      <c r="R207" s="541">
        <f t="shared" si="79"/>
        <v>188.39455467502003</v>
      </c>
      <c r="S207" s="515">
        <v>1347.609100074098</v>
      </c>
      <c r="T207" s="483">
        <f t="shared" si="80"/>
        <v>1347.609100074098</v>
      </c>
      <c r="U207" s="483"/>
      <c r="V207" s="543">
        <f t="shared" si="81"/>
        <v>1347.609100074098</v>
      </c>
      <c r="W207" s="515">
        <v>2224.6482399145461</v>
      </c>
      <c r="X207" s="483">
        <f t="shared" si="82"/>
        <v>2224.6482399145461</v>
      </c>
      <c r="Y207" s="483"/>
      <c r="Z207" s="543">
        <f t="shared" si="83"/>
        <v>0</v>
      </c>
      <c r="AA207" s="515">
        <v>3142.4968348686766</v>
      </c>
      <c r="AB207" s="483">
        <f t="shared" si="84"/>
        <v>3142.4968348686766</v>
      </c>
      <c r="AC207" s="483"/>
      <c r="AD207" s="543">
        <f t="shared" si="85"/>
        <v>3142.4968348686766</v>
      </c>
      <c r="AE207" s="515">
        <v>703</v>
      </c>
      <c r="AF207" s="483">
        <f t="shared" si="86"/>
        <v>703</v>
      </c>
      <c r="AG207" s="483"/>
      <c r="AH207" s="543">
        <f t="shared" si="87"/>
        <v>703</v>
      </c>
      <c r="AI207" s="520">
        <v>878.98472778222583</v>
      </c>
      <c r="AJ207" s="484">
        <f t="shared" si="88"/>
        <v>878.98472778222583</v>
      </c>
      <c r="AK207" s="484"/>
      <c r="AL207" s="545">
        <f t="shared" si="89"/>
        <v>878.98472778222583</v>
      </c>
      <c r="AM207" s="526">
        <v>1483.7907331369684</v>
      </c>
      <c r="AN207" s="485">
        <f t="shared" si="90"/>
        <v>1483.7907331369684</v>
      </c>
      <c r="AO207" s="485"/>
      <c r="AP207" s="543">
        <f t="shared" si="91"/>
        <v>1483.7907331369684</v>
      </c>
      <c r="AQ207" s="530">
        <f t="shared" si="92"/>
        <v>3142.4968348686766</v>
      </c>
    </row>
    <row r="208" spans="1:43" x14ac:dyDescent="0.55000000000000004">
      <c r="A208" s="316" t="s">
        <v>322</v>
      </c>
      <c r="B208" s="218" t="s">
        <v>323</v>
      </c>
      <c r="C208" s="218" t="s">
        <v>340</v>
      </c>
      <c r="D208" s="105" t="s">
        <v>341</v>
      </c>
      <c r="E208" s="100"/>
      <c r="F208" s="34"/>
      <c r="G208" s="34"/>
      <c r="H208" s="480">
        <v>13224.062358458195</v>
      </c>
      <c r="I208" s="480" t="s">
        <v>414</v>
      </c>
      <c r="J208" s="490">
        <v>1</v>
      </c>
      <c r="K208" s="504">
        <v>1983.6093537687293</v>
      </c>
      <c r="L208" s="482">
        <f t="shared" si="76"/>
        <v>1983.6093537687293</v>
      </c>
      <c r="M208" s="482"/>
      <c r="N208" s="536">
        <f t="shared" si="77"/>
        <v>1983.6093537687293</v>
      </c>
      <c r="O208" s="496">
        <v>3641.3751662125778</v>
      </c>
      <c r="P208" s="483">
        <f t="shared" si="78"/>
        <v>3641.3751662125778</v>
      </c>
      <c r="Q208" s="483"/>
      <c r="R208" s="541">
        <f t="shared" si="79"/>
        <v>3641.3751662125778</v>
      </c>
      <c r="S208" s="515">
        <v>4210.7443991140663</v>
      </c>
      <c r="T208" s="483">
        <f t="shared" si="80"/>
        <v>4210.7443991140663</v>
      </c>
      <c r="U208" s="483"/>
      <c r="V208" s="543">
        <f t="shared" si="81"/>
        <v>4210.7443991140663</v>
      </c>
      <c r="W208" s="515">
        <v>10965.324618021728</v>
      </c>
      <c r="X208" s="483">
        <f t="shared" si="82"/>
        <v>10965.324618021728</v>
      </c>
      <c r="Y208" s="483"/>
      <c r="Z208" s="543">
        <f t="shared" si="83"/>
        <v>0</v>
      </c>
      <c r="AA208" s="515">
        <v>8362.3019895435882</v>
      </c>
      <c r="AB208" s="483">
        <f t="shared" si="84"/>
        <v>8362.3019895435882</v>
      </c>
      <c r="AC208" s="483"/>
      <c r="AD208" s="543">
        <f t="shared" si="85"/>
        <v>8362.3019895435882</v>
      </c>
      <c r="AE208" s="515">
        <v>7772</v>
      </c>
      <c r="AF208" s="483">
        <f t="shared" si="86"/>
        <v>7772</v>
      </c>
      <c r="AG208" s="483"/>
      <c r="AH208" s="543">
        <f t="shared" si="87"/>
        <v>7772</v>
      </c>
      <c r="AI208" s="520">
        <v>13224.062358458195</v>
      </c>
      <c r="AJ208" s="484">
        <f t="shared" si="88"/>
        <v>13224.062358458195</v>
      </c>
      <c r="AK208" s="484"/>
      <c r="AL208" s="545">
        <f t="shared" si="89"/>
        <v>13224.062358458195</v>
      </c>
      <c r="AM208" s="526">
        <v>6244.6961137163698</v>
      </c>
      <c r="AN208" s="485">
        <f t="shared" si="90"/>
        <v>6244.6961137163698</v>
      </c>
      <c r="AO208" s="485"/>
      <c r="AP208" s="543">
        <f t="shared" si="91"/>
        <v>6244.6961137163698</v>
      </c>
      <c r="AQ208" s="530">
        <f t="shared" si="92"/>
        <v>13224.062358458195</v>
      </c>
    </row>
    <row r="209" spans="1:43" x14ac:dyDescent="0.55000000000000004">
      <c r="A209" s="316" t="s">
        <v>342</v>
      </c>
      <c r="B209" s="218" t="s">
        <v>343</v>
      </c>
      <c r="C209" s="218" t="s">
        <v>344</v>
      </c>
      <c r="D209" s="105" t="s">
        <v>345</v>
      </c>
      <c r="E209" s="100"/>
      <c r="F209" s="34"/>
      <c r="G209" s="34"/>
      <c r="H209" s="480">
        <v>4961</v>
      </c>
      <c r="I209" s="480" t="s">
        <v>414</v>
      </c>
      <c r="J209" s="490">
        <v>2</v>
      </c>
      <c r="K209" s="504">
        <v>744.15</v>
      </c>
      <c r="L209" s="482">
        <f t="shared" si="76"/>
        <v>744.15</v>
      </c>
      <c r="M209" s="482"/>
      <c r="N209" s="536">
        <f t="shared" si="77"/>
        <v>744.15</v>
      </c>
      <c r="O209" s="496">
        <v>397.55469600000004</v>
      </c>
      <c r="P209" s="483">
        <f t="shared" si="78"/>
        <v>397.55469600000004</v>
      </c>
      <c r="Q209" s="483"/>
      <c r="R209" s="541">
        <f t="shared" si="79"/>
        <v>397.55469600000004</v>
      </c>
      <c r="S209" s="515">
        <v>2733.7680235374769</v>
      </c>
      <c r="T209" s="483">
        <f t="shared" si="80"/>
        <v>2733.7680235374769</v>
      </c>
      <c r="U209" s="483"/>
      <c r="V209" s="543">
        <f t="shared" si="81"/>
        <v>2733.7680235374769</v>
      </c>
      <c r="W209" s="515">
        <v>3999.4205137166382</v>
      </c>
      <c r="X209" s="483">
        <f t="shared" si="82"/>
        <v>3999.4205137166382</v>
      </c>
      <c r="Y209" s="483"/>
      <c r="Z209" s="543">
        <f t="shared" si="83"/>
        <v>0</v>
      </c>
      <c r="AA209" s="515">
        <v>2450.9402045196935</v>
      </c>
      <c r="AB209" s="483">
        <f t="shared" si="84"/>
        <v>2450.9402045196935</v>
      </c>
      <c r="AC209" s="483"/>
      <c r="AD209" s="543">
        <f t="shared" si="85"/>
        <v>2450.9402045196935</v>
      </c>
      <c r="AE209" s="515">
        <v>940</v>
      </c>
      <c r="AF209" s="483">
        <f t="shared" si="86"/>
        <v>940</v>
      </c>
      <c r="AG209" s="483"/>
      <c r="AH209" s="543">
        <f t="shared" si="87"/>
        <v>940</v>
      </c>
      <c r="AI209" s="520">
        <v>1954.3333333333333</v>
      </c>
      <c r="AJ209" s="484">
        <f t="shared" si="88"/>
        <v>1954.3333333333333</v>
      </c>
      <c r="AK209" s="484"/>
      <c r="AL209" s="545">
        <f t="shared" si="89"/>
        <v>1954.3333333333333</v>
      </c>
      <c r="AM209" s="526">
        <v>4455.7129629629626</v>
      </c>
      <c r="AN209" s="485">
        <f t="shared" si="90"/>
        <v>4455.7129629629626</v>
      </c>
      <c r="AO209" s="485"/>
      <c r="AP209" s="543">
        <f t="shared" si="91"/>
        <v>4455.7129629629626</v>
      </c>
      <c r="AQ209" s="530">
        <f t="shared" si="92"/>
        <v>4455.7129629629626</v>
      </c>
    </row>
    <row r="210" spans="1:43" x14ac:dyDescent="0.55000000000000004">
      <c r="A210" s="316" t="s">
        <v>342</v>
      </c>
      <c r="B210" s="218" t="s">
        <v>343</v>
      </c>
      <c r="C210" s="218" t="s">
        <v>346</v>
      </c>
      <c r="D210" s="105" t="s">
        <v>347</v>
      </c>
      <c r="E210" s="100"/>
      <c r="F210" s="34"/>
      <c r="G210" s="34"/>
      <c r="H210" s="480">
        <v>14416.589191353083</v>
      </c>
      <c r="I210" s="480" t="s">
        <v>414</v>
      </c>
      <c r="J210" s="490">
        <v>1</v>
      </c>
      <c r="K210" s="504">
        <v>2162.4883787029626</v>
      </c>
      <c r="L210" s="482">
        <f t="shared" si="76"/>
        <v>2162.4883787029626</v>
      </c>
      <c r="M210" s="482"/>
      <c r="N210" s="536">
        <f t="shared" si="77"/>
        <v>2162.4883787029626</v>
      </c>
      <c r="O210" s="496">
        <v>4916.7489105325858</v>
      </c>
      <c r="P210" s="483">
        <f t="shared" si="78"/>
        <v>4916.7489105325858</v>
      </c>
      <c r="Q210" s="483"/>
      <c r="R210" s="541">
        <f t="shared" si="79"/>
        <v>4916.7489105325858</v>
      </c>
      <c r="S210" s="515">
        <v>4643.2566401440918</v>
      </c>
      <c r="T210" s="483">
        <f t="shared" si="80"/>
        <v>4643.2566401440918</v>
      </c>
      <c r="U210" s="483"/>
      <c r="V210" s="543">
        <f t="shared" si="81"/>
        <v>4643.2566401440918</v>
      </c>
      <c r="W210" s="515">
        <v>9982.5972806473583</v>
      </c>
      <c r="X210" s="483">
        <f t="shared" si="82"/>
        <v>9982.5972806473583</v>
      </c>
      <c r="Y210" s="483"/>
      <c r="Z210" s="543">
        <f t="shared" si="83"/>
        <v>0</v>
      </c>
      <c r="AA210" s="515">
        <v>6346.7178879007397</v>
      </c>
      <c r="AB210" s="483">
        <f t="shared" si="84"/>
        <v>6346.7178879007397</v>
      </c>
      <c r="AC210" s="483"/>
      <c r="AD210" s="543">
        <f t="shared" si="85"/>
        <v>6346.7178879007397</v>
      </c>
      <c r="AE210" s="515">
        <v>9757</v>
      </c>
      <c r="AF210" s="483">
        <f t="shared" si="86"/>
        <v>9757</v>
      </c>
      <c r="AG210" s="483"/>
      <c r="AH210" s="543">
        <f t="shared" si="87"/>
        <v>9757</v>
      </c>
      <c r="AI210" s="520">
        <v>8148.506934243047</v>
      </c>
      <c r="AJ210" s="484">
        <f t="shared" si="88"/>
        <v>8148.506934243047</v>
      </c>
      <c r="AK210" s="484"/>
      <c r="AL210" s="545">
        <f t="shared" si="89"/>
        <v>8148.506934243047</v>
      </c>
      <c r="AM210" s="526">
        <v>13755.277760557072</v>
      </c>
      <c r="AN210" s="485">
        <f t="shared" si="90"/>
        <v>13755.277760557072</v>
      </c>
      <c r="AO210" s="485"/>
      <c r="AP210" s="543">
        <f t="shared" si="91"/>
        <v>13755.277760557072</v>
      </c>
      <c r="AQ210" s="530">
        <f t="shared" si="92"/>
        <v>13755.277760557072</v>
      </c>
    </row>
    <row r="211" spans="1:43" x14ac:dyDescent="0.55000000000000004">
      <c r="A211" s="316" t="s">
        <v>342</v>
      </c>
      <c r="B211" s="218" t="s">
        <v>343</v>
      </c>
      <c r="C211" s="218" t="s">
        <v>348</v>
      </c>
      <c r="D211" s="105" t="s">
        <v>349</v>
      </c>
      <c r="E211" s="100"/>
      <c r="F211" s="34"/>
      <c r="G211" s="34"/>
      <c r="H211" s="480">
        <v>16232.649182202906</v>
      </c>
      <c r="I211" s="480" t="s">
        <v>414</v>
      </c>
      <c r="J211" s="490">
        <v>2</v>
      </c>
      <c r="K211" s="504">
        <v>2434.8973773304356</v>
      </c>
      <c r="L211" s="482">
        <f t="shared" si="76"/>
        <v>2434.8973773304356</v>
      </c>
      <c r="M211" s="482"/>
      <c r="N211" s="536">
        <f t="shared" si="77"/>
        <v>2434.8973773304356</v>
      </c>
      <c r="O211" s="496">
        <v>5592.8212982099622</v>
      </c>
      <c r="P211" s="483">
        <f t="shared" si="78"/>
        <v>5592.8212982099622</v>
      </c>
      <c r="Q211" s="483"/>
      <c r="R211" s="541">
        <f t="shared" si="79"/>
        <v>5592.8212982099622</v>
      </c>
      <c r="S211" s="515">
        <v>5531.9675173877868</v>
      </c>
      <c r="T211" s="483">
        <f t="shared" si="80"/>
        <v>5531.9675173877868</v>
      </c>
      <c r="U211" s="483"/>
      <c r="V211" s="543">
        <f t="shared" si="81"/>
        <v>5531.9675173877868</v>
      </c>
      <c r="W211" s="515">
        <v>14764.837695457401</v>
      </c>
      <c r="X211" s="483">
        <f t="shared" si="82"/>
        <v>14764.837695457401</v>
      </c>
      <c r="Y211" s="483"/>
      <c r="Z211" s="543">
        <f t="shared" si="83"/>
        <v>0</v>
      </c>
      <c r="AA211" s="515">
        <v>7049.6537064105569</v>
      </c>
      <c r="AB211" s="483">
        <f t="shared" si="84"/>
        <v>7049.6537064105569</v>
      </c>
      <c r="AC211" s="483"/>
      <c r="AD211" s="543">
        <f t="shared" si="85"/>
        <v>7049.6537064105569</v>
      </c>
      <c r="AE211" s="515">
        <v>12298</v>
      </c>
      <c r="AF211" s="483">
        <f t="shared" si="86"/>
        <v>12298</v>
      </c>
      <c r="AG211" s="483"/>
      <c r="AH211" s="543">
        <f t="shared" si="87"/>
        <v>12298</v>
      </c>
      <c r="AI211" s="520">
        <v>15434.32217324211</v>
      </c>
      <c r="AJ211" s="484">
        <f t="shared" si="88"/>
        <v>15434.32217324211</v>
      </c>
      <c r="AK211" s="484"/>
      <c r="AL211" s="545">
        <f t="shared" si="89"/>
        <v>15434.32217324211</v>
      </c>
      <c r="AM211" s="526">
        <v>5510.1653187294278</v>
      </c>
      <c r="AN211" s="485">
        <f t="shared" si="90"/>
        <v>5510.1653187294278</v>
      </c>
      <c r="AO211" s="485"/>
      <c r="AP211" s="543">
        <f t="shared" si="91"/>
        <v>5510.1653187294278</v>
      </c>
      <c r="AQ211" s="530">
        <f t="shared" si="92"/>
        <v>15434.32217324211</v>
      </c>
    </row>
    <row r="212" spans="1:43" x14ac:dyDescent="0.55000000000000004">
      <c r="A212" s="316" t="s">
        <v>342</v>
      </c>
      <c r="B212" s="218" t="s">
        <v>343</v>
      </c>
      <c r="C212" s="218" t="s">
        <v>350</v>
      </c>
      <c r="D212" s="105" t="s">
        <v>351</v>
      </c>
      <c r="E212" s="100"/>
      <c r="F212" s="34"/>
      <c r="G212" s="34"/>
      <c r="H212" s="480">
        <v>158050.00862404195</v>
      </c>
      <c r="I212" s="480" t="s">
        <v>414</v>
      </c>
      <c r="J212" s="490">
        <v>1</v>
      </c>
      <c r="K212" s="504">
        <v>23707.501293606292</v>
      </c>
      <c r="L212" s="482">
        <f t="shared" si="76"/>
        <v>23707.501293606292</v>
      </c>
      <c r="M212" s="482"/>
      <c r="N212" s="536">
        <f t="shared" si="77"/>
        <v>23707.501293606292</v>
      </c>
      <c r="O212" s="496">
        <v>42577.170848234979</v>
      </c>
      <c r="P212" s="483">
        <f t="shared" si="78"/>
        <v>42577.170848234979</v>
      </c>
      <c r="Q212" s="483"/>
      <c r="R212" s="541">
        <f t="shared" si="79"/>
        <v>42577.170848234979</v>
      </c>
      <c r="S212" s="515">
        <v>59197.71759471752</v>
      </c>
      <c r="T212" s="483">
        <f t="shared" si="80"/>
        <v>59197.71759471752</v>
      </c>
      <c r="U212" s="483"/>
      <c r="V212" s="543">
        <f t="shared" si="81"/>
        <v>59197.71759471752</v>
      </c>
      <c r="W212" s="515">
        <v>142110.0378171395</v>
      </c>
      <c r="X212" s="483">
        <f t="shared" si="82"/>
        <v>142110.0378171395</v>
      </c>
      <c r="Y212" s="483"/>
      <c r="Z212" s="543">
        <f t="shared" si="83"/>
        <v>0</v>
      </c>
      <c r="AA212" s="515">
        <v>97595.508530042076</v>
      </c>
      <c r="AB212" s="483">
        <f t="shared" si="84"/>
        <v>97595.508530042076</v>
      </c>
      <c r="AC212" s="483"/>
      <c r="AD212" s="543">
        <f t="shared" si="85"/>
        <v>97595.508530042076</v>
      </c>
      <c r="AE212" s="515">
        <v>119302</v>
      </c>
      <c r="AF212" s="483">
        <f t="shared" si="86"/>
        <v>119302</v>
      </c>
      <c r="AG212" s="483"/>
      <c r="AH212" s="543">
        <f t="shared" si="87"/>
        <v>119302</v>
      </c>
      <c r="AI212" s="520">
        <v>68248.867360381744</v>
      </c>
      <c r="AJ212" s="484">
        <f t="shared" si="88"/>
        <v>68248.867360381744</v>
      </c>
      <c r="AK212" s="484"/>
      <c r="AL212" s="545">
        <f t="shared" si="89"/>
        <v>68248.867360381744</v>
      </c>
      <c r="AM212" s="526">
        <v>118537.50646803142</v>
      </c>
      <c r="AN212" s="485">
        <f t="shared" si="90"/>
        <v>118537.50646803142</v>
      </c>
      <c r="AO212" s="485"/>
      <c r="AP212" s="543">
        <f t="shared" si="91"/>
        <v>118537.50646803142</v>
      </c>
      <c r="AQ212" s="530">
        <f t="shared" si="92"/>
        <v>119302</v>
      </c>
    </row>
    <row r="213" spans="1:43" x14ac:dyDescent="0.55000000000000004">
      <c r="A213" s="316" t="s">
        <v>342</v>
      </c>
      <c r="B213" s="218" t="s">
        <v>343</v>
      </c>
      <c r="C213" s="218" t="s">
        <v>352</v>
      </c>
      <c r="D213" s="105" t="s">
        <v>353</v>
      </c>
      <c r="E213" s="100"/>
      <c r="F213" s="34"/>
      <c r="G213" s="34"/>
      <c r="H213" s="480">
        <v>25766.491604712341</v>
      </c>
      <c r="I213" s="480" t="s">
        <v>414</v>
      </c>
      <c r="J213" s="490">
        <v>1</v>
      </c>
      <c r="K213" s="504">
        <v>3864.973740706851</v>
      </c>
      <c r="L213" s="482">
        <f t="shared" si="76"/>
        <v>3864.973740706851</v>
      </c>
      <c r="M213" s="482"/>
      <c r="N213" s="536">
        <f t="shared" si="77"/>
        <v>3864.973740706851</v>
      </c>
      <c r="O213" s="496">
        <v>8874.6367541988493</v>
      </c>
      <c r="P213" s="483">
        <f t="shared" si="78"/>
        <v>8874.6367541988493</v>
      </c>
      <c r="Q213" s="483"/>
      <c r="R213" s="541">
        <f t="shared" si="79"/>
        <v>8874.6367541988493</v>
      </c>
      <c r="S213" s="515">
        <v>7995.02529353717</v>
      </c>
      <c r="T213" s="483">
        <f t="shared" si="80"/>
        <v>7995.02529353717</v>
      </c>
      <c r="U213" s="483"/>
      <c r="V213" s="543">
        <f t="shared" si="81"/>
        <v>7995.02529353717</v>
      </c>
      <c r="W213" s="515">
        <v>16784.628773650235</v>
      </c>
      <c r="X213" s="483">
        <f t="shared" si="82"/>
        <v>16784.628773650235</v>
      </c>
      <c r="Y213" s="483"/>
      <c r="Z213" s="543">
        <f t="shared" si="83"/>
        <v>0</v>
      </c>
      <c r="AA213" s="515">
        <v>14656.848379685682</v>
      </c>
      <c r="AB213" s="483">
        <f t="shared" si="84"/>
        <v>14656.848379685682</v>
      </c>
      <c r="AC213" s="483"/>
      <c r="AD213" s="543">
        <f t="shared" si="85"/>
        <v>14656.848379685682</v>
      </c>
      <c r="AE213" s="515">
        <v>17004</v>
      </c>
      <c r="AF213" s="483">
        <f t="shared" si="86"/>
        <v>17004</v>
      </c>
      <c r="AG213" s="483"/>
      <c r="AH213" s="543">
        <f t="shared" si="87"/>
        <v>17004</v>
      </c>
      <c r="AI213" s="520">
        <v>19563.447329503815</v>
      </c>
      <c r="AJ213" s="484">
        <f t="shared" si="88"/>
        <v>19563.447329503815</v>
      </c>
      <c r="AK213" s="484"/>
      <c r="AL213" s="545">
        <f t="shared" si="89"/>
        <v>19563.447329503815</v>
      </c>
      <c r="AM213" s="526">
        <v>12883.24580235617</v>
      </c>
      <c r="AN213" s="485">
        <f t="shared" si="90"/>
        <v>12883.24580235617</v>
      </c>
      <c r="AO213" s="485"/>
      <c r="AP213" s="543">
        <f t="shared" si="91"/>
        <v>12883.24580235617</v>
      </c>
      <c r="AQ213" s="530">
        <f t="shared" si="92"/>
        <v>19563.447329503815</v>
      </c>
    </row>
    <row r="214" spans="1:43" x14ac:dyDescent="0.55000000000000004">
      <c r="A214" s="316" t="s">
        <v>342</v>
      </c>
      <c r="B214" s="218" t="s">
        <v>343</v>
      </c>
      <c r="C214" s="218" t="s">
        <v>354</v>
      </c>
      <c r="D214" s="105" t="s">
        <v>355</v>
      </c>
      <c r="E214" s="100"/>
      <c r="F214" s="34"/>
      <c r="G214" s="34"/>
      <c r="H214" s="480">
        <v>43189.075569026623</v>
      </c>
      <c r="I214" s="480" t="s">
        <v>414</v>
      </c>
      <c r="J214" s="490">
        <v>4</v>
      </c>
      <c r="K214" s="504">
        <v>6478.3613353539931</v>
      </c>
      <c r="L214" s="482"/>
      <c r="M214" s="482"/>
      <c r="N214" s="536">
        <f t="shared" si="77"/>
        <v>0</v>
      </c>
      <c r="O214" s="496">
        <v>8117.179445635823</v>
      </c>
      <c r="P214" s="483"/>
      <c r="Q214" s="483"/>
      <c r="R214" s="541">
        <f t="shared" si="79"/>
        <v>0</v>
      </c>
      <c r="S214" s="515">
        <v>13758.146796365621</v>
      </c>
      <c r="T214" s="483"/>
      <c r="U214" s="483"/>
      <c r="V214" s="543">
        <f t="shared" si="81"/>
        <v>0</v>
      </c>
      <c r="W214" s="515">
        <v>25828.661119600776</v>
      </c>
      <c r="X214" s="483"/>
      <c r="Y214" s="483"/>
      <c r="Z214" s="543">
        <f t="shared" si="83"/>
        <v>0</v>
      </c>
      <c r="AA214" s="515">
        <v>18939.369573208412</v>
      </c>
      <c r="AB214" s="483"/>
      <c r="AC214" s="483"/>
      <c r="AD214" s="543">
        <f t="shared" si="85"/>
        <v>0</v>
      </c>
      <c r="AE214" s="515">
        <v>28413</v>
      </c>
      <c r="AF214" s="483"/>
      <c r="AG214" s="483"/>
      <c r="AH214" s="543">
        <f t="shared" si="87"/>
        <v>0</v>
      </c>
      <c r="AI214" s="520">
        <v>17275.630227610647</v>
      </c>
      <c r="AJ214" s="484"/>
      <c r="AK214" s="484"/>
      <c r="AL214" s="545">
        <f t="shared" si="89"/>
        <v>0</v>
      </c>
      <c r="AM214" s="526">
        <v>34791.199763938115</v>
      </c>
      <c r="AN214" s="485"/>
      <c r="AO214" s="485"/>
      <c r="AP214" s="543">
        <f t="shared" si="91"/>
        <v>0</v>
      </c>
      <c r="AQ214" s="530">
        <f t="shared" si="92"/>
        <v>0</v>
      </c>
    </row>
    <row r="215" spans="1:43" x14ac:dyDescent="0.55000000000000004">
      <c r="A215" s="316" t="s">
        <v>342</v>
      </c>
      <c r="B215" s="218" t="s">
        <v>343</v>
      </c>
      <c r="C215" s="218" t="s">
        <v>356</v>
      </c>
      <c r="D215" s="105" t="s">
        <v>357</v>
      </c>
      <c r="E215" s="100"/>
      <c r="F215" s="34"/>
      <c r="G215" s="34"/>
      <c r="H215" s="480">
        <v>12690.76710511266</v>
      </c>
      <c r="I215" s="480" t="s">
        <v>414</v>
      </c>
      <c r="J215" s="490">
        <v>1</v>
      </c>
      <c r="K215" s="504">
        <v>1903.6150657668989</v>
      </c>
      <c r="L215" s="482">
        <f t="shared" si="76"/>
        <v>1903.6150657668989</v>
      </c>
      <c r="M215" s="482"/>
      <c r="N215" s="536">
        <f t="shared" si="77"/>
        <v>1903.6150657668989</v>
      </c>
      <c r="O215" s="496">
        <v>355.58514167157261</v>
      </c>
      <c r="P215" s="483">
        <f t="shared" si="78"/>
        <v>355.58514167157261</v>
      </c>
      <c r="Q215" s="483"/>
      <c r="R215" s="541">
        <f t="shared" si="79"/>
        <v>355.58514167157261</v>
      </c>
      <c r="S215" s="515">
        <v>4640.4143331105124</v>
      </c>
      <c r="T215" s="483">
        <f t="shared" si="80"/>
        <v>4640.4143331105124</v>
      </c>
      <c r="U215" s="483"/>
      <c r="V215" s="543">
        <f t="shared" si="81"/>
        <v>4640.4143331105124</v>
      </c>
      <c r="W215" s="515">
        <v>10271.8459241485</v>
      </c>
      <c r="X215" s="483">
        <f t="shared" si="82"/>
        <v>10271.8459241485</v>
      </c>
      <c r="Y215" s="483"/>
      <c r="Z215" s="543">
        <f t="shared" si="83"/>
        <v>0</v>
      </c>
      <c r="AA215" s="515">
        <v>8575.119729918777</v>
      </c>
      <c r="AB215" s="483">
        <f t="shared" si="84"/>
        <v>8575.119729918777</v>
      </c>
      <c r="AC215" s="483"/>
      <c r="AD215" s="543">
        <f t="shared" si="85"/>
        <v>8575.119729918777</v>
      </c>
      <c r="AE215" s="515">
        <v>8299</v>
      </c>
      <c r="AF215" s="483">
        <f t="shared" si="86"/>
        <v>8299</v>
      </c>
      <c r="AG215" s="483"/>
      <c r="AH215" s="543">
        <f t="shared" si="87"/>
        <v>8299</v>
      </c>
      <c r="AI215" s="520">
        <v>12690.76710511266</v>
      </c>
      <c r="AJ215" s="484">
        <f t="shared" si="88"/>
        <v>12690.76710511266</v>
      </c>
      <c r="AK215" s="484"/>
      <c r="AL215" s="545">
        <f t="shared" si="89"/>
        <v>12690.76710511266</v>
      </c>
      <c r="AM215" s="526">
        <v>10061.14869594517</v>
      </c>
      <c r="AN215" s="485">
        <f t="shared" si="90"/>
        <v>10061.14869594517</v>
      </c>
      <c r="AO215" s="485"/>
      <c r="AP215" s="543">
        <f t="shared" si="91"/>
        <v>10061.14869594517</v>
      </c>
      <c r="AQ215" s="530">
        <f t="shared" si="92"/>
        <v>12690.76710511266</v>
      </c>
    </row>
    <row r="216" spans="1:43" x14ac:dyDescent="0.55000000000000004">
      <c r="A216" s="316" t="s">
        <v>342</v>
      </c>
      <c r="B216" s="218" t="s">
        <v>343</v>
      </c>
      <c r="C216" s="218" t="s">
        <v>358</v>
      </c>
      <c r="D216" s="105" t="s">
        <v>359</v>
      </c>
      <c r="E216" s="100"/>
      <c r="F216" s="34"/>
      <c r="G216" s="34"/>
      <c r="H216" s="480">
        <v>24576.329269129605</v>
      </c>
      <c r="I216" s="480" t="s">
        <v>414</v>
      </c>
      <c r="J216" s="490">
        <v>3</v>
      </c>
      <c r="K216" s="504">
        <v>3686.4493903694406</v>
      </c>
      <c r="L216" s="482"/>
      <c r="M216" s="482">
        <f t="shared" si="93"/>
        <v>1843.2246951847203</v>
      </c>
      <c r="N216" s="536">
        <f t="shared" si="77"/>
        <v>1843.2246951847203</v>
      </c>
      <c r="O216" s="496">
        <v>2643.6265868217333</v>
      </c>
      <c r="P216" s="483"/>
      <c r="Q216" s="483">
        <f t="shared" si="94"/>
        <v>1321.8132934108667</v>
      </c>
      <c r="R216" s="541">
        <f t="shared" si="79"/>
        <v>1321.8132934108667</v>
      </c>
      <c r="S216" s="515">
        <v>9282.5257772875138</v>
      </c>
      <c r="T216" s="483"/>
      <c r="U216" s="483">
        <f t="shared" si="95"/>
        <v>4641.2628886437569</v>
      </c>
      <c r="V216" s="543">
        <f t="shared" si="81"/>
        <v>4641.2628886437569</v>
      </c>
      <c r="W216" s="515">
        <v>17283.929073371444</v>
      </c>
      <c r="X216" s="483"/>
      <c r="Y216" s="483">
        <f t="shared" si="96"/>
        <v>8641.9645366857221</v>
      </c>
      <c r="Z216" s="543">
        <f t="shared" si="83"/>
        <v>8641.9645366857221</v>
      </c>
      <c r="AA216" s="515">
        <v>12121.356328320824</v>
      </c>
      <c r="AB216" s="483"/>
      <c r="AC216" s="483">
        <f t="shared" si="97"/>
        <v>6060.6781641604121</v>
      </c>
      <c r="AD216" s="543">
        <f t="shared" si="85"/>
        <v>6060.6781641604121</v>
      </c>
      <c r="AE216" s="515">
        <v>15865</v>
      </c>
      <c r="AF216" s="483"/>
      <c r="AG216" s="483">
        <f t="shared" si="98"/>
        <v>7932.5</v>
      </c>
      <c r="AH216" s="543">
        <f t="shared" si="87"/>
        <v>7932.5</v>
      </c>
      <c r="AI216" s="520">
        <v>12934.91014164716</v>
      </c>
      <c r="AJ216" s="484"/>
      <c r="AK216" s="484">
        <f t="shared" si="99"/>
        <v>6467.4550708235802</v>
      </c>
      <c r="AL216" s="545">
        <f t="shared" si="89"/>
        <v>6467.4550708235802</v>
      </c>
      <c r="AM216" s="526">
        <v>20707.832995285127</v>
      </c>
      <c r="AN216" s="485"/>
      <c r="AO216" s="485">
        <f t="shared" si="100"/>
        <v>10353.916497642564</v>
      </c>
      <c r="AP216" s="543">
        <f t="shared" si="91"/>
        <v>10353.916497642564</v>
      </c>
      <c r="AQ216" s="530">
        <f t="shared" si="92"/>
        <v>10353.916497642564</v>
      </c>
    </row>
    <row r="217" spans="1:43" x14ac:dyDescent="0.55000000000000004">
      <c r="A217" s="316" t="s">
        <v>342</v>
      </c>
      <c r="B217" s="218" t="s">
        <v>343</v>
      </c>
      <c r="C217" s="218" t="s">
        <v>360</v>
      </c>
      <c r="D217" s="105" t="s">
        <v>361</v>
      </c>
      <c r="E217" s="100"/>
      <c r="F217" s="34"/>
      <c r="G217" s="34"/>
      <c r="H217" s="480">
        <v>1622.427953791605</v>
      </c>
      <c r="I217" s="480" t="s">
        <v>414</v>
      </c>
      <c r="J217" s="490">
        <v>4</v>
      </c>
      <c r="K217" s="504">
        <v>243.36419306874075</v>
      </c>
      <c r="L217" s="482"/>
      <c r="M217" s="482"/>
      <c r="N217" s="536">
        <f t="shared" si="77"/>
        <v>0</v>
      </c>
      <c r="O217" s="496">
        <v>345.82587236292812</v>
      </c>
      <c r="P217" s="483"/>
      <c r="Q217" s="483"/>
      <c r="R217" s="541">
        <f t="shared" si="79"/>
        <v>0</v>
      </c>
      <c r="S217" s="515">
        <v>578.16760239038786</v>
      </c>
      <c r="T217" s="483"/>
      <c r="U217" s="483"/>
      <c r="V217" s="543">
        <f t="shared" si="81"/>
        <v>0</v>
      </c>
      <c r="W217" s="515">
        <v>1086.3058597408046</v>
      </c>
      <c r="X217" s="483"/>
      <c r="Y217" s="483"/>
      <c r="Z217" s="543">
        <f t="shared" si="83"/>
        <v>0</v>
      </c>
      <c r="AA217" s="515">
        <v>789.91024757446075</v>
      </c>
      <c r="AB217" s="483"/>
      <c r="AC217" s="483"/>
      <c r="AD217" s="543">
        <f t="shared" si="85"/>
        <v>0</v>
      </c>
      <c r="AE217" s="515">
        <v>1135</v>
      </c>
      <c r="AF217" s="483"/>
      <c r="AG217" s="483"/>
      <c r="AH217" s="543">
        <f t="shared" si="87"/>
        <v>0</v>
      </c>
      <c r="AI217" s="520">
        <v>0</v>
      </c>
      <c r="AJ217" s="484"/>
      <c r="AK217" s="484"/>
      <c r="AL217" s="545">
        <f t="shared" si="89"/>
        <v>0</v>
      </c>
      <c r="AM217" s="526">
        <v>150.22481053625972</v>
      </c>
      <c r="AN217" s="485"/>
      <c r="AO217" s="485"/>
      <c r="AP217" s="543">
        <f t="shared" si="91"/>
        <v>0</v>
      </c>
      <c r="AQ217" s="530">
        <f t="shared" si="92"/>
        <v>0</v>
      </c>
    </row>
    <row r="218" spans="1:43" x14ac:dyDescent="0.55000000000000004">
      <c r="A218" s="316" t="s">
        <v>342</v>
      </c>
      <c r="B218" s="218" t="s">
        <v>343</v>
      </c>
      <c r="C218" s="218" t="s">
        <v>362</v>
      </c>
      <c r="D218" s="105" t="s">
        <v>363</v>
      </c>
      <c r="E218" s="100"/>
      <c r="F218" s="34"/>
      <c r="G218" s="34"/>
      <c r="H218" s="480">
        <v>4756.8792176598463</v>
      </c>
      <c r="I218" s="480" t="s">
        <v>414</v>
      </c>
      <c r="J218" s="490">
        <v>2</v>
      </c>
      <c r="K218" s="504">
        <v>713.53188264897688</v>
      </c>
      <c r="L218" s="482">
        <f t="shared" si="76"/>
        <v>713.53188264897688</v>
      </c>
      <c r="M218" s="482"/>
      <c r="N218" s="536">
        <f t="shared" si="77"/>
        <v>713.53188264897688</v>
      </c>
      <c r="O218" s="496">
        <v>393.45004247523769</v>
      </c>
      <c r="P218" s="483">
        <f t="shared" si="78"/>
        <v>393.45004247523769</v>
      </c>
      <c r="Q218" s="483"/>
      <c r="R218" s="541">
        <f t="shared" si="79"/>
        <v>393.45004247523769</v>
      </c>
      <c r="S218" s="515">
        <v>2302.8572149639735</v>
      </c>
      <c r="T218" s="483">
        <f t="shared" si="80"/>
        <v>2302.8572149639735</v>
      </c>
      <c r="U218" s="483"/>
      <c r="V218" s="543">
        <f t="shared" si="81"/>
        <v>2302.8572149639735</v>
      </c>
      <c r="W218" s="515">
        <v>3993.3912483369177</v>
      </c>
      <c r="X218" s="483">
        <f t="shared" si="82"/>
        <v>3993.3912483369177</v>
      </c>
      <c r="Y218" s="483"/>
      <c r="Z218" s="543">
        <f t="shared" si="83"/>
        <v>0</v>
      </c>
      <c r="AA218" s="515">
        <v>2891.7710180994654</v>
      </c>
      <c r="AB218" s="483">
        <f t="shared" si="84"/>
        <v>2891.7710180994654</v>
      </c>
      <c r="AC218" s="483"/>
      <c r="AD218" s="543">
        <f t="shared" si="85"/>
        <v>2891.7710180994654</v>
      </c>
      <c r="AE218" s="515">
        <v>3620</v>
      </c>
      <c r="AF218" s="483">
        <f t="shared" si="86"/>
        <v>3620</v>
      </c>
      <c r="AG218" s="483"/>
      <c r="AH218" s="543">
        <f t="shared" si="87"/>
        <v>3620</v>
      </c>
      <c r="AI218" s="520">
        <v>3567.6594132448845</v>
      </c>
      <c r="AJ218" s="484">
        <f t="shared" si="88"/>
        <v>3567.6594132448845</v>
      </c>
      <c r="AK218" s="484"/>
      <c r="AL218" s="545">
        <f t="shared" si="89"/>
        <v>3567.6594132448845</v>
      </c>
      <c r="AM218" s="526">
        <v>4540.6574350389437</v>
      </c>
      <c r="AN218" s="485">
        <f t="shared" si="90"/>
        <v>4540.6574350389437</v>
      </c>
      <c r="AO218" s="485"/>
      <c r="AP218" s="543">
        <f t="shared" si="91"/>
        <v>4540.6574350389437</v>
      </c>
      <c r="AQ218" s="530">
        <f t="shared" si="92"/>
        <v>4540.6574350389437</v>
      </c>
    </row>
    <row r="219" spans="1:43" x14ac:dyDescent="0.55000000000000004">
      <c r="A219" s="316" t="s">
        <v>342</v>
      </c>
      <c r="B219" s="218" t="s">
        <v>343</v>
      </c>
      <c r="C219" s="218" t="s">
        <v>364</v>
      </c>
      <c r="D219" s="105" t="s">
        <v>365</v>
      </c>
      <c r="E219" s="100"/>
      <c r="F219" s="34"/>
      <c r="G219" s="34"/>
      <c r="H219" s="480">
        <v>235020.19206222118</v>
      </c>
      <c r="I219" s="480" t="s">
        <v>414</v>
      </c>
      <c r="J219" s="490">
        <v>1</v>
      </c>
      <c r="K219" s="504">
        <v>35253.028809333176</v>
      </c>
      <c r="L219" s="482">
        <f t="shared" si="76"/>
        <v>35253.028809333176</v>
      </c>
      <c r="M219" s="482"/>
      <c r="N219" s="536">
        <f t="shared" si="77"/>
        <v>35253.028809333176</v>
      </c>
      <c r="O219" s="496">
        <v>43043.948176195809</v>
      </c>
      <c r="P219" s="483">
        <f t="shared" si="78"/>
        <v>43043.948176195809</v>
      </c>
      <c r="Q219" s="483"/>
      <c r="R219" s="541">
        <f t="shared" si="79"/>
        <v>43043.948176195809</v>
      </c>
      <c r="S219" s="515">
        <v>69811.746562686749</v>
      </c>
      <c r="T219" s="483">
        <f t="shared" si="80"/>
        <v>69811.746562686749</v>
      </c>
      <c r="U219" s="483"/>
      <c r="V219" s="543">
        <f t="shared" si="81"/>
        <v>69811.746562686749</v>
      </c>
      <c r="W219" s="515">
        <v>157164.99172748698</v>
      </c>
      <c r="X219" s="483">
        <f t="shared" si="82"/>
        <v>157164.99172748698</v>
      </c>
      <c r="Y219" s="483"/>
      <c r="Z219" s="543">
        <f t="shared" si="83"/>
        <v>0</v>
      </c>
      <c r="AA219" s="515">
        <v>99310.943787170196</v>
      </c>
      <c r="AB219" s="483">
        <f t="shared" si="84"/>
        <v>99310.943787170196</v>
      </c>
      <c r="AC219" s="483"/>
      <c r="AD219" s="543">
        <f t="shared" si="85"/>
        <v>99310.943787170196</v>
      </c>
      <c r="AE219" s="515">
        <v>155152</v>
      </c>
      <c r="AF219" s="483">
        <f t="shared" si="86"/>
        <v>155152</v>
      </c>
      <c r="AG219" s="483"/>
      <c r="AH219" s="543">
        <f t="shared" si="87"/>
        <v>155152</v>
      </c>
      <c r="AI219" s="520">
        <v>52226.709347160257</v>
      </c>
      <c r="AJ219" s="484">
        <f t="shared" si="88"/>
        <v>52226.709347160257</v>
      </c>
      <c r="AK219" s="484"/>
      <c r="AL219" s="545">
        <f t="shared" si="89"/>
        <v>52226.709347160257</v>
      </c>
      <c r="AM219" s="526">
        <v>113157.87025218057</v>
      </c>
      <c r="AN219" s="485">
        <f t="shared" si="90"/>
        <v>113157.87025218057</v>
      </c>
      <c r="AO219" s="485"/>
      <c r="AP219" s="543">
        <f t="shared" si="91"/>
        <v>113157.87025218057</v>
      </c>
      <c r="AQ219" s="530">
        <f t="shared" si="92"/>
        <v>155152</v>
      </c>
    </row>
    <row r="220" spans="1:43" x14ac:dyDescent="0.55000000000000004">
      <c r="A220" s="316" t="s">
        <v>342</v>
      </c>
      <c r="B220" s="218" t="s">
        <v>343</v>
      </c>
      <c r="C220" s="218" t="s">
        <v>366</v>
      </c>
      <c r="D220" s="105" t="s">
        <v>367</v>
      </c>
      <c r="E220" s="100"/>
      <c r="F220" s="34"/>
      <c r="G220" s="34"/>
      <c r="H220" s="480">
        <v>44257.266075717678</v>
      </c>
      <c r="I220" s="480" t="s">
        <v>414</v>
      </c>
      <c r="J220" s="490">
        <v>1</v>
      </c>
      <c r="K220" s="504">
        <v>6638.5899113576515</v>
      </c>
      <c r="L220" s="482">
        <f t="shared" si="76"/>
        <v>6638.5899113576515</v>
      </c>
      <c r="M220" s="482"/>
      <c r="N220" s="536">
        <f t="shared" si="77"/>
        <v>6638.5899113576515</v>
      </c>
      <c r="O220" s="496">
        <v>14377.415457357643</v>
      </c>
      <c r="P220" s="483">
        <f t="shared" si="78"/>
        <v>14377.415457357643</v>
      </c>
      <c r="Q220" s="483"/>
      <c r="R220" s="541">
        <f t="shared" si="79"/>
        <v>14377.415457357643</v>
      </c>
      <c r="S220" s="515">
        <v>15943.841592578076</v>
      </c>
      <c r="T220" s="483">
        <f t="shared" si="80"/>
        <v>15943.841592578076</v>
      </c>
      <c r="U220" s="483"/>
      <c r="V220" s="543">
        <f t="shared" si="81"/>
        <v>15943.841592578076</v>
      </c>
      <c r="W220" s="515">
        <v>38531.47105902285</v>
      </c>
      <c r="X220" s="483">
        <f t="shared" si="82"/>
        <v>38531.47105902285</v>
      </c>
      <c r="Y220" s="483"/>
      <c r="Z220" s="543">
        <f t="shared" si="83"/>
        <v>0</v>
      </c>
      <c r="AA220" s="515">
        <v>28532.03421814082</v>
      </c>
      <c r="AB220" s="483">
        <f t="shared" si="84"/>
        <v>28532.03421814082</v>
      </c>
      <c r="AC220" s="483"/>
      <c r="AD220" s="543">
        <f t="shared" si="85"/>
        <v>28532.03421814082</v>
      </c>
      <c r="AE220" s="515">
        <v>29257</v>
      </c>
      <c r="AF220" s="483">
        <f t="shared" si="86"/>
        <v>29257</v>
      </c>
      <c r="AG220" s="483"/>
      <c r="AH220" s="543">
        <f t="shared" si="87"/>
        <v>29257</v>
      </c>
      <c r="AI220" s="520">
        <v>25289.86632898153</v>
      </c>
      <c r="AJ220" s="484">
        <f t="shared" si="88"/>
        <v>25289.86632898153</v>
      </c>
      <c r="AK220" s="484"/>
      <c r="AL220" s="545">
        <f t="shared" si="89"/>
        <v>25289.86632898153</v>
      </c>
      <c r="AM220" s="526">
        <v>33192.949556788255</v>
      </c>
      <c r="AN220" s="485">
        <f t="shared" si="90"/>
        <v>33192.949556788255</v>
      </c>
      <c r="AO220" s="485"/>
      <c r="AP220" s="543">
        <f t="shared" si="91"/>
        <v>33192.949556788255</v>
      </c>
      <c r="AQ220" s="530">
        <f t="shared" si="92"/>
        <v>33192.949556788255</v>
      </c>
    </row>
    <row r="221" spans="1:43" x14ac:dyDescent="0.55000000000000004">
      <c r="A221" s="316" t="s">
        <v>368</v>
      </c>
      <c r="B221" s="218" t="s">
        <v>369</v>
      </c>
      <c r="C221" s="218" t="s">
        <v>370</v>
      </c>
      <c r="D221" s="105" t="s">
        <v>371</v>
      </c>
      <c r="E221" s="100"/>
      <c r="F221" s="34"/>
      <c r="G221" s="34"/>
      <c r="H221" s="480">
        <v>34983.329520759507</v>
      </c>
      <c r="I221" s="480" t="s">
        <v>414</v>
      </c>
      <c r="J221" s="490">
        <v>3</v>
      </c>
      <c r="K221" s="504">
        <v>5247.4994281139261</v>
      </c>
      <c r="L221" s="482"/>
      <c r="M221" s="482">
        <f t="shared" si="93"/>
        <v>2623.7497140569631</v>
      </c>
      <c r="N221" s="536">
        <f t="shared" si="77"/>
        <v>2623.7497140569631</v>
      </c>
      <c r="O221" s="496">
        <v>7413.4293053986139</v>
      </c>
      <c r="P221" s="483"/>
      <c r="Q221" s="483">
        <f t="shared" si="94"/>
        <v>3706.714652699307</v>
      </c>
      <c r="R221" s="541">
        <f t="shared" si="79"/>
        <v>3706.714652699307</v>
      </c>
      <c r="S221" s="515">
        <v>12492.153849814778</v>
      </c>
      <c r="T221" s="483"/>
      <c r="U221" s="483">
        <f t="shared" si="95"/>
        <v>6246.0769249073892</v>
      </c>
      <c r="V221" s="543">
        <f t="shared" si="81"/>
        <v>6246.0769249073892</v>
      </c>
      <c r="W221" s="515">
        <v>20489.716482018473</v>
      </c>
      <c r="X221" s="483"/>
      <c r="Y221" s="483">
        <f t="shared" si="96"/>
        <v>10244.858241009237</v>
      </c>
      <c r="Z221" s="543">
        <f t="shared" si="83"/>
        <v>10244.858241009237</v>
      </c>
      <c r="AA221" s="515">
        <v>16834.613214961206</v>
      </c>
      <c r="AB221" s="483"/>
      <c r="AC221" s="483">
        <f t="shared" si="97"/>
        <v>8417.3066074806029</v>
      </c>
      <c r="AD221" s="543">
        <f t="shared" si="85"/>
        <v>8417.3066074806029</v>
      </c>
      <c r="AE221" s="515">
        <v>23078</v>
      </c>
      <c r="AF221" s="483"/>
      <c r="AG221" s="483">
        <f t="shared" si="98"/>
        <v>11539</v>
      </c>
      <c r="AH221" s="543">
        <f t="shared" si="87"/>
        <v>11539</v>
      </c>
      <c r="AI221" s="520">
        <v>24660.379826109162</v>
      </c>
      <c r="AJ221" s="484"/>
      <c r="AK221" s="484">
        <f t="shared" si="99"/>
        <v>12330.189913054581</v>
      </c>
      <c r="AL221" s="545">
        <f t="shared" si="89"/>
        <v>12330.189913054581</v>
      </c>
      <c r="AM221" s="526">
        <v>11661.109840253168</v>
      </c>
      <c r="AN221" s="485"/>
      <c r="AO221" s="485">
        <f t="shared" si="100"/>
        <v>5830.554920126584</v>
      </c>
      <c r="AP221" s="543">
        <f t="shared" si="91"/>
        <v>5830.554920126584</v>
      </c>
      <c r="AQ221" s="530">
        <f t="shared" si="92"/>
        <v>12330.189913054581</v>
      </c>
    </row>
    <row r="222" spans="1:43" x14ac:dyDescent="0.55000000000000004">
      <c r="A222" s="316" t="s">
        <v>368</v>
      </c>
      <c r="B222" s="218" t="s">
        <v>369</v>
      </c>
      <c r="C222" s="218" t="s">
        <v>372</v>
      </c>
      <c r="D222" s="105" t="s">
        <v>373</v>
      </c>
      <c r="E222" s="100"/>
      <c r="F222" s="34"/>
      <c r="G222" s="34"/>
      <c r="H222" s="480">
        <v>98408.747432231496</v>
      </c>
      <c r="I222" s="480" t="s">
        <v>414</v>
      </c>
      <c r="J222" s="490">
        <v>3</v>
      </c>
      <c r="K222" s="504">
        <v>14761.312114834724</v>
      </c>
      <c r="L222" s="482"/>
      <c r="M222" s="482">
        <f t="shared" si="93"/>
        <v>7380.6560574173618</v>
      </c>
      <c r="N222" s="536">
        <f t="shared" si="77"/>
        <v>7380.6560574173618</v>
      </c>
      <c r="O222" s="496">
        <v>22394.770403530743</v>
      </c>
      <c r="P222" s="483"/>
      <c r="Q222" s="483">
        <f t="shared" si="94"/>
        <v>11197.385201765372</v>
      </c>
      <c r="R222" s="541">
        <f t="shared" si="79"/>
        <v>11197.385201765372</v>
      </c>
      <c r="S222" s="515">
        <v>35540.933869193272</v>
      </c>
      <c r="T222" s="483"/>
      <c r="U222" s="483">
        <f t="shared" si="95"/>
        <v>17770.466934596636</v>
      </c>
      <c r="V222" s="543">
        <f t="shared" si="81"/>
        <v>17770.466934596636</v>
      </c>
      <c r="W222" s="515">
        <v>52315.662132673438</v>
      </c>
      <c r="X222" s="483"/>
      <c r="Y222" s="483">
        <f t="shared" si="96"/>
        <v>26157.831066336719</v>
      </c>
      <c r="Z222" s="543">
        <f t="shared" si="83"/>
        <v>26157.831066336719</v>
      </c>
      <c r="AA222" s="515">
        <v>49887.945759563932</v>
      </c>
      <c r="AB222" s="483"/>
      <c r="AC222" s="483">
        <f t="shared" si="97"/>
        <v>24943.972879781966</v>
      </c>
      <c r="AD222" s="543">
        <f t="shared" si="85"/>
        <v>24943.972879781966</v>
      </c>
      <c r="AE222" s="515">
        <v>65097</v>
      </c>
      <c r="AF222" s="483"/>
      <c r="AG222" s="483">
        <f t="shared" si="98"/>
        <v>32548.5</v>
      </c>
      <c r="AH222" s="543">
        <f t="shared" si="87"/>
        <v>32548.5</v>
      </c>
      <c r="AI222" s="520">
        <v>57990.869022564992</v>
      </c>
      <c r="AJ222" s="484"/>
      <c r="AK222" s="484">
        <f t="shared" si="99"/>
        <v>28995.434511282496</v>
      </c>
      <c r="AL222" s="545">
        <f t="shared" si="89"/>
        <v>28995.434511282496</v>
      </c>
      <c r="AM222" s="526">
        <v>49204.373716115748</v>
      </c>
      <c r="AN222" s="485"/>
      <c r="AO222" s="485">
        <f t="shared" si="100"/>
        <v>24602.186858057874</v>
      </c>
      <c r="AP222" s="543">
        <f t="shared" si="91"/>
        <v>24602.186858057874</v>
      </c>
      <c r="AQ222" s="530">
        <f t="shared" si="92"/>
        <v>32548.5</v>
      </c>
    </row>
    <row r="223" spans="1:43" x14ac:dyDescent="0.55000000000000004">
      <c r="A223" s="316" t="s">
        <v>368</v>
      </c>
      <c r="B223" s="218" t="s">
        <v>369</v>
      </c>
      <c r="C223" s="218" t="s">
        <v>374</v>
      </c>
      <c r="D223" s="105" t="s">
        <v>375</v>
      </c>
      <c r="E223" s="100"/>
      <c r="F223" s="34"/>
      <c r="G223" s="34"/>
      <c r="H223" s="480">
        <v>17868.834713485074</v>
      </c>
      <c r="I223" s="480" t="s">
        <v>414</v>
      </c>
      <c r="J223" s="490">
        <v>2</v>
      </c>
      <c r="K223" s="504">
        <v>2680.3252070227609</v>
      </c>
      <c r="L223" s="482">
        <f t="shared" si="76"/>
        <v>2680.3252070227609</v>
      </c>
      <c r="M223" s="482"/>
      <c r="N223" s="536">
        <f t="shared" si="77"/>
        <v>2680.3252070227609</v>
      </c>
      <c r="O223" s="496">
        <v>5845.6498996058772</v>
      </c>
      <c r="P223" s="483">
        <f t="shared" si="78"/>
        <v>5845.6498996058772</v>
      </c>
      <c r="Q223" s="483"/>
      <c r="R223" s="541">
        <f t="shared" si="79"/>
        <v>5845.6498996058772</v>
      </c>
      <c r="S223" s="515">
        <v>7627.3791897194624</v>
      </c>
      <c r="T223" s="483">
        <f t="shared" si="80"/>
        <v>7627.3791897194624</v>
      </c>
      <c r="U223" s="483"/>
      <c r="V223" s="543">
        <f t="shared" si="81"/>
        <v>7627.3791897194624</v>
      </c>
      <c r="W223" s="515">
        <v>13176.465842066476</v>
      </c>
      <c r="X223" s="483">
        <f t="shared" si="82"/>
        <v>13176.465842066476</v>
      </c>
      <c r="Y223" s="483"/>
      <c r="Z223" s="543">
        <f t="shared" si="83"/>
        <v>0</v>
      </c>
      <c r="AA223" s="515">
        <v>7643.5241742857106</v>
      </c>
      <c r="AB223" s="483">
        <f t="shared" si="84"/>
        <v>7643.5241742857106</v>
      </c>
      <c r="AC223" s="483"/>
      <c r="AD223" s="543">
        <f t="shared" si="85"/>
        <v>7643.5241742857106</v>
      </c>
      <c r="AE223" s="515">
        <v>13713</v>
      </c>
      <c r="AF223" s="483">
        <f t="shared" si="86"/>
        <v>13713</v>
      </c>
      <c r="AG223" s="483"/>
      <c r="AH223" s="543">
        <f t="shared" si="87"/>
        <v>13713</v>
      </c>
      <c r="AI223" s="520">
        <v>12183.296395558005</v>
      </c>
      <c r="AJ223" s="484">
        <f t="shared" si="88"/>
        <v>12183.296395558005</v>
      </c>
      <c r="AK223" s="484"/>
      <c r="AL223" s="545">
        <f t="shared" si="89"/>
        <v>12183.296395558005</v>
      </c>
      <c r="AM223" s="526">
        <v>8768.9651834695287</v>
      </c>
      <c r="AN223" s="485">
        <f t="shared" si="90"/>
        <v>8768.9651834695287</v>
      </c>
      <c r="AO223" s="485"/>
      <c r="AP223" s="543">
        <f t="shared" si="91"/>
        <v>8768.9651834695287</v>
      </c>
      <c r="AQ223" s="530">
        <f t="shared" si="92"/>
        <v>13713</v>
      </c>
    </row>
    <row r="224" spans="1:43" x14ac:dyDescent="0.55000000000000004">
      <c r="A224" s="316" t="s">
        <v>368</v>
      </c>
      <c r="B224" s="218" t="s">
        <v>369</v>
      </c>
      <c r="C224" s="218" t="s">
        <v>376</v>
      </c>
      <c r="D224" s="105" t="s">
        <v>377</v>
      </c>
      <c r="E224" s="100"/>
      <c r="F224" s="34"/>
      <c r="G224" s="34"/>
      <c r="H224" s="480">
        <v>13129.238762438523</v>
      </c>
      <c r="I224" s="480" t="s">
        <v>414</v>
      </c>
      <c r="J224" s="490">
        <v>3</v>
      </c>
      <c r="K224" s="504">
        <v>1969.3858143657783</v>
      </c>
      <c r="L224" s="482"/>
      <c r="M224" s="482">
        <f t="shared" si="93"/>
        <v>984.69290718288914</v>
      </c>
      <c r="N224" s="536">
        <f t="shared" si="77"/>
        <v>984.69290718288914</v>
      </c>
      <c r="O224" s="496">
        <v>3481.1651409055244</v>
      </c>
      <c r="P224" s="483"/>
      <c r="Q224" s="483">
        <f t="shared" si="94"/>
        <v>1740.5825704527622</v>
      </c>
      <c r="R224" s="541">
        <f t="shared" si="79"/>
        <v>1740.5825704527622</v>
      </c>
      <c r="S224" s="515">
        <v>4927.9522371892199</v>
      </c>
      <c r="T224" s="483"/>
      <c r="U224" s="483">
        <f t="shared" si="95"/>
        <v>2463.9761185946099</v>
      </c>
      <c r="V224" s="543">
        <f t="shared" si="81"/>
        <v>2463.9761185946099</v>
      </c>
      <c r="W224" s="515">
        <v>8153.4055458651592</v>
      </c>
      <c r="X224" s="483"/>
      <c r="Y224" s="483">
        <f t="shared" si="96"/>
        <v>4076.7027729325796</v>
      </c>
      <c r="Z224" s="543">
        <f t="shared" si="83"/>
        <v>4076.7027729325796</v>
      </c>
      <c r="AA224" s="515">
        <v>5919.1551518143524</v>
      </c>
      <c r="AB224" s="483"/>
      <c r="AC224" s="483">
        <f t="shared" si="97"/>
        <v>2959.5775759071762</v>
      </c>
      <c r="AD224" s="543">
        <f t="shared" si="85"/>
        <v>2959.5775759071762</v>
      </c>
      <c r="AE224" s="515">
        <v>8907</v>
      </c>
      <c r="AF224" s="483"/>
      <c r="AG224" s="483">
        <f t="shared" si="98"/>
        <v>4453.5</v>
      </c>
      <c r="AH224" s="543">
        <f t="shared" si="87"/>
        <v>4453.5</v>
      </c>
      <c r="AI224" s="520">
        <v>8951.7537016626302</v>
      </c>
      <c r="AJ224" s="484"/>
      <c r="AK224" s="484">
        <f t="shared" si="99"/>
        <v>4475.8768508313151</v>
      </c>
      <c r="AL224" s="545">
        <f t="shared" si="89"/>
        <v>4475.8768508313151</v>
      </c>
      <c r="AM224" s="526">
        <v>7901.8566625787389</v>
      </c>
      <c r="AN224" s="485"/>
      <c r="AO224" s="485">
        <f t="shared" si="100"/>
        <v>3950.9283312893695</v>
      </c>
      <c r="AP224" s="543">
        <f t="shared" si="91"/>
        <v>3950.9283312893695</v>
      </c>
      <c r="AQ224" s="530">
        <f t="shared" si="92"/>
        <v>4475.8768508313151</v>
      </c>
    </row>
    <row r="225" spans="1:43" x14ac:dyDescent="0.55000000000000004">
      <c r="A225" s="316" t="s">
        <v>368</v>
      </c>
      <c r="B225" s="218" t="s">
        <v>369</v>
      </c>
      <c r="C225" s="218" t="s">
        <v>378</v>
      </c>
      <c r="D225" s="105" t="s">
        <v>379</v>
      </c>
      <c r="E225" s="100"/>
      <c r="F225" s="34"/>
      <c r="G225" s="34"/>
      <c r="H225" s="480">
        <v>8647.438167676999</v>
      </c>
      <c r="I225" s="480" t="s">
        <v>414</v>
      </c>
      <c r="J225" s="490">
        <v>4</v>
      </c>
      <c r="K225" s="504">
        <v>1297.1157251515499</v>
      </c>
      <c r="L225" s="482"/>
      <c r="M225" s="482"/>
      <c r="N225" s="536">
        <f t="shared" si="77"/>
        <v>0</v>
      </c>
      <c r="O225" s="496">
        <v>1343.0984776081723</v>
      </c>
      <c r="P225" s="483"/>
      <c r="Q225" s="483"/>
      <c r="R225" s="541">
        <f t="shared" si="79"/>
        <v>0</v>
      </c>
      <c r="S225" s="515">
        <v>3855.9279964630709</v>
      </c>
      <c r="T225" s="483"/>
      <c r="U225" s="483"/>
      <c r="V225" s="543">
        <f t="shared" si="81"/>
        <v>0</v>
      </c>
      <c r="W225" s="515">
        <v>4902.8872654551633</v>
      </c>
      <c r="X225" s="483"/>
      <c r="Y225" s="483"/>
      <c r="Z225" s="543">
        <f t="shared" si="83"/>
        <v>0</v>
      </c>
      <c r="AA225" s="515">
        <v>4930.3563020103575</v>
      </c>
      <c r="AB225" s="483"/>
      <c r="AC225" s="483"/>
      <c r="AD225" s="543">
        <f t="shared" si="85"/>
        <v>0</v>
      </c>
      <c r="AE225" s="515">
        <v>6053</v>
      </c>
      <c r="AF225" s="483"/>
      <c r="AG225" s="483"/>
      <c r="AH225" s="543">
        <f t="shared" si="87"/>
        <v>0</v>
      </c>
      <c r="AI225" s="520">
        <v>5228.6835432465577</v>
      </c>
      <c r="AJ225" s="484"/>
      <c r="AK225" s="484"/>
      <c r="AL225" s="545">
        <f t="shared" si="89"/>
        <v>0</v>
      </c>
      <c r="AM225" s="526">
        <v>6645.7163696036187</v>
      </c>
      <c r="AN225" s="485"/>
      <c r="AO225" s="485"/>
      <c r="AP225" s="543">
        <f t="shared" si="91"/>
        <v>0</v>
      </c>
      <c r="AQ225" s="530">
        <f t="shared" si="92"/>
        <v>0</v>
      </c>
    </row>
    <row r="226" spans="1:43" x14ac:dyDescent="0.55000000000000004">
      <c r="A226" s="316" t="s">
        <v>368</v>
      </c>
      <c r="B226" s="218" t="s">
        <v>369</v>
      </c>
      <c r="C226" s="218" t="s">
        <v>380</v>
      </c>
      <c r="D226" s="105" t="s">
        <v>381</v>
      </c>
      <c r="E226" s="100"/>
      <c r="F226" s="34"/>
      <c r="G226" s="34"/>
      <c r="H226" s="480">
        <v>79307.299107857689</v>
      </c>
      <c r="I226" s="480" t="s">
        <v>414</v>
      </c>
      <c r="J226" s="490">
        <v>1</v>
      </c>
      <c r="K226" s="504">
        <v>11896.094866178653</v>
      </c>
      <c r="L226" s="482">
        <f t="shared" si="76"/>
        <v>11896.094866178653</v>
      </c>
      <c r="M226" s="482"/>
      <c r="N226" s="536">
        <f t="shared" si="77"/>
        <v>11896.094866178653</v>
      </c>
      <c r="O226" s="496">
        <v>9739.0949450431381</v>
      </c>
      <c r="P226" s="483">
        <f t="shared" si="78"/>
        <v>9739.0949450431381</v>
      </c>
      <c r="Q226" s="483"/>
      <c r="R226" s="541">
        <f t="shared" si="79"/>
        <v>9739.0949450431381</v>
      </c>
      <c r="S226" s="515">
        <v>32810.821682426264</v>
      </c>
      <c r="T226" s="483">
        <f t="shared" si="80"/>
        <v>32810.821682426264</v>
      </c>
      <c r="U226" s="483"/>
      <c r="V226" s="543">
        <f t="shared" si="81"/>
        <v>32810.821682426264</v>
      </c>
      <c r="W226" s="515">
        <v>46274.274786345559</v>
      </c>
      <c r="X226" s="483">
        <f t="shared" si="82"/>
        <v>46274.274786345559</v>
      </c>
      <c r="Y226" s="483"/>
      <c r="Z226" s="543">
        <f t="shared" si="83"/>
        <v>0</v>
      </c>
      <c r="AA226" s="515">
        <v>47910.869250360593</v>
      </c>
      <c r="AB226" s="483">
        <f t="shared" si="84"/>
        <v>47910.869250360593</v>
      </c>
      <c r="AC226" s="483"/>
      <c r="AD226" s="543">
        <f t="shared" si="85"/>
        <v>47910.869250360593</v>
      </c>
      <c r="AE226" s="515">
        <v>33234</v>
      </c>
      <c r="AF226" s="483">
        <f t="shared" si="86"/>
        <v>33234</v>
      </c>
      <c r="AG226" s="483"/>
      <c r="AH226" s="543">
        <f t="shared" si="87"/>
        <v>33234</v>
      </c>
      <c r="AI226" s="520">
        <v>45123.11845791903</v>
      </c>
      <c r="AJ226" s="484">
        <f t="shared" si="88"/>
        <v>45123.11845791903</v>
      </c>
      <c r="AK226" s="484"/>
      <c r="AL226" s="545">
        <f t="shared" si="89"/>
        <v>45123.11845791903</v>
      </c>
      <c r="AM226" s="526">
        <v>35982.015335972479</v>
      </c>
      <c r="AN226" s="485">
        <f t="shared" si="90"/>
        <v>35982.015335972479</v>
      </c>
      <c r="AO226" s="485"/>
      <c r="AP226" s="543">
        <f t="shared" si="91"/>
        <v>35982.015335972479</v>
      </c>
      <c r="AQ226" s="530">
        <f t="shared" si="92"/>
        <v>47910.869250360593</v>
      </c>
    </row>
    <row r="227" spans="1:43" x14ac:dyDescent="0.55000000000000004">
      <c r="A227" s="316" t="s">
        <v>382</v>
      </c>
      <c r="B227" s="218" t="s">
        <v>383</v>
      </c>
      <c r="C227" s="218" t="s">
        <v>384</v>
      </c>
      <c r="D227" s="105" t="s">
        <v>385</v>
      </c>
      <c r="E227" s="100"/>
      <c r="F227" s="34"/>
      <c r="G227" s="34"/>
      <c r="H227" s="480">
        <v>20202.24984559073</v>
      </c>
      <c r="I227" s="480" t="s">
        <v>414</v>
      </c>
      <c r="J227" s="490">
        <v>4</v>
      </c>
      <c r="K227" s="504">
        <v>3030.3374768386093</v>
      </c>
      <c r="L227" s="482"/>
      <c r="M227" s="482"/>
      <c r="N227" s="536">
        <f t="shared" si="77"/>
        <v>0</v>
      </c>
      <c r="O227" s="496">
        <v>4130.4429112803145</v>
      </c>
      <c r="P227" s="483"/>
      <c r="Q227" s="483"/>
      <c r="R227" s="541">
        <f t="shared" si="79"/>
        <v>0</v>
      </c>
      <c r="S227" s="515">
        <v>6199.331577511226</v>
      </c>
      <c r="T227" s="483"/>
      <c r="U227" s="483"/>
      <c r="V227" s="543">
        <f t="shared" si="81"/>
        <v>0</v>
      </c>
      <c r="W227" s="515">
        <v>6182.5606374466261</v>
      </c>
      <c r="X227" s="483"/>
      <c r="Y227" s="483"/>
      <c r="Z227" s="543">
        <f t="shared" si="83"/>
        <v>0</v>
      </c>
      <c r="AA227" s="515">
        <v>10500.549384030208</v>
      </c>
      <c r="AB227" s="483"/>
      <c r="AC227" s="483"/>
      <c r="AD227" s="543">
        <f t="shared" si="85"/>
        <v>0</v>
      </c>
      <c r="AE227" s="515">
        <v>13430</v>
      </c>
      <c r="AF227" s="483"/>
      <c r="AG227" s="483"/>
      <c r="AH227" s="543">
        <f t="shared" si="87"/>
        <v>0</v>
      </c>
      <c r="AI227" s="520">
        <v>11223.472136439294</v>
      </c>
      <c r="AJ227" s="484"/>
      <c r="AK227" s="484"/>
      <c r="AL227" s="545">
        <f t="shared" si="89"/>
        <v>0</v>
      </c>
      <c r="AM227" s="526">
        <v>14403.455908430427</v>
      </c>
      <c r="AN227" s="485"/>
      <c r="AO227" s="485"/>
      <c r="AP227" s="543">
        <f t="shared" si="91"/>
        <v>0</v>
      </c>
      <c r="AQ227" s="530">
        <f t="shared" si="92"/>
        <v>0</v>
      </c>
    </row>
    <row r="228" spans="1:43" x14ac:dyDescent="0.55000000000000004">
      <c r="A228" s="316" t="s">
        <v>382</v>
      </c>
      <c r="B228" s="218" t="s">
        <v>383</v>
      </c>
      <c r="C228" s="218" t="s">
        <v>386</v>
      </c>
      <c r="D228" s="105" t="s">
        <v>387</v>
      </c>
      <c r="E228" s="100"/>
      <c r="F228" s="34"/>
      <c r="G228" s="34"/>
      <c r="H228" s="480">
        <v>28676.523493080207</v>
      </c>
      <c r="I228" s="480" t="s">
        <v>414</v>
      </c>
      <c r="J228" s="490">
        <v>3</v>
      </c>
      <c r="K228" s="504">
        <v>4301.4785239620305</v>
      </c>
      <c r="L228" s="482"/>
      <c r="M228" s="482">
        <f t="shared" si="93"/>
        <v>2150.7392619810153</v>
      </c>
      <c r="N228" s="536">
        <f t="shared" si="77"/>
        <v>2150.7392619810153</v>
      </c>
      <c r="O228" s="496">
        <v>7547.8473807814153</v>
      </c>
      <c r="P228" s="483"/>
      <c r="Q228" s="483">
        <f t="shared" si="94"/>
        <v>3773.9236903907076</v>
      </c>
      <c r="R228" s="541">
        <f t="shared" si="79"/>
        <v>3773.9236903907076</v>
      </c>
      <c r="S228" s="515">
        <v>9034.1005309117991</v>
      </c>
      <c r="T228" s="483"/>
      <c r="U228" s="483">
        <f t="shared" si="95"/>
        <v>4517.0502654558995</v>
      </c>
      <c r="V228" s="543">
        <f t="shared" si="81"/>
        <v>4517.0502654558995</v>
      </c>
      <c r="W228" s="515">
        <v>14917.237217909655</v>
      </c>
      <c r="X228" s="483"/>
      <c r="Y228" s="483">
        <f t="shared" si="96"/>
        <v>7458.6186089548273</v>
      </c>
      <c r="Z228" s="543">
        <f t="shared" si="83"/>
        <v>7458.6186089548273</v>
      </c>
      <c r="AA228" s="515">
        <v>14871.963856483533</v>
      </c>
      <c r="AB228" s="483"/>
      <c r="AC228" s="483">
        <f t="shared" si="97"/>
        <v>7435.9819282417666</v>
      </c>
      <c r="AD228" s="543">
        <f t="shared" si="85"/>
        <v>7435.9819282417666</v>
      </c>
      <c r="AE228" s="515">
        <v>19279</v>
      </c>
      <c r="AF228" s="483"/>
      <c r="AG228" s="483">
        <f t="shared" si="98"/>
        <v>9639.5</v>
      </c>
      <c r="AH228" s="543">
        <f t="shared" si="87"/>
        <v>9639.5</v>
      </c>
      <c r="AI228" s="520">
        <v>20899.83915597371</v>
      </c>
      <c r="AJ228" s="484"/>
      <c r="AK228" s="484">
        <f t="shared" si="99"/>
        <v>10449.919577986855</v>
      </c>
      <c r="AL228" s="545">
        <f t="shared" si="89"/>
        <v>10449.919577986855</v>
      </c>
      <c r="AM228" s="526">
        <v>7434.6542389467213</v>
      </c>
      <c r="AN228" s="485"/>
      <c r="AO228" s="485">
        <f t="shared" si="100"/>
        <v>3717.3271194733607</v>
      </c>
      <c r="AP228" s="543">
        <f t="shared" si="91"/>
        <v>3717.3271194733607</v>
      </c>
      <c r="AQ228" s="530">
        <f t="shared" si="92"/>
        <v>10449.919577986855</v>
      </c>
    </row>
    <row r="229" spans="1:43" x14ac:dyDescent="0.55000000000000004">
      <c r="A229" s="316" t="s">
        <v>382</v>
      </c>
      <c r="B229" s="218" t="s">
        <v>383</v>
      </c>
      <c r="C229" s="218" t="s">
        <v>388</v>
      </c>
      <c r="D229" s="105" t="s">
        <v>389</v>
      </c>
      <c r="E229" s="100"/>
      <c r="F229" s="34"/>
      <c r="G229" s="34"/>
      <c r="H229" s="480">
        <v>47646.035148118463</v>
      </c>
      <c r="I229" s="480" t="s">
        <v>414</v>
      </c>
      <c r="J229" s="490">
        <v>4</v>
      </c>
      <c r="K229" s="504">
        <v>7146.9052722177694</v>
      </c>
      <c r="L229" s="482"/>
      <c r="M229" s="482"/>
      <c r="N229" s="536">
        <f t="shared" si="77"/>
        <v>0</v>
      </c>
      <c r="O229" s="496">
        <v>6494.4214084853766</v>
      </c>
      <c r="P229" s="483"/>
      <c r="Q229" s="483"/>
      <c r="R229" s="541">
        <f t="shared" si="79"/>
        <v>0</v>
      </c>
      <c r="S229" s="515">
        <v>14934.166989641053</v>
      </c>
      <c r="T229" s="483"/>
      <c r="U229" s="483"/>
      <c r="V229" s="543">
        <f t="shared" si="81"/>
        <v>0</v>
      </c>
      <c r="W229" s="515">
        <v>23618.765949974742</v>
      </c>
      <c r="X229" s="483"/>
      <c r="Y229" s="483"/>
      <c r="Z229" s="543">
        <f t="shared" si="83"/>
        <v>0</v>
      </c>
      <c r="AA229" s="515">
        <v>21699.970696247929</v>
      </c>
      <c r="AB229" s="483"/>
      <c r="AC229" s="483"/>
      <c r="AD229" s="543">
        <f t="shared" si="85"/>
        <v>0</v>
      </c>
      <c r="AE229" s="515">
        <v>31618</v>
      </c>
      <c r="AF229" s="483"/>
      <c r="AG229" s="483"/>
      <c r="AH229" s="543">
        <f t="shared" si="87"/>
        <v>0</v>
      </c>
      <c r="AI229" s="520">
        <v>27488.097200837576</v>
      </c>
      <c r="AJ229" s="484"/>
      <c r="AK229" s="484"/>
      <c r="AL229" s="545">
        <f t="shared" si="89"/>
        <v>0</v>
      </c>
      <c r="AM229" s="526">
        <v>20734.848629273776</v>
      </c>
      <c r="AN229" s="485"/>
      <c r="AO229" s="485"/>
      <c r="AP229" s="543">
        <f t="shared" si="91"/>
        <v>0</v>
      </c>
      <c r="AQ229" s="530">
        <f t="shared" si="92"/>
        <v>0</v>
      </c>
    </row>
    <row r="230" spans="1:43" x14ac:dyDescent="0.55000000000000004">
      <c r="A230" s="316" t="s">
        <v>390</v>
      </c>
      <c r="B230" s="218" t="s">
        <v>391</v>
      </c>
      <c r="C230" s="218" t="s">
        <v>392</v>
      </c>
      <c r="D230" s="105" t="s">
        <v>393</v>
      </c>
      <c r="E230" s="100"/>
      <c r="F230" s="34"/>
      <c r="G230" s="34"/>
      <c r="H230" s="480">
        <v>3661</v>
      </c>
      <c r="I230" s="480" t="s">
        <v>414</v>
      </c>
      <c r="J230" s="490">
        <v>3</v>
      </c>
      <c r="K230" s="504">
        <v>549.15</v>
      </c>
      <c r="L230" s="482"/>
      <c r="M230" s="482">
        <f t="shared" si="93"/>
        <v>274.57499999999999</v>
      </c>
      <c r="N230" s="536">
        <f t="shared" si="77"/>
        <v>274.57499999999999</v>
      </c>
      <c r="O230" s="496">
        <v>805.27539049999984</v>
      </c>
      <c r="P230" s="483"/>
      <c r="Q230" s="483">
        <f t="shared" si="94"/>
        <v>402.63769524999992</v>
      </c>
      <c r="R230" s="541">
        <f t="shared" si="79"/>
        <v>402.63769524999992</v>
      </c>
      <c r="S230" s="515">
        <v>1372.115900864655</v>
      </c>
      <c r="T230" s="483"/>
      <c r="U230" s="483">
        <f t="shared" si="95"/>
        <v>686.05795043232752</v>
      </c>
      <c r="V230" s="543">
        <f t="shared" si="81"/>
        <v>686.05795043232752</v>
      </c>
      <c r="W230" s="515">
        <v>654.49499948243829</v>
      </c>
      <c r="X230" s="483"/>
      <c r="Y230" s="483">
        <f t="shared" si="96"/>
        <v>327.24749974121914</v>
      </c>
      <c r="Z230" s="543">
        <f t="shared" si="83"/>
        <v>327.24749974121914</v>
      </c>
      <c r="AA230" s="515">
        <v>1809.4480634899089</v>
      </c>
      <c r="AB230" s="483"/>
      <c r="AC230" s="483">
        <f t="shared" si="97"/>
        <v>904.72403174495446</v>
      </c>
      <c r="AD230" s="543">
        <f t="shared" si="85"/>
        <v>904.72403174495446</v>
      </c>
      <c r="AE230" s="515">
        <v>1902</v>
      </c>
      <c r="AF230" s="483"/>
      <c r="AG230" s="483">
        <f t="shared" si="98"/>
        <v>951</v>
      </c>
      <c r="AH230" s="543">
        <f t="shared" si="87"/>
        <v>951</v>
      </c>
      <c r="AI230" s="520">
        <v>1464.4</v>
      </c>
      <c r="AJ230" s="484"/>
      <c r="AK230" s="484">
        <f t="shared" si="99"/>
        <v>732.2</v>
      </c>
      <c r="AL230" s="545">
        <f t="shared" si="89"/>
        <v>732.2</v>
      </c>
      <c r="AM230" s="526">
        <v>2711.8518518518522</v>
      </c>
      <c r="AN230" s="485"/>
      <c r="AO230" s="485">
        <f t="shared" si="100"/>
        <v>1355.9259259259261</v>
      </c>
      <c r="AP230" s="543">
        <f t="shared" si="91"/>
        <v>1355.9259259259261</v>
      </c>
      <c r="AQ230" s="530">
        <f t="shared" si="92"/>
        <v>1355.9259259259261</v>
      </c>
    </row>
    <row r="231" spans="1:43" x14ac:dyDescent="0.55000000000000004">
      <c r="A231" s="316" t="s">
        <v>390</v>
      </c>
      <c r="B231" s="218" t="s">
        <v>391</v>
      </c>
      <c r="C231" s="218" t="s">
        <v>394</v>
      </c>
      <c r="D231" s="105" t="s">
        <v>395</v>
      </c>
      <c r="E231" s="100"/>
      <c r="F231" s="34"/>
      <c r="G231" s="34"/>
      <c r="H231" s="480">
        <v>1463.1428571428601</v>
      </c>
      <c r="I231" s="480" t="s">
        <v>414</v>
      </c>
      <c r="J231" s="490">
        <v>5</v>
      </c>
      <c r="K231" s="504">
        <v>219.47142857142902</v>
      </c>
      <c r="L231" s="482"/>
      <c r="M231" s="482"/>
      <c r="N231" s="536">
        <f t="shared" si="77"/>
        <v>0</v>
      </c>
      <c r="O231" s="496">
        <v>209.6127720000004</v>
      </c>
      <c r="P231" s="483"/>
      <c r="Q231" s="483"/>
      <c r="R231" s="541">
        <f t="shared" si="79"/>
        <v>0</v>
      </c>
      <c r="S231" s="515">
        <v>493.86726857254502</v>
      </c>
      <c r="T231" s="483"/>
      <c r="U231" s="483"/>
      <c r="V231" s="543">
        <f t="shared" si="81"/>
        <v>0</v>
      </c>
      <c r="W231" s="515">
        <v>368.66869819399255</v>
      </c>
      <c r="X231" s="483"/>
      <c r="Y231" s="483"/>
      <c r="Z231" s="543">
        <f t="shared" si="83"/>
        <v>0</v>
      </c>
      <c r="AA231" s="515">
        <v>636.05586257138452</v>
      </c>
      <c r="AB231" s="483"/>
      <c r="AC231" s="483"/>
      <c r="AD231" s="543">
        <f t="shared" si="85"/>
        <v>0</v>
      </c>
      <c r="AE231" s="515">
        <v>765</v>
      </c>
      <c r="AF231" s="483"/>
      <c r="AG231" s="483"/>
      <c r="AH231" s="543">
        <f t="shared" si="87"/>
        <v>0</v>
      </c>
      <c r="AI231" s="520">
        <v>585.257142857144</v>
      </c>
      <c r="AJ231" s="484"/>
      <c r="AK231" s="484"/>
      <c r="AL231" s="545">
        <f t="shared" si="89"/>
        <v>0</v>
      </c>
      <c r="AM231" s="526">
        <v>1246.3809523809548</v>
      </c>
      <c r="AN231" s="485"/>
      <c r="AO231" s="485"/>
      <c r="AP231" s="543">
        <f t="shared" si="91"/>
        <v>0</v>
      </c>
      <c r="AQ231" s="530">
        <f t="shared" si="92"/>
        <v>0</v>
      </c>
    </row>
    <row r="232" spans="1:43" x14ac:dyDescent="0.55000000000000004">
      <c r="A232" s="316" t="s">
        <v>390</v>
      </c>
      <c r="B232" s="218" t="s">
        <v>391</v>
      </c>
      <c r="C232" s="218" t="s">
        <v>396</v>
      </c>
      <c r="D232" s="105" t="s">
        <v>397</v>
      </c>
      <c r="E232" s="100"/>
      <c r="F232" s="34"/>
      <c r="G232" s="34"/>
      <c r="H232" s="480">
        <v>688</v>
      </c>
      <c r="I232" s="480" t="s">
        <v>414</v>
      </c>
      <c r="J232" s="490">
        <v>5</v>
      </c>
      <c r="K232" s="504">
        <v>103.2</v>
      </c>
      <c r="L232" s="482"/>
      <c r="M232" s="482"/>
      <c r="N232" s="536">
        <f t="shared" si="77"/>
        <v>0</v>
      </c>
      <c r="O232" s="496">
        <v>107.43986879999999</v>
      </c>
      <c r="P232" s="483"/>
      <c r="Q232" s="483"/>
      <c r="R232" s="541">
        <f t="shared" si="79"/>
        <v>0</v>
      </c>
      <c r="S232" s="515">
        <v>303.0168485540961</v>
      </c>
      <c r="T232" s="483"/>
      <c r="U232" s="483"/>
      <c r="V232" s="543">
        <f t="shared" si="81"/>
        <v>0</v>
      </c>
      <c r="W232" s="515">
        <v>174.49196153942614</v>
      </c>
      <c r="X232" s="483"/>
      <c r="Y232" s="483"/>
      <c r="Z232" s="543">
        <f t="shared" si="83"/>
        <v>0</v>
      </c>
      <c r="AA232" s="515">
        <v>270.21792453378356</v>
      </c>
      <c r="AB232" s="483"/>
      <c r="AC232" s="483"/>
      <c r="AD232" s="543">
        <f t="shared" si="85"/>
        <v>0</v>
      </c>
      <c r="AE232" s="515">
        <v>482</v>
      </c>
      <c r="AF232" s="483"/>
      <c r="AG232" s="483"/>
      <c r="AH232" s="543">
        <f t="shared" si="87"/>
        <v>0</v>
      </c>
      <c r="AI232" s="520">
        <v>516</v>
      </c>
      <c r="AJ232" s="484"/>
      <c r="AK232" s="484"/>
      <c r="AL232" s="545">
        <f t="shared" si="89"/>
        <v>0</v>
      </c>
      <c r="AM232" s="526">
        <v>496.88888888888886</v>
      </c>
      <c r="AN232" s="485"/>
      <c r="AO232" s="485"/>
      <c r="AP232" s="543">
        <f t="shared" si="91"/>
        <v>0</v>
      </c>
      <c r="AQ232" s="530">
        <f t="shared" si="92"/>
        <v>0</v>
      </c>
    </row>
    <row r="233" spans="1:43" x14ac:dyDescent="0.55000000000000004">
      <c r="A233" s="316" t="s">
        <v>390</v>
      </c>
      <c r="B233" s="218" t="s">
        <v>391</v>
      </c>
      <c r="C233" s="218" t="s">
        <v>398</v>
      </c>
      <c r="D233" s="105" t="s">
        <v>399</v>
      </c>
      <c r="E233" s="100"/>
      <c r="F233" s="34"/>
      <c r="G233" s="34"/>
      <c r="H233" s="480">
        <v>5019</v>
      </c>
      <c r="I233" s="480" t="s">
        <v>414</v>
      </c>
      <c r="J233" s="490">
        <v>5</v>
      </c>
      <c r="K233" s="504">
        <v>752.85</v>
      </c>
      <c r="L233" s="482"/>
      <c r="M233" s="482"/>
      <c r="N233" s="536">
        <f t="shared" si="77"/>
        <v>0</v>
      </c>
      <c r="O233" s="496">
        <v>78.894664800000015</v>
      </c>
      <c r="P233" s="483"/>
      <c r="Q233" s="483"/>
      <c r="R233" s="541">
        <f t="shared" si="79"/>
        <v>0</v>
      </c>
      <c r="S233" s="515">
        <v>2034.152637362987</v>
      </c>
      <c r="T233" s="483"/>
      <c r="U233" s="483"/>
      <c r="V233" s="543">
        <f t="shared" si="81"/>
        <v>0</v>
      </c>
      <c r="W233" s="515">
        <v>2159.001427823719</v>
      </c>
      <c r="X233" s="483"/>
      <c r="Y233" s="483"/>
      <c r="Z233" s="543">
        <f t="shared" si="83"/>
        <v>0</v>
      </c>
      <c r="AA233" s="515">
        <v>2420.3032000838125</v>
      </c>
      <c r="AB233" s="483"/>
      <c r="AC233" s="483"/>
      <c r="AD233" s="543">
        <f t="shared" si="85"/>
        <v>0</v>
      </c>
      <c r="AE233" s="515">
        <v>2794</v>
      </c>
      <c r="AF233" s="483"/>
      <c r="AG233" s="483"/>
      <c r="AH233" s="543">
        <f t="shared" si="87"/>
        <v>0</v>
      </c>
      <c r="AI233" s="520">
        <v>1892.4098360655737</v>
      </c>
      <c r="AJ233" s="484"/>
      <c r="AK233" s="484"/>
      <c r="AL233" s="545">
        <f t="shared" si="89"/>
        <v>0</v>
      </c>
      <c r="AM233" s="526">
        <v>3113.6388888888891</v>
      </c>
      <c r="AN233" s="485"/>
      <c r="AO233" s="485"/>
      <c r="AP233" s="543">
        <f t="shared" si="91"/>
        <v>0</v>
      </c>
      <c r="AQ233" s="530">
        <f t="shared" si="92"/>
        <v>0</v>
      </c>
    </row>
    <row r="234" spans="1:43" x14ac:dyDescent="0.55000000000000004">
      <c r="A234" s="316" t="s">
        <v>390</v>
      </c>
      <c r="B234" s="218" t="s">
        <v>391</v>
      </c>
      <c r="C234" s="218" t="s">
        <v>400</v>
      </c>
      <c r="D234" s="105" t="s">
        <v>401</v>
      </c>
      <c r="E234" s="100"/>
      <c r="F234" s="34"/>
      <c r="G234" s="34"/>
      <c r="H234" s="480">
        <v>2319</v>
      </c>
      <c r="I234" s="480" t="s">
        <v>414</v>
      </c>
      <c r="J234" s="490">
        <v>5</v>
      </c>
      <c r="K234" s="504">
        <v>347.84999999999997</v>
      </c>
      <c r="L234" s="482"/>
      <c r="M234" s="482"/>
      <c r="N234" s="536">
        <f t="shared" si="77"/>
        <v>0</v>
      </c>
      <c r="O234" s="496">
        <v>190.59397199999998</v>
      </c>
      <c r="P234" s="483"/>
      <c r="Q234" s="483"/>
      <c r="R234" s="541">
        <f t="shared" si="79"/>
        <v>0</v>
      </c>
      <c r="S234" s="515">
        <v>960.62743263091625</v>
      </c>
      <c r="T234" s="483"/>
      <c r="U234" s="483"/>
      <c r="V234" s="543">
        <f t="shared" si="81"/>
        <v>0</v>
      </c>
      <c r="W234" s="515">
        <v>891.58596384741622</v>
      </c>
      <c r="X234" s="483"/>
      <c r="Y234" s="483"/>
      <c r="Z234" s="543">
        <f t="shared" si="83"/>
        <v>0</v>
      </c>
      <c r="AA234" s="515">
        <v>1150.5166343396793</v>
      </c>
      <c r="AB234" s="483"/>
      <c r="AC234" s="483"/>
      <c r="AD234" s="543">
        <f t="shared" si="85"/>
        <v>0</v>
      </c>
      <c r="AE234" s="515">
        <v>1623</v>
      </c>
      <c r="AF234" s="483"/>
      <c r="AG234" s="483"/>
      <c r="AH234" s="543">
        <f t="shared" si="87"/>
        <v>0</v>
      </c>
      <c r="AI234" s="520">
        <v>1578.2083333333333</v>
      </c>
      <c r="AJ234" s="484"/>
      <c r="AK234" s="484"/>
      <c r="AL234" s="545">
        <f t="shared" si="89"/>
        <v>0</v>
      </c>
      <c r="AM234" s="526">
        <v>878.40909090909099</v>
      </c>
      <c r="AN234" s="485"/>
      <c r="AO234" s="485"/>
      <c r="AP234" s="543">
        <f t="shared" si="91"/>
        <v>0</v>
      </c>
      <c r="AQ234" s="530">
        <f t="shared" si="92"/>
        <v>0</v>
      </c>
    </row>
    <row r="235" spans="1:43" x14ac:dyDescent="0.55000000000000004">
      <c r="A235" s="316" t="s">
        <v>390</v>
      </c>
      <c r="B235" s="218" t="s">
        <v>391</v>
      </c>
      <c r="C235" s="218" t="s">
        <v>402</v>
      </c>
      <c r="D235" s="105" t="s">
        <v>403</v>
      </c>
      <c r="E235" s="100"/>
      <c r="F235" s="34"/>
      <c r="G235" s="34"/>
      <c r="H235" s="480">
        <v>4934</v>
      </c>
      <c r="I235" s="480" t="s">
        <v>414</v>
      </c>
      <c r="J235" s="490">
        <v>5</v>
      </c>
      <c r="K235" s="504">
        <v>740.1</v>
      </c>
      <c r="L235" s="482"/>
      <c r="M235" s="482"/>
      <c r="N235" s="536">
        <f t="shared" si="77"/>
        <v>0</v>
      </c>
      <c r="O235" s="496">
        <v>399.89083199999999</v>
      </c>
      <c r="P235" s="483"/>
      <c r="Q235" s="483"/>
      <c r="R235" s="541">
        <f t="shared" si="79"/>
        <v>0</v>
      </c>
      <c r="S235" s="515">
        <v>1713.0999138081784</v>
      </c>
      <c r="T235" s="483"/>
      <c r="U235" s="483"/>
      <c r="V235" s="543">
        <f t="shared" si="81"/>
        <v>0</v>
      </c>
      <c r="W235" s="515">
        <v>2851.7811157245615</v>
      </c>
      <c r="X235" s="483"/>
      <c r="Y235" s="483"/>
      <c r="Z235" s="543">
        <f t="shared" si="83"/>
        <v>0</v>
      </c>
      <c r="AA235" s="515">
        <v>2276.5651665888586</v>
      </c>
      <c r="AB235" s="483"/>
      <c r="AC235" s="483"/>
      <c r="AD235" s="543">
        <f t="shared" si="85"/>
        <v>0</v>
      </c>
      <c r="AE235" s="515">
        <v>2682</v>
      </c>
      <c r="AF235" s="483"/>
      <c r="AG235" s="483"/>
      <c r="AH235" s="543">
        <f t="shared" si="87"/>
        <v>0</v>
      </c>
      <c r="AI235" s="520">
        <v>3981.8245614035086</v>
      </c>
      <c r="AJ235" s="484"/>
      <c r="AK235" s="484"/>
      <c r="AL235" s="545">
        <f t="shared" si="89"/>
        <v>0</v>
      </c>
      <c r="AM235" s="526">
        <v>2284.2592592592591</v>
      </c>
      <c r="AN235" s="485"/>
      <c r="AO235" s="485"/>
      <c r="AP235" s="543">
        <f t="shared" si="91"/>
        <v>0</v>
      </c>
      <c r="AQ235" s="530">
        <f t="shared" si="92"/>
        <v>0</v>
      </c>
    </row>
    <row r="236" spans="1:43" x14ac:dyDescent="0.55000000000000004">
      <c r="A236" s="316" t="s">
        <v>390</v>
      </c>
      <c r="B236" s="218" t="s">
        <v>391</v>
      </c>
      <c r="C236" s="218" t="s">
        <v>404</v>
      </c>
      <c r="D236" s="105" t="s">
        <v>405</v>
      </c>
      <c r="E236" s="100"/>
      <c r="F236" s="34"/>
      <c r="G236" s="34"/>
      <c r="H236" s="480">
        <v>0</v>
      </c>
      <c r="I236" s="480" t="s">
        <v>414</v>
      </c>
      <c r="J236" s="490">
        <v>2</v>
      </c>
      <c r="K236" s="504">
        <v>0</v>
      </c>
      <c r="L236" s="482">
        <f t="shared" si="76"/>
        <v>0</v>
      </c>
      <c r="M236" s="482"/>
      <c r="N236" s="536">
        <f t="shared" si="77"/>
        <v>0</v>
      </c>
      <c r="O236" s="496">
        <v>0</v>
      </c>
      <c r="P236" s="483">
        <f t="shared" si="78"/>
        <v>0</v>
      </c>
      <c r="Q236" s="483"/>
      <c r="R236" s="541">
        <f t="shared" si="79"/>
        <v>0</v>
      </c>
      <c r="S236" s="515">
        <v>0</v>
      </c>
      <c r="T236" s="483">
        <f t="shared" si="80"/>
        <v>0</v>
      </c>
      <c r="U236" s="483"/>
      <c r="V236" s="543">
        <f t="shared" si="81"/>
        <v>0</v>
      </c>
      <c r="W236" s="515">
        <v>0</v>
      </c>
      <c r="X236" s="483">
        <f t="shared" si="82"/>
        <v>0</v>
      </c>
      <c r="Y236" s="483"/>
      <c r="Z236" s="543">
        <f t="shared" si="83"/>
        <v>0</v>
      </c>
      <c r="AA236" s="515">
        <v>0</v>
      </c>
      <c r="AB236" s="483">
        <f t="shared" si="84"/>
        <v>0</v>
      </c>
      <c r="AC236" s="483"/>
      <c r="AD236" s="543">
        <f t="shared" si="85"/>
        <v>0</v>
      </c>
      <c r="AE236" s="515">
        <v>0</v>
      </c>
      <c r="AF236" s="483">
        <f t="shared" si="86"/>
        <v>0</v>
      </c>
      <c r="AG236" s="483"/>
      <c r="AH236" s="543">
        <f t="shared" si="87"/>
        <v>0</v>
      </c>
      <c r="AI236" s="520">
        <v>0</v>
      </c>
      <c r="AJ236" s="484">
        <f t="shared" si="88"/>
        <v>0</v>
      </c>
      <c r="AK236" s="484"/>
      <c r="AL236" s="545">
        <f t="shared" si="89"/>
        <v>0</v>
      </c>
      <c r="AM236" s="526">
        <v>0</v>
      </c>
      <c r="AN236" s="485">
        <f t="shared" si="90"/>
        <v>0</v>
      </c>
      <c r="AO236" s="485"/>
      <c r="AP236" s="543">
        <f t="shared" si="91"/>
        <v>0</v>
      </c>
      <c r="AQ236" s="530">
        <f t="shared" si="92"/>
        <v>0</v>
      </c>
    </row>
    <row r="237" spans="1:43" x14ac:dyDescent="0.55000000000000004">
      <c r="A237" s="316" t="s">
        <v>390</v>
      </c>
      <c r="B237" s="218" t="s">
        <v>391</v>
      </c>
      <c r="C237" s="218" t="s">
        <v>406</v>
      </c>
      <c r="D237" s="105" t="s">
        <v>407</v>
      </c>
      <c r="E237" s="100"/>
      <c r="F237" s="34"/>
      <c r="G237" s="34"/>
      <c r="H237" s="480">
        <v>375</v>
      </c>
      <c r="I237" s="480" t="s">
        <v>414</v>
      </c>
      <c r="J237" s="490">
        <v>5</v>
      </c>
      <c r="K237" s="504">
        <v>56.25</v>
      </c>
      <c r="L237" s="482"/>
      <c r="M237" s="482"/>
      <c r="N237" s="536">
        <f t="shared" si="77"/>
        <v>0</v>
      </c>
      <c r="O237" s="496">
        <v>71.836050000000014</v>
      </c>
      <c r="P237" s="483"/>
      <c r="Q237" s="483"/>
      <c r="R237" s="541">
        <f t="shared" si="79"/>
        <v>0</v>
      </c>
      <c r="S237" s="515">
        <v>154.24426865262288</v>
      </c>
      <c r="T237" s="483"/>
      <c r="U237" s="483"/>
      <c r="V237" s="543">
        <f t="shared" si="81"/>
        <v>0</v>
      </c>
      <c r="W237" s="515">
        <v>72.83154889829467</v>
      </c>
      <c r="X237" s="483"/>
      <c r="Y237" s="483"/>
      <c r="Z237" s="543">
        <f t="shared" si="83"/>
        <v>0</v>
      </c>
      <c r="AA237" s="515">
        <v>162.93212727173531</v>
      </c>
      <c r="AB237" s="483"/>
      <c r="AC237" s="483"/>
      <c r="AD237" s="543">
        <f t="shared" si="85"/>
        <v>0</v>
      </c>
      <c r="AE237" s="515">
        <v>263</v>
      </c>
      <c r="AF237" s="483"/>
      <c r="AG237" s="483"/>
      <c r="AH237" s="543">
        <f t="shared" si="87"/>
        <v>0</v>
      </c>
      <c r="AI237" s="520">
        <v>375</v>
      </c>
      <c r="AJ237" s="484"/>
      <c r="AK237" s="484"/>
      <c r="AL237" s="545">
        <f t="shared" si="89"/>
        <v>0</v>
      </c>
      <c r="AM237" s="526">
        <v>295.13888888888886</v>
      </c>
      <c r="AN237" s="485"/>
      <c r="AO237" s="485"/>
      <c r="AP237" s="543">
        <f t="shared" si="91"/>
        <v>0</v>
      </c>
      <c r="AQ237" s="530">
        <f t="shared" si="92"/>
        <v>0</v>
      </c>
    </row>
    <row r="238" spans="1:43" x14ac:dyDescent="0.55000000000000004">
      <c r="A238" s="316" t="s">
        <v>390</v>
      </c>
      <c r="B238" s="218" t="s">
        <v>391</v>
      </c>
      <c r="C238" s="218" t="s">
        <v>408</v>
      </c>
      <c r="D238" s="105" t="s">
        <v>409</v>
      </c>
      <c r="E238" s="100"/>
      <c r="F238" s="34"/>
      <c r="G238" s="34"/>
      <c r="H238" s="480">
        <v>2118.1428571428601</v>
      </c>
      <c r="I238" s="480" t="s">
        <v>414</v>
      </c>
      <c r="J238" s="490">
        <v>2</v>
      </c>
      <c r="K238" s="504">
        <v>317.72142857142899</v>
      </c>
      <c r="L238" s="482">
        <f t="shared" si="76"/>
        <v>317.72142857142899</v>
      </c>
      <c r="M238" s="482"/>
      <c r="N238" s="536">
        <f t="shared" si="77"/>
        <v>317.72142857142899</v>
      </c>
      <c r="O238" s="496">
        <v>426.52830900000049</v>
      </c>
      <c r="P238" s="483">
        <f t="shared" si="78"/>
        <v>426.52830900000049</v>
      </c>
      <c r="Q238" s="483"/>
      <c r="R238" s="541">
        <f t="shared" si="79"/>
        <v>426.52830900000049</v>
      </c>
      <c r="S238" s="515">
        <v>697.85443144825274</v>
      </c>
      <c r="T238" s="483">
        <f t="shared" si="80"/>
        <v>697.85443144825274</v>
      </c>
      <c r="U238" s="483"/>
      <c r="V238" s="543">
        <f t="shared" si="81"/>
        <v>697.85443144825274</v>
      </c>
      <c r="W238" s="515">
        <v>910.43538781819404</v>
      </c>
      <c r="X238" s="483">
        <f t="shared" si="82"/>
        <v>910.43538781819404</v>
      </c>
      <c r="Y238" s="483"/>
      <c r="Z238" s="543">
        <f t="shared" si="83"/>
        <v>0</v>
      </c>
      <c r="AA238" s="515">
        <v>1288.5202770589237</v>
      </c>
      <c r="AB238" s="483">
        <f t="shared" si="84"/>
        <v>1288.5202770589237</v>
      </c>
      <c r="AC238" s="483"/>
      <c r="AD238" s="543">
        <f t="shared" si="85"/>
        <v>1288.5202770589237</v>
      </c>
      <c r="AE238" s="515">
        <v>1551</v>
      </c>
      <c r="AF238" s="483">
        <f t="shared" si="86"/>
        <v>1551</v>
      </c>
      <c r="AG238" s="483"/>
      <c r="AH238" s="543">
        <f t="shared" si="87"/>
        <v>1551</v>
      </c>
      <c r="AI238" s="520">
        <v>2118.1428571428601</v>
      </c>
      <c r="AJ238" s="484">
        <f t="shared" si="88"/>
        <v>2118.1428571428601</v>
      </c>
      <c r="AK238" s="484"/>
      <c r="AL238" s="545">
        <f t="shared" si="89"/>
        <v>2118.1428571428601</v>
      </c>
      <c r="AM238" s="526">
        <v>1627.8320105820128</v>
      </c>
      <c r="AN238" s="485">
        <f t="shared" si="90"/>
        <v>1627.8320105820128</v>
      </c>
      <c r="AO238" s="485"/>
      <c r="AP238" s="543">
        <f t="shared" si="91"/>
        <v>1627.8320105820128</v>
      </c>
      <c r="AQ238" s="530">
        <f t="shared" si="92"/>
        <v>2118.1428571428601</v>
      </c>
    </row>
    <row r="239" spans="1:43" ht="14.7" thickBot="1" x14ac:dyDescent="0.6">
      <c r="A239" s="316" t="s">
        <v>390</v>
      </c>
      <c r="B239" s="218" t="s">
        <v>391</v>
      </c>
      <c r="C239" s="218" t="s">
        <v>410</v>
      </c>
      <c r="D239" s="105" t="s">
        <v>411</v>
      </c>
      <c r="E239" s="100"/>
      <c r="F239" s="34"/>
      <c r="G239" s="34"/>
      <c r="H239" s="480">
        <v>7750</v>
      </c>
      <c r="I239" s="480" t="s">
        <v>414</v>
      </c>
      <c r="J239" s="490">
        <v>5</v>
      </c>
      <c r="K239" s="505">
        <v>1162.5</v>
      </c>
      <c r="L239" s="506"/>
      <c r="M239" s="506"/>
      <c r="N239" s="537">
        <f t="shared" si="77"/>
        <v>0</v>
      </c>
      <c r="O239" s="496">
        <v>1435.114</v>
      </c>
      <c r="P239" s="483"/>
      <c r="Q239" s="483"/>
      <c r="R239" s="541">
        <f t="shared" si="79"/>
        <v>0</v>
      </c>
      <c r="S239" s="516">
        <v>2568.044207503222</v>
      </c>
      <c r="T239" s="517"/>
      <c r="U239" s="517"/>
      <c r="V239" s="544">
        <f t="shared" si="81"/>
        <v>0</v>
      </c>
      <c r="W239" s="516">
        <v>1965.3678550191587</v>
      </c>
      <c r="X239" s="517"/>
      <c r="Y239" s="517"/>
      <c r="Z239" s="544">
        <f t="shared" si="83"/>
        <v>0</v>
      </c>
      <c r="AA239" s="516">
        <v>3793.3158280108482</v>
      </c>
      <c r="AB239" s="517"/>
      <c r="AC239" s="517"/>
      <c r="AD239" s="544">
        <f t="shared" si="85"/>
        <v>0</v>
      </c>
      <c r="AE239" s="516">
        <v>5936</v>
      </c>
      <c r="AF239" s="517"/>
      <c r="AG239" s="517"/>
      <c r="AH239" s="544">
        <f t="shared" si="87"/>
        <v>0</v>
      </c>
      <c r="AI239" s="521">
        <v>5904.7619047619046</v>
      </c>
      <c r="AJ239" s="522"/>
      <c r="AK239" s="522"/>
      <c r="AL239" s="546">
        <f t="shared" si="89"/>
        <v>0</v>
      </c>
      <c r="AM239" s="527">
        <v>5812.5</v>
      </c>
      <c r="AN239" s="528"/>
      <c r="AO239" s="528"/>
      <c r="AP239" s="544">
        <f t="shared" si="91"/>
        <v>0</v>
      </c>
      <c r="AQ239" s="531">
        <f t="shared" si="92"/>
        <v>0</v>
      </c>
    </row>
  </sheetData>
  <mergeCells count="2">
    <mergeCell ref="A1:F1"/>
    <mergeCell ref="H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F96B-5713-4B8A-AD07-CA6F7D00B93B}">
  <sheetPr>
    <tabColor rgb="FFC00000"/>
  </sheetPr>
  <dimension ref="A1:AS240"/>
  <sheetViews>
    <sheetView topLeftCell="M1" zoomScale="80" zoomScaleNormal="80" workbookViewId="0">
      <selection activeCell="X2" sqref="X2"/>
    </sheetView>
  </sheetViews>
  <sheetFormatPr defaultColWidth="8.578125" defaultRowHeight="14.4" x14ac:dyDescent="0.55000000000000004"/>
  <cols>
    <col min="1" max="1" width="9.41796875" style="68" hidden="1" customWidth="1"/>
    <col min="2" max="2" width="21.41796875" style="107" bestFit="1" customWidth="1"/>
    <col min="3" max="3" width="12.83984375" style="107" hidden="1" customWidth="1"/>
    <col min="4" max="4" width="22.578125" style="107" customWidth="1"/>
    <col min="5" max="5" width="13.578125" style="107" hidden="1" customWidth="1"/>
    <col min="6" max="6" width="6.83984375" style="14" hidden="1" customWidth="1"/>
    <col min="7" max="7" width="7.15625" style="14" hidden="1" customWidth="1"/>
    <col min="8" max="8" width="16.83984375" style="14" hidden="1" customWidth="1"/>
    <col min="9" max="9" width="12.15625" style="15" bestFit="1" customWidth="1"/>
    <col min="10" max="10" width="13.578125" style="15" customWidth="1"/>
    <col min="11" max="11" width="13.41796875" style="22" bestFit="1" customWidth="1"/>
    <col min="12" max="12" width="14.26171875" style="15" bestFit="1" customWidth="1"/>
    <col min="13" max="13" width="13.41796875" style="15" bestFit="1" customWidth="1"/>
    <col min="14" max="14" width="18.26171875" style="15" bestFit="1" customWidth="1"/>
    <col min="15" max="15" width="13.41796875" style="15" bestFit="1" customWidth="1"/>
    <col min="16" max="16" width="16.578125" style="15" bestFit="1" customWidth="1"/>
    <col min="17" max="18" width="13.41796875" style="15" bestFit="1" customWidth="1"/>
    <col min="19" max="19" width="16.578125" style="15" bestFit="1" customWidth="1"/>
    <col min="20" max="22" width="16.578125" style="15" customWidth="1"/>
    <col min="23" max="23" width="17.26171875" style="15" customWidth="1"/>
    <col min="24" max="24" width="16.578125" style="15" customWidth="1"/>
    <col min="25" max="25" width="17.83984375" style="15" customWidth="1"/>
    <col min="26" max="27" width="16.578125" style="15" customWidth="1"/>
    <col min="28" max="28" width="23.41796875" style="22" customWidth="1"/>
    <col min="29" max="29" width="25.15625" style="13" customWidth="1"/>
    <col min="30" max="30" width="27.578125" style="13" customWidth="1"/>
    <col min="31" max="31" width="25.41796875" customWidth="1"/>
    <col min="32" max="32" width="24.26171875" customWidth="1"/>
    <col min="33" max="33" width="25.83984375" style="86" customWidth="1"/>
    <col min="34" max="35" width="25.83984375" style="13" customWidth="1"/>
    <col min="36" max="36" width="38.578125" style="13" customWidth="1"/>
    <col min="37" max="37" width="57.26171875" style="13" customWidth="1"/>
    <col min="38" max="38" width="25.41796875" style="13" customWidth="1"/>
    <col min="39" max="39" width="27.26171875" customWidth="1"/>
    <col min="40" max="40" width="22.15625" customWidth="1"/>
    <col min="41" max="41" width="16" style="13" customWidth="1"/>
    <col min="42" max="42" width="11.15625" customWidth="1"/>
    <col min="43" max="43" width="12.578125" style="16" customWidth="1"/>
    <col min="44" max="44" width="20" style="15" bestFit="1" customWidth="1"/>
    <col min="45" max="45" width="46.15625" style="13" customWidth="1"/>
  </cols>
  <sheetData>
    <row r="1" spans="1:45" s="449" customFormat="1" ht="18" thickBot="1" x14ac:dyDescent="0.65">
      <c r="A1" s="445"/>
      <c r="B1" s="446"/>
      <c r="C1" s="446"/>
      <c r="D1" s="446"/>
      <c r="E1" s="446"/>
      <c r="F1" s="447"/>
      <c r="G1" s="447"/>
      <c r="H1" s="447"/>
      <c r="I1" s="448"/>
      <c r="J1" s="448"/>
      <c r="K1" s="450">
        <f>SUM(tblPiNAnalysis8[CCCM])</f>
        <v>1359005.6654804838</v>
      </c>
      <c r="L1" s="450">
        <f>SUM(tblPiNAnalysis8[Education])</f>
        <v>2435900.2640912938</v>
      </c>
      <c r="M1" s="450">
        <f>SUM(tblPiNAnalysis8[Nutrition])</f>
        <v>5250932.6034867046</v>
      </c>
      <c r="N1" s="450">
        <f>SUM(tblPiNAnalysis8[Food Security])</f>
        <v>7650961.5530535178</v>
      </c>
      <c r="O1" s="450">
        <f>SUM(tblPiNAnalysis8[Health])</f>
        <v>6269692.2333403639</v>
      </c>
      <c r="P1" s="450">
        <f>SUM(tblPiNAnalysis8[Overarching Protection])</f>
        <v>4867750</v>
      </c>
      <c r="Q1" s="450">
        <f>SUM(tblPiNAnalysis8[Shelter])</f>
        <v>6669355.3914749231</v>
      </c>
      <c r="R1" s="450">
        <f>SUM(tblPiNAnalysis8[WASH])</f>
        <v>6806494.7796443868</v>
      </c>
      <c r="S1" s="436"/>
      <c r="T1" s="436"/>
      <c r="U1" s="436"/>
      <c r="V1" s="436"/>
      <c r="W1" s="436"/>
      <c r="X1" s="436"/>
      <c r="Y1" s="434"/>
      <c r="Z1" s="434"/>
      <c r="AA1" s="434"/>
    </row>
    <row r="2" spans="1:45" s="475" customFormat="1" ht="20.7" thickBot="1" x14ac:dyDescent="0.8">
      <c r="A2" s="467"/>
      <c r="B2" s="773" t="s">
        <v>61</v>
      </c>
      <c r="C2" s="773"/>
      <c r="D2" s="773"/>
      <c r="E2" s="773"/>
      <c r="F2" s="773"/>
      <c r="G2" s="773"/>
      <c r="H2" s="468"/>
      <c r="I2" s="774" t="s">
        <v>62</v>
      </c>
      <c r="J2" s="774"/>
      <c r="K2" s="775" t="s">
        <v>63</v>
      </c>
      <c r="L2" s="775"/>
      <c r="M2" s="775"/>
      <c r="N2" s="775"/>
      <c r="O2" s="775"/>
      <c r="P2" s="775"/>
      <c r="Q2" s="775"/>
      <c r="R2" s="776"/>
      <c r="S2" s="469">
        <f>SUM(tblPiNAnalysis8[Final PiN])</f>
        <v>9266561.0112328324</v>
      </c>
      <c r="T2" s="470"/>
      <c r="U2" s="471"/>
      <c r="V2" s="472">
        <f>SUM(tblPiNAnalysis8[Target (severity 4-5 ranking) 100%])</f>
        <v>3850138.5125891753</v>
      </c>
      <c r="W2" s="470">
        <f>SUM(tblPiNAnalysis8[Target (severity 3 ranking) 50%])</f>
        <v>2708211.2493218291</v>
      </c>
      <c r="X2" s="473">
        <f>SUM(tblPiNAnalysis8[Total target (out of severity ranking)])</f>
        <v>6558349.7619110076</v>
      </c>
      <c r="Y2" s="474">
        <f>SUM(tblPiNAnalysis8[Target (priotitised 1-2 ranking) 100%])</f>
        <v>4458715.9424601328</v>
      </c>
      <c r="Z2" s="474">
        <f>SUM(tblPiNAnalysis8[Target (priotitised 3 ranking) 50%])</f>
        <v>780722.40126788046</v>
      </c>
      <c r="AA2" s="473">
        <f>SUM(tblPiNAnalysis8[Total target (out of prioritization ranking)])</f>
        <v>5239438.3437280133</v>
      </c>
    </row>
    <row r="3" spans="1:45" s="466" customFormat="1" ht="80.099999999999994" customHeight="1" thickTop="1" thickBot="1" x14ac:dyDescent="0.6">
      <c r="A3" s="451" t="s">
        <v>74</v>
      </c>
      <c r="B3" s="454" t="s">
        <v>75</v>
      </c>
      <c r="C3" s="452" t="s">
        <v>76</v>
      </c>
      <c r="D3" s="452" t="s">
        <v>77</v>
      </c>
      <c r="E3" s="452" t="s">
        <v>78</v>
      </c>
      <c r="F3" s="452" t="s">
        <v>79</v>
      </c>
      <c r="G3" s="452" t="s">
        <v>80</v>
      </c>
      <c r="H3" s="452" t="s">
        <v>228</v>
      </c>
      <c r="I3" s="453" t="s">
        <v>431</v>
      </c>
      <c r="J3" s="451" t="s">
        <v>82</v>
      </c>
      <c r="K3" s="455" t="s">
        <v>83</v>
      </c>
      <c r="L3" s="456" t="s">
        <v>56</v>
      </c>
      <c r="M3" s="456" t="s">
        <v>84</v>
      </c>
      <c r="N3" s="456" t="s">
        <v>85</v>
      </c>
      <c r="O3" s="456" t="s">
        <v>86</v>
      </c>
      <c r="P3" s="456" t="s">
        <v>87</v>
      </c>
      <c r="Q3" s="456" t="s">
        <v>88</v>
      </c>
      <c r="R3" s="457" t="s">
        <v>89</v>
      </c>
      <c r="S3" s="458" t="s">
        <v>132</v>
      </c>
      <c r="T3" s="459" t="s">
        <v>20</v>
      </c>
      <c r="U3" s="460" t="s">
        <v>475</v>
      </c>
      <c r="V3" s="461" t="s">
        <v>477</v>
      </c>
      <c r="W3" s="462" t="s">
        <v>478</v>
      </c>
      <c r="X3" s="463" t="s">
        <v>481</v>
      </c>
      <c r="Y3" s="464" t="s">
        <v>479</v>
      </c>
      <c r="Z3" s="464" t="s">
        <v>480</v>
      </c>
      <c r="AA3" s="465" t="s">
        <v>482</v>
      </c>
    </row>
    <row r="4" spans="1:45" s="244" customFormat="1" ht="27.9" thickTop="1" x14ac:dyDescent="0.55000000000000004">
      <c r="A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 s="259" t="s">
        <v>233</v>
      </c>
      <c r="C4" s="218" t="s">
        <v>234</v>
      </c>
      <c r="D4" s="260" t="s">
        <v>233</v>
      </c>
      <c r="E4" s="260" t="s">
        <v>235</v>
      </c>
      <c r="F4" s="100"/>
      <c r="G4" s="34"/>
      <c r="H4" s="34"/>
      <c r="I4" s="97">
        <v>122221.68957757292</v>
      </c>
      <c r="J4" s="226" t="s">
        <v>412</v>
      </c>
      <c r="K4" s="261">
        <v>30000</v>
      </c>
      <c r="L4" s="219">
        <v>26008.775542107513</v>
      </c>
      <c r="M4" s="219">
        <v>45256.130915601672</v>
      </c>
      <c r="N4" s="219">
        <v>75443.064683122982</v>
      </c>
      <c r="O4" s="219">
        <v>85561.698971807957</v>
      </c>
      <c r="P4" s="219">
        <v>84755</v>
      </c>
      <c r="Q4" s="229">
        <v>76068.04456226567</v>
      </c>
      <c r="R4" s="254">
        <v>47530.65705794502</v>
      </c>
      <c r="S4" s="437">
        <v>85561.698971807957</v>
      </c>
      <c r="T4" s="267">
        <v>4</v>
      </c>
      <c r="U4" s="443">
        <v>1</v>
      </c>
      <c r="V4" s="437">
        <f>tblPiNAnalysis8[[#This Row],[Final PiN]]</f>
        <v>85561.698971807957</v>
      </c>
      <c r="W4" s="267"/>
      <c r="X4" s="438">
        <f>SUM(tblPiNAnalysis8[[#This Row],[Target (severity 4-5 ranking) 100%]:[Target (severity 3 ranking) 50%]])</f>
        <v>85561.698971807957</v>
      </c>
      <c r="Y4" s="435">
        <f>tblPiNAnalysis8[[#This Row],[Final PiN]]</f>
        <v>85561.698971807957</v>
      </c>
      <c r="Z4" s="267"/>
      <c r="AA4" s="267">
        <f>SUM(tblPiNAnalysis8[[#This Row],[Target (priotitised 1-2 ranking) 100%]:[Target (priotitised 3 ranking) 50%]])</f>
        <v>85561.698971807957</v>
      </c>
      <c r="AB4" s="278"/>
      <c r="AC4" s="279"/>
      <c r="AD4" s="279"/>
      <c r="AG4" s="280"/>
      <c r="AH4" s="279"/>
      <c r="AI4" s="279"/>
      <c r="AJ4" s="279"/>
      <c r="AK4" s="279"/>
      <c r="AL4" s="279"/>
      <c r="AO4" s="279"/>
      <c r="AQ4" s="281"/>
      <c r="AR4" s="282"/>
      <c r="AS4" s="279"/>
    </row>
    <row r="5" spans="1:45" s="244" customFormat="1" x14ac:dyDescent="0.55000000000000004">
      <c r="A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 s="259" t="s">
        <v>236</v>
      </c>
      <c r="C5" s="218" t="s">
        <v>237</v>
      </c>
      <c r="D5" s="260" t="s">
        <v>238</v>
      </c>
      <c r="E5" s="260" t="s">
        <v>239</v>
      </c>
      <c r="F5" s="100"/>
      <c r="G5" s="34"/>
      <c r="H5" s="34"/>
      <c r="I5" s="97">
        <v>185655.53028576757</v>
      </c>
      <c r="J5" s="226" t="s">
        <v>412</v>
      </c>
      <c r="K5" s="261">
        <v>143125</v>
      </c>
      <c r="L5" s="219">
        <v>20629.114247703066</v>
      </c>
      <c r="M5" s="219">
        <v>55663.994410481486</v>
      </c>
      <c r="N5" s="219">
        <v>130641.61559673256</v>
      </c>
      <c r="O5" s="219">
        <v>102957.42828930625</v>
      </c>
      <c r="P5" s="219">
        <v>125516</v>
      </c>
      <c r="Q5" s="229">
        <v>156584.91344386805</v>
      </c>
      <c r="R5" s="254">
        <v>72574.434566254567</v>
      </c>
      <c r="S5" s="437">
        <v>156584.91344386805</v>
      </c>
      <c r="T5" s="267">
        <v>3</v>
      </c>
      <c r="U5" s="443">
        <v>4</v>
      </c>
      <c r="V5" s="437"/>
      <c r="W5" s="267">
        <f>tblPiNAnalysis8[[#This Row],[Final PiN]]/2</f>
        <v>78292.456721934024</v>
      </c>
      <c r="X5" s="438">
        <f>SUM(tblPiNAnalysis8[[#This Row],[Target (severity 4-5 ranking) 100%]:[Target (severity 3 ranking) 50%]])</f>
        <v>78292.456721934024</v>
      </c>
      <c r="Y5" s="435"/>
      <c r="Z5" s="267"/>
      <c r="AA5" s="267">
        <f>SUM(tblPiNAnalysis8[[#This Row],[Target (priotitised 1-2 ranking) 100%]:[Target (priotitised 3 ranking) 50%]])</f>
        <v>0</v>
      </c>
      <c r="AB5" s="278"/>
      <c r="AC5" s="279"/>
      <c r="AD5" s="279"/>
      <c r="AG5" s="280"/>
      <c r="AH5" s="279"/>
      <c r="AI5" s="279"/>
      <c r="AJ5" s="279"/>
      <c r="AK5" s="279"/>
      <c r="AL5" s="279"/>
      <c r="AO5" s="279"/>
      <c r="AQ5" s="281"/>
      <c r="AR5" s="282"/>
      <c r="AS5" s="279"/>
    </row>
    <row r="6" spans="1:45" s="244" customFormat="1" x14ac:dyDescent="0.55000000000000004">
      <c r="A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 s="259" t="s">
        <v>236</v>
      </c>
      <c r="C6" s="218" t="s">
        <v>237</v>
      </c>
      <c r="D6" s="260" t="s">
        <v>240</v>
      </c>
      <c r="E6" s="105" t="s">
        <v>241</v>
      </c>
      <c r="F6" s="100"/>
      <c r="G6" s="34"/>
      <c r="H6" s="34"/>
      <c r="I6" s="97">
        <v>16311.747528959717</v>
      </c>
      <c r="J6" s="226" t="s">
        <v>412</v>
      </c>
      <c r="K6" s="261">
        <v>0</v>
      </c>
      <c r="L6" s="219">
        <v>1218.1221572686422</v>
      </c>
      <c r="M6" s="219">
        <v>5483.0313173129834</v>
      </c>
      <c r="N6" s="219">
        <v>11295.239262162</v>
      </c>
      <c r="O6" s="219">
        <v>8641.7640411393641</v>
      </c>
      <c r="P6" s="219">
        <v>12061</v>
      </c>
      <c r="Q6" s="229">
        <v>11514.174726324505</v>
      </c>
      <c r="R6" s="254">
        <v>13291.053542115327</v>
      </c>
      <c r="S6" s="437">
        <v>13291.053542115327</v>
      </c>
      <c r="T6" s="267">
        <v>3</v>
      </c>
      <c r="U6" s="443">
        <v>5</v>
      </c>
      <c r="V6" s="437"/>
      <c r="W6" s="267">
        <f>tblPiNAnalysis8[[#This Row],[Final PiN]]/2</f>
        <v>6645.5267710576636</v>
      </c>
      <c r="X6" s="438">
        <f>SUM(tblPiNAnalysis8[[#This Row],[Target (severity 4-5 ranking) 100%]:[Target (severity 3 ranking) 50%]])</f>
        <v>6645.5267710576636</v>
      </c>
      <c r="Y6" s="435"/>
      <c r="Z6" s="267"/>
      <c r="AA6" s="267">
        <f>SUM(tblPiNAnalysis8[[#This Row],[Target (priotitised 1-2 ranking) 100%]:[Target (priotitised 3 ranking) 50%]])</f>
        <v>0</v>
      </c>
      <c r="AB6" s="278"/>
      <c r="AC6" s="279"/>
      <c r="AD6" s="279"/>
      <c r="AG6" s="280"/>
      <c r="AH6" s="279"/>
      <c r="AI6" s="279"/>
      <c r="AJ6" s="279"/>
      <c r="AK6" s="279"/>
      <c r="AL6" s="279"/>
      <c r="AO6" s="279"/>
      <c r="AQ6" s="281"/>
      <c r="AR6" s="282"/>
      <c r="AS6" s="279"/>
    </row>
    <row r="7" spans="1:45" s="244" customFormat="1" x14ac:dyDescent="0.55000000000000004">
      <c r="A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 s="259" t="s">
        <v>236</v>
      </c>
      <c r="C7" s="218" t="s">
        <v>237</v>
      </c>
      <c r="D7" s="260" t="s">
        <v>242</v>
      </c>
      <c r="E7" s="105" t="s">
        <v>243</v>
      </c>
      <c r="F7" s="100"/>
      <c r="G7" s="34"/>
      <c r="H7" s="34"/>
      <c r="I7" s="97">
        <v>7434.8763775539119</v>
      </c>
      <c r="J7" s="226" t="s">
        <v>412</v>
      </c>
      <c r="K7" s="261">
        <v>0</v>
      </c>
      <c r="L7" s="219">
        <v>981.68620713946348</v>
      </c>
      <c r="M7" s="219">
        <v>3016.7293663498526</v>
      </c>
      <c r="N7" s="219">
        <v>4690.9435850029386</v>
      </c>
      <c r="O7" s="219">
        <v>3386.0205108896025</v>
      </c>
      <c r="P7" s="219">
        <v>5948</v>
      </c>
      <c r="Q7" s="229">
        <v>4687.2046728057267</v>
      </c>
      <c r="R7" s="254">
        <v>4405.8526681800959</v>
      </c>
      <c r="S7" s="437">
        <v>5948</v>
      </c>
      <c r="T7" s="267">
        <v>3</v>
      </c>
      <c r="U7" s="443">
        <v>5</v>
      </c>
      <c r="V7" s="437"/>
      <c r="W7" s="267">
        <f>tblPiNAnalysis8[[#This Row],[Final PiN]]/2</f>
        <v>2974</v>
      </c>
      <c r="X7" s="438">
        <f>SUM(tblPiNAnalysis8[[#This Row],[Target (severity 4-5 ranking) 100%]:[Target (severity 3 ranking) 50%]])</f>
        <v>2974</v>
      </c>
      <c r="Y7" s="435"/>
      <c r="Z7" s="267"/>
      <c r="AA7" s="267">
        <f>SUM(tblPiNAnalysis8[[#This Row],[Target (priotitised 1-2 ranking) 100%]:[Target (priotitised 3 ranking) 50%]])</f>
        <v>0</v>
      </c>
      <c r="AB7" s="278"/>
      <c r="AC7" s="279"/>
      <c r="AD7" s="279"/>
      <c r="AG7" s="280"/>
      <c r="AH7" s="279"/>
      <c r="AI7" s="279"/>
      <c r="AJ7" s="279"/>
      <c r="AK7" s="279"/>
      <c r="AL7" s="279"/>
      <c r="AO7" s="279"/>
      <c r="AQ7" s="281"/>
      <c r="AR7" s="282"/>
      <c r="AS7" s="279"/>
    </row>
    <row r="8" spans="1:45" x14ac:dyDescent="0.55000000000000004">
      <c r="A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 s="316" t="s">
        <v>236</v>
      </c>
      <c r="C8" s="317" t="s">
        <v>237</v>
      </c>
      <c r="D8" s="317" t="s">
        <v>244</v>
      </c>
      <c r="E8" s="105" t="s">
        <v>245</v>
      </c>
      <c r="F8" s="100"/>
      <c r="G8" s="34"/>
      <c r="H8" s="34"/>
      <c r="I8" s="97">
        <v>10995.852324765609</v>
      </c>
      <c r="J8" s="97" t="s">
        <v>412</v>
      </c>
      <c r="K8" s="318">
        <v>10003.75</v>
      </c>
      <c r="L8" s="319">
        <v>1946.0349485846925</v>
      </c>
      <c r="M8" s="319">
        <v>3652.351679331086</v>
      </c>
      <c r="N8" s="319">
        <v>7470.4403267122298</v>
      </c>
      <c r="O8" s="319">
        <v>7139.7875687378446</v>
      </c>
      <c r="P8" s="319">
        <v>8797</v>
      </c>
      <c r="Q8" s="320">
        <v>10472.24030930058</v>
      </c>
      <c r="R8" s="340">
        <v>6210.620294543538</v>
      </c>
      <c r="S8" s="439">
        <v>10472.24030930058</v>
      </c>
      <c r="T8" s="326">
        <v>3</v>
      </c>
      <c r="U8" s="378">
        <v>5</v>
      </c>
      <c r="V8" s="439"/>
      <c r="W8" s="326">
        <f>tblPiNAnalysis8[[#This Row],[Final PiN]]/2</f>
        <v>5236.1201546502898</v>
      </c>
      <c r="X8" s="440">
        <f>SUM(tblPiNAnalysis8[[#This Row],[Target (severity 4-5 ranking) 100%]:[Target (severity 3 ranking) 50%]])</f>
        <v>5236.1201546502898</v>
      </c>
      <c r="Y8" s="354"/>
      <c r="Z8" s="326"/>
      <c r="AA8" s="326">
        <f>SUM(tblPiNAnalysis8[[#This Row],[Target (priotitised 1-2 ranking) 100%]:[Target (priotitised 3 ranking) 50%]])</f>
        <v>0</v>
      </c>
    </row>
    <row r="9" spans="1:45" x14ac:dyDescent="0.55000000000000004">
      <c r="A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 s="316" t="s">
        <v>236</v>
      </c>
      <c r="C9" s="317" t="s">
        <v>237</v>
      </c>
      <c r="D9" s="317" t="s">
        <v>246</v>
      </c>
      <c r="E9" s="105" t="s">
        <v>247</v>
      </c>
      <c r="F9" s="100"/>
      <c r="G9" s="34"/>
      <c r="H9" s="34"/>
      <c r="I9" s="97">
        <v>13333.613326350463</v>
      </c>
      <c r="J9" s="97" t="s">
        <v>412</v>
      </c>
      <c r="K9" s="318">
        <v>0</v>
      </c>
      <c r="L9" s="319">
        <v>3537.4742835474094</v>
      </c>
      <c r="M9" s="319">
        <v>3921.0295061368129</v>
      </c>
      <c r="N9" s="319">
        <v>8587.0091798293361</v>
      </c>
      <c r="O9" s="319">
        <v>6819.088880858395</v>
      </c>
      <c r="P9" s="319">
        <v>8429</v>
      </c>
      <c r="Q9" s="320">
        <v>11111.344438625387</v>
      </c>
      <c r="R9" s="340">
        <v>4814.9159234043336</v>
      </c>
      <c r="S9" s="439">
        <v>11111.344438625387</v>
      </c>
      <c r="T9" s="326">
        <v>3</v>
      </c>
      <c r="U9" s="378">
        <v>4</v>
      </c>
      <c r="V9" s="439"/>
      <c r="W9" s="326">
        <f>tblPiNAnalysis8[[#This Row],[Final PiN]]/2</f>
        <v>5555.6722193126934</v>
      </c>
      <c r="X9" s="440">
        <f>SUM(tblPiNAnalysis8[[#This Row],[Target (severity 4-5 ranking) 100%]:[Target (severity 3 ranking) 50%]])</f>
        <v>5555.6722193126934</v>
      </c>
      <c r="Y9" s="354"/>
      <c r="Z9" s="326"/>
      <c r="AA9" s="326">
        <f>SUM(tblPiNAnalysis8[[#This Row],[Target (priotitised 1-2 ranking) 100%]:[Target (priotitised 3 ranking) 50%]])</f>
        <v>0</v>
      </c>
    </row>
    <row r="10" spans="1:45" x14ac:dyDescent="0.55000000000000004">
      <c r="A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 s="316" t="s">
        <v>236</v>
      </c>
      <c r="C10" s="317" t="s">
        <v>237</v>
      </c>
      <c r="D10" s="317" t="s">
        <v>248</v>
      </c>
      <c r="E10" s="105" t="s">
        <v>249</v>
      </c>
      <c r="F10" s="100"/>
      <c r="G10" s="34"/>
      <c r="H10" s="34"/>
      <c r="I10" s="97">
        <v>38535.006634969555</v>
      </c>
      <c r="J10" s="97" t="s">
        <v>412</v>
      </c>
      <c r="K10" s="318">
        <v>6856.25</v>
      </c>
      <c r="L10" s="319">
        <v>6751.5258374798414</v>
      </c>
      <c r="M10" s="319">
        <v>13241.129960863167</v>
      </c>
      <c r="N10" s="319">
        <v>18936.823915437224</v>
      </c>
      <c r="O10" s="319">
        <v>17789.683120040547</v>
      </c>
      <c r="P10" s="319">
        <v>15408</v>
      </c>
      <c r="Q10" s="320">
        <v>25047.754312730212</v>
      </c>
      <c r="R10" s="340">
        <v>31398.894295160375</v>
      </c>
      <c r="S10" s="439">
        <v>31398.894295160375</v>
      </c>
      <c r="T10" s="326">
        <v>3</v>
      </c>
      <c r="U10" s="378">
        <v>5</v>
      </c>
      <c r="V10" s="439"/>
      <c r="W10" s="326">
        <f>tblPiNAnalysis8[[#This Row],[Final PiN]]/2</f>
        <v>15699.447147580187</v>
      </c>
      <c r="X10" s="440">
        <f>SUM(tblPiNAnalysis8[[#This Row],[Target (severity 4-5 ranking) 100%]:[Target (severity 3 ranking) 50%]])</f>
        <v>15699.447147580187</v>
      </c>
      <c r="Y10" s="354"/>
      <c r="Z10" s="326"/>
      <c r="AA10" s="326">
        <f>SUM(tblPiNAnalysis8[[#This Row],[Target (priotitised 1-2 ranking) 100%]:[Target (priotitised 3 ranking) 50%]])</f>
        <v>0</v>
      </c>
      <c r="AC10" s="552"/>
    </row>
    <row r="11" spans="1:45" x14ac:dyDescent="0.55000000000000004">
      <c r="A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 s="316" t="s">
        <v>250</v>
      </c>
      <c r="C11" s="317" t="s">
        <v>251</v>
      </c>
      <c r="D11" s="317" t="s">
        <v>252</v>
      </c>
      <c r="E11" s="105" t="s">
        <v>253</v>
      </c>
      <c r="F11" s="100"/>
      <c r="G11" s="34"/>
      <c r="H11" s="34"/>
      <c r="I11" s="97">
        <v>4566.5835894145539</v>
      </c>
      <c r="J11" s="97" t="s">
        <v>412</v>
      </c>
      <c r="K11" s="318">
        <v>0</v>
      </c>
      <c r="L11" s="319">
        <v>1492.7522432093658</v>
      </c>
      <c r="M11" s="319">
        <v>1813.6109456368461</v>
      </c>
      <c r="N11" s="319">
        <v>2934.7298505674235</v>
      </c>
      <c r="O11" s="319">
        <v>2000.988397539779</v>
      </c>
      <c r="P11" s="319">
        <v>3197</v>
      </c>
      <c r="Q11" s="320">
        <v>3044.3890596097026</v>
      </c>
      <c r="R11" s="340">
        <v>3424.9376920609157</v>
      </c>
      <c r="S11" s="439">
        <v>3424.9376920609157</v>
      </c>
      <c r="T11" s="326">
        <v>3</v>
      </c>
      <c r="U11" s="378">
        <v>4</v>
      </c>
      <c r="V11" s="439"/>
      <c r="W11" s="326">
        <f>tblPiNAnalysis8[[#This Row],[Final PiN]]/2</f>
        <v>1712.4688460304578</v>
      </c>
      <c r="X11" s="440">
        <f>SUM(tblPiNAnalysis8[[#This Row],[Target (severity 4-5 ranking) 100%]:[Target (severity 3 ranking) 50%]])</f>
        <v>1712.4688460304578</v>
      </c>
      <c r="Y11" s="354"/>
      <c r="Z11" s="326"/>
      <c r="AA11" s="326">
        <f>SUM(tblPiNAnalysis8[[#This Row],[Target (priotitised 1-2 ranking) 100%]:[Target (priotitised 3 ranking) 50%]])</f>
        <v>0</v>
      </c>
    </row>
    <row r="12" spans="1:45" x14ac:dyDescent="0.55000000000000004">
      <c r="A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 s="316" t="s">
        <v>250</v>
      </c>
      <c r="C12" s="317" t="s">
        <v>251</v>
      </c>
      <c r="D12" s="317" t="s">
        <v>254</v>
      </c>
      <c r="E12" s="105" t="s">
        <v>255</v>
      </c>
      <c r="F12" s="100"/>
      <c r="G12" s="34"/>
      <c r="H12" s="34"/>
      <c r="I12" s="97">
        <v>6185.6711628854973</v>
      </c>
      <c r="J12" s="97" t="s">
        <v>412</v>
      </c>
      <c r="K12" s="318">
        <v>0</v>
      </c>
      <c r="L12" s="319">
        <v>693.40136601713857</v>
      </c>
      <c r="M12" s="319">
        <v>2509.0423214440798</v>
      </c>
      <c r="N12" s="319">
        <v>2761.5031570219976</v>
      </c>
      <c r="O12" s="319">
        <v>3482.4856610790357</v>
      </c>
      <c r="P12" s="319">
        <v>4315</v>
      </c>
      <c r="Q12" s="320">
        <v>2617.0147227592488</v>
      </c>
      <c r="R12" s="340">
        <v>3007.7116663571692</v>
      </c>
      <c r="S12" s="439">
        <v>4315</v>
      </c>
      <c r="T12" s="326">
        <v>3</v>
      </c>
      <c r="U12" s="378">
        <v>4</v>
      </c>
      <c r="V12" s="439"/>
      <c r="W12" s="326">
        <f>tblPiNAnalysis8[[#This Row],[Final PiN]]/2</f>
        <v>2157.5</v>
      </c>
      <c r="X12" s="440">
        <f>SUM(tblPiNAnalysis8[[#This Row],[Target (severity 4-5 ranking) 100%]:[Target (severity 3 ranking) 50%]])</f>
        <v>2157.5</v>
      </c>
      <c r="Y12" s="354"/>
      <c r="Z12" s="326"/>
      <c r="AA12" s="326">
        <f>SUM(tblPiNAnalysis8[[#This Row],[Target (priotitised 1-2 ranking) 100%]:[Target (priotitised 3 ranking) 50%]])</f>
        <v>0</v>
      </c>
    </row>
    <row r="13" spans="1:45" x14ac:dyDescent="0.55000000000000004">
      <c r="A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 s="316" t="s">
        <v>250</v>
      </c>
      <c r="C13" s="317" t="s">
        <v>251</v>
      </c>
      <c r="D13" s="317" t="s">
        <v>256</v>
      </c>
      <c r="E13" s="105" t="s">
        <v>257</v>
      </c>
      <c r="F13" s="100"/>
      <c r="G13" s="34"/>
      <c r="H13" s="34"/>
      <c r="I13" s="97">
        <v>2159.7729564411493</v>
      </c>
      <c r="J13" s="97" t="s">
        <v>412</v>
      </c>
      <c r="K13" s="318">
        <v>0</v>
      </c>
      <c r="L13" s="319">
        <v>737.7784419202967</v>
      </c>
      <c r="M13" s="319">
        <v>839.53465065268131</v>
      </c>
      <c r="N13" s="319">
        <v>1540.0205724248333</v>
      </c>
      <c r="O13" s="319">
        <v>837.76655048938323</v>
      </c>
      <c r="P13" s="319">
        <v>1512</v>
      </c>
      <c r="Q13" s="320">
        <v>0</v>
      </c>
      <c r="R13" s="340">
        <v>1719.8192060549893</v>
      </c>
      <c r="S13" s="439">
        <v>1719.8192060549893</v>
      </c>
      <c r="T13" s="326">
        <v>3</v>
      </c>
      <c r="U13" s="378">
        <v>2</v>
      </c>
      <c r="V13" s="439"/>
      <c r="W13" s="326">
        <f>tblPiNAnalysis8[[#This Row],[Final PiN]]/2</f>
        <v>859.90960302749465</v>
      </c>
      <c r="X13" s="440">
        <f>SUM(tblPiNAnalysis8[[#This Row],[Target (severity 4-5 ranking) 100%]:[Target (severity 3 ranking) 50%]])</f>
        <v>859.90960302749465</v>
      </c>
      <c r="Y13" s="354">
        <f>tblPiNAnalysis8[[#This Row],[Final PiN]]</f>
        <v>1719.8192060549893</v>
      </c>
      <c r="Z13" s="326"/>
      <c r="AA13" s="326">
        <f>SUM(tblPiNAnalysis8[[#This Row],[Target (priotitised 1-2 ranking) 100%]:[Target (priotitised 3 ranking) 50%]])</f>
        <v>1719.8192060549893</v>
      </c>
    </row>
    <row r="14" spans="1:45" x14ac:dyDescent="0.55000000000000004">
      <c r="A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 s="316" t="s">
        <v>250</v>
      </c>
      <c r="C14" s="317" t="s">
        <v>251</v>
      </c>
      <c r="D14" s="317" t="s">
        <v>258</v>
      </c>
      <c r="E14" s="105" t="s">
        <v>259</v>
      </c>
      <c r="F14" s="100"/>
      <c r="G14" s="34"/>
      <c r="H14" s="34"/>
      <c r="I14" s="97">
        <v>8023.4115031633137</v>
      </c>
      <c r="J14" s="97" t="s">
        <v>412</v>
      </c>
      <c r="K14" s="318">
        <v>0</v>
      </c>
      <c r="L14" s="319">
        <v>3040.872959698896</v>
      </c>
      <c r="M14" s="319">
        <v>3020.3613084251488</v>
      </c>
      <c r="N14" s="319">
        <v>5691.5355279765563</v>
      </c>
      <c r="O14" s="319">
        <v>2855.4831771933182</v>
      </c>
      <c r="P14" s="319">
        <v>4057</v>
      </c>
      <c r="Q14" s="320">
        <v>8023.4115031633146</v>
      </c>
      <c r="R14" s="340">
        <v>4122.1196713499603</v>
      </c>
      <c r="S14" s="439">
        <v>8023.4115031633146</v>
      </c>
      <c r="T14" s="326">
        <v>3</v>
      </c>
      <c r="U14" s="378">
        <v>3</v>
      </c>
      <c r="V14" s="439"/>
      <c r="W14" s="326">
        <f>tblPiNAnalysis8[[#This Row],[Final PiN]]/2</f>
        <v>4011.7057515816573</v>
      </c>
      <c r="X14" s="440">
        <f>SUM(tblPiNAnalysis8[[#This Row],[Target (severity 4-5 ranking) 100%]:[Target (severity 3 ranking) 50%]])</f>
        <v>4011.7057515816573</v>
      </c>
      <c r="Y14" s="354"/>
      <c r="Z14" s="326">
        <f>tblPiNAnalysis8[[#This Row],[Final PiN]]/2</f>
        <v>4011.7057515816573</v>
      </c>
      <c r="AA14" s="326">
        <f>SUM(tblPiNAnalysis8[[#This Row],[Target (priotitised 1-2 ranking) 100%]:[Target (priotitised 3 ranking) 50%]])</f>
        <v>4011.7057515816573</v>
      </c>
    </row>
    <row r="15" spans="1:45" x14ac:dyDescent="0.55000000000000004">
      <c r="A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 s="316" t="s">
        <v>250</v>
      </c>
      <c r="C15" s="317" t="s">
        <v>251</v>
      </c>
      <c r="D15" s="317" t="s">
        <v>260</v>
      </c>
      <c r="E15" s="105" t="s">
        <v>261</v>
      </c>
      <c r="F15" s="100"/>
      <c r="G15" s="34"/>
      <c r="H15" s="34"/>
      <c r="I15" s="97">
        <v>4829.7886557975189</v>
      </c>
      <c r="J15" s="97" t="s">
        <v>412</v>
      </c>
      <c r="K15" s="318">
        <v>0</v>
      </c>
      <c r="L15" s="319">
        <v>1199.4625573436151</v>
      </c>
      <c r="M15" s="319">
        <v>1736.0189569086174</v>
      </c>
      <c r="N15" s="319">
        <v>2134.1291226372955</v>
      </c>
      <c r="O15" s="319">
        <v>2357.176214784763</v>
      </c>
      <c r="P15" s="319">
        <v>3381</v>
      </c>
      <c r="Q15" s="320">
        <v>3622.3414918481394</v>
      </c>
      <c r="R15" s="340">
        <v>4785.06839046606</v>
      </c>
      <c r="S15" s="439">
        <v>4785.06839046606</v>
      </c>
      <c r="T15" s="326">
        <v>3</v>
      </c>
      <c r="U15" s="378">
        <v>3</v>
      </c>
      <c r="V15" s="439"/>
      <c r="W15" s="326">
        <f>tblPiNAnalysis8[[#This Row],[Final PiN]]/2</f>
        <v>2392.53419523303</v>
      </c>
      <c r="X15" s="440">
        <f>SUM(tblPiNAnalysis8[[#This Row],[Target (severity 4-5 ranking) 100%]:[Target (severity 3 ranking) 50%]])</f>
        <v>2392.53419523303</v>
      </c>
      <c r="Y15" s="354"/>
      <c r="Z15" s="326">
        <f>tblPiNAnalysis8[[#This Row],[Final PiN]]/2</f>
        <v>2392.53419523303</v>
      </c>
      <c r="AA15" s="326">
        <f>SUM(tblPiNAnalysis8[[#This Row],[Target (priotitised 1-2 ranking) 100%]:[Target (priotitised 3 ranking) 50%]])</f>
        <v>2392.53419523303</v>
      </c>
    </row>
    <row r="16" spans="1:45" x14ac:dyDescent="0.55000000000000004">
      <c r="A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 s="316" t="s">
        <v>250</v>
      </c>
      <c r="C16" s="317" t="s">
        <v>251</v>
      </c>
      <c r="D16" s="317" t="s">
        <v>262</v>
      </c>
      <c r="E16" s="105" t="s">
        <v>263</v>
      </c>
      <c r="F16" s="100"/>
      <c r="G16" s="34"/>
      <c r="H16" s="34"/>
      <c r="I16" s="97">
        <v>21293.088674698796</v>
      </c>
      <c r="J16" s="97" t="s">
        <v>412</v>
      </c>
      <c r="K16" s="318">
        <v>14262.5</v>
      </c>
      <c r="L16" s="319">
        <v>1138.3285205493978</v>
      </c>
      <c r="M16" s="319">
        <v>6949.2517940572598</v>
      </c>
      <c r="N16" s="319">
        <v>14604.061169572129</v>
      </c>
      <c r="O16" s="319">
        <v>8823.1210737882466</v>
      </c>
      <c r="P16" s="319">
        <v>14039</v>
      </c>
      <c r="Q16" s="320">
        <v>7097.6962248995987</v>
      </c>
      <c r="R16" s="340">
        <v>6227.2240463741755</v>
      </c>
      <c r="S16" s="439">
        <v>14604.061169572129</v>
      </c>
      <c r="T16" s="326">
        <v>3</v>
      </c>
      <c r="U16" s="378">
        <v>3</v>
      </c>
      <c r="V16" s="439"/>
      <c r="W16" s="326">
        <f>tblPiNAnalysis8[[#This Row],[Final PiN]]/2</f>
        <v>7302.0305847860645</v>
      </c>
      <c r="X16" s="440">
        <f>SUM(tblPiNAnalysis8[[#This Row],[Target (severity 4-5 ranking) 100%]:[Target (severity 3 ranking) 50%]])</f>
        <v>7302.0305847860645</v>
      </c>
      <c r="Y16" s="354"/>
      <c r="Z16" s="326">
        <f>tblPiNAnalysis8[[#This Row],[Final PiN]]/2</f>
        <v>7302.0305847860645</v>
      </c>
      <c r="AA16" s="326">
        <f>SUM(tblPiNAnalysis8[[#This Row],[Target (priotitised 1-2 ranking) 100%]:[Target (priotitised 3 ranking) 50%]])</f>
        <v>7302.0305847860645</v>
      </c>
    </row>
    <row r="17" spans="1:27" x14ac:dyDescent="0.55000000000000004">
      <c r="A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 s="316" t="s">
        <v>250</v>
      </c>
      <c r="C17" s="317" t="s">
        <v>251</v>
      </c>
      <c r="D17" s="317" t="s">
        <v>264</v>
      </c>
      <c r="E17" s="105" t="s">
        <v>265</v>
      </c>
      <c r="F17" s="100"/>
      <c r="G17" s="34"/>
      <c r="H17" s="34"/>
      <c r="I17" s="97">
        <v>40940.594481869215</v>
      </c>
      <c r="J17" s="97" t="s">
        <v>412</v>
      </c>
      <c r="K17" s="318">
        <v>0</v>
      </c>
      <c r="L17" s="319">
        <v>2692.6096762997117</v>
      </c>
      <c r="M17" s="319">
        <v>13324.992433803691</v>
      </c>
      <c r="N17" s="319">
        <v>9914.5548055213094</v>
      </c>
      <c r="O17" s="319">
        <v>21383.94598798571</v>
      </c>
      <c r="P17" s="319">
        <v>28480</v>
      </c>
      <c r="Q17" s="320">
        <v>2924.3281772763721</v>
      </c>
      <c r="R17" s="340">
        <v>14157.027998403373</v>
      </c>
      <c r="S17" s="439">
        <v>28480</v>
      </c>
      <c r="T17" s="326">
        <v>3</v>
      </c>
      <c r="U17" s="378">
        <v>4</v>
      </c>
      <c r="V17" s="439"/>
      <c r="W17" s="326">
        <f>tblPiNAnalysis8[[#This Row],[Final PiN]]/2</f>
        <v>14240</v>
      </c>
      <c r="X17" s="440">
        <f>SUM(tblPiNAnalysis8[[#This Row],[Target (severity 4-5 ranking) 100%]:[Target (severity 3 ranking) 50%]])</f>
        <v>14240</v>
      </c>
      <c r="Y17" s="354"/>
      <c r="Z17" s="326"/>
      <c r="AA17" s="326">
        <f>SUM(tblPiNAnalysis8[[#This Row],[Target (priotitised 1-2 ranking) 100%]:[Target (priotitised 3 ranking) 50%]])</f>
        <v>0</v>
      </c>
    </row>
    <row r="18" spans="1:27" x14ac:dyDescent="0.55000000000000004">
      <c r="A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 s="316" t="s">
        <v>250</v>
      </c>
      <c r="C18" s="317" t="s">
        <v>251</v>
      </c>
      <c r="D18" s="317" t="s">
        <v>266</v>
      </c>
      <c r="E18" s="105" t="s">
        <v>267</v>
      </c>
      <c r="F18" s="100"/>
      <c r="G18" s="34"/>
      <c r="H18" s="34"/>
      <c r="I18" s="97">
        <v>2501.5236312386551</v>
      </c>
      <c r="J18" s="97" t="s">
        <v>412</v>
      </c>
      <c r="K18" s="318">
        <v>0</v>
      </c>
      <c r="L18" s="319">
        <v>279.86546081571822</v>
      </c>
      <c r="M18" s="319">
        <v>1219.1162945708784</v>
      </c>
      <c r="N18" s="319">
        <v>1404.6058331272616</v>
      </c>
      <c r="O18" s="319">
        <v>1981.0929952949004</v>
      </c>
      <c r="P18" s="319">
        <v>1492</v>
      </c>
      <c r="Q18" s="320">
        <v>2501.5236312386551</v>
      </c>
      <c r="R18" s="340">
        <v>1728.3254179467071</v>
      </c>
      <c r="S18" s="439">
        <v>2501.5236312386551</v>
      </c>
      <c r="T18" s="326">
        <v>3</v>
      </c>
      <c r="U18" s="378">
        <v>4</v>
      </c>
      <c r="V18" s="439"/>
      <c r="W18" s="326">
        <f>tblPiNAnalysis8[[#This Row],[Final PiN]]/2</f>
        <v>1250.7618156193275</v>
      </c>
      <c r="X18" s="440">
        <f>SUM(tblPiNAnalysis8[[#This Row],[Target (severity 4-5 ranking) 100%]:[Target (severity 3 ranking) 50%]])</f>
        <v>1250.7618156193275</v>
      </c>
      <c r="Y18" s="354"/>
      <c r="Z18" s="326"/>
      <c r="AA18" s="326">
        <f>SUM(tblPiNAnalysis8[[#This Row],[Target (priotitised 1-2 ranking) 100%]:[Target (priotitised 3 ranking) 50%]])</f>
        <v>0</v>
      </c>
    </row>
    <row r="19" spans="1:27" x14ac:dyDescent="0.55000000000000004">
      <c r="A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 s="316" t="s">
        <v>268</v>
      </c>
      <c r="C19" s="317" t="s">
        <v>269</v>
      </c>
      <c r="D19" s="317" t="s">
        <v>270</v>
      </c>
      <c r="E19" s="105" t="s">
        <v>271</v>
      </c>
      <c r="F19" s="100"/>
      <c r="G19" s="34"/>
      <c r="H19" s="34"/>
      <c r="I19" s="97">
        <v>45687.987079478589</v>
      </c>
      <c r="J19" s="97" t="s">
        <v>412</v>
      </c>
      <c r="K19" s="318">
        <v>30191.25</v>
      </c>
      <c r="L19" s="319">
        <v>9011.1330676597208</v>
      </c>
      <c r="M19" s="319">
        <v>20328.448264613897</v>
      </c>
      <c r="N19" s="319">
        <v>39255.072141148179</v>
      </c>
      <c r="O19" s="319">
        <v>24457.221773689071</v>
      </c>
      <c r="P19" s="319">
        <v>36373</v>
      </c>
      <c r="Q19" s="320">
        <v>40611.544070647637</v>
      </c>
      <c r="R19" s="340">
        <v>22843.993539739295</v>
      </c>
      <c r="S19" s="439">
        <v>40611.544070647637</v>
      </c>
      <c r="T19" s="326">
        <v>4</v>
      </c>
      <c r="U19" s="378">
        <v>1</v>
      </c>
      <c r="V19" s="439">
        <f>tblPiNAnalysis8[[#This Row],[Final PiN]]</f>
        <v>40611.544070647637</v>
      </c>
      <c r="W19" s="326"/>
      <c r="X19" s="440">
        <f>SUM(tblPiNAnalysis8[[#This Row],[Target (severity 4-5 ranking) 100%]:[Target (severity 3 ranking) 50%]])</f>
        <v>40611.544070647637</v>
      </c>
      <c r="Y19" s="354">
        <f>tblPiNAnalysis8[[#This Row],[Final PiN]]</f>
        <v>40611.544070647637</v>
      </c>
      <c r="Z19" s="326"/>
      <c r="AA19" s="326">
        <f>SUM(tblPiNAnalysis8[[#This Row],[Target (priotitised 1-2 ranking) 100%]:[Target (priotitised 3 ranking) 50%]])</f>
        <v>40611.544070647637</v>
      </c>
    </row>
    <row r="20" spans="1:27" x14ac:dyDescent="0.55000000000000004">
      <c r="A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 s="316" t="s">
        <v>268</v>
      </c>
      <c r="C20" s="317" t="s">
        <v>269</v>
      </c>
      <c r="D20" s="317" t="s">
        <v>272</v>
      </c>
      <c r="E20" s="105" t="s">
        <v>273</v>
      </c>
      <c r="F20" s="100"/>
      <c r="G20" s="34"/>
      <c r="H20" s="34"/>
      <c r="I20" s="97">
        <v>21857.689382345037</v>
      </c>
      <c r="J20" s="97" t="s">
        <v>412</v>
      </c>
      <c r="K20" s="318">
        <v>0</v>
      </c>
      <c r="L20" s="319">
        <v>3012.1644584022056</v>
      </c>
      <c r="M20" s="319">
        <v>7246.9332264528048</v>
      </c>
      <c r="N20" s="319">
        <v>16171.05136149268</v>
      </c>
      <c r="O20" s="319">
        <v>9814.1802232710907</v>
      </c>
      <c r="P20" s="319">
        <v>16888</v>
      </c>
      <c r="Q20" s="320">
        <v>13871.225954180503</v>
      </c>
      <c r="R20" s="340">
        <v>18659.003131270158</v>
      </c>
      <c r="S20" s="439">
        <v>18659.003131270158</v>
      </c>
      <c r="T20" s="326">
        <v>4</v>
      </c>
      <c r="U20" s="378">
        <v>2</v>
      </c>
      <c r="V20" s="439">
        <f>tblPiNAnalysis8[[#This Row],[Final PiN]]</f>
        <v>18659.003131270158</v>
      </c>
      <c r="W20" s="326"/>
      <c r="X20" s="440">
        <f>SUM(tblPiNAnalysis8[[#This Row],[Target (severity 4-5 ranking) 100%]:[Target (severity 3 ranking) 50%]])</f>
        <v>18659.003131270158</v>
      </c>
      <c r="Y20" s="354">
        <f>tblPiNAnalysis8[[#This Row],[Final PiN]]</f>
        <v>18659.003131270158</v>
      </c>
      <c r="Z20" s="326"/>
      <c r="AA20" s="326">
        <f>SUM(tblPiNAnalysis8[[#This Row],[Target (priotitised 1-2 ranking) 100%]:[Target (priotitised 3 ranking) 50%]])</f>
        <v>18659.003131270158</v>
      </c>
    </row>
    <row r="21" spans="1:27" x14ac:dyDescent="0.55000000000000004">
      <c r="A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 s="316" t="s">
        <v>268</v>
      </c>
      <c r="C21" s="317" t="s">
        <v>269</v>
      </c>
      <c r="D21" s="317" t="s">
        <v>274</v>
      </c>
      <c r="E21" s="105" t="s">
        <v>275</v>
      </c>
      <c r="F21" s="100"/>
      <c r="G21" s="34"/>
      <c r="H21" s="34"/>
      <c r="I21" s="97">
        <v>95901.175542296638</v>
      </c>
      <c r="J21" s="97" t="s">
        <v>412</v>
      </c>
      <c r="K21" s="318">
        <v>50265</v>
      </c>
      <c r="L21" s="319">
        <v>19394.094729918648</v>
      </c>
      <c r="M21" s="319">
        <v>36837.40550042902</v>
      </c>
      <c r="N21" s="319">
        <v>22913.183208266495</v>
      </c>
      <c r="O21" s="319">
        <v>53275.674539844593</v>
      </c>
      <c r="P21" s="319">
        <v>66786</v>
      </c>
      <c r="Q21" s="320">
        <v>71925.881656722486</v>
      </c>
      <c r="R21" s="340">
        <v>45286.666228306742</v>
      </c>
      <c r="S21" s="439">
        <v>71925.881656722486</v>
      </c>
      <c r="T21" s="326">
        <v>3</v>
      </c>
      <c r="U21" s="378">
        <v>4</v>
      </c>
      <c r="V21" s="439"/>
      <c r="W21" s="326">
        <f>tblPiNAnalysis8[[#This Row],[Final PiN]]/2</f>
        <v>35962.940828361243</v>
      </c>
      <c r="X21" s="440">
        <f>SUM(tblPiNAnalysis8[[#This Row],[Target (severity 4-5 ranking) 100%]:[Target (severity 3 ranking) 50%]])</f>
        <v>35962.940828361243</v>
      </c>
      <c r="Y21" s="354"/>
      <c r="Z21" s="326"/>
      <c r="AA21" s="326">
        <f>SUM(tblPiNAnalysis8[[#This Row],[Target (priotitised 1-2 ranking) 100%]:[Target (priotitised 3 ranking) 50%]])</f>
        <v>0</v>
      </c>
    </row>
    <row r="22" spans="1:27" x14ac:dyDescent="0.55000000000000004">
      <c r="A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 s="316" t="s">
        <v>268</v>
      </c>
      <c r="C22" s="317" t="s">
        <v>269</v>
      </c>
      <c r="D22" s="317" t="s">
        <v>276</v>
      </c>
      <c r="E22" s="105" t="s">
        <v>277</v>
      </c>
      <c r="F22" s="100"/>
      <c r="G22" s="34"/>
      <c r="H22" s="34"/>
      <c r="I22" s="97">
        <v>69039.732902168529</v>
      </c>
      <c r="J22" s="97" t="s">
        <v>412</v>
      </c>
      <c r="K22" s="318">
        <v>2940</v>
      </c>
      <c r="L22" s="319">
        <v>11234.283417306668</v>
      </c>
      <c r="M22" s="319">
        <v>26154.980284305846</v>
      </c>
      <c r="N22" s="319">
        <v>60658.225579270336</v>
      </c>
      <c r="O22" s="319">
        <v>50858.935327370076</v>
      </c>
      <c r="P22" s="319">
        <v>53298</v>
      </c>
      <c r="Q22" s="320">
        <v>69039.732902168529</v>
      </c>
      <c r="R22" s="340">
        <v>66482.705757643766</v>
      </c>
      <c r="S22" s="439">
        <v>69039.732902168529</v>
      </c>
      <c r="T22" s="326">
        <v>4</v>
      </c>
      <c r="U22" s="378">
        <v>1</v>
      </c>
      <c r="V22" s="439">
        <f>tblPiNAnalysis8[[#This Row],[Final PiN]]</f>
        <v>69039.732902168529</v>
      </c>
      <c r="W22" s="326"/>
      <c r="X22" s="440">
        <f>SUM(tblPiNAnalysis8[[#This Row],[Target (severity 4-5 ranking) 100%]:[Target (severity 3 ranking) 50%]])</f>
        <v>69039.732902168529</v>
      </c>
      <c r="Y22" s="354">
        <f>tblPiNAnalysis8[[#This Row],[Final PiN]]</f>
        <v>69039.732902168529</v>
      </c>
      <c r="Z22" s="326"/>
      <c r="AA22" s="326">
        <f>SUM(tblPiNAnalysis8[[#This Row],[Target (priotitised 1-2 ranking) 100%]:[Target (priotitised 3 ranking) 50%]])</f>
        <v>69039.732902168529</v>
      </c>
    </row>
    <row r="23" spans="1:27" x14ac:dyDescent="0.55000000000000004">
      <c r="A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 s="316" t="s">
        <v>268</v>
      </c>
      <c r="C23" s="317" t="s">
        <v>269</v>
      </c>
      <c r="D23" s="317" t="s">
        <v>278</v>
      </c>
      <c r="E23" s="105" t="s">
        <v>279</v>
      </c>
      <c r="F23" s="100"/>
      <c r="G23" s="34"/>
      <c r="H23" s="34"/>
      <c r="I23" s="97">
        <v>77068.443303189997</v>
      </c>
      <c r="J23" s="97" t="s">
        <v>412</v>
      </c>
      <c r="K23" s="318">
        <v>0</v>
      </c>
      <c r="L23" s="319">
        <v>8003.5578370362809</v>
      </c>
      <c r="M23" s="319">
        <v>29219.09106715216</v>
      </c>
      <c r="N23" s="319">
        <v>53758.117095312671</v>
      </c>
      <c r="O23" s="319">
        <v>51263.151432420411</v>
      </c>
      <c r="P23" s="319">
        <v>53948</v>
      </c>
      <c r="Q23" s="320">
        <v>77068.443303189997</v>
      </c>
      <c r="R23" s="340">
        <v>36393.431559839715</v>
      </c>
      <c r="S23" s="439">
        <v>77068.443303189997</v>
      </c>
      <c r="T23" s="326">
        <v>4</v>
      </c>
      <c r="U23" s="378">
        <v>2</v>
      </c>
      <c r="V23" s="439">
        <f>tblPiNAnalysis8[[#This Row],[Final PiN]]</f>
        <v>77068.443303189997</v>
      </c>
      <c r="W23" s="326"/>
      <c r="X23" s="440">
        <f>SUM(tblPiNAnalysis8[[#This Row],[Target (severity 4-5 ranking) 100%]:[Target (severity 3 ranking) 50%]])</f>
        <v>77068.443303189997</v>
      </c>
      <c r="Y23" s="354">
        <f>tblPiNAnalysis8[[#This Row],[Final PiN]]</f>
        <v>77068.443303189997</v>
      </c>
      <c r="Z23" s="326"/>
      <c r="AA23" s="326">
        <f>SUM(tblPiNAnalysis8[[#This Row],[Target (priotitised 1-2 ranking) 100%]:[Target (priotitised 3 ranking) 50%]])</f>
        <v>77068.443303189997</v>
      </c>
    </row>
    <row r="24" spans="1:27" x14ac:dyDescent="0.55000000000000004">
      <c r="A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 s="316" t="s">
        <v>268</v>
      </c>
      <c r="C24" s="317" t="s">
        <v>269</v>
      </c>
      <c r="D24" s="317" t="s">
        <v>280</v>
      </c>
      <c r="E24" s="105" t="s">
        <v>281</v>
      </c>
      <c r="F24" s="100"/>
      <c r="G24" s="34"/>
      <c r="H24" s="34"/>
      <c r="I24" s="97">
        <v>118740.98784317059</v>
      </c>
      <c r="J24" s="97" t="s">
        <v>412</v>
      </c>
      <c r="K24" s="318">
        <v>53426.25</v>
      </c>
      <c r="L24" s="319">
        <v>44409.129453345799</v>
      </c>
      <c r="M24" s="319">
        <v>40113.54086952786</v>
      </c>
      <c r="N24" s="319">
        <v>103011.12865811396</v>
      </c>
      <c r="O24" s="319">
        <v>77337.079860623839</v>
      </c>
      <c r="P24" s="319">
        <v>94945</v>
      </c>
      <c r="Q24" s="320">
        <v>74762.844197551851</v>
      </c>
      <c r="R24" s="340">
        <v>93453.55524693981</v>
      </c>
      <c r="S24" s="439">
        <v>103011.12865811396</v>
      </c>
      <c r="T24" s="326">
        <v>5</v>
      </c>
      <c r="U24" s="378">
        <v>1</v>
      </c>
      <c r="V24" s="439">
        <f>tblPiNAnalysis8[[#This Row],[Final PiN]]</f>
        <v>103011.12865811396</v>
      </c>
      <c r="W24" s="326"/>
      <c r="X24" s="440">
        <f>SUM(tblPiNAnalysis8[[#This Row],[Target (severity 4-5 ranking) 100%]:[Target (severity 3 ranking) 50%]])</f>
        <v>103011.12865811396</v>
      </c>
      <c r="Y24" s="354">
        <f>tblPiNAnalysis8[[#This Row],[Final PiN]]</f>
        <v>103011.12865811396</v>
      </c>
      <c r="Z24" s="326"/>
      <c r="AA24" s="326">
        <f>SUM(tblPiNAnalysis8[[#This Row],[Target (priotitised 1-2 ranking) 100%]:[Target (priotitised 3 ranking) 50%]])</f>
        <v>103011.12865811396</v>
      </c>
    </row>
    <row r="25" spans="1:27" x14ac:dyDescent="0.55000000000000004">
      <c r="A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5" s="316" t="s">
        <v>268</v>
      </c>
      <c r="C25" s="317" t="s">
        <v>269</v>
      </c>
      <c r="D25" s="317" t="s">
        <v>282</v>
      </c>
      <c r="E25" s="105" t="s">
        <v>283</v>
      </c>
      <c r="F25" s="100"/>
      <c r="G25" s="34"/>
      <c r="H25" s="34"/>
      <c r="I25" s="97">
        <v>53158.210520699089</v>
      </c>
      <c r="J25" s="97" t="s">
        <v>412</v>
      </c>
      <c r="K25" s="318">
        <v>9342.5</v>
      </c>
      <c r="L25" s="319">
        <v>18476.762707710903</v>
      </c>
      <c r="M25" s="319">
        <v>22173.945694892671</v>
      </c>
      <c r="N25" s="319">
        <v>39836.572985494066</v>
      </c>
      <c r="O25" s="319">
        <v>37476.690262488526</v>
      </c>
      <c r="P25" s="319">
        <v>37211</v>
      </c>
      <c r="Q25" s="320">
        <v>47024.570845233815</v>
      </c>
      <c r="R25" s="340">
        <v>36423.218319738276</v>
      </c>
      <c r="S25" s="439">
        <v>47024.570845233815</v>
      </c>
      <c r="T25" s="326">
        <v>3</v>
      </c>
      <c r="U25" s="378">
        <v>2</v>
      </c>
      <c r="V25" s="439"/>
      <c r="W25" s="326">
        <f>tblPiNAnalysis8[[#This Row],[Final PiN]]/2</f>
        <v>23512.285422616907</v>
      </c>
      <c r="X25" s="440">
        <f>SUM(tblPiNAnalysis8[[#This Row],[Target (severity 4-5 ranking) 100%]:[Target (severity 3 ranking) 50%]])</f>
        <v>23512.285422616907</v>
      </c>
      <c r="Y25" s="354">
        <f>tblPiNAnalysis8[[#This Row],[Final PiN]]</f>
        <v>47024.570845233815</v>
      </c>
      <c r="Z25" s="326"/>
      <c r="AA25" s="326">
        <f>SUM(tblPiNAnalysis8[[#This Row],[Target (priotitised 1-2 ranking) 100%]:[Target (priotitised 3 ranking) 50%]])</f>
        <v>47024.570845233815</v>
      </c>
    </row>
    <row r="26" spans="1:27" x14ac:dyDescent="0.55000000000000004">
      <c r="A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6" s="316" t="s">
        <v>268</v>
      </c>
      <c r="C26" s="317" t="s">
        <v>269</v>
      </c>
      <c r="D26" s="317" t="s">
        <v>284</v>
      </c>
      <c r="E26" s="105" t="s">
        <v>285</v>
      </c>
      <c r="F26" s="100"/>
      <c r="G26" s="34"/>
      <c r="H26" s="34"/>
      <c r="I26" s="97">
        <v>46710.303757716349</v>
      </c>
      <c r="J26" s="97" t="s">
        <v>412</v>
      </c>
      <c r="K26" s="318">
        <v>3985</v>
      </c>
      <c r="L26" s="319">
        <v>13385.024382988649</v>
      </c>
      <c r="M26" s="319">
        <v>21719.780450793813</v>
      </c>
      <c r="N26" s="319">
        <v>37316.911865707822</v>
      </c>
      <c r="O26" s="319">
        <v>28450.937364045618</v>
      </c>
      <c r="P26" s="319">
        <v>32535</v>
      </c>
      <c r="Q26" s="320">
        <v>32697.212630401442</v>
      </c>
      <c r="R26" s="340">
        <v>38060.2475062874</v>
      </c>
      <c r="S26" s="439">
        <v>38060.2475062874</v>
      </c>
      <c r="T26" s="326">
        <v>4</v>
      </c>
      <c r="U26" s="378">
        <v>1</v>
      </c>
      <c r="V26" s="439">
        <f>tblPiNAnalysis8[[#This Row],[Final PiN]]</f>
        <v>38060.2475062874</v>
      </c>
      <c r="W26" s="326"/>
      <c r="X26" s="440">
        <f>SUM(tblPiNAnalysis8[[#This Row],[Target (severity 4-5 ranking) 100%]:[Target (severity 3 ranking) 50%]])</f>
        <v>38060.2475062874</v>
      </c>
      <c r="Y26" s="354">
        <f>tblPiNAnalysis8[[#This Row],[Final PiN]]</f>
        <v>38060.2475062874</v>
      </c>
      <c r="Z26" s="326"/>
      <c r="AA26" s="326">
        <f>SUM(tblPiNAnalysis8[[#This Row],[Target (priotitised 1-2 ranking) 100%]:[Target (priotitised 3 ranking) 50%]])</f>
        <v>38060.2475062874</v>
      </c>
    </row>
    <row r="27" spans="1:27" x14ac:dyDescent="0.55000000000000004">
      <c r="A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7" s="316" t="s">
        <v>268</v>
      </c>
      <c r="C27" s="317" t="s">
        <v>269</v>
      </c>
      <c r="D27" s="317" t="s">
        <v>286</v>
      </c>
      <c r="E27" s="105" t="s">
        <v>287</v>
      </c>
      <c r="F27" s="100"/>
      <c r="G27" s="34"/>
      <c r="H27" s="34"/>
      <c r="I27" s="97">
        <v>15457.341069804937</v>
      </c>
      <c r="J27" s="97" t="s">
        <v>412</v>
      </c>
      <c r="K27" s="318">
        <v>0</v>
      </c>
      <c r="L27" s="319">
        <v>1984.9080814557915</v>
      </c>
      <c r="M27" s="319">
        <v>5322.885706808629</v>
      </c>
      <c r="N27" s="319">
        <v>10432.941512055986</v>
      </c>
      <c r="O27" s="319">
        <v>9774.8209809490527</v>
      </c>
      <c r="P27" s="319">
        <v>10820</v>
      </c>
      <c r="Q27" s="320">
        <v>14426.851665151275</v>
      </c>
      <c r="R27" s="340">
        <v>567.24187412128219</v>
      </c>
      <c r="S27" s="439">
        <v>14426.851665151275</v>
      </c>
      <c r="T27" s="326">
        <v>3</v>
      </c>
      <c r="U27" s="378">
        <v>3</v>
      </c>
      <c r="V27" s="439"/>
      <c r="W27" s="326">
        <f>tblPiNAnalysis8[[#This Row],[Final PiN]]/2</f>
        <v>7213.4258325756373</v>
      </c>
      <c r="X27" s="440">
        <f>SUM(tblPiNAnalysis8[[#This Row],[Target (severity 4-5 ranking) 100%]:[Target (severity 3 ranking) 50%]])</f>
        <v>7213.4258325756373</v>
      </c>
      <c r="Y27" s="354"/>
      <c r="Z27" s="326">
        <f>tblPiNAnalysis8[[#This Row],[Final PiN]]/2</f>
        <v>7213.4258325756373</v>
      </c>
      <c r="AA27" s="326">
        <f>SUM(tblPiNAnalysis8[[#This Row],[Target (priotitised 1-2 ranking) 100%]:[Target (priotitised 3 ranking) 50%]])</f>
        <v>7213.4258325756373</v>
      </c>
    </row>
    <row r="28" spans="1:27" x14ac:dyDescent="0.55000000000000004">
      <c r="A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8" s="316" t="s">
        <v>268</v>
      </c>
      <c r="C28" s="317" t="s">
        <v>269</v>
      </c>
      <c r="D28" s="317" t="s">
        <v>288</v>
      </c>
      <c r="E28" s="105" t="s">
        <v>289</v>
      </c>
      <c r="F28" s="100"/>
      <c r="G28" s="34"/>
      <c r="H28" s="34"/>
      <c r="I28" s="97">
        <v>25870.030094616061</v>
      </c>
      <c r="J28" s="97" t="s">
        <v>412</v>
      </c>
      <c r="K28" s="318">
        <v>0</v>
      </c>
      <c r="L28" s="319">
        <v>7810.8088363169554</v>
      </c>
      <c r="M28" s="319">
        <v>9979.4566480560989</v>
      </c>
      <c r="N28" s="319">
        <v>18946.094558254914</v>
      </c>
      <c r="O28" s="319">
        <v>14421.909777090057</v>
      </c>
      <c r="P28" s="319">
        <v>20696</v>
      </c>
      <c r="Q28" s="320">
        <v>25870.030094616064</v>
      </c>
      <c r="R28" s="340">
        <v>17246.68672974404</v>
      </c>
      <c r="S28" s="439">
        <v>25870.030094616064</v>
      </c>
      <c r="T28" s="326">
        <v>4</v>
      </c>
      <c r="U28" s="378">
        <v>2</v>
      </c>
      <c r="V28" s="439">
        <f>tblPiNAnalysis8[[#This Row],[Final PiN]]</f>
        <v>25870.030094616064</v>
      </c>
      <c r="W28" s="326"/>
      <c r="X28" s="440">
        <f>SUM(tblPiNAnalysis8[[#This Row],[Target (severity 4-5 ranking) 100%]:[Target (severity 3 ranking) 50%]])</f>
        <v>25870.030094616064</v>
      </c>
      <c r="Y28" s="354">
        <f>tblPiNAnalysis8[[#This Row],[Final PiN]]</f>
        <v>25870.030094616064</v>
      </c>
      <c r="Z28" s="326"/>
      <c r="AA28" s="326">
        <f>SUM(tblPiNAnalysis8[[#This Row],[Target (priotitised 1-2 ranking) 100%]:[Target (priotitised 3 ranking) 50%]])</f>
        <v>25870.030094616064</v>
      </c>
    </row>
    <row r="29" spans="1:27" x14ac:dyDescent="0.55000000000000004">
      <c r="A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9" s="316" t="s">
        <v>268</v>
      </c>
      <c r="C29" s="317" t="s">
        <v>269</v>
      </c>
      <c r="D29" s="317" t="s">
        <v>290</v>
      </c>
      <c r="E29" s="105" t="s">
        <v>291</v>
      </c>
      <c r="F29" s="100"/>
      <c r="G29" s="34"/>
      <c r="H29" s="34"/>
      <c r="I29" s="97">
        <v>23976.103995536083</v>
      </c>
      <c r="J29" s="97" t="s">
        <v>412</v>
      </c>
      <c r="K29" s="318">
        <v>3750</v>
      </c>
      <c r="L29" s="319">
        <v>5890.5930862472778</v>
      </c>
      <c r="M29" s="319">
        <v>12235.778897909482</v>
      </c>
      <c r="N29" s="319">
        <v>19540.244000728337</v>
      </c>
      <c r="O29" s="319">
        <v>11494.910930784306</v>
      </c>
      <c r="P29" s="319">
        <v>16783</v>
      </c>
      <c r="Q29" s="320">
        <v>23976.103995536083</v>
      </c>
      <c r="R29" s="340">
        <v>19980.086662946735</v>
      </c>
      <c r="S29" s="439">
        <v>23976.103995536083</v>
      </c>
      <c r="T29" s="326">
        <v>4</v>
      </c>
      <c r="U29" s="378">
        <v>2</v>
      </c>
      <c r="V29" s="439">
        <f>tblPiNAnalysis8[[#This Row],[Final PiN]]</f>
        <v>23976.103995536083</v>
      </c>
      <c r="W29" s="326"/>
      <c r="X29" s="440">
        <f>SUM(tblPiNAnalysis8[[#This Row],[Target (severity 4-5 ranking) 100%]:[Target (severity 3 ranking) 50%]])</f>
        <v>23976.103995536083</v>
      </c>
      <c r="Y29" s="354">
        <f>tblPiNAnalysis8[[#This Row],[Final PiN]]</f>
        <v>23976.103995536083</v>
      </c>
      <c r="Z29" s="326"/>
      <c r="AA29" s="326">
        <f>SUM(tblPiNAnalysis8[[#This Row],[Target (priotitised 1-2 ranking) 100%]:[Target (priotitised 3 ranking) 50%]])</f>
        <v>23976.103995536083</v>
      </c>
    </row>
    <row r="30" spans="1:27" x14ac:dyDescent="0.55000000000000004">
      <c r="A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0" s="316" t="s">
        <v>292</v>
      </c>
      <c r="C30" s="317" t="s">
        <v>293</v>
      </c>
      <c r="D30" s="317" t="s">
        <v>294</v>
      </c>
      <c r="E30" s="105" t="s">
        <v>295</v>
      </c>
      <c r="F30" s="100"/>
      <c r="G30" s="34"/>
      <c r="H30" s="34"/>
      <c r="I30" s="97">
        <v>48668.970941608946</v>
      </c>
      <c r="J30" s="97" t="s">
        <v>412</v>
      </c>
      <c r="K30" s="318">
        <v>27592.5</v>
      </c>
      <c r="L30" s="319">
        <v>18644.644746991911</v>
      </c>
      <c r="M30" s="319">
        <v>16670.82020771665</v>
      </c>
      <c r="N30" s="319">
        <v>31631.790952911062</v>
      </c>
      <c r="O30" s="319">
        <v>23801.97264963109</v>
      </c>
      <c r="P30" s="319">
        <v>9694</v>
      </c>
      <c r="Q30" s="320">
        <v>39461.327790493742</v>
      </c>
      <c r="R30" s="340">
        <v>36501.72820620671</v>
      </c>
      <c r="S30" s="439">
        <v>39461.327790493742</v>
      </c>
      <c r="T30" s="326">
        <v>3</v>
      </c>
      <c r="U30" s="378">
        <v>3</v>
      </c>
      <c r="V30" s="439"/>
      <c r="W30" s="326">
        <f>tblPiNAnalysis8[[#This Row],[Final PiN]]/2</f>
        <v>19730.663895246871</v>
      </c>
      <c r="X30" s="440">
        <f>SUM(tblPiNAnalysis8[[#This Row],[Target (severity 4-5 ranking) 100%]:[Target (severity 3 ranking) 50%]])</f>
        <v>19730.663895246871</v>
      </c>
      <c r="Y30" s="354"/>
      <c r="Z30" s="326">
        <f>tblPiNAnalysis8[[#This Row],[Final PiN]]/2</f>
        <v>19730.663895246871</v>
      </c>
      <c r="AA30" s="326">
        <f>SUM(tblPiNAnalysis8[[#This Row],[Target (priotitised 1-2 ranking) 100%]:[Target (priotitised 3 ranking) 50%]])</f>
        <v>19730.663895246871</v>
      </c>
    </row>
    <row r="31" spans="1:27" x14ac:dyDescent="0.55000000000000004">
      <c r="A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1" s="316" t="s">
        <v>292</v>
      </c>
      <c r="C31" s="317" t="s">
        <v>293</v>
      </c>
      <c r="D31" s="317" t="s">
        <v>296</v>
      </c>
      <c r="E31" s="105" t="s">
        <v>297</v>
      </c>
      <c r="F31" s="100"/>
      <c r="G31" s="34"/>
      <c r="H31" s="34"/>
      <c r="I31" s="97">
        <v>5443.7472474147844</v>
      </c>
      <c r="J31" s="97" t="s">
        <v>412</v>
      </c>
      <c r="K31" s="318">
        <v>0</v>
      </c>
      <c r="L31" s="319">
        <v>1524.9950226490353</v>
      </c>
      <c r="M31" s="319">
        <v>1761.9655989273585</v>
      </c>
      <c r="N31" s="319">
        <v>2820.6659228924295</v>
      </c>
      <c r="O31" s="319">
        <v>2281.8772120135632</v>
      </c>
      <c r="P31" s="319">
        <v>1089</v>
      </c>
      <c r="Q31" s="320">
        <v>2721.8736237073922</v>
      </c>
      <c r="R31" s="340">
        <v>3578.7597645041642</v>
      </c>
      <c r="S31" s="439">
        <v>3578.7597645041642</v>
      </c>
      <c r="T31" s="326">
        <v>3</v>
      </c>
      <c r="U31" s="378">
        <v>5</v>
      </c>
      <c r="V31" s="439"/>
      <c r="W31" s="326">
        <f>tblPiNAnalysis8[[#This Row],[Final PiN]]/2</f>
        <v>1789.3798822520821</v>
      </c>
      <c r="X31" s="440">
        <f>SUM(tblPiNAnalysis8[[#This Row],[Target (severity 4-5 ranking) 100%]:[Target (severity 3 ranking) 50%]])</f>
        <v>1789.3798822520821</v>
      </c>
      <c r="Y31" s="354"/>
      <c r="Z31" s="326"/>
      <c r="AA31" s="326">
        <f>SUM(tblPiNAnalysis8[[#This Row],[Target (priotitised 1-2 ranking) 100%]:[Target (priotitised 3 ranking) 50%]])</f>
        <v>0</v>
      </c>
    </row>
    <row r="32" spans="1:27" x14ac:dyDescent="0.55000000000000004">
      <c r="A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2" s="316" t="s">
        <v>292</v>
      </c>
      <c r="C32" s="317" t="s">
        <v>293</v>
      </c>
      <c r="D32" s="317" t="s">
        <v>298</v>
      </c>
      <c r="E32" s="105" t="s">
        <v>299</v>
      </c>
      <c r="F32" s="100"/>
      <c r="G32" s="34"/>
      <c r="H32" s="34"/>
      <c r="I32" s="97">
        <v>2921.2783873957369</v>
      </c>
      <c r="J32" s="97" t="s">
        <v>412</v>
      </c>
      <c r="K32" s="318">
        <v>0</v>
      </c>
      <c r="L32" s="319">
        <v>770.42874910787771</v>
      </c>
      <c r="M32" s="319">
        <v>936.82857757413524</v>
      </c>
      <c r="N32" s="319">
        <v>2086.7142353334721</v>
      </c>
      <c r="O32" s="319">
        <v>1464.6374692423374</v>
      </c>
      <c r="P32" s="319">
        <v>584</v>
      </c>
      <c r="Q32" s="320">
        <v>0</v>
      </c>
      <c r="R32" s="340">
        <v>1420.4381149722392</v>
      </c>
      <c r="S32" s="439">
        <v>2086.7142353334721</v>
      </c>
      <c r="T32" s="326">
        <v>3</v>
      </c>
      <c r="U32" s="378">
        <v>4</v>
      </c>
      <c r="V32" s="439"/>
      <c r="W32" s="326">
        <f>tblPiNAnalysis8[[#This Row],[Final PiN]]/2</f>
        <v>1043.357117666736</v>
      </c>
      <c r="X32" s="440">
        <f>SUM(tblPiNAnalysis8[[#This Row],[Target (severity 4-5 ranking) 100%]:[Target (severity 3 ranking) 50%]])</f>
        <v>1043.357117666736</v>
      </c>
      <c r="Y32" s="354"/>
      <c r="Z32" s="326"/>
      <c r="AA32" s="326">
        <f>SUM(tblPiNAnalysis8[[#This Row],[Target (priotitised 1-2 ranking) 100%]:[Target (priotitised 3 ranking) 50%]])</f>
        <v>0</v>
      </c>
    </row>
    <row r="33" spans="1:27" x14ac:dyDescent="0.55000000000000004">
      <c r="A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3" s="316" t="s">
        <v>292</v>
      </c>
      <c r="C33" s="317" t="s">
        <v>293</v>
      </c>
      <c r="D33" s="317" t="s">
        <v>300</v>
      </c>
      <c r="E33" s="105" t="s">
        <v>301</v>
      </c>
      <c r="F33" s="100"/>
      <c r="G33" s="34"/>
      <c r="H33" s="34"/>
      <c r="I33" s="97">
        <v>6808.1234044964567</v>
      </c>
      <c r="J33" s="97" t="s">
        <v>412</v>
      </c>
      <c r="K33" s="318">
        <v>1961.25</v>
      </c>
      <c r="L33" s="319">
        <v>974.6032897238814</v>
      </c>
      <c r="M33" s="319">
        <v>2225.9042651408727</v>
      </c>
      <c r="N33" s="319">
        <v>5229.8277387173584</v>
      </c>
      <c r="O33" s="319">
        <v>2473.1027379150541</v>
      </c>
      <c r="P33" s="319">
        <v>1362</v>
      </c>
      <c r="Q33" s="320">
        <v>6808.1234044964567</v>
      </c>
      <c r="R33" s="340">
        <v>3656.2144209332823</v>
      </c>
      <c r="S33" s="439">
        <v>6808.1234044964567</v>
      </c>
      <c r="T33" s="326">
        <v>3</v>
      </c>
      <c r="U33" s="378">
        <v>4</v>
      </c>
      <c r="V33" s="439"/>
      <c r="W33" s="326">
        <f>tblPiNAnalysis8[[#This Row],[Final PiN]]/2</f>
        <v>3404.0617022482284</v>
      </c>
      <c r="X33" s="440">
        <f>SUM(tblPiNAnalysis8[[#This Row],[Target (severity 4-5 ranking) 100%]:[Target (severity 3 ranking) 50%]])</f>
        <v>3404.0617022482284</v>
      </c>
      <c r="Y33" s="354"/>
      <c r="Z33" s="326"/>
      <c r="AA33" s="326">
        <f>SUM(tblPiNAnalysis8[[#This Row],[Target (priotitised 1-2 ranking) 100%]:[Target (priotitised 3 ranking) 50%]])</f>
        <v>0</v>
      </c>
    </row>
    <row r="34" spans="1:27" x14ac:dyDescent="0.55000000000000004">
      <c r="A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4" s="316" t="s">
        <v>292</v>
      </c>
      <c r="C34" s="317" t="s">
        <v>293</v>
      </c>
      <c r="D34" s="317" t="s">
        <v>302</v>
      </c>
      <c r="E34" s="105" t="s">
        <v>303</v>
      </c>
      <c r="F34" s="100"/>
      <c r="G34" s="34"/>
      <c r="H34" s="34"/>
      <c r="I34" s="97">
        <v>23157.383024277355</v>
      </c>
      <c r="J34" s="97" t="s">
        <v>412</v>
      </c>
      <c r="K34" s="318">
        <v>0</v>
      </c>
      <c r="L34" s="319">
        <v>6297.210323174766</v>
      </c>
      <c r="M34" s="319">
        <v>7424.7877396599824</v>
      </c>
      <c r="N34" s="319">
        <v>16423.63054500983</v>
      </c>
      <c r="O34" s="319">
        <v>12362.758698726082</v>
      </c>
      <c r="P34" s="319">
        <v>4385</v>
      </c>
      <c r="Q34" s="320">
        <v>16898.630855553747</v>
      </c>
      <c r="R34" s="340">
        <v>4288.4042637550656</v>
      </c>
      <c r="S34" s="439">
        <v>16898.630855553747</v>
      </c>
      <c r="T34" s="326">
        <v>3</v>
      </c>
      <c r="U34" s="378">
        <v>3</v>
      </c>
      <c r="V34" s="439"/>
      <c r="W34" s="326">
        <f>tblPiNAnalysis8[[#This Row],[Final PiN]]/2</f>
        <v>8449.3154277768735</v>
      </c>
      <c r="X34" s="440">
        <f>SUM(tblPiNAnalysis8[[#This Row],[Target (severity 4-5 ranking) 100%]:[Target (severity 3 ranking) 50%]])</f>
        <v>8449.3154277768735</v>
      </c>
      <c r="Y34" s="354"/>
      <c r="Z34" s="326">
        <f>tblPiNAnalysis8[[#This Row],[Final PiN]]/2</f>
        <v>8449.3154277768735</v>
      </c>
      <c r="AA34" s="326">
        <f>SUM(tblPiNAnalysis8[[#This Row],[Target (priotitised 1-2 ranking) 100%]:[Target (priotitised 3 ranking) 50%]])</f>
        <v>8449.3154277768735</v>
      </c>
    </row>
    <row r="35" spans="1:27" x14ac:dyDescent="0.55000000000000004">
      <c r="A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5" s="316" t="s">
        <v>292</v>
      </c>
      <c r="C35" s="317" t="s">
        <v>293</v>
      </c>
      <c r="D35" s="317" t="s">
        <v>304</v>
      </c>
      <c r="E35" s="105" t="s">
        <v>305</v>
      </c>
      <c r="F35" s="100"/>
      <c r="G35" s="34"/>
      <c r="H35" s="34"/>
      <c r="I35" s="97">
        <v>9602.9953236523688</v>
      </c>
      <c r="J35" s="97" t="s">
        <v>412</v>
      </c>
      <c r="K35" s="318">
        <v>0</v>
      </c>
      <c r="L35" s="319">
        <v>1474.8568307925018</v>
      </c>
      <c r="M35" s="319">
        <v>3392.5638313927398</v>
      </c>
      <c r="N35" s="319">
        <v>2414.8464910307239</v>
      </c>
      <c r="O35" s="319">
        <v>4727.5994284799453</v>
      </c>
      <c r="P35" s="319">
        <v>1921</v>
      </c>
      <c r="Q35" s="320">
        <v>8322.595947165386</v>
      </c>
      <c r="R35" s="340">
        <v>5334.9974020290929</v>
      </c>
      <c r="S35" s="439">
        <v>8322.595947165386</v>
      </c>
      <c r="T35" s="326">
        <v>3</v>
      </c>
      <c r="U35" s="378">
        <v>5</v>
      </c>
      <c r="V35" s="439"/>
      <c r="W35" s="326">
        <f>tblPiNAnalysis8[[#This Row],[Final PiN]]/2</f>
        <v>4161.297973582693</v>
      </c>
      <c r="X35" s="440">
        <f>SUM(tblPiNAnalysis8[[#This Row],[Target (severity 4-5 ranking) 100%]:[Target (severity 3 ranking) 50%]])</f>
        <v>4161.297973582693</v>
      </c>
      <c r="Y35" s="354"/>
      <c r="Z35" s="326"/>
      <c r="AA35" s="326">
        <f>SUM(tblPiNAnalysis8[[#This Row],[Target (priotitised 1-2 ranking) 100%]:[Target (priotitised 3 ranking) 50%]])</f>
        <v>0</v>
      </c>
    </row>
    <row r="36" spans="1:27" x14ac:dyDescent="0.55000000000000004">
      <c r="A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6" s="316" t="s">
        <v>292</v>
      </c>
      <c r="C36" s="317" t="s">
        <v>293</v>
      </c>
      <c r="D36" s="317" t="s">
        <v>306</v>
      </c>
      <c r="E36" s="105" t="s">
        <v>307</v>
      </c>
      <c r="F36" s="100"/>
      <c r="G36" s="34"/>
      <c r="H36" s="34"/>
      <c r="I36" s="97">
        <v>23378.692739825943</v>
      </c>
      <c r="J36" s="97" t="s">
        <v>412</v>
      </c>
      <c r="K36" s="318">
        <v>0</v>
      </c>
      <c r="L36" s="319">
        <v>3896.0591450919933</v>
      </c>
      <c r="M36" s="319">
        <v>7543.5561506952527</v>
      </c>
      <c r="N36" s="319">
        <v>17522.912022449935</v>
      </c>
      <c r="O36" s="319">
        <v>9003.6718509253769</v>
      </c>
      <c r="P36" s="319">
        <v>15391</v>
      </c>
      <c r="Q36" s="320">
        <v>21917.524443586823</v>
      </c>
      <c r="R36" s="340">
        <v>15585.795159883963</v>
      </c>
      <c r="S36" s="439">
        <v>21917.524443586823</v>
      </c>
      <c r="T36" s="326">
        <v>3</v>
      </c>
      <c r="U36" s="378">
        <v>3</v>
      </c>
      <c r="V36" s="439"/>
      <c r="W36" s="326">
        <f>tblPiNAnalysis8[[#This Row],[Final PiN]]/2</f>
        <v>10958.762221793411</v>
      </c>
      <c r="X36" s="440">
        <f>SUM(tblPiNAnalysis8[[#This Row],[Target (severity 4-5 ranking) 100%]:[Target (severity 3 ranking) 50%]])</f>
        <v>10958.762221793411</v>
      </c>
      <c r="Y36" s="354"/>
      <c r="Z36" s="326">
        <f>tblPiNAnalysis8[[#This Row],[Final PiN]]/2</f>
        <v>10958.762221793411</v>
      </c>
      <c r="AA36" s="326">
        <f>SUM(tblPiNAnalysis8[[#This Row],[Target (priotitised 1-2 ranking) 100%]:[Target (priotitised 3 ranking) 50%]])</f>
        <v>10958.762221793411</v>
      </c>
    </row>
    <row r="37" spans="1:27" x14ac:dyDescent="0.55000000000000004">
      <c r="A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7" s="316" t="s">
        <v>292</v>
      </c>
      <c r="C37" s="317" t="s">
        <v>293</v>
      </c>
      <c r="D37" s="317" t="s">
        <v>308</v>
      </c>
      <c r="E37" s="105" t="s">
        <v>309</v>
      </c>
      <c r="F37" s="100"/>
      <c r="G37" s="34"/>
      <c r="H37" s="34"/>
      <c r="I37" s="97">
        <v>11657.898587687116</v>
      </c>
      <c r="J37" s="97" t="s">
        <v>412</v>
      </c>
      <c r="K37" s="318">
        <v>0</v>
      </c>
      <c r="L37" s="319">
        <v>2415.563218963121</v>
      </c>
      <c r="M37" s="319">
        <v>3755.1502060352823</v>
      </c>
      <c r="N37" s="319">
        <v>7422.1695295511654</v>
      </c>
      <c r="O37" s="319">
        <v>4653.255551786312</v>
      </c>
      <c r="P37" s="319">
        <v>2079</v>
      </c>
      <c r="Q37" s="320">
        <v>10362.576522388546</v>
      </c>
      <c r="R37" s="340">
        <v>7556.0453809083147</v>
      </c>
      <c r="S37" s="439">
        <v>10362.576522388546</v>
      </c>
      <c r="T37" s="326">
        <v>3</v>
      </c>
      <c r="U37" s="378">
        <v>4</v>
      </c>
      <c r="V37" s="439"/>
      <c r="W37" s="326">
        <f>tblPiNAnalysis8[[#This Row],[Final PiN]]/2</f>
        <v>5181.2882611942732</v>
      </c>
      <c r="X37" s="440">
        <f>SUM(tblPiNAnalysis8[[#This Row],[Target (severity 4-5 ranking) 100%]:[Target (severity 3 ranking) 50%]])</f>
        <v>5181.2882611942732</v>
      </c>
      <c r="Y37" s="354"/>
      <c r="Z37" s="326"/>
      <c r="AA37" s="326">
        <f>SUM(tblPiNAnalysis8[[#This Row],[Target (priotitised 1-2 ranking) 100%]:[Target (priotitised 3 ranking) 50%]])</f>
        <v>0</v>
      </c>
    </row>
    <row r="38" spans="1:27" x14ac:dyDescent="0.55000000000000004">
      <c r="A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8" s="316" t="s">
        <v>310</v>
      </c>
      <c r="C38" s="317" t="s">
        <v>311</v>
      </c>
      <c r="D38" s="317" t="s">
        <v>312</v>
      </c>
      <c r="E38" s="105" t="s">
        <v>313</v>
      </c>
      <c r="F38" s="100"/>
      <c r="G38" s="34"/>
      <c r="H38" s="34"/>
      <c r="I38" s="97">
        <v>8794.7895188948787</v>
      </c>
      <c r="J38" s="97" t="s">
        <v>412</v>
      </c>
      <c r="K38" s="318">
        <v>0</v>
      </c>
      <c r="L38" s="319">
        <v>1526.1228870978489</v>
      </c>
      <c r="M38" s="319">
        <v>6096.439632573115</v>
      </c>
      <c r="N38" s="319">
        <v>5317.2943643502422</v>
      </c>
      <c r="O38" s="319">
        <v>7245.0982575978587</v>
      </c>
      <c r="P38" s="319">
        <v>6157</v>
      </c>
      <c r="Q38" s="320">
        <v>6156.3526632264156</v>
      </c>
      <c r="R38" s="340">
        <v>5753.6006198377709</v>
      </c>
      <c r="S38" s="439">
        <v>7245.0982575978587</v>
      </c>
      <c r="T38" s="326">
        <v>3</v>
      </c>
      <c r="U38" s="378">
        <v>4</v>
      </c>
      <c r="V38" s="439"/>
      <c r="W38" s="326">
        <f>tblPiNAnalysis8[[#This Row],[Final PiN]]/2</f>
        <v>3622.5491287989294</v>
      </c>
      <c r="X38" s="440">
        <f>SUM(tblPiNAnalysis8[[#This Row],[Target (severity 4-5 ranking) 100%]:[Target (severity 3 ranking) 50%]])</f>
        <v>3622.5491287989294</v>
      </c>
      <c r="Y38" s="354"/>
      <c r="Z38" s="326"/>
      <c r="AA38" s="326">
        <f>SUM(tblPiNAnalysis8[[#This Row],[Target (priotitised 1-2 ranking) 100%]:[Target (priotitised 3 ranking) 50%]])</f>
        <v>0</v>
      </c>
    </row>
    <row r="39" spans="1:27" x14ac:dyDescent="0.55000000000000004">
      <c r="A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9" s="316" t="s">
        <v>310</v>
      </c>
      <c r="C39" s="317" t="s">
        <v>311</v>
      </c>
      <c r="D39" s="317" t="s">
        <v>314</v>
      </c>
      <c r="E39" s="105" t="s">
        <v>315</v>
      </c>
      <c r="F39" s="100"/>
      <c r="G39" s="34"/>
      <c r="H39" s="34"/>
      <c r="I39" s="97">
        <v>56514.282244133567</v>
      </c>
      <c r="J39" s="97" t="s">
        <v>412</v>
      </c>
      <c r="K39" s="318">
        <v>31645</v>
      </c>
      <c r="L39" s="319">
        <v>20725.79920737167</v>
      </c>
      <c r="M39" s="319">
        <v>21802.567492248902</v>
      </c>
      <c r="N39" s="319">
        <v>43545.091047850299</v>
      </c>
      <c r="O39" s="319">
        <v>23873.32943540845</v>
      </c>
      <c r="P39" s="319">
        <v>39123</v>
      </c>
      <c r="Q39" s="320">
        <v>47590.974521375632</v>
      </c>
      <c r="R39" s="340">
        <v>23024.33721057294</v>
      </c>
      <c r="S39" s="439">
        <v>47590.974521375632</v>
      </c>
      <c r="T39" s="326">
        <v>4</v>
      </c>
      <c r="U39" s="378">
        <v>2</v>
      </c>
      <c r="V39" s="439">
        <f>tblPiNAnalysis8[[#This Row],[Final PiN]]</f>
        <v>47590.974521375632</v>
      </c>
      <c r="W39" s="326"/>
      <c r="X39" s="440">
        <f>SUM(tblPiNAnalysis8[[#This Row],[Target (severity 4-5 ranking) 100%]:[Target (severity 3 ranking) 50%]])</f>
        <v>47590.974521375632</v>
      </c>
      <c r="Y39" s="354">
        <f>tblPiNAnalysis8[[#This Row],[Final PiN]]</f>
        <v>47590.974521375632</v>
      </c>
      <c r="Z39" s="326"/>
      <c r="AA39" s="326">
        <f>SUM(tblPiNAnalysis8[[#This Row],[Target (priotitised 1-2 ranking) 100%]:[Target (priotitised 3 ranking) 50%]])</f>
        <v>47590.974521375632</v>
      </c>
    </row>
    <row r="40" spans="1:27" x14ac:dyDescent="0.55000000000000004">
      <c r="A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0" s="316" t="s">
        <v>310</v>
      </c>
      <c r="C40" s="317" t="s">
        <v>311</v>
      </c>
      <c r="D40" s="317" t="s">
        <v>316</v>
      </c>
      <c r="E40" s="105" t="s">
        <v>317</v>
      </c>
      <c r="F40" s="100"/>
      <c r="G40" s="34"/>
      <c r="H40" s="34"/>
      <c r="I40" s="97">
        <v>0</v>
      </c>
      <c r="J40" s="97" t="s">
        <v>412</v>
      </c>
      <c r="K40" s="318">
        <v>0</v>
      </c>
      <c r="L40" s="319">
        <v>0</v>
      </c>
      <c r="M40" s="319">
        <v>0</v>
      </c>
      <c r="N40" s="319">
        <v>0</v>
      </c>
      <c r="O40" s="319">
        <v>0</v>
      </c>
      <c r="P40" s="319">
        <v>0</v>
      </c>
      <c r="Q40" s="320">
        <v>0</v>
      </c>
      <c r="R40" s="340">
        <v>0</v>
      </c>
      <c r="S40" s="439">
        <v>0</v>
      </c>
      <c r="T40" s="326">
        <v>3</v>
      </c>
      <c r="U40" s="378">
        <v>2</v>
      </c>
      <c r="V40" s="439"/>
      <c r="W40" s="326">
        <f>tblPiNAnalysis8[[#This Row],[Final PiN]]/2</f>
        <v>0</v>
      </c>
      <c r="X40" s="440">
        <f>SUM(tblPiNAnalysis8[[#This Row],[Target (severity 4-5 ranking) 100%]:[Target (severity 3 ranking) 50%]])</f>
        <v>0</v>
      </c>
      <c r="Y40" s="354">
        <f>tblPiNAnalysis8[[#This Row],[Final PiN]]</f>
        <v>0</v>
      </c>
      <c r="Z40" s="326"/>
      <c r="AA40" s="326">
        <f>SUM(tblPiNAnalysis8[[#This Row],[Target (priotitised 1-2 ranking) 100%]:[Target (priotitised 3 ranking) 50%]])</f>
        <v>0</v>
      </c>
    </row>
    <row r="41" spans="1:27" x14ac:dyDescent="0.55000000000000004">
      <c r="A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1" s="316" t="s">
        <v>310</v>
      </c>
      <c r="C41" s="317" t="s">
        <v>311</v>
      </c>
      <c r="D41" s="317" t="s">
        <v>318</v>
      </c>
      <c r="E41" s="105" t="s">
        <v>319</v>
      </c>
      <c r="F41" s="100"/>
      <c r="G41" s="34"/>
      <c r="H41" s="34"/>
      <c r="I41" s="97">
        <v>8245.4682123487128</v>
      </c>
      <c r="J41" s="97" t="s">
        <v>412</v>
      </c>
      <c r="K41" s="318">
        <v>0</v>
      </c>
      <c r="L41" s="319">
        <v>1504.2826069903681</v>
      </c>
      <c r="M41" s="319">
        <v>3824.0659036693</v>
      </c>
      <c r="N41" s="319">
        <v>6262.5878943591415</v>
      </c>
      <c r="O41" s="319">
        <v>3888.5009814634523</v>
      </c>
      <c r="P41" s="319">
        <v>5772</v>
      </c>
      <c r="Q41" s="320">
        <v>6413.1419429378875</v>
      </c>
      <c r="R41" s="340">
        <v>4722.4045216178984</v>
      </c>
      <c r="S41" s="439">
        <v>6413.1419429378875</v>
      </c>
      <c r="T41" s="326">
        <v>3</v>
      </c>
      <c r="U41" s="378">
        <v>2</v>
      </c>
      <c r="V41" s="439"/>
      <c r="W41" s="326">
        <f>tblPiNAnalysis8[[#This Row],[Final PiN]]/2</f>
        <v>3206.5709714689438</v>
      </c>
      <c r="X41" s="440">
        <f>SUM(tblPiNAnalysis8[[#This Row],[Target (severity 4-5 ranking) 100%]:[Target (severity 3 ranking) 50%]])</f>
        <v>3206.5709714689438</v>
      </c>
      <c r="Y41" s="354">
        <f>tblPiNAnalysis8[[#This Row],[Final PiN]]</f>
        <v>6413.1419429378875</v>
      </c>
      <c r="Z41" s="326"/>
      <c r="AA41" s="326">
        <f>SUM(tblPiNAnalysis8[[#This Row],[Target (priotitised 1-2 ranking) 100%]:[Target (priotitised 3 ranking) 50%]])</f>
        <v>6413.1419429378875</v>
      </c>
    </row>
    <row r="42" spans="1:27" x14ac:dyDescent="0.55000000000000004">
      <c r="A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2" s="316" t="s">
        <v>310</v>
      </c>
      <c r="C42" s="317" t="s">
        <v>311</v>
      </c>
      <c r="D42" s="317" t="s">
        <v>320</v>
      </c>
      <c r="E42" s="105" t="s">
        <v>321</v>
      </c>
      <c r="F42" s="100"/>
      <c r="G42" s="34"/>
      <c r="H42" s="34"/>
      <c r="I42" s="97">
        <v>736.57326854984808</v>
      </c>
      <c r="J42" s="97" t="s">
        <v>412</v>
      </c>
      <c r="K42" s="318">
        <v>0</v>
      </c>
      <c r="L42" s="319">
        <v>115.4004071302418</v>
      </c>
      <c r="M42" s="319">
        <v>254.73760012449753</v>
      </c>
      <c r="N42" s="319">
        <v>498.34516109062099</v>
      </c>
      <c r="O42" s="319">
        <v>313.3875472339538</v>
      </c>
      <c r="P42" s="319">
        <v>469</v>
      </c>
      <c r="Q42" s="320">
        <v>633.7956031707995</v>
      </c>
      <c r="R42" s="340">
        <v>283.81722274397816</v>
      </c>
      <c r="S42" s="439">
        <v>633.7956031707995</v>
      </c>
      <c r="T42" s="326">
        <v>3</v>
      </c>
      <c r="U42" s="378">
        <v>3</v>
      </c>
      <c r="V42" s="439"/>
      <c r="W42" s="326">
        <f>tblPiNAnalysis8[[#This Row],[Final PiN]]/2</f>
        <v>316.89780158539975</v>
      </c>
      <c r="X42" s="440">
        <f>SUM(tblPiNAnalysis8[[#This Row],[Target (severity 4-5 ranking) 100%]:[Target (severity 3 ranking) 50%]])</f>
        <v>316.89780158539975</v>
      </c>
      <c r="Y42" s="354"/>
      <c r="Z42" s="326">
        <f>tblPiNAnalysis8[[#This Row],[Final PiN]]/2</f>
        <v>316.89780158539975</v>
      </c>
      <c r="AA42" s="326">
        <f>SUM(tblPiNAnalysis8[[#This Row],[Target (priotitised 1-2 ranking) 100%]:[Target (priotitised 3 ranking) 50%]])</f>
        <v>316.89780158539975</v>
      </c>
    </row>
    <row r="43" spans="1:27" x14ac:dyDescent="0.55000000000000004">
      <c r="A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3" s="316" t="s">
        <v>322</v>
      </c>
      <c r="C43" s="317" t="s">
        <v>323</v>
      </c>
      <c r="D43" s="317" t="s">
        <v>324</v>
      </c>
      <c r="E43" s="105" t="s">
        <v>325</v>
      </c>
      <c r="F43" s="100"/>
      <c r="G43" s="34"/>
      <c r="H43" s="34"/>
      <c r="I43" s="97">
        <v>8191.9832367247782</v>
      </c>
      <c r="J43" s="97" t="s">
        <v>412</v>
      </c>
      <c r="K43" s="318">
        <v>0</v>
      </c>
      <c r="L43" s="319">
        <v>652.26536606779484</v>
      </c>
      <c r="M43" s="319">
        <v>3213.6343218737725</v>
      </c>
      <c r="N43" s="319">
        <v>5106.1027347013696</v>
      </c>
      <c r="O43" s="319">
        <v>4152.3577038046233</v>
      </c>
      <c r="P43" s="319">
        <v>1638</v>
      </c>
      <c r="Q43" s="320">
        <v>8191.9832367247782</v>
      </c>
      <c r="R43" s="340">
        <v>2123.8475058175354</v>
      </c>
      <c r="S43" s="439">
        <v>8191.9832367247782</v>
      </c>
      <c r="T43" s="326">
        <v>3</v>
      </c>
      <c r="U43" s="378">
        <v>4</v>
      </c>
      <c r="V43" s="439"/>
      <c r="W43" s="326">
        <f>tblPiNAnalysis8[[#This Row],[Final PiN]]/2</f>
        <v>4095.9916183623891</v>
      </c>
      <c r="X43" s="440">
        <f>SUM(tblPiNAnalysis8[[#This Row],[Target (severity 4-5 ranking) 100%]:[Target (severity 3 ranking) 50%]])</f>
        <v>4095.9916183623891</v>
      </c>
      <c r="Y43" s="354"/>
      <c r="Z43" s="326"/>
      <c r="AA43" s="326">
        <f>SUM(tblPiNAnalysis8[[#This Row],[Target (priotitised 1-2 ranking) 100%]:[Target (priotitised 3 ranking) 50%]])</f>
        <v>0</v>
      </c>
    </row>
    <row r="44" spans="1:27" x14ac:dyDescent="0.55000000000000004">
      <c r="A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4" s="316" t="s">
        <v>322</v>
      </c>
      <c r="C44" s="317" t="s">
        <v>323</v>
      </c>
      <c r="D44" s="317" t="s">
        <v>326</v>
      </c>
      <c r="E44" s="105" t="s">
        <v>327</v>
      </c>
      <c r="F44" s="100"/>
      <c r="G44" s="34"/>
      <c r="H44" s="34"/>
      <c r="I44" s="97">
        <v>25939.727484978604</v>
      </c>
      <c r="J44" s="97" t="s">
        <v>412</v>
      </c>
      <c r="K44" s="318">
        <v>22557.5</v>
      </c>
      <c r="L44" s="319">
        <v>5909.7676997474728</v>
      </c>
      <c r="M44" s="319">
        <v>8966.1074964812524</v>
      </c>
      <c r="N44" s="319">
        <v>21363.392178563096</v>
      </c>
      <c r="O44" s="319">
        <v>13327.318954058459</v>
      </c>
      <c r="P44" s="319">
        <v>18094</v>
      </c>
      <c r="Q44" s="320">
        <v>22234.052129981661</v>
      </c>
      <c r="R44" s="340">
        <v>13450.229066285201</v>
      </c>
      <c r="S44" s="439">
        <v>22557.5</v>
      </c>
      <c r="T44" s="326">
        <v>3</v>
      </c>
      <c r="U44" s="378">
        <v>3</v>
      </c>
      <c r="V44" s="439"/>
      <c r="W44" s="326">
        <f>tblPiNAnalysis8[[#This Row],[Final PiN]]/2</f>
        <v>11278.75</v>
      </c>
      <c r="X44" s="440">
        <f>SUM(tblPiNAnalysis8[[#This Row],[Target (severity 4-5 ranking) 100%]:[Target (severity 3 ranking) 50%]])</f>
        <v>11278.75</v>
      </c>
      <c r="Y44" s="354"/>
      <c r="Z44" s="326">
        <f>tblPiNAnalysis8[[#This Row],[Final PiN]]/2</f>
        <v>11278.75</v>
      </c>
      <c r="AA44" s="326">
        <f>SUM(tblPiNAnalysis8[[#This Row],[Target (priotitised 1-2 ranking) 100%]:[Target (priotitised 3 ranking) 50%]])</f>
        <v>11278.75</v>
      </c>
    </row>
    <row r="45" spans="1:27" x14ac:dyDescent="0.55000000000000004">
      <c r="A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5" s="316" t="s">
        <v>322</v>
      </c>
      <c r="C45" s="317" t="s">
        <v>323</v>
      </c>
      <c r="D45" s="317" t="s">
        <v>328</v>
      </c>
      <c r="E45" s="105" t="s">
        <v>329</v>
      </c>
      <c r="F45" s="100"/>
      <c r="G45" s="34"/>
      <c r="H45" s="34"/>
      <c r="I45" s="97">
        <v>31198.282244133567</v>
      </c>
      <c r="J45" s="97" t="s">
        <v>412</v>
      </c>
      <c r="K45" s="318">
        <v>0</v>
      </c>
      <c r="L45" s="319">
        <v>7478.939574753982</v>
      </c>
      <c r="M45" s="319">
        <v>12005.797664351909</v>
      </c>
      <c r="N45" s="319">
        <v>25721.288553470346</v>
      </c>
      <c r="O45" s="319">
        <v>15994.252409673876</v>
      </c>
      <c r="P45" s="319">
        <v>20386</v>
      </c>
      <c r="Q45" s="320">
        <v>7799.5705610333916</v>
      </c>
      <c r="R45" s="340">
        <v>18776.743943228539</v>
      </c>
      <c r="S45" s="439">
        <v>25721.288553470346</v>
      </c>
      <c r="T45" s="326">
        <v>3</v>
      </c>
      <c r="U45" s="378">
        <v>3</v>
      </c>
      <c r="V45" s="439"/>
      <c r="W45" s="326">
        <f>tblPiNAnalysis8[[#This Row],[Final PiN]]/2</f>
        <v>12860.644276735173</v>
      </c>
      <c r="X45" s="440">
        <f>SUM(tblPiNAnalysis8[[#This Row],[Target (severity 4-5 ranking) 100%]:[Target (severity 3 ranking) 50%]])</f>
        <v>12860.644276735173</v>
      </c>
      <c r="Y45" s="354"/>
      <c r="Z45" s="326">
        <f>tblPiNAnalysis8[[#This Row],[Final PiN]]/2</f>
        <v>12860.644276735173</v>
      </c>
      <c r="AA45" s="326">
        <f>SUM(tblPiNAnalysis8[[#This Row],[Target (priotitised 1-2 ranking) 100%]:[Target (priotitised 3 ranking) 50%]])</f>
        <v>12860.644276735173</v>
      </c>
    </row>
    <row r="46" spans="1:27" x14ac:dyDescent="0.55000000000000004">
      <c r="A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6" s="316" t="s">
        <v>322</v>
      </c>
      <c r="C46" s="317" t="s">
        <v>323</v>
      </c>
      <c r="D46" s="317" t="s">
        <v>330</v>
      </c>
      <c r="E46" s="105" t="s">
        <v>331</v>
      </c>
      <c r="F46" s="100"/>
      <c r="G46" s="34"/>
      <c r="H46" s="34"/>
      <c r="I46" s="97">
        <v>44969.201203905293</v>
      </c>
      <c r="J46" s="97" t="s">
        <v>412</v>
      </c>
      <c r="K46" s="318">
        <v>25145</v>
      </c>
      <c r="L46" s="319">
        <v>8773.086432071088</v>
      </c>
      <c r="M46" s="319">
        <v>15288.695997555973</v>
      </c>
      <c r="N46" s="319">
        <v>32430.489674210403</v>
      </c>
      <c r="O46" s="319">
        <v>24942.84097150544</v>
      </c>
      <c r="P46" s="319">
        <v>31478</v>
      </c>
      <c r="Q46" s="320">
        <v>38545.029603347393</v>
      </c>
      <c r="R46" s="340">
        <v>16238.878212521355</v>
      </c>
      <c r="S46" s="439">
        <v>38545.029603347393</v>
      </c>
      <c r="T46" s="326">
        <v>3</v>
      </c>
      <c r="U46" s="378">
        <v>2</v>
      </c>
      <c r="V46" s="439"/>
      <c r="W46" s="326">
        <f>tblPiNAnalysis8[[#This Row],[Final PiN]]/2</f>
        <v>19272.514801673697</v>
      </c>
      <c r="X46" s="440">
        <f>SUM(tblPiNAnalysis8[[#This Row],[Target (severity 4-5 ranking) 100%]:[Target (severity 3 ranking) 50%]])</f>
        <v>19272.514801673697</v>
      </c>
      <c r="Y46" s="354">
        <f>tblPiNAnalysis8[[#This Row],[Final PiN]]</f>
        <v>38545.029603347393</v>
      </c>
      <c r="Z46" s="326"/>
      <c r="AA46" s="326">
        <f>SUM(tblPiNAnalysis8[[#This Row],[Target (priotitised 1-2 ranking) 100%]:[Target (priotitised 3 ranking) 50%]])</f>
        <v>38545.029603347393</v>
      </c>
    </row>
    <row r="47" spans="1:27" x14ac:dyDescent="0.55000000000000004">
      <c r="A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7" s="316" t="s">
        <v>322</v>
      </c>
      <c r="C47" s="317" t="s">
        <v>323</v>
      </c>
      <c r="D47" s="317" t="s">
        <v>332</v>
      </c>
      <c r="E47" s="105" t="s">
        <v>333</v>
      </c>
      <c r="F47" s="100"/>
      <c r="G47" s="34"/>
      <c r="H47" s="34"/>
      <c r="I47" s="97">
        <v>30389.775329136301</v>
      </c>
      <c r="J47" s="97" t="s">
        <v>412</v>
      </c>
      <c r="K47" s="318">
        <v>15678.75</v>
      </c>
      <c r="L47" s="319">
        <v>1377.7508543217234</v>
      </c>
      <c r="M47" s="319">
        <v>12808.60290556908</v>
      </c>
      <c r="N47" s="319">
        <v>22768.814394256126</v>
      </c>
      <c r="O47" s="319">
        <v>14585.685611122632</v>
      </c>
      <c r="P47" s="319">
        <v>21273</v>
      </c>
      <c r="Q47" s="320">
        <v>30389.775329136304</v>
      </c>
      <c r="R47" s="340">
        <v>12381.019578537012</v>
      </c>
      <c r="S47" s="439">
        <v>30389.775329136304</v>
      </c>
      <c r="T47" s="326">
        <v>4</v>
      </c>
      <c r="U47" s="378">
        <v>2</v>
      </c>
      <c r="V47" s="439">
        <f>tblPiNAnalysis8[[#This Row],[Final PiN]]</f>
        <v>30389.775329136304</v>
      </c>
      <c r="W47" s="326"/>
      <c r="X47" s="440">
        <f>SUM(tblPiNAnalysis8[[#This Row],[Target (severity 4-5 ranking) 100%]:[Target (severity 3 ranking) 50%]])</f>
        <v>30389.775329136304</v>
      </c>
      <c r="Y47" s="354">
        <f>tblPiNAnalysis8[[#This Row],[Final PiN]]</f>
        <v>30389.775329136304</v>
      </c>
      <c r="Z47" s="326"/>
      <c r="AA47" s="326">
        <f>SUM(tblPiNAnalysis8[[#This Row],[Target (priotitised 1-2 ranking) 100%]:[Target (priotitised 3 ranking) 50%]])</f>
        <v>30389.775329136304</v>
      </c>
    </row>
    <row r="48" spans="1:27" x14ac:dyDescent="0.55000000000000004">
      <c r="A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8" s="316" t="s">
        <v>322</v>
      </c>
      <c r="C48" s="317" t="s">
        <v>323</v>
      </c>
      <c r="D48" s="317" t="s">
        <v>334</v>
      </c>
      <c r="E48" s="105" t="s">
        <v>335</v>
      </c>
      <c r="F48" s="100"/>
      <c r="G48" s="34"/>
      <c r="H48" s="34"/>
      <c r="I48" s="97">
        <v>44141.695035855759</v>
      </c>
      <c r="J48" s="97" t="s">
        <v>412</v>
      </c>
      <c r="K48" s="318">
        <v>0</v>
      </c>
      <c r="L48" s="319">
        <v>13507.755956227185</v>
      </c>
      <c r="M48" s="319">
        <v>16137.025442343989</v>
      </c>
      <c r="N48" s="319">
        <v>29153.471897626488</v>
      </c>
      <c r="O48" s="319">
        <v>23834.92627879652</v>
      </c>
      <c r="P48" s="319">
        <v>30899</v>
      </c>
      <c r="Q48" s="320">
        <v>16815.883823183147</v>
      </c>
      <c r="R48" s="340">
        <v>18801.092330086714</v>
      </c>
      <c r="S48" s="439">
        <v>30899</v>
      </c>
      <c r="T48" s="326">
        <v>3</v>
      </c>
      <c r="U48" s="378">
        <v>3</v>
      </c>
      <c r="V48" s="439"/>
      <c r="W48" s="326">
        <f>tblPiNAnalysis8[[#This Row],[Final PiN]]/2</f>
        <v>15449.5</v>
      </c>
      <c r="X48" s="440">
        <f>SUM(tblPiNAnalysis8[[#This Row],[Target (severity 4-5 ranking) 100%]:[Target (severity 3 ranking) 50%]])</f>
        <v>15449.5</v>
      </c>
      <c r="Y48" s="354"/>
      <c r="Z48" s="326">
        <f>tblPiNAnalysis8[[#This Row],[Final PiN]]/2</f>
        <v>15449.5</v>
      </c>
      <c r="AA48" s="326">
        <f>SUM(tblPiNAnalysis8[[#This Row],[Target (priotitised 1-2 ranking) 100%]:[Target (priotitised 3 ranking) 50%]])</f>
        <v>15449.5</v>
      </c>
    </row>
    <row r="49" spans="1:27" x14ac:dyDescent="0.55000000000000004">
      <c r="A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9" s="316" t="s">
        <v>322</v>
      </c>
      <c r="C49" s="317" t="s">
        <v>323</v>
      </c>
      <c r="D49" s="317" t="s">
        <v>336</v>
      </c>
      <c r="E49" s="105" t="s">
        <v>337</v>
      </c>
      <c r="F49" s="100"/>
      <c r="G49" s="34"/>
      <c r="H49" s="34"/>
      <c r="I49" s="97">
        <v>63061.040191389133</v>
      </c>
      <c r="J49" s="97" t="s">
        <v>412</v>
      </c>
      <c r="K49" s="318">
        <v>34478.75</v>
      </c>
      <c r="L49" s="319">
        <v>12479.729405043756</v>
      </c>
      <c r="M49" s="319">
        <v>24607.146779216342</v>
      </c>
      <c r="N49" s="319">
        <v>46221.661749142266</v>
      </c>
      <c r="O49" s="319">
        <v>40518.916515767763</v>
      </c>
      <c r="P49" s="319">
        <v>43485</v>
      </c>
      <c r="Q49" s="320">
        <v>54052.320164047829</v>
      </c>
      <c r="R49" s="340">
        <v>33282.215656566485</v>
      </c>
      <c r="S49" s="439">
        <v>54052.320164047829</v>
      </c>
      <c r="T49" s="326">
        <v>4</v>
      </c>
      <c r="U49" s="378">
        <v>1</v>
      </c>
      <c r="V49" s="439">
        <f>tblPiNAnalysis8[[#This Row],[Final PiN]]</f>
        <v>54052.320164047829</v>
      </c>
      <c r="W49" s="326"/>
      <c r="X49" s="440">
        <f>SUM(tblPiNAnalysis8[[#This Row],[Target (severity 4-5 ranking) 100%]:[Target (severity 3 ranking) 50%]])</f>
        <v>54052.320164047829</v>
      </c>
      <c r="Y49" s="354">
        <f>tblPiNAnalysis8[[#This Row],[Final PiN]]</f>
        <v>54052.320164047829</v>
      </c>
      <c r="Z49" s="326"/>
      <c r="AA49" s="326">
        <f>SUM(tblPiNAnalysis8[[#This Row],[Target (priotitised 1-2 ranking) 100%]:[Target (priotitised 3 ranking) 50%]])</f>
        <v>54052.320164047829</v>
      </c>
    </row>
    <row r="50" spans="1:27" x14ac:dyDescent="0.55000000000000004">
      <c r="A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0" s="316" t="s">
        <v>322</v>
      </c>
      <c r="C50" s="317" t="s">
        <v>323</v>
      </c>
      <c r="D50" s="317" t="s">
        <v>338</v>
      </c>
      <c r="E50" s="105" t="s">
        <v>339</v>
      </c>
      <c r="F50" s="100"/>
      <c r="G50" s="34"/>
      <c r="H50" s="34"/>
      <c r="I50" s="97">
        <v>12256.01658411525</v>
      </c>
      <c r="J50" s="97" t="s">
        <v>412</v>
      </c>
      <c r="K50" s="318">
        <v>0</v>
      </c>
      <c r="L50" s="319">
        <v>1850.3643598033841</v>
      </c>
      <c r="M50" s="319">
        <v>4697.5558725250112</v>
      </c>
      <c r="N50" s="319">
        <v>7754.778001379178</v>
      </c>
      <c r="O50" s="319">
        <v>10954.255548004925</v>
      </c>
      <c r="P50" s="319">
        <v>2451</v>
      </c>
      <c r="Q50" s="320">
        <v>5252.5785360493928</v>
      </c>
      <c r="R50" s="340">
        <v>5172.2638795348767</v>
      </c>
      <c r="S50" s="439">
        <v>10954.255548004925</v>
      </c>
      <c r="T50" s="326">
        <v>3</v>
      </c>
      <c r="U50" s="378">
        <v>2</v>
      </c>
      <c r="V50" s="439"/>
      <c r="W50" s="326">
        <f>tblPiNAnalysis8[[#This Row],[Final PiN]]/2</f>
        <v>5477.1277740024625</v>
      </c>
      <c r="X50" s="440">
        <f>SUM(tblPiNAnalysis8[[#This Row],[Target (severity 4-5 ranking) 100%]:[Target (severity 3 ranking) 50%]])</f>
        <v>5477.1277740024625</v>
      </c>
      <c r="Y50" s="354">
        <f>tblPiNAnalysis8[[#This Row],[Final PiN]]</f>
        <v>10954.255548004925</v>
      </c>
      <c r="Z50" s="326"/>
      <c r="AA50" s="326">
        <f>SUM(tblPiNAnalysis8[[#This Row],[Target (priotitised 1-2 ranking) 100%]:[Target (priotitised 3 ranking) 50%]])</f>
        <v>10954.255548004925</v>
      </c>
    </row>
    <row r="51" spans="1:27" x14ac:dyDescent="0.55000000000000004">
      <c r="A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1" s="316" t="s">
        <v>322</v>
      </c>
      <c r="C51" s="317" t="s">
        <v>323</v>
      </c>
      <c r="D51" s="317" t="s">
        <v>340</v>
      </c>
      <c r="E51" s="105" t="s">
        <v>341</v>
      </c>
      <c r="F51" s="100"/>
      <c r="G51" s="34"/>
      <c r="H51" s="34"/>
      <c r="I51" s="97">
        <v>233351.6448103383</v>
      </c>
      <c r="J51" s="97" t="s">
        <v>412</v>
      </c>
      <c r="K51" s="318">
        <v>233351.6448103383</v>
      </c>
      <c r="L51" s="319">
        <v>64255.662244645791</v>
      </c>
      <c r="M51" s="319">
        <v>74302.744858180435</v>
      </c>
      <c r="N51" s="319">
        <v>193493.98589746177</v>
      </c>
      <c r="O51" s="319">
        <v>147561.08000448596</v>
      </c>
      <c r="P51" s="319">
        <v>162104</v>
      </c>
      <c r="Q51" s="320">
        <v>143193.05476998031</v>
      </c>
      <c r="R51" s="340">
        <v>110193.83227154864</v>
      </c>
      <c r="S51" s="439">
        <v>233351.6448103383</v>
      </c>
      <c r="T51" s="326">
        <v>4</v>
      </c>
      <c r="U51" s="378">
        <v>1</v>
      </c>
      <c r="V51" s="439">
        <f>tblPiNAnalysis8[[#This Row],[Final PiN]]</f>
        <v>233351.6448103383</v>
      </c>
      <c r="W51" s="326"/>
      <c r="X51" s="440">
        <f>SUM(tblPiNAnalysis8[[#This Row],[Target (severity 4-5 ranking) 100%]:[Target (severity 3 ranking) 50%]])</f>
        <v>233351.6448103383</v>
      </c>
      <c r="Y51" s="354">
        <f>tblPiNAnalysis8[[#This Row],[Final PiN]]</f>
        <v>233351.6448103383</v>
      </c>
      <c r="Z51" s="326"/>
      <c r="AA51" s="326">
        <f>SUM(tblPiNAnalysis8[[#This Row],[Target (priotitised 1-2 ranking) 100%]:[Target (priotitised 3 ranking) 50%]])</f>
        <v>233351.6448103383</v>
      </c>
    </row>
    <row r="52" spans="1:27" x14ac:dyDescent="0.55000000000000004">
      <c r="A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2" s="316" t="s">
        <v>342</v>
      </c>
      <c r="C52" s="317" t="s">
        <v>343</v>
      </c>
      <c r="D52" s="317" t="s">
        <v>344</v>
      </c>
      <c r="E52" s="105" t="s">
        <v>345</v>
      </c>
      <c r="F52" s="100"/>
      <c r="G52" s="34"/>
      <c r="H52" s="34"/>
      <c r="I52" s="97">
        <v>6074.719927136859</v>
      </c>
      <c r="J52" s="97" t="s">
        <v>412</v>
      </c>
      <c r="K52" s="318">
        <v>740</v>
      </c>
      <c r="L52" s="319">
        <v>486.8037560810393</v>
      </c>
      <c r="M52" s="319">
        <v>3347.4854039009592</v>
      </c>
      <c r="N52" s="319">
        <v>4897.2706090857473</v>
      </c>
      <c r="O52" s="319">
        <v>3001.1641404185989</v>
      </c>
      <c r="P52" s="319">
        <v>1215</v>
      </c>
      <c r="Q52" s="320">
        <v>3037.3599635684295</v>
      </c>
      <c r="R52" s="340">
        <v>5455.9984530766233</v>
      </c>
      <c r="S52" s="439">
        <v>5455.9984530766233</v>
      </c>
      <c r="T52" s="326">
        <v>4</v>
      </c>
      <c r="U52" s="378">
        <v>2</v>
      </c>
      <c r="V52" s="439">
        <f>tblPiNAnalysis8[[#This Row],[Final PiN]]</f>
        <v>5455.9984530766233</v>
      </c>
      <c r="W52" s="326"/>
      <c r="X52" s="440">
        <f>SUM(tblPiNAnalysis8[[#This Row],[Target (severity 4-5 ranking) 100%]:[Target (severity 3 ranking) 50%]])</f>
        <v>5455.9984530766233</v>
      </c>
      <c r="Y52" s="354">
        <f>tblPiNAnalysis8[[#This Row],[Final PiN]]</f>
        <v>5455.9984530766233</v>
      </c>
      <c r="Z52" s="326"/>
      <c r="AA52" s="326">
        <f>SUM(tblPiNAnalysis8[[#This Row],[Target (priotitised 1-2 ranking) 100%]:[Target (priotitised 3 ranking) 50%]])</f>
        <v>5455.9984530766233</v>
      </c>
    </row>
    <row r="53" spans="1:27" x14ac:dyDescent="0.55000000000000004">
      <c r="A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3" s="316" t="s">
        <v>342</v>
      </c>
      <c r="C53" s="317" t="s">
        <v>343</v>
      </c>
      <c r="D53" s="317" t="s">
        <v>346</v>
      </c>
      <c r="E53" s="105" t="s">
        <v>347</v>
      </c>
      <c r="F53" s="100"/>
      <c r="G53" s="34"/>
      <c r="H53" s="34"/>
      <c r="I53" s="97">
        <v>30713.015967447398</v>
      </c>
      <c r="J53" s="97" t="s">
        <v>412</v>
      </c>
      <c r="K53" s="318">
        <v>19468.75</v>
      </c>
      <c r="L53" s="319">
        <v>10474.612669666001</v>
      </c>
      <c r="M53" s="319">
        <v>9891.9663615882655</v>
      </c>
      <c r="N53" s="319">
        <v>21266.865942258526</v>
      </c>
      <c r="O53" s="319">
        <v>13521.010083917387</v>
      </c>
      <c r="P53" s="319">
        <v>24497</v>
      </c>
      <c r="Q53" s="320">
        <v>24570.41277395792</v>
      </c>
      <c r="R53" s="340">
        <v>29304.162023986508</v>
      </c>
      <c r="S53" s="439">
        <v>29304.162023986508</v>
      </c>
      <c r="T53" s="326">
        <v>4</v>
      </c>
      <c r="U53" s="378">
        <v>1</v>
      </c>
      <c r="V53" s="439">
        <f>tblPiNAnalysis8[[#This Row],[Final PiN]]</f>
        <v>29304.162023986508</v>
      </c>
      <c r="W53" s="326"/>
      <c r="X53" s="440">
        <f>SUM(tblPiNAnalysis8[[#This Row],[Target (severity 4-5 ranking) 100%]:[Target (severity 3 ranking) 50%]])</f>
        <v>29304.162023986508</v>
      </c>
      <c r="Y53" s="354">
        <f>tblPiNAnalysis8[[#This Row],[Final PiN]]</f>
        <v>29304.162023986508</v>
      </c>
      <c r="Z53" s="326"/>
      <c r="AA53" s="326">
        <f>SUM(tblPiNAnalysis8[[#This Row],[Target (priotitised 1-2 ranking) 100%]:[Target (priotitised 3 ranking) 50%]])</f>
        <v>29304.162023986508</v>
      </c>
    </row>
    <row r="54" spans="1:27" x14ac:dyDescent="0.55000000000000004">
      <c r="A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4" s="316" t="s">
        <v>342</v>
      </c>
      <c r="C54" s="317" t="s">
        <v>343</v>
      </c>
      <c r="D54" s="317" t="s">
        <v>348</v>
      </c>
      <c r="E54" s="105" t="s">
        <v>349</v>
      </c>
      <c r="F54" s="100"/>
      <c r="G54" s="34"/>
      <c r="H54" s="34"/>
      <c r="I54" s="97">
        <v>4270.8268474169781</v>
      </c>
      <c r="J54" s="97" t="s">
        <v>412</v>
      </c>
      <c r="K54" s="318">
        <v>0</v>
      </c>
      <c r="L54" s="319">
        <v>1471.4770882493167</v>
      </c>
      <c r="M54" s="319">
        <v>1455.4663953559398</v>
      </c>
      <c r="N54" s="319">
        <v>3884.6441218386626</v>
      </c>
      <c r="O54" s="319">
        <v>1854.771206867475</v>
      </c>
      <c r="P54" s="319">
        <v>3417</v>
      </c>
      <c r="Q54" s="320">
        <v>4270.8268474169781</v>
      </c>
      <c r="R54" s="340">
        <v>1449.7302142608091</v>
      </c>
      <c r="S54" s="439">
        <v>4270.8268474169781</v>
      </c>
      <c r="T54" s="326">
        <v>4</v>
      </c>
      <c r="U54" s="378">
        <v>2</v>
      </c>
      <c r="V54" s="439">
        <f>tblPiNAnalysis8[[#This Row],[Final PiN]]</f>
        <v>4270.8268474169781</v>
      </c>
      <c r="W54" s="326"/>
      <c r="X54" s="440">
        <f>SUM(tblPiNAnalysis8[[#This Row],[Target (severity 4-5 ranking) 100%]:[Target (severity 3 ranking) 50%]])</f>
        <v>4270.8268474169781</v>
      </c>
      <c r="Y54" s="354">
        <f>tblPiNAnalysis8[[#This Row],[Final PiN]]</f>
        <v>4270.8268474169781</v>
      </c>
      <c r="Z54" s="326"/>
      <c r="AA54" s="326">
        <f>SUM(tblPiNAnalysis8[[#This Row],[Target (priotitised 1-2 ranking) 100%]:[Target (priotitised 3 ranking) 50%]])</f>
        <v>4270.8268474169781</v>
      </c>
    </row>
    <row r="55" spans="1:27" x14ac:dyDescent="0.55000000000000004">
      <c r="A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5" s="316" t="s">
        <v>342</v>
      </c>
      <c r="C55" s="317" t="s">
        <v>343</v>
      </c>
      <c r="D55" s="317" t="s">
        <v>350</v>
      </c>
      <c r="E55" s="105" t="s">
        <v>351</v>
      </c>
      <c r="F55" s="100"/>
      <c r="G55" s="34"/>
      <c r="H55" s="34"/>
      <c r="I55" s="97">
        <v>17587.64076058444</v>
      </c>
      <c r="J55" s="97" t="s">
        <v>412</v>
      </c>
      <c r="K55" s="318">
        <v>15476.25</v>
      </c>
      <c r="L55" s="319">
        <v>0</v>
      </c>
      <c r="M55" s="319">
        <v>6587.4605130774107</v>
      </c>
      <c r="N55" s="319">
        <v>15813.857369323312</v>
      </c>
      <c r="O55" s="319">
        <v>10860.326796665742</v>
      </c>
      <c r="P55" s="319">
        <v>14010</v>
      </c>
      <c r="Q55" s="320">
        <v>10992.275475365275</v>
      </c>
      <c r="R55" s="340">
        <v>13190.730570438327</v>
      </c>
      <c r="S55" s="439">
        <v>15813.857369323312</v>
      </c>
      <c r="T55" s="326">
        <v>5</v>
      </c>
      <c r="U55" s="378">
        <v>1</v>
      </c>
      <c r="V55" s="439">
        <f>tblPiNAnalysis8[[#This Row],[Final PiN]]</f>
        <v>15813.857369323312</v>
      </c>
      <c r="W55" s="326"/>
      <c r="X55" s="440">
        <f>SUM(tblPiNAnalysis8[[#This Row],[Target (severity 4-5 ranking) 100%]:[Target (severity 3 ranking) 50%]])</f>
        <v>15813.857369323312</v>
      </c>
      <c r="Y55" s="354">
        <f>tblPiNAnalysis8[[#This Row],[Final PiN]]</f>
        <v>15813.857369323312</v>
      </c>
      <c r="Z55" s="326"/>
      <c r="AA55" s="326">
        <f>SUM(tblPiNAnalysis8[[#This Row],[Target (priotitised 1-2 ranking) 100%]:[Target (priotitised 3 ranking) 50%]])</f>
        <v>15813.857369323312</v>
      </c>
    </row>
    <row r="56" spans="1:27" x14ac:dyDescent="0.55000000000000004">
      <c r="A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6" s="316" t="s">
        <v>342</v>
      </c>
      <c r="C56" s="317" t="s">
        <v>343</v>
      </c>
      <c r="D56" s="317" t="s">
        <v>352</v>
      </c>
      <c r="E56" s="105" t="s">
        <v>353</v>
      </c>
      <c r="F56" s="100"/>
      <c r="G56" s="34"/>
      <c r="H56" s="34"/>
      <c r="I56" s="97">
        <v>10736.997624544605</v>
      </c>
      <c r="J56" s="97" t="s">
        <v>412</v>
      </c>
      <c r="K56" s="318">
        <v>7217.5</v>
      </c>
      <c r="L56" s="319">
        <v>3698.0957753325883</v>
      </c>
      <c r="M56" s="319">
        <v>3331.5582463381697</v>
      </c>
      <c r="N56" s="319">
        <v>6994.220324453735</v>
      </c>
      <c r="O56" s="319">
        <v>6107.5659290461826</v>
      </c>
      <c r="P56" s="319">
        <v>7487</v>
      </c>
      <c r="Q56" s="320">
        <v>10736.997624544605</v>
      </c>
      <c r="R56" s="340">
        <v>5368.4988122723025</v>
      </c>
      <c r="S56" s="439">
        <v>10736.997624544605</v>
      </c>
      <c r="T56" s="326">
        <v>4</v>
      </c>
      <c r="U56" s="378">
        <v>1</v>
      </c>
      <c r="V56" s="439">
        <f>tblPiNAnalysis8[[#This Row],[Final PiN]]</f>
        <v>10736.997624544605</v>
      </c>
      <c r="W56" s="326"/>
      <c r="X56" s="440">
        <f>SUM(tblPiNAnalysis8[[#This Row],[Target (severity 4-5 ranking) 100%]:[Target (severity 3 ranking) 50%]])</f>
        <v>10736.997624544605</v>
      </c>
      <c r="Y56" s="354">
        <f>tblPiNAnalysis8[[#This Row],[Final PiN]]</f>
        <v>10736.997624544605</v>
      </c>
      <c r="Z56" s="326"/>
      <c r="AA56" s="326">
        <f>SUM(tblPiNAnalysis8[[#This Row],[Target (priotitised 1-2 ranking) 100%]:[Target (priotitised 3 ranking) 50%]])</f>
        <v>10736.997624544605</v>
      </c>
    </row>
    <row r="57" spans="1:27" x14ac:dyDescent="0.55000000000000004">
      <c r="A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7" s="316" t="s">
        <v>342</v>
      </c>
      <c r="C57" s="317" t="s">
        <v>343</v>
      </c>
      <c r="D57" s="317" t="s">
        <v>354</v>
      </c>
      <c r="E57" s="105" t="s">
        <v>355</v>
      </c>
      <c r="F57" s="100"/>
      <c r="G57" s="34"/>
      <c r="H57" s="34"/>
      <c r="I57" s="97">
        <v>541.05925656197849</v>
      </c>
      <c r="J57" s="97" t="s">
        <v>412</v>
      </c>
      <c r="K57" s="318">
        <v>0</v>
      </c>
      <c r="L57" s="319">
        <v>101.68949018639236</v>
      </c>
      <c r="M57" s="319">
        <v>172.35776823736074</v>
      </c>
      <c r="N57" s="319">
        <v>323.57340367304914</v>
      </c>
      <c r="O57" s="319">
        <v>237.26650978335931</v>
      </c>
      <c r="P57" s="319">
        <v>379</v>
      </c>
      <c r="Q57" s="320">
        <v>0</v>
      </c>
      <c r="R57" s="340">
        <v>435.8532900082605</v>
      </c>
      <c r="S57" s="439">
        <v>435.8532900082605</v>
      </c>
      <c r="T57" s="326">
        <v>3</v>
      </c>
      <c r="U57" s="378">
        <v>4</v>
      </c>
      <c r="V57" s="439"/>
      <c r="W57" s="326">
        <f>tblPiNAnalysis8[[#This Row],[Final PiN]]/2</f>
        <v>217.92664500413025</v>
      </c>
      <c r="X57" s="440">
        <f>SUM(tblPiNAnalysis8[[#This Row],[Target (severity 4-5 ranking) 100%]:[Target (severity 3 ranking) 50%]])</f>
        <v>217.92664500413025</v>
      </c>
      <c r="Y57" s="354"/>
      <c r="Z57" s="326"/>
      <c r="AA57" s="326">
        <f>SUM(tblPiNAnalysis8[[#This Row],[Target (priotitised 1-2 ranking) 100%]:[Target (priotitised 3 ranking) 50%]])</f>
        <v>0</v>
      </c>
    </row>
    <row r="58" spans="1:27" x14ac:dyDescent="0.55000000000000004">
      <c r="A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8" s="316" t="s">
        <v>342</v>
      </c>
      <c r="C58" s="317" t="s">
        <v>343</v>
      </c>
      <c r="D58" s="317" t="s">
        <v>356</v>
      </c>
      <c r="E58" s="105" t="s">
        <v>357</v>
      </c>
      <c r="F58" s="100"/>
      <c r="G58" s="34"/>
      <c r="H58" s="34"/>
      <c r="I58" s="97">
        <v>107560.86765914821</v>
      </c>
      <c r="J58" s="97" t="s">
        <v>412</v>
      </c>
      <c r="K58" s="318">
        <v>74185</v>
      </c>
      <c r="L58" s="319">
        <v>3013.7694631152058</v>
      </c>
      <c r="M58" s="319">
        <v>39329.93079403638</v>
      </c>
      <c r="N58" s="319">
        <v>87059.249524592815</v>
      </c>
      <c r="O58" s="319">
        <v>72678.61042533537</v>
      </c>
      <c r="P58" s="319">
        <v>75082</v>
      </c>
      <c r="Q58" s="320">
        <v>85703.579043920239</v>
      </c>
      <c r="R58" s="340">
        <v>85273.480666712072</v>
      </c>
      <c r="S58" s="439">
        <v>87059.249524592815</v>
      </c>
      <c r="T58" s="326">
        <v>4</v>
      </c>
      <c r="U58" s="378">
        <v>1</v>
      </c>
      <c r="V58" s="439">
        <f>tblPiNAnalysis8[[#This Row],[Final PiN]]</f>
        <v>87059.249524592815</v>
      </c>
      <c r="W58" s="326"/>
      <c r="X58" s="440">
        <f>SUM(tblPiNAnalysis8[[#This Row],[Target (severity 4-5 ranking) 100%]:[Target (severity 3 ranking) 50%]])</f>
        <v>87059.249524592815</v>
      </c>
      <c r="Y58" s="354">
        <f>tblPiNAnalysis8[[#This Row],[Final PiN]]</f>
        <v>87059.249524592815</v>
      </c>
      <c r="Z58" s="326"/>
      <c r="AA58" s="326">
        <f>SUM(tblPiNAnalysis8[[#This Row],[Target (priotitised 1-2 ranking) 100%]:[Target (priotitised 3 ranking) 50%]])</f>
        <v>87059.249524592815</v>
      </c>
    </row>
    <row r="59" spans="1:27" x14ac:dyDescent="0.55000000000000004">
      <c r="A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9" s="316" t="s">
        <v>342</v>
      </c>
      <c r="C59" s="317" t="s">
        <v>343</v>
      </c>
      <c r="D59" s="317" t="s">
        <v>358</v>
      </c>
      <c r="E59" s="105" t="s">
        <v>359</v>
      </c>
      <c r="F59" s="100"/>
      <c r="G59" s="34"/>
      <c r="H59" s="34"/>
      <c r="I59" s="97">
        <v>19743.531183340554</v>
      </c>
      <c r="J59" s="97" t="s">
        <v>412</v>
      </c>
      <c r="K59" s="318">
        <v>0</v>
      </c>
      <c r="L59" s="319">
        <v>2123.7721623295765</v>
      </c>
      <c r="M59" s="319">
        <v>7457.1688528865989</v>
      </c>
      <c r="N59" s="319">
        <v>13885.140815532421</v>
      </c>
      <c r="O59" s="319">
        <v>9737.7592085402703</v>
      </c>
      <c r="P59" s="319">
        <v>13821</v>
      </c>
      <c r="Q59" s="320">
        <v>11957.349871600618</v>
      </c>
      <c r="R59" s="340">
        <v>16635.753126703614</v>
      </c>
      <c r="S59" s="439">
        <v>16635.753126703614</v>
      </c>
      <c r="T59" s="326">
        <v>3</v>
      </c>
      <c r="U59" s="378">
        <v>3</v>
      </c>
      <c r="V59" s="439"/>
      <c r="W59" s="326">
        <f>tblPiNAnalysis8[[#This Row],[Final PiN]]/2</f>
        <v>8317.8765633518069</v>
      </c>
      <c r="X59" s="440">
        <f>SUM(tblPiNAnalysis8[[#This Row],[Target (severity 4-5 ranking) 100%]:[Target (severity 3 ranking) 50%]])</f>
        <v>8317.8765633518069</v>
      </c>
      <c r="Y59" s="354"/>
      <c r="Z59" s="326">
        <f>tblPiNAnalysis8[[#This Row],[Final PiN]]/2</f>
        <v>8317.8765633518069</v>
      </c>
      <c r="AA59" s="326">
        <f>SUM(tblPiNAnalysis8[[#This Row],[Target (priotitised 1-2 ranking) 100%]:[Target (priotitised 3 ranking) 50%]])</f>
        <v>8317.8765633518069</v>
      </c>
    </row>
    <row r="60" spans="1:27" x14ac:dyDescent="0.55000000000000004">
      <c r="A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0" s="316" t="s">
        <v>342</v>
      </c>
      <c r="C60" s="317" t="s">
        <v>343</v>
      </c>
      <c r="D60" s="317" t="s">
        <v>360</v>
      </c>
      <c r="E60" s="105" t="s">
        <v>361</v>
      </c>
      <c r="F60" s="100"/>
      <c r="G60" s="34"/>
      <c r="H60" s="34"/>
      <c r="I60" s="97">
        <v>33846.254411291047</v>
      </c>
      <c r="J60" s="97" t="s">
        <v>412</v>
      </c>
      <c r="K60" s="318">
        <v>27668.75</v>
      </c>
      <c r="L60" s="319">
        <v>7214.4408204062447</v>
      </c>
      <c r="M60" s="319">
        <v>12061.434048358844</v>
      </c>
      <c r="N60" s="319">
        <v>22661.952052378263</v>
      </c>
      <c r="O60" s="319">
        <v>16478.699802361254</v>
      </c>
      <c r="P60" s="319">
        <v>21793</v>
      </c>
      <c r="Q60" s="320">
        <v>0</v>
      </c>
      <c r="R60" s="340">
        <v>3133.912445489912</v>
      </c>
      <c r="S60" s="439">
        <v>27668.75</v>
      </c>
      <c r="T60" s="326">
        <v>3</v>
      </c>
      <c r="U60" s="378">
        <v>4</v>
      </c>
      <c r="V60" s="439"/>
      <c r="W60" s="326">
        <f>tblPiNAnalysis8[[#This Row],[Final PiN]]/2</f>
        <v>13834.375</v>
      </c>
      <c r="X60" s="440">
        <f>SUM(tblPiNAnalysis8[[#This Row],[Target (severity 4-5 ranking) 100%]:[Target (severity 3 ranking) 50%]])</f>
        <v>13834.375</v>
      </c>
      <c r="Y60" s="354"/>
      <c r="Z60" s="326"/>
      <c r="AA60" s="326">
        <f>SUM(tblPiNAnalysis8[[#This Row],[Target (priotitised 1-2 ranking) 100%]:[Target (priotitised 3 ranking) 50%]])</f>
        <v>0</v>
      </c>
    </row>
    <row r="61" spans="1:27" x14ac:dyDescent="0.55000000000000004">
      <c r="A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1" s="316" t="s">
        <v>342</v>
      </c>
      <c r="C61" s="317" t="s">
        <v>343</v>
      </c>
      <c r="D61" s="317" t="s">
        <v>362</v>
      </c>
      <c r="E61" s="105" t="s">
        <v>363</v>
      </c>
      <c r="F61" s="100"/>
      <c r="G61" s="34"/>
      <c r="H61" s="34"/>
      <c r="I61" s="97">
        <v>17038.14092740557</v>
      </c>
      <c r="J61" s="97" t="s">
        <v>412</v>
      </c>
      <c r="K61" s="318">
        <v>2480</v>
      </c>
      <c r="L61" s="319">
        <v>1409.2553047593842</v>
      </c>
      <c r="M61" s="319">
        <v>8248.3502247827291</v>
      </c>
      <c r="N61" s="319">
        <v>14303.487592208576</v>
      </c>
      <c r="O61" s="319">
        <v>10357.715611792308</v>
      </c>
      <c r="P61" s="319">
        <v>13630</v>
      </c>
      <c r="Q61" s="320">
        <v>14074.985983508948</v>
      </c>
      <c r="R61" s="340">
        <v>16263.67997615986</v>
      </c>
      <c r="S61" s="439">
        <v>16263.67997615986</v>
      </c>
      <c r="T61" s="326">
        <v>4</v>
      </c>
      <c r="U61" s="378">
        <v>2</v>
      </c>
      <c r="V61" s="439">
        <f>tblPiNAnalysis8[[#This Row],[Final PiN]]</f>
        <v>16263.67997615986</v>
      </c>
      <c r="W61" s="326"/>
      <c r="X61" s="440">
        <f>SUM(tblPiNAnalysis8[[#This Row],[Target (severity 4-5 ranking) 100%]:[Target (severity 3 ranking) 50%]])</f>
        <v>16263.67997615986</v>
      </c>
      <c r="Y61" s="354">
        <f>tblPiNAnalysis8[[#This Row],[Final PiN]]</f>
        <v>16263.67997615986</v>
      </c>
      <c r="Z61" s="326"/>
      <c r="AA61" s="326">
        <f>SUM(tblPiNAnalysis8[[#This Row],[Target (priotitised 1-2 ranking) 100%]:[Target (priotitised 3 ranking) 50%]])</f>
        <v>16263.67997615986</v>
      </c>
    </row>
    <row r="62" spans="1:27" x14ac:dyDescent="0.55000000000000004">
      <c r="A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2" s="316" t="s">
        <v>342</v>
      </c>
      <c r="C62" s="317" t="s">
        <v>343</v>
      </c>
      <c r="D62" s="317" t="s">
        <v>364</v>
      </c>
      <c r="E62" s="105" t="s">
        <v>365</v>
      </c>
      <c r="F62" s="100"/>
      <c r="G62" s="34"/>
      <c r="H62" s="34"/>
      <c r="I62" s="97">
        <v>119449.90934019189</v>
      </c>
      <c r="J62" s="97" t="s">
        <v>412</v>
      </c>
      <c r="K62" s="318">
        <v>14442.5</v>
      </c>
      <c r="L62" s="319">
        <v>21877.250895656147</v>
      </c>
      <c r="M62" s="319">
        <v>35482.086558697258</v>
      </c>
      <c r="N62" s="319">
        <v>79879.706711881663</v>
      </c>
      <c r="O62" s="319">
        <v>50475.166102858719</v>
      </c>
      <c r="P62" s="319">
        <v>83615</v>
      </c>
      <c r="Q62" s="320">
        <v>39816.636446730634</v>
      </c>
      <c r="R62" s="340">
        <v>57512.919311944243</v>
      </c>
      <c r="S62" s="439">
        <v>83615</v>
      </c>
      <c r="T62" s="326">
        <v>4</v>
      </c>
      <c r="U62" s="378">
        <v>1</v>
      </c>
      <c r="V62" s="439">
        <f>tblPiNAnalysis8[[#This Row],[Final PiN]]</f>
        <v>83615</v>
      </c>
      <c r="W62" s="326"/>
      <c r="X62" s="440">
        <f>SUM(tblPiNAnalysis8[[#This Row],[Target (severity 4-5 ranking) 100%]:[Target (severity 3 ranking) 50%]])</f>
        <v>83615</v>
      </c>
      <c r="Y62" s="354">
        <f>tblPiNAnalysis8[[#This Row],[Final PiN]]</f>
        <v>83615</v>
      </c>
      <c r="Z62" s="326"/>
      <c r="AA62" s="326">
        <f>SUM(tblPiNAnalysis8[[#This Row],[Target (priotitised 1-2 ranking) 100%]:[Target (priotitised 3 ranking) 50%]])</f>
        <v>83615</v>
      </c>
    </row>
    <row r="63" spans="1:27" x14ac:dyDescent="0.55000000000000004">
      <c r="A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3" s="316" t="s">
        <v>342</v>
      </c>
      <c r="C63" s="317" t="s">
        <v>343</v>
      </c>
      <c r="D63" s="317" t="s">
        <v>366</v>
      </c>
      <c r="E63" s="105" t="s">
        <v>367</v>
      </c>
      <c r="F63" s="100"/>
      <c r="G63" s="34"/>
      <c r="H63" s="34"/>
      <c r="I63" s="97">
        <v>18966</v>
      </c>
      <c r="J63" s="97" t="s">
        <v>412</v>
      </c>
      <c r="K63" s="318">
        <v>18966</v>
      </c>
      <c r="L63" s="319">
        <v>6161.2947599999998</v>
      </c>
      <c r="M63" s="319">
        <v>6832.5707043785615</v>
      </c>
      <c r="N63" s="319">
        <v>16512.268942576724</v>
      </c>
      <c r="O63" s="319">
        <v>12227.112267970875</v>
      </c>
      <c r="P63" s="319">
        <v>15173</v>
      </c>
      <c r="Q63" s="320">
        <v>12644</v>
      </c>
      <c r="R63" s="340">
        <v>14224.500000000002</v>
      </c>
      <c r="S63" s="439">
        <v>18966</v>
      </c>
      <c r="T63" s="326">
        <v>5</v>
      </c>
      <c r="U63" s="378">
        <v>1</v>
      </c>
      <c r="V63" s="439">
        <f>tblPiNAnalysis8[[#This Row],[Final PiN]]</f>
        <v>18966</v>
      </c>
      <c r="W63" s="326"/>
      <c r="X63" s="440">
        <f>SUM(tblPiNAnalysis8[[#This Row],[Target (severity 4-5 ranking) 100%]:[Target (severity 3 ranking) 50%]])</f>
        <v>18966</v>
      </c>
      <c r="Y63" s="354">
        <f>tblPiNAnalysis8[[#This Row],[Final PiN]]</f>
        <v>18966</v>
      </c>
      <c r="Z63" s="326"/>
      <c r="AA63" s="326">
        <f>SUM(tblPiNAnalysis8[[#This Row],[Target (priotitised 1-2 ranking) 100%]:[Target (priotitised 3 ranking) 50%]])</f>
        <v>18966</v>
      </c>
    </row>
    <row r="64" spans="1:27" x14ac:dyDescent="0.55000000000000004">
      <c r="A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4" s="316" t="s">
        <v>368</v>
      </c>
      <c r="C64" s="317" t="s">
        <v>369</v>
      </c>
      <c r="D64" s="317" t="s">
        <v>370</v>
      </c>
      <c r="E64" s="105" t="s">
        <v>371</v>
      </c>
      <c r="F64" s="100"/>
      <c r="G64" s="34"/>
      <c r="H64" s="34"/>
      <c r="I64" s="97">
        <v>18326.432795999659</v>
      </c>
      <c r="J64" s="97" t="s">
        <v>412</v>
      </c>
      <c r="K64" s="318">
        <v>0</v>
      </c>
      <c r="L64" s="319">
        <v>6898.0693044142718</v>
      </c>
      <c r="M64" s="319">
        <v>6544.1632097958354</v>
      </c>
      <c r="N64" s="319">
        <v>10733.781411342512</v>
      </c>
      <c r="O64" s="319">
        <v>8819.012139698023</v>
      </c>
      <c r="P64" s="319">
        <v>12072</v>
      </c>
      <c r="Q64" s="320">
        <v>14399.340053999733</v>
      </c>
      <c r="R64" s="340">
        <v>6108.8109319998857</v>
      </c>
      <c r="S64" s="439">
        <v>14399.340053999733</v>
      </c>
      <c r="T64" s="326">
        <v>3</v>
      </c>
      <c r="U64" s="378">
        <v>3</v>
      </c>
      <c r="V64" s="439"/>
      <c r="W64" s="326">
        <f>tblPiNAnalysis8[[#This Row],[Final PiN]]/2</f>
        <v>7199.6700269998664</v>
      </c>
      <c r="X64" s="440">
        <f>SUM(tblPiNAnalysis8[[#This Row],[Target (severity 4-5 ranking) 100%]:[Target (severity 3 ranking) 50%]])</f>
        <v>7199.6700269998664</v>
      </c>
      <c r="Y64" s="354"/>
      <c r="Z64" s="326">
        <f>tblPiNAnalysis8[[#This Row],[Final PiN]]/2</f>
        <v>7199.6700269998664</v>
      </c>
      <c r="AA64" s="326">
        <f>SUM(tblPiNAnalysis8[[#This Row],[Target (priotitised 1-2 ranking) 100%]:[Target (priotitised 3 ranking) 50%]])</f>
        <v>7199.6700269998664</v>
      </c>
    </row>
    <row r="65" spans="1:27" x14ac:dyDescent="0.55000000000000004">
      <c r="A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5" s="316" t="s">
        <v>368</v>
      </c>
      <c r="C65" s="317" t="s">
        <v>369</v>
      </c>
      <c r="D65" s="317" t="s">
        <v>372</v>
      </c>
      <c r="E65" s="105" t="s">
        <v>373</v>
      </c>
      <c r="F65" s="100"/>
      <c r="G65" s="34"/>
      <c r="H65" s="34"/>
      <c r="I65" s="97">
        <v>24686.538616861621</v>
      </c>
      <c r="J65" s="97" t="s">
        <v>412</v>
      </c>
      <c r="K65" s="318">
        <v>2611.25</v>
      </c>
      <c r="L65" s="319">
        <v>5617.8884378467201</v>
      </c>
      <c r="M65" s="319">
        <v>8915.6976319139521</v>
      </c>
      <c r="N65" s="319">
        <v>13123.758275597456</v>
      </c>
      <c r="O65" s="319">
        <v>12514.74824793882</v>
      </c>
      <c r="P65" s="319">
        <v>17195</v>
      </c>
      <c r="Q65" s="320">
        <v>15709.615483457397</v>
      </c>
      <c r="R65" s="340">
        <v>12343.26930843081</v>
      </c>
      <c r="S65" s="439">
        <v>17195</v>
      </c>
      <c r="T65" s="326">
        <v>3</v>
      </c>
      <c r="U65" s="378">
        <v>3</v>
      </c>
      <c r="V65" s="439"/>
      <c r="W65" s="326">
        <f>tblPiNAnalysis8[[#This Row],[Final PiN]]/2</f>
        <v>8597.5</v>
      </c>
      <c r="X65" s="440">
        <f>SUM(tblPiNAnalysis8[[#This Row],[Target (severity 4-5 ranking) 100%]:[Target (severity 3 ranking) 50%]])</f>
        <v>8597.5</v>
      </c>
      <c r="Y65" s="354"/>
      <c r="Z65" s="326">
        <f>tblPiNAnalysis8[[#This Row],[Final PiN]]/2</f>
        <v>8597.5</v>
      </c>
      <c r="AA65" s="326">
        <f>SUM(tblPiNAnalysis8[[#This Row],[Target (priotitised 1-2 ranking) 100%]:[Target (priotitised 3 ranking) 50%]])</f>
        <v>8597.5</v>
      </c>
    </row>
    <row r="66" spans="1:27" x14ac:dyDescent="0.55000000000000004">
      <c r="A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6" s="316" t="s">
        <v>368</v>
      </c>
      <c r="C66" s="317" t="s">
        <v>369</v>
      </c>
      <c r="D66" s="317" t="s">
        <v>374</v>
      </c>
      <c r="E66" s="105" t="s">
        <v>375</v>
      </c>
      <c r="F66" s="100"/>
      <c r="G66" s="34"/>
      <c r="H66" s="34"/>
      <c r="I66" s="97">
        <v>23538.621025019514</v>
      </c>
      <c r="J66" s="97" t="s">
        <v>412</v>
      </c>
      <c r="K66" s="318">
        <v>240</v>
      </c>
      <c r="L66" s="319">
        <v>7700.4762670911396</v>
      </c>
      <c r="M66" s="319">
        <v>10047.548765193676</v>
      </c>
      <c r="N66" s="319">
        <v>17357.362182742232</v>
      </c>
      <c r="O66" s="319">
        <v>10068.816557931883</v>
      </c>
      <c r="P66" s="319">
        <v>18831</v>
      </c>
      <c r="Q66" s="320">
        <v>23538.621025019514</v>
      </c>
      <c r="R66" s="340">
        <v>11551.360317833653</v>
      </c>
      <c r="S66" s="439">
        <v>23538.621025019514</v>
      </c>
      <c r="T66" s="326">
        <v>4</v>
      </c>
      <c r="U66" s="378">
        <v>2</v>
      </c>
      <c r="V66" s="439">
        <f>tblPiNAnalysis8[[#This Row],[Final PiN]]</f>
        <v>23538.621025019514</v>
      </c>
      <c r="W66" s="326"/>
      <c r="X66" s="440">
        <f>SUM(tblPiNAnalysis8[[#This Row],[Target (severity 4-5 ranking) 100%]:[Target (severity 3 ranking) 50%]])</f>
        <v>23538.621025019514</v>
      </c>
      <c r="Y66" s="354">
        <f>tblPiNAnalysis8[[#This Row],[Final PiN]]</f>
        <v>23538.621025019514</v>
      </c>
      <c r="Z66" s="326"/>
      <c r="AA66" s="326">
        <f>SUM(tblPiNAnalysis8[[#This Row],[Target (priotitised 1-2 ranking) 100%]:[Target (priotitised 3 ranking) 50%]])</f>
        <v>23538.621025019514</v>
      </c>
    </row>
    <row r="67" spans="1:27" x14ac:dyDescent="0.55000000000000004">
      <c r="A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7" s="316" t="s">
        <v>368</v>
      </c>
      <c r="C67" s="317" t="s">
        <v>369</v>
      </c>
      <c r="D67" s="317" t="s">
        <v>376</v>
      </c>
      <c r="E67" s="105" t="s">
        <v>377</v>
      </c>
      <c r="F67" s="100"/>
      <c r="G67" s="34"/>
      <c r="H67" s="34"/>
      <c r="I67" s="97">
        <v>35756.212335130236</v>
      </c>
      <c r="J67" s="97" t="s">
        <v>412</v>
      </c>
      <c r="K67" s="318">
        <v>0</v>
      </c>
      <c r="L67" s="319">
        <v>9480.6166758104409</v>
      </c>
      <c r="M67" s="319">
        <v>13420.801446190691</v>
      </c>
      <c r="N67" s="319">
        <v>22205.011671083026</v>
      </c>
      <c r="O67" s="319">
        <v>16120.24674715752</v>
      </c>
      <c r="P67" s="319">
        <v>25029</v>
      </c>
      <c r="Q67" s="320">
        <v>17878.106167565114</v>
      </c>
      <c r="R67" s="340">
        <v>21519.942609106154</v>
      </c>
      <c r="S67" s="439">
        <v>25029</v>
      </c>
      <c r="T67" s="326">
        <v>3</v>
      </c>
      <c r="U67" s="378">
        <v>3</v>
      </c>
      <c r="V67" s="439"/>
      <c r="W67" s="326">
        <f>tblPiNAnalysis8[[#This Row],[Final PiN]]/2</f>
        <v>12514.5</v>
      </c>
      <c r="X67" s="440">
        <f>SUM(tblPiNAnalysis8[[#This Row],[Target (severity 4-5 ranking) 100%]:[Target (severity 3 ranking) 50%]])</f>
        <v>12514.5</v>
      </c>
      <c r="Y67" s="354"/>
      <c r="Z67" s="326">
        <f>tblPiNAnalysis8[[#This Row],[Final PiN]]/2</f>
        <v>12514.5</v>
      </c>
      <c r="AA67" s="326">
        <f>SUM(tblPiNAnalysis8[[#This Row],[Target (priotitised 1-2 ranking) 100%]:[Target (priotitised 3 ranking) 50%]])</f>
        <v>12514.5</v>
      </c>
    </row>
    <row r="68" spans="1:27" x14ac:dyDescent="0.55000000000000004">
      <c r="A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8" s="316" t="s">
        <v>368</v>
      </c>
      <c r="C68" s="317" t="s">
        <v>369</v>
      </c>
      <c r="D68" s="317" t="s">
        <v>378</v>
      </c>
      <c r="E68" s="105" t="s">
        <v>379</v>
      </c>
      <c r="F68" s="100"/>
      <c r="G68" s="34"/>
      <c r="H68" s="34"/>
      <c r="I68" s="97">
        <v>7457.5791677040434</v>
      </c>
      <c r="J68" s="97" t="s">
        <v>412</v>
      </c>
      <c r="K68" s="318">
        <v>0</v>
      </c>
      <c r="L68" s="319">
        <v>1158.2925523798729</v>
      </c>
      <c r="M68" s="319">
        <v>3325.3650088040599</v>
      </c>
      <c r="N68" s="319">
        <v>4228.2661319429981</v>
      </c>
      <c r="O68" s="319">
        <v>4251.9555195741968</v>
      </c>
      <c r="P68" s="319">
        <v>5221</v>
      </c>
      <c r="Q68" s="320">
        <v>4971.7194451360283</v>
      </c>
      <c r="R68" s="340">
        <v>5731.2876936984776</v>
      </c>
      <c r="S68" s="439">
        <v>5731.2876936984776</v>
      </c>
      <c r="T68" s="326">
        <v>3</v>
      </c>
      <c r="U68" s="378">
        <v>4</v>
      </c>
      <c r="V68" s="439"/>
      <c r="W68" s="326">
        <f>tblPiNAnalysis8[[#This Row],[Final PiN]]/2</f>
        <v>2865.6438468492388</v>
      </c>
      <c r="X68" s="440">
        <f>SUM(tblPiNAnalysis8[[#This Row],[Target (severity 4-5 ranking) 100%]:[Target (severity 3 ranking) 50%]])</f>
        <v>2865.6438468492388</v>
      </c>
      <c r="Y68" s="354"/>
      <c r="Z68" s="326"/>
      <c r="AA68" s="326">
        <f>SUM(tblPiNAnalysis8[[#This Row],[Target (priotitised 1-2 ranking) 100%]:[Target (priotitised 3 ranking) 50%]])</f>
        <v>0</v>
      </c>
    </row>
    <row r="69" spans="1:27" x14ac:dyDescent="0.55000000000000004">
      <c r="A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9" s="316" t="s">
        <v>368</v>
      </c>
      <c r="C69" s="317" t="s">
        <v>369</v>
      </c>
      <c r="D69" s="317" t="s">
        <v>380</v>
      </c>
      <c r="E69" s="105" t="s">
        <v>381</v>
      </c>
      <c r="F69" s="100"/>
      <c r="G69" s="34"/>
      <c r="H69" s="34"/>
      <c r="I69" s="97">
        <v>150879.3340223525</v>
      </c>
      <c r="J69" s="97" t="s">
        <v>412</v>
      </c>
      <c r="K69" s="318">
        <v>84325</v>
      </c>
      <c r="L69" s="319">
        <v>18528.283976612929</v>
      </c>
      <c r="M69" s="319">
        <v>62421.428794820094</v>
      </c>
      <c r="N69" s="319">
        <v>88035.172558781574</v>
      </c>
      <c r="O69" s="319">
        <v>91148.735693234499</v>
      </c>
      <c r="P69" s="319">
        <v>116376</v>
      </c>
      <c r="Q69" s="320">
        <v>85279.623577851424</v>
      </c>
      <c r="R69" s="340">
        <v>68454.512658289575</v>
      </c>
      <c r="S69" s="439">
        <v>116376</v>
      </c>
      <c r="T69" s="326">
        <v>4</v>
      </c>
      <c r="U69" s="378">
        <v>1</v>
      </c>
      <c r="V69" s="439">
        <f>tblPiNAnalysis8[[#This Row],[Final PiN]]</f>
        <v>116376</v>
      </c>
      <c r="W69" s="326"/>
      <c r="X69" s="440">
        <f>SUM(tblPiNAnalysis8[[#This Row],[Target (severity 4-5 ranking) 100%]:[Target (severity 3 ranking) 50%]])</f>
        <v>116376</v>
      </c>
      <c r="Y69" s="354">
        <f>tblPiNAnalysis8[[#This Row],[Final PiN]]</f>
        <v>116376</v>
      </c>
      <c r="Z69" s="326"/>
      <c r="AA69" s="326">
        <f>SUM(tblPiNAnalysis8[[#This Row],[Target (priotitised 1-2 ranking) 100%]:[Target (priotitised 3 ranking) 50%]])</f>
        <v>116376</v>
      </c>
    </row>
    <row r="70" spans="1:27" x14ac:dyDescent="0.55000000000000004">
      <c r="A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0" s="316" t="s">
        <v>382</v>
      </c>
      <c r="C70" s="317" t="s">
        <v>383</v>
      </c>
      <c r="D70" s="317" t="s">
        <v>384</v>
      </c>
      <c r="E70" s="105" t="s">
        <v>385</v>
      </c>
      <c r="F70" s="100"/>
      <c r="G70" s="34"/>
      <c r="H70" s="34"/>
      <c r="I70" s="97">
        <v>47398.331065600592</v>
      </c>
      <c r="J70" s="97" t="s">
        <v>412</v>
      </c>
      <c r="K70" s="318">
        <v>29770</v>
      </c>
      <c r="L70" s="319">
        <v>9690.8068186849396</v>
      </c>
      <c r="M70" s="319">
        <v>14544.814203475513</v>
      </c>
      <c r="N70" s="319">
        <v>14505.466379567835</v>
      </c>
      <c r="O70" s="319">
        <v>24636.291496195918</v>
      </c>
      <c r="P70" s="319">
        <v>33053</v>
      </c>
      <c r="Q70" s="320">
        <v>22751.198911488282</v>
      </c>
      <c r="R70" s="340">
        <v>33793.25455603005</v>
      </c>
      <c r="S70" s="439">
        <v>33793.25455603005</v>
      </c>
      <c r="T70" s="326">
        <v>3</v>
      </c>
      <c r="U70" s="378">
        <v>4</v>
      </c>
      <c r="V70" s="439"/>
      <c r="W70" s="326">
        <f>tblPiNAnalysis8[[#This Row],[Final PiN]]/2</f>
        <v>16896.627278015025</v>
      </c>
      <c r="X70" s="440">
        <f>SUM(tblPiNAnalysis8[[#This Row],[Target (severity 4-5 ranking) 100%]:[Target (severity 3 ranking) 50%]])</f>
        <v>16896.627278015025</v>
      </c>
      <c r="Y70" s="354"/>
      <c r="Z70" s="326"/>
      <c r="AA70" s="326">
        <f>SUM(tblPiNAnalysis8[[#This Row],[Target (priotitised 1-2 ranking) 100%]:[Target (priotitised 3 ranking) 50%]])</f>
        <v>0</v>
      </c>
    </row>
    <row r="71" spans="1:27" x14ac:dyDescent="0.55000000000000004">
      <c r="A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1" s="316" t="s">
        <v>382</v>
      </c>
      <c r="C71" s="317" t="s">
        <v>383</v>
      </c>
      <c r="D71" s="317" t="s">
        <v>386</v>
      </c>
      <c r="E71" s="105" t="s">
        <v>387</v>
      </c>
      <c r="F71" s="100"/>
      <c r="G71" s="34"/>
      <c r="H71" s="34"/>
      <c r="I71" s="97">
        <v>7607.0241213008612</v>
      </c>
      <c r="J71" s="97" t="s">
        <v>412</v>
      </c>
      <c r="K71" s="318">
        <v>5708.75</v>
      </c>
      <c r="L71" s="319">
        <v>2002.2181943831749</v>
      </c>
      <c r="M71" s="319">
        <v>2396.4767092317202</v>
      </c>
      <c r="N71" s="319">
        <v>3957.0969391456388</v>
      </c>
      <c r="O71" s="319">
        <v>3945.0872702433403</v>
      </c>
      <c r="P71" s="319">
        <v>5112</v>
      </c>
      <c r="Q71" s="320">
        <v>6684.9605914462118</v>
      </c>
      <c r="R71" s="340">
        <v>1972.1914388557791</v>
      </c>
      <c r="S71" s="439">
        <v>6684.9605914462118</v>
      </c>
      <c r="T71" s="326">
        <v>3</v>
      </c>
      <c r="U71" s="378">
        <v>3</v>
      </c>
      <c r="V71" s="439"/>
      <c r="W71" s="326">
        <f>tblPiNAnalysis8[[#This Row],[Final PiN]]/2</f>
        <v>3342.4802957231059</v>
      </c>
      <c r="X71" s="440">
        <f>SUM(tblPiNAnalysis8[[#This Row],[Target (severity 4-5 ranking) 100%]:[Target (severity 3 ranking) 50%]])</f>
        <v>3342.4802957231059</v>
      </c>
      <c r="Y71" s="354"/>
      <c r="Z71" s="326">
        <f>tblPiNAnalysis8[[#This Row],[Final PiN]]/2</f>
        <v>3342.4802957231059</v>
      </c>
      <c r="AA71" s="326">
        <f>SUM(tblPiNAnalysis8[[#This Row],[Target (priotitised 1-2 ranking) 100%]:[Target (priotitised 3 ranking) 50%]])</f>
        <v>3342.4802957231059</v>
      </c>
    </row>
    <row r="72" spans="1:27" x14ac:dyDescent="0.55000000000000004">
      <c r="A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2" s="316" t="s">
        <v>382</v>
      </c>
      <c r="C72" s="317" t="s">
        <v>383</v>
      </c>
      <c r="D72" s="317" t="s">
        <v>388</v>
      </c>
      <c r="E72" s="105" t="s">
        <v>389</v>
      </c>
      <c r="F72" s="100"/>
      <c r="G72" s="34"/>
      <c r="H72" s="34"/>
      <c r="I72" s="97">
        <v>17868.652727011824</v>
      </c>
      <c r="J72" s="97" t="s">
        <v>412</v>
      </c>
      <c r="K72" s="318">
        <v>12495</v>
      </c>
      <c r="L72" s="319">
        <v>2435.5974311469831</v>
      </c>
      <c r="M72" s="319">
        <v>5600.7481603773604</v>
      </c>
      <c r="N72" s="319">
        <v>8857.7260476905867</v>
      </c>
      <c r="O72" s="319">
        <v>8138.121867898999</v>
      </c>
      <c r="P72" s="319">
        <v>12461</v>
      </c>
      <c r="Q72" s="320">
        <v>11809.741744864135</v>
      </c>
      <c r="R72" s="340">
        <v>7776.1729460144043</v>
      </c>
      <c r="S72" s="439">
        <v>12495</v>
      </c>
      <c r="T72" s="326">
        <v>3</v>
      </c>
      <c r="U72" s="378">
        <v>4</v>
      </c>
      <c r="V72" s="439"/>
      <c r="W72" s="326">
        <f>tblPiNAnalysis8[[#This Row],[Final PiN]]/2</f>
        <v>6247.5</v>
      </c>
      <c r="X72" s="440">
        <f>SUM(tblPiNAnalysis8[[#This Row],[Target (severity 4-5 ranking) 100%]:[Target (severity 3 ranking) 50%]])</f>
        <v>6247.5</v>
      </c>
      <c r="Y72" s="354"/>
      <c r="Z72" s="326"/>
      <c r="AA72" s="326">
        <f>SUM(tblPiNAnalysis8[[#This Row],[Target (priotitised 1-2 ranking) 100%]:[Target (priotitised 3 ranking) 50%]])</f>
        <v>0</v>
      </c>
    </row>
    <row r="73" spans="1:27" x14ac:dyDescent="0.55000000000000004">
      <c r="A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3" s="316" t="s">
        <v>390</v>
      </c>
      <c r="C73" s="317" t="s">
        <v>391</v>
      </c>
      <c r="D73" s="317" t="s">
        <v>392</v>
      </c>
      <c r="E73" s="105" t="s">
        <v>393</v>
      </c>
      <c r="F73" s="100"/>
      <c r="G73" s="34"/>
      <c r="H73" s="34"/>
      <c r="I73" s="97">
        <v>41205.344743342968</v>
      </c>
      <c r="J73" s="97" t="s">
        <v>412</v>
      </c>
      <c r="K73" s="318">
        <v>28443.75</v>
      </c>
      <c r="L73" s="319">
        <v>9063.5482324180903</v>
      </c>
      <c r="M73" s="319">
        <v>15443.460454234011</v>
      </c>
      <c r="N73" s="319">
        <v>7366.4824054815472</v>
      </c>
      <c r="O73" s="319">
        <v>20365.728284970235</v>
      </c>
      <c r="P73" s="319">
        <v>27390</v>
      </c>
      <c r="Q73" s="320">
        <v>32680.101003340977</v>
      </c>
      <c r="R73" s="340">
        <v>30522.477587661459</v>
      </c>
      <c r="S73" s="439">
        <v>32680.101003340977</v>
      </c>
      <c r="T73" s="326">
        <v>3</v>
      </c>
      <c r="U73" s="378">
        <v>3</v>
      </c>
      <c r="V73" s="439"/>
      <c r="W73" s="326">
        <f>tblPiNAnalysis8[[#This Row],[Final PiN]]/2</f>
        <v>16340.050501670488</v>
      </c>
      <c r="X73" s="440">
        <f>SUM(tblPiNAnalysis8[[#This Row],[Target (severity 4-5 ranking) 100%]:[Target (severity 3 ranking) 50%]])</f>
        <v>16340.050501670488</v>
      </c>
      <c r="Y73" s="354"/>
      <c r="Z73" s="326">
        <f>tblPiNAnalysis8[[#This Row],[Final PiN]]/2</f>
        <v>16340.050501670488</v>
      </c>
      <c r="AA73" s="326">
        <f>SUM(tblPiNAnalysis8[[#This Row],[Target (priotitised 1-2 ranking) 100%]:[Target (priotitised 3 ranking) 50%]])</f>
        <v>16340.050501670488</v>
      </c>
    </row>
    <row r="74" spans="1:27" x14ac:dyDescent="0.55000000000000004">
      <c r="A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4" s="316" t="s">
        <v>390</v>
      </c>
      <c r="C74" s="317" t="s">
        <v>391</v>
      </c>
      <c r="D74" s="317" t="s">
        <v>394</v>
      </c>
      <c r="E74" s="105" t="s">
        <v>395</v>
      </c>
      <c r="F74" s="100"/>
      <c r="G74" s="34"/>
      <c r="H74" s="34"/>
      <c r="I74" s="97">
        <v>7434.8763775539119</v>
      </c>
      <c r="J74" s="97" t="s">
        <v>412</v>
      </c>
      <c r="K74" s="318">
        <v>0</v>
      </c>
      <c r="L74" s="319">
        <v>1065.1352596011284</v>
      </c>
      <c r="M74" s="319">
        <v>2509.5581547841798</v>
      </c>
      <c r="N74" s="319">
        <v>1873.3688115038503</v>
      </c>
      <c r="O74" s="319">
        <v>3232.081327090078</v>
      </c>
      <c r="P74" s="319">
        <v>5205</v>
      </c>
      <c r="Q74" s="320">
        <v>4956.5842517026076</v>
      </c>
      <c r="R74" s="340">
        <v>6333.4132105088875</v>
      </c>
      <c r="S74" s="439">
        <v>6333.4132105088875</v>
      </c>
      <c r="T74" s="326">
        <v>3</v>
      </c>
      <c r="U74" s="378">
        <v>5</v>
      </c>
      <c r="V74" s="439"/>
      <c r="W74" s="326">
        <f>tblPiNAnalysis8[[#This Row],[Final PiN]]/2</f>
        <v>3166.7066052544437</v>
      </c>
      <c r="X74" s="440">
        <f>SUM(tblPiNAnalysis8[[#This Row],[Target (severity 4-5 ranking) 100%]:[Target (severity 3 ranking) 50%]])</f>
        <v>3166.7066052544437</v>
      </c>
      <c r="Y74" s="354"/>
      <c r="Z74" s="326"/>
      <c r="AA74" s="326">
        <f>SUM(tblPiNAnalysis8[[#This Row],[Target (priotitised 1-2 ranking) 100%]:[Target (priotitised 3 ranking) 50%]])</f>
        <v>0</v>
      </c>
    </row>
    <row r="75" spans="1:27" x14ac:dyDescent="0.55000000000000004">
      <c r="A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5" s="316" t="s">
        <v>390</v>
      </c>
      <c r="C75" s="317" t="s">
        <v>391</v>
      </c>
      <c r="D75" s="317" t="s">
        <v>396</v>
      </c>
      <c r="E75" s="105" t="s">
        <v>397</v>
      </c>
      <c r="F75" s="100"/>
      <c r="G75" s="34"/>
      <c r="H75" s="34"/>
      <c r="I75" s="97">
        <v>11522.074781291758</v>
      </c>
      <c r="J75" s="97" t="s">
        <v>412</v>
      </c>
      <c r="K75" s="318">
        <v>0</v>
      </c>
      <c r="L75" s="319">
        <v>1799.3171552409522</v>
      </c>
      <c r="M75" s="319">
        <v>5074.6842863832189</v>
      </c>
      <c r="N75" s="319">
        <v>2922.2520778946996</v>
      </c>
      <c r="O75" s="319">
        <v>4525.3940897146904</v>
      </c>
      <c r="P75" s="319">
        <v>7305</v>
      </c>
      <c r="Q75" s="320">
        <v>5761.037390645879</v>
      </c>
      <c r="R75" s="340">
        <v>8321.4984531551581</v>
      </c>
      <c r="S75" s="439">
        <v>8321.4984531551581</v>
      </c>
      <c r="T75" s="326">
        <v>3</v>
      </c>
      <c r="U75" s="378">
        <v>5</v>
      </c>
      <c r="V75" s="439"/>
      <c r="W75" s="326">
        <f>tblPiNAnalysis8[[#This Row],[Final PiN]]/2</f>
        <v>4160.7492265775791</v>
      </c>
      <c r="X75" s="440">
        <f>SUM(tblPiNAnalysis8[[#This Row],[Target (severity 4-5 ranking) 100%]:[Target (severity 3 ranking) 50%]])</f>
        <v>4160.7492265775791</v>
      </c>
      <c r="Y75" s="354"/>
      <c r="Z75" s="326"/>
      <c r="AA75" s="326">
        <f>SUM(tblPiNAnalysis8[[#This Row],[Target (priotitised 1-2 ranking) 100%]:[Target (priotitised 3 ranking) 50%]])</f>
        <v>0</v>
      </c>
    </row>
    <row r="76" spans="1:27" x14ac:dyDescent="0.55000000000000004">
      <c r="A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6" s="316" t="s">
        <v>390</v>
      </c>
      <c r="C76" s="317" t="s">
        <v>391</v>
      </c>
      <c r="D76" s="317" t="s">
        <v>398</v>
      </c>
      <c r="E76" s="105" t="s">
        <v>399</v>
      </c>
      <c r="F76" s="100"/>
      <c r="G76" s="34"/>
      <c r="H76" s="34"/>
      <c r="I76" s="97">
        <v>17357.293062226148</v>
      </c>
      <c r="J76" s="97" t="s">
        <v>412</v>
      </c>
      <c r="K76" s="318">
        <v>0</v>
      </c>
      <c r="L76" s="319">
        <v>272.84276110374532</v>
      </c>
      <c r="M76" s="319">
        <v>7034.7446622852367</v>
      </c>
      <c r="N76" s="319">
        <v>7466.511357740781</v>
      </c>
      <c r="O76" s="319">
        <v>8370.1757209202042</v>
      </c>
      <c r="P76" s="319">
        <v>13014</v>
      </c>
      <c r="Q76" s="320">
        <v>7546.649157489629</v>
      </c>
      <c r="R76" s="340">
        <v>10767.950325640297</v>
      </c>
      <c r="S76" s="439">
        <v>13014</v>
      </c>
      <c r="T76" s="326">
        <v>3</v>
      </c>
      <c r="U76" s="378">
        <v>5</v>
      </c>
      <c r="V76" s="439"/>
      <c r="W76" s="326">
        <f>tblPiNAnalysis8[[#This Row],[Final PiN]]/2</f>
        <v>6507</v>
      </c>
      <c r="X76" s="440">
        <f>SUM(tblPiNAnalysis8[[#This Row],[Target (severity 4-5 ranking) 100%]:[Target (severity 3 ranking) 50%]])</f>
        <v>6507</v>
      </c>
      <c r="Y76" s="354"/>
      <c r="Z76" s="326"/>
      <c r="AA76" s="326">
        <f>SUM(tblPiNAnalysis8[[#This Row],[Target (priotitised 1-2 ranking) 100%]:[Target (priotitised 3 ranking) 50%]])</f>
        <v>0</v>
      </c>
    </row>
    <row r="77" spans="1:27" x14ac:dyDescent="0.55000000000000004">
      <c r="A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7" s="316" t="s">
        <v>390</v>
      </c>
      <c r="C77" s="317" t="s">
        <v>391</v>
      </c>
      <c r="D77" s="317" t="s">
        <v>400</v>
      </c>
      <c r="E77" s="105" t="s">
        <v>401</v>
      </c>
      <c r="F77" s="100"/>
      <c r="G77" s="34"/>
      <c r="H77" s="34"/>
      <c r="I77" s="97">
        <v>1326.2143950586142</v>
      </c>
      <c r="J77" s="97" t="s">
        <v>412</v>
      </c>
      <c r="K77" s="318">
        <v>0</v>
      </c>
      <c r="L77" s="319">
        <v>108.99890870107737</v>
      </c>
      <c r="M77" s="319">
        <v>549.3738376210955</v>
      </c>
      <c r="N77" s="319">
        <v>509.88966782520589</v>
      </c>
      <c r="O77" s="319">
        <v>657.96969478899121</v>
      </c>
      <c r="P77" s="319">
        <v>928</v>
      </c>
      <c r="Q77" s="320">
        <v>1326.2143950586142</v>
      </c>
      <c r="R77" s="340">
        <v>502.35393752220233</v>
      </c>
      <c r="S77" s="439">
        <v>1326.2143950586142</v>
      </c>
      <c r="T77" s="326">
        <v>3</v>
      </c>
      <c r="U77" s="378">
        <v>5</v>
      </c>
      <c r="V77" s="439"/>
      <c r="W77" s="326">
        <f>tblPiNAnalysis8[[#This Row],[Final PiN]]/2</f>
        <v>663.10719752930709</v>
      </c>
      <c r="X77" s="440">
        <f>SUM(tblPiNAnalysis8[[#This Row],[Target (severity 4-5 ranking) 100%]:[Target (severity 3 ranking) 50%]])</f>
        <v>663.10719752930709</v>
      </c>
      <c r="Y77" s="354"/>
      <c r="Z77" s="326"/>
      <c r="AA77" s="326">
        <f>SUM(tblPiNAnalysis8[[#This Row],[Target (priotitised 1-2 ranking) 100%]:[Target (priotitised 3 ranking) 50%]])</f>
        <v>0</v>
      </c>
    </row>
    <row r="78" spans="1:27" x14ac:dyDescent="0.55000000000000004">
      <c r="A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8" s="316" t="s">
        <v>390</v>
      </c>
      <c r="C78" s="317" t="s">
        <v>391</v>
      </c>
      <c r="D78" s="317" t="s">
        <v>402</v>
      </c>
      <c r="E78" s="105" t="s">
        <v>403</v>
      </c>
      <c r="F78" s="100"/>
      <c r="G78" s="34"/>
      <c r="H78" s="34"/>
      <c r="I78" s="97">
        <v>0</v>
      </c>
      <c r="J78" s="97" t="s">
        <v>412</v>
      </c>
      <c r="K78" s="318">
        <v>0</v>
      </c>
      <c r="L78" s="319">
        <v>0</v>
      </c>
      <c r="M78" s="319">
        <v>0</v>
      </c>
      <c r="N78" s="319">
        <v>0</v>
      </c>
      <c r="O78" s="319">
        <v>0</v>
      </c>
      <c r="P78" s="319">
        <v>0</v>
      </c>
      <c r="Q78" s="320">
        <v>0</v>
      </c>
      <c r="R78" s="340">
        <v>0</v>
      </c>
      <c r="S78" s="439">
        <v>0</v>
      </c>
      <c r="T78" s="326">
        <v>3</v>
      </c>
      <c r="U78" s="378">
        <v>5</v>
      </c>
      <c r="V78" s="439"/>
      <c r="W78" s="326">
        <f>tblPiNAnalysis8[[#This Row],[Final PiN]]/2</f>
        <v>0</v>
      </c>
      <c r="X78" s="440">
        <f>SUM(tblPiNAnalysis8[[#This Row],[Target (severity 4-5 ranking) 100%]:[Target (severity 3 ranking) 50%]])</f>
        <v>0</v>
      </c>
      <c r="Y78" s="354"/>
      <c r="Z78" s="326"/>
      <c r="AA78" s="326">
        <f>SUM(tblPiNAnalysis8[[#This Row],[Target (priotitised 1-2 ranking) 100%]:[Target (priotitised 3 ranking) 50%]])</f>
        <v>0</v>
      </c>
    </row>
    <row r="79" spans="1:27" x14ac:dyDescent="0.55000000000000004">
      <c r="A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9" s="316" t="s">
        <v>390</v>
      </c>
      <c r="C79" s="317" t="s">
        <v>391</v>
      </c>
      <c r="D79" s="317" t="s">
        <v>404</v>
      </c>
      <c r="E79" s="105" t="s">
        <v>405</v>
      </c>
      <c r="F79" s="100"/>
      <c r="G79" s="34"/>
      <c r="H79" s="34"/>
      <c r="I79" s="97">
        <v>36534.526328235108</v>
      </c>
      <c r="J79" s="97" t="s">
        <v>412</v>
      </c>
      <c r="K79" s="318">
        <v>4387.5</v>
      </c>
      <c r="L79" s="319">
        <v>1916.1336092422125</v>
      </c>
      <c r="M79" s="319">
        <v>12211.82251672217</v>
      </c>
      <c r="N79" s="319">
        <v>20297.572470561903</v>
      </c>
      <c r="O79" s="319">
        <v>19755.537132872738</v>
      </c>
      <c r="P79" s="319">
        <v>24688</v>
      </c>
      <c r="Q79" s="320">
        <v>9786.0338379201185</v>
      </c>
      <c r="R79" s="340">
        <v>24356.350885490076</v>
      </c>
      <c r="S79" s="439">
        <v>24688</v>
      </c>
      <c r="T79" s="326">
        <v>4</v>
      </c>
      <c r="U79" s="378">
        <v>2</v>
      </c>
      <c r="V79" s="439">
        <f>tblPiNAnalysis8[[#This Row],[Final PiN]]</f>
        <v>24688</v>
      </c>
      <c r="W79" s="326"/>
      <c r="X79" s="440">
        <f>SUM(tblPiNAnalysis8[[#This Row],[Target (severity 4-5 ranking) 100%]:[Target (severity 3 ranking) 50%]])</f>
        <v>24688</v>
      </c>
      <c r="Y79" s="354">
        <f>tblPiNAnalysis8[[#This Row],[Final PiN]]</f>
        <v>24688</v>
      </c>
      <c r="Z79" s="326"/>
      <c r="AA79" s="326">
        <f>SUM(tblPiNAnalysis8[[#This Row],[Target (priotitised 1-2 ranking) 100%]:[Target (priotitised 3 ranking) 50%]])</f>
        <v>24688</v>
      </c>
    </row>
    <row r="80" spans="1:27" x14ac:dyDescent="0.55000000000000004">
      <c r="A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0" s="316" t="s">
        <v>390</v>
      </c>
      <c r="C80" s="317" t="s">
        <v>391</v>
      </c>
      <c r="D80" s="317" t="s">
        <v>406</v>
      </c>
      <c r="E80" s="105" t="s">
        <v>407</v>
      </c>
      <c r="F80" s="100"/>
      <c r="G80" s="34"/>
      <c r="H80" s="34"/>
      <c r="I80" s="97">
        <v>2761.8509896481692</v>
      </c>
      <c r="J80" s="97" t="s">
        <v>412</v>
      </c>
      <c r="K80" s="318">
        <v>0</v>
      </c>
      <c r="L80" s="319">
        <v>529.06790875977435</v>
      </c>
      <c r="M80" s="319">
        <v>1135.9991627354789</v>
      </c>
      <c r="N80" s="319">
        <v>536.39969440630443</v>
      </c>
      <c r="O80" s="319">
        <v>1199.984685202463</v>
      </c>
      <c r="P80" s="319">
        <v>1933</v>
      </c>
      <c r="Q80" s="320">
        <v>2761.8509896481692</v>
      </c>
      <c r="R80" s="340">
        <v>2173.6790196305033</v>
      </c>
      <c r="S80" s="439">
        <v>2761.8509896481692</v>
      </c>
      <c r="T80" s="326">
        <v>3</v>
      </c>
      <c r="U80" s="378">
        <v>5</v>
      </c>
      <c r="V80" s="439"/>
      <c r="W80" s="326">
        <f>tblPiNAnalysis8[[#This Row],[Final PiN]]/2</f>
        <v>1380.9254948240846</v>
      </c>
      <c r="X80" s="440">
        <f>SUM(tblPiNAnalysis8[[#This Row],[Target (severity 4-5 ranking) 100%]:[Target (severity 3 ranking) 50%]])</f>
        <v>1380.9254948240846</v>
      </c>
      <c r="Y80" s="354"/>
      <c r="Z80" s="326"/>
      <c r="AA80" s="326">
        <f>SUM(tblPiNAnalysis8[[#This Row],[Target (priotitised 1-2 ranking) 100%]:[Target (priotitised 3 ranking) 50%]])</f>
        <v>0</v>
      </c>
    </row>
    <row r="81" spans="1:27" x14ac:dyDescent="0.55000000000000004">
      <c r="A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1" s="316" t="s">
        <v>390</v>
      </c>
      <c r="C81" s="317" t="s">
        <v>391</v>
      </c>
      <c r="D81" s="317" t="s">
        <v>408</v>
      </c>
      <c r="E81" s="105" t="s">
        <v>409</v>
      </c>
      <c r="F81" s="100"/>
      <c r="G81" s="34"/>
      <c r="H81" s="34"/>
      <c r="I81" s="97">
        <v>24855.8360229996</v>
      </c>
      <c r="J81" s="97" t="s">
        <v>412</v>
      </c>
      <c r="K81" s="318">
        <v>24855.8360229996</v>
      </c>
      <c r="L81" s="319">
        <v>5005.1948441154063</v>
      </c>
      <c r="M81" s="319">
        <v>8189.1338242402062</v>
      </c>
      <c r="N81" s="319">
        <v>10683.7141002236</v>
      </c>
      <c r="O81" s="319">
        <v>15120.438459041348</v>
      </c>
      <c r="P81" s="319">
        <v>19885</v>
      </c>
      <c r="Q81" s="320">
        <v>24124.782022323139</v>
      </c>
      <c r="R81" s="340">
        <v>19102.170276934878</v>
      </c>
      <c r="S81" s="439">
        <v>24855.8360229996</v>
      </c>
      <c r="T81" s="326">
        <v>4</v>
      </c>
      <c r="U81" s="378">
        <v>2</v>
      </c>
      <c r="V81" s="439">
        <f>tblPiNAnalysis8[[#This Row],[Final PiN]]</f>
        <v>24855.8360229996</v>
      </c>
      <c r="W81" s="326"/>
      <c r="X81" s="440">
        <f>SUM(tblPiNAnalysis8[[#This Row],[Target (severity 4-5 ranking) 100%]:[Target (severity 3 ranking) 50%]])</f>
        <v>24855.8360229996</v>
      </c>
      <c r="Y81" s="354">
        <f>tblPiNAnalysis8[[#This Row],[Final PiN]]</f>
        <v>24855.8360229996</v>
      </c>
      <c r="Z81" s="326"/>
      <c r="AA81" s="326">
        <f>SUM(tblPiNAnalysis8[[#This Row],[Target (priotitised 1-2 ranking) 100%]:[Target (priotitised 3 ranking) 50%]])</f>
        <v>24855.8360229996</v>
      </c>
    </row>
    <row r="82" spans="1:27" x14ac:dyDescent="0.55000000000000004">
      <c r="A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2" s="316" t="s">
        <v>390</v>
      </c>
      <c r="C82" s="317" t="s">
        <v>391</v>
      </c>
      <c r="D82" s="317" t="s">
        <v>410</v>
      </c>
      <c r="E82" s="105" t="s">
        <v>411</v>
      </c>
      <c r="F82" s="100"/>
      <c r="G82" s="34"/>
      <c r="H82" s="34"/>
      <c r="I82" s="97">
        <v>10973.797642312536</v>
      </c>
      <c r="J82" s="97" t="s">
        <v>412</v>
      </c>
      <c r="K82" s="318">
        <v>0</v>
      </c>
      <c r="L82" s="319">
        <v>2032.0839522128661</v>
      </c>
      <c r="M82" s="319">
        <v>3636.2835444713837</v>
      </c>
      <c r="N82" s="319">
        <v>2782.9095656369154</v>
      </c>
      <c r="O82" s="319">
        <v>5371.2361664480359</v>
      </c>
      <c r="P82" s="319">
        <v>8779</v>
      </c>
      <c r="Q82" s="320">
        <v>8779.0381138500288</v>
      </c>
      <c r="R82" s="340">
        <v>8230.3482317344024</v>
      </c>
      <c r="S82" s="439">
        <v>8779.0381138500288</v>
      </c>
      <c r="T82" s="326">
        <v>3</v>
      </c>
      <c r="U82" s="378">
        <v>5</v>
      </c>
      <c r="V82" s="439"/>
      <c r="W82" s="326">
        <f>tblPiNAnalysis8[[#This Row],[Final PiN]]/2</f>
        <v>4389.5190569250144</v>
      </c>
      <c r="X82" s="440">
        <f>SUM(tblPiNAnalysis8[[#This Row],[Target (severity 4-5 ranking) 100%]:[Target (severity 3 ranking) 50%]])</f>
        <v>4389.5190569250144</v>
      </c>
      <c r="Y82" s="354"/>
      <c r="Z82" s="326"/>
      <c r="AA82" s="326">
        <f>SUM(tblPiNAnalysis8[[#This Row],[Target (priotitised 1-2 ranking) 100%]:[Target (priotitised 3 ranking) 50%]])</f>
        <v>0</v>
      </c>
    </row>
    <row r="83" spans="1:27" ht="27.6" x14ac:dyDescent="0.55000000000000004">
      <c r="A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3" s="316" t="s">
        <v>233</v>
      </c>
      <c r="C83" s="317" t="s">
        <v>234</v>
      </c>
      <c r="D83" s="317" t="s">
        <v>233</v>
      </c>
      <c r="E83" s="105" t="s">
        <v>235</v>
      </c>
      <c r="F83" s="100"/>
      <c r="G83" s="34"/>
      <c r="H83" s="34"/>
      <c r="I83" s="97">
        <v>14516.802522734295</v>
      </c>
      <c r="J83" s="97" t="s">
        <v>413</v>
      </c>
      <c r="K83" s="318"/>
      <c r="L83" s="319">
        <v>1280.3819825051648</v>
      </c>
      <c r="M83" s="319">
        <v>7035.6908697905883</v>
      </c>
      <c r="N83" s="319">
        <v>8960.7014556909598</v>
      </c>
      <c r="O83" s="319">
        <v>10162.535731393538</v>
      </c>
      <c r="P83" s="319">
        <v>2555</v>
      </c>
      <c r="Q83" s="320">
        <v>4573.7870962039569</v>
      </c>
      <c r="R83" s="340">
        <v>5645.423203285558</v>
      </c>
      <c r="S83" s="439">
        <v>10162.535731393538</v>
      </c>
      <c r="T83" s="326">
        <v>4</v>
      </c>
      <c r="U83" s="378">
        <v>1</v>
      </c>
      <c r="V83" s="439">
        <f>tblPiNAnalysis8[[#This Row],[Final PiN]]</f>
        <v>10162.535731393538</v>
      </c>
      <c r="W83" s="326"/>
      <c r="X83" s="440">
        <f>SUM(tblPiNAnalysis8[[#This Row],[Target (severity 4-5 ranking) 100%]:[Target (severity 3 ranking) 50%]])</f>
        <v>10162.535731393538</v>
      </c>
      <c r="Y83" s="354">
        <f>tblPiNAnalysis8[[#This Row],[Final PiN]]</f>
        <v>10162.535731393538</v>
      </c>
      <c r="Z83" s="326"/>
      <c r="AA83" s="326">
        <f>SUM(tblPiNAnalysis8[[#This Row],[Target (priotitised 1-2 ranking) 100%]:[Target (priotitised 3 ranking) 50%]])</f>
        <v>10162.535731393538</v>
      </c>
    </row>
    <row r="84" spans="1:27" x14ac:dyDescent="0.55000000000000004">
      <c r="A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4" s="316" t="s">
        <v>236</v>
      </c>
      <c r="C84" s="317" t="s">
        <v>237</v>
      </c>
      <c r="D84" s="317" t="s">
        <v>238</v>
      </c>
      <c r="E84" s="105" t="s">
        <v>239</v>
      </c>
      <c r="F84" s="100"/>
      <c r="G84" s="34"/>
      <c r="H84" s="34"/>
      <c r="I84" s="97">
        <v>310546.09109739598</v>
      </c>
      <c r="J84" s="97" t="s">
        <v>413</v>
      </c>
      <c r="K84" s="318"/>
      <c r="L84" s="319">
        <v>34506.328912287157</v>
      </c>
      <c r="M84" s="319">
        <v>121870.66637679518</v>
      </c>
      <c r="N84" s="319">
        <v>218524.29063527889</v>
      </c>
      <c r="O84" s="319">
        <v>172216.93776355864</v>
      </c>
      <c r="P84" s="319">
        <v>109312</v>
      </c>
      <c r="Q84" s="320">
        <v>115937.20734302783</v>
      </c>
      <c r="R84" s="340">
        <v>121395.29015625475</v>
      </c>
      <c r="S84" s="439">
        <v>218524.29063527889</v>
      </c>
      <c r="T84" s="326">
        <v>3</v>
      </c>
      <c r="U84" s="378">
        <v>4</v>
      </c>
      <c r="V84" s="439"/>
      <c r="W84" s="326">
        <f>tblPiNAnalysis8[[#This Row],[Final PiN]]/2</f>
        <v>109262.14531763944</v>
      </c>
      <c r="X84" s="440">
        <f>SUM(tblPiNAnalysis8[[#This Row],[Target (severity 4-5 ranking) 100%]:[Target (severity 3 ranking) 50%]])</f>
        <v>109262.14531763944</v>
      </c>
      <c r="Y84" s="354"/>
      <c r="Z84" s="326"/>
      <c r="AA84" s="326">
        <f>SUM(tblPiNAnalysis8[[#This Row],[Target (priotitised 1-2 ranking) 100%]:[Target (priotitised 3 ranking) 50%]])</f>
        <v>0</v>
      </c>
    </row>
    <row r="85" spans="1:27" x14ac:dyDescent="0.55000000000000004">
      <c r="A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5" s="316" t="s">
        <v>236</v>
      </c>
      <c r="C85" s="317" t="s">
        <v>237</v>
      </c>
      <c r="D85" s="317" t="s">
        <v>240</v>
      </c>
      <c r="E85" s="105" t="s">
        <v>241</v>
      </c>
      <c r="F85" s="100"/>
      <c r="G85" s="34"/>
      <c r="H85" s="34"/>
      <c r="I85" s="97">
        <v>165087.87496325735</v>
      </c>
      <c r="J85" s="97" t="s">
        <v>413</v>
      </c>
      <c r="K85" s="318"/>
      <c r="L85" s="319">
        <v>12328.366291356146</v>
      </c>
      <c r="M85" s="319">
        <v>72634.349974065291</v>
      </c>
      <c r="N85" s="319">
        <v>114316.81637306442</v>
      </c>
      <c r="O85" s="319">
        <v>87461.53402342253</v>
      </c>
      <c r="P85" s="319">
        <v>53008</v>
      </c>
      <c r="Q85" s="320">
        <v>98446.897913869063</v>
      </c>
      <c r="R85" s="340">
        <v>134516.04626635785</v>
      </c>
      <c r="S85" s="439">
        <v>134516.04626635785</v>
      </c>
      <c r="T85" s="326">
        <v>3</v>
      </c>
      <c r="U85" s="378">
        <v>5</v>
      </c>
      <c r="V85" s="439"/>
      <c r="W85" s="326">
        <f>tblPiNAnalysis8[[#This Row],[Final PiN]]/2</f>
        <v>67258.023133178925</v>
      </c>
      <c r="X85" s="440">
        <f>SUM(tblPiNAnalysis8[[#This Row],[Target (severity 4-5 ranking) 100%]:[Target (severity 3 ranking) 50%]])</f>
        <v>67258.023133178925</v>
      </c>
      <c r="Y85" s="354"/>
      <c r="Z85" s="326"/>
      <c r="AA85" s="326">
        <f>SUM(tblPiNAnalysis8[[#This Row],[Target (priotitised 1-2 ranking) 100%]:[Target (priotitised 3 ranking) 50%]])</f>
        <v>0</v>
      </c>
    </row>
    <row r="86" spans="1:27" x14ac:dyDescent="0.55000000000000004">
      <c r="A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6" s="316" t="s">
        <v>236</v>
      </c>
      <c r="C86" s="317" t="s">
        <v>237</v>
      </c>
      <c r="D86" s="317" t="s">
        <v>242</v>
      </c>
      <c r="E86" s="105" t="s">
        <v>243</v>
      </c>
      <c r="F86" s="100"/>
      <c r="G86" s="34"/>
      <c r="H86" s="34"/>
      <c r="I86" s="97">
        <v>81323.353354623177</v>
      </c>
      <c r="J86" s="97" t="s">
        <v>413</v>
      </c>
      <c r="K86" s="318"/>
      <c r="L86" s="319">
        <v>10737.772930237736</v>
      </c>
      <c r="M86" s="319">
        <v>43190.130773320248</v>
      </c>
      <c r="N86" s="319">
        <v>51309.967154464714</v>
      </c>
      <c r="O86" s="319">
        <v>37036.600003788044</v>
      </c>
      <c r="P86" s="319">
        <v>16640</v>
      </c>
      <c r="Q86" s="320">
        <v>42131.375834322847</v>
      </c>
      <c r="R86" s="340">
        <v>48191.616802739656</v>
      </c>
      <c r="S86" s="439">
        <v>51309.967154464714</v>
      </c>
      <c r="T86" s="326">
        <v>3</v>
      </c>
      <c r="U86" s="378">
        <v>5</v>
      </c>
      <c r="V86" s="439"/>
      <c r="W86" s="326">
        <f>tblPiNAnalysis8[[#This Row],[Final PiN]]/2</f>
        <v>25654.983577232357</v>
      </c>
      <c r="X86" s="440">
        <f>SUM(tblPiNAnalysis8[[#This Row],[Target (severity 4-5 ranking) 100%]:[Target (severity 3 ranking) 50%]])</f>
        <v>25654.983577232357</v>
      </c>
      <c r="Y86" s="354"/>
      <c r="Z86" s="326"/>
      <c r="AA86" s="326">
        <f>SUM(tblPiNAnalysis8[[#This Row],[Target (priotitised 1-2 ranking) 100%]:[Target (priotitised 3 ranking) 50%]])</f>
        <v>0</v>
      </c>
    </row>
    <row r="87" spans="1:27" x14ac:dyDescent="0.55000000000000004">
      <c r="A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7" s="316" t="s">
        <v>236</v>
      </c>
      <c r="C87" s="317" t="s">
        <v>237</v>
      </c>
      <c r="D87" s="317" t="s">
        <v>244</v>
      </c>
      <c r="E87" s="105" t="s">
        <v>245</v>
      </c>
      <c r="F87" s="100"/>
      <c r="G87" s="34"/>
      <c r="H87" s="34"/>
      <c r="I87" s="97">
        <v>76038.235545987191</v>
      </c>
      <c r="J87" s="97" t="s">
        <v>413</v>
      </c>
      <c r="K87" s="318"/>
      <c r="L87" s="319">
        <v>13457.17088869327</v>
      </c>
      <c r="M87" s="319">
        <v>33058.440464696396</v>
      </c>
      <c r="N87" s="319">
        <v>51659.39705423377</v>
      </c>
      <c r="O87" s="319">
        <v>49372.875595759877</v>
      </c>
      <c r="P87" s="319">
        <v>26850</v>
      </c>
      <c r="Q87" s="320">
        <v>44275.428292600132</v>
      </c>
      <c r="R87" s="340">
        <v>42947.521928752023</v>
      </c>
      <c r="S87" s="439">
        <v>51659.39705423377</v>
      </c>
      <c r="T87" s="326">
        <v>3</v>
      </c>
      <c r="U87" s="378">
        <v>5</v>
      </c>
      <c r="V87" s="439"/>
      <c r="W87" s="326">
        <f>tblPiNAnalysis8[[#This Row],[Final PiN]]/2</f>
        <v>25829.698527116885</v>
      </c>
      <c r="X87" s="440">
        <f>SUM(tblPiNAnalysis8[[#This Row],[Target (severity 4-5 ranking) 100%]:[Target (severity 3 ranking) 50%]])</f>
        <v>25829.698527116885</v>
      </c>
      <c r="Y87" s="354"/>
      <c r="Z87" s="326"/>
      <c r="AA87" s="326">
        <f>SUM(tblPiNAnalysis8[[#This Row],[Target (priotitised 1-2 ranking) 100%]:[Target (priotitised 3 ranking) 50%]])</f>
        <v>0</v>
      </c>
    </row>
    <row r="88" spans="1:27" x14ac:dyDescent="0.55000000000000004">
      <c r="A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8" s="316" t="s">
        <v>236</v>
      </c>
      <c r="C88" s="317" t="s">
        <v>237</v>
      </c>
      <c r="D88" s="317" t="s">
        <v>246</v>
      </c>
      <c r="E88" s="105" t="s">
        <v>247</v>
      </c>
      <c r="F88" s="100"/>
      <c r="G88" s="34"/>
      <c r="H88" s="34"/>
      <c r="I88" s="97">
        <v>198861.49864411939</v>
      </c>
      <c r="J88" s="97" t="s">
        <v>413</v>
      </c>
      <c r="K88" s="318"/>
      <c r="L88" s="319">
        <v>52758.949897778082</v>
      </c>
      <c r="M88" s="319">
        <v>76543.726766279651</v>
      </c>
      <c r="N88" s="319">
        <v>128069.22419123921</v>
      </c>
      <c r="O88" s="319">
        <v>101701.93188031472</v>
      </c>
      <c r="P88" s="319">
        <v>70441</v>
      </c>
      <c r="Q88" s="320">
        <v>151270.7126438173</v>
      </c>
      <c r="R88" s="340">
        <v>71811.096732598671</v>
      </c>
      <c r="S88" s="439">
        <v>151270.7126438173</v>
      </c>
      <c r="T88" s="326">
        <v>3</v>
      </c>
      <c r="U88" s="378">
        <v>4</v>
      </c>
      <c r="V88" s="439"/>
      <c r="W88" s="326">
        <f>tblPiNAnalysis8[[#This Row],[Final PiN]]/2</f>
        <v>75635.35632190865</v>
      </c>
      <c r="X88" s="440">
        <f>SUM(tblPiNAnalysis8[[#This Row],[Target (severity 4-5 ranking) 100%]:[Target (severity 3 ranking) 50%]])</f>
        <v>75635.35632190865</v>
      </c>
      <c r="Y88" s="354"/>
      <c r="Z88" s="326"/>
      <c r="AA88" s="326">
        <f>SUM(tblPiNAnalysis8[[#This Row],[Target (priotitised 1-2 ranking) 100%]:[Target (priotitised 3 ranking) 50%]])</f>
        <v>0</v>
      </c>
    </row>
    <row r="89" spans="1:27" x14ac:dyDescent="0.55000000000000004">
      <c r="A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9" s="316" t="s">
        <v>236</v>
      </c>
      <c r="C89" s="317" t="s">
        <v>237</v>
      </c>
      <c r="D89" s="317" t="s">
        <v>248</v>
      </c>
      <c r="E89" s="105" t="s">
        <v>249</v>
      </c>
      <c r="F89" s="100"/>
      <c r="G89" s="34"/>
      <c r="H89" s="34"/>
      <c r="I89" s="97">
        <v>194205.26881302349</v>
      </c>
      <c r="J89" s="97" t="s">
        <v>413</v>
      </c>
      <c r="K89" s="318"/>
      <c r="L89" s="319">
        <v>34025.73412238578</v>
      </c>
      <c r="M89" s="319">
        <v>87344.841219222537</v>
      </c>
      <c r="N89" s="319">
        <v>95436.106026903348</v>
      </c>
      <c r="O89" s="319">
        <v>89654.848775627062</v>
      </c>
      <c r="P89" s="319">
        <v>63216</v>
      </c>
      <c r="Q89" s="320">
        <v>87999.262430901275</v>
      </c>
      <c r="R89" s="340">
        <v>158241.33014394506</v>
      </c>
      <c r="S89" s="439">
        <v>158241.33014394506</v>
      </c>
      <c r="T89" s="326">
        <v>3</v>
      </c>
      <c r="U89" s="378">
        <v>5</v>
      </c>
      <c r="V89" s="439"/>
      <c r="W89" s="326">
        <f>tblPiNAnalysis8[[#This Row],[Final PiN]]/2</f>
        <v>79120.665071972529</v>
      </c>
      <c r="X89" s="440">
        <f>SUM(tblPiNAnalysis8[[#This Row],[Target (severity 4-5 ranking) 100%]:[Target (severity 3 ranking) 50%]])</f>
        <v>79120.665071972529</v>
      </c>
      <c r="Y89" s="354"/>
      <c r="Z89" s="326"/>
      <c r="AA89" s="326">
        <f>SUM(tblPiNAnalysis8[[#This Row],[Target (priotitised 1-2 ranking) 100%]:[Target (priotitised 3 ranking) 50%]])</f>
        <v>0</v>
      </c>
    </row>
    <row r="90" spans="1:27" x14ac:dyDescent="0.55000000000000004">
      <c r="A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0" s="316" t="s">
        <v>250</v>
      </c>
      <c r="C90" s="317" t="s">
        <v>251</v>
      </c>
      <c r="D90" s="317" t="s">
        <v>252</v>
      </c>
      <c r="E90" s="105" t="s">
        <v>253</v>
      </c>
      <c r="F90" s="100"/>
      <c r="G90" s="34"/>
      <c r="H90" s="34"/>
      <c r="I90" s="97">
        <v>80977.342990929319</v>
      </c>
      <c r="J90" s="97" t="s">
        <v>413</v>
      </c>
      <c r="K90" s="318"/>
      <c r="L90" s="319">
        <v>26470.35974093292</v>
      </c>
      <c r="M90" s="319">
        <v>42094.260145199667</v>
      </c>
      <c r="N90" s="319">
        <v>52040.353809790613</v>
      </c>
      <c r="O90" s="319">
        <v>35482.701808864054</v>
      </c>
      <c r="P90" s="319">
        <v>13243</v>
      </c>
      <c r="Q90" s="320">
        <v>46442.887891856524</v>
      </c>
      <c r="R90" s="340">
        <v>60733.007243196989</v>
      </c>
      <c r="S90" s="439">
        <v>60733.007243196989</v>
      </c>
      <c r="T90" s="326">
        <v>3</v>
      </c>
      <c r="U90" s="378">
        <v>4</v>
      </c>
      <c r="V90" s="439"/>
      <c r="W90" s="326">
        <f>tblPiNAnalysis8[[#This Row],[Final PiN]]/2</f>
        <v>30366.503621598495</v>
      </c>
      <c r="X90" s="440">
        <f>SUM(tblPiNAnalysis8[[#This Row],[Target (severity 4-5 ranking) 100%]:[Target (severity 3 ranking) 50%]])</f>
        <v>30366.503621598495</v>
      </c>
      <c r="Y90" s="354"/>
      <c r="Z90" s="326"/>
      <c r="AA90" s="326">
        <f>SUM(tblPiNAnalysis8[[#This Row],[Target (priotitised 1-2 ranking) 100%]:[Target (priotitised 3 ranking) 50%]])</f>
        <v>0</v>
      </c>
    </row>
    <row r="91" spans="1:27" x14ac:dyDescent="0.55000000000000004">
      <c r="A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1" s="316" t="s">
        <v>250</v>
      </c>
      <c r="C91" s="317" t="s">
        <v>251</v>
      </c>
      <c r="D91" s="317" t="s">
        <v>254</v>
      </c>
      <c r="E91" s="105" t="s">
        <v>255</v>
      </c>
      <c r="F91" s="100"/>
      <c r="G91" s="34"/>
      <c r="H91" s="34"/>
      <c r="I91" s="97">
        <v>79454.880620653479</v>
      </c>
      <c r="J91" s="97" t="s">
        <v>413</v>
      </c>
      <c r="K91" s="318"/>
      <c r="L91" s="319">
        <v>10528.407321281551</v>
      </c>
      <c r="M91" s="319">
        <v>42184.060293550596</v>
      </c>
      <c r="N91" s="319">
        <v>35471.478825328893</v>
      </c>
      <c r="O91" s="319">
        <v>44732.491459357952</v>
      </c>
      <c r="P91" s="319">
        <v>14557</v>
      </c>
      <c r="Q91" s="320">
        <v>19014.843225455534</v>
      </c>
      <c r="R91" s="340">
        <v>38634.024521969128</v>
      </c>
      <c r="S91" s="439">
        <v>44732.491459357952</v>
      </c>
      <c r="T91" s="326">
        <v>3</v>
      </c>
      <c r="U91" s="378">
        <v>4</v>
      </c>
      <c r="V91" s="439"/>
      <c r="W91" s="326">
        <f>tblPiNAnalysis8[[#This Row],[Final PiN]]/2</f>
        <v>22366.245729678976</v>
      </c>
      <c r="X91" s="440">
        <f>SUM(tblPiNAnalysis8[[#This Row],[Target (severity 4-5 ranking) 100%]:[Target (severity 3 ranking) 50%]])</f>
        <v>22366.245729678976</v>
      </c>
      <c r="Y91" s="354"/>
      <c r="Z91" s="326"/>
      <c r="AA91" s="326">
        <f>SUM(tblPiNAnalysis8[[#This Row],[Target (priotitised 1-2 ranking) 100%]:[Target (priotitised 3 ranking) 50%]])</f>
        <v>0</v>
      </c>
    </row>
    <row r="92" spans="1:27" x14ac:dyDescent="0.55000000000000004">
      <c r="A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2" s="316" t="s">
        <v>250</v>
      </c>
      <c r="C92" s="317" t="s">
        <v>251</v>
      </c>
      <c r="D92" s="317" t="s">
        <v>256</v>
      </c>
      <c r="E92" s="105" t="s">
        <v>257</v>
      </c>
      <c r="F92" s="100"/>
      <c r="G92" s="34"/>
      <c r="H92" s="34"/>
      <c r="I92" s="97">
        <v>135919.18209910189</v>
      </c>
      <c r="J92" s="97" t="s">
        <v>413</v>
      </c>
      <c r="K92" s="318"/>
      <c r="L92" s="319">
        <v>46429.992605053216</v>
      </c>
      <c r="M92" s="319">
        <v>69154.097960808984</v>
      </c>
      <c r="N92" s="319">
        <v>96916.824518761714</v>
      </c>
      <c r="O92" s="319">
        <v>52722.460475722546</v>
      </c>
      <c r="P92" s="319">
        <v>45226</v>
      </c>
      <c r="Q92" s="320">
        <v>70224.910751202638</v>
      </c>
      <c r="R92" s="340">
        <v>108231.94130113669</v>
      </c>
      <c r="S92" s="439">
        <v>108231.94130113669</v>
      </c>
      <c r="T92" s="326">
        <v>3</v>
      </c>
      <c r="U92" s="378">
        <v>2</v>
      </c>
      <c r="V92" s="439"/>
      <c r="W92" s="326">
        <f>tblPiNAnalysis8[[#This Row],[Final PiN]]/2</f>
        <v>54115.970650568343</v>
      </c>
      <c r="X92" s="440">
        <f>SUM(tblPiNAnalysis8[[#This Row],[Target (severity 4-5 ranking) 100%]:[Target (severity 3 ranking) 50%]])</f>
        <v>54115.970650568343</v>
      </c>
      <c r="Y92" s="354">
        <f>tblPiNAnalysis8[[#This Row],[Final PiN]]</f>
        <v>108231.94130113669</v>
      </c>
      <c r="Z92" s="326"/>
      <c r="AA92" s="326">
        <f>SUM(tblPiNAnalysis8[[#This Row],[Target (priotitised 1-2 ranking) 100%]:[Target (priotitised 3 ranking) 50%]])</f>
        <v>108231.94130113669</v>
      </c>
    </row>
    <row r="93" spans="1:27" x14ac:dyDescent="0.55000000000000004">
      <c r="A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3" s="316" t="s">
        <v>250</v>
      </c>
      <c r="C93" s="317" t="s">
        <v>251</v>
      </c>
      <c r="D93" s="317" t="s">
        <v>258</v>
      </c>
      <c r="E93" s="105" t="s">
        <v>259</v>
      </c>
      <c r="F93" s="100"/>
      <c r="G93" s="34"/>
      <c r="H93" s="34"/>
      <c r="I93" s="97">
        <v>121484.03458105327</v>
      </c>
      <c r="J93" s="97" t="s">
        <v>413</v>
      </c>
      <c r="K93" s="318"/>
      <c r="L93" s="319">
        <v>46042.449106219196</v>
      </c>
      <c r="M93" s="319">
        <v>59858.47932407858</v>
      </c>
      <c r="N93" s="319">
        <v>86176.646757728115</v>
      </c>
      <c r="O93" s="319">
        <v>43235.42634040417</v>
      </c>
      <c r="P93" s="319">
        <v>20486</v>
      </c>
      <c r="Q93" s="320">
        <v>89929.739884675801</v>
      </c>
      <c r="R93" s="340">
        <v>62413.815931550314</v>
      </c>
      <c r="S93" s="439">
        <v>89929.739884675801</v>
      </c>
      <c r="T93" s="326">
        <v>3</v>
      </c>
      <c r="U93" s="378">
        <v>3</v>
      </c>
      <c r="V93" s="439"/>
      <c r="W93" s="326">
        <f>tblPiNAnalysis8[[#This Row],[Final PiN]]/2</f>
        <v>44964.8699423379</v>
      </c>
      <c r="X93" s="440">
        <f>SUM(tblPiNAnalysis8[[#This Row],[Target (severity 4-5 ranking) 100%]:[Target (severity 3 ranking) 50%]])</f>
        <v>44964.8699423379</v>
      </c>
      <c r="Y93" s="354"/>
      <c r="Z93" s="326">
        <f>tblPiNAnalysis8[[#This Row],[Final PiN]]/2</f>
        <v>44964.8699423379</v>
      </c>
      <c r="AA93" s="326">
        <f>SUM(tblPiNAnalysis8[[#This Row],[Target (priotitised 1-2 ranking) 100%]:[Target (priotitised 3 ranking) 50%]])</f>
        <v>44964.8699423379</v>
      </c>
    </row>
    <row r="94" spans="1:27" x14ac:dyDescent="0.55000000000000004">
      <c r="A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4" s="316" t="s">
        <v>250</v>
      </c>
      <c r="C94" s="317" t="s">
        <v>251</v>
      </c>
      <c r="D94" s="317" t="s">
        <v>260</v>
      </c>
      <c r="E94" s="105" t="s">
        <v>261</v>
      </c>
      <c r="F94" s="100"/>
      <c r="G94" s="34"/>
      <c r="H94" s="34"/>
      <c r="I94" s="97">
        <v>79271.088602523028</v>
      </c>
      <c r="J94" s="97" t="s">
        <v>413</v>
      </c>
      <c r="K94" s="318"/>
      <c r="L94" s="319">
        <v>19686.721186953062</v>
      </c>
      <c r="M94" s="319">
        <v>37294.758549978993</v>
      </c>
      <c r="N94" s="319">
        <v>35027.358509100399</v>
      </c>
      <c r="O94" s="319">
        <v>38688.219690455218</v>
      </c>
      <c r="P94" s="319">
        <v>14100</v>
      </c>
      <c r="Q94" s="320">
        <v>42994.488733571816</v>
      </c>
      <c r="R94" s="340">
        <v>78537.097041388552</v>
      </c>
      <c r="S94" s="439">
        <v>78537.097041388552</v>
      </c>
      <c r="T94" s="326">
        <v>3</v>
      </c>
      <c r="U94" s="378">
        <v>3</v>
      </c>
      <c r="V94" s="439"/>
      <c r="W94" s="326">
        <f>tblPiNAnalysis8[[#This Row],[Final PiN]]/2</f>
        <v>39268.548520694276</v>
      </c>
      <c r="X94" s="440">
        <f>SUM(tblPiNAnalysis8[[#This Row],[Target (severity 4-5 ranking) 100%]:[Target (severity 3 ranking) 50%]])</f>
        <v>39268.548520694276</v>
      </c>
      <c r="Y94" s="354"/>
      <c r="Z94" s="326">
        <f>tblPiNAnalysis8[[#This Row],[Final PiN]]/2</f>
        <v>39268.548520694276</v>
      </c>
      <c r="AA94" s="326">
        <f>SUM(tblPiNAnalysis8[[#This Row],[Target (priotitised 1-2 ranking) 100%]:[Target (priotitised 3 ranking) 50%]])</f>
        <v>39268.548520694276</v>
      </c>
    </row>
    <row r="95" spans="1:27" x14ac:dyDescent="0.55000000000000004">
      <c r="A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5" s="316" t="s">
        <v>250</v>
      </c>
      <c r="C95" s="317" t="s">
        <v>251</v>
      </c>
      <c r="D95" s="317" t="s">
        <v>262</v>
      </c>
      <c r="E95" s="105" t="s">
        <v>263</v>
      </c>
      <c r="F95" s="100"/>
      <c r="G95" s="34"/>
      <c r="H95" s="34"/>
      <c r="I95" s="97">
        <v>107170.91979145796</v>
      </c>
      <c r="J95" s="97" t="s">
        <v>413</v>
      </c>
      <c r="K95" s="318"/>
      <c r="L95" s="319">
        <v>5729.3573720513423</v>
      </c>
      <c r="M95" s="319">
        <v>45780.758584537936</v>
      </c>
      <c r="N95" s="319">
        <v>73504.163352942982</v>
      </c>
      <c r="O95" s="319">
        <v>44407.930448946878</v>
      </c>
      <c r="P95" s="319">
        <v>18196</v>
      </c>
      <c r="Q95" s="320">
        <v>26792.729947864493</v>
      </c>
      <c r="R95" s="340">
        <v>31342.438806935817</v>
      </c>
      <c r="S95" s="439">
        <v>73504.163352942982</v>
      </c>
      <c r="T95" s="326">
        <v>3</v>
      </c>
      <c r="U95" s="378">
        <v>3</v>
      </c>
      <c r="V95" s="439"/>
      <c r="W95" s="326">
        <f>tblPiNAnalysis8[[#This Row],[Final PiN]]/2</f>
        <v>36752.081676471491</v>
      </c>
      <c r="X95" s="440">
        <f>SUM(tblPiNAnalysis8[[#This Row],[Target (severity 4-5 ranking) 100%]:[Target (severity 3 ranking) 50%]])</f>
        <v>36752.081676471491</v>
      </c>
      <c r="Y95" s="354"/>
      <c r="Z95" s="326">
        <f>tblPiNAnalysis8[[#This Row],[Final PiN]]/2</f>
        <v>36752.081676471491</v>
      </c>
      <c r="AA95" s="326">
        <f>SUM(tblPiNAnalysis8[[#This Row],[Target (priotitised 1-2 ranking) 100%]:[Target (priotitised 3 ranking) 50%]])</f>
        <v>36752.081676471491</v>
      </c>
    </row>
    <row r="96" spans="1:27" x14ac:dyDescent="0.55000000000000004">
      <c r="A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6" s="316" t="s">
        <v>250</v>
      </c>
      <c r="C96" s="317" t="s">
        <v>251</v>
      </c>
      <c r="D96" s="317" t="s">
        <v>264</v>
      </c>
      <c r="E96" s="105" t="s">
        <v>265</v>
      </c>
      <c r="F96" s="100"/>
      <c r="G96" s="34"/>
      <c r="H96" s="34"/>
      <c r="I96" s="97">
        <v>159337.28264572358</v>
      </c>
      <c r="J96" s="97" t="s">
        <v>413</v>
      </c>
      <c r="K96" s="318"/>
      <c r="L96" s="319">
        <v>10479.4059411418</v>
      </c>
      <c r="M96" s="319">
        <v>67879.22486518354</v>
      </c>
      <c r="N96" s="319">
        <v>38586.597027883196</v>
      </c>
      <c r="O96" s="319">
        <v>83224.483891593016</v>
      </c>
      <c r="P96" s="319">
        <v>54019</v>
      </c>
      <c r="Q96" s="320">
        <v>10448.346402998268</v>
      </c>
      <c r="R96" s="340">
        <v>55097.938858801615</v>
      </c>
      <c r="S96" s="439">
        <v>83224.483891593016</v>
      </c>
      <c r="T96" s="326">
        <v>3</v>
      </c>
      <c r="U96" s="378">
        <v>4</v>
      </c>
      <c r="V96" s="439"/>
      <c r="W96" s="326">
        <f>tblPiNAnalysis8[[#This Row],[Final PiN]]/2</f>
        <v>41612.241945796508</v>
      </c>
      <c r="X96" s="440">
        <f>SUM(tblPiNAnalysis8[[#This Row],[Target (severity 4-5 ranking) 100%]:[Target (severity 3 ranking) 50%]])</f>
        <v>41612.241945796508</v>
      </c>
      <c r="Y96" s="354"/>
      <c r="Z96" s="326"/>
      <c r="AA96" s="326">
        <f>SUM(tblPiNAnalysis8[[#This Row],[Target (priotitised 1-2 ranking) 100%]:[Target (priotitised 3 ranking) 50%]])</f>
        <v>0</v>
      </c>
    </row>
    <row r="97" spans="1:27" x14ac:dyDescent="0.55000000000000004">
      <c r="A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7" s="316" t="s">
        <v>250</v>
      </c>
      <c r="C97" s="317" t="s">
        <v>251</v>
      </c>
      <c r="D97" s="317" t="s">
        <v>266</v>
      </c>
      <c r="E97" s="105" t="s">
        <v>267</v>
      </c>
      <c r="F97" s="100"/>
      <c r="G97" s="34"/>
      <c r="H97" s="34"/>
      <c r="I97" s="97">
        <v>47474.399116158442</v>
      </c>
      <c r="J97" s="97" t="s">
        <v>413</v>
      </c>
      <c r="K97" s="318"/>
      <c r="L97" s="319">
        <v>5311.3408243175745</v>
      </c>
      <c r="M97" s="319">
        <v>30283.540237307421</v>
      </c>
      <c r="N97" s="319">
        <v>26656.881066419981</v>
      </c>
      <c r="O97" s="319">
        <v>37597.565887588869</v>
      </c>
      <c r="P97" s="319">
        <v>15714</v>
      </c>
      <c r="Q97" s="320">
        <v>26110.919513887144</v>
      </c>
      <c r="R97" s="340">
        <v>32800.493934800375</v>
      </c>
      <c r="S97" s="439">
        <v>37597.565887588869</v>
      </c>
      <c r="T97" s="326">
        <v>3</v>
      </c>
      <c r="U97" s="378">
        <v>4</v>
      </c>
      <c r="V97" s="439"/>
      <c r="W97" s="326">
        <f>tblPiNAnalysis8[[#This Row],[Final PiN]]/2</f>
        <v>18798.782943794435</v>
      </c>
      <c r="X97" s="440">
        <f>SUM(tblPiNAnalysis8[[#This Row],[Target (severity 4-5 ranking) 100%]:[Target (severity 3 ranking) 50%]])</f>
        <v>18798.782943794435</v>
      </c>
      <c r="Y97" s="354"/>
      <c r="Z97" s="326"/>
      <c r="AA97" s="326">
        <f>SUM(tblPiNAnalysis8[[#This Row],[Target (priotitised 1-2 ranking) 100%]:[Target (priotitised 3 ranking) 50%]])</f>
        <v>0</v>
      </c>
    </row>
    <row r="98" spans="1:27" x14ac:dyDescent="0.55000000000000004">
      <c r="A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8" s="316" t="s">
        <v>268</v>
      </c>
      <c r="C98" s="317" t="s">
        <v>269</v>
      </c>
      <c r="D98" s="317" t="s">
        <v>270</v>
      </c>
      <c r="E98" s="105" t="s">
        <v>271</v>
      </c>
      <c r="F98" s="100"/>
      <c r="G98" s="34"/>
      <c r="H98" s="34"/>
      <c r="I98" s="97">
        <v>146807.46329287597</v>
      </c>
      <c r="J98" s="97" t="s">
        <v>413</v>
      </c>
      <c r="K98" s="318"/>
      <c r="L98" s="319">
        <v>28955.129600180513</v>
      </c>
      <c r="M98" s="319">
        <v>85498.20173389159</v>
      </c>
      <c r="N98" s="319">
        <v>126136.8235023275</v>
      </c>
      <c r="O98" s="319">
        <v>78587.456294377014</v>
      </c>
      <c r="P98" s="319">
        <v>57549</v>
      </c>
      <c r="Q98" s="320">
        <v>101635.93612583721</v>
      </c>
      <c r="R98" s="340">
        <v>73403.731646437984</v>
      </c>
      <c r="S98" s="439">
        <v>126136.8235023275</v>
      </c>
      <c r="T98" s="326">
        <v>4</v>
      </c>
      <c r="U98" s="378">
        <v>1</v>
      </c>
      <c r="V98" s="439">
        <f>tblPiNAnalysis8[[#This Row],[Final PiN]]</f>
        <v>126136.8235023275</v>
      </c>
      <c r="W98" s="326"/>
      <c r="X98" s="440">
        <f>SUM(tblPiNAnalysis8[[#This Row],[Target (severity 4-5 ranking) 100%]:[Target (severity 3 ranking) 50%]])</f>
        <v>126136.8235023275</v>
      </c>
      <c r="Y98" s="354">
        <f>tblPiNAnalysis8[[#This Row],[Final PiN]]</f>
        <v>126136.8235023275</v>
      </c>
      <c r="Z98" s="326"/>
      <c r="AA98" s="326">
        <f>SUM(tblPiNAnalysis8[[#This Row],[Target (priotitised 1-2 ranking) 100%]:[Target (priotitised 3 ranking) 50%]])</f>
        <v>126136.8235023275</v>
      </c>
    </row>
    <row r="99" spans="1:27" x14ac:dyDescent="0.55000000000000004">
      <c r="A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9" s="316" t="s">
        <v>268</v>
      </c>
      <c r="C99" s="317" t="s">
        <v>269</v>
      </c>
      <c r="D99" s="317" t="s">
        <v>272</v>
      </c>
      <c r="E99" s="105" t="s">
        <v>273</v>
      </c>
      <c r="F99" s="100"/>
      <c r="G99" s="34"/>
      <c r="H99" s="34"/>
      <c r="I99" s="97">
        <v>126785.47631993188</v>
      </c>
      <c r="J99" s="97" t="s">
        <v>413</v>
      </c>
      <c r="K99" s="318"/>
      <c r="L99" s="319">
        <v>17472.052920697173</v>
      </c>
      <c r="M99" s="319">
        <v>55020.705877044304</v>
      </c>
      <c r="N99" s="319">
        <v>93800.145733472207</v>
      </c>
      <c r="O99" s="319">
        <v>56927.12951178303</v>
      </c>
      <c r="P99" s="319">
        <v>44328</v>
      </c>
      <c r="Q99" s="320">
        <v>55823.455991611794</v>
      </c>
      <c r="R99" s="340">
        <v>108231.50417555163</v>
      </c>
      <c r="S99" s="439">
        <v>108231.50417555163</v>
      </c>
      <c r="T99" s="326">
        <v>4</v>
      </c>
      <c r="U99" s="378">
        <v>2</v>
      </c>
      <c r="V99" s="439">
        <f>tblPiNAnalysis8[[#This Row],[Final PiN]]</f>
        <v>108231.50417555163</v>
      </c>
      <c r="W99" s="326"/>
      <c r="X99" s="440">
        <f>SUM(tblPiNAnalysis8[[#This Row],[Target (severity 4-5 ranking) 100%]:[Target (severity 3 ranking) 50%]])</f>
        <v>108231.50417555163</v>
      </c>
      <c r="Y99" s="354">
        <f>tblPiNAnalysis8[[#This Row],[Final PiN]]</f>
        <v>108231.50417555163</v>
      </c>
      <c r="Z99" s="326"/>
      <c r="AA99" s="326">
        <f>SUM(tblPiNAnalysis8[[#This Row],[Target (priotitised 1-2 ranking) 100%]:[Target (priotitised 3 ranking) 50%]])</f>
        <v>108231.50417555163</v>
      </c>
    </row>
    <row r="100" spans="1:27" x14ac:dyDescent="0.55000000000000004">
      <c r="A1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0" s="316" t="s">
        <v>268</v>
      </c>
      <c r="C100" s="317" t="s">
        <v>269</v>
      </c>
      <c r="D100" s="317" t="s">
        <v>274</v>
      </c>
      <c r="E100" s="105" t="s">
        <v>275</v>
      </c>
      <c r="F100" s="100"/>
      <c r="G100" s="34"/>
      <c r="H100" s="34"/>
      <c r="I100" s="97">
        <v>191777.77641387403</v>
      </c>
      <c r="J100" s="97" t="s">
        <v>413</v>
      </c>
      <c r="K100" s="318"/>
      <c r="L100" s="319">
        <v>38783.219724177747</v>
      </c>
      <c r="M100" s="319">
        <v>96420.643217037126</v>
      </c>
      <c r="N100" s="319">
        <v>45820.494914653173</v>
      </c>
      <c r="O100" s="319">
        <v>106537.69719115124</v>
      </c>
      <c r="P100" s="319">
        <v>65882</v>
      </c>
      <c r="Q100" s="320">
        <v>157119.14212221006</v>
      </c>
      <c r="R100" s="340">
        <v>90561.72775099607</v>
      </c>
      <c r="S100" s="439">
        <v>157119.14212221006</v>
      </c>
      <c r="T100" s="326">
        <v>3</v>
      </c>
      <c r="U100" s="378">
        <v>4</v>
      </c>
      <c r="V100" s="439"/>
      <c r="W100" s="326">
        <f>tblPiNAnalysis8[[#This Row],[Final PiN]]/2</f>
        <v>78559.571061105031</v>
      </c>
      <c r="X100" s="440">
        <f>SUM(tblPiNAnalysis8[[#This Row],[Target (severity 4-5 ranking) 100%]:[Target (severity 3 ranking) 50%]])</f>
        <v>78559.571061105031</v>
      </c>
      <c r="Y100" s="354"/>
      <c r="Z100" s="326"/>
      <c r="AA100" s="326">
        <f>SUM(tblPiNAnalysis8[[#This Row],[Target (priotitised 1-2 ranking) 100%]:[Target (priotitised 3 ranking) 50%]])</f>
        <v>0</v>
      </c>
    </row>
    <row r="101" spans="1:27" x14ac:dyDescent="0.55000000000000004">
      <c r="A1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1" s="316" t="s">
        <v>268</v>
      </c>
      <c r="C101" s="317" t="s">
        <v>269</v>
      </c>
      <c r="D101" s="317" t="s">
        <v>276</v>
      </c>
      <c r="E101" s="105" t="s">
        <v>277</v>
      </c>
      <c r="F101" s="100"/>
      <c r="G101" s="34"/>
      <c r="H101" s="34"/>
      <c r="I101" s="97">
        <v>32762.733973342118</v>
      </c>
      <c r="J101" s="97" t="s">
        <v>413</v>
      </c>
      <c r="K101" s="318"/>
      <c r="L101" s="319">
        <v>4590.8780980145648</v>
      </c>
      <c r="M101" s="319">
        <v>16245.83624605341</v>
      </c>
      <c r="N101" s="319">
        <v>28785.298326178607</v>
      </c>
      <c r="O101" s="319">
        <v>24135.055253750837</v>
      </c>
      <c r="P101" s="319">
        <v>11168</v>
      </c>
      <c r="Q101" s="320">
        <v>25482.126423710535</v>
      </c>
      <c r="R101" s="340">
        <v>31549.299381736855</v>
      </c>
      <c r="S101" s="439">
        <v>31549.299381736855</v>
      </c>
      <c r="T101" s="326">
        <v>4</v>
      </c>
      <c r="U101" s="378">
        <v>1</v>
      </c>
      <c r="V101" s="439">
        <f>tblPiNAnalysis8[[#This Row],[Final PiN]]</f>
        <v>31549.299381736855</v>
      </c>
      <c r="W101" s="326"/>
      <c r="X101" s="440">
        <f>SUM(tblPiNAnalysis8[[#This Row],[Target (severity 4-5 ranking) 100%]:[Target (severity 3 ranking) 50%]])</f>
        <v>31549.299381736855</v>
      </c>
      <c r="Y101" s="354">
        <f>tblPiNAnalysis8[[#This Row],[Final PiN]]</f>
        <v>31549.299381736855</v>
      </c>
      <c r="Z101" s="326"/>
      <c r="AA101" s="326">
        <f>SUM(tblPiNAnalysis8[[#This Row],[Target (priotitised 1-2 ranking) 100%]:[Target (priotitised 3 ranking) 50%]])</f>
        <v>31549.299381736855</v>
      </c>
    </row>
    <row r="102" spans="1:27" x14ac:dyDescent="0.55000000000000004">
      <c r="A1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2" s="316" t="s">
        <v>268</v>
      </c>
      <c r="C102" s="317" t="s">
        <v>269</v>
      </c>
      <c r="D102" s="317" t="s">
        <v>278</v>
      </c>
      <c r="E102" s="105" t="s">
        <v>279</v>
      </c>
      <c r="F102" s="100"/>
      <c r="G102" s="34"/>
      <c r="H102" s="34"/>
      <c r="I102" s="97">
        <v>95901.718428606313</v>
      </c>
      <c r="J102" s="97" t="s">
        <v>413</v>
      </c>
      <c r="K102" s="318"/>
      <c r="L102" s="319">
        <v>10794.697426323926</v>
      </c>
      <c r="M102" s="319">
        <v>47590.815393860707</v>
      </c>
      <c r="N102" s="319">
        <v>66895.029767823638</v>
      </c>
      <c r="O102" s="319">
        <v>63790.367415290682</v>
      </c>
      <c r="P102" s="319">
        <v>32952</v>
      </c>
      <c r="Q102" s="320">
        <v>90800.563193042151</v>
      </c>
      <c r="R102" s="340">
        <v>45286.922591286311</v>
      </c>
      <c r="S102" s="439">
        <v>90800.563193042151</v>
      </c>
      <c r="T102" s="326">
        <v>4</v>
      </c>
      <c r="U102" s="378">
        <v>2</v>
      </c>
      <c r="V102" s="439">
        <f>tblPiNAnalysis8[[#This Row],[Final PiN]]</f>
        <v>90800.563193042151</v>
      </c>
      <c r="W102" s="326"/>
      <c r="X102" s="440">
        <f>SUM(tblPiNAnalysis8[[#This Row],[Target (severity 4-5 ranking) 100%]:[Target (severity 3 ranking) 50%]])</f>
        <v>90800.563193042151</v>
      </c>
      <c r="Y102" s="354">
        <f>tblPiNAnalysis8[[#This Row],[Final PiN]]</f>
        <v>90800.563193042151</v>
      </c>
      <c r="Z102" s="326"/>
      <c r="AA102" s="326">
        <f>SUM(tblPiNAnalysis8[[#This Row],[Target (priotitised 1-2 ranking) 100%]:[Target (priotitised 3 ranking) 50%]])</f>
        <v>90800.563193042151</v>
      </c>
    </row>
    <row r="103" spans="1:27" x14ac:dyDescent="0.55000000000000004">
      <c r="A1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3" s="316" t="s">
        <v>268</v>
      </c>
      <c r="C103" s="317" t="s">
        <v>269</v>
      </c>
      <c r="D103" s="317" t="s">
        <v>280</v>
      </c>
      <c r="E103" s="105" t="s">
        <v>281</v>
      </c>
      <c r="F103" s="100"/>
      <c r="G103" s="34"/>
      <c r="H103" s="34"/>
      <c r="I103" s="97">
        <v>57313.644275077953</v>
      </c>
      <c r="J103" s="97" t="s">
        <v>413</v>
      </c>
      <c r="K103" s="318"/>
      <c r="L103" s="319">
        <v>13139.840713792923</v>
      </c>
      <c r="M103" s="319">
        <v>25342.82396965627</v>
      </c>
      <c r="N103" s="319">
        <v>49721.189721641669</v>
      </c>
      <c r="O103" s="319">
        <v>37328.895143262234</v>
      </c>
      <c r="P103" s="319">
        <v>20380</v>
      </c>
      <c r="Q103" s="320">
        <v>30861.193071195819</v>
      </c>
      <c r="R103" s="340">
        <v>45107.960772052087</v>
      </c>
      <c r="S103" s="439">
        <v>49721.189721641669</v>
      </c>
      <c r="T103" s="326">
        <v>5</v>
      </c>
      <c r="U103" s="378">
        <v>1</v>
      </c>
      <c r="V103" s="439">
        <f>tblPiNAnalysis8[[#This Row],[Final PiN]]</f>
        <v>49721.189721641669</v>
      </c>
      <c r="W103" s="326"/>
      <c r="X103" s="440">
        <f>SUM(tblPiNAnalysis8[[#This Row],[Target (severity 4-5 ranking) 100%]:[Target (severity 3 ranking) 50%]])</f>
        <v>49721.189721641669</v>
      </c>
      <c r="Y103" s="354">
        <f>tblPiNAnalysis8[[#This Row],[Final PiN]]</f>
        <v>49721.189721641669</v>
      </c>
      <c r="Z103" s="326"/>
      <c r="AA103" s="326">
        <f>SUM(tblPiNAnalysis8[[#This Row],[Target (priotitised 1-2 ranking) 100%]:[Target (priotitised 3 ranking) 50%]])</f>
        <v>49721.189721641669</v>
      </c>
    </row>
    <row r="104" spans="1:27" x14ac:dyDescent="0.55000000000000004">
      <c r="A1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4" s="316" t="s">
        <v>268</v>
      </c>
      <c r="C104" s="317" t="s">
        <v>269</v>
      </c>
      <c r="D104" s="317" t="s">
        <v>282</v>
      </c>
      <c r="E104" s="105" t="s">
        <v>283</v>
      </c>
      <c r="F104" s="100"/>
      <c r="G104" s="34"/>
      <c r="H104" s="34"/>
      <c r="I104" s="97">
        <v>65001.764922770279</v>
      </c>
      <c r="J104" s="97" t="s">
        <v>413</v>
      </c>
      <c r="K104" s="318"/>
      <c r="L104" s="319">
        <v>22593.352452915449</v>
      </c>
      <c r="M104" s="319">
        <v>35489.870692616212</v>
      </c>
      <c r="N104" s="319">
        <v>48712.090327487043</v>
      </c>
      <c r="O104" s="319">
        <v>45826.429946831784</v>
      </c>
      <c r="P104" s="319">
        <v>22360</v>
      </c>
      <c r="Q104" s="320">
        <v>47896.037311514949</v>
      </c>
      <c r="R104" s="340">
        <v>44538.246335972239</v>
      </c>
      <c r="S104" s="439">
        <v>48712.090327487043</v>
      </c>
      <c r="T104" s="326">
        <v>3</v>
      </c>
      <c r="U104" s="378">
        <v>2</v>
      </c>
      <c r="V104" s="439"/>
      <c r="W104" s="326">
        <f>tblPiNAnalysis8[[#This Row],[Final PiN]]/2</f>
        <v>24356.045163743522</v>
      </c>
      <c r="X104" s="440">
        <f>SUM(tblPiNAnalysis8[[#This Row],[Target (severity 4-5 ranking) 100%]:[Target (severity 3 ranking) 50%]])</f>
        <v>24356.045163743522</v>
      </c>
      <c r="Y104" s="354">
        <f>tblPiNAnalysis8[[#This Row],[Final PiN]]</f>
        <v>48712.090327487043</v>
      </c>
      <c r="Z104" s="326"/>
      <c r="AA104" s="326">
        <f>SUM(tblPiNAnalysis8[[#This Row],[Target (priotitised 1-2 ranking) 100%]:[Target (priotitised 3 ranking) 50%]])</f>
        <v>48712.090327487043</v>
      </c>
    </row>
    <row r="105" spans="1:27" x14ac:dyDescent="0.55000000000000004">
      <c r="A1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5" s="316" t="s">
        <v>268</v>
      </c>
      <c r="C105" s="317" t="s">
        <v>269</v>
      </c>
      <c r="D105" s="317" t="s">
        <v>284</v>
      </c>
      <c r="E105" s="105" t="s">
        <v>285</v>
      </c>
      <c r="F105" s="100"/>
      <c r="G105" s="34"/>
      <c r="H105" s="34"/>
      <c r="I105" s="97">
        <v>146214.98577625639</v>
      </c>
      <c r="J105" s="97" t="s">
        <v>413</v>
      </c>
      <c r="K105" s="318"/>
      <c r="L105" s="319">
        <v>41898.489034129365</v>
      </c>
      <c r="M105" s="319">
        <v>88990.012388021394</v>
      </c>
      <c r="N105" s="319">
        <v>116811.30925544295</v>
      </c>
      <c r="O105" s="319">
        <v>89058.581669314983</v>
      </c>
      <c r="P105" s="319">
        <v>48790</v>
      </c>
      <c r="Q105" s="320">
        <v>77309.072939170044</v>
      </c>
      <c r="R105" s="340">
        <v>119138.13655843114</v>
      </c>
      <c r="S105" s="439">
        <v>119138.13655843114</v>
      </c>
      <c r="T105" s="326">
        <v>4</v>
      </c>
      <c r="U105" s="378">
        <v>1</v>
      </c>
      <c r="V105" s="439">
        <f>tblPiNAnalysis8[[#This Row],[Final PiN]]</f>
        <v>119138.13655843114</v>
      </c>
      <c r="W105" s="326"/>
      <c r="X105" s="440">
        <f>SUM(tblPiNAnalysis8[[#This Row],[Target (severity 4-5 ranking) 100%]:[Target (severity 3 ranking) 50%]])</f>
        <v>119138.13655843114</v>
      </c>
      <c r="Y105" s="354">
        <f>tblPiNAnalysis8[[#This Row],[Final PiN]]</f>
        <v>119138.13655843114</v>
      </c>
      <c r="Z105" s="326"/>
      <c r="AA105" s="326">
        <f>SUM(tblPiNAnalysis8[[#This Row],[Target (priotitised 1-2 ranking) 100%]:[Target (priotitised 3 ranking) 50%]])</f>
        <v>119138.13655843114</v>
      </c>
    </row>
    <row r="106" spans="1:27" x14ac:dyDescent="0.55000000000000004">
      <c r="A1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6" s="316" t="s">
        <v>268</v>
      </c>
      <c r="C106" s="317" t="s">
        <v>269</v>
      </c>
      <c r="D106" s="317" t="s">
        <v>286</v>
      </c>
      <c r="E106" s="105" t="s">
        <v>287</v>
      </c>
      <c r="F106" s="100"/>
      <c r="G106" s="34"/>
      <c r="H106" s="34"/>
      <c r="I106" s="97">
        <v>50788.148876183637</v>
      </c>
      <c r="J106" s="97" t="s">
        <v>413</v>
      </c>
      <c r="K106" s="318"/>
      <c r="L106" s="319">
        <v>6521.8077734884937</v>
      </c>
      <c r="M106" s="319">
        <v>22891.875571757526</v>
      </c>
      <c r="N106" s="319">
        <v>34279.491171084221</v>
      </c>
      <c r="O106" s="319">
        <v>32117.106103601607</v>
      </c>
      <c r="P106" s="319">
        <v>17143</v>
      </c>
      <c r="Q106" s="320">
        <v>38340.073171236669</v>
      </c>
      <c r="R106" s="340">
        <v>1863.7852798599502</v>
      </c>
      <c r="S106" s="439">
        <v>38340.073171236669</v>
      </c>
      <c r="T106" s="326">
        <v>3</v>
      </c>
      <c r="U106" s="378">
        <v>3</v>
      </c>
      <c r="V106" s="439"/>
      <c r="W106" s="326">
        <f>tblPiNAnalysis8[[#This Row],[Final PiN]]/2</f>
        <v>19170.036585618334</v>
      </c>
      <c r="X106" s="440">
        <f>SUM(tblPiNAnalysis8[[#This Row],[Target (severity 4-5 ranking) 100%]:[Target (severity 3 ranking) 50%]])</f>
        <v>19170.036585618334</v>
      </c>
      <c r="Y106" s="354"/>
      <c r="Z106" s="326">
        <f>tblPiNAnalysis8[[#This Row],[Final PiN]]/2</f>
        <v>19170.036585618334</v>
      </c>
      <c r="AA106" s="326">
        <f>SUM(tblPiNAnalysis8[[#This Row],[Target (priotitised 1-2 ranking) 100%]:[Target (priotitised 3 ranking) 50%]])</f>
        <v>19170.036585618334</v>
      </c>
    </row>
    <row r="107" spans="1:27" x14ac:dyDescent="0.55000000000000004">
      <c r="A1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7" s="316" t="s">
        <v>268</v>
      </c>
      <c r="C107" s="317" t="s">
        <v>269</v>
      </c>
      <c r="D107" s="317" t="s">
        <v>288</v>
      </c>
      <c r="E107" s="105" t="s">
        <v>289</v>
      </c>
      <c r="F107" s="100"/>
      <c r="G107" s="34"/>
      <c r="H107" s="34"/>
      <c r="I107" s="97">
        <v>77537.996273544151</v>
      </c>
      <c r="J107" s="97" t="s">
        <v>413</v>
      </c>
      <c r="K107" s="318"/>
      <c r="L107" s="319">
        <v>21646.670109666691</v>
      </c>
      <c r="M107" s="319">
        <v>39149.946887182959</v>
      </c>
      <c r="N107" s="319">
        <v>56785.48513022079</v>
      </c>
      <c r="O107" s="319">
        <v>43225.538681770711</v>
      </c>
      <c r="P107" s="319">
        <v>12858</v>
      </c>
      <c r="Q107" s="320">
        <v>73931.577842216517</v>
      </c>
      <c r="R107" s="340">
        <v>51691.997515696101</v>
      </c>
      <c r="S107" s="439">
        <v>73931.577842216517</v>
      </c>
      <c r="T107" s="326">
        <v>4</v>
      </c>
      <c r="U107" s="378">
        <v>2</v>
      </c>
      <c r="V107" s="439">
        <f>tblPiNAnalysis8[[#This Row],[Final PiN]]</f>
        <v>73931.577842216517</v>
      </c>
      <c r="W107" s="326"/>
      <c r="X107" s="440">
        <f>SUM(tblPiNAnalysis8[[#This Row],[Target (severity 4-5 ranking) 100%]:[Target (severity 3 ranking) 50%]])</f>
        <v>73931.577842216517</v>
      </c>
      <c r="Y107" s="354">
        <f>tblPiNAnalysis8[[#This Row],[Final PiN]]</f>
        <v>73931.577842216517</v>
      </c>
      <c r="Z107" s="326"/>
      <c r="AA107" s="326">
        <f>SUM(tblPiNAnalysis8[[#This Row],[Target (priotitised 1-2 ranking) 100%]:[Target (priotitised 3 ranking) 50%]])</f>
        <v>73931.577842216517</v>
      </c>
    </row>
    <row r="108" spans="1:27" x14ac:dyDescent="0.55000000000000004">
      <c r="A1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8" s="316" t="s">
        <v>268</v>
      </c>
      <c r="C108" s="317" t="s">
        <v>269</v>
      </c>
      <c r="D108" s="317" t="s">
        <v>290</v>
      </c>
      <c r="E108" s="105" t="s">
        <v>291</v>
      </c>
      <c r="F108" s="100"/>
      <c r="G108" s="34"/>
      <c r="H108" s="34"/>
      <c r="I108" s="97">
        <v>136551.06257292113</v>
      </c>
      <c r="J108" s="97" t="s">
        <v>413</v>
      </c>
      <c r="K108" s="318"/>
      <c r="L108" s="319">
        <v>33504.714917142221</v>
      </c>
      <c r="M108" s="319">
        <v>91212.578352857352</v>
      </c>
      <c r="N108" s="319">
        <v>111287.51700986865</v>
      </c>
      <c r="O108" s="319">
        <v>65466.945842073503</v>
      </c>
      <c r="P108" s="319">
        <v>47365</v>
      </c>
      <c r="Q108" s="320">
        <v>29586.063557466245</v>
      </c>
      <c r="R108" s="340">
        <v>113792.55214410093</v>
      </c>
      <c r="S108" s="439">
        <v>113792.55214410093</v>
      </c>
      <c r="T108" s="326">
        <v>4</v>
      </c>
      <c r="U108" s="378">
        <v>2</v>
      </c>
      <c r="V108" s="439">
        <f>tblPiNAnalysis8[[#This Row],[Final PiN]]</f>
        <v>113792.55214410093</v>
      </c>
      <c r="W108" s="326"/>
      <c r="X108" s="440">
        <f>SUM(tblPiNAnalysis8[[#This Row],[Target (severity 4-5 ranking) 100%]:[Target (severity 3 ranking) 50%]])</f>
        <v>113792.55214410093</v>
      </c>
      <c r="Y108" s="354">
        <f>tblPiNAnalysis8[[#This Row],[Final PiN]]</f>
        <v>113792.55214410093</v>
      </c>
      <c r="Z108" s="326"/>
      <c r="AA108" s="326">
        <f>SUM(tblPiNAnalysis8[[#This Row],[Target (priotitised 1-2 ranking) 100%]:[Target (priotitised 3 ranking) 50%]])</f>
        <v>113792.55214410093</v>
      </c>
    </row>
    <row r="109" spans="1:27" x14ac:dyDescent="0.55000000000000004">
      <c r="A1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9" s="316" t="s">
        <v>292</v>
      </c>
      <c r="C109" s="317" t="s">
        <v>293</v>
      </c>
      <c r="D109" s="317" t="s">
        <v>294</v>
      </c>
      <c r="E109" s="105" t="s">
        <v>295</v>
      </c>
      <c r="F109" s="100"/>
      <c r="G109" s="34"/>
      <c r="H109" s="34"/>
      <c r="I109" s="97">
        <v>73916.557684246116</v>
      </c>
      <c r="J109" s="97" t="s">
        <v>413</v>
      </c>
      <c r="K109" s="318"/>
      <c r="L109" s="319">
        <v>28316.767999815525</v>
      </c>
      <c r="M109" s="319">
        <v>33140.051502320777</v>
      </c>
      <c r="N109" s="319">
        <v>48041.145218213831</v>
      </c>
      <c r="O109" s="319">
        <v>36149.518888864797</v>
      </c>
      <c r="P109" s="319">
        <v>12054</v>
      </c>
      <c r="Q109" s="320">
        <v>46197.848552653828</v>
      </c>
      <c r="R109" s="340">
        <v>55437.418263184583</v>
      </c>
      <c r="S109" s="439">
        <v>55437.418263184583</v>
      </c>
      <c r="T109" s="326">
        <v>3</v>
      </c>
      <c r="U109" s="378">
        <v>3</v>
      </c>
      <c r="V109" s="439"/>
      <c r="W109" s="326">
        <f>tblPiNAnalysis8[[#This Row],[Final PiN]]/2</f>
        <v>27718.709131592292</v>
      </c>
      <c r="X109" s="440">
        <f>SUM(tblPiNAnalysis8[[#This Row],[Target (severity 4-5 ranking) 100%]:[Target (severity 3 ranking) 50%]])</f>
        <v>27718.709131592292</v>
      </c>
      <c r="Y109" s="354"/>
      <c r="Z109" s="326">
        <f>tblPiNAnalysis8[[#This Row],[Final PiN]]/2</f>
        <v>27718.709131592292</v>
      </c>
      <c r="AA109" s="326">
        <f>SUM(tblPiNAnalysis8[[#This Row],[Target (priotitised 1-2 ranking) 100%]:[Target (priotitised 3 ranking) 50%]])</f>
        <v>27718.709131592292</v>
      </c>
    </row>
    <row r="110" spans="1:27" x14ac:dyDescent="0.55000000000000004">
      <c r="A1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0" s="316" t="s">
        <v>292</v>
      </c>
      <c r="C110" s="317" t="s">
        <v>293</v>
      </c>
      <c r="D110" s="317" t="s">
        <v>296</v>
      </c>
      <c r="E110" s="105" t="s">
        <v>297</v>
      </c>
      <c r="F110" s="100"/>
      <c r="G110" s="34"/>
      <c r="H110" s="34"/>
      <c r="I110" s="97">
        <v>143892.97660154747</v>
      </c>
      <c r="J110" s="97" t="s">
        <v>413</v>
      </c>
      <c r="K110" s="318"/>
      <c r="L110" s="319">
        <v>40309.746786227704</v>
      </c>
      <c r="M110" s="319">
        <v>60960.105528764623</v>
      </c>
      <c r="N110" s="319">
        <v>74557.836210395471</v>
      </c>
      <c r="O110" s="319">
        <v>60316.192018614078</v>
      </c>
      <c r="P110" s="319">
        <v>25325</v>
      </c>
      <c r="Q110" s="320">
        <v>45865.886291743263</v>
      </c>
      <c r="R110" s="340">
        <v>94596.308691758051</v>
      </c>
      <c r="S110" s="439">
        <v>94596.308691758051</v>
      </c>
      <c r="T110" s="326">
        <v>3</v>
      </c>
      <c r="U110" s="378">
        <v>5</v>
      </c>
      <c r="V110" s="439"/>
      <c r="W110" s="326">
        <f>tblPiNAnalysis8[[#This Row],[Final PiN]]/2</f>
        <v>47298.154345879026</v>
      </c>
      <c r="X110" s="440">
        <f>SUM(tblPiNAnalysis8[[#This Row],[Target (severity 4-5 ranking) 100%]:[Target (severity 3 ranking) 50%]])</f>
        <v>47298.154345879026</v>
      </c>
      <c r="Y110" s="354"/>
      <c r="Z110" s="326"/>
      <c r="AA110" s="326">
        <f>SUM(tblPiNAnalysis8[[#This Row],[Target (priotitised 1-2 ranking) 100%]:[Target (priotitised 3 ranking) 50%]])</f>
        <v>0</v>
      </c>
    </row>
    <row r="111" spans="1:27" x14ac:dyDescent="0.55000000000000004">
      <c r="A1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1" s="316" t="s">
        <v>292</v>
      </c>
      <c r="C111" s="317" t="s">
        <v>293</v>
      </c>
      <c r="D111" s="317" t="s">
        <v>298</v>
      </c>
      <c r="E111" s="105" t="s">
        <v>299</v>
      </c>
      <c r="F111" s="100"/>
      <c r="G111" s="34"/>
      <c r="H111" s="34"/>
      <c r="I111" s="97">
        <v>170865.34327385121</v>
      </c>
      <c r="J111" s="97" t="s">
        <v>413</v>
      </c>
      <c r="K111" s="318"/>
      <c r="L111" s="319">
        <v>45062.31698161277</v>
      </c>
      <c r="M111" s="319">
        <v>71721.243285350851</v>
      </c>
      <c r="N111" s="319">
        <v>122051.75161431311</v>
      </c>
      <c r="O111" s="319">
        <v>85666.530459267466</v>
      </c>
      <c r="P111" s="319">
        <v>31928</v>
      </c>
      <c r="Q111" s="320">
        <v>125533.7215889519</v>
      </c>
      <c r="R111" s="340">
        <v>83081.313701964347</v>
      </c>
      <c r="S111" s="439">
        <v>125533.7215889519</v>
      </c>
      <c r="T111" s="326">
        <v>3</v>
      </c>
      <c r="U111" s="378">
        <v>4</v>
      </c>
      <c r="V111" s="439"/>
      <c r="W111" s="326">
        <f>tblPiNAnalysis8[[#This Row],[Final PiN]]/2</f>
        <v>62766.86079447595</v>
      </c>
      <c r="X111" s="440">
        <f>SUM(tblPiNAnalysis8[[#This Row],[Target (severity 4-5 ranking) 100%]:[Target (severity 3 ranking) 50%]])</f>
        <v>62766.86079447595</v>
      </c>
      <c r="Y111" s="354"/>
      <c r="Z111" s="326"/>
      <c r="AA111" s="326">
        <f>SUM(tblPiNAnalysis8[[#This Row],[Target (priotitised 1-2 ranking) 100%]:[Target (priotitised 3 ranking) 50%]])</f>
        <v>0</v>
      </c>
    </row>
    <row r="112" spans="1:27" x14ac:dyDescent="0.55000000000000004">
      <c r="A1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2" s="316" t="s">
        <v>292</v>
      </c>
      <c r="C112" s="317" t="s">
        <v>293</v>
      </c>
      <c r="D112" s="317" t="s">
        <v>300</v>
      </c>
      <c r="E112" s="105" t="s">
        <v>301</v>
      </c>
      <c r="F112" s="100"/>
      <c r="G112" s="34"/>
      <c r="H112" s="34"/>
      <c r="I112" s="97">
        <v>131576.89060543224</v>
      </c>
      <c r="J112" s="97" t="s">
        <v>413</v>
      </c>
      <c r="K112" s="318"/>
      <c r="L112" s="319">
        <v>18835.626620839445</v>
      </c>
      <c r="M112" s="319">
        <v>56307.380382966548</v>
      </c>
      <c r="N112" s="319">
        <v>101074.03044545196</v>
      </c>
      <c r="O112" s="319">
        <v>47796.308772506978</v>
      </c>
      <c r="P112" s="319">
        <v>21803</v>
      </c>
      <c r="Q112" s="320">
        <v>112657.3377079191</v>
      </c>
      <c r="R112" s="340">
        <v>70661.663473287685</v>
      </c>
      <c r="S112" s="439">
        <v>112657.3377079191</v>
      </c>
      <c r="T112" s="326">
        <v>3</v>
      </c>
      <c r="U112" s="378">
        <v>4</v>
      </c>
      <c r="V112" s="439"/>
      <c r="W112" s="326">
        <f>tblPiNAnalysis8[[#This Row],[Final PiN]]/2</f>
        <v>56328.668853959549</v>
      </c>
      <c r="X112" s="440">
        <f>SUM(tblPiNAnalysis8[[#This Row],[Target (severity 4-5 ranking) 100%]:[Target (severity 3 ranking) 50%]])</f>
        <v>56328.668853959549</v>
      </c>
      <c r="Y112" s="354"/>
      <c r="Z112" s="326"/>
      <c r="AA112" s="326">
        <f>SUM(tblPiNAnalysis8[[#This Row],[Target (priotitised 1-2 ranking) 100%]:[Target (priotitised 3 ranking) 50%]])</f>
        <v>0</v>
      </c>
    </row>
    <row r="113" spans="1:27" x14ac:dyDescent="0.55000000000000004">
      <c r="A1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3" s="316" t="s">
        <v>292</v>
      </c>
      <c r="C113" s="317" t="s">
        <v>293</v>
      </c>
      <c r="D113" s="317" t="s">
        <v>302</v>
      </c>
      <c r="E113" s="105" t="s">
        <v>303</v>
      </c>
      <c r="F113" s="100"/>
      <c r="G113" s="34"/>
      <c r="H113" s="34"/>
      <c r="I113" s="97">
        <v>38561.747092505328</v>
      </c>
      <c r="J113" s="97" t="s">
        <v>413</v>
      </c>
      <c r="K113" s="318"/>
      <c r="L113" s="319">
        <v>10486.134448612065</v>
      </c>
      <c r="M113" s="319">
        <v>16182.957998996868</v>
      </c>
      <c r="N113" s="319">
        <v>27348.681271690366</v>
      </c>
      <c r="O113" s="319">
        <v>20586.504692959457</v>
      </c>
      <c r="P113" s="319">
        <v>6436</v>
      </c>
      <c r="Q113" s="320">
        <v>15131.824808451458</v>
      </c>
      <c r="R113" s="340">
        <v>7141.064276389875</v>
      </c>
      <c r="S113" s="439">
        <v>27348.681271690366</v>
      </c>
      <c r="T113" s="326">
        <v>3</v>
      </c>
      <c r="U113" s="378">
        <v>3</v>
      </c>
      <c r="V113" s="439"/>
      <c r="W113" s="326">
        <f>tblPiNAnalysis8[[#This Row],[Final PiN]]/2</f>
        <v>13674.340635845183</v>
      </c>
      <c r="X113" s="440">
        <f>SUM(tblPiNAnalysis8[[#This Row],[Target (severity 4-5 ranking) 100%]:[Target (severity 3 ranking) 50%]])</f>
        <v>13674.340635845183</v>
      </c>
      <c r="Y113" s="354"/>
      <c r="Z113" s="326">
        <f>tblPiNAnalysis8[[#This Row],[Final PiN]]/2</f>
        <v>13674.340635845183</v>
      </c>
      <c r="AA113" s="326">
        <f>SUM(tblPiNAnalysis8[[#This Row],[Target (priotitised 1-2 ranking) 100%]:[Target (priotitised 3 ranking) 50%]])</f>
        <v>13674.340635845183</v>
      </c>
    </row>
    <row r="114" spans="1:27" x14ac:dyDescent="0.55000000000000004">
      <c r="A1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4" s="316" t="s">
        <v>292</v>
      </c>
      <c r="C114" s="317" t="s">
        <v>293</v>
      </c>
      <c r="D114" s="317" t="s">
        <v>304</v>
      </c>
      <c r="E114" s="105" t="s">
        <v>305</v>
      </c>
      <c r="F114" s="100"/>
      <c r="G114" s="34"/>
      <c r="H114" s="34"/>
      <c r="I114" s="97">
        <v>62742.537670413069</v>
      </c>
      <c r="J114" s="97" t="s">
        <v>413</v>
      </c>
      <c r="K114" s="318"/>
      <c r="L114" s="319">
        <v>9636.1871630350524</v>
      </c>
      <c r="M114" s="319">
        <v>29012.825895570022</v>
      </c>
      <c r="N114" s="319">
        <v>15777.743487865606</v>
      </c>
      <c r="O114" s="319">
        <v>30888.444202554321</v>
      </c>
      <c r="P114" s="319">
        <v>10952</v>
      </c>
      <c r="Q114" s="320">
        <v>8783.9552738578313</v>
      </c>
      <c r="R114" s="340">
        <v>34856.965372451705</v>
      </c>
      <c r="S114" s="439">
        <v>34856.965372451705</v>
      </c>
      <c r="T114" s="326">
        <v>3</v>
      </c>
      <c r="U114" s="378">
        <v>5</v>
      </c>
      <c r="V114" s="439"/>
      <c r="W114" s="326">
        <f>tblPiNAnalysis8[[#This Row],[Final PiN]]/2</f>
        <v>17428.482686225852</v>
      </c>
      <c r="X114" s="440">
        <f>SUM(tblPiNAnalysis8[[#This Row],[Target (severity 4-5 ranking) 100%]:[Target (severity 3 ranking) 50%]])</f>
        <v>17428.482686225852</v>
      </c>
      <c r="Y114" s="354"/>
      <c r="Z114" s="326"/>
      <c r="AA114" s="326">
        <f>SUM(tblPiNAnalysis8[[#This Row],[Target (priotitised 1-2 ranking) 100%]:[Target (priotitised 3 ranking) 50%]])</f>
        <v>0</v>
      </c>
    </row>
    <row r="115" spans="1:27" x14ac:dyDescent="0.55000000000000004">
      <c r="A1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5" s="316" t="s">
        <v>292</v>
      </c>
      <c r="C115" s="317" t="s">
        <v>293</v>
      </c>
      <c r="D115" s="317" t="s">
        <v>306</v>
      </c>
      <c r="E115" s="105" t="s">
        <v>307</v>
      </c>
      <c r="F115" s="100"/>
      <c r="G115" s="34"/>
      <c r="H115" s="34"/>
      <c r="I115" s="97">
        <v>110327.5657380367</v>
      </c>
      <c r="J115" s="97" t="s">
        <v>413</v>
      </c>
      <c r="K115" s="318"/>
      <c r="L115" s="319">
        <v>18386.088830243818</v>
      </c>
      <c r="M115" s="319">
        <v>46595.779523535297</v>
      </c>
      <c r="N115" s="319">
        <v>82693.25618815895</v>
      </c>
      <c r="O115" s="319">
        <v>42489.681055796951</v>
      </c>
      <c r="P115" s="319">
        <v>18457</v>
      </c>
      <c r="Q115" s="320">
        <v>61032.270408275625</v>
      </c>
      <c r="R115" s="340">
        <v>73551.71049202446</v>
      </c>
      <c r="S115" s="439">
        <v>82693.25618815895</v>
      </c>
      <c r="T115" s="326">
        <v>3</v>
      </c>
      <c r="U115" s="378">
        <v>3</v>
      </c>
      <c r="V115" s="439"/>
      <c r="W115" s="326">
        <f>tblPiNAnalysis8[[#This Row],[Final PiN]]/2</f>
        <v>41346.628094079475</v>
      </c>
      <c r="X115" s="440">
        <f>SUM(tblPiNAnalysis8[[#This Row],[Target (severity 4-5 ranking) 100%]:[Target (severity 3 ranking) 50%]])</f>
        <v>41346.628094079475</v>
      </c>
      <c r="Y115" s="354"/>
      <c r="Z115" s="326">
        <f>tblPiNAnalysis8[[#This Row],[Final PiN]]/2</f>
        <v>41346.628094079475</v>
      </c>
      <c r="AA115" s="326">
        <f>SUM(tblPiNAnalysis8[[#This Row],[Target (priotitised 1-2 ranking) 100%]:[Target (priotitised 3 ranking) 50%]])</f>
        <v>41346.628094079475</v>
      </c>
    </row>
    <row r="116" spans="1:27" x14ac:dyDescent="0.55000000000000004">
      <c r="A1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6" s="316" t="s">
        <v>292</v>
      </c>
      <c r="C116" s="317" t="s">
        <v>293</v>
      </c>
      <c r="D116" s="317" t="s">
        <v>308</v>
      </c>
      <c r="E116" s="105" t="s">
        <v>309</v>
      </c>
      <c r="F116" s="100"/>
      <c r="G116" s="34"/>
      <c r="H116" s="34"/>
      <c r="I116" s="97">
        <v>128918.60101552917</v>
      </c>
      <c r="J116" s="97" t="s">
        <v>413</v>
      </c>
      <c r="K116" s="318"/>
      <c r="L116" s="319">
        <v>26712.449804821703</v>
      </c>
      <c r="M116" s="319">
        <v>54353.719131979582</v>
      </c>
      <c r="N116" s="319">
        <v>82077.88951436241</v>
      </c>
      <c r="O116" s="319">
        <v>51457.918542680673</v>
      </c>
      <c r="P116" s="319">
        <v>22299</v>
      </c>
      <c r="Q116" s="320">
        <v>90469.193695108203</v>
      </c>
      <c r="R116" s="340">
        <v>83558.352510065204</v>
      </c>
      <c r="S116" s="439">
        <v>90469.193695108203</v>
      </c>
      <c r="T116" s="326">
        <v>3</v>
      </c>
      <c r="U116" s="378">
        <v>4</v>
      </c>
      <c r="V116" s="439"/>
      <c r="W116" s="326">
        <f>tblPiNAnalysis8[[#This Row],[Final PiN]]/2</f>
        <v>45234.596847554101</v>
      </c>
      <c r="X116" s="440">
        <f>SUM(tblPiNAnalysis8[[#This Row],[Target (severity 4-5 ranking) 100%]:[Target (severity 3 ranking) 50%]])</f>
        <v>45234.596847554101</v>
      </c>
      <c r="Y116" s="354"/>
      <c r="Z116" s="326"/>
      <c r="AA116" s="326">
        <f>SUM(tblPiNAnalysis8[[#This Row],[Target (priotitised 1-2 ranking) 100%]:[Target (priotitised 3 ranking) 50%]])</f>
        <v>0</v>
      </c>
    </row>
    <row r="117" spans="1:27" x14ac:dyDescent="0.55000000000000004">
      <c r="A1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7" s="316" t="s">
        <v>310</v>
      </c>
      <c r="C117" s="317" t="s">
        <v>311</v>
      </c>
      <c r="D117" s="317" t="s">
        <v>312</v>
      </c>
      <c r="E117" s="105" t="s">
        <v>313</v>
      </c>
      <c r="F117" s="100"/>
      <c r="G117" s="34"/>
      <c r="H117" s="34"/>
      <c r="I117" s="97">
        <v>53097.621318074722</v>
      </c>
      <c r="J117" s="97" t="s">
        <v>413</v>
      </c>
      <c r="K117" s="318"/>
      <c r="L117" s="319">
        <v>9213.8072173159708</v>
      </c>
      <c r="M117" s="319">
        <v>48176.199306504182</v>
      </c>
      <c r="N117" s="319">
        <v>32102.608253264854</v>
      </c>
      <c r="O117" s="319">
        <v>43741.522508035392</v>
      </c>
      <c r="P117" s="319">
        <v>8953</v>
      </c>
      <c r="Q117" s="320">
        <v>37028.604340236314</v>
      </c>
      <c r="R117" s="340">
        <v>34736.761609955422</v>
      </c>
      <c r="S117" s="439">
        <v>48176.199306504182</v>
      </c>
      <c r="T117" s="326">
        <v>3</v>
      </c>
      <c r="U117" s="378">
        <v>4</v>
      </c>
      <c r="V117" s="439"/>
      <c r="W117" s="326">
        <f>tblPiNAnalysis8[[#This Row],[Final PiN]]/2</f>
        <v>24088.099653252091</v>
      </c>
      <c r="X117" s="440">
        <f>SUM(tblPiNAnalysis8[[#This Row],[Target (severity 4-5 ranking) 100%]:[Target (severity 3 ranking) 50%]])</f>
        <v>24088.099653252091</v>
      </c>
      <c r="Y117" s="354"/>
      <c r="Z117" s="326"/>
      <c r="AA117" s="326">
        <f>SUM(tblPiNAnalysis8[[#This Row],[Target (priotitised 1-2 ranking) 100%]:[Target (priotitised 3 ranking) 50%]])</f>
        <v>0</v>
      </c>
    </row>
    <row r="118" spans="1:27" x14ac:dyDescent="0.55000000000000004">
      <c r="A1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8" s="316" t="s">
        <v>310</v>
      </c>
      <c r="C118" s="317" t="s">
        <v>311</v>
      </c>
      <c r="D118" s="317" t="s">
        <v>314</v>
      </c>
      <c r="E118" s="105" t="s">
        <v>315</v>
      </c>
      <c r="F118" s="100"/>
      <c r="G118" s="34"/>
      <c r="H118" s="34"/>
      <c r="I118" s="97">
        <v>211899.62896361714</v>
      </c>
      <c r="J118" s="97" t="s">
        <v>413</v>
      </c>
      <c r="K118" s="318"/>
      <c r="L118" s="319">
        <v>77711.137567749509</v>
      </c>
      <c r="M118" s="319">
        <v>107000.61183552348</v>
      </c>
      <c r="N118" s="319">
        <v>163271.80085852064</v>
      </c>
      <c r="O118" s="319">
        <v>89512.764713814802</v>
      </c>
      <c r="P118" s="319">
        <v>35655</v>
      </c>
      <c r="Q118" s="320">
        <v>175141.5300617652</v>
      </c>
      <c r="R118" s="340">
        <v>86329.478466658853</v>
      </c>
      <c r="S118" s="439">
        <v>175141.5300617652</v>
      </c>
      <c r="T118" s="326">
        <v>4</v>
      </c>
      <c r="U118" s="378">
        <v>2</v>
      </c>
      <c r="V118" s="439">
        <f>tblPiNAnalysis8[[#This Row],[Final PiN]]</f>
        <v>175141.5300617652</v>
      </c>
      <c r="W118" s="326"/>
      <c r="X118" s="440">
        <f>SUM(tblPiNAnalysis8[[#This Row],[Target (severity 4-5 ranking) 100%]:[Target (severity 3 ranking) 50%]])</f>
        <v>175141.5300617652</v>
      </c>
      <c r="Y118" s="354">
        <f>tblPiNAnalysis8[[#This Row],[Final PiN]]</f>
        <v>175141.5300617652</v>
      </c>
      <c r="Z118" s="326"/>
      <c r="AA118" s="326">
        <f>SUM(tblPiNAnalysis8[[#This Row],[Target (priotitised 1-2 ranking) 100%]:[Target (priotitised 3 ranking) 50%]])</f>
        <v>175141.5300617652</v>
      </c>
    </row>
    <row r="119" spans="1:27" x14ac:dyDescent="0.55000000000000004">
      <c r="A1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9" s="316" t="s">
        <v>310</v>
      </c>
      <c r="C119" s="317" t="s">
        <v>311</v>
      </c>
      <c r="D119" s="317" t="s">
        <v>316</v>
      </c>
      <c r="E119" s="105" t="s">
        <v>317</v>
      </c>
      <c r="F119" s="100"/>
      <c r="G119" s="34"/>
      <c r="H119" s="34"/>
      <c r="I119" s="97">
        <v>109801.05355905752</v>
      </c>
      <c r="J119" s="97" t="s">
        <v>413</v>
      </c>
      <c r="K119" s="318"/>
      <c r="L119" s="319">
        <v>28724.548536738668</v>
      </c>
      <c r="M119" s="319">
        <v>79008.885083413552</v>
      </c>
      <c r="N119" s="319">
        <v>78867.214716435919</v>
      </c>
      <c r="O119" s="319">
        <v>50227.822636798279</v>
      </c>
      <c r="P119" s="319">
        <v>18893</v>
      </c>
      <c r="Q119" s="320">
        <v>64754.467483546738</v>
      </c>
      <c r="R119" s="340">
        <v>27450.263389764379</v>
      </c>
      <c r="S119" s="439">
        <v>79008.885083413552</v>
      </c>
      <c r="T119" s="326">
        <v>3</v>
      </c>
      <c r="U119" s="378">
        <v>2</v>
      </c>
      <c r="V119" s="439"/>
      <c r="W119" s="326">
        <f>tblPiNAnalysis8[[#This Row],[Final PiN]]/2</f>
        <v>39504.442541706776</v>
      </c>
      <c r="X119" s="440">
        <f>SUM(tblPiNAnalysis8[[#This Row],[Target (severity 4-5 ranking) 100%]:[Target (severity 3 ranking) 50%]])</f>
        <v>39504.442541706776</v>
      </c>
      <c r="Y119" s="354">
        <f>tblPiNAnalysis8[[#This Row],[Final PiN]]</f>
        <v>79008.885083413552</v>
      </c>
      <c r="Z119" s="326"/>
      <c r="AA119" s="326">
        <f>SUM(tblPiNAnalysis8[[#This Row],[Target (priotitised 1-2 ranking) 100%]:[Target (priotitised 3 ranking) 50%]])</f>
        <v>79008.885083413552</v>
      </c>
    </row>
    <row r="120" spans="1:27" x14ac:dyDescent="0.55000000000000004">
      <c r="A1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0" s="316" t="s">
        <v>310</v>
      </c>
      <c r="C120" s="317" t="s">
        <v>311</v>
      </c>
      <c r="D120" s="317" t="s">
        <v>318</v>
      </c>
      <c r="E120" s="105" t="s">
        <v>319</v>
      </c>
      <c r="F120" s="100"/>
      <c r="G120" s="34"/>
      <c r="H120" s="34"/>
      <c r="I120" s="97">
        <v>105778.12989801918</v>
      </c>
      <c r="J120" s="97" t="s">
        <v>413</v>
      </c>
      <c r="K120" s="318"/>
      <c r="L120" s="319">
        <v>19297.897573269878</v>
      </c>
      <c r="M120" s="319">
        <v>64211.464117899392</v>
      </c>
      <c r="N120" s="319">
        <v>80340.475365023216</v>
      </c>
      <c r="O120" s="319">
        <v>49884.172897520948</v>
      </c>
      <c r="P120" s="319">
        <v>18336</v>
      </c>
      <c r="Q120" s="320">
        <v>41349.632596498406</v>
      </c>
      <c r="R120" s="340">
        <v>60582.019850683711</v>
      </c>
      <c r="S120" s="439">
        <v>80340.475365023216</v>
      </c>
      <c r="T120" s="326">
        <v>3</v>
      </c>
      <c r="U120" s="378">
        <v>2</v>
      </c>
      <c r="V120" s="439"/>
      <c r="W120" s="326">
        <f>tblPiNAnalysis8[[#This Row],[Final PiN]]/2</f>
        <v>40170.237682511608</v>
      </c>
      <c r="X120" s="440">
        <f>SUM(tblPiNAnalysis8[[#This Row],[Target (severity 4-5 ranking) 100%]:[Target (severity 3 ranking) 50%]])</f>
        <v>40170.237682511608</v>
      </c>
      <c r="Y120" s="354">
        <f>tblPiNAnalysis8[[#This Row],[Final PiN]]</f>
        <v>80340.475365023216</v>
      </c>
      <c r="Z120" s="326"/>
      <c r="AA120" s="326">
        <f>SUM(tblPiNAnalysis8[[#This Row],[Target (priotitised 1-2 ranking) 100%]:[Target (priotitised 3 ranking) 50%]])</f>
        <v>80340.475365023216</v>
      </c>
    </row>
    <row r="121" spans="1:27" x14ac:dyDescent="0.55000000000000004">
      <c r="A1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1" s="316" t="s">
        <v>310</v>
      </c>
      <c r="C121" s="317" t="s">
        <v>311</v>
      </c>
      <c r="D121" s="317" t="s">
        <v>320</v>
      </c>
      <c r="E121" s="105" t="s">
        <v>321</v>
      </c>
      <c r="F121" s="100"/>
      <c r="G121" s="34"/>
      <c r="H121" s="34"/>
      <c r="I121" s="97">
        <v>138670.80517744401</v>
      </c>
      <c r="J121" s="97" t="s">
        <v>413</v>
      </c>
      <c r="K121" s="318"/>
      <c r="L121" s="319">
        <v>21725.832388760507</v>
      </c>
      <c r="M121" s="319">
        <v>62772.406451263734</v>
      </c>
      <c r="N121" s="319">
        <v>93820.84267159726</v>
      </c>
      <c r="O121" s="319">
        <v>58999.837983633821</v>
      </c>
      <c r="P121" s="319">
        <v>47766</v>
      </c>
      <c r="Q121" s="320">
        <v>74084.402766031722</v>
      </c>
      <c r="R121" s="340">
        <v>53432.787316079339</v>
      </c>
      <c r="S121" s="439">
        <v>93820.84267159726</v>
      </c>
      <c r="T121" s="326">
        <v>3</v>
      </c>
      <c r="U121" s="378">
        <v>3</v>
      </c>
      <c r="V121" s="439"/>
      <c r="W121" s="326">
        <f>tblPiNAnalysis8[[#This Row],[Final PiN]]/2</f>
        <v>46910.42133579863</v>
      </c>
      <c r="X121" s="440">
        <f>SUM(tblPiNAnalysis8[[#This Row],[Target (severity 4-5 ranking) 100%]:[Target (severity 3 ranking) 50%]])</f>
        <v>46910.42133579863</v>
      </c>
      <c r="Y121" s="354"/>
      <c r="Z121" s="326">
        <f>tblPiNAnalysis8[[#This Row],[Final PiN]]/2</f>
        <v>46910.42133579863</v>
      </c>
      <c r="AA121" s="326">
        <f>SUM(tblPiNAnalysis8[[#This Row],[Target (priotitised 1-2 ranking) 100%]:[Target (priotitised 3 ranking) 50%]])</f>
        <v>46910.42133579863</v>
      </c>
    </row>
    <row r="122" spans="1:27" x14ac:dyDescent="0.55000000000000004">
      <c r="A1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2" s="316" t="s">
        <v>322</v>
      </c>
      <c r="C122" s="317" t="s">
        <v>323</v>
      </c>
      <c r="D122" s="317" t="s">
        <v>324</v>
      </c>
      <c r="E122" s="105" t="s">
        <v>325</v>
      </c>
      <c r="F122" s="100"/>
      <c r="G122" s="34"/>
      <c r="H122" s="34"/>
      <c r="I122" s="97">
        <v>39195.118555506007</v>
      </c>
      <c r="J122" s="97" t="s">
        <v>413</v>
      </c>
      <c r="K122" s="318"/>
      <c r="L122" s="319">
        <v>3120.8094076739217</v>
      </c>
      <c r="M122" s="319">
        <v>20125.469745358765</v>
      </c>
      <c r="N122" s="319">
        <v>24430.506784487628</v>
      </c>
      <c r="O122" s="319">
        <v>19867.246768263718</v>
      </c>
      <c r="P122" s="319">
        <v>6940</v>
      </c>
      <c r="Q122" s="320">
        <v>29105.286056068817</v>
      </c>
      <c r="R122" s="340">
        <v>10161.697403279335</v>
      </c>
      <c r="S122" s="439">
        <v>29105.286056068817</v>
      </c>
      <c r="T122" s="326">
        <v>3</v>
      </c>
      <c r="U122" s="378">
        <v>4</v>
      </c>
      <c r="V122" s="439"/>
      <c r="W122" s="326">
        <f>tblPiNAnalysis8[[#This Row],[Final PiN]]/2</f>
        <v>14552.643028034408</v>
      </c>
      <c r="X122" s="440">
        <f>SUM(tblPiNAnalysis8[[#This Row],[Target (severity 4-5 ranking) 100%]:[Target (severity 3 ranking) 50%]])</f>
        <v>14552.643028034408</v>
      </c>
      <c r="Y122" s="354"/>
      <c r="Z122" s="326"/>
      <c r="AA122" s="326">
        <f>SUM(tblPiNAnalysis8[[#This Row],[Target (priotitised 1-2 ranking) 100%]:[Target (priotitised 3 ranking) 50%]])</f>
        <v>0</v>
      </c>
    </row>
    <row r="123" spans="1:27" x14ac:dyDescent="0.55000000000000004">
      <c r="A1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3" s="316" t="s">
        <v>322</v>
      </c>
      <c r="C123" s="317" t="s">
        <v>323</v>
      </c>
      <c r="D123" s="317" t="s">
        <v>326</v>
      </c>
      <c r="E123" s="105" t="s">
        <v>327</v>
      </c>
      <c r="F123" s="100"/>
      <c r="G123" s="34"/>
      <c r="H123" s="34"/>
      <c r="I123" s="97">
        <v>37012.158261154211</v>
      </c>
      <c r="J123" s="97" t="s">
        <v>413</v>
      </c>
      <c r="K123" s="318"/>
      <c r="L123" s="319">
        <v>8432.3652789481548</v>
      </c>
      <c r="M123" s="319">
        <v>16745.17089455263</v>
      </c>
      <c r="N123" s="319">
        <v>30482.403979223356</v>
      </c>
      <c r="O123" s="319">
        <v>19016.114899824621</v>
      </c>
      <c r="P123" s="319">
        <v>6696</v>
      </c>
      <c r="Q123" s="320">
        <v>18980.59398007908</v>
      </c>
      <c r="R123" s="340">
        <v>19191.489468746622</v>
      </c>
      <c r="S123" s="439">
        <v>30482.403979223356</v>
      </c>
      <c r="T123" s="326">
        <v>3</v>
      </c>
      <c r="U123" s="378">
        <v>3</v>
      </c>
      <c r="V123" s="439"/>
      <c r="W123" s="326">
        <f>tblPiNAnalysis8[[#This Row],[Final PiN]]/2</f>
        <v>15241.201989611678</v>
      </c>
      <c r="X123" s="440">
        <f>SUM(tblPiNAnalysis8[[#This Row],[Target (severity 4-5 ranking) 100%]:[Target (severity 3 ranking) 50%]])</f>
        <v>15241.201989611678</v>
      </c>
      <c r="Y123" s="354"/>
      <c r="Z123" s="326">
        <f>tblPiNAnalysis8[[#This Row],[Final PiN]]/2</f>
        <v>15241.201989611678</v>
      </c>
      <c r="AA123" s="326">
        <f>SUM(tblPiNAnalysis8[[#This Row],[Target (priotitised 1-2 ranking) 100%]:[Target (priotitised 3 ranking) 50%]])</f>
        <v>15241.201989611678</v>
      </c>
    </row>
    <row r="124" spans="1:27" x14ac:dyDescent="0.55000000000000004">
      <c r="A1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4" s="316" t="s">
        <v>322</v>
      </c>
      <c r="C124" s="317" t="s">
        <v>323</v>
      </c>
      <c r="D124" s="317" t="s">
        <v>328</v>
      </c>
      <c r="E124" s="105" t="s">
        <v>329</v>
      </c>
      <c r="F124" s="100"/>
      <c r="G124" s="34"/>
      <c r="H124" s="34"/>
      <c r="I124" s="97">
        <v>52356.268586149592</v>
      </c>
      <c r="J124" s="97" t="s">
        <v>413</v>
      </c>
      <c r="K124" s="318"/>
      <c r="L124" s="319">
        <v>11162.953324028977</v>
      </c>
      <c r="M124" s="319">
        <v>26371.550552860583</v>
      </c>
      <c r="N124" s="319">
        <v>43164.898674527911</v>
      </c>
      <c r="O124" s="319">
        <v>26841.201334186208</v>
      </c>
      <c r="P124" s="319">
        <v>8646</v>
      </c>
      <c r="Q124" s="320">
        <v>12082.215827572982</v>
      </c>
      <c r="R124" s="340">
        <v>31510.717204627075</v>
      </c>
      <c r="S124" s="439">
        <v>43164.898674527911</v>
      </c>
      <c r="T124" s="326">
        <v>3</v>
      </c>
      <c r="U124" s="378">
        <v>3</v>
      </c>
      <c r="V124" s="439"/>
      <c r="W124" s="326">
        <f>tblPiNAnalysis8[[#This Row],[Final PiN]]/2</f>
        <v>21582.449337263955</v>
      </c>
      <c r="X124" s="440">
        <f>SUM(tblPiNAnalysis8[[#This Row],[Target (severity 4-5 ranking) 100%]:[Target (severity 3 ranking) 50%]])</f>
        <v>21582.449337263955</v>
      </c>
      <c r="Y124" s="354"/>
      <c r="Z124" s="326">
        <f>tblPiNAnalysis8[[#This Row],[Final PiN]]/2</f>
        <v>21582.449337263955</v>
      </c>
      <c r="AA124" s="326">
        <f>SUM(tblPiNAnalysis8[[#This Row],[Target (priotitised 1-2 ranking) 100%]:[Target (priotitised 3 ranking) 50%]])</f>
        <v>21582.449337263955</v>
      </c>
    </row>
    <row r="125" spans="1:27" x14ac:dyDescent="0.55000000000000004">
      <c r="A1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5" s="316" t="s">
        <v>322</v>
      </c>
      <c r="C125" s="317" t="s">
        <v>323</v>
      </c>
      <c r="D125" s="317" t="s">
        <v>330</v>
      </c>
      <c r="E125" s="105" t="s">
        <v>331</v>
      </c>
      <c r="F125" s="100"/>
      <c r="G125" s="34"/>
      <c r="H125" s="34"/>
      <c r="I125" s="97">
        <v>27460.602325830623</v>
      </c>
      <c r="J125" s="97" t="s">
        <v>413</v>
      </c>
      <c r="K125" s="318"/>
      <c r="L125" s="319">
        <v>5357.3163683486218</v>
      </c>
      <c r="M125" s="319">
        <v>12220.021564894554</v>
      </c>
      <c r="N125" s="319">
        <v>19803.793626160932</v>
      </c>
      <c r="O125" s="319">
        <v>15231.434369696173</v>
      </c>
      <c r="P125" s="319">
        <v>4855</v>
      </c>
      <c r="Q125" s="320">
        <v>25629.895504108583</v>
      </c>
      <c r="R125" s="340">
        <v>9916.3286176610563</v>
      </c>
      <c r="S125" s="439">
        <v>25629.895504108583</v>
      </c>
      <c r="T125" s="326">
        <v>3</v>
      </c>
      <c r="U125" s="378">
        <v>2</v>
      </c>
      <c r="V125" s="439"/>
      <c r="W125" s="326">
        <f>tblPiNAnalysis8[[#This Row],[Final PiN]]/2</f>
        <v>12814.947752054291</v>
      </c>
      <c r="X125" s="440">
        <f>SUM(tblPiNAnalysis8[[#This Row],[Target (severity 4-5 ranking) 100%]:[Target (severity 3 ranking) 50%]])</f>
        <v>12814.947752054291</v>
      </c>
      <c r="Y125" s="354">
        <f>tblPiNAnalysis8[[#This Row],[Final PiN]]</f>
        <v>25629.895504108583</v>
      </c>
      <c r="Z125" s="326"/>
      <c r="AA125" s="326">
        <f>SUM(tblPiNAnalysis8[[#This Row],[Target (priotitised 1-2 ranking) 100%]:[Target (priotitised 3 ranking) 50%]])</f>
        <v>25629.895504108583</v>
      </c>
    </row>
    <row r="126" spans="1:27" x14ac:dyDescent="0.55000000000000004">
      <c r="A1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6" s="316" t="s">
        <v>322</v>
      </c>
      <c r="C126" s="317" t="s">
        <v>323</v>
      </c>
      <c r="D126" s="317" t="s">
        <v>332</v>
      </c>
      <c r="E126" s="105" t="s">
        <v>333</v>
      </c>
      <c r="F126" s="100"/>
      <c r="G126" s="34"/>
      <c r="H126" s="34"/>
      <c r="I126" s="97">
        <v>32690.293010704088</v>
      </c>
      <c r="J126" s="97" t="s">
        <v>413</v>
      </c>
      <c r="K126" s="318"/>
      <c r="L126" s="319">
        <v>4038.5784127181892</v>
      </c>
      <c r="M126" s="319">
        <v>18034.318157374215</v>
      </c>
      <c r="N126" s="319">
        <v>24492.422401719799</v>
      </c>
      <c r="O126" s="319">
        <v>15689.827622136641</v>
      </c>
      <c r="P126" s="319">
        <v>5532</v>
      </c>
      <c r="Q126" s="320">
        <v>18859.784429252359</v>
      </c>
      <c r="R126" s="340">
        <v>13318.267522879445</v>
      </c>
      <c r="S126" s="439">
        <v>24492.422401719799</v>
      </c>
      <c r="T126" s="326">
        <v>4</v>
      </c>
      <c r="U126" s="378">
        <v>2</v>
      </c>
      <c r="V126" s="439">
        <f>tblPiNAnalysis8[[#This Row],[Final PiN]]</f>
        <v>24492.422401719799</v>
      </c>
      <c r="W126" s="326"/>
      <c r="X126" s="440">
        <f>SUM(tblPiNAnalysis8[[#This Row],[Target (severity 4-5 ranking) 100%]:[Target (severity 3 ranking) 50%]])</f>
        <v>24492.422401719799</v>
      </c>
      <c r="Y126" s="354">
        <f>tblPiNAnalysis8[[#This Row],[Final PiN]]</f>
        <v>24492.422401719799</v>
      </c>
      <c r="Z126" s="326"/>
      <c r="AA126" s="326">
        <f>SUM(tblPiNAnalysis8[[#This Row],[Target (priotitised 1-2 ranking) 100%]:[Target (priotitised 3 ranking) 50%]])</f>
        <v>24492.422401719799</v>
      </c>
    </row>
    <row r="127" spans="1:27" x14ac:dyDescent="0.55000000000000004">
      <c r="A1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7" s="316" t="s">
        <v>322</v>
      </c>
      <c r="C127" s="317" t="s">
        <v>323</v>
      </c>
      <c r="D127" s="317" t="s">
        <v>334</v>
      </c>
      <c r="E127" s="105" t="s">
        <v>335</v>
      </c>
      <c r="F127" s="100"/>
      <c r="G127" s="34"/>
      <c r="H127" s="34"/>
      <c r="I127" s="97">
        <v>95120.28021781116</v>
      </c>
      <c r="J127" s="97" t="s">
        <v>413</v>
      </c>
      <c r="K127" s="318"/>
      <c r="L127" s="319">
        <v>29107.661829172175</v>
      </c>
      <c r="M127" s="319">
        <v>45514.967836092444</v>
      </c>
      <c r="N127" s="319">
        <v>62822.381740705023</v>
      </c>
      <c r="O127" s="319">
        <v>51361.527117805272</v>
      </c>
      <c r="P127" s="319">
        <v>16258</v>
      </c>
      <c r="Q127" s="320">
        <v>16710.319497723583</v>
      </c>
      <c r="R127" s="340">
        <v>40514.193426104757</v>
      </c>
      <c r="S127" s="439">
        <v>62822.381740705023</v>
      </c>
      <c r="T127" s="326">
        <v>3</v>
      </c>
      <c r="U127" s="378">
        <v>3</v>
      </c>
      <c r="V127" s="439"/>
      <c r="W127" s="326">
        <f>tblPiNAnalysis8[[#This Row],[Final PiN]]/2</f>
        <v>31411.190870352511</v>
      </c>
      <c r="X127" s="440">
        <f>SUM(tblPiNAnalysis8[[#This Row],[Target (severity 4-5 ranking) 100%]:[Target (severity 3 ranking) 50%]])</f>
        <v>31411.190870352511</v>
      </c>
      <c r="Y127" s="354"/>
      <c r="Z127" s="326">
        <f>tblPiNAnalysis8[[#This Row],[Final PiN]]/2</f>
        <v>31411.190870352511</v>
      </c>
      <c r="AA127" s="326">
        <f>SUM(tblPiNAnalysis8[[#This Row],[Target (priotitised 1-2 ranking) 100%]:[Target (priotitised 3 ranking) 50%]])</f>
        <v>31411.190870352511</v>
      </c>
    </row>
    <row r="128" spans="1:27" x14ac:dyDescent="0.55000000000000004">
      <c r="A1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8" s="316" t="s">
        <v>322</v>
      </c>
      <c r="C128" s="317" t="s">
        <v>323</v>
      </c>
      <c r="D128" s="317" t="s">
        <v>336</v>
      </c>
      <c r="E128" s="105" t="s">
        <v>337</v>
      </c>
      <c r="F128" s="100"/>
      <c r="G128" s="34"/>
      <c r="H128" s="34"/>
      <c r="I128" s="97">
        <v>46967.678081984632</v>
      </c>
      <c r="J128" s="97" t="s">
        <v>413</v>
      </c>
      <c r="K128" s="318"/>
      <c r="L128" s="319">
        <v>14267.427932178172</v>
      </c>
      <c r="M128" s="319">
        <v>23988.652968058013</v>
      </c>
      <c r="N128" s="319">
        <v>34425.758326525865</v>
      </c>
      <c r="O128" s="319">
        <v>30178.3703752361</v>
      </c>
      <c r="P128" s="319">
        <v>16304</v>
      </c>
      <c r="Q128" s="320">
        <v>31957.389210422531</v>
      </c>
      <c r="R128" s="340">
        <v>24788.496765491887</v>
      </c>
      <c r="S128" s="439">
        <v>34425.758326525865</v>
      </c>
      <c r="T128" s="326">
        <v>4</v>
      </c>
      <c r="U128" s="378">
        <v>1</v>
      </c>
      <c r="V128" s="439">
        <f>tblPiNAnalysis8[[#This Row],[Final PiN]]</f>
        <v>34425.758326525865</v>
      </c>
      <c r="W128" s="326"/>
      <c r="X128" s="440">
        <f>SUM(tblPiNAnalysis8[[#This Row],[Target (severity 4-5 ranking) 100%]:[Target (severity 3 ranking) 50%]])</f>
        <v>34425.758326525865</v>
      </c>
      <c r="Y128" s="354">
        <f>tblPiNAnalysis8[[#This Row],[Final PiN]]</f>
        <v>34425.758326525865</v>
      </c>
      <c r="Z128" s="326"/>
      <c r="AA128" s="326">
        <f>SUM(tblPiNAnalysis8[[#This Row],[Target (priotitised 1-2 ranking) 100%]:[Target (priotitised 3 ranking) 50%]])</f>
        <v>34425.758326525865</v>
      </c>
    </row>
    <row r="129" spans="1:27" x14ac:dyDescent="0.55000000000000004">
      <c r="A1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9" s="316" t="s">
        <v>322</v>
      </c>
      <c r="C129" s="317" t="s">
        <v>323</v>
      </c>
      <c r="D129" s="317" t="s">
        <v>338</v>
      </c>
      <c r="E129" s="105" t="s">
        <v>339</v>
      </c>
      <c r="F129" s="100"/>
      <c r="G129" s="34"/>
      <c r="H129" s="34"/>
      <c r="I129" s="97">
        <v>96392.652760116689</v>
      </c>
      <c r="J129" s="97" t="s">
        <v>413</v>
      </c>
      <c r="K129" s="318"/>
      <c r="L129" s="319">
        <v>11272.060421115288</v>
      </c>
      <c r="M129" s="319">
        <v>48358.540845692078</v>
      </c>
      <c r="N129" s="319">
        <v>60990.748338865458</v>
      </c>
      <c r="O129" s="319">
        <v>86154.399680966613</v>
      </c>
      <c r="P129" s="319">
        <v>17701</v>
      </c>
      <c r="Q129" s="320">
        <v>16957.966689279787</v>
      </c>
      <c r="R129" s="340">
        <v>40679.46813729695</v>
      </c>
      <c r="S129" s="439">
        <v>86154.399680966613</v>
      </c>
      <c r="T129" s="326">
        <v>3</v>
      </c>
      <c r="U129" s="378">
        <v>2</v>
      </c>
      <c r="V129" s="439"/>
      <c r="W129" s="326">
        <f>tblPiNAnalysis8[[#This Row],[Final PiN]]/2</f>
        <v>43077.199840483307</v>
      </c>
      <c r="X129" s="440">
        <f>SUM(tblPiNAnalysis8[[#This Row],[Target (severity 4-5 ranking) 100%]:[Target (severity 3 ranking) 50%]])</f>
        <v>43077.199840483307</v>
      </c>
      <c r="Y129" s="354">
        <f>tblPiNAnalysis8[[#This Row],[Final PiN]]</f>
        <v>86154.399680966613</v>
      </c>
      <c r="Z129" s="326"/>
      <c r="AA129" s="326">
        <f>SUM(tblPiNAnalysis8[[#This Row],[Target (priotitised 1-2 ranking) 100%]:[Target (priotitised 3 ranking) 50%]])</f>
        <v>86154.399680966613</v>
      </c>
    </row>
    <row r="130" spans="1:27" x14ac:dyDescent="0.55000000000000004">
      <c r="A1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0" s="316" t="s">
        <v>322</v>
      </c>
      <c r="C130" s="317" t="s">
        <v>323</v>
      </c>
      <c r="D130" s="317" t="s">
        <v>340</v>
      </c>
      <c r="E130" s="105" t="s">
        <v>341</v>
      </c>
      <c r="F130" s="100"/>
      <c r="G130" s="34"/>
      <c r="H130" s="34"/>
      <c r="I130" s="97">
        <v>128065.73135408323</v>
      </c>
      <c r="J130" s="97" t="s">
        <v>413</v>
      </c>
      <c r="K130" s="318"/>
      <c r="L130" s="319">
        <v>35264.154172514085</v>
      </c>
      <c r="M130" s="319">
        <v>53374.468893477038</v>
      </c>
      <c r="N130" s="319">
        <v>106191.44697572436</v>
      </c>
      <c r="O130" s="319">
        <v>80983.005907381768</v>
      </c>
      <c r="P130" s="319">
        <v>21634</v>
      </c>
      <c r="Q130" s="320">
        <v>94863.504706728301</v>
      </c>
      <c r="R130" s="340">
        <v>60475.484250539295</v>
      </c>
      <c r="S130" s="439">
        <v>106191.44697572436</v>
      </c>
      <c r="T130" s="326">
        <v>4</v>
      </c>
      <c r="U130" s="378">
        <v>1</v>
      </c>
      <c r="V130" s="439">
        <f>tblPiNAnalysis8[[#This Row],[Final PiN]]</f>
        <v>106191.44697572436</v>
      </c>
      <c r="W130" s="326"/>
      <c r="X130" s="440">
        <f>SUM(tblPiNAnalysis8[[#This Row],[Target (severity 4-5 ranking) 100%]:[Target (severity 3 ranking) 50%]])</f>
        <v>106191.44697572436</v>
      </c>
      <c r="Y130" s="354">
        <f>tblPiNAnalysis8[[#This Row],[Final PiN]]</f>
        <v>106191.44697572436</v>
      </c>
      <c r="Z130" s="326"/>
      <c r="AA130" s="326">
        <f>SUM(tblPiNAnalysis8[[#This Row],[Target (priotitised 1-2 ranking) 100%]:[Target (priotitised 3 ranking) 50%]])</f>
        <v>106191.44697572436</v>
      </c>
    </row>
    <row r="131" spans="1:27" x14ac:dyDescent="0.55000000000000004">
      <c r="A1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1" s="316" t="s">
        <v>342</v>
      </c>
      <c r="C131" s="317" t="s">
        <v>343</v>
      </c>
      <c r="D131" s="317" t="s">
        <v>344</v>
      </c>
      <c r="E131" s="105" t="s">
        <v>345</v>
      </c>
      <c r="F131" s="100"/>
      <c r="G131" s="34"/>
      <c r="H131" s="34"/>
      <c r="I131" s="97">
        <v>38631.891660273708</v>
      </c>
      <c r="J131" s="97" t="s">
        <v>413</v>
      </c>
      <c r="K131" s="318"/>
      <c r="L131" s="319">
        <v>3095.8052700876942</v>
      </c>
      <c r="M131" s="319">
        <v>27864.101802863486</v>
      </c>
      <c r="N131" s="319">
        <v>31143.958877197612</v>
      </c>
      <c r="O131" s="319">
        <v>19085.760219071533</v>
      </c>
      <c r="P131" s="319">
        <v>6506</v>
      </c>
      <c r="Q131" s="320">
        <v>12291.965528268907</v>
      </c>
      <c r="R131" s="340">
        <v>34697.161954134717</v>
      </c>
      <c r="S131" s="439">
        <v>34697.161954134717</v>
      </c>
      <c r="T131" s="326">
        <v>4</v>
      </c>
      <c r="U131" s="378">
        <v>2</v>
      </c>
      <c r="V131" s="439">
        <f>tblPiNAnalysis8[[#This Row],[Final PiN]]</f>
        <v>34697.161954134717</v>
      </c>
      <c r="W131" s="326"/>
      <c r="X131" s="440">
        <f>SUM(tblPiNAnalysis8[[#This Row],[Target (severity 4-5 ranking) 100%]:[Target (severity 3 ranking) 50%]])</f>
        <v>34697.161954134717</v>
      </c>
      <c r="Y131" s="354">
        <f>tblPiNAnalysis8[[#This Row],[Final PiN]]</f>
        <v>34697.161954134717</v>
      </c>
      <c r="Z131" s="326"/>
      <c r="AA131" s="326">
        <f>SUM(tblPiNAnalysis8[[#This Row],[Target (priotitised 1-2 ranking) 100%]:[Target (priotitised 3 ranking) 50%]])</f>
        <v>34697.161954134717</v>
      </c>
    </row>
    <row r="132" spans="1:27" x14ac:dyDescent="0.55000000000000004">
      <c r="A1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2" s="316" t="s">
        <v>342</v>
      </c>
      <c r="C132" s="317" t="s">
        <v>343</v>
      </c>
      <c r="D132" s="317" t="s">
        <v>346</v>
      </c>
      <c r="E132" s="105" t="s">
        <v>347</v>
      </c>
      <c r="F132" s="100"/>
      <c r="G132" s="34"/>
      <c r="H132" s="34"/>
      <c r="I132" s="97">
        <v>44904.26104030956</v>
      </c>
      <c r="J132" s="97" t="s">
        <v>413</v>
      </c>
      <c r="K132" s="318"/>
      <c r="L132" s="319">
        <v>15314.508419275495</v>
      </c>
      <c r="M132" s="319">
        <v>18930.163309395608</v>
      </c>
      <c r="N132" s="319">
        <v>31093.426343821713</v>
      </c>
      <c r="O132" s="319">
        <v>19768.52312323873</v>
      </c>
      <c r="P132" s="319">
        <v>7803</v>
      </c>
      <c r="Q132" s="320">
        <v>26343.83314364828</v>
      </c>
      <c r="R132" s="340">
        <v>42844.432552221973</v>
      </c>
      <c r="S132" s="439">
        <v>42844.432552221973</v>
      </c>
      <c r="T132" s="326">
        <v>4</v>
      </c>
      <c r="U132" s="378">
        <v>1</v>
      </c>
      <c r="V132" s="439">
        <f>tblPiNAnalysis8[[#This Row],[Final PiN]]</f>
        <v>42844.432552221973</v>
      </c>
      <c r="W132" s="326"/>
      <c r="X132" s="440">
        <f>SUM(tblPiNAnalysis8[[#This Row],[Target (severity 4-5 ranking) 100%]:[Target (severity 3 ranking) 50%]])</f>
        <v>42844.432552221973</v>
      </c>
      <c r="Y132" s="354">
        <f>tblPiNAnalysis8[[#This Row],[Final PiN]]</f>
        <v>42844.432552221973</v>
      </c>
      <c r="Z132" s="326"/>
      <c r="AA132" s="326">
        <f>SUM(tblPiNAnalysis8[[#This Row],[Target (priotitised 1-2 ranking) 100%]:[Target (priotitised 3 ranking) 50%]])</f>
        <v>42844.432552221973</v>
      </c>
    </row>
    <row r="133" spans="1:27" x14ac:dyDescent="0.55000000000000004">
      <c r="A1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3" s="316" t="s">
        <v>342</v>
      </c>
      <c r="C133" s="317" t="s">
        <v>343</v>
      </c>
      <c r="D133" s="317" t="s">
        <v>348</v>
      </c>
      <c r="E133" s="105" t="s">
        <v>349</v>
      </c>
      <c r="F133" s="100"/>
      <c r="G133" s="34"/>
      <c r="H133" s="34"/>
      <c r="I133" s="97">
        <v>45380.431986163101</v>
      </c>
      <c r="J133" s="97" t="s">
        <v>413</v>
      </c>
      <c r="K133" s="318"/>
      <c r="L133" s="319">
        <v>15635.442107160614</v>
      </c>
      <c r="M133" s="319">
        <v>20242.562350459291</v>
      </c>
      <c r="N133" s="319">
        <v>41276.978594476866</v>
      </c>
      <c r="O133" s="319">
        <v>19708.202090667717</v>
      </c>
      <c r="P133" s="319">
        <v>15536</v>
      </c>
      <c r="Q133" s="320">
        <v>44682.271494068285</v>
      </c>
      <c r="R133" s="340">
        <v>15404.366820991147</v>
      </c>
      <c r="S133" s="439">
        <v>44682.271494068285</v>
      </c>
      <c r="T133" s="326">
        <v>4</v>
      </c>
      <c r="U133" s="378">
        <v>2</v>
      </c>
      <c r="V133" s="439">
        <f>tblPiNAnalysis8[[#This Row],[Final PiN]]</f>
        <v>44682.271494068285</v>
      </c>
      <c r="W133" s="326"/>
      <c r="X133" s="440">
        <f>SUM(tblPiNAnalysis8[[#This Row],[Target (severity 4-5 ranking) 100%]:[Target (severity 3 ranking) 50%]])</f>
        <v>44682.271494068285</v>
      </c>
      <c r="Y133" s="354">
        <f>tblPiNAnalysis8[[#This Row],[Final PiN]]</f>
        <v>44682.271494068285</v>
      </c>
      <c r="Z133" s="326"/>
      <c r="AA133" s="326">
        <f>SUM(tblPiNAnalysis8[[#This Row],[Target (priotitised 1-2 ranking) 100%]:[Target (priotitised 3 ranking) 50%]])</f>
        <v>44682.271494068285</v>
      </c>
    </row>
    <row r="134" spans="1:27" x14ac:dyDescent="0.55000000000000004">
      <c r="A1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4" s="316" t="s">
        <v>342</v>
      </c>
      <c r="C134" s="317" t="s">
        <v>343</v>
      </c>
      <c r="D134" s="317" t="s">
        <v>350</v>
      </c>
      <c r="E134" s="105" t="s">
        <v>351</v>
      </c>
      <c r="F134" s="100"/>
      <c r="G134" s="34"/>
      <c r="H134" s="34"/>
      <c r="I134" s="97">
        <v>117681.01108725299</v>
      </c>
      <c r="J134" s="97" t="s">
        <v>413</v>
      </c>
      <c r="K134" s="318"/>
      <c r="L134" s="319">
        <v>28749.294487099272</v>
      </c>
      <c r="M134" s="319">
        <v>57693.046309471312</v>
      </c>
      <c r="N134" s="319">
        <v>105812.41394139855</v>
      </c>
      <c r="O134" s="319">
        <v>72667.747514712275</v>
      </c>
      <c r="P134" s="319">
        <v>40354</v>
      </c>
      <c r="Q134" s="320">
        <v>39227.003695750995</v>
      </c>
      <c r="R134" s="340">
        <v>88260.758315439714</v>
      </c>
      <c r="S134" s="439">
        <v>105812.41394139855</v>
      </c>
      <c r="T134" s="326">
        <v>5</v>
      </c>
      <c r="U134" s="378">
        <v>1</v>
      </c>
      <c r="V134" s="439">
        <f>tblPiNAnalysis8[[#This Row],[Final PiN]]</f>
        <v>105812.41394139855</v>
      </c>
      <c r="W134" s="326"/>
      <c r="X134" s="440">
        <f>SUM(tblPiNAnalysis8[[#This Row],[Target (severity 4-5 ranking) 100%]:[Target (severity 3 ranking) 50%]])</f>
        <v>105812.41394139855</v>
      </c>
      <c r="Y134" s="354">
        <f>tblPiNAnalysis8[[#This Row],[Final PiN]]</f>
        <v>105812.41394139855</v>
      </c>
      <c r="Z134" s="326"/>
      <c r="AA134" s="326">
        <f>SUM(tblPiNAnalysis8[[#This Row],[Target (priotitised 1-2 ranking) 100%]:[Target (priotitised 3 ranking) 50%]])</f>
        <v>105812.41394139855</v>
      </c>
    </row>
    <row r="135" spans="1:27" x14ac:dyDescent="0.55000000000000004">
      <c r="A1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5" s="316" t="s">
        <v>342</v>
      </c>
      <c r="C135" s="317" t="s">
        <v>343</v>
      </c>
      <c r="D135" s="317" t="s">
        <v>352</v>
      </c>
      <c r="E135" s="105" t="s">
        <v>353</v>
      </c>
      <c r="F135" s="100"/>
      <c r="G135" s="34"/>
      <c r="H135" s="34"/>
      <c r="I135" s="97">
        <v>54056.787582147139</v>
      </c>
      <c r="J135" s="97" t="s">
        <v>413</v>
      </c>
      <c r="K135" s="318"/>
      <c r="L135" s="319">
        <v>18618.536091374819</v>
      </c>
      <c r="M135" s="319">
        <v>21954.392708159565</v>
      </c>
      <c r="N135" s="319">
        <v>35213.296640527828</v>
      </c>
      <c r="O135" s="319">
        <v>30749.321701969897</v>
      </c>
      <c r="P135" s="319">
        <v>17593</v>
      </c>
      <c r="Q135" s="320">
        <v>29939.143891650725</v>
      </c>
      <c r="R135" s="340">
        <v>27028.393791073569</v>
      </c>
      <c r="S135" s="439">
        <v>35213.296640527828</v>
      </c>
      <c r="T135" s="326">
        <v>4</v>
      </c>
      <c r="U135" s="378">
        <v>1</v>
      </c>
      <c r="V135" s="439">
        <f>tblPiNAnalysis8[[#This Row],[Final PiN]]</f>
        <v>35213.296640527828</v>
      </c>
      <c r="W135" s="326"/>
      <c r="X135" s="440">
        <f>SUM(tblPiNAnalysis8[[#This Row],[Target (severity 4-5 ranking) 100%]:[Target (severity 3 ranking) 50%]])</f>
        <v>35213.296640527828</v>
      </c>
      <c r="Y135" s="354">
        <f>tblPiNAnalysis8[[#This Row],[Final PiN]]</f>
        <v>35213.296640527828</v>
      </c>
      <c r="Z135" s="326"/>
      <c r="AA135" s="326">
        <f>SUM(tblPiNAnalysis8[[#This Row],[Target (priotitised 1-2 ranking) 100%]:[Target (priotitised 3 ranking) 50%]])</f>
        <v>35213.296640527828</v>
      </c>
    </row>
    <row r="136" spans="1:27" x14ac:dyDescent="0.55000000000000004">
      <c r="A1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6" s="316" t="s">
        <v>342</v>
      </c>
      <c r="C136" s="317" t="s">
        <v>343</v>
      </c>
      <c r="D136" s="317" t="s">
        <v>354</v>
      </c>
      <c r="E136" s="105" t="s">
        <v>355</v>
      </c>
      <c r="F136" s="100"/>
      <c r="G136" s="34"/>
      <c r="H136" s="34"/>
      <c r="I136" s="97">
        <v>75995.604930880276</v>
      </c>
      <c r="J136" s="97" t="s">
        <v>413</v>
      </c>
      <c r="K136" s="318"/>
      <c r="L136" s="319">
        <v>14283.00916785528</v>
      </c>
      <c r="M136" s="319">
        <v>31687.001788830639</v>
      </c>
      <c r="N136" s="319">
        <v>45448.176430672487</v>
      </c>
      <c r="O136" s="319">
        <v>33325.761868302005</v>
      </c>
      <c r="P136" s="319">
        <v>28182</v>
      </c>
      <c r="Q136" s="320">
        <v>21566.320318222781</v>
      </c>
      <c r="R136" s="340">
        <v>61218.681749875781</v>
      </c>
      <c r="S136" s="439">
        <v>61218.681749875781</v>
      </c>
      <c r="T136" s="326">
        <v>3</v>
      </c>
      <c r="U136" s="378">
        <v>4</v>
      </c>
      <c r="V136" s="439"/>
      <c r="W136" s="326">
        <f>tblPiNAnalysis8[[#This Row],[Final PiN]]/2</f>
        <v>30609.34087493789</v>
      </c>
      <c r="X136" s="440">
        <f>SUM(tblPiNAnalysis8[[#This Row],[Target (severity 4-5 ranking) 100%]:[Target (severity 3 ranking) 50%]])</f>
        <v>30609.34087493789</v>
      </c>
      <c r="Y136" s="354"/>
      <c r="Z136" s="326"/>
      <c r="AA136" s="326">
        <f>SUM(tblPiNAnalysis8[[#This Row],[Target (priotitised 1-2 ranking) 100%]:[Target (priotitised 3 ranking) 50%]])</f>
        <v>0</v>
      </c>
    </row>
    <row r="137" spans="1:27" x14ac:dyDescent="0.55000000000000004">
      <c r="A1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7" s="316" t="s">
        <v>342</v>
      </c>
      <c r="C137" s="317" t="s">
        <v>343</v>
      </c>
      <c r="D137" s="317" t="s">
        <v>356</v>
      </c>
      <c r="E137" s="105" t="s">
        <v>357</v>
      </c>
      <c r="F137" s="100"/>
      <c r="G137" s="34"/>
      <c r="H137" s="34"/>
      <c r="I137" s="97">
        <v>123133.14998785798</v>
      </c>
      <c r="J137" s="97" t="s">
        <v>413</v>
      </c>
      <c r="K137" s="318"/>
      <c r="L137" s="319">
        <v>3450.0923561397899</v>
      </c>
      <c r="M137" s="319">
        <v>58931.909938574638</v>
      </c>
      <c r="N137" s="319">
        <v>99663.380026948871</v>
      </c>
      <c r="O137" s="319">
        <v>83200.762816185612</v>
      </c>
      <c r="P137" s="319">
        <v>21613</v>
      </c>
      <c r="Q137" s="320">
        <v>75081.189016986566</v>
      </c>
      <c r="R137" s="340">
        <v>97619.073864247752</v>
      </c>
      <c r="S137" s="439">
        <v>99663.380026948871</v>
      </c>
      <c r="T137" s="326">
        <v>4</v>
      </c>
      <c r="U137" s="378">
        <v>1</v>
      </c>
      <c r="V137" s="439">
        <f>tblPiNAnalysis8[[#This Row],[Final PiN]]</f>
        <v>99663.380026948871</v>
      </c>
      <c r="W137" s="326"/>
      <c r="X137" s="440">
        <f>SUM(tblPiNAnalysis8[[#This Row],[Target (severity 4-5 ranking) 100%]:[Target (severity 3 ranking) 50%]])</f>
        <v>99663.380026948871</v>
      </c>
      <c r="Y137" s="354">
        <f>tblPiNAnalysis8[[#This Row],[Final PiN]]</f>
        <v>99663.380026948871</v>
      </c>
      <c r="Z137" s="326"/>
      <c r="AA137" s="326">
        <f>SUM(tblPiNAnalysis8[[#This Row],[Target (priotitised 1-2 ranking) 100%]:[Target (priotitised 3 ranking) 50%]])</f>
        <v>99663.380026948871</v>
      </c>
    </row>
    <row r="138" spans="1:27" x14ac:dyDescent="0.55000000000000004">
      <c r="A1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8" s="316" t="s">
        <v>342</v>
      </c>
      <c r="C138" s="317" t="s">
        <v>343</v>
      </c>
      <c r="D138" s="317" t="s">
        <v>358</v>
      </c>
      <c r="E138" s="105" t="s">
        <v>359</v>
      </c>
      <c r="F138" s="100"/>
      <c r="G138" s="34"/>
      <c r="H138" s="34"/>
      <c r="I138" s="97">
        <v>55774.82852003994</v>
      </c>
      <c r="J138" s="97" t="s">
        <v>413</v>
      </c>
      <c r="K138" s="318"/>
      <c r="L138" s="319">
        <v>5999.5867542436563</v>
      </c>
      <c r="M138" s="319">
        <v>27573.635613553237</v>
      </c>
      <c r="N138" s="319">
        <v>39225.067733394935</v>
      </c>
      <c r="O138" s="319">
        <v>27508.850619592082</v>
      </c>
      <c r="P138" s="319">
        <v>19633</v>
      </c>
      <c r="Q138" s="320">
        <v>0</v>
      </c>
      <c r="R138" s="340">
        <v>46995.45736410773</v>
      </c>
      <c r="S138" s="439">
        <v>46995.45736410773</v>
      </c>
      <c r="T138" s="326">
        <v>3</v>
      </c>
      <c r="U138" s="378">
        <v>3</v>
      </c>
      <c r="V138" s="439"/>
      <c r="W138" s="326">
        <f>tblPiNAnalysis8[[#This Row],[Final PiN]]/2</f>
        <v>23497.728682053865</v>
      </c>
      <c r="X138" s="440">
        <f>SUM(tblPiNAnalysis8[[#This Row],[Target (severity 4-5 ranking) 100%]:[Target (severity 3 ranking) 50%]])</f>
        <v>23497.728682053865</v>
      </c>
      <c r="Y138" s="354"/>
      <c r="Z138" s="326">
        <f>tblPiNAnalysis8[[#This Row],[Final PiN]]/2</f>
        <v>23497.728682053865</v>
      </c>
      <c r="AA138" s="326">
        <f>SUM(tblPiNAnalysis8[[#This Row],[Target (priotitised 1-2 ranking) 100%]:[Target (priotitised 3 ranking) 50%]])</f>
        <v>23497.728682053865</v>
      </c>
    </row>
    <row r="139" spans="1:27" x14ac:dyDescent="0.55000000000000004">
      <c r="A1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9" s="316" t="s">
        <v>342</v>
      </c>
      <c r="C139" s="317" t="s">
        <v>343</v>
      </c>
      <c r="D139" s="317" t="s">
        <v>360</v>
      </c>
      <c r="E139" s="105" t="s">
        <v>361</v>
      </c>
      <c r="F139" s="100"/>
      <c r="G139" s="34"/>
      <c r="H139" s="34"/>
      <c r="I139" s="97">
        <v>84237.505871052446</v>
      </c>
      <c r="J139" s="97" t="s">
        <v>413</v>
      </c>
      <c r="K139" s="318"/>
      <c r="L139" s="319">
        <v>17955.502360184204</v>
      </c>
      <c r="M139" s="319">
        <v>39291.668651767097</v>
      </c>
      <c r="N139" s="319">
        <v>56401.700934591106</v>
      </c>
      <c r="O139" s="319">
        <v>41012.649567676861</v>
      </c>
      <c r="P139" s="319">
        <v>28577</v>
      </c>
      <c r="Q139" s="320">
        <v>36802.793827158835</v>
      </c>
      <c r="R139" s="340">
        <v>7799.7690621344855</v>
      </c>
      <c r="S139" s="439">
        <v>56401.700934591106</v>
      </c>
      <c r="T139" s="326">
        <v>3</v>
      </c>
      <c r="U139" s="378">
        <v>4</v>
      </c>
      <c r="V139" s="439"/>
      <c r="W139" s="326">
        <f>tblPiNAnalysis8[[#This Row],[Final PiN]]/2</f>
        <v>28200.850467295553</v>
      </c>
      <c r="X139" s="440">
        <f>SUM(tblPiNAnalysis8[[#This Row],[Target (severity 4-5 ranking) 100%]:[Target (severity 3 ranking) 50%]])</f>
        <v>28200.850467295553</v>
      </c>
      <c r="Y139" s="354"/>
      <c r="Z139" s="326"/>
      <c r="AA139" s="326">
        <f>SUM(tblPiNAnalysis8[[#This Row],[Target (priotitised 1-2 ranking) 100%]:[Target (priotitised 3 ranking) 50%]])</f>
        <v>0</v>
      </c>
    </row>
    <row r="140" spans="1:27" x14ac:dyDescent="0.55000000000000004">
      <c r="A1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0" s="316" t="s">
        <v>342</v>
      </c>
      <c r="C140" s="317" t="s">
        <v>343</v>
      </c>
      <c r="D140" s="317" t="s">
        <v>362</v>
      </c>
      <c r="E140" s="105" t="s">
        <v>363</v>
      </c>
      <c r="F140" s="100"/>
      <c r="G140" s="34"/>
      <c r="H140" s="34"/>
      <c r="I140" s="97">
        <v>39623.047823684894</v>
      </c>
      <c r="J140" s="97" t="s">
        <v>413</v>
      </c>
      <c r="K140" s="318"/>
      <c r="L140" s="319">
        <v>3277.2936069830607</v>
      </c>
      <c r="M140" s="319">
        <v>25107.265017137095</v>
      </c>
      <c r="N140" s="319">
        <v>33263.474890030957</v>
      </c>
      <c r="O140" s="319">
        <v>24087.385048567459</v>
      </c>
      <c r="P140" s="319">
        <v>13541</v>
      </c>
      <c r="Q140" s="320">
        <v>27853.825697837899</v>
      </c>
      <c r="R140" s="340">
        <v>37822.000195335575</v>
      </c>
      <c r="S140" s="439">
        <v>37822.000195335575</v>
      </c>
      <c r="T140" s="326">
        <v>4</v>
      </c>
      <c r="U140" s="378">
        <v>2</v>
      </c>
      <c r="V140" s="439">
        <f>tblPiNAnalysis8[[#This Row],[Final PiN]]</f>
        <v>37822.000195335575</v>
      </c>
      <c r="W140" s="326"/>
      <c r="X140" s="440">
        <f>SUM(tblPiNAnalysis8[[#This Row],[Target (severity 4-5 ranking) 100%]:[Target (severity 3 ranking) 50%]])</f>
        <v>37822.000195335575</v>
      </c>
      <c r="Y140" s="354">
        <f>tblPiNAnalysis8[[#This Row],[Final PiN]]</f>
        <v>37822.000195335575</v>
      </c>
      <c r="Z140" s="326"/>
      <c r="AA140" s="326">
        <f>SUM(tblPiNAnalysis8[[#This Row],[Target (priotitised 1-2 ranking) 100%]:[Target (priotitised 3 ranking) 50%]])</f>
        <v>37822.000195335575</v>
      </c>
    </row>
    <row r="141" spans="1:27" x14ac:dyDescent="0.55000000000000004">
      <c r="A1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1" s="316" t="s">
        <v>342</v>
      </c>
      <c r="C141" s="317" t="s">
        <v>343</v>
      </c>
      <c r="D141" s="317" t="s">
        <v>364</v>
      </c>
      <c r="E141" s="105" t="s">
        <v>365</v>
      </c>
      <c r="F141" s="100"/>
      <c r="G141" s="34"/>
      <c r="H141" s="34"/>
      <c r="I141" s="97">
        <v>208923.05518722511</v>
      </c>
      <c r="J141" s="97" t="s">
        <v>413</v>
      </c>
      <c r="K141" s="318"/>
      <c r="L141" s="319">
        <v>38264.257557540281</v>
      </c>
      <c r="M141" s="319">
        <v>81229.978090916178</v>
      </c>
      <c r="N141" s="319">
        <v>139713.06019309364</v>
      </c>
      <c r="O141" s="319">
        <v>88283.247526447769</v>
      </c>
      <c r="P141" s="319">
        <v>73541</v>
      </c>
      <c r="Q141" s="320">
        <v>43983.80109204739</v>
      </c>
      <c r="R141" s="340">
        <v>100592.58212718245</v>
      </c>
      <c r="S141" s="439">
        <v>139713.06019309364</v>
      </c>
      <c r="T141" s="326">
        <v>4</v>
      </c>
      <c r="U141" s="378">
        <v>1</v>
      </c>
      <c r="V141" s="439">
        <f>tblPiNAnalysis8[[#This Row],[Final PiN]]</f>
        <v>139713.06019309364</v>
      </c>
      <c r="W141" s="326"/>
      <c r="X141" s="440">
        <f>SUM(tblPiNAnalysis8[[#This Row],[Target (severity 4-5 ranking) 100%]:[Target (severity 3 ranking) 50%]])</f>
        <v>139713.06019309364</v>
      </c>
      <c r="Y141" s="354">
        <f>tblPiNAnalysis8[[#This Row],[Final PiN]]</f>
        <v>139713.06019309364</v>
      </c>
      <c r="Z141" s="326"/>
      <c r="AA141" s="326">
        <f>SUM(tblPiNAnalysis8[[#This Row],[Target (priotitised 1-2 ranking) 100%]:[Target (priotitised 3 ranking) 50%]])</f>
        <v>139713.06019309364</v>
      </c>
    </row>
    <row r="142" spans="1:27" x14ac:dyDescent="0.55000000000000004">
      <c r="A1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2" s="316" t="s">
        <v>342</v>
      </c>
      <c r="C142" s="317" t="s">
        <v>343</v>
      </c>
      <c r="D142" s="317" t="s">
        <v>366</v>
      </c>
      <c r="E142" s="105" t="s">
        <v>367</v>
      </c>
      <c r="F142" s="100"/>
      <c r="G142" s="34"/>
      <c r="H142" s="34"/>
      <c r="I142" s="97">
        <v>68673.985334433135</v>
      </c>
      <c r="J142" s="97" t="s">
        <v>413</v>
      </c>
      <c r="K142" s="318"/>
      <c r="L142" s="319">
        <v>22309.43087574395</v>
      </c>
      <c r="M142" s="319">
        <v>32382.269370221249</v>
      </c>
      <c r="N142" s="319">
        <v>59789.271074592936</v>
      </c>
      <c r="O142" s="319">
        <v>44273.148190082211</v>
      </c>
      <c r="P142" s="319">
        <v>11369</v>
      </c>
      <c r="Q142" s="320">
        <v>29801.918163999289</v>
      </c>
      <c r="R142" s="340">
        <v>51505.489000824855</v>
      </c>
      <c r="S142" s="439">
        <v>59789.271074592936</v>
      </c>
      <c r="T142" s="326">
        <v>5</v>
      </c>
      <c r="U142" s="378">
        <v>1</v>
      </c>
      <c r="V142" s="439">
        <f>tblPiNAnalysis8[[#This Row],[Final PiN]]</f>
        <v>59789.271074592936</v>
      </c>
      <c r="W142" s="326"/>
      <c r="X142" s="440">
        <f>SUM(tblPiNAnalysis8[[#This Row],[Target (severity 4-5 ranking) 100%]:[Target (severity 3 ranking) 50%]])</f>
        <v>59789.271074592936</v>
      </c>
      <c r="Y142" s="354">
        <f>tblPiNAnalysis8[[#This Row],[Final PiN]]</f>
        <v>59789.271074592936</v>
      </c>
      <c r="Z142" s="326"/>
      <c r="AA142" s="326">
        <f>SUM(tblPiNAnalysis8[[#This Row],[Target (priotitised 1-2 ranking) 100%]:[Target (priotitised 3 ranking) 50%]])</f>
        <v>59789.271074592936</v>
      </c>
    </row>
    <row r="143" spans="1:27" x14ac:dyDescent="0.55000000000000004">
      <c r="A1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3" s="316" t="s">
        <v>368</v>
      </c>
      <c r="C143" s="317" t="s">
        <v>369</v>
      </c>
      <c r="D143" s="317" t="s">
        <v>370</v>
      </c>
      <c r="E143" s="105" t="s">
        <v>371</v>
      </c>
      <c r="F143" s="100"/>
      <c r="G143" s="34"/>
      <c r="H143" s="34"/>
      <c r="I143" s="97">
        <v>66451.811981503241</v>
      </c>
      <c r="J143" s="97" t="s">
        <v>413</v>
      </c>
      <c r="K143" s="318"/>
      <c r="L143" s="319">
        <v>12506.231014918911</v>
      </c>
      <c r="M143" s="319">
        <v>31059.156167903904</v>
      </c>
      <c r="N143" s="319">
        <v>38920.789012075693</v>
      </c>
      <c r="O143" s="319">
        <v>31977.818219906374</v>
      </c>
      <c r="P143" s="319">
        <v>11294</v>
      </c>
      <c r="Q143" s="320">
        <v>26271.646597338491</v>
      </c>
      <c r="R143" s="340">
        <v>22150.603993834415</v>
      </c>
      <c r="S143" s="439">
        <v>38920.789012075693</v>
      </c>
      <c r="T143" s="326">
        <v>3</v>
      </c>
      <c r="U143" s="378">
        <v>3</v>
      </c>
      <c r="V143" s="439"/>
      <c r="W143" s="326">
        <f>tblPiNAnalysis8[[#This Row],[Final PiN]]/2</f>
        <v>19460.394506037846</v>
      </c>
      <c r="X143" s="440">
        <f>SUM(tblPiNAnalysis8[[#This Row],[Target (severity 4-5 ranking) 100%]:[Target (severity 3 ranking) 50%]])</f>
        <v>19460.394506037846</v>
      </c>
      <c r="Y143" s="354"/>
      <c r="Z143" s="326">
        <f>tblPiNAnalysis8[[#This Row],[Final PiN]]/2</f>
        <v>19460.394506037846</v>
      </c>
      <c r="AA143" s="326">
        <f>SUM(tblPiNAnalysis8[[#This Row],[Target (priotitised 1-2 ranking) 100%]:[Target (priotitised 3 ranking) 50%]])</f>
        <v>19460.394506037846</v>
      </c>
    </row>
    <row r="144" spans="1:27" x14ac:dyDescent="0.55000000000000004">
      <c r="A1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4" s="316" t="s">
        <v>368</v>
      </c>
      <c r="C144" s="317" t="s">
        <v>369</v>
      </c>
      <c r="D144" s="317" t="s">
        <v>372</v>
      </c>
      <c r="E144" s="105" t="s">
        <v>373</v>
      </c>
      <c r="F144" s="100"/>
      <c r="G144" s="34"/>
      <c r="H144" s="34"/>
      <c r="I144" s="97">
        <v>175059.60932121321</v>
      </c>
      <c r="J144" s="97" t="s">
        <v>413</v>
      </c>
      <c r="K144" s="318"/>
      <c r="L144" s="319">
        <v>39838.122727658229</v>
      </c>
      <c r="M144" s="319">
        <v>82753.758453595903</v>
      </c>
      <c r="N144" s="319">
        <v>93064.484746472765</v>
      </c>
      <c r="O144" s="319">
        <v>88745.812972787884</v>
      </c>
      <c r="P144" s="319">
        <v>60142</v>
      </c>
      <c r="Q144" s="320">
        <v>61424.424323232699</v>
      </c>
      <c r="R144" s="340">
        <v>87529.804660606605</v>
      </c>
      <c r="S144" s="439">
        <v>93064.484746472765</v>
      </c>
      <c r="T144" s="326">
        <v>3</v>
      </c>
      <c r="U144" s="378">
        <v>3</v>
      </c>
      <c r="V144" s="439"/>
      <c r="W144" s="326">
        <f>tblPiNAnalysis8[[#This Row],[Final PiN]]/2</f>
        <v>46532.242373236382</v>
      </c>
      <c r="X144" s="440">
        <f>SUM(tblPiNAnalysis8[[#This Row],[Target (severity 4-5 ranking) 100%]:[Target (severity 3 ranking) 50%]])</f>
        <v>46532.242373236382</v>
      </c>
      <c r="Y144" s="354"/>
      <c r="Z144" s="326">
        <f>tblPiNAnalysis8[[#This Row],[Final PiN]]/2</f>
        <v>46532.242373236382</v>
      </c>
      <c r="AA144" s="326">
        <f>SUM(tblPiNAnalysis8[[#This Row],[Target (priotitised 1-2 ranking) 100%]:[Target (priotitised 3 ranking) 50%]])</f>
        <v>46532.242373236382</v>
      </c>
    </row>
    <row r="145" spans="1:27" x14ac:dyDescent="0.55000000000000004">
      <c r="A1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5" s="316" t="s">
        <v>368</v>
      </c>
      <c r="C145" s="317" t="s">
        <v>369</v>
      </c>
      <c r="D145" s="317" t="s">
        <v>374</v>
      </c>
      <c r="E145" s="105" t="s">
        <v>375</v>
      </c>
      <c r="F145" s="100"/>
      <c r="G145" s="34"/>
      <c r="H145" s="34"/>
      <c r="I145" s="97">
        <v>118674.00478882086</v>
      </c>
      <c r="J145" s="97" t="s">
        <v>413</v>
      </c>
      <c r="K145" s="318"/>
      <c r="L145" s="319">
        <v>38823.275009425401</v>
      </c>
      <c r="M145" s="319">
        <v>66304.246767566918</v>
      </c>
      <c r="N145" s="319">
        <v>87510.12561893872</v>
      </c>
      <c r="O145" s="319">
        <v>50763.66976398851</v>
      </c>
      <c r="P145" s="319">
        <v>40780</v>
      </c>
      <c r="Q145" s="320">
        <v>70639.288564774324</v>
      </c>
      <c r="R145" s="340">
        <v>58238.169016736174</v>
      </c>
      <c r="S145" s="439">
        <v>87510.12561893872</v>
      </c>
      <c r="T145" s="326">
        <v>4</v>
      </c>
      <c r="U145" s="378">
        <v>2</v>
      </c>
      <c r="V145" s="439">
        <f>tblPiNAnalysis8[[#This Row],[Final PiN]]</f>
        <v>87510.12561893872</v>
      </c>
      <c r="W145" s="326"/>
      <c r="X145" s="440">
        <f>SUM(tblPiNAnalysis8[[#This Row],[Target (severity 4-5 ranking) 100%]:[Target (severity 3 ranking) 50%]])</f>
        <v>87510.12561893872</v>
      </c>
      <c r="Y145" s="354">
        <f>tblPiNAnalysis8[[#This Row],[Final PiN]]</f>
        <v>87510.12561893872</v>
      </c>
      <c r="Z145" s="326"/>
      <c r="AA145" s="326">
        <f>SUM(tblPiNAnalysis8[[#This Row],[Target (priotitised 1-2 ranking) 100%]:[Target (priotitised 3 ranking) 50%]])</f>
        <v>87510.12561893872</v>
      </c>
    </row>
    <row r="146" spans="1:27" x14ac:dyDescent="0.55000000000000004">
      <c r="A1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6" s="316" t="s">
        <v>368</v>
      </c>
      <c r="C146" s="317" t="s">
        <v>369</v>
      </c>
      <c r="D146" s="317" t="s">
        <v>376</v>
      </c>
      <c r="E146" s="105" t="s">
        <v>377</v>
      </c>
      <c r="F146" s="100"/>
      <c r="G146" s="34"/>
      <c r="H146" s="34"/>
      <c r="I146" s="97">
        <v>176910.11306393327</v>
      </c>
      <c r="J146" s="97" t="s">
        <v>413</v>
      </c>
      <c r="K146" s="318"/>
      <c r="L146" s="319">
        <v>46907.008838449648</v>
      </c>
      <c r="M146" s="319">
        <v>86913.301038166988</v>
      </c>
      <c r="N146" s="319">
        <v>109863.17813807524</v>
      </c>
      <c r="O146" s="319">
        <v>79757.739660143794</v>
      </c>
      <c r="P146" s="319">
        <v>29494</v>
      </c>
      <c r="Q146" s="320">
        <v>84076.093337314829</v>
      </c>
      <c r="R146" s="340">
        <v>106473.6791588487</v>
      </c>
      <c r="S146" s="439">
        <v>109863.17813807524</v>
      </c>
      <c r="T146" s="326">
        <v>3</v>
      </c>
      <c r="U146" s="378">
        <v>3</v>
      </c>
      <c r="V146" s="439"/>
      <c r="W146" s="326">
        <f>tblPiNAnalysis8[[#This Row],[Final PiN]]/2</f>
        <v>54931.589069037618</v>
      </c>
      <c r="X146" s="440">
        <f>SUM(tblPiNAnalysis8[[#This Row],[Target (severity 4-5 ranking) 100%]:[Target (severity 3 ranking) 50%]])</f>
        <v>54931.589069037618</v>
      </c>
      <c r="Y146" s="354"/>
      <c r="Z146" s="326">
        <f>tblPiNAnalysis8[[#This Row],[Final PiN]]/2</f>
        <v>54931.589069037618</v>
      </c>
      <c r="AA146" s="326">
        <f>SUM(tblPiNAnalysis8[[#This Row],[Target (priotitised 1-2 ranking) 100%]:[Target (priotitised 3 ranking) 50%]])</f>
        <v>54931.589069037618</v>
      </c>
    </row>
    <row r="147" spans="1:27" x14ac:dyDescent="0.55000000000000004">
      <c r="A1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7" s="316" t="s">
        <v>368</v>
      </c>
      <c r="C147" s="317" t="s">
        <v>369</v>
      </c>
      <c r="D147" s="317" t="s">
        <v>378</v>
      </c>
      <c r="E147" s="105" t="s">
        <v>379</v>
      </c>
      <c r="F147" s="100"/>
      <c r="G147" s="34"/>
      <c r="H147" s="34"/>
      <c r="I147" s="97">
        <v>85516.790119838945</v>
      </c>
      <c r="J147" s="97" t="s">
        <v>413</v>
      </c>
      <c r="K147" s="318"/>
      <c r="L147" s="319">
        <v>13282.254049438088</v>
      </c>
      <c r="M147" s="319">
        <v>49911.369081728808</v>
      </c>
      <c r="N147" s="319">
        <v>48485.941515993887</v>
      </c>
      <c r="O147" s="319">
        <v>48757.59004222045</v>
      </c>
      <c r="P147" s="319">
        <v>29796</v>
      </c>
      <c r="Q147" s="320">
        <v>44565.087808930155</v>
      </c>
      <c r="R147" s="340">
        <v>65721.236851357709</v>
      </c>
      <c r="S147" s="439">
        <v>65721.236851357709</v>
      </c>
      <c r="T147" s="326">
        <v>3</v>
      </c>
      <c r="U147" s="378">
        <v>4</v>
      </c>
      <c r="V147" s="439"/>
      <c r="W147" s="326">
        <f>tblPiNAnalysis8[[#This Row],[Final PiN]]/2</f>
        <v>32860.618425678855</v>
      </c>
      <c r="X147" s="440">
        <f>SUM(tblPiNAnalysis8[[#This Row],[Target (severity 4-5 ranking) 100%]:[Target (severity 3 ranking) 50%]])</f>
        <v>32860.618425678855</v>
      </c>
      <c r="Y147" s="354"/>
      <c r="Z147" s="326"/>
      <c r="AA147" s="326">
        <f>SUM(tblPiNAnalysis8[[#This Row],[Target (priotitised 1-2 ranking) 100%]:[Target (priotitised 3 ranking) 50%]])</f>
        <v>0</v>
      </c>
    </row>
    <row r="148" spans="1:27" x14ac:dyDescent="0.55000000000000004">
      <c r="A1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8" s="316" t="s">
        <v>368</v>
      </c>
      <c r="C148" s="317" t="s">
        <v>369</v>
      </c>
      <c r="D148" s="317" t="s">
        <v>380</v>
      </c>
      <c r="E148" s="105" t="s">
        <v>381</v>
      </c>
      <c r="F148" s="100"/>
      <c r="G148" s="34"/>
      <c r="H148" s="34"/>
      <c r="I148" s="97">
        <v>56495.39881084334</v>
      </c>
      <c r="J148" s="97" t="s">
        <v>413</v>
      </c>
      <c r="K148" s="318"/>
      <c r="L148" s="319">
        <v>6937.7479647691844</v>
      </c>
      <c r="M148" s="319">
        <v>30593.112727266733</v>
      </c>
      <c r="N148" s="319">
        <v>32963.972271729072</v>
      </c>
      <c r="O148" s="319">
        <v>34129.817761062943</v>
      </c>
      <c r="P148" s="319">
        <v>19172</v>
      </c>
      <c r="Q148" s="320">
        <v>17383.199634105644</v>
      </c>
      <c r="R148" s="340">
        <v>25632.171682697448</v>
      </c>
      <c r="S148" s="439">
        <v>34129.817761062943</v>
      </c>
      <c r="T148" s="326">
        <v>4</v>
      </c>
      <c r="U148" s="378">
        <v>1</v>
      </c>
      <c r="V148" s="439">
        <f>tblPiNAnalysis8[[#This Row],[Final PiN]]</f>
        <v>34129.817761062943</v>
      </c>
      <c r="W148" s="326"/>
      <c r="X148" s="440">
        <f>SUM(tblPiNAnalysis8[[#This Row],[Target (severity 4-5 ranking) 100%]:[Target (severity 3 ranking) 50%]])</f>
        <v>34129.817761062943</v>
      </c>
      <c r="Y148" s="354">
        <f>tblPiNAnalysis8[[#This Row],[Final PiN]]</f>
        <v>34129.817761062943</v>
      </c>
      <c r="Z148" s="326"/>
      <c r="AA148" s="326">
        <f>SUM(tblPiNAnalysis8[[#This Row],[Target (priotitised 1-2 ranking) 100%]:[Target (priotitised 3 ranking) 50%]])</f>
        <v>34129.817761062943</v>
      </c>
    </row>
    <row r="149" spans="1:27" x14ac:dyDescent="0.55000000000000004">
      <c r="A1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9" s="316" t="s">
        <v>382</v>
      </c>
      <c r="C149" s="317" t="s">
        <v>383</v>
      </c>
      <c r="D149" s="317" t="s">
        <v>384</v>
      </c>
      <c r="E149" s="105" t="s">
        <v>385</v>
      </c>
      <c r="F149" s="100"/>
      <c r="G149" s="34"/>
      <c r="H149" s="34"/>
      <c r="I149" s="97">
        <v>178742.31540837008</v>
      </c>
      <c r="J149" s="97" t="s">
        <v>413</v>
      </c>
      <c r="K149" s="318"/>
      <c r="L149" s="319">
        <v>36544.688599892135</v>
      </c>
      <c r="M149" s="319">
        <v>71792.511876647914</v>
      </c>
      <c r="N149" s="319">
        <v>54701.095765878286</v>
      </c>
      <c r="O149" s="319">
        <v>92905.123157415932</v>
      </c>
      <c r="P149" s="319">
        <v>30952</v>
      </c>
      <c r="Q149" s="320">
        <v>70264.220539842034</v>
      </c>
      <c r="R149" s="340">
        <v>127436.650800412</v>
      </c>
      <c r="S149" s="439">
        <v>127436.650800412</v>
      </c>
      <c r="T149" s="326">
        <v>3</v>
      </c>
      <c r="U149" s="378">
        <v>4</v>
      </c>
      <c r="V149" s="439"/>
      <c r="W149" s="326">
        <f>tblPiNAnalysis8[[#This Row],[Final PiN]]/2</f>
        <v>63718.325400205998</v>
      </c>
      <c r="X149" s="440">
        <f>SUM(tblPiNAnalysis8[[#This Row],[Target (severity 4-5 ranking) 100%]:[Target (severity 3 ranking) 50%]])</f>
        <v>63718.325400205998</v>
      </c>
      <c r="Y149" s="354"/>
      <c r="Z149" s="326"/>
      <c r="AA149" s="326">
        <f>SUM(tblPiNAnalysis8[[#This Row],[Target (priotitised 1-2 ranking) 100%]:[Target (priotitised 3 ranking) 50%]])</f>
        <v>0</v>
      </c>
    </row>
    <row r="150" spans="1:27" x14ac:dyDescent="0.55000000000000004">
      <c r="A1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0" s="316" t="s">
        <v>382</v>
      </c>
      <c r="C150" s="317" t="s">
        <v>383</v>
      </c>
      <c r="D150" s="317" t="s">
        <v>386</v>
      </c>
      <c r="E150" s="105" t="s">
        <v>387</v>
      </c>
      <c r="F150" s="100"/>
      <c r="G150" s="34"/>
      <c r="H150" s="34"/>
      <c r="I150" s="97">
        <v>37008.275019605207</v>
      </c>
      <c r="J150" s="97" t="s">
        <v>413</v>
      </c>
      <c r="K150" s="318"/>
      <c r="L150" s="319">
        <v>9740.8185389477185</v>
      </c>
      <c r="M150" s="319">
        <v>15260.32923411262</v>
      </c>
      <c r="N150" s="319">
        <v>19251.330016565855</v>
      </c>
      <c r="O150" s="319">
        <v>19192.902815265665</v>
      </c>
      <c r="P150" s="319">
        <v>6609</v>
      </c>
      <c r="Q150" s="320">
        <v>0</v>
      </c>
      <c r="R150" s="340">
        <v>9594.7379680457962</v>
      </c>
      <c r="S150" s="439">
        <v>19251.330016565855</v>
      </c>
      <c r="T150" s="326">
        <v>3</v>
      </c>
      <c r="U150" s="378">
        <v>3</v>
      </c>
      <c r="V150" s="439"/>
      <c r="W150" s="326">
        <f>tblPiNAnalysis8[[#This Row],[Final PiN]]/2</f>
        <v>9625.6650082829274</v>
      </c>
      <c r="X150" s="440">
        <f>SUM(tblPiNAnalysis8[[#This Row],[Target (severity 4-5 ranking) 100%]:[Target (severity 3 ranking) 50%]])</f>
        <v>9625.6650082829274</v>
      </c>
      <c r="Y150" s="354"/>
      <c r="Z150" s="326">
        <f>tblPiNAnalysis8[[#This Row],[Final PiN]]/2</f>
        <v>9625.6650082829274</v>
      </c>
      <c r="AA150" s="326">
        <f>SUM(tblPiNAnalysis8[[#This Row],[Target (priotitised 1-2 ranking) 100%]:[Target (priotitised 3 ranking) 50%]])</f>
        <v>9625.6650082829274</v>
      </c>
    </row>
    <row r="151" spans="1:27" x14ac:dyDescent="0.55000000000000004">
      <c r="A1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1" s="316" t="s">
        <v>382</v>
      </c>
      <c r="C151" s="317" t="s">
        <v>383</v>
      </c>
      <c r="D151" s="317" t="s">
        <v>388</v>
      </c>
      <c r="E151" s="105" t="s">
        <v>389</v>
      </c>
      <c r="F151" s="100"/>
      <c r="G151" s="34"/>
      <c r="H151" s="34"/>
      <c r="I151" s="97">
        <v>225180.53774946873</v>
      </c>
      <c r="J151" s="97" t="s">
        <v>413</v>
      </c>
      <c r="K151" s="318"/>
      <c r="L151" s="319">
        <v>30693.36830626399</v>
      </c>
      <c r="M151" s="319">
        <v>92382.929493153322</v>
      </c>
      <c r="N151" s="319">
        <v>111624.95265472641</v>
      </c>
      <c r="O151" s="319">
        <v>102556.50979852382</v>
      </c>
      <c r="P151" s="319">
        <v>35550</v>
      </c>
      <c r="Q151" s="320">
        <v>54353.922905044179</v>
      </c>
      <c r="R151" s="340">
        <v>97995.234020602133</v>
      </c>
      <c r="S151" s="439">
        <v>111624.95265472641</v>
      </c>
      <c r="T151" s="326">
        <v>3</v>
      </c>
      <c r="U151" s="378">
        <v>4</v>
      </c>
      <c r="V151" s="439"/>
      <c r="W151" s="326">
        <f>tblPiNAnalysis8[[#This Row],[Final PiN]]/2</f>
        <v>55812.476327363205</v>
      </c>
      <c r="X151" s="440">
        <f>SUM(tblPiNAnalysis8[[#This Row],[Target (severity 4-5 ranking) 100%]:[Target (severity 3 ranking) 50%]])</f>
        <v>55812.476327363205</v>
      </c>
      <c r="Y151" s="354"/>
      <c r="Z151" s="326"/>
      <c r="AA151" s="326">
        <f>SUM(tblPiNAnalysis8[[#This Row],[Target (priotitised 1-2 ranking) 100%]:[Target (priotitised 3 ranking) 50%]])</f>
        <v>0</v>
      </c>
    </row>
    <row r="152" spans="1:27" x14ac:dyDescent="0.55000000000000004">
      <c r="A1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2" s="316" t="s">
        <v>390</v>
      </c>
      <c r="C152" s="317" t="s">
        <v>391</v>
      </c>
      <c r="D152" s="317" t="s">
        <v>392</v>
      </c>
      <c r="E152" s="105" t="s">
        <v>393</v>
      </c>
      <c r="F152" s="100"/>
      <c r="G152" s="34"/>
      <c r="H152" s="34"/>
      <c r="I152" s="97">
        <v>73520.181474041485</v>
      </c>
      <c r="J152" s="97" t="s">
        <v>413</v>
      </c>
      <c r="K152" s="318"/>
      <c r="L152" s="319">
        <v>16171.535877120903</v>
      </c>
      <c r="M152" s="319">
        <v>36066.523335321421</v>
      </c>
      <c r="N152" s="319">
        <v>13143.564910079635</v>
      </c>
      <c r="O152" s="319">
        <v>36337.325866056002</v>
      </c>
      <c r="P152" s="319">
        <v>12761</v>
      </c>
      <c r="Q152" s="320">
        <v>29249.964672468115</v>
      </c>
      <c r="R152" s="340">
        <v>54459.393684475173</v>
      </c>
      <c r="S152" s="439">
        <v>54459.393684475173</v>
      </c>
      <c r="T152" s="326">
        <v>3</v>
      </c>
      <c r="U152" s="378">
        <v>3</v>
      </c>
      <c r="V152" s="439"/>
      <c r="W152" s="326">
        <f>tblPiNAnalysis8[[#This Row],[Final PiN]]/2</f>
        <v>27229.696842237587</v>
      </c>
      <c r="X152" s="440">
        <f>SUM(tblPiNAnalysis8[[#This Row],[Target (severity 4-5 ranking) 100%]:[Target (severity 3 ranking) 50%]])</f>
        <v>27229.696842237587</v>
      </c>
      <c r="Y152" s="354"/>
      <c r="Z152" s="326">
        <f>tblPiNAnalysis8[[#This Row],[Final PiN]]/2</f>
        <v>27229.696842237587</v>
      </c>
      <c r="AA152" s="326">
        <f>SUM(tblPiNAnalysis8[[#This Row],[Target (priotitised 1-2 ranking) 100%]:[Target (priotitised 3 ranking) 50%]])</f>
        <v>27229.696842237587</v>
      </c>
    </row>
    <row r="153" spans="1:27" x14ac:dyDescent="0.55000000000000004">
      <c r="A1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3" s="316" t="s">
        <v>390</v>
      </c>
      <c r="C153" s="317" t="s">
        <v>391</v>
      </c>
      <c r="D153" s="317" t="s">
        <v>394</v>
      </c>
      <c r="E153" s="105" t="s">
        <v>395</v>
      </c>
      <c r="F153" s="100"/>
      <c r="G153" s="34"/>
      <c r="H153" s="34"/>
      <c r="I153" s="97">
        <v>47140.450098552225</v>
      </c>
      <c r="J153" s="97" t="s">
        <v>413</v>
      </c>
      <c r="K153" s="318"/>
      <c r="L153" s="319">
        <v>6753.435162018789</v>
      </c>
      <c r="M153" s="319">
        <v>20826.863886890918</v>
      </c>
      <c r="N153" s="319">
        <v>11877.998300213296</v>
      </c>
      <c r="O153" s="319">
        <v>20492.844907836869</v>
      </c>
      <c r="P153" s="319">
        <v>9428</v>
      </c>
      <c r="Q153" s="320">
        <v>17495.424778844124</v>
      </c>
      <c r="R153" s="340">
        <v>40156.679713581529</v>
      </c>
      <c r="S153" s="439">
        <v>40156.679713581529</v>
      </c>
      <c r="T153" s="326">
        <v>3</v>
      </c>
      <c r="U153" s="378">
        <v>5</v>
      </c>
      <c r="V153" s="439"/>
      <c r="W153" s="326">
        <f>tblPiNAnalysis8[[#This Row],[Final PiN]]/2</f>
        <v>20078.339856790764</v>
      </c>
      <c r="X153" s="440">
        <f>SUM(tblPiNAnalysis8[[#This Row],[Target (severity 4-5 ranking) 100%]:[Target (severity 3 ranking) 50%]])</f>
        <v>20078.339856790764</v>
      </c>
      <c r="Y153" s="354"/>
      <c r="Z153" s="326"/>
      <c r="AA153" s="326">
        <f>SUM(tblPiNAnalysis8[[#This Row],[Target (priotitised 1-2 ranking) 100%]:[Target (priotitised 3 ranking) 50%]])</f>
        <v>0</v>
      </c>
    </row>
    <row r="154" spans="1:27" x14ac:dyDescent="0.55000000000000004">
      <c r="A1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4" s="316" t="s">
        <v>390</v>
      </c>
      <c r="C154" s="317" t="s">
        <v>391</v>
      </c>
      <c r="D154" s="317" t="s">
        <v>396</v>
      </c>
      <c r="E154" s="105" t="s">
        <v>397</v>
      </c>
      <c r="F154" s="100"/>
      <c r="G154" s="34"/>
      <c r="H154" s="34"/>
      <c r="I154" s="97">
        <v>80255.412925910496</v>
      </c>
      <c r="J154" s="97" t="s">
        <v>413</v>
      </c>
      <c r="K154" s="318"/>
      <c r="L154" s="319">
        <v>12532.89394658379</v>
      </c>
      <c r="M154" s="319">
        <v>46265.718799877228</v>
      </c>
      <c r="N154" s="319">
        <v>20354.541316277235</v>
      </c>
      <c r="O154" s="319">
        <v>31521.004525350756</v>
      </c>
      <c r="P154" s="319">
        <v>24696</v>
      </c>
      <c r="Q154" s="320">
        <v>22224.575887175215</v>
      </c>
      <c r="R154" s="340">
        <v>57962.24266871313</v>
      </c>
      <c r="S154" s="439">
        <v>57962.24266871313</v>
      </c>
      <c r="T154" s="326">
        <v>3</v>
      </c>
      <c r="U154" s="378">
        <v>5</v>
      </c>
      <c r="V154" s="439"/>
      <c r="W154" s="326">
        <f>tblPiNAnalysis8[[#This Row],[Final PiN]]/2</f>
        <v>28981.121334356565</v>
      </c>
      <c r="X154" s="440">
        <f>SUM(tblPiNAnalysis8[[#This Row],[Target (severity 4-5 ranking) 100%]:[Target (severity 3 ranking) 50%]])</f>
        <v>28981.121334356565</v>
      </c>
      <c r="Y154" s="354"/>
      <c r="Z154" s="326"/>
      <c r="AA154" s="326">
        <f>SUM(tblPiNAnalysis8[[#This Row],[Target (priotitised 1-2 ranking) 100%]:[Target (priotitised 3 ranking) 50%]])</f>
        <v>0</v>
      </c>
    </row>
    <row r="155" spans="1:27" x14ac:dyDescent="0.55000000000000004">
      <c r="A1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5" s="316" t="s">
        <v>390</v>
      </c>
      <c r="C155" s="317" t="s">
        <v>391</v>
      </c>
      <c r="D155" s="317" t="s">
        <v>398</v>
      </c>
      <c r="E155" s="105" t="s">
        <v>399</v>
      </c>
      <c r="F155" s="100"/>
      <c r="G155" s="34"/>
      <c r="H155" s="34"/>
      <c r="I155" s="97">
        <v>64180.342035561967</v>
      </c>
      <c r="J155" s="97" t="s">
        <v>413</v>
      </c>
      <c r="K155" s="318"/>
      <c r="L155" s="319">
        <v>1008.8636325254056</v>
      </c>
      <c r="M155" s="319">
        <v>34046.698988476506</v>
      </c>
      <c r="N155" s="319">
        <v>27608.178938631787</v>
      </c>
      <c r="O155" s="319">
        <v>30949.569079725894</v>
      </c>
      <c r="P155" s="319">
        <v>21894</v>
      </c>
      <c r="Q155" s="320">
        <v>15281.033817990945</v>
      </c>
      <c r="R155" s="340">
        <v>39815.582559098635</v>
      </c>
      <c r="S155" s="439">
        <v>39815.582559098635</v>
      </c>
      <c r="T155" s="326">
        <v>3</v>
      </c>
      <c r="U155" s="378">
        <v>5</v>
      </c>
      <c r="V155" s="439"/>
      <c r="W155" s="326">
        <f>tblPiNAnalysis8[[#This Row],[Final PiN]]/2</f>
        <v>19907.791279549318</v>
      </c>
      <c r="X155" s="440">
        <f>SUM(tblPiNAnalysis8[[#This Row],[Target (severity 4-5 ranking) 100%]:[Target (severity 3 ranking) 50%]])</f>
        <v>19907.791279549318</v>
      </c>
      <c r="Y155" s="354"/>
      <c r="Z155" s="326"/>
      <c r="AA155" s="326">
        <f>SUM(tblPiNAnalysis8[[#This Row],[Target (priotitised 1-2 ranking) 100%]:[Target (priotitised 3 ranking) 50%]])</f>
        <v>0</v>
      </c>
    </row>
    <row r="156" spans="1:27" x14ac:dyDescent="0.55000000000000004">
      <c r="A1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6" s="316" t="s">
        <v>390</v>
      </c>
      <c r="C156" s="317" t="s">
        <v>391</v>
      </c>
      <c r="D156" s="317" t="s">
        <v>400</v>
      </c>
      <c r="E156" s="105" t="s">
        <v>401</v>
      </c>
      <c r="F156" s="100"/>
      <c r="G156" s="34"/>
      <c r="H156" s="34"/>
      <c r="I156" s="97">
        <v>37549.507730213714</v>
      </c>
      <c r="J156" s="97" t="s">
        <v>413</v>
      </c>
      <c r="K156" s="318"/>
      <c r="L156" s="319">
        <v>3086.1189413308048</v>
      </c>
      <c r="M156" s="319">
        <v>20359.407042341969</v>
      </c>
      <c r="N156" s="319">
        <v>14436.659785096421</v>
      </c>
      <c r="O156" s="319">
        <v>18629.294202189416</v>
      </c>
      <c r="P156" s="319">
        <v>12595</v>
      </c>
      <c r="Q156" s="320">
        <v>15461.562006558588</v>
      </c>
      <c r="R156" s="340">
        <v>14223.298382656711</v>
      </c>
      <c r="S156" s="439">
        <v>20359.407042341969</v>
      </c>
      <c r="T156" s="326">
        <v>3</v>
      </c>
      <c r="U156" s="378">
        <v>5</v>
      </c>
      <c r="V156" s="439"/>
      <c r="W156" s="326">
        <f>tblPiNAnalysis8[[#This Row],[Final PiN]]/2</f>
        <v>10179.703521170984</v>
      </c>
      <c r="X156" s="440">
        <f>SUM(tblPiNAnalysis8[[#This Row],[Target (severity 4-5 ranking) 100%]:[Target (severity 3 ranking) 50%]])</f>
        <v>10179.703521170984</v>
      </c>
      <c r="Y156" s="354"/>
      <c r="Z156" s="326"/>
      <c r="AA156" s="326">
        <f>SUM(tblPiNAnalysis8[[#This Row],[Target (priotitised 1-2 ranking) 100%]:[Target (priotitised 3 ranking) 50%]])</f>
        <v>0</v>
      </c>
    </row>
    <row r="157" spans="1:27" x14ac:dyDescent="0.55000000000000004">
      <c r="A1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7" s="316" t="s">
        <v>390</v>
      </c>
      <c r="C157" s="317" t="s">
        <v>391</v>
      </c>
      <c r="D157" s="317" t="s">
        <v>402</v>
      </c>
      <c r="E157" s="105" t="s">
        <v>403</v>
      </c>
      <c r="F157" s="100"/>
      <c r="G157" s="34"/>
      <c r="H157" s="34"/>
      <c r="I157" s="97">
        <v>57305.25569680793</v>
      </c>
      <c r="J157" s="97" t="s">
        <v>413</v>
      </c>
      <c r="K157" s="318"/>
      <c r="L157" s="319">
        <v>4644.4763637148881</v>
      </c>
      <c r="M157" s="319">
        <v>26042.618213549027</v>
      </c>
      <c r="N157" s="319">
        <v>33121.614517212045</v>
      </c>
      <c r="O157" s="319">
        <v>26440.849003206466</v>
      </c>
      <c r="P157" s="319">
        <v>9671</v>
      </c>
      <c r="Q157" s="320">
        <v>39397.363291555448</v>
      </c>
      <c r="R157" s="340">
        <v>26530.210970744411</v>
      </c>
      <c r="S157" s="439">
        <v>39397.363291555448</v>
      </c>
      <c r="T157" s="326">
        <v>3</v>
      </c>
      <c r="U157" s="378">
        <v>5</v>
      </c>
      <c r="V157" s="439"/>
      <c r="W157" s="326">
        <f>tblPiNAnalysis8[[#This Row],[Final PiN]]/2</f>
        <v>19698.681645777724</v>
      </c>
      <c r="X157" s="440">
        <f>SUM(tblPiNAnalysis8[[#This Row],[Target (severity 4-5 ranking) 100%]:[Target (severity 3 ranking) 50%]])</f>
        <v>19698.681645777724</v>
      </c>
      <c r="Y157" s="354"/>
      <c r="Z157" s="326"/>
      <c r="AA157" s="326">
        <f>SUM(tblPiNAnalysis8[[#This Row],[Target (priotitised 1-2 ranking) 100%]:[Target (priotitised 3 ranking) 50%]])</f>
        <v>0</v>
      </c>
    </row>
    <row r="158" spans="1:27" x14ac:dyDescent="0.55000000000000004">
      <c r="A1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8" s="316" t="s">
        <v>390</v>
      </c>
      <c r="C158" s="317" t="s">
        <v>391</v>
      </c>
      <c r="D158" s="317" t="s">
        <v>404</v>
      </c>
      <c r="E158" s="105" t="s">
        <v>405</v>
      </c>
      <c r="F158" s="100"/>
      <c r="G158" s="34"/>
      <c r="H158" s="34"/>
      <c r="I158" s="97">
        <v>20533.496005228379</v>
      </c>
      <c r="J158" s="97" t="s">
        <v>413</v>
      </c>
      <c r="K158" s="318"/>
      <c r="L158" s="319">
        <v>1339.5888525842954</v>
      </c>
      <c r="M158" s="319">
        <v>8983.5200652778312</v>
      </c>
      <c r="N158" s="319">
        <v>11407.842529438098</v>
      </c>
      <c r="O158" s="319">
        <v>11103.202465375422</v>
      </c>
      <c r="P158" s="319">
        <v>6954</v>
      </c>
      <c r="Q158" s="320">
        <v>4297.7084662105908</v>
      </c>
      <c r="R158" s="340">
        <v>13688.99733681892</v>
      </c>
      <c r="S158" s="439">
        <v>13688.99733681892</v>
      </c>
      <c r="T158" s="326">
        <v>4</v>
      </c>
      <c r="U158" s="378">
        <v>2</v>
      </c>
      <c r="V158" s="439">
        <f>tblPiNAnalysis8[[#This Row],[Final PiN]]</f>
        <v>13688.99733681892</v>
      </c>
      <c r="W158" s="326"/>
      <c r="X158" s="440">
        <f>SUM(tblPiNAnalysis8[[#This Row],[Target (severity 4-5 ranking) 100%]:[Target (severity 3 ranking) 50%]])</f>
        <v>13688.99733681892</v>
      </c>
      <c r="Y158" s="354">
        <f>tblPiNAnalysis8[[#This Row],[Final PiN]]</f>
        <v>13688.99733681892</v>
      </c>
      <c r="Z158" s="326"/>
      <c r="AA158" s="326">
        <f>SUM(tblPiNAnalysis8[[#This Row],[Target (priotitised 1-2 ranking) 100%]:[Target (priotitised 3 ranking) 50%]])</f>
        <v>13688.99733681892</v>
      </c>
    </row>
    <row r="159" spans="1:27" x14ac:dyDescent="0.55000000000000004">
      <c r="A1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9" s="316" t="s">
        <v>390</v>
      </c>
      <c r="C159" s="317" t="s">
        <v>391</v>
      </c>
      <c r="D159" s="317" t="s">
        <v>406</v>
      </c>
      <c r="E159" s="105" t="s">
        <v>407</v>
      </c>
      <c r="F159" s="100"/>
      <c r="G159" s="34"/>
      <c r="H159" s="34"/>
      <c r="I159" s="97">
        <v>65499.917413585019</v>
      </c>
      <c r="J159" s="97" t="s">
        <v>413</v>
      </c>
      <c r="K159" s="318"/>
      <c r="L159" s="319">
        <v>12547.347579515104</v>
      </c>
      <c r="M159" s="319">
        <v>35263.479435482092</v>
      </c>
      <c r="N159" s="319">
        <v>12721.227834511414</v>
      </c>
      <c r="O159" s="319">
        <v>28458.77568084903</v>
      </c>
      <c r="P159" s="319">
        <v>11528</v>
      </c>
      <c r="Q159" s="320">
        <v>46989.071188006637</v>
      </c>
      <c r="R159" s="340">
        <v>51550.860927358575</v>
      </c>
      <c r="S159" s="439">
        <v>51550.860927358575</v>
      </c>
      <c r="T159" s="326">
        <v>3</v>
      </c>
      <c r="U159" s="378">
        <v>5</v>
      </c>
      <c r="V159" s="439"/>
      <c r="W159" s="326">
        <f>tblPiNAnalysis8[[#This Row],[Final PiN]]/2</f>
        <v>25775.430463679288</v>
      </c>
      <c r="X159" s="440">
        <f>SUM(tblPiNAnalysis8[[#This Row],[Target (severity 4-5 ranking) 100%]:[Target (severity 3 ranking) 50%]])</f>
        <v>25775.430463679288</v>
      </c>
      <c r="Y159" s="354"/>
      <c r="Z159" s="326"/>
      <c r="AA159" s="326">
        <f>SUM(tblPiNAnalysis8[[#This Row],[Target (priotitised 1-2 ranking) 100%]:[Target (priotitised 3 ranking) 50%]])</f>
        <v>0</v>
      </c>
    </row>
    <row r="160" spans="1:27" x14ac:dyDescent="0.55000000000000004">
      <c r="A1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0" s="316" t="s">
        <v>390</v>
      </c>
      <c r="C160" s="317" t="s">
        <v>391</v>
      </c>
      <c r="D160" s="317" t="s">
        <v>408</v>
      </c>
      <c r="E160" s="105" t="s">
        <v>409</v>
      </c>
      <c r="F160" s="100"/>
      <c r="G160" s="34"/>
      <c r="H160" s="34"/>
      <c r="I160" s="97">
        <v>76119.104669093867</v>
      </c>
      <c r="J160" s="97" t="s">
        <v>413</v>
      </c>
      <c r="K160" s="318"/>
      <c r="L160" s="319">
        <v>15328.027988110762</v>
      </c>
      <c r="M160" s="319">
        <v>32825.390849720112</v>
      </c>
      <c r="N160" s="319">
        <v>32718.060704017036</v>
      </c>
      <c r="O160" s="319">
        <v>46305.191128608982</v>
      </c>
      <c r="P160" s="319">
        <v>26794</v>
      </c>
      <c r="Q160" s="320">
        <v>71842.750474200948</v>
      </c>
      <c r="R160" s="340">
        <v>58498.941551248063</v>
      </c>
      <c r="S160" s="439">
        <v>71842.750474200948</v>
      </c>
      <c r="T160" s="326">
        <v>4</v>
      </c>
      <c r="U160" s="378">
        <v>2</v>
      </c>
      <c r="V160" s="439">
        <f>tblPiNAnalysis8[[#This Row],[Final PiN]]</f>
        <v>71842.750474200948</v>
      </c>
      <c r="W160" s="326"/>
      <c r="X160" s="440">
        <f>SUM(tblPiNAnalysis8[[#This Row],[Target (severity 4-5 ranking) 100%]:[Target (severity 3 ranking) 50%]])</f>
        <v>71842.750474200948</v>
      </c>
      <c r="Y160" s="354">
        <f>tblPiNAnalysis8[[#This Row],[Final PiN]]</f>
        <v>71842.750474200948</v>
      </c>
      <c r="Z160" s="326"/>
      <c r="AA160" s="326">
        <f>SUM(tblPiNAnalysis8[[#This Row],[Target (priotitised 1-2 ranking) 100%]:[Target (priotitised 3 ranking) 50%]])</f>
        <v>71842.750474200948</v>
      </c>
    </row>
    <row r="161" spans="1:27" x14ac:dyDescent="0.55000000000000004">
      <c r="A1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1" s="316" t="s">
        <v>390</v>
      </c>
      <c r="C161" s="317" t="s">
        <v>391</v>
      </c>
      <c r="D161" s="317" t="s">
        <v>410</v>
      </c>
      <c r="E161" s="105" t="s">
        <v>411</v>
      </c>
      <c r="F161" s="100"/>
      <c r="G161" s="34"/>
      <c r="H161" s="34"/>
      <c r="I161" s="97">
        <v>122615.70597189905</v>
      </c>
      <c r="J161" s="97" t="s">
        <v>413</v>
      </c>
      <c r="K161" s="318"/>
      <c r="L161" s="319">
        <v>22705.485969052377</v>
      </c>
      <c r="M161" s="319">
        <v>53180.637302829513</v>
      </c>
      <c r="N161" s="319">
        <v>31094.834456471111</v>
      </c>
      <c r="O161" s="319">
        <v>60015.496545281159</v>
      </c>
      <c r="P161" s="319">
        <v>43161</v>
      </c>
      <c r="Q161" s="320">
        <v>81743.803981266028</v>
      </c>
      <c r="R161" s="340">
        <v>91961.779478924291</v>
      </c>
      <c r="S161" s="439">
        <v>91961.779478924291</v>
      </c>
      <c r="T161" s="326">
        <v>3</v>
      </c>
      <c r="U161" s="378">
        <v>5</v>
      </c>
      <c r="V161" s="439"/>
      <c r="W161" s="326">
        <f>tblPiNAnalysis8[[#This Row],[Final PiN]]/2</f>
        <v>45980.889739462145</v>
      </c>
      <c r="X161" s="440">
        <f>SUM(tblPiNAnalysis8[[#This Row],[Target (severity 4-5 ranking) 100%]:[Target (severity 3 ranking) 50%]])</f>
        <v>45980.889739462145</v>
      </c>
      <c r="Y161" s="354"/>
      <c r="Z161" s="326"/>
      <c r="AA161" s="326">
        <f>SUM(tblPiNAnalysis8[[#This Row],[Target (priotitised 1-2 ranking) 100%]:[Target (priotitised 3 ranking) 50%]])</f>
        <v>0</v>
      </c>
    </row>
    <row r="162" spans="1:27" ht="27.6" x14ac:dyDescent="0.55000000000000004">
      <c r="A1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2" s="316" t="s">
        <v>233</v>
      </c>
      <c r="C162" s="317" t="s">
        <v>234</v>
      </c>
      <c r="D162" s="317" t="s">
        <v>233</v>
      </c>
      <c r="E162" s="105" t="s">
        <v>235</v>
      </c>
      <c r="F162" s="100"/>
      <c r="G162" s="34"/>
      <c r="H162" s="34"/>
      <c r="I162" s="97">
        <v>19107.704392085096</v>
      </c>
      <c r="J162" s="97" t="s">
        <v>414</v>
      </c>
      <c r="K162" s="318">
        <v>0</v>
      </c>
      <c r="L162" s="319">
        <v>2193.5644642113693</v>
      </c>
      <c r="M162" s="319">
        <v>7075.1826001879772</v>
      </c>
      <c r="N162" s="319">
        <v>11794.500496437133</v>
      </c>
      <c r="O162" s="319">
        <v>13376.411804553156</v>
      </c>
      <c r="P162" s="319">
        <v>12835</v>
      </c>
      <c r="Q162" s="320">
        <v>3980.7717483510619</v>
      </c>
      <c r="R162" s="340">
        <v>7430.7739302553136</v>
      </c>
      <c r="S162" s="439">
        <v>13376.411804553156</v>
      </c>
      <c r="T162" s="326">
        <v>4</v>
      </c>
      <c r="U162" s="378">
        <v>1</v>
      </c>
      <c r="V162" s="439">
        <f>tblPiNAnalysis8[[#This Row],[Final PiN]]</f>
        <v>13376.411804553156</v>
      </c>
      <c r="W162" s="326"/>
      <c r="X162" s="440">
        <f>SUM(tblPiNAnalysis8[[#This Row],[Target (severity 4-5 ranking) 100%]:[Target (severity 3 ranking) 50%]])</f>
        <v>13376.411804553156</v>
      </c>
      <c r="Y162" s="354">
        <f>tblPiNAnalysis8[[#This Row],[Final PiN]]</f>
        <v>13376.411804553156</v>
      </c>
      <c r="Z162" s="326"/>
      <c r="AA162" s="326">
        <f>SUM(tblPiNAnalysis8[[#This Row],[Target (priotitised 1-2 ranking) 100%]:[Target (priotitised 3 ranking) 50%]])</f>
        <v>13376.411804553156</v>
      </c>
    </row>
    <row r="163" spans="1:27" x14ac:dyDescent="0.55000000000000004">
      <c r="A1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3" s="316" t="s">
        <v>236</v>
      </c>
      <c r="C163" s="317" t="s">
        <v>237</v>
      </c>
      <c r="D163" s="317" t="s">
        <v>238</v>
      </c>
      <c r="E163" s="105" t="s">
        <v>239</v>
      </c>
      <c r="F163" s="100"/>
      <c r="G163" s="34"/>
      <c r="H163" s="34"/>
      <c r="I163" s="97">
        <v>58949.896431430854</v>
      </c>
      <c r="J163" s="97" t="s">
        <v>414</v>
      </c>
      <c r="K163" s="318">
        <v>8842.4844647146274</v>
      </c>
      <c r="L163" s="319">
        <v>6550.2177419784402</v>
      </c>
      <c r="M163" s="319">
        <v>17674.597144544001</v>
      </c>
      <c r="N163" s="319">
        <v>41481.714534482526</v>
      </c>
      <c r="O163" s="319">
        <v>32691.349000802427</v>
      </c>
      <c r="P163" s="319">
        <v>36350</v>
      </c>
      <c r="Q163" s="320">
        <v>53054.906788287772</v>
      </c>
      <c r="R163" s="340">
        <v>23044.050423195691</v>
      </c>
      <c r="S163" s="439">
        <v>53054.906788287772</v>
      </c>
      <c r="T163" s="326">
        <v>3</v>
      </c>
      <c r="U163" s="378">
        <v>4</v>
      </c>
      <c r="V163" s="439"/>
      <c r="W163" s="326">
        <f>tblPiNAnalysis8[[#This Row],[Final PiN]]/2</f>
        <v>26527.453394143886</v>
      </c>
      <c r="X163" s="440">
        <f>SUM(tblPiNAnalysis8[[#This Row],[Target (severity 4-5 ranking) 100%]:[Target (severity 3 ranking) 50%]])</f>
        <v>26527.453394143886</v>
      </c>
      <c r="Y163" s="354"/>
      <c r="Z163" s="326"/>
      <c r="AA163" s="326">
        <f>SUM(tblPiNAnalysis8[[#This Row],[Target (priotitised 1-2 ranking) 100%]:[Target (priotitised 3 ranking) 50%]])</f>
        <v>0</v>
      </c>
    </row>
    <row r="164" spans="1:27" x14ac:dyDescent="0.55000000000000004">
      <c r="A1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4" s="316" t="s">
        <v>236</v>
      </c>
      <c r="C164" s="317" t="s">
        <v>237</v>
      </c>
      <c r="D164" s="317" t="s">
        <v>240</v>
      </c>
      <c r="E164" s="105" t="s">
        <v>241</v>
      </c>
      <c r="F164" s="100"/>
      <c r="G164" s="34"/>
      <c r="H164" s="34"/>
      <c r="I164" s="97">
        <v>15480.714285714301</v>
      </c>
      <c r="J164" s="97" t="s">
        <v>414</v>
      </c>
      <c r="K164" s="318">
        <v>2322.1071428571449</v>
      </c>
      <c r="L164" s="319">
        <v>1156.0625891428585</v>
      </c>
      <c r="M164" s="319">
        <v>5203.6877773058141</v>
      </c>
      <c r="N164" s="319">
        <v>10719.781647911757</v>
      </c>
      <c r="O164" s="319">
        <v>8201.4928080468017</v>
      </c>
      <c r="P164" s="319">
        <v>11582</v>
      </c>
      <c r="Q164" s="320">
        <v>12115.341614906843</v>
      </c>
      <c r="R164" s="340">
        <v>12613.915343915358</v>
      </c>
      <c r="S164" s="439">
        <v>12613.915343915358</v>
      </c>
      <c r="T164" s="326">
        <v>3</v>
      </c>
      <c r="U164" s="378">
        <v>5</v>
      </c>
      <c r="V164" s="439"/>
      <c r="W164" s="326">
        <f>tblPiNAnalysis8[[#This Row],[Final PiN]]/2</f>
        <v>6306.9576719576789</v>
      </c>
      <c r="X164" s="440">
        <f>SUM(tblPiNAnalysis8[[#This Row],[Target (severity 4-5 ranking) 100%]:[Target (severity 3 ranking) 50%]])</f>
        <v>6306.9576719576789</v>
      </c>
      <c r="Y164" s="354"/>
      <c r="Z164" s="326"/>
      <c r="AA164" s="326">
        <f>SUM(tblPiNAnalysis8[[#This Row],[Target (priotitised 1-2 ranking) 100%]:[Target (priotitised 3 ranking) 50%]])</f>
        <v>0</v>
      </c>
    </row>
    <row r="165" spans="1:27" x14ac:dyDescent="0.55000000000000004">
      <c r="A1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5" s="316" t="s">
        <v>236</v>
      </c>
      <c r="C165" s="317" t="s">
        <v>237</v>
      </c>
      <c r="D165" s="317" t="s">
        <v>242</v>
      </c>
      <c r="E165" s="105" t="s">
        <v>243</v>
      </c>
      <c r="F165" s="100"/>
      <c r="G165" s="34"/>
      <c r="H165" s="34"/>
      <c r="I165" s="97">
        <v>7168.4285714285697</v>
      </c>
      <c r="J165" s="97" t="s">
        <v>414</v>
      </c>
      <c r="K165" s="318">
        <v>1075.2642857142855</v>
      </c>
      <c r="L165" s="319">
        <v>946.50497171428538</v>
      </c>
      <c r="M165" s="319">
        <v>2908.6171556660938</v>
      </c>
      <c r="N165" s="319">
        <v>4522.8316267926803</v>
      </c>
      <c r="O165" s="319">
        <v>3264.6738077560167</v>
      </c>
      <c r="P165" s="319">
        <v>5734</v>
      </c>
      <c r="Q165" s="320">
        <v>4262.3088803088795</v>
      </c>
      <c r="R165" s="340">
        <v>4247.9576719576708</v>
      </c>
      <c r="S165" s="439">
        <v>5734</v>
      </c>
      <c r="T165" s="326">
        <v>3</v>
      </c>
      <c r="U165" s="378">
        <v>5</v>
      </c>
      <c r="V165" s="439"/>
      <c r="W165" s="326">
        <f>tblPiNAnalysis8[[#This Row],[Final PiN]]/2</f>
        <v>2867</v>
      </c>
      <c r="X165" s="440">
        <f>SUM(tblPiNAnalysis8[[#This Row],[Target (severity 4-5 ranking) 100%]:[Target (severity 3 ranking) 50%]])</f>
        <v>2867</v>
      </c>
      <c r="Y165" s="354"/>
      <c r="Z165" s="326"/>
      <c r="AA165" s="326">
        <f>SUM(tblPiNAnalysis8[[#This Row],[Target (priotitised 1-2 ranking) 100%]:[Target (priotitised 3 ranking) 50%]])</f>
        <v>0</v>
      </c>
    </row>
    <row r="166" spans="1:27" x14ac:dyDescent="0.55000000000000004">
      <c r="A1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6" s="316" t="s">
        <v>236</v>
      </c>
      <c r="C166" s="317" t="s">
        <v>237</v>
      </c>
      <c r="D166" s="317" t="s">
        <v>244</v>
      </c>
      <c r="E166" s="105" t="s">
        <v>245</v>
      </c>
      <c r="F166" s="100"/>
      <c r="G166" s="34"/>
      <c r="H166" s="34"/>
      <c r="I166" s="97">
        <v>12810</v>
      </c>
      <c r="J166" s="97" t="s">
        <v>414</v>
      </c>
      <c r="K166" s="318">
        <v>1921.5</v>
      </c>
      <c r="L166" s="319">
        <v>2267.1009900000008</v>
      </c>
      <c r="M166" s="319">
        <v>4254.9339178423834</v>
      </c>
      <c r="N166" s="319">
        <v>8702.9488718805223</v>
      </c>
      <c r="O166" s="319">
        <v>8317.7434594622391</v>
      </c>
      <c r="P166" s="319">
        <v>10248</v>
      </c>
      <c r="Q166" s="320">
        <v>6767.5471698113206</v>
      </c>
      <c r="R166" s="340">
        <v>7235.2777777777774</v>
      </c>
      <c r="S166" s="439">
        <v>10248</v>
      </c>
      <c r="T166" s="326">
        <v>3</v>
      </c>
      <c r="U166" s="378">
        <v>5</v>
      </c>
      <c r="V166" s="439"/>
      <c r="W166" s="326">
        <f>tblPiNAnalysis8[[#This Row],[Final PiN]]/2</f>
        <v>5124</v>
      </c>
      <c r="X166" s="440">
        <f>SUM(tblPiNAnalysis8[[#This Row],[Target (severity 4-5 ranking) 100%]:[Target (severity 3 ranking) 50%]])</f>
        <v>5124</v>
      </c>
      <c r="Y166" s="354"/>
      <c r="Z166" s="326"/>
      <c r="AA166" s="326">
        <f>SUM(tblPiNAnalysis8[[#This Row],[Target (priotitised 1-2 ranking) 100%]:[Target (priotitised 3 ranking) 50%]])</f>
        <v>0</v>
      </c>
    </row>
    <row r="167" spans="1:27" x14ac:dyDescent="0.55000000000000004">
      <c r="A1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7" s="316" t="s">
        <v>236</v>
      </c>
      <c r="C167" s="317" t="s">
        <v>237</v>
      </c>
      <c r="D167" s="317" t="s">
        <v>246</v>
      </c>
      <c r="E167" s="105" t="s">
        <v>247</v>
      </c>
      <c r="F167" s="100"/>
      <c r="G167" s="34"/>
      <c r="H167" s="34"/>
      <c r="I167" s="97">
        <v>1080</v>
      </c>
      <c r="J167" s="97" t="s">
        <v>414</v>
      </c>
      <c r="K167" s="318">
        <v>162</v>
      </c>
      <c r="L167" s="319">
        <v>286.52939999999995</v>
      </c>
      <c r="M167" s="319">
        <v>317.59672063227879</v>
      </c>
      <c r="N167" s="319">
        <v>695.53313773454511</v>
      </c>
      <c r="O167" s="319">
        <v>552.33460061218318</v>
      </c>
      <c r="P167" s="319">
        <v>756</v>
      </c>
      <c r="Q167" s="320">
        <v>1080</v>
      </c>
      <c r="R167" s="340">
        <v>390</v>
      </c>
      <c r="S167" s="439">
        <v>1080</v>
      </c>
      <c r="T167" s="326">
        <v>3</v>
      </c>
      <c r="U167" s="378">
        <v>4</v>
      </c>
      <c r="V167" s="439"/>
      <c r="W167" s="326">
        <f>tblPiNAnalysis8[[#This Row],[Final PiN]]/2</f>
        <v>540</v>
      </c>
      <c r="X167" s="440">
        <f>SUM(tblPiNAnalysis8[[#This Row],[Target (severity 4-5 ranking) 100%]:[Target (severity 3 ranking) 50%]])</f>
        <v>540</v>
      </c>
      <c r="Y167" s="354"/>
      <c r="Z167" s="326"/>
      <c r="AA167" s="326">
        <f>SUM(tblPiNAnalysis8[[#This Row],[Target (priotitised 1-2 ranking) 100%]:[Target (priotitised 3 ranking) 50%]])</f>
        <v>0</v>
      </c>
    </row>
    <row r="168" spans="1:27" x14ac:dyDescent="0.55000000000000004">
      <c r="A1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8" s="316" t="s">
        <v>236</v>
      </c>
      <c r="C168" s="317" t="s">
        <v>237</v>
      </c>
      <c r="D168" s="317" t="s">
        <v>248</v>
      </c>
      <c r="E168" s="105" t="s">
        <v>249</v>
      </c>
      <c r="F168" s="100"/>
      <c r="G168" s="34"/>
      <c r="H168" s="34"/>
      <c r="I168" s="97">
        <v>29744.714285714301</v>
      </c>
      <c r="J168" s="97" t="s">
        <v>414</v>
      </c>
      <c r="K168" s="318">
        <v>4461.7071428571453</v>
      </c>
      <c r="L168" s="319">
        <v>5211.4226664285743</v>
      </c>
      <c r="M168" s="319">
        <v>10220.671070248991</v>
      </c>
      <c r="N168" s="319">
        <v>14617.10963694004</v>
      </c>
      <c r="O168" s="319">
        <v>13731.645271310555</v>
      </c>
      <c r="P168" s="319">
        <v>12526</v>
      </c>
      <c r="Q168" s="320">
        <v>12747.734693877555</v>
      </c>
      <c r="R168" s="340">
        <v>24236.433862433874</v>
      </c>
      <c r="S168" s="439">
        <v>24236.433862433874</v>
      </c>
      <c r="T168" s="326">
        <v>3</v>
      </c>
      <c r="U168" s="378">
        <v>5</v>
      </c>
      <c r="V168" s="439"/>
      <c r="W168" s="326">
        <f>tblPiNAnalysis8[[#This Row],[Final PiN]]/2</f>
        <v>12118.216931216937</v>
      </c>
      <c r="X168" s="440">
        <f>SUM(tblPiNAnalysis8[[#This Row],[Target (severity 4-5 ranking) 100%]:[Target (severity 3 ranking) 50%]])</f>
        <v>12118.216931216937</v>
      </c>
      <c r="Y168" s="354"/>
      <c r="Z168" s="326"/>
      <c r="AA168" s="326">
        <f>SUM(tblPiNAnalysis8[[#This Row],[Target (priotitised 1-2 ranking) 100%]:[Target (priotitised 3 ranking) 50%]])</f>
        <v>0</v>
      </c>
    </row>
    <row r="169" spans="1:27" x14ac:dyDescent="0.55000000000000004">
      <c r="A1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9" s="316" t="s">
        <v>250</v>
      </c>
      <c r="C169" s="317" t="s">
        <v>251</v>
      </c>
      <c r="D169" s="317" t="s">
        <v>252</v>
      </c>
      <c r="E169" s="105" t="s">
        <v>253</v>
      </c>
      <c r="F169" s="100"/>
      <c r="G169" s="34"/>
      <c r="H169" s="34"/>
      <c r="I169" s="97">
        <v>2130</v>
      </c>
      <c r="J169" s="97" t="s">
        <v>414</v>
      </c>
      <c r="K169" s="318">
        <v>319.5</v>
      </c>
      <c r="L169" s="319">
        <v>696.26717999999994</v>
      </c>
      <c r="M169" s="319">
        <v>845.92589592819127</v>
      </c>
      <c r="N169" s="319">
        <v>1368.8514530202656</v>
      </c>
      <c r="O169" s="319">
        <v>933.32470616313424</v>
      </c>
      <c r="P169" s="319">
        <v>1491</v>
      </c>
      <c r="Q169" s="320">
        <v>0</v>
      </c>
      <c r="R169" s="340">
        <v>1597.5000000000002</v>
      </c>
      <c r="S169" s="439">
        <v>1597.5000000000002</v>
      </c>
      <c r="T169" s="326">
        <v>3</v>
      </c>
      <c r="U169" s="378">
        <v>4</v>
      </c>
      <c r="V169" s="439"/>
      <c r="W169" s="326">
        <f>tblPiNAnalysis8[[#This Row],[Final PiN]]/2</f>
        <v>798.75000000000011</v>
      </c>
      <c r="X169" s="440">
        <f>SUM(tblPiNAnalysis8[[#This Row],[Target (severity 4-5 ranking) 100%]:[Target (severity 3 ranking) 50%]])</f>
        <v>798.75000000000011</v>
      </c>
      <c r="Y169" s="354"/>
      <c r="Z169" s="326"/>
      <c r="AA169" s="326">
        <f>SUM(tblPiNAnalysis8[[#This Row],[Target (priotitised 1-2 ranking) 100%]:[Target (priotitised 3 ranking) 50%]])</f>
        <v>0</v>
      </c>
    </row>
    <row r="170" spans="1:27" x14ac:dyDescent="0.55000000000000004">
      <c r="A1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0" s="316" t="s">
        <v>250</v>
      </c>
      <c r="C170" s="317" t="s">
        <v>251</v>
      </c>
      <c r="D170" s="317" t="s">
        <v>254</v>
      </c>
      <c r="E170" s="105" t="s">
        <v>255</v>
      </c>
      <c r="F170" s="100"/>
      <c r="G170" s="34"/>
      <c r="H170" s="34"/>
      <c r="I170" s="97">
        <v>3437.4285714285702</v>
      </c>
      <c r="J170" s="97" t="s">
        <v>414</v>
      </c>
      <c r="K170" s="318">
        <v>515.61428571428553</v>
      </c>
      <c r="L170" s="319">
        <v>150.03000742857137</v>
      </c>
      <c r="M170" s="319">
        <v>1394.2955478144281</v>
      </c>
      <c r="N170" s="319">
        <v>1534.5901199845798</v>
      </c>
      <c r="O170" s="319">
        <v>1935.2460542695972</v>
      </c>
      <c r="P170" s="319">
        <v>2406</v>
      </c>
      <c r="Q170" s="320">
        <v>264.41758241758231</v>
      </c>
      <c r="R170" s="340">
        <v>1671.4102228047179</v>
      </c>
      <c r="S170" s="439">
        <v>2406</v>
      </c>
      <c r="T170" s="326">
        <v>3</v>
      </c>
      <c r="U170" s="378">
        <v>4</v>
      </c>
      <c r="V170" s="439"/>
      <c r="W170" s="326">
        <f>tblPiNAnalysis8[[#This Row],[Final PiN]]/2</f>
        <v>1203</v>
      </c>
      <c r="X170" s="440">
        <f>SUM(tblPiNAnalysis8[[#This Row],[Target (severity 4-5 ranking) 100%]:[Target (severity 3 ranking) 50%]])</f>
        <v>1203</v>
      </c>
      <c r="Y170" s="354"/>
      <c r="Z170" s="326"/>
      <c r="AA170" s="326">
        <f>SUM(tblPiNAnalysis8[[#This Row],[Target (priotitised 1-2 ranking) 100%]:[Target (priotitised 3 ranking) 50%]])</f>
        <v>0</v>
      </c>
    </row>
    <row r="171" spans="1:27" x14ac:dyDescent="0.55000000000000004">
      <c r="A1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1" s="316" t="s">
        <v>250</v>
      </c>
      <c r="C171" s="317" t="s">
        <v>251</v>
      </c>
      <c r="D171" s="317" t="s">
        <v>256</v>
      </c>
      <c r="E171" s="105" t="s">
        <v>257</v>
      </c>
      <c r="F171" s="100"/>
      <c r="G171" s="34"/>
      <c r="H171" s="34"/>
      <c r="I171" s="97">
        <v>3548.7142857142862</v>
      </c>
      <c r="J171" s="97" t="s">
        <v>414</v>
      </c>
      <c r="K171" s="318">
        <v>532.30714285714294</v>
      </c>
      <c r="L171" s="319">
        <v>1212.2408000000003</v>
      </c>
      <c r="M171" s="319">
        <v>1379.4360186047193</v>
      </c>
      <c r="N171" s="319">
        <v>2530.4016282633802</v>
      </c>
      <c r="O171" s="319">
        <v>1376.5308603151145</v>
      </c>
      <c r="P171" s="319">
        <v>2090</v>
      </c>
      <c r="Q171" s="320">
        <v>0</v>
      </c>
      <c r="R171" s="340">
        <v>2825.828042328043</v>
      </c>
      <c r="S171" s="439">
        <v>2825.828042328043</v>
      </c>
      <c r="T171" s="326">
        <v>3</v>
      </c>
      <c r="U171" s="378">
        <v>2</v>
      </c>
      <c r="V171" s="439"/>
      <c r="W171" s="326">
        <f>tblPiNAnalysis8[[#This Row],[Final PiN]]/2</f>
        <v>1412.9140211640215</v>
      </c>
      <c r="X171" s="440">
        <f>SUM(tblPiNAnalysis8[[#This Row],[Target (severity 4-5 ranking) 100%]:[Target (severity 3 ranking) 50%]])</f>
        <v>1412.9140211640215</v>
      </c>
      <c r="Y171" s="354">
        <f>tblPiNAnalysis8[[#This Row],[Final PiN]]</f>
        <v>2825.828042328043</v>
      </c>
      <c r="Z171" s="326"/>
      <c r="AA171" s="326">
        <f>SUM(tblPiNAnalysis8[[#This Row],[Target (priotitised 1-2 ranking) 100%]:[Target (priotitised 3 ranking) 50%]])</f>
        <v>2825.828042328043</v>
      </c>
    </row>
    <row r="172" spans="1:27" x14ac:dyDescent="0.55000000000000004">
      <c r="A1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2" s="316" t="s">
        <v>250</v>
      </c>
      <c r="C172" s="317" t="s">
        <v>251</v>
      </c>
      <c r="D172" s="317" t="s">
        <v>258</v>
      </c>
      <c r="E172" s="105" t="s">
        <v>259</v>
      </c>
      <c r="F172" s="100"/>
      <c r="G172" s="34"/>
      <c r="H172" s="34"/>
      <c r="I172" s="97">
        <v>3</v>
      </c>
      <c r="J172" s="97" t="s">
        <v>414</v>
      </c>
      <c r="K172" s="318">
        <v>0.44999999999999996</v>
      </c>
      <c r="L172" s="319">
        <v>1.137</v>
      </c>
      <c r="M172" s="319">
        <v>1.129330574868685</v>
      </c>
      <c r="N172" s="319">
        <v>2.128098076136046</v>
      </c>
      <c r="O172" s="319">
        <v>1.067681687297547</v>
      </c>
      <c r="P172" s="319">
        <v>2</v>
      </c>
      <c r="Q172" s="320">
        <v>0</v>
      </c>
      <c r="R172" s="340">
        <v>1.5412844036697249</v>
      </c>
      <c r="S172" s="439">
        <v>2.128098076136046</v>
      </c>
      <c r="T172" s="326">
        <v>3</v>
      </c>
      <c r="U172" s="378">
        <v>3</v>
      </c>
      <c r="V172" s="439"/>
      <c r="W172" s="326">
        <f>tblPiNAnalysis8[[#This Row],[Final PiN]]/2</f>
        <v>1.064049038068023</v>
      </c>
      <c r="X172" s="440">
        <f>SUM(tblPiNAnalysis8[[#This Row],[Target (severity 4-5 ranking) 100%]:[Target (severity 3 ranking) 50%]])</f>
        <v>1.064049038068023</v>
      </c>
      <c r="Y172" s="354"/>
      <c r="Z172" s="326">
        <f>tblPiNAnalysis8[[#This Row],[Final PiN]]/2</f>
        <v>1.064049038068023</v>
      </c>
      <c r="AA172" s="326">
        <f>SUM(tblPiNAnalysis8[[#This Row],[Target (priotitised 1-2 ranking) 100%]:[Target (priotitised 3 ranking) 50%]])</f>
        <v>1.064049038068023</v>
      </c>
    </row>
    <row r="173" spans="1:27" x14ac:dyDescent="0.55000000000000004">
      <c r="A1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3" s="316" t="s">
        <v>250</v>
      </c>
      <c r="C173" s="317" t="s">
        <v>251</v>
      </c>
      <c r="D173" s="317" t="s">
        <v>260</v>
      </c>
      <c r="E173" s="105" t="s">
        <v>261</v>
      </c>
      <c r="F173" s="100"/>
      <c r="G173" s="34"/>
      <c r="H173" s="34"/>
      <c r="I173" s="97">
        <v>9189.5714285714294</v>
      </c>
      <c r="J173" s="97" t="s">
        <v>414</v>
      </c>
      <c r="K173" s="318">
        <v>1378.4357142857143</v>
      </c>
      <c r="L173" s="319">
        <v>2282.200657657143</v>
      </c>
      <c r="M173" s="319">
        <v>3303.0990262308942</v>
      </c>
      <c r="N173" s="319">
        <v>4060.5776790519863</v>
      </c>
      <c r="O173" s="319">
        <v>4484.9662664830139</v>
      </c>
      <c r="P173" s="319">
        <v>5391</v>
      </c>
      <c r="Q173" s="320">
        <v>0</v>
      </c>
      <c r="R173" s="340">
        <v>9104.4828042328045</v>
      </c>
      <c r="S173" s="439">
        <v>9104.4828042328045</v>
      </c>
      <c r="T173" s="326">
        <v>3</v>
      </c>
      <c r="U173" s="378">
        <v>3</v>
      </c>
      <c r="V173" s="439"/>
      <c r="W173" s="326">
        <f>tblPiNAnalysis8[[#This Row],[Final PiN]]/2</f>
        <v>4552.2414021164022</v>
      </c>
      <c r="X173" s="440">
        <f>SUM(tblPiNAnalysis8[[#This Row],[Target (severity 4-5 ranking) 100%]:[Target (severity 3 ranking) 50%]])</f>
        <v>4552.2414021164022</v>
      </c>
      <c r="Y173" s="354"/>
      <c r="Z173" s="326">
        <f>tblPiNAnalysis8[[#This Row],[Final PiN]]/2</f>
        <v>4552.2414021164022</v>
      </c>
      <c r="AA173" s="326">
        <f>SUM(tblPiNAnalysis8[[#This Row],[Target (priotitised 1-2 ranking) 100%]:[Target (priotitised 3 ranking) 50%]])</f>
        <v>4552.2414021164022</v>
      </c>
    </row>
    <row r="174" spans="1:27" x14ac:dyDescent="0.55000000000000004">
      <c r="A1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4" s="316" t="s">
        <v>250</v>
      </c>
      <c r="C174" s="317" t="s">
        <v>251</v>
      </c>
      <c r="D174" s="317" t="s">
        <v>262</v>
      </c>
      <c r="E174" s="105" t="s">
        <v>263</v>
      </c>
      <c r="F174" s="100"/>
      <c r="G174" s="34"/>
      <c r="H174" s="34"/>
      <c r="I174" s="97">
        <v>5555.8571428571404</v>
      </c>
      <c r="J174" s="97" t="s">
        <v>414</v>
      </c>
      <c r="K174" s="318">
        <v>833.37857142857104</v>
      </c>
      <c r="L174" s="319">
        <v>297.01612285714276</v>
      </c>
      <c r="M174" s="319">
        <v>1813.2198107737402</v>
      </c>
      <c r="N174" s="319">
        <v>3810.5358411483567</v>
      </c>
      <c r="O174" s="319">
        <v>2302.1554547108562</v>
      </c>
      <c r="P174" s="319">
        <v>3812</v>
      </c>
      <c r="Q174" s="320">
        <v>3472.4107142857129</v>
      </c>
      <c r="R174" s="340">
        <v>1624.8261455525599</v>
      </c>
      <c r="S174" s="439">
        <v>3812</v>
      </c>
      <c r="T174" s="326">
        <v>3</v>
      </c>
      <c r="U174" s="378">
        <v>3</v>
      </c>
      <c r="V174" s="439"/>
      <c r="W174" s="326">
        <f>tblPiNAnalysis8[[#This Row],[Final PiN]]/2</f>
        <v>1906</v>
      </c>
      <c r="X174" s="440">
        <f>SUM(tblPiNAnalysis8[[#This Row],[Target (severity 4-5 ranking) 100%]:[Target (severity 3 ranking) 50%]])</f>
        <v>1906</v>
      </c>
      <c r="Y174" s="354"/>
      <c r="Z174" s="326">
        <f>tblPiNAnalysis8[[#This Row],[Final PiN]]/2</f>
        <v>1906</v>
      </c>
      <c r="AA174" s="326">
        <f>SUM(tblPiNAnalysis8[[#This Row],[Target (priotitised 1-2 ranking) 100%]:[Target (priotitised 3 ranking) 50%]])</f>
        <v>1906</v>
      </c>
    </row>
    <row r="175" spans="1:27" x14ac:dyDescent="0.55000000000000004">
      <c r="A1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5" s="316" t="s">
        <v>250</v>
      </c>
      <c r="C175" s="317" t="s">
        <v>251</v>
      </c>
      <c r="D175" s="317" t="s">
        <v>264</v>
      </c>
      <c r="E175" s="105" t="s">
        <v>265</v>
      </c>
      <c r="F175" s="100"/>
      <c r="G175" s="34"/>
      <c r="H175" s="34"/>
      <c r="I175" s="97">
        <v>33159.142857142899</v>
      </c>
      <c r="J175" s="97" t="s">
        <v>414</v>
      </c>
      <c r="K175" s="318">
        <v>4973.871428571435</v>
      </c>
      <c r="L175" s="319">
        <v>2180.8337188285741</v>
      </c>
      <c r="M175" s="319">
        <v>10792.352511601137</v>
      </c>
      <c r="N175" s="319">
        <v>8030.1261699276547</v>
      </c>
      <c r="O175" s="319">
        <v>17319.565796218794</v>
      </c>
      <c r="P175" s="319">
        <v>21427</v>
      </c>
      <c r="Q175" s="320">
        <v>3789.6163265306172</v>
      </c>
      <c r="R175" s="340">
        <v>11466.245660881188</v>
      </c>
      <c r="S175" s="439">
        <v>21427</v>
      </c>
      <c r="T175" s="326">
        <v>3</v>
      </c>
      <c r="U175" s="378">
        <v>4</v>
      </c>
      <c r="V175" s="439"/>
      <c r="W175" s="326">
        <f>tblPiNAnalysis8[[#This Row],[Final PiN]]/2</f>
        <v>10713.5</v>
      </c>
      <c r="X175" s="440">
        <f>SUM(tblPiNAnalysis8[[#This Row],[Target (severity 4-5 ranking) 100%]:[Target (severity 3 ranking) 50%]])</f>
        <v>10713.5</v>
      </c>
      <c r="Y175" s="354"/>
      <c r="Z175" s="326"/>
      <c r="AA175" s="326">
        <f>SUM(tblPiNAnalysis8[[#This Row],[Target (priotitised 1-2 ranking) 100%]:[Target (priotitised 3 ranking) 50%]])</f>
        <v>0</v>
      </c>
    </row>
    <row r="176" spans="1:27" x14ac:dyDescent="0.55000000000000004">
      <c r="A1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6" s="316" t="s">
        <v>250</v>
      </c>
      <c r="C176" s="317" t="s">
        <v>251</v>
      </c>
      <c r="D176" s="317" t="s">
        <v>266</v>
      </c>
      <c r="E176" s="105" t="s">
        <v>267</v>
      </c>
      <c r="F176" s="100"/>
      <c r="G176" s="34"/>
      <c r="H176" s="34"/>
      <c r="I176" s="97">
        <v>9209.5714285714294</v>
      </c>
      <c r="J176" s="97" t="s">
        <v>414</v>
      </c>
      <c r="K176" s="318">
        <v>1381.4357142857143</v>
      </c>
      <c r="L176" s="319">
        <v>1030.3484322857144</v>
      </c>
      <c r="M176" s="319">
        <v>4488.2800443609649</v>
      </c>
      <c r="N176" s="319">
        <v>5171.175513848053</v>
      </c>
      <c r="O176" s="319">
        <v>7293.5618992240752</v>
      </c>
      <c r="P176" s="319">
        <v>5385</v>
      </c>
      <c r="Q176" s="320">
        <v>7367.6571428571442</v>
      </c>
      <c r="R176" s="340">
        <v>6362.976623376624</v>
      </c>
      <c r="S176" s="439">
        <v>7367.6571428571442</v>
      </c>
      <c r="T176" s="326">
        <v>3</v>
      </c>
      <c r="U176" s="378">
        <v>4</v>
      </c>
      <c r="V176" s="439"/>
      <c r="W176" s="326">
        <f>tblPiNAnalysis8[[#This Row],[Final PiN]]/2</f>
        <v>3683.8285714285721</v>
      </c>
      <c r="X176" s="440">
        <f>SUM(tblPiNAnalysis8[[#This Row],[Target (severity 4-5 ranking) 100%]:[Target (severity 3 ranking) 50%]])</f>
        <v>3683.8285714285721</v>
      </c>
      <c r="Y176" s="354"/>
      <c r="Z176" s="326"/>
      <c r="AA176" s="326">
        <f>SUM(tblPiNAnalysis8[[#This Row],[Target (priotitised 1-2 ranking) 100%]:[Target (priotitised 3 ranking) 50%]])</f>
        <v>0</v>
      </c>
    </row>
    <row r="177" spans="1:27" x14ac:dyDescent="0.55000000000000004">
      <c r="A1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7" s="316" t="s">
        <v>268</v>
      </c>
      <c r="C177" s="317" t="s">
        <v>269</v>
      </c>
      <c r="D177" s="317" t="s">
        <v>270</v>
      </c>
      <c r="E177" s="105" t="s">
        <v>271</v>
      </c>
      <c r="F177" s="100"/>
      <c r="G177" s="34"/>
      <c r="H177" s="34"/>
      <c r="I177" s="97">
        <v>6904.2601395402035</v>
      </c>
      <c r="J177" s="97" t="s">
        <v>414</v>
      </c>
      <c r="K177" s="318">
        <v>1035.6390209310305</v>
      </c>
      <c r="L177" s="319">
        <v>1361.7410358417935</v>
      </c>
      <c r="M177" s="319">
        <v>3071.9868399525189</v>
      </c>
      <c r="N177" s="319">
        <v>5932.133306451582</v>
      </c>
      <c r="O177" s="319">
        <v>3695.9172905173059</v>
      </c>
      <c r="P177" s="319">
        <v>5270</v>
      </c>
      <c r="Q177" s="320">
        <v>6904.2601395402035</v>
      </c>
      <c r="R177" s="340">
        <v>3452.1300697701017</v>
      </c>
      <c r="S177" s="439">
        <v>6904.2601395402035</v>
      </c>
      <c r="T177" s="326">
        <v>4</v>
      </c>
      <c r="U177" s="378">
        <v>1</v>
      </c>
      <c r="V177" s="439">
        <f>tblPiNAnalysis8[[#This Row],[Final PiN]]</f>
        <v>6904.2601395402035</v>
      </c>
      <c r="W177" s="326"/>
      <c r="X177" s="440">
        <f>SUM(tblPiNAnalysis8[[#This Row],[Target (severity 4-5 ranking) 100%]:[Target (severity 3 ranking) 50%]])</f>
        <v>6904.2601395402035</v>
      </c>
      <c r="Y177" s="354">
        <f>tblPiNAnalysis8[[#This Row],[Final PiN]]</f>
        <v>6904.2601395402035</v>
      </c>
      <c r="Z177" s="326"/>
      <c r="AA177" s="326">
        <f>SUM(tblPiNAnalysis8[[#This Row],[Target (priotitised 1-2 ranking) 100%]:[Target (priotitised 3 ranking) 50%]])</f>
        <v>6904.2601395402035</v>
      </c>
    </row>
    <row r="178" spans="1:27" x14ac:dyDescent="0.55000000000000004">
      <c r="A1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8" s="316" t="s">
        <v>268</v>
      </c>
      <c r="C178" s="317" t="s">
        <v>269</v>
      </c>
      <c r="D178" s="317" t="s">
        <v>272</v>
      </c>
      <c r="E178" s="105" t="s">
        <v>273</v>
      </c>
      <c r="F178" s="100"/>
      <c r="G178" s="34"/>
      <c r="H178" s="34"/>
      <c r="I178" s="97">
        <v>19402.803122498015</v>
      </c>
      <c r="J178" s="97" t="s">
        <v>414</v>
      </c>
      <c r="K178" s="318">
        <v>2910.4204683747021</v>
      </c>
      <c r="L178" s="319">
        <v>2673.8614927052067</v>
      </c>
      <c r="M178" s="319">
        <v>6433.0138549927296</v>
      </c>
      <c r="N178" s="319">
        <v>14354.844208934554</v>
      </c>
      <c r="O178" s="319">
        <v>8711.9275669939452</v>
      </c>
      <c r="P178" s="319">
        <v>13028</v>
      </c>
      <c r="Q178" s="320">
        <v>11906.265552441964</v>
      </c>
      <c r="R178" s="340">
        <v>16563.368519205622</v>
      </c>
      <c r="S178" s="439">
        <v>16563.368519205622</v>
      </c>
      <c r="T178" s="326">
        <v>4</v>
      </c>
      <c r="U178" s="378">
        <v>2</v>
      </c>
      <c r="V178" s="439">
        <f>tblPiNAnalysis8[[#This Row],[Final PiN]]</f>
        <v>16563.368519205622</v>
      </c>
      <c r="W178" s="326"/>
      <c r="X178" s="440">
        <f>SUM(tblPiNAnalysis8[[#This Row],[Target (severity 4-5 ranking) 100%]:[Target (severity 3 ranking) 50%]])</f>
        <v>16563.368519205622</v>
      </c>
      <c r="Y178" s="354">
        <f>tblPiNAnalysis8[[#This Row],[Final PiN]]</f>
        <v>16563.368519205622</v>
      </c>
      <c r="Z178" s="326"/>
      <c r="AA178" s="326">
        <f>SUM(tblPiNAnalysis8[[#This Row],[Target (priotitised 1-2 ranking) 100%]:[Target (priotitised 3 ranking) 50%]])</f>
        <v>16563.368519205622</v>
      </c>
    </row>
    <row r="179" spans="1:27" x14ac:dyDescent="0.55000000000000004">
      <c r="A1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9" s="316" t="s">
        <v>268</v>
      </c>
      <c r="C179" s="317" t="s">
        <v>269</v>
      </c>
      <c r="D179" s="317" t="s">
        <v>274</v>
      </c>
      <c r="E179" s="105" t="s">
        <v>275</v>
      </c>
      <c r="F179" s="100"/>
      <c r="G179" s="34"/>
      <c r="H179" s="34"/>
      <c r="I179" s="97">
        <v>16703</v>
      </c>
      <c r="J179" s="97" t="s">
        <v>414</v>
      </c>
      <c r="K179" s="318">
        <v>2505.4499999999998</v>
      </c>
      <c r="L179" s="319">
        <v>3377.8476900000001</v>
      </c>
      <c r="M179" s="319">
        <v>6415.9295294799977</v>
      </c>
      <c r="N179" s="319">
        <v>3990.7633766061545</v>
      </c>
      <c r="O179" s="319">
        <v>9278.9643798115412</v>
      </c>
      <c r="P179" s="319">
        <v>11075</v>
      </c>
      <c r="Q179" s="320">
        <v>16703</v>
      </c>
      <c r="R179" s="340">
        <v>7887.5277777777774</v>
      </c>
      <c r="S179" s="439">
        <v>16703</v>
      </c>
      <c r="T179" s="326">
        <v>3</v>
      </c>
      <c r="U179" s="378">
        <v>4</v>
      </c>
      <c r="V179" s="439"/>
      <c r="W179" s="326">
        <f>tblPiNAnalysis8[[#This Row],[Final PiN]]/2</f>
        <v>8351.5</v>
      </c>
      <c r="X179" s="440">
        <f>SUM(tblPiNAnalysis8[[#This Row],[Target (severity 4-5 ranking) 100%]:[Target (severity 3 ranking) 50%]])</f>
        <v>8351.5</v>
      </c>
      <c r="Y179" s="354"/>
      <c r="Z179" s="326"/>
      <c r="AA179" s="326">
        <f>SUM(tblPiNAnalysis8[[#This Row],[Target (priotitised 1-2 ranking) 100%]:[Target (priotitised 3 ranking) 50%]])</f>
        <v>0</v>
      </c>
    </row>
    <row r="180" spans="1:27" x14ac:dyDescent="0.55000000000000004">
      <c r="A1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0" s="316" t="s">
        <v>268</v>
      </c>
      <c r="C180" s="317" t="s">
        <v>269</v>
      </c>
      <c r="D180" s="317" t="s">
        <v>276</v>
      </c>
      <c r="E180" s="105" t="s">
        <v>277</v>
      </c>
      <c r="F180" s="100"/>
      <c r="G180" s="34"/>
      <c r="H180" s="34"/>
      <c r="I180" s="97">
        <v>1206</v>
      </c>
      <c r="J180" s="97" t="s">
        <v>414</v>
      </c>
      <c r="K180" s="318">
        <v>180.9</v>
      </c>
      <c r="L180" s="319">
        <v>196.24273199999999</v>
      </c>
      <c r="M180" s="319">
        <v>456.88047877546308</v>
      </c>
      <c r="N180" s="319">
        <v>1059.5901370629763</v>
      </c>
      <c r="O180" s="319">
        <v>888.41415553740876</v>
      </c>
      <c r="P180" s="319">
        <v>965</v>
      </c>
      <c r="Q180" s="320">
        <v>0</v>
      </c>
      <c r="R180" s="340">
        <v>1161.3333333333333</v>
      </c>
      <c r="S180" s="439">
        <v>1161.3333333333333</v>
      </c>
      <c r="T180" s="326">
        <v>4</v>
      </c>
      <c r="U180" s="378">
        <v>1</v>
      </c>
      <c r="V180" s="439">
        <f>tblPiNAnalysis8[[#This Row],[Final PiN]]</f>
        <v>1161.3333333333333</v>
      </c>
      <c r="W180" s="326"/>
      <c r="X180" s="440">
        <f>SUM(tblPiNAnalysis8[[#This Row],[Target (severity 4-5 ranking) 100%]:[Target (severity 3 ranking) 50%]])</f>
        <v>1161.3333333333333</v>
      </c>
      <c r="Y180" s="354">
        <f>tblPiNAnalysis8[[#This Row],[Final PiN]]</f>
        <v>1161.3333333333333</v>
      </c>
      <c r="Z180" s="326"/>
      <c r="AA180" s="326">
        <f>SUM(tblPiNAnalysis8[[#This Row],[Target (priotitised 1-2 ranking) 100%]:[Target (priotitised 3 ranking) 50%]])</f>
        <v>1161.3333333333333</v>
      </c>
    </row>
    <row r="181" spans="1:27" x14ac:dyDescent="0.55000000000000004">
      <c r="A1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1" s="316" t="s">
        <v>268</v>
      </c>
      <c r="C181" s="317" t="s">
        <v>269</v>
      </c>
      <c r="D181" s="317" t="s">
        <v>278</v>
      </c>
      <c r="E181" s="105" t="s">
        <v>279</v>
      </c>
      <c r="F181" s="100"/>
      <c r="G181" s="34"/>
      <c r="H181" s="34"/>
      <c r="I181" s="97">
        <v>9262.1428571428605</v>
      </c>
      <c r="J181" s="97" t="s">
        <v>414</v>
      </c>
      <c r="K181" s="318">
        <v>1389.3214285714291</v>
      </c>
      <c r="L181" s="319">
        <v>887.40590714285759</v>
      </c>
      <c r="M181" s="319">
        <v>3511.5721042289201</v>
      </c>
      <c r="N181" s="319">
        <v>6460.6905099793312</v>
      </c>
      <c r="O181" s="319">
        <v>6160.8436802923252</v>
      </c>
      <c r="P181" s="319">
        <v>6483</v>
      </c>
      <c r="Q181" s="320">
        <v>9262.1428571428605</v>
      </c>
      <c r="R181" s="340">
        <v>4373.7896825396838</v>
      </c>
      <c r="S181" s="439">
        <v>9262.1428571428605</v>
      </c>
      <c r="T181" s="326">
        <v>4</v>
      </c>
      <c r="U181" s="378">
        <v>2</v>
      </c>
      <c r="V181" s="439">
        <f>tblPiNAnalysis8[[#This Row],[Final PiN]]</f>
        <v>9262.1428571428605</v>
      </c>
      <c r="W181" s="326"/>
      <c r="X181" s="440">
        <f>SUM(tblPiNAnalysis8[[#This Row],[Target (severity 4-5 ranking) 100%]:[Target (severity 3 ranking) 50%]])</f>
        <v>9262.1428571428605</v>
      </c>
      <c r="Y181" s="354">
        <f>tblPiNAnalysis8[[#This Row],[Final PiN]]</f>
        <v>9262.1428571428605</v>
      </c>
      <c r="Z181" s="326"/>
      <c r="AA181" s="326">
        <f>SUM(tblPiNAnalysis8[[#This Row],[Target (priotitised 1-2 ranking) 100%]:[Target (priotitised 3 ranking) 50%]])</f>
        <v>9262.1428571428605</v>
      </c>
    </row>
    <row r="182" spans="1:27" x14ac:dyDescent="0.55000000000000004">
      <c r="A1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2" s="316" t="s">
        <v>268</v>
      </c>
      <c r="C182" s="317" t="s">
        <v>269</v>
      </c>
      <c r="D182" s="317" t="s">
        <v>280</v>
      </c>
      <c r="E182" s="105" t="s">
        <v>281</v>
      </c>
      <c r="F182" s="100"/>
      <c r="G182" s="34"/>
      <c r="H182" s="34"/>
      <c r="I182" s="97">
        <v>33686.173990621071</v>
      </c>
      <c r="J182" s="97" t="s">
        <v>414</v>
      </c>
      <c r="K182" s="318">
        <v>5052.9260985931605</v>
      </c>
      <c r="L182" s="319">
        <v>12598.62907249228</v>
      </c>
      <c r="M182" s="319">
        <v>11379.993898109744</v>
      </c>
      <c r="N182" s="319">
        <v>29223.698286312181</v>
      </c>
      <c r="O182" s="319">
        <v>21940.109943774314</v>
      </c>
      <c r="P182" s="319">
        <v>25587</v>
      </c>
      <c r="Q182" s="320">
        <v>33686.173990621071</v>
      </c>
      <c r="R182" s="340">
        <v>26512.26656669251</v>
      </c>
      <c r="S182" s="439">
        <v>33686.173990621071</v>
      </c>
      <c r="T182" s="326">
        <v>5</v>
      </c>
      <c r="U182" s="378">
        <v>1</v>
      </c>
      <c r="V182" s="439">
        <f>tblPiNAnalysis8[[#This Row],[Final PiN]]</f>
        <v>33686.173990621071</v>
      </c>
      <c r="W182" s="326"/>
      <c r="X182" s="440">
        <f>SUM(tblPiNAnalysis8[[#This Row],[Target (severity 4-5 ranking) 100%]:[Target (severity 3 ranking) 50%]])</f>
        <v>33686.173990621071</v>
      </c>
      <c r="Y182" s="354">
        <f>tblPiNAnalysis8[[#This Row],[Final PiN]]</f>
        <v>33686.173990621071</v>
      </c>
      <c r="Z182" s="326"/>
      <c r="AA182" s="326">
        <f>SUM(tblPiNAnalysis8[[#This Row],[Target (priotitised 1-2 ranking) 100%]:[Target (priotitised 3 ranking) 50%]])</f>
        <v>33686.173990621071</v>
      </c>
    </row>
    <row r="183" spans="1:27" x14ac:dyDescent="0.55000000000000004">
      <c r="A1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3" s="316" t="s">
        <v>268</v>
      </c>
      <c r="C183" s="317" t="s">
        <v>269</v>
      </c>
      <c r="D183" s="317" t="s">
        <v>282</v>
      </c>
      <c r="E183" s="105" t="s">
        <v>283</v>
      </c>
      <c r="F183" s="100"/>
      <c r="G183" s="34"/>
      <c r="H183" s="34"/>
      <c r="I183" s="97">
        <v>13146.5714285714</v>
      </c>
      <c r="J183" s="97" t="s">
        <v>414</v>
      </c>
      <c r="K183" s="318">
        <v>1971.9857142857099</v>
      </c>
      <c r="L183" s="319">
        <v>4569.4931850857047</v>
      </c>
      <c r="M183" s="319">
        <v>5483.8445101092939</v>
      </c>
      <c r="N183" s="319">
        <v>9851.9936448832923</v>
      </c>
      <c r="O183" s="319">
        <v>9268.3704100687301</v>
      </c>
      <c r="P183" s="319">
        <v>8751</v>
      </c>
      <c r="Q183" s="320">
        <v>9465.5314285714085</v>
      </c>
      <c r="R183" s="340">
        <v>9007.8359788359612</v>
      </c>
      <c r="S183" s="439">
        <v>9851.9936448832923</v>
      </c>
      <c r="T183" s="326">
        <v>3</v>
      </c>
      <c r="U183" s="378">
        <v>2</v>
      </c>
      <c r="V183" s="439"/>
      <c r="W183" s="326">
        <f>tblPiNAnalysis8[[#This Row],[Final PiN]]/2</f>
        <v>4925.9968224416461</v>
      </c>
      <c r="X183" s="440">
        <f>SUM(tblPiNAnalysis8[[#This Row],[Target (severity 4-5 ranking) 100%]:[Target (severity 3 ranking) 50%]])</f>
        <v>4925.9968224416461</v>
      </c>
      <c r="Y183" s="354">
        <f>tblPiNAnalysis8[[#This Row],[Final PiN]]</f>
        <v>9851.9936448832923</v>
      </c>
      <c r="Z183" s="326"/>
      <c r="AA183" s="326">
        <f>SUM(tblPiNAnalysis8[[#This Row],[Target (priotitised 1-2 ranking) 100%]:[Target (priotitised 3 ranking) 50%]])</f>
        <v>9851.9936448832923</v>
      </c>
    </row>
    <row r="184" spans="1:27" x14ac:dyDescent="0.55000000000000004">
      <c r="A1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4" s="316" t="s">
        <v>268</v>
      </c>
      <c r="C184" s="317" t="s">
        <v>269</v>
      </c>
      <c r="D184" s="317" t="s">
        <v>284</v>
      </c>
      <c r="E184" s="105" t="s">
        <v>285</v>
      </c>
      <c r="F184" s="100"/>
      <c r="G184" s="34"/>
      <c r="H184" s="34"/>
      <c r="I184" s="97">
        <v>4238</v>
      </c>
      <c r="J184" s="97" t="s">
        <v>414</v>
      </c>
      <c r="K184" s="318">
        <v>635.69999999999993</v>
      </c>
      <c r="L184" s="319">
        <v>1214.4158519999999</v>
      </c>
      <c r="M184" s="319">
        <v>1970.6236557123259</v>
      </c>
      <c r="N184" s="319">
        <v>3385.7427540437307</v>
      </c>
      <c r="O184" s="319">
        <v>2581.3377959227432</v>
      </c>
      <c r="P184" s="319">
        <v>2967</v>
      </c>
      <c r="Q184" s="320">
        <v>2421.7142857142858</v>
      </c>
      <c r="R184" s="340">
        <v>3453.1851851851857</v>
      </c>
      <c r="S184" s="439">
        <v>3453.1851851851857</v>
      </c>
      <c r="T184" s="326">
        <v>4</v>
      </c>
      <c r="U184" s="378">
        <v>1</v>
      </c>
      <c r="V184" s="439">
        <f>tblPiNAnalysis8[[#This Row],[Final PiN]]</f>
        <v>3453.1851851851857</v>
      </c>
      <c r="W184" s="326"/>
      <c r="X184" s="440">
        <f>SUM(tblPiNAnalysis8[[#This Row],[Target (severity 4-5 ranking) 100%]:[Target (severity 3 ranking) 50%]])</f>
        <v>3453.1851851851857</v>
      </c>
      <c r="Y184" s="354">
        <f>tblPiNAnalysis8[[#This Row],[Final PiN]]</f>
        <v>3453.1851851851857</v>
      </c>
      <c r="Z184" s="326"/>
      <c r="AA184" s="326">
        <f>SUM(tblPiNAnalysis8[[#This Row],[Target (priotitised 1-2 ranking) 100%]:[Target (priotitised 3 ranking) 50%]])</f>
        <v>3453.1851851851857</v>
      </c>
    </row>
    <row r="185" spans="1:27" x14ac:dyDescent="0.55000000000000004">
      <c r="A1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5" s="316" t="s">
        <v>268</v>
      </c>
      <c r="C185" s="317" t="s">
        <v>269</v>
      </c>
      <c r="D185" s="317" t="s">
        <v>286</v>
      </c>
      <c r="E185" s="105" t="s">
        <v>287</v>
      </c>
      <c r="F185" s="100"/>
      <c r="G185" s="34"/>
      <c r="H185" s="34"/>
      <c r="I185" s="97">
        <v>2811.1428571428601</v>
      </c>
      <c r="J185" s="97" t="s">
        <v>414</v>
      </c>
      <c r="K185" s="318">
        <v>421.67142857142898</v>
      </c>
      <c r="L185" s="319">
        <v>360.98447657142896</v>
      </c>
      <c r="M185" s="319">
        <v>968.04437881706997</v>
      </c>
      <c r="N185" s="319">
        <v>1897.3825367609311</v>
      </c>
      <c r="O185" s="319">
        <v>1777.6937221190433</v>
      </c>
      <c r="P185" s="319">
        <v>1968</v>
      </c>
      <c r="Q185" s="320">
        <v>2409.5510204081656</v>
      </c>
      <c r="R185" s="340">
        <v>103.16120576671047</v>
      </c>
      <c r="S185" s="439">
        <v>2409.5510204081656</v>
      </c>
      <c r="T185" s="326">
        <v>3</v>
      </c>
      <c r="U185" s="378">
        <v>3</v>
      </c>
      <c r="V185" s="439"/>
      <c r="W185" s="326">
        <f>tblPiNAnalysis8[[#This Row],[Final PiN]]/2</f>
        <v>1204.7755102040828</v>
      </c>
      <c r="X185" s="440">
        <f>SUM(tblPiNAnalysis8[[#This Row],[Target (severity 4-5 ranking) 100%]:[Target (severity 3 ranking) 50%]])</f>
        <v>1204.7755102040828</v>
      </c>
      <c r="Y185" s="354"/>
      <c r="Z185" s="326">
        <f>tblPiNAnalysis8[[#This Row],[Final PiN]]/2</f>
        <v>1204.7755102040828</v>
      </c>
      <c r="AA185" s="326">
        <f>SUM(tblPiNAnalysis8[[#This Row],[Target (priotitised 1-2 ranking) 100%]:[Target (priotitised 3 ranking) 50%]])</f>
        <v>1204.7755102040828</v>
      </c>
    </row>
    <row r="186" spans="1:27" x14ac:dyDescent="0.55000000000000004">
      <c r="A1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6" s="316" t="s">
        <v>268</v>
      </c>
      <c r="C186" s="317" t="s">
        <v>269</v>
      </c>
      <c r="D186" s="317" t="s">
        <v>288</v>
      </c>
      <c r="E186" s="105" t="s">
        <v>289</v>
      </c>
      <c r="F186" s="100"/>
      <c r="G186" s="34"/>
      <c r="H186" s="34"/>
      <c r="I186" s="97">
        <v>5169</v>
      </c>
      <c r="J186" s="97" t="s">
        <v>414</v>
      </c>
      <c r="K186" s="318">
        <v>775.35</v>
      </c>
      <c r="L186" s="319">
        <v>1679.9250000000002</v>
      </c>
      <c r="M186" s="319">
        <v>1993.9602399046814</v>
      </c>
      <c r="N186" s="319">
        <v>3785.552719244839</v>
      </c>
      <c r="O186" s="319">
        <v>2881.5912221645549</v>
      </c>
      <c r="P186" s="319">
        <v>3546</v>
      </c>
      <c r="Q186" s="320">
        <v>5169</v>
      </c>
      <c r="R186" s="340">
        <v>3446</v>
      </c>
      <c r="S186" s="439">
        <v>5169</v>
      </c>
      <c r="T186" s="326">
        <v>4</v>
      </c>
      <c r="U186" s="378">
        <v>2</v>
      </c>
      <c r="V186" s="439">
        <f>tblPiNAnalysis8[[#This Row],[Final PiN]]</f>
        <v>5169</v>
      </c>
      <c r="W186" s="326"/>
      <c r="X186" s="440">
        <f>SUM(tblPiNAnalysis8[[#This Row],[Target (severity 4-5 ranking) 100%]:[Target (severity 3 ranking) 50%]])</f>
        <v>5169</v>
      </c>
      <c r="Y186" s="354">
        <f>tblPiNAnalysis8[[#This Row],[Final PiN]]</f>
        <v>5169</v>
      </c>
      <c r="Z186" s="326"/>
      <c r="AA186" s="326">
        <f>SUM(tblPiNAnalysis8[[#This Row],[Target (priotitised 1-2 ranking) 100%]:[Target (priotitised 3 ranking) 50%]])</f>
        <v>5169</v>
      </c>
    </row>
    <row r="187" spans="1:27" x14ac:dyDescent="0.55000000000000004">
      <c r="A1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7" s="316" t="s">
        <v>268</v>
      </c>
      <c r="C187" s="317" t="s">
        <v>269</v>
      </c>
      <c r="D187" s="317" t="s">
        <v>290</v>
      </c>
      <c r="E187" s="105" t="s">
        <v>291</v>
      </c>
      <c r="F187" s="100"/>
      <c r="G187" s="34"/>
      <c r="H187" s="34"/>
      <c r="I187" s="97">
        <v>5651</v>
      </c>
      <c r="J187" s="97" t="s">
        <v>414</v>
      </c>
      <c r="K187" s="318">
        <v>847.65</v>
      </c>
      <c r="L187" s="319">
        <v>1011.709832</v>
      </c>
      <c r="M187" s="319">
        <v>2883.8874975250328</v>
      </c>
      <c r="N187" s="319">
        <v>4605.4988278610399</v>
      </c>
      <c r="O187" s="319">
        <v>2709.270100011081</v>
      </c>
      <c r="P187" s="319">
        <v>3697</v>
      </c>
      <c r="Q187" s="320">
        <v>2825.5</v>
      </c>
      <c r="R187" s="340">
        <v>4709.166666666667</v>
      </c>
      <c r="S187" s="439">
        <v>4709.166666666667</v>
      </c>
      <c r="T187" s="326">
        <v>4</v>
      </c>
      <c r="U187" s="378">
        <v>2</v>
      </c>
      <c r="V187" s="439">
        <f>tblPiNAnalysis8[[#This Row],[Final PiN]]</f>
        <v>4709.166666666667</v>
      </c>
      <c r="W187" s="326"/>
      <c r="X187" s="440">
        <f>SUM(tblPiNAnalysis8[[#This Row],[Target (severity 4-5 ranking) 100%]:[Target (severity 3 ranking) 50%]])</f>
        <v>4709.166666666667</v>
      </c>
      <c r="Y187" s="354">
        <f>tblPiNAnalysis8[[#This Row],[Final PiN]]</f>
        <v>4709.166666666667</v>
      </c>
      <c r="Z187" s="326"/>
      <c r="AA187" s="326">
        <f>SUM(tblPiNAnalysis8[[#This Row],[Target (priotitised 1-2 ranking) 100%]:[Target (priotitised 3 ranking) 50%]])</f>
        <v>4709.166666666667</v>
      </c>
    </row>
    <row r="188" spans="1:27" x14ac:dyDescent="0.55000000000000004">
      <c r="A1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8" s="316" t="s">
        <v>292</v>
      </c>
      <c r="C188" s="317" t="s">
        <v>293</v>
      </c>
      <c r="D188" s="317" t="s">
        <v>294</v>
      </c>
      <c r="E188" s="105" t="s">
        <v>295</v>
      </c>
      <c r="F188" s="100"/>
      <c r="G188" s="34"/>
      <c r="H188" s="34"/>
      <c r="I188" s="97">
        <v>3073.7142857142899</v>
      </c>
      <c r="J188" s="97" t="s">
        <v>414</v>
      </c>
      <c r="K188" s="318">
        <v>461.05714285714345</v>
      </c>
      <c r="L188" s="319">
        <v>1177.512279428573</v>
      </c>
      <c r="M188" s="319">
        <v>1052.8543594749599</v>
      </c>
      <c r="N188" s="319">
        <v>1997.7222828758775</v>
      </c>
      <c r="O188" s="319">
        <v>1503.2260174378218</v>
      </c>
      <c r="P188" s="319">
        <v>615</v>
      </c>
      <c r="Q188" s="320">
        <v>2195.5102040816355</v>
      </c>
      <c r="R188" s="340">
        <v>2305.2857142857174</v>
      </c>
      <c r="S188" s="439">
        <v>2305.2857142857174</v>
      </c>
      <c r="T188" s="326">
        <v>3</v>
      </c>
      <c r="U188" s="378">
        <v>3</v>
      </c>
      <c r="V188" s="439"/>
      <c r="W188" s="326">
        <f>tblPiNAnalysis8[[#This Row],[Final PiN]]/2</f>
        <v>1152.6428571428587</v>
      </c>
      <c r="X188" s="440">
        <f>SUM(tblPiNAnalysis8[[#This Row],[Target (severity 4-5 ranking) 100%]:[Target (severity 3 ranking) 50%]])</f>
        <v>1152.6428571428587</v>
      </c>
      <c r="Y188" s="354"/>
      <c r="Z188" s="326">
        <f>tblPiNAnalysis8[[#This Row],[Final PiN]]/2</f>
        <v>1152.6428571428587</v>
      </c>
      <c r="AA188" s="326">
        <f>SUM(tblPiNAnalysis8[[#This Row],[Target (priotitised 1-2 ranking) 100%]:[Target (priotitised 3 ranking) 50%]])</f>
        <v>1152.6428571428587</v>
      </c>
    </row>
    <row r="189" spans="1:27" x14ac:dyDescent="0.55000000000000004">
      <c r="A1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9" s="316" t="s">
        <v>292</v>
      </c>
      <c r="C189" s="317" t="s">
        <v>293</v>
      </c>
      <c r="D189" s="317" t="s">
        <v>296</v>
      </c>
      <c r="E189" s="105" t="s">
        <v>297</v>
      </c>
      <c r="F189" s="100"/>
      <c r="G189" s="34"/>
      <c r="H189" s="34"/>
      <c r="I189" s="97">
        <v>1148</v>
      </c>
      <c r="J189" s="97" t="s">
        <v>414</v>
      </c>
      <c r="K189" s="318">
        <v>172.2</v>
      </c>
      <c r="L189" s="319">
        <v>321.59727599999997</v>
      </c>
      <c r="M189" s="319">
        <v>371.57061407088617</v>
      </c>
      <c r="N189" s="319">
        <v>594.83372983899699</v>
      </c>
      <c r="O189" s="319">
        <v>481.21173161292643</v>
      </c>
      <c r="P189" s="319">
        <v>230</v>
      </c>
      <c r="Q189" s="320">
        <v>765.33333333333337</v>
      </c>
      <c r="R189" s="340">
        <v>754.7037037037037</v>
      </c>
      <c r="S189" s="439">
        <v>765.33333333333337</v>
      </c>
      <c r="T189" s="326">
        <v>3</v>
      </c>
      <c r="U189" s="378">
        <v>5</v>
      </c>
      <c r="V189" s="439"/>
      <c r="W189" s="326">
        <f>tblPiNAnalysis8[[#This Row],[Final PiN]]/2</f>
        <v>382.66666666666669</v>
      </c>
      <c r="X189" s="440">
        <f>SUM(tblPiNAnalysis8[[#This Row],[Target (severity 4-5 ranking) 100%]:[Target (severity 3 ranking) 50%]])</f>
        <v>382.66666666666669</v>
      </c>
      <c r="Y189" s="354"/>
      <c r="Z189" s="326"/>
      <c r="AA189" s="326">
        <f>SUM(tblPiNAnalysis8[[#This Row],[Target (priotitised 1-2 ranking) 100%]:[Target (priotitised 3 ranking) 50%]])</f>
        <v>0</v>
      </c>
    </row>
    <row r="190" spans="1:27" x14ac:dyDescent="0.55000000000000004">
      <c r="A1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0" s="316" t="s">
        <v>292</v>
      </c>
      <c r="C190" s="317" t="s">
        <v>293</v>
      </c>
      <c r="D190" s="317" t="s">
        <v>298</v>
      </c>
      <c r="E190" s="105" t="s">
        <v>299</v>
      </c>
      <c r="F190" s="100"/>
      <c r="G190" s="34"/>
      <c r="H190" s="34"/>
      <c r="I190" s="97">
        <v>2881</v>
      </c>
      <c r="J190" s="97" t="s">
        <v>414</v>
      </c>
      <c r="K190" s="318">
        <v>432.15</v>
      </c>
      <c r="L190" s="319">
        <v>759.80612999999994</v>
      </c>
      <c r="M190" s="319">
        <v>923.91164896721557</v>
      </c>
      <c r="N190" s="319">
        <v>2057.9427616123767</v>
      </c>
      <c r="O190" s="319">
        <v>1444.4431475936408</v>
      </c>
      <c r="P190" s="319">
        <v>576</v>
      </c>
      <c r="Q190" s="320">
        <v>2016.6999999999998</v>
      </c>
      <c r="R190" s="340">
        <v>1400.8532110091742</v>
      </c>
      <c r="S190" s="439">
        <v>2057.9427616123767</v>
      </c>
      <c r="T190" s="326">
        <v>3</v>
      </c>
      <c r="U190" s="378">
        <v>4</v>
      </c>
      <c r="V190" s="439"/>
      <c r="W190" s="326">
        <f>tblPiNAnalysis8[[#This Row],[Final PiN]]/2</f>
        <v>1028.9713808061883</v>
      </c>
      <c r="X190" s="440">
        <f>SUM(tblPiNAnalysis8[[#This Row],[Target (severity 4-5 ranking) 100%]:[Target (severity 3 ranking) 50%]])</f>
        <v>1028.9713808061883</v>
      </c>
      <c r="Y190" s="354"/>
      <c r="Z190" s="326"/>
      <c r="AA190" s="326">
        <f>SUM(tblPiNAnalysis8[[#This Row],[Target (priotitised 1-2 ranking) 100%]:[Target (priotitised 3 ranking) 50%]])</f>
        <v>0</v>
      </c>
    </row>
    <row r="191" spans="1:27" x14ac:dyDescent="0.55000000000000004">
      <c r="A1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1" s="316" t="s">
        <v>292</v>
      </c>
      <c r="C191" s="317" t="s">
        <v>293</v>
      </c>
      <c r="D191" s="317" t="s">
        <v>300</v>
      </c>
      <c r="E191" s="105" t="s">
        <v>301</v>
      </c>
      <c r="F191" s="100"/>
      <c r="G191" s="34"/>
      <c r="H191" s="34"/>
      <c r="I191" s="97">
        <v>6622</v>
      </c>
      <c r="J191" s="97" t="s">
        <v>414</v>
      </c>
      <c r="K191" s="318">
        <v>993.3</v>
      </c>
      <c r="L191" s="319">
        <v>947.95916600000021</v>
      </c>
      <c r="M191" s="319">
        <v>2165.0515374071806</v>
      </c>
      <c r="N191" s="319">
        <v>5086.8524596533507</v>
      </c>
      <c r="O191" s="319">
        <v>2405.4919920601465</v>
      </c>
      <c r="P191" s="319">
        <v>897</v>
      </c>
      <c r="Q191" s="320">
        <v>6376.7407407407409</v>
      </c>
      <c r="R191" s="340">
        <v>3556.2592592592591</v>
      </c>
      <c r="S191" s="439">
        <v>6376.7407407407409</v>
      </c>
      <c r="T191" s="326">
        <v>3</v>
      </c>
      <c r="U191" s="378">
        <v>4</v>
      </c>
      <c r="V191" s="439"/>
      <c r="W191" s="326">
        <f>tblPiNAnalysis8[[#This Row],[Final PiN]]/2</f>
        <v>3188.3703703703704</v>
      </c>
      <c r="X191" s="440">
        <f>SUM(tblPiNAnalysis8[[#This Row],[Target (severity 4-5 ranking) 100%]:[Target (severity 3 ranking) 50%]])</f>
        <v>3188.3703703703704</v>
      </c>
      <c r="Y191" s="354"/>
      <c r="Z191" s="326"/>
      <c r="AA191" s="326">
        <f>SUM(tblPiNAnalysis8[[#This Row],[Target (priotitised 1-2 ranking) 100%]:[Target (priotitised 3 ranking) 50%]])</f>
        <v>0</v>
      </c>
    </row>
    <row r="192" spans="1:27" x14ac:dyDescent="0.55000000000000004">
      <c r="A1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2" s="316" t="s">
        <v>292</v>
      </c>
      <c r="C192" s="317" t="s">
        <v>293</v>
      </c>
      <c r="D192" s="317" t="s">
        <v>302</v>
      </c>
      <c r="E192" s="105" t="s">
        <v>303</v>
      </c>
      <c r="F192" s="100"/>
      <c r="G192" s="34"/>
      <c r="H192" s="34"/>
      <c r="I192" s="97">
        <v>3719.2857142857101</v>
      </c>
      <c r="J192" s="97" t="s">
        <v>414</v>
      </c>
      <c r="K192" s="318">
        <v>557.89285714285654</v>
      </c>
      <c r="L192" s="319">
        <v>1011.3890835714274</v>
      </c>
      <c r="M192" s="319">
        <v>1192.4882419904961</v>
      </c>
      <c r="N192" s="319">
        <v>2637.7840017036069</v>
      </c>
      <c r="O192" s="319">
        <v>1985.571157549577</v>
      </c>
      <c r="P192" s="319">
        <v>710</v>
      </c>
      <c r="Q192" s="320">
        <v>1969.033613445376</v>
      </c>
      <c r="R192" s="340">
        <v>688.75661375661298</v>
      </c>
      <c r="S192" s="439">
        <v>2637.7840017036069</v>
      </c>
      <c r="T192" s="326">
        <v>3</v>
      </c>
      <c r="U192" s="378">
        <v>3</v>
      </c>
      <c r="V192" s="439"/>
      <c r="W192" s="326">
        <f>tblPiNAnalysis8[[#This Row],[Final PiN]]/2</f>
        <v>1318.8920008518035</v>
      </c>
      <c r="X192" s="440">
        <f>SUM(tblPiNAnalysis8[[#This Row],[Target (severity 4-5 ranking) 100%]:[Target (severity 3 ranking) 50%]])</f>
        <v>1318.8920008518035</v>
      </c>
      <c r="Y192" s="354"/>
      <c r="Z192" s="326">
        <f>tblPiNAnalysis8[[#This Row],[Final PiN]]/2</f>
        <v>1318.8920008518035</v>
      </c>
      <c r="AA192" s="326">
        <f>SUM(tblPiNAnalysis8[[#This Row],[Target (priotitised 1-2 ranking) 100%]:[Target (priotitised 3 ranking) 50%]])</f>
        <v>1318.8920008518035</v>
      </c>
    </row>
    <row r="193" spans="1:27" x14ac:dyDescent="0.55000000000000004">
      <c r="A1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3" s="316" t="s">
        <v>292</v>
      </c>
      <c r="C193" s="317" t="s">
        <v>293</v>
      </c>
      <c r="D193" s="317" t="s">
        <v>304</v>
      </c>
      <c r="E193" s="105" t="s">
        <v>305</v>
      </c>
      <c r="F193" s="100"/>
      <c r="G193" s="34"/>
      <c r="H193" s="34"/>
      <c r="I193" s="97">
        <v>2968</v>
      </c>
      <c r="J193" s="97" t="s">
        <v>414</v>
      </c>
      <c r="K193" s="318">
        <v>445.2</v>
      </c>
      <c r="L193" s="319">
        <v>455.83434400000004</v>
      </c>
      <c r="M193" s="319">
        <v>1048.5404930660732</v>
      </c>
      <c r="N193" s="319">
        <v>746.35716709411224</v>
      </c>
      <c r="O193" s="319">
        <v>1461.1602558181589</v>
      </c>
      <c r="P193" s="319">
        <v>594</v>
      </c>
      <c r="Q193" s="320">
        <v>1826.4615384615383</v>
      </c>
      <c r="R193" s="340">
        <v>1648.8888888888889</v>
      </c>
      <c r="S193" s="439">
        <v>1826.4615384615383</v>
      </c>
      <c r="T193" s="326">
        <v>3</v>
      </c>
      <c r="U193" s="378">
        <v>5</v>
      </c>
      <c r="V193" s="439"/>
      <c r="W193" s="326">
        <f>tblPiNAnalysis8[[#This Row],[Final PiN]]/2</f>
        <v>913.23076923076917</v>
      </c>
      <c r="X193" s="440">
        <f>SUM(tblPiNAnalysis8[[#This Row],[Target (severity 4-5 ranking) 100%]:[Target (severity 3 ranking) 50%]])</f>
        <v>913.23076923076917</v>
      </c>
      <c r="Y193" s="354"/>
      <c r="Z193" s="326"/>
      <c r="AA193" s="326">
        <f>SUM(tblPiNAnalysis8[[#This Row],[Target (priotitised 1-2 ranking) 100%]:[Target (priotitised 3 ranking) 50%]])</f>
        <v>0</v>
      </c>
    </row>
    <row r="194" spans="1:27" x14ac:dyDescent="0.55000000000000004">
      <c r="A1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4" s="316" t="s">
        <v>292</v>
      </c>
      <c r="C194" s="317" t="s">
        <v>293</v>
      </c>
      <c r="D194" s="317" t="s">
        <v>306</v>
      </c>
      <c r="E194" s="105" t="s">
        <v>307</v>
      </c>
      <c r="F194" s="100"/>
      <c r="G194" s="34"/>
      <c r="H194" s="34"/>
      <c r="I194" s="97">
        <v>3047.871016813448</v>
      </c>
      <c r="J194" s="97" t="s">
        <v>414</v>
      </c>
      <c r="K194" s="318">
        <v>457.18065252201717</v>
      </c>
      <c r="L194" s="319">
        <v>507.92770495196112</v>
      </c>
      <c r="M194" s="319">
        <v>983.45046112189311</v>
      </c>
      <c r="N194" s="319">
        <v>2284.4551779585386</v>
      </c>
      <c r="O194" s="319">
        <v>1173.8051731432633</v>
      </c>
      <c r="P194" s="319">
        <v>2062</v>
      </c>
      <c r="Q194" s="320">
        <v>2216.6334667734168</v>
      </c>
      <c r="R194" s="340">
        <v>2031.9140112089651</v>
      </c>
      <c r="S194" s="439">
        <v>2284.4551779585386</v>
      </c>
      <c r="T194" s="326">
        <v>3</v>
      </c>
      <c r="U194" s="378">
        <v>3</v>
      </c>
      <c r="V194" s="439"/>
      <c r="W194" s="326">
        <f>tblPiNAnalysis8[[#This Row],[Final PiN]]/2</f>
        <v>1142.2275889792693</v>
      </c>
      <c r="X194" s="440">
        <f>SUM(tblPiNAnalysis8[[#This Row],[Target (severity 4-5 ranking) 100%]:[Target (severity 3 ranking) 50%]])</f>
        <v>1142.2275889792693</v>
      </c>
      <c r="Y194" s="354"/>
      <c r="Z194" s="326">
        <f>tblPiNAnalysis8[[#This Row],[Final PiN]]/2</f>
        <v>1142.2275889792693</v>
      </c>
      <c r="AA194" s="326">
        <f>SUM(tblPiNAnalysis8[[#This Row],[Target (priotitised 1-2 ranking) 100%]:[Target (priotitised 3 ranking) 50%]])</f>
        <v>1142.2275889792693</v>
      </c>
    </row>
    <row r="195" spans="1:27" x14ac:dyDescent="0.55000000000000004">
      <c r="A1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5" s="316" t="s">
        <v>292</v>
      </c>
      <c r="C195" s="317" t="s">
        <v>293</v>
      </c>
      <c r="D195" s="317" t="s">
        <v>308</v>
      </c>
      <c r="E195" s="105" t="s">
        <v>309</v>
      </c>
      <c r="F195" s="100"/>
      <c r="G195" s="34"/>
      <c r="H195" s="34"/>
      <c r="I195" s="97">
        <v>5119.8571428571404</v>
      </c>
      <c r="J195" s="97" t="s">
        <v>414</v>
      </c>
      <c r="K195" s="318">
        <v>767.97857142857106</v>
      </c>
      <c r="L195" s="319">
        <v>1060.8548794285709</v>
      </c>
      <c r="M195" s="319">
        <v>1649.1679405392335</v>
      </c>
      <c r="N195" s="319">
        <v>3259.6310042964874</v>
      </c>
      <c r="O195" s="319">
        <v>2043.5933195983814</v>
      </c>
      <c r="P195" s="319">
        <v>1018</v>
      </c>
      <c r="Q195" s="320">
        <v>4188.9740259740229</v>
      </c>
      <c r="R195" s="340">
        <v>3318.4259259259243</v>
      </c>
      <c r="S195" s="439">
        <v>4188.9740259740229</v>
      </c>
      <c r="T195" s="326">
        <v>3</v>
      </c>
      <c r="U195" s="378">
        <v>4</v>
      </c>
      <c r="V195" s="439"/>
      <c r="W195" s="326">
        <f>tblPiNAnalysis8[[#This Row],[Final PiN]]/2</f>
        <v>2094.4870129870114</v>
      </c>
      <c r="X195" s="440">
        <f>SUM(tblPiNAnalysis8[[#This Row],[Target (severity 4-5 ranking) 100%]:[Target (severity 3 ranking) 50%]])</f>
        <v>2094.4870129870114</v>
      </c>
      <c r="Y195" s="354"/>
      <c r="Z195" s="326"/>
      <c r="AA195" s="326">
        <f>SUM(tblPiNAnalysis8[[#This Row],[Target (priotitised 1-2 ranking) 100%]:[Target (priotitised 3 ranking) 50%]])</f>
        <v>0</v>
      </c>
    </row>
    <row r="196" spans="1:27" x14ac:dyDescent="0.55000000000000004">
      <c r="A1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6" s="316" t="s">
        <v>310</v>
      </c>
      <c r="C196" s="317" t="s">
        <v>311</v>
      </c>
      <c r="D196" s="317" t="s">
        <v>312</v>
      </c>
      <c r="E196" s="105" t="s">
        <v>313</v>
      </c>
      <c r="F196" s="100"/>
      <c r="G196" s="34"/>
      <c r="H196" s="34"/>
      <c r="I196" s="97">
        <v>16513.487018186021</v>
      </c>
      <c r="J196" s="97" t="s">
        <v>414</v>
      </c>
      <c r="K196" s="318">
        <v>2477.0230527279032</v>
      </c>
      <c r="L196" s="319">
        <v>2865.5160456203439</v>
      </c>
      <c r="M196" s="319">
        <v>11446.945548084152</v>
      </c>
      <c r="N196" s="319">
        <v>9983.9878224402255</v>
      </c>
      <c r="O196" s="319">
        <v>13603.717947460118</v>
      </c>
      <c r="P196" s="319">
        <v>10867</v>
      </c>
      <c r="Q196" s="320">
        <v>8615.7323573144458</v>
      </c>
      <c r="R196" s="340">
        <v>10803.21580628992</v>
      </c>
      <c r="S196" s="439">
        <v>13603.717947460118</v>
      </c>
      <c r="T196" s="326">
        <v>3</v>
      </c>
      <c r="U196" s="378">
        <v>4</v>
      </c>
      <c r="V196" s="439"/>
      <c r="W196" s="326">
        <f>tblPiNAnalysis8[[#This Row],[Final PiN]]/2</f>
        <v>6801.858973730059</v>
      </c>
      <c r="X196" s="440">
        <f>SUM(tblPiNAnalysis8[[#This Row],[Target (severity 4-5 ranking) 100%]:[Target (severity 3 ranking) 50%]])</f>
        <v>6801.858973730059</v>
      </c>
      <c r="Y196" s="354"/>
      <c r="Z196" s="326"/>
      <c r="AA196" s="326">
        <f>SUM(tblPiNAnalysis8[[#This Row],[Target (priotitised 1-2 ranking) 100%]:[Target (priotitised 3 ranking) 50%]])</f>
        <v>0</v>
      </c>
    </row>
    <row r="197" spans="1:27" x14ac:dyDescent="0.55000000000000004">
      <c r="A1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7" s="316" t="s">
        <v>310</v>
      </c>
      <c r="C197" s="317" t="s">
        <v>311</v>
      </c>
      <c r="D197" s="317" t="s">
        <v>314</v>
      </c>
      <c r="E197" s="105" t="s">
        <v>315</v>
      </c>
      <c r="F197" s="100"/>
      <c r="G197" s="34"/>
      <c r="H197" s="34"/>
      <c r="I197" s="97">
        <v>84624.371794578474</v>
      </c>
      <c r="J197" s="97" t="s">
        <v>414</v>
      </c>
      <c r="K197" s="318">
        <v>12693.655769186771</v>
      </c>
      <c r="L197" s="319">
        <v>31034.769764707813</v>
      </c>
      <c r="M197" s="319">
        <v>32647.120414096447</v>
      </c>
      <c r="N197" s="319">
        <v>65204.331159042034</v>
      </c>
      <c r="O197" s="319">
        <v>35747.875154623791</v>
      </c>
      <c r="P197" s="319">
        <v>56110</v>
      </c>
      <c r="Q197" s="320">
        <v>84624.371794578474</v>
      </c>
      <c r="R197" s="340">
        <v>34476.59591630975</v>
      </c>
      <c r="S197" s="439">
        <v>84624.371794578474</v>
      </c>
      <c r="T197" s="326">
        <v>4</v>
      </c>
      <c r="U197" s="378">
        <v>2</v>
      </c>
      <c r="V197" s="439">
        <f>tblPiNAnalysis8[[#This Row],[Final PiN]]</f>
        <v>84624.371794578474</v>
      </c>
      <c r="W197" s="326"/>
      <c r="X197" s="440">
        <f>SUM(tblPiNAnalysis8[[#This Row],[Target (severity 4-5 ranking) 100%]:[Target (severity 3 ranking) 50%]])</f>
        <v>84624.371794578474</v>
      </c>
      <c r="Y197" s="354">
        <f>tblPiNAnalysis8[[#This Row],[Final PiN]]</f>
        <v>84624.371794578474</v>
      </c>
      <c r="Z197" s="326"/>
      <c r="AA197" s="326">
        <f>SUM(tblPiNAnalysis8[[#This Row],[Target (priotitised 1-2 ranking) 100%]:[Target (priotitised 3 ranking) 50%]])</f>
        <v>84624.371794578474</v>
      </c>
    </row>
    <row r="198" spans="1:27" x14ac:dyDescent="0.55000000000000004">
      <c r="A1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8" s="316" t="s">
        <v>310</v>
      </c>
      <c r="C198" s="317" t="s">
        <v>311</v>
      </c>
      <c r="D198" s="317" t="s">
        <v>316</v>
      </c>
      <c r="E198" s="105" t="s">
        <v>317</v>
      </c>
      <c r="F198" s="100"/>
      <c r="G198" s="34"/>
      <c r="H198" s="34"/>
      <c r="I198" s="97">
        <v>62262.159201647075</v>
      </c>
      <c r="J198" s="97" t="s">
        <v>414</v>
      </c>
      <c r="K198" s="318">
        <v>9339.3238802470605</v>
      </c>
      <c r="L198" s="319">
        <v>16288.117062810563</v>
      </c>
      <c r="M198" s="319">
        <v>34228.428664160019</v>
      </c>
      <c r="N198" s="319">
        <v>44721.274699100119</v>
      </c>
      <c r="O198" s="319">
        <v>28481.445195627231</v>
      </c>
      <c r="P198" s="319">
        <v>40492</v>
      </c>
      <c r="Q198" s="320">
        <v>48677.688103105895</v>
      </c>
      <c r="R198" s="340">
        <v>15565.539800411769</v>
      </c>
      <c r="S198" s="439">
        <v>48677.688103105895</v>
      </c>
      <c r="T198" s="326">
        <v>3</v>
      </c>
      <c r="U198" s="378">
        <v>2</v>
      </c>
      <c r="V198" s="439"/>
      <c r="W198" s="326">
        <f>tblPiNAnalysis8[[#This Row],[Final PiN]]/2</f>
        <v>24338.844051552947</v>
      </c>
      <c r="X198" s="440">
        <f>SUM(tblPiNAnalysis8[[#This Row],[Target (severity 4-5 ranking) 100%]:[Target (severity 3 ranking) 50%]])</f>
        <v>24338.844051552947</v>
      </c>
      <c r="Y198" s="354">
        <f>tblPiNAnalysis8[[#This Row],[Final PiN]]</f>
        <v>48677.688103105895</v>
      </c>
      <c r="Z198" s="326"/>
      <c r="AA198" s="326">
        <f>SUM(tblPiNAnalysis8[[#This Row],[Target (priotitised 1-2 ranking) 100%]:[Target (priotitised 3 ranking) 50%]])</f>
        <v>48677.688103105895</v>
      </c>
    </row>
    <row r="199" spans="1:27" x14ac:dyDescent="0.55000000000000004">
      <c r="A1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9" s="316" t="s">
        <v>310</v>
      </c>
      <c r="C199" s="317" t="s">
        <v>311</v>
      </c>
      <c r="D199" s="317" t="s">
        <v>318</v>
      </c>
      <c r="E199" s="105" t="s">
        <v>319</v>
      </c>
      <c r="F199" s="100"/>
      <c r="G199" s="34"/>
      <c r="H199" s="34"/>
      <c r="I199" s="97">
        <v>8876.9955392885731</v>
      </c>
      <c r="J199" s="97" t="s">
        <v>414</v>
      </c>
      <c r="K199" s="318">
        <v>1331.549330893286</v>
      </c>
      <c r="L199" s="319">
        <v>1619.496873698959</v>
      </c>
      <c r="M199" s="319">
        <v>4116.9543189771584</v>
      </c>
      <c r="N199" s="319">
        <v>6742.2447544422866</v>
      </c>
      <c r="O199" s="319">
        <v>4186.3245334297198</v>
      </c>
      <c r="P199" s="319">
        <v>6115</v>
      </c>
      <c r="Q199" s="320">
        <v>5743.9382901279005</v>
      </c>
      <c r="R199" s="340">
        <v>5084.0974452289101</v>
      </c>
      <c r="S199" s="439">
        <v>6742.2447544422866</v>
      </c>
      <c r="T199" s="326">
        <v>3</v>
      </c>
      <c r="U199" s="378">
        <v>2</v>
      </c>
      <c r="V199" s="439"/>
      <c r="W199" s="326">
        <f>tblPiNAnalysis8[[#This Row],[Final PiN]]/2</f>
        <v>3371.1223772211433</v>
      </c>
      <c r="X199" s="440">
        <f>SUM(tblPiNAnalysis8[[#This Row],[Target (severity 4-5 ranking) 100%]:[Target (severity 3 ranking) 50%]])</f>
        <v>3371.1223772211433</v>
      </c>
      <c r="Y199" s="354">
        <f>tblPiNAnalysis8[[#This Row],[Final PiN]]</f>
        <v>6742.2447544422866</v>
      </c>
      <c r="Z199" s="326"/>
      <c r="AA199" s="326">
        <f>SUM(tblPiNAnalysis8[[#This Row],[Target (priotitised 1-2 ranking) 100%]:[Target (priotitised 3 ranking) 50%]])</f>
        <v>6742.2447544422866</v>
      </c>
    </row>
    <row r="200" spans="1:27" x14ac:dyDescent="0.55000000000000004">
      <c r="A2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0" s="316" t="s">
        <v>310</v>
      </c>
      <c r="C200" s="317" t="s">
        <v>311</v>
      </c>
      <c r="D200" s="317" t="s">
        <v>320</v>
      </c>
      <c r="E200" s="105" t="s">
        <v>321</v>
      </c>
      <c r="F200" s="100"/>
      <c r="G200" s="34"/>
      <c r="H200" s="34"/>
      <c r="I200" s="97">
        <v>46727.292920050364</v>
      </c>
      <c r="J200" s="97" t="s">
        <v>414</v>
      </c>
      <c r="K200" s="318">
        <v>7009.0939380075542</v>
      </c>
      <c r="L200" s="319">
        <v>7320.8584363701311</v>
      </c>
      <c r="M200" s="319">
        <v>16160.236825051841</v>
      </c>
      <c r="N200" s="319">
        <v>31614.397795641988</v>
      </c>
      <c r="O200" s="319">
        <v>19880.916593575854</v>
      </c>
      <c r="P200" s="319">
        <v>31590</v>
      </c>
      <c r="Q200" s="320">
        <v>32349.664329265637</v>
      </c>
      <c r="R200" s="340">
        <v>18005.011950845092</v>
      </c>
      <c r="S200" s="439">
        <v>32349.664329265637</v>
      </c>
      <c r="T200" s="326">
        <v>3</v>
      </c>
      <c r="U200" s="378">
        <v>3</v>
      </c>
      <c r="V200" s="439"/>
      <c r="W200" s="326">
        <f>tblPiNAnalysis8[[#This Row],[Final PiN]]/2</f>
        <v>16174.832164632819</v>
      </c>
      <c r="X200" s="440">
        <f>SUM(tblPiNAnalysis8[[#This Row],[Target (severity 4-5 ranking) 100%]:[Target (severity 3 ranking) 50%]])</f>
        <v>16174.832164632819</v>
      </c>
      <c r="Y200" s="354"/>
      <c r="Z200" s="326">
        <f>tblPiNAnalysis8[[#This Row],[Final PiN]]/2</f>
        <v>16174.832164632819</v>
      </c>
      <c r="AA200" s="326">
        <f>SUM(tblPiNAnalysis8[[#This Row],[Target (priotitised 1-2 ranking) 100%]:[Target (priotitised 3 ranking) 50%]])</f>
        <v>16174.832164632819</v>
      </c>
    </row>
    <row r="201" spans="1:27" x14ac:dyDescent="0.55000000000000004">
      <c r="A2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1" s="316" t="s">
        <v>322</v>
      </c>
      <c r="C201" s="317" t="s">
        <v>323</v>
      </c>
      <c r="D201" s="317" t="s">
        <v>324</v>
      </c>
      <c r="E201" s="105" t="s">
        <v>325</v>
      </c>
      <c r="F201" s="100"/>
      <c r="G201" s="34"/>
      <c r="H201" s="34"/>
      <c r="I201" s="97">
        <v>1708.2679972549467</v>
      </c>
      <c r="J201" s="97" t="s">
        <v>414</v>
      </c>
      <c r="K201" s="318">
        <v>256.24019958824198</v>
      </c>
      <c r="L201" s="319">
        <v>136.01639778463226</v>
      </c>
      <c r="M201" s="319">
        <v>670.13670661903291</v>
      </c>
      <c r="N201" s="319">
        <v>1064.7716969540184</v>
      </c>
      <c r="O201" s="319">
        <v>865.88797530309</v>
      </c>
      <c r="P201" s="319">
        <v>328</v>
      </c>
      <c r="Q201" s="320">
        <v>1087.0796346167842</v>
      </c>
      <c r="R201" s="340">
        <v>442.88429558461581</v>
      </c>
      <c r="S201" s="439">
        <v>1087.0796346167842</v>
      </c>
      <c r="T201" s="326">
        <v>3</v>
      </c>
      <c r="U201" s="378">
        <v>4</v>
      </c>
      <c r="V201" s="439"/>
      <c r="W201" s="326">
        <f>tblPiNAnalysis8[[#This Row],[Final PiN]]/2</f>
        <v>543.53981730839212</v>
      </c>
      <c r="X201" s="440">
        <f>SUM(tblPiNAnalysis8[[#This Row],[Target (severity 4-5 ranking) 100%]:[Target (severity 3 ranking) 50%]])</f>
        <v>543.53981730839212</v>
      </c>
      <c r="Y201" s="354"/>
      <c r="Z201" s="326"/>
      <c r="AA201" s="326">
        <f>SUM(tblPiNAnalysis8[[#This Row],[Target (priotitised 1-2 ranking) 100%]:[Target (priotitised 3 ranking) 50%]])</f>
        <v>0</v>
      </c>
    </row>
    <row r="202" spans="1:27" x14ac:dyDescent="0.55000000000000004">
      <c r="A2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2" s="316" t="s">
        <v>322</v>
      </c>
      <c r="C202" s="317" t="s">
        <v>323</v>
      </c>
      <c r="D202" s="317" t="s">
        <v>326</v>
      </c>
      <c r="E202" s="105" t="s">
        <v>327</v>
      </c>
      <c r="F202" s="100"/>
      <c r="G202" s="34"/>
      <c r="H202" s="34"/>
      <c r="I202" s="97">
        <v>1810</v>
      </c>
      <c r="J202" s="97" t="s">
        <v>414</v>
      </c>
      <c r="K202" s="318">
        <v>271.5</v>
      </c>
      <c r="L202" s="319">
        <v>412.36668899999995</v>
      </c>
      <c r="M202" s="319">
        <v>625.62933932243084</v>
      </c>
      <c r="N202" s="319">
        <v>1490.6764099812244</v>
      </c>
      <c r="O202" s="319">
        <v>929.94220239263655</v>
      </c>
      <c r="P202" s="319">
        <v>1267</v>
      </c>
      <c r="Q202" s="320">
        <v>1086</v>
      </c>
      <c r="R202" s="340">
        <v>938.51851851851836</v>
      </c>
      <c r="S202" s="439">
        <v>1490.6764099812244</v>
      </c>
      <c r="T202" s="326">
        <v>3</v>
      </c>
      <c r="U202" s="378">
        <v>3</v>
      </c>
      <c r="V202" s="439"/>
      <c r="W202" s="326">
        <f>tblPiNAnalysis8[[#This Row],[Final PiN]]/2</f>
        <v>745.33820499061221</v>
      </c>
      <c r="X202" s="440">
        <f>SUM(tblPiNAnalysis8[[#This Row],[Target (severity 4-5 ranking) 100%]:[Target (severity 3 ranking) 50%]])</f>
        <v>745.33820499061221</v>
      </c>
      <c r="Y202" s="354"/>
      <c r="Z202" s="326">
        <f>tblPiNAnalysis8[[#This Row],[Final PiN]]/2</f>
        <v>745.33820499061221</v>
      </c>
      <c r="AA202" s="326">
        <f>SUM(tblPiNAnalysis8[[#This Row],[Target (priotitised 1-2 ranking) 100%]:[Target (priotitised 3 ranking) 50%]])</f>
        <v>745.33820499061221</v>
      </c>
    </row>
    <row r="203" spans="1:27" x14ac:dyDescent="0.55000000000000004">
      <c r="A2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3" s="316" t="s">
        <v>322</v>
      </c>
      <c r="C203" s="317" t="s">
        <v>323</v>
      </c>
      <c r="D203" s="317" t="s">
        <v>328</v>
      </c>
      <c r="E203" s="105" t="s">
        <v>329</v>
      </c>
      <c r="F203" s="100"/>
      <c r="G203" s="34"/>
      <c r="H203" s="34"/>
      <c r="I203" s="97">
        <v>7417</v>
      </c>
      <c r="J203" s="97" t="s">
        <v>414</v>
      </c>
      <c r="K203" s="318">
        <v>1112.55</v>
      </c>
      <c r="L203" s="319">
        <v>2667.0360114</v>
      </c>
      <c r="M203" s="319">
        <v>2854.2276968868132</v>
      </c>
      <c r="N203" s="319">
        <v>6114.9134977443282</v>
      </c>
      <c r="O203" s="319">
        <v>3802.4327491574586</v>
      </c>
      <c r="P203" s="319">
        <v>4825</v>
      </c>
      <c r="Q203" s="320">
        <v>285.26923076923077</v>
      </c>
      <c r="R203" s="340">
        <v>4463.9351851851852</v>
      </c>
      <c r="S203" s="439">
        <v>6114.9134977443282</v>
      </c>
      <c r="T203" s="326">
        <v>3</v>
      </c>
      <c r="U203" s="378">
        <v>3</v>
      </c>
      <c r="V203" s="439"/>
      <c r="W203" s="326">
        <f>tblPiNAnalysis8[[#This Row],[Final PiN]]/2</f>
        <v>3057.4567488721641</v>
      </c>
      <c r="X203" s="440">
        <f>SUM(tblPiNAnalysis8[[#This Row],[Target (severity 4-5 ranking) 100%]:[Target (severity 3 ranking) 50%]])</f>
        <v>3057.4567488721641</v>
      </c>
      <c r="Y203" s="354"/>
      <c r="Z203" s="326">
        <f>tblPiNAnalysis8[[#This Row],[Final PiN]]/2</f>
        <v>3057.4567488721641</v>
      </c>
      <c r="AA203" s="326">
        <f>SUM(tblPiNAnalysis8[[#This Row],[Target (priotitised 1-2 ranking) 100%]:[Target (priotitised 3 ranking) 50%]])</f>
        <v>3057.4567488721641</v>
      </c>
    </row>
    <row r="204" spans="1:27" x14ac:dyDescent="0.55000000000000004">
      <c r="A2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4" s="316" t="s">
        <v>322</v>
      </c>
      <c r="C204" s="317" t="s">
        <v>323</v>
      </c>
      <c r="D204" s="317" t="s">
        <v>330</v>
      </c>
      <c r="E204" s="105" t="s">
        <v>331</v>
      </c>
      <c r="F204" s="100"/>
      <c r="G204" s="34"/>
      <c r="H204" s="34"/>
      <c r="I204" s="97">
        <v>5041.023996339929</v>
      </c>
      <c r="J204" s="97" t="s">
        <v>414</v>
      </c>
      <c r="K204" s="318">
        <v>756.1535994509893</v>
      </c>
      <c r="L204" s="319">
        <v>983.45841246995303</v>
      </c>
      <c r="M204" s="319">
        <v>1713.8548458301896</v>
      </c>
      <c r="N204" s="319">
        <v>3635.4409748010257</v>
      </c>
      <c r="O204" s="319">
        <v>2796.0794612320165</v>
      </c>
      <c r="P204" s="319">
        <v>3474</v>
      </c>
      <c r="Q204" s="320">
        <v>4602.6740836147183</v>
      </c>
      <c r="R204" s="340">
        <v>1820.3697764560852</v>
      </c>
      <c r="S204" s="439">
        <v>4602.6740836147183</v>
      </c>
      <c r="T204" s="326">
        <v>3</v>
      </c>
      <c r="U204" s="378">
        <v>2</v>
      </c>
      <c r="V204" s="439"/>
      <c r="W204" s="326">
        <f>tblPiNAnalysis8[[#This Row],[Final PiN]]/2</f>
        <v>2301.3370418073591</v>
      </c>
      <c r="X204" s="440">
        <f>SUM(tblPiNAnalysis8[[#This Row],[Target (severity 4-5 ranking) 100%]:[Target (severity 3 ranking) 50%]])</f>
        <v>2301.3370418073591</v>
      </c>
      <c r="Y204" s="354">
        <f>tblPiNAnalysis8[[#This Row],[Final PiN]]</f>
        <v>4602.6740836147183</v>
      </c>
      <c r="Z204" s="326"/>
      <c r="AA204" s="326">
        <f>SUM(tblPiNAnalysis8[[#This Row],[Target (priotitised 1-2 ranking) 100%]:[Target (priotitised 3 ranking) 50%]])</f>
        <v>4602.6740836147183</v>
      </c>
    </row>
    <row r="205" spans="1:27" x14ac:dyDescent="0.55000000000000004">
      <c r="A2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5" s="316" t="s">
        <v>322</v>
      </c>
      <c r="C205" s="317" t="s">
        <v>323</v>
      </c>
      <c r="D205" s="317" t="s">
        <v>332</v>
      </c>
      <c r="E205" s="105" t="s">
        <v>333</v>
      </c>
      <c r="F205" s="100"/>
      <c r="G205" s="34"/>
      <c r="H205" s="34"/>
      <c r="I205" s="97">
        <v>3069.1428571428601</v>
      </c>
      <c r="J205" s="97" t="s">
        <v>414</v>
      </c>
      <c r="K205" s="318">
        <v>460.37142857142902</v>
      </c>
      <c r="L205" s="319">
        <v>597.15391828571489</v>
      </c>
      <c r="M205" s="319">
        <v>1293.574292400795</v>
      </c>
      <c r="N205" s="319">
        <v>2299.4820891862373</v>
      </c>
      <c r="O205" s="319">
        <v>1473.0465205838257</v>
      </c>
      <c r="P205" s="319">
        <v>2142</v>
      </c>
      <c r="Q205" s="320">
        <v>3069.1428571428601</v>
      </c>
      <c r="R205" s="340">
        <v>1250.3915343915355</v>
      </c>
      <c r="S205" s="439">
        <v>3069.1428571428601</v>
      </c>
      <c r="T205" s="326">
        <v>4</v>
      </c>
      <c r="U205" s="378">
        <v>2</v>
      </c>
      <c r="V205" s="439">
        <f>tblPiNAnalysis8[[#This Row],[Final PiN]]</f>
        <v>3069.1428571428601</v>
      </c>
      <c r="W205" s="326"/>
      <c r="X205" s="440">
        <f>SUM(tblPiNAnalysis8[[#This Row],[Target (severity 4-5 ranking) 100%]:[Target (severity 3 ranking) 50%]])</f>
        <v>3069.1428571428601</v>
      </c>
      <c r="Y205" s="354">
        <f>tblPiNAnalysis8[[#This Row],[Final PiN]]</f>
        <v>3069.1428571428601</v>
      </c>
      <c r="Z205" s="326"/>
      <c r="AA205" s="326">
        <f>SUM(tblPiNAnalysis8[[#This Row],[Target (priotitised 1-2 ranking) 100%]:[Target (priotitised 3 ranking) 50%]])</f>
        <v>3069.1428571428601</v>
      </c>
    </row>
    <row r="206" spans="1:27" x14ac:dyDescent="0.55000000000000004">
      <c r="A2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6" s="316" t="s">
        <v>322</v>
      </c>
      <c r="C206" s="317" t="s">
        <v>323</v>
      </c>
      <c r="D206" s="317" t="s">
        <v>334</v>
      </c>
      <c r="E206" s="105" t="s">
        <v>335</v>
      </c>
      <c r="F206" s="100"/>
      <c r="G206" s="34"/>
      <c r="H206" s="34"/>
      <c r="I206" s="97">
        <v>7050.3021159784967</v>
      </c>
      <c r="J206" s="97" t="s">
        <v>414</v>
      </c>
      <c r="K206" s="318">
        <v>1057.5453173967744</v>
      </c>
      <c r="L206" s="319">
        <v>2157.4559002084634</v>
      </c>
      <c r="M206" s="319">
        <v>2577.4022617242485</v>
      </c>
      <c r="N206" s="319">
        <v>4656.3863132350816</v>
      </c>
      <c r="O206" s="319">
        <v>3806.9093414081844</v>
      </c>
      <c r="P206" s="319">
        <v>4717</v>
      </c>
      <c r="Q206" s="320">
        <v>2769.7615455629812</v>
      </c>
      <c r="R206" s="340">
        <v>3002.9064568056565</v>
      </c>
      <c r="S206" s="439">
        <v>4717</v>
      </c>
      <c r="T206" s="326">
        <v>3</v>
      </c>
      <c r="U206" s="378">
        <v>3</v>
      </c>
      <c r="V206" s="439"/>
      <c r="W206" s="326">
        <f>tblPiNAnalysis8[[#This Row],[Final PiN]]/2</f>
        <v>2358.5</v>
      </c>
      <c r="X206" s="440">
        <f>SUM(tblPiNAnalysis8[[#This Row],[Target (severity 4-5 ranking) 100%]:[Target (severity 3 ranking) 50%]])</f>
        <v>2358.5</v>
      </c>
      <c r="Y206" s="354"/>
      <c r="Z206" s="326">
        <f>tblPiNAnalysis8[[#This Row],[Final PiN]]/2</f>
        <v>2358.5</v>
      </c>
      <c r="AA206" s="326">
        <f>SUM(tblPiNAnalysis8[[#This Row],[Target (priotitised 1-2 ranking) 100%]:[Target (priotitised 3 ranking) 50%]])</f>
        <v>2358.5</v>
      </c>
    </row>
    <row r="207" spans="1:27" x14ac:dyDescent="0.55000000000000004">
      <c r="A2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7" s="316" t="s">
        <v>322</v>
      </c>
      <c r="C207" s="317" t="s">
        <v>323</v>
      </c>
      <c r="D207" s="317" t="s">
        <v>336</v>
      </c>
      <c r="E207" s="105" t="s">
        <v>337</v>
      </c>
      <c r="F207" s="100"/>
      <c r="G207" s="34"/>
      <c r="H207" s="34"/>
      <c r="I207" s="97">
        <v>3636</v>
      </c>
      <c r="J207" s="97" t="s">
        <v>414</v>
      </c>
      <c r="K207" s="318">
        <v>545.4</v>
      </c>
      <c r="L207" s="319">
        <v>688.46932800000013</v>
      </c>
      <c r="M207" s="319">
        <v>1418.8092270233087</v>
      </c>
      <c r="N207" s="319">
        <v>2665.0680294809003</v>
      </c>
      <c r="O207" s="319">
        <v>2336.2567443257749</v>
      </c>
      <c r="P207" s="319">
        <v>2445</v>
      </c>
      <c r="Q207" s="320">
        <v>3636</v>
      </c>
      <c r="R207" s="340">
        <v>1919</v>
      </c>
      <c r="S207" s="439">
        <v>3636</v>
      </c>
      <c r="T207" s="326">
        <v>4</v>
      </c>
      <c r="U207" s="378">
        <v>1</v>
      </c>
      <c r="V207" s="439">
        <f>tblPiNAnalysis8[[#This Row],[Final PiN]]</f>
        <v>3636</v>
      </c>
      <c r="W207" s="326"/>
      <c r="X207" s="440">
        <f>SUM(tblPiNAnalysis8[[#This Row],[Target (severity 4-5 ranking) 100%]:[Target (severity 3 ranking) 50%]])</f>
        <v>3636</v>
      </c>
      <c r="Y207" s="354">
        <f>tblPiNAnalysis8[[#This Row],[Final PiN]]</f>
        <v>3636</v>
      </c>
      <c r="Z207" s="326"/>
      <c r="AA207" s="326">
        <f>SUM(tblPiNAnalysis8[[#This Row],[Target (priotitised 1-2 ranking) 100%]:[Target (priotitised 3 ranking) 50%]])</f>
        <v>3636</v>
      </c>
    </row>
    <row r="208" spans="1:27" x14ac:dyDescent="0.55000000000000004">
      <c r="A2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8" s="316" t="s">
        <v>322</v>
      </c>
      <c r="C208" s="317" t="s">
        <v>323</v>
      </c>
      <c r="D208" s="317" t="s">
        <v>338</v>
      </c>
      <c r="E208" s="105" t="s">
        <v>339</v>
      </c>
      <c r="F208" s="100"/>
      <c r="G208" s="34"/>
      <c r="H208" s="34"/>
      <c r="I208" s="97">
        <v>3515.9389111289033</v>
      </c>
      <c r="J208" s="97" t="s">
        <v>414</v>
      </c>
      <c r="K208" s="318">
        <v>527.3908366693355</v>
      </c>
      <c r="L208" s="319">
        <v>188.39455467502003</v>
      </c>
      <c r="M208" s="319">
        <v>1347.609100074098</v>
      </c>
      <c r="N208" s="319">
        <v>2224.6482399145461</v>
      </c>
      <c r="O208" s="319">
        <v>3142.4968348686766</v>
      </c>
      <c r="P208" s="319">
        <v>703</v>
      </c>
      <c r="Q208" s="320">
        <v>878.98472778222583</v>
      </c>
      <c r="R208" s="340">
        <v>1483.7907331369684</v>
      </c>
      <c r="S208" s="439">
        <v>3142.4968348686766</v>
      </c>
      <c r="T208" s="326">
        <v>3</v>
      </c>
      <c r="U208" s="378">
        <v>2</v>
      </c>
      <c r="V208" s="439"/>
      <c r="W208" s="326">
        <f>tblPiNAnalysis8[[#This Row],[Final PiN]]/2</f>
        <v>1571.2484174343383</v>
      </c>
      <c r="X208" s="440">
        <f>SUM(tblPiNAnalysis8[[#This Row],[Target (severity 4-5 ranking) 100%]:[Target (severity 3 ranking) 50%]])</f>
        <v>1571.2484174343383</v>
      </c>
      <c r="Y208" s="354">
        <f>tblPiNAnalysis8[[#This Row],[Final PiN]]</f>
        <v>3142.4968348686766</v>
      </c>
      <c r="Z208" s="326"/>
      <c r="AA208" s="326">
        <f>SUM(tblPiNAnalysis8[[#This Row],[Target (priotitised 1-2 ranking) 100%]:[Target (priotitised 3 ranking) 50%]])</f>
        <v>3142.4968348686766</v>
      </c>
    </row>
    <row r="209" spans="1:27" x14ac:dyDescent="0.55000000000000004">
      <c r="A2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9" s="316" t="s">
        <v>322</v>
      </c>
      <c r="C209" s="317" t="s">
        <v>323</v>
      </c>
      <c r="D209" s="317" t="s">
        <v>340</v>
      </c>
      <c r="E209" s="105" t="s">
        <v>341</v>
      </c>
      <c r="F209" s="100"/>
      <c r="G209" s="34"/>
      <c r="H209" s="34"/>
      <c r="I209" s="97">
        <v>13224.062358458195</v>
      </c>
      <c r="J209" s="97" t="s">
        <v>414</v>
      </c>
      <c r="K209" s="318">
        <v>1983.6093537687293</v>
      </c>
      <c r="L209" s="319">
        <v>3641.3751662125778</v>
      </c>
      <c r="M209" s="319">
        <v>4210.7443991140663</v>
      </c>
      <c r="N209" s="319">
        <v>10965.324618021728</v>
      </c>
      <c r="O209" s="319">
        <v>8362.3019895435882</v>
      </c>
      <c r="P209" s="319">
        <v>7772</v>
      </c>
      <c r="Q209" s="320">
        <v>13224.062358458195</v>
      </c>
      <c r="R209" s="340">
        <v>6244.6961137163698</v>
      </c>
      <c r="S209" s="439">
        <v>13224.062358458195</v>
      </c>
      <c r="T209" s="326">
        <v>4</v>
      </c>
      <c r="U209" s="378">
        <v>1</v>
      </c>
      <c r="V209" s="439">
        <f>tblPiNAnalysis8[[#This Row],[Final PiN]]</f>
        <v>13224.062358458195</v>
      </c>
      <c r="W209" s="326"/>
      <c r="X209" s="440">
        <f>SUM(tblPiNAnalysis8[[#This Row],[Target (severity 4-5 ranking) 100%]:[Target (severity 3 ranking) 50%]])</f>
        <v>13224.062358458195</v>
      </c>
      <c r="Y209" s="354">
        <f>tblPiNAnalysis8[[#This Row],[Final PiN]]</f>
        <v>13224.062358458195</v>
      </c>
      <c r="Z209" s="326"/>
      <c r="AA209" s="326">
        <f>SUM(tblPiNAnalysis8[[#This Row],[Target (priotitised 1-2 ranking) 100%]:[Target (priotitised 3 ranking) 50%]])</f>
        <v>13224.062358458195</v>
      </c>
    </row>
    <row r="210" spans="1:27" x14ac:dyDescent="0.55000000000000004">
      <c r="A2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0" s="316" t="s">
        <v>342</v>
      </c>
      <c r="C210" s="317" t="s">
        <v>343</v>
      </c>
      <c r="D210" s="317" t="s">
        <v>344</v>
      </c>
      <c r="E210" s="105" t="s">
        <v>345</v>
      </c>
      <c r="F210" s="100"/>
      <c r="G210" s="34"/>
      <c r="H210" s="34"/>
      <c r="I210" s="97">
        <v>4961</v>
      </c>
      <c r="J210" s="97" t="s">
        <v>414</v>
      </c>
      <c r="K210" s="318">
        <v>744.15</v>
      </c>
      <c r="L210" s="319">
        <v>397.55469600000004</v>
      </c>
      <c r="M210" s="319">
        <v>2733.7680235374769</v>
      </c>
      <c r="N210" s="319">
        <v>3999.4205137166382</v>
      </c>
      <c r="O210" s="319">
        <v>2450.9402045196935</v>
      </c>
      <c r="P210" s="319">
        <v>940</v>
      </c>
      <c r="Q210" s="320">
        <v>1954.3333333333333</v>
      </c>
      <c r="R210" s="340">
        <v>4455.7129629629626</v>
      </c>
      <c r="S210" s="439">
        <v>4455.7129629629626</v>
      </c>
      <c r="T210" s="326">
        <v>4</v>
      </c>
      <c r="U210" s="378">
        <v>2</v>
      </c>
      <c r="V210" s="439">
        <f>tblPiNAnalysis8[[#This Row],[Final PiN]]</f>
        <v>4455.7129629629626</v>
      </c>
      <c r="W210" s="326"/>
      <c r="X210" s="440">
        <f>SUM(tblPiNAnalysis8[[#This Row],[Target (severity 4-5 ranking) 100%]:[Target (severity 3 ranking) 50%]])</f>
        <v>4455.7129629629626</v>
      </c>
      <c r="Y210" s="354">
        <f>tblPiNAnalysis8[[#This Row],[Final PiN]]</f>
        <v>4455.7129629629626</v>
      </c>
      <c r="Z210" s="326"/>
      <c r="AA210" s="326">
        <f>SUM(tblPiNAnalysis8[[#This Row],[Target (priotitised 1-2 ranking) 100%]:[Target (priotitised 3 ranking) 50%]])</f>
        <v>4455.7129629629626</v>
      </c>
    </row>
    <row r="211" spans="1:27" x14ac:dyDescent="0.55000000000000004">
      <c r="A2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1" s="316" t="s">
        <v>342</v>
      </c>
      <c r="C211" s="317" t="s">
        <v>343</v>
      </c>
      <c r="D211" s="317" t="s">
        <v>346</v>
      </c>
      <c r="E211" s="105" t="s">
        <v>347</v>
      </c>
      <c r="F211" s="100"/>
      <c r="G211" s="34"/>
      <c r="H211" s="34"/>
      <c r="I211" s="97">
        <v>14416.589191353083</v>
      </c>
      <c r="J211" s="97" t="s">
        <v>414</v>
      </c>
      <c r="K211" s="318">
        <v>2162.4883787029626</v>
      </c>
      <c r="L211" s="319">
        <v>4916.7489105325858</v>
      </c>
      <c r="M211" s="319">
        <v>4643.2566401440918</v>
      </c>
      <c r="N211" s="319">
        <v>9982.5972806473583</v>
      </c>
      <c r="O211" s="319">
        <v>6346.7178879007397</v>
      </c>
      <c r="P211" s="319">
        <v>9757</v>
      </c>
      <c r="Q211" s="320">
        <v>8148.506934243047</v>
      </c>
      <c r="R211" s="340">
        <v>13755.277760557072</v>
      </c>
      <c r="S211" s="439">
        <v>13755.277760557072</v>
      </c>
      <c r="T211" s="326">
        <v>4</v>
      </c>
      <c r="U211" s="378">
        <v>1</v>
      </c>
      <c r="V211" s="439">
        <f>tblPiNAnalysis8[[#This Row],[Final PiN]]</f>
        <v>13755.277760557072</v>
      </c>
      <c r="W211" s="326"/>
      <c r="X211" s="440">
        <f>SUM(tblPiNAnalysis8[[#This Row],[Target (severity 4-5 ranking) 100%]:[Target (severity 3 ranking) 50%]])</f>
        <v>13755.277760557072</v>
      </c>
      <c r="Y211" s="354">
        <f>tblPiNAnalysis8[[#This Row],[Final PiN]]</f>
        <v>13755.277760557072</v>
      </c>
      <c r="Z211" s="326"/>
      <c r="AA211" s="326">
        <f>SUM(tblPiNAnalysis8[[#This Row],[Target (priotitised 1-2 ranking) 100%]:[Target (priotitised 3 ranking) 50%]])</f>
        <v>13755.277760557072</v>
      </c>
    </row>
    <row r="212" spans="1:27" x14ac:dyDescent="0.55000000000000004">
      <c r="A2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2" s="316" t="s">
        <v>342</v>
      </c>
      <c r="C212" s="317" t="s">
        <v>343</v>
      </c>
      <c r="D212" s="317" t="s">
        <v>348</v>
      </c>
      <c r="E212" s="105" t="s">
        <v>349</v>
      </c>
      <c r="F212" s="100"/>
      <c r="G212" s="34"/>
      <c r="H212" s="34"/>
      <c r="I212" s="97">
        <v>16232.649182202906</v>
      </c>
      <c r="J212" s="97" t="s">
        <v>414</v>
      </c>
      <c r="K212" s="318">
        <v>2434.8973773304356</v>
      </c>
      <c r="L212" s="319">
        <v>5592.8212982099622</v>
      </c>
      <c r="M212" s="319">
        <v>5531.9675173877868</v>
      </c>
      <c r="N212" s="319">
        <v>14764.837695457401</v>
      </c>
      <c r="O212" s="319">
        <v>7049.6537064105569</v>
      </c>
      <c r="P212" s="319">
        <v>12298</v>
      </c>
      <c r="Q212" s="320">
        <v>15434.32217324211</v>
      </c>
      <c r="R212" s="340">
        <v>5510.1653187294278</v>
      </c>
      <c r="S212" s="439">
        <v>15434.32217324211</v>
      </c>
      <c r="T212" s="326">
        <v>4</v>
      </c>
      <c r="U212" s="378">
        <v>2</v>
      </c>
      <c r="V212" s="439">
        <f>tblPiNAnalysis8[[#This Row],[Final PiN]]</f>
        <v>15434.32217324211</v>
      </c>
      <c r="W212" s="326"/>
      <c r="X212" s="440">
        <f>SUM(tblPiNAnalysis8[[#This Row],[Target (severity 4-5 ranking) 100%]:[Target (severity 3 ranking) 50%]])</f>
        <v>15434.32217324211</v>
      </c>
      <c r="Y212" s="354">
        <f>tblPiNAnalysis8[[#This Row],[Final PiN]]</f>
        <v>15434.32217324211</v>
      </c>
      <c r="Z212" s="326"/>
      <c r="AA212" s="326">
        <f>SUM(tblPiNAnalysis8[[#This Row],[Target (priotitised 1-2 ranking) 100%]:[Target (priotitised 3 ranking) 50%]])</f>
        <v>15434.32217324211</v>
      </c>
    </row>
    <row r="213" spans="1:27" x14ac:dyDescent="0.55000000000000004">
      <c r="A2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3" s="316" t="s">
        <v>342</v>
      </c>
      <c r="C213" s="317" t="s">
        <v>343</v>
      </c>
      <c r="D213" s="317" t="s">
        <v>350</v>
      </c>
      <c r="E213" s="105" t="s">
        <v>351</v>
      </c>
      <c r="F213" s="100"/>
      <c r="G213" s="34"/>
      <c r="H213" s="34"/>
      <c r="I213" s="97">
        <v>158050.00862404195</v>
      </c>
      <c r="J213" s="97" t="s">
        <v>414</v>
      </c>
      <c r="K213" s="318">
        <v>23707.501293606292</v>
      </c>
      <c r="L213" s="319">
        <v>42577.170848234979</v>
      </c>
      <c r="M213" s="319">
        <v>59197.71759471752</v>
      </c>
      <c r="N213" s="319">
        <v>142110.0378171395</v>
      </c>
      <c r="O213" s="319">
        <v>97595.508530042076</v>
      </c>
      <c r="P213" s="319">
        <v>119302</v>
      </c>
      <c r="Q213" s="320">
        <v>68248.867360381744</v>
      </c>
      <c r="R213" s="340">
        <v>118537.50646803142</v>
      </c>
      <c r="S213" s="439">
        <v>142110.0378171395</v>
      </c>
      <c r="T213" s="326">
        <v>5</v>
      </c>
      <c r="U213" s="378">
        <v>1</v>
      </c>
      <c r="V213" s="439">
        <f>tblPiNAnalysis8[[#This Row],[Final PiN]]</f>
        <v>142110.0378171395</v>
      </c>
      <c r="W213" s="326"/>
      <c r="X213" s="440">
        <f>SUM(tblPiNAnalysis8[[#This Row],[Target (severity 4-5 ranking) 100%]:[Target (severity 3 ranking) 50%]])</f>
        <v>142110.0378171395</v>
      </c>
      <c r="Y213" s="354">
        <f>tblPiNAnalysis8[[#This Row],[Final PiN]]</f>
        <v>142110.0378171395</v>
      </c>
      <c r="Z213" s="326"/>
      <c r="AA213" s="326">
        <f>SUM(tblPiNAnalysis8[[#This Row],[Target (priotitised 1-2 ranking) 100%]:[Target (priotitised 3 ranking) 50%]])</f>
        <v>142110.0378171395</v>
      </c>
    </row>
    <row r="214" spans="1:27" x14ac:dyDescent="0.55000000000000004">
      <c r="A2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4" s="316" t="s">
        <v>342</v>
      </c>
      <c r="C214" s="317" t="s">
        <v>343</v>
      </c>
      <c r="D214" s="317" t="s">
        <v>352</v>
      </c>
      <c r="E214" s="105" t="s">
        <v>353</v>
      </c>
      <c r="F214" s="100"/>
      <c r="G214" s="34"/>
      <c r="H214" s="34"/>
      <c r="I214" s="97">
        <v>25766.491604712341</v>
      </c>
      <c r="J214" s="97" t="s">
        <v>414</v>
      </c>
      <c r="K214" s="318">
        <v>3864.973740706851</v>
      </c>
      <c r="L214" s="319">
        <v>8874.6367541988493</v>
      </c>
      <c r="M214" s="319">
        <v>7995.02529353717</v>
      </c>
      <c r="N214" s="319">
        <v>16784.628773650235</v>
      </c>
      <c r="O214" s="319">
        <v>14656.848379685682</v>
      </c>
      <c r="P214" s="319">
        <v>17004</v>
      </c>
      <c r="Q214" s="320">
        <v>19563.447329503815</v>
      </c>
      <c r="R214" s="340">
        <v>12883.24580235617</v>
      </c>
      <c r="S214" s="439">
        <v>19563.447329503815</v>
      </c>
      <c r="T214" s="326">
        <v>4</v>
      </c>
      <c r="U214" s="378">
        <v>1</v>
      </c>
      <c r="V214" s="439">
        <f>tblPiNAnalysis8[[#This Row],[Final PiN]]</f>
        <v>19563.447329503815</v>
      </c>
      <c r="W214" s="326"/>
      <c r="X214" s="440">
        <f>SUM(tblPiNAnalysis8[[#This Row],[Target (severity 4-5 ranking) 100%]:[Target (severity 3 ranking) 50%]])</f>
        <v>19563.447329503815</v>
      </c>
      <c r="Y214" s="354">
        <f>tblPiNAnalysis8[[#This Row],[Final PiN]]</f>
        <v>19563.447329503815</v>
      </c>
      <c r="Z214" s="326"/>
      <c r="AA214" s="326">
        <f>SUM(tblPiNAnalysis8[[#This Row],[Target (priotitised 1-2 ranking) 100%]:[Target (priotitised 3 ranking) 50%]])</f>
        <v>19563.447329503815</v>
      </c>
    </row>
    <row r="215" spans="1:27" x14ac:dyDescent="0.55000000000000004">
      <c r="A2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5" s="316" t="s">
        <v>342</v>
      </c>
      <c r="C215" s="317" t="s">
        <v>343</v>
      </c>
      <c r="D215" s="317" t="s">
        <v>354</v>
      </c>
      <c r="E215" s="105" t="s">
        <v>355</v>
      </c>
      <c r="F215" s="100"/>
      <c r="G215" s="34"/>
      <c r="H215" s="34"/>
      <c r="I215" s="97">
        <v>43189.075569026623</v>
      </c>
      <c r="J215" s="97" t="s">
        <v>414</v>
      </c>
      <c r="K215" s="318">
        <v>6478.3613353539931</v>
      </c>
      <c r="L215" s="319">
        <v>8117.179445635823</v>
      </c>
      <c r="M215" s="319">
        <v>13758.146796365621</v>
      </c>
      <c r="N215" s="319">
        <v>25828.661119600776</v>
      </c>
      <c r="O215" s="319">
        <v>18939.369573208412</v>
      </c>
      <c r="P215" s="319">
        <v>28413</v>
      </c>
      <c r="Q215" s="320">
        <v>17275.630227610647</v>
      </c>
      <c r="R215" s="340">
        <v>34791.199763938115</v>
      </c>
      <c r="S215" s="439">
        <v>34791.199763938115</v>
      </c>
      <c r="T215" s="326">
        <v>3</v>
      </c>
      <c r="U215" s="378">
        <v>4</v>
      </c>
      <c r="V215" s="439"/>
      <c r="W215" s="326">
        <f>tblPiNAnalysis8[[#This Row],[Final PiN]]/2</f>
        <v>17395.599881969058</v>
      </c>
      <c r="X215" s="440">
        <f>SUM(tblPiNAnalysis8[[#This Row],[Target (severity 4-5 ranking) 100%]:[Target (severity 3 ranking) 50%]])</f>
        <v>17395.599881969058</v>
      </c>
      <c r="Y215" s="354"/>
      <c r="Z215" s="326"/>
      <c r="AA215" s="326">
        <f>SUM(tblPiNAnalysis8[[#This Row],[Target (priotitised 1-2 ranking) 100%]:[Target (priotitised 3 ranking) 50%]])</f>
        <v>0</v>
      </c>
    </row>
    <row r="216" spans="1:27" x14ac:dyDescent="0.55000000000000004">
      <c r="A2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6" s="316" t="s">
        <v>342</v>
      </c>
      <c r="C216" s="317" t="s">
        <v>343</v>
      </c>
      <c r="D216" s="317" t="s">
        <v>356</v>
      </c>
      <c r="E216" s="105" t="s">
        <v>357</v>
      </c>
      <c r="F216" s="100"/>
      <c r="G216" s="34"/>
      <c r="H216" s="34"/>
      <c r="I216" s="97">
        <v>12690.76710511266</v>
      </c>
      <c r="J216" s="97" t="s">
        <v>414</v>
      </c>
      <c r="K216" s="318">
        <v>1903.6150657668989</v>
      </c>
      <c r="L216" s="319">
        <v>355.58514167157261</v>
      </c>
      <c r="M216" s="319">
        <v>4640.4143331105124</v>
      </c>
      <c r="N216" s="319">
        <v>10271.8459241485</v>
      </c>
      <c r="O216" s="319">
        <v>8575.119729918777</v>
      </c>
      <c r="P216" s="319">
        <v>8299</v>
      </c>
      <c r="Q216" s="320">
        <v>12690.76710511266</v>
      </c>
      <c r="R216" s="340">
        <v>10061.14869594517</v>
      </c>
      <c r="S216" s="439">
        <v>12690.76710511266</v>
      </c>
      <c r="T216" s="326">
        <v>4</v>
      </c>
      <c r="U216" s="378">
        <v>1</v>
      </c>
      <c r="V216" s="439">
        <f>tblPiNAnalysis8[[#This Row],[Final PiN]]</f>
        <v>12690.76710511266</v>
      </c>
      <c r="W216" s="326"/>
      <c r="X216" s="440">
        <f>SUM(tblPiNAnalysis8[[#This Row],[Target (severity 4-5 ranking) 100%]:[Target (severity 3 ranking) 50%]])</f>
        <v>12690.76710511266</v>
      </c>
      <c r="Y216" s="354">
        <f>tblPiNAnalysis8[[#This Row],[Final PiN]]</f>
        <v>12690.76710511266</v>
      </c>
      <c r="Z216" s="326"/>
      <c r="AA216" s="326">
        <f>SUM(tblPiNAnalysis8[[#This Row],[Target (priotitised 1-2 ranking) 100%]:[Target (priotitised 3 ranking) 50%]])</f>
        <v>12690.76710511266</v>
      </c>
    </row>
    <row r="217" spans="1:27" x14ac:dyDescent="0.55000000000000004">
      <c r="A2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7" s="316" t="s">
        <v>342</v>
      </c>
      <c r="C217" s="317" t="s">
        <v>343</v>
      </c>
      <c r="D217" s="317" t="s">
        <v>358</v>
      </c>
      <c r="E217" s="105" t="s">
        <v>359</v>
      </c>
      <c r="F217" s="100"/>
      <c r="G217" s="34"/>
      <c r="H217" s="34"/>
      <c r="I217" s="97">
        <v>24576.329269129605</v>
      </c>
      <c r="J217" s="97" t="s">
        <v>414</v>
      </c>
      <c r="K217" s="318">
        <v>3686.4493903694406</v>
      </c>
      <c r="L217" s="319">
        <v>2643.6265868217333</v>
      </c>
      <c r="M217" s="319">
        <v>9282.5257772875138</v>
      </c>
      <c r="N217" s="319">
        <v>17283.929073371444</v>
      </c>
      <c r="O217" s="319">
        <v>12121.356328320824</v>
      </c>
      <c r="P217" s="319">
        <v>15865</v>
      </c>
      <c r="Q217" s="320">
        <v>12934.91014164716</v>
      </c>
      <c r="R217" s="340">
        <v>20707.832995285127</v>
      </c>
      <c r="S217" s="439">
        <v>20707.832995285127</v>
      </c>
      <c r="T217" s="326">
        <v>3</v>
      </c>
      <c r="U217" s="378">
        <v>3</v>
      </c>
      <c r="V217" s="439"/>
      <c r="W217" s="326">
        <f>tblPiNAnalysis8[[#This Row],[Final PiN]]/2</f>
        <v>10353.916497642564</v>
      </c>
      <c r="X217" s="440">
        <f>SUM(tblPiNAnalysis8[[#This Row],[Target (severity 4-5 ranking) 100%]:[Target (severity 3 ranking) 50%]])</f>
        <v>10353.916497642564</v>
      </c>
      <c r="Y217" s="354"/>
      <c r="Z217" s="326">
        <f>tblPiNAnalysis8[[#This Row],[Final PiN]]/2</f>
        <v>10353.916497642564</v>
      </c>
      <c r="AA217" s="326">
        <f>SUM(tblPiNAnalysis8[[#This Row],[Target (priotitised 1-2 ranking) 100%]:[Target (priotitised 3 ranking) 50%]])</f>
        <v>10353.916497642564</v>
      </c>
    </row>
    <row r="218" spans="1:27" x14ac:dyDescent="0.55000000000000004">
      <c r="A2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8" s="316" t="s">
        <v>342</v>
      </c>
      <c r="C218" s="317" t="s">
        <v>343</v>
      </c>
      <c r="D218" s="317" t="s">
        <v>360</v>
      </c>
      <c r="E218" s="105" t="s">
        <v>361</v>
      </c>
      <c r="F218" s="100"/>
      <c r="G218" s="34"/>
      <c r="H218" s="34"/>
      <c r="I218" s="97">
        <v>1622.427953791605</v>
      </c>
      <c r="J218" s="97" t="s">
        <v>414</v>
      </c>
      <c r="K218" s="318">
        <v>243.36419306874075</v>
      </c>
      <c r="L218" s="319">
        <v>345.82587236292812</v>
      </c>
      <c r="M218" s="319">
        <v>578.16760239038786</v>
      </c>
      <c r="N218" s="319">
        <v>1086.3058597408046</v>
      </c>
      <c r="O218" s="319">
        <v>789.91024757446075</v>
      </c>
      <c r="P218" s="319">
        <v>1135</v>
      </c>
      <c r="Q218" s="320">
        <v>0</v>
      </c>
      <c r="R218" s="340">
        <v>150.22481053625972</v>
      </c>
      <c r="S218" s="439">
        <v>1135</v>
      </c>
      <c r="T218" s="326">
        <v>3</v>
      </c>
      <c r="U218" s="378">
        <v>4</v>
      </c>
      <c r="V218" s="439"/>
      <c r="W218" s="326">
        <f>tblPiNAnalysis8[[#This Row],[Final PiN]]/2</f>
        <v>567.5</v>
      </c>
      <c r="X218" s="440">
        <f>SUM(tblPiNAnalysis8[[#This Row],[Target (severity 4-5 ranking) 100%]:[Target (severity 3 ranking) 50%]])</f>
        <v>567.5</v>
      </c>
      <c r="Y218" s="354"/>
      <c r="Z218" s="326"/>
      <c r="AA218" s="326">
        <f>SUM(tblPiNAnalysis8[[#This Row],[Target (priotitised 1-2 ranking) 100%]:[Target (priotitised 3 ranking) 50%]])</f>
        <v>0</v>
      </c>
    </row>
    <row r="219" spans="1:27" x14ac:dyDescent="0.55000000000000004">
      <c r="A2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9" s="316" t="s">
        <v>342</v>
      </c>
      <c r="C219" s="317" t="s">
        <v>343</v>
      </c>
      <c r="D219" s="317" t="s">
        <v>362</v>
      </c>
      <c r="E219" s="105" t="s">
        <v>363</v>
      </c>
      <c r="F219" s="100"/>
      <c r="G219" s="34"/>
      <c r="H219" s="34"/>
      <c r="I219" s="97">
        <v>4756.8792176598463</v>
      </c>
      <c r="J219" s="97" t="s">
        <v>414</v>
      </c>
      <c r="K219" s="318">
        <v>713.53188264897688</v>
      </c>
      <c r="L219" s="319">
        <v>393.45004247523769</v>
      </c>
      <c r="M219" s="319">
        <v>2302.8572149639735</v>
      </c>
      <c r="N219" s="319">
        <v>3993.3912483369177</v>
      </c>
      <c r="O219" s="319">
        <v>2891.7710180994654</v>
      </c>
      <c r="P219" s="319">
        <v>3620</v>
      </c>
      <c r="Q219" s="320">
        <v>3567.6594132448845</v>
      </c>
      <c r="R219" s="340">
        <v>4540.6574350389437</v>
      </c>
      <c r="S219" s="439">
        <v>4540.6574350389437</v>
      </c>
      <c r="T219" s="326">
        <v>4</v>
      </c>
      <c r="U219" s="378">
        <v>2</v>
      </c>
      <c r="V219" s="439">
        <f>tblPiNAnalysis8[[#This Row],[Final PiN]]</f>
        <v>4540.6574350389437</v>
      </c>
      <c r="W219" s="326"/>
      <c r="X219" s="440">
        <f>SUM(tblPiNAnalysis8[[#This Row],[Target (severity 4-5 ranking) 100%]:[Target (severity 3 ranking) 50%]])</f>
        <v>4540.6574350389437</v>
      </c>
      <c r="Y219" s="354">
        <f>tblPiNAnalysis8[[#This Row],[Final PiN]]</f>
        <v>4540.6574350389437</v>
      </c>
      <c r="Z219" s="326"/>
      <c r="AA219" s="326">
        <f>SUM(tblPiNAnalysis8[[#This Row],[Target (priotitised 1-2 ranking) 100%]:[Target (priotitised 3 ranking) 50%]])</f>
        <v>4540.6574350389437</v>
      </c>
    </row>
    <row r="220" spans="1:27" x14ac:dyDescent="0.55000000000000004">
      <c r="A2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0" s="316" t="s">
        <v>342</v>
      </c>
      <c r="C220" s="317" t="s">
        <v>343</v>
      </c>
      <c r="D220" s="317" t="s">
        <v>364</v>
      </c>
      <c r="E220" s="105" t="s">
        <v>365</v>
      </c>
      <c r="F220" s="100"/>
      <c r="G220" s="34"/>
      <c r="H220" s="34"/>
      <c r="I220" s="97">
        <v>235020.19206222118</v>
      </c>
      <c r="J220" s="97" t="s">
        <v>414</v>
      </c>
      <c r="K220" s="318">
        <v>35253.028809333176</v>
      </c>
      <c r="L220" s="319">
        <v>43043.948176195809</v>
      </c>
      <c r="M220" s="319">
        <v>69811.746562686749</v>
      </c>
      <c r="N220" s="319">
        <v>157164.99172748698</v>
      </c>
      <c r="O220" s="319">
        <v>99310.943787170196</v>
      </c>
      <c r="P220" s="319">
        <v>155152</v>
      </c>
      <c r="Q220" s="320">
        <v>52226.709347160257</v>
      </c>
      <c r="R220" s="340">
        <v>113157.87025218057</v>
      </c>
      <c r="S220" s="439">
        <v>157164.99172748698</v>
      </c>
      <c r="T220" s="326">
        <v>4</v>
      </c>
      <c r="U220" s="378">
        <v>1</v>
      </c>
      <c r="V220" s="439">
        <f>tblPiNAnalysis8[[#This Row],[Final PiN]]</f>
        <v>157164.99172748698</v>
      </c>
      <c r="W220" s="326"/>
      <c r="X220" s="440">
        <f>SUM(tblPiNAnalysis8[[#This Row],[Target (severity 4-5 ranking) 100%]:[Target (severity 3 ranking) 50%]])</f>
        <v>157164.99172748698</v>
      </c>
      <c r="Y220" s="354">
        <f>tblPiNAnalysis8[[#This Row],[Final PiN]]</f>
        <v>157164.99172748698</v>
      </c>
      <c r="Z220" s="326"/>
      <c r="AA220" s="326">
        <f>SUM(tblPiNAnalysis8[[#This Row],[Target (priotitised 1-2 ranking) 100%]:[Target (priotitised 3 ranking) 50%]])</f>
        <v>157164.99172748698</v>
      </c>
    </row>
    <row r="221" spans="1:27" x14ac:dyDescent="0.55000000000000004">
      <c r="A2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1" s="316" t="s">
        <v>342</v>
      </c>
      <c r="C221" s="317" t="s">
        <v>343</v>
      </c>
      <c r="D221" s="317" t="s">
        <v>366</v>
      </c>
      <c r="E221" s="105" t="s">
        <v>367</v>
      </c>
      <c r="F221" s="100"/>
      <c r="G221" s="34"/>
      <c r="H221" s="34"/>
      <c r="I221" s="97">
        <v>44257.266075717678</v>
      </c>
      <c r="J221" s="97" t="s">
        <v>414</v>
      </c>
      <c r="K221" s="318">
        <v>6638.5899113576515</v>
      </c>
      <c r="L221" s="319">
        <v>14377.415457357643</v>
      </c>
      <c r="M221" s="319">
        <v>15943.841592578076</v>
      </c>
      <c r="N221" s="319">
        <v>38531.47105902285</v>
      </c>
      <c r="O221" s="319">
        <v>28532.03421814082</v>
      </c>
      <c r="P221" s="319">
        <v>29257</v>
      </c>
      <c r="Q221" s="320">
        <v>25289.86632898153</v>
      </c>
      <c r="R221" s="340">
        <v>33192.949556788255</v>
      </c>
      <c r="S221" s="439">
        <v>38531.47105902285</v>
      </c>
      <c r="T221" s="326">
        <v>5</v>
      </c>
      <c r="U221" s="378">
        <v>1</v>
      </c>
      <c r="V221" s="439">
        <f>tblPiNAnalysis8[[#This Row],[Final PiN]]</f>
        <v>38531.47105902285</v>
      </c>
      <c r="W221" s="326"/>
      <c r="X221" s="440">
        <f>SUM(tblPiNAnalysis8[[#This Row],[Target (severity 4-5 ranking) 100%]:[Target (severity 3 ranking) 50%]])</f>
        <v>38531.47105902285</v>
      </c>
      <c r="Y221" s="354">
        <f>tblPiNAnalysis8[[#This Row],[Final PiN]]</f>
        <v>38531.47105902285</v>
      </c>
      <c r="Z221" s="326"/>
      <c r="AA221" s="326">
        <f>SUM(tblPiNAnalysis8[[#This Row],[Target (priotitised 1-2 ranking) 100%]:[Target (priotitised 3 ranking) 50%]])</f>
        <v>38531.47105902285</v>
      </c>
    </row>
    <row r="222" spans="1:27" x14ac:dyDescent="0.55000000000000004">
      <c r="A2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2" s="316" t="s">
        <v>368</v>
      </c>
      <c r="C222" s="317" t="s">
        <v>369</v>
      </c>
      <c r="D222" s="317" t="s">
        <v>370</v>
      </c>
      <c r="E222" s="105" t="s">
        <v>371</v>
      </c>
      <c r="F222" s="100"/>
      <c r="G222" s="34"/>
      <c r="H222" s="34"/>
      <c r="I222" s="97">
        <v>34983.329520759507</v>
      </c>
      <c r="J222" s="97" t="s">
        <v>414</v>
      </c>
      <c r="K222" s="318">
        <v>5247.4994281139261</v>
      </c>
      <c r="L222" s="319">
        <v>7413.4293053986139</v>
      </c>
      <c r="M222" s="319">
        <v>12492.153849814778</v>
      </c>
      <c r="N222" s="319">
        <v>20489.716482018473</v>
      </c>
      <c r="O222" s="319">
        <v>16834.613214961206</v>
      </c>
      <c r="P222" s="319">
        <v>23078</v>
      </c>
      <c r="Q222" s="320">
        <v>24660.379826109162</v>
      </c>
      <c r="R222" s="340">
        <v>11661.109840253168</v>
      </c>
      <c r="S222" s="439">
        <v>24660.379826109162</v>
      </c>
      <c r="T222" s="326">
        <v>3</v>
      </c>
      <c r="U222" s="378">
        <v>3</v>
      </c>
      <c r="V222" s="439"/>
      <c r="W222" s="326">
        <f>tblPiNAnalysis8[[#This Row],[Final PiN]]/2</f>
        <v>12330.189913054581</v>
      </c>
      <c r="X222" s="440">
        <f>SUM(tblPiNAnalysis8[[#This Row],[Target (severity 4-5 ranking) 100%]:[Target (severity 3 ranking) 50%]])</f>
        <v>12330.189913054581</v>
      </c>
      <c r="Y222" s="354"/>
      <c r="Z222" s="326">
        <f>tblPiNAnalysis8[[#This Row],[Final PiN]]/2</f>
        <v>12330.189913054581</v>
      </c>
      <c r="AA222" s="326">
        <f>SUM(tblPiNAnalysis8[[#This Row],[Target (priotitised 1-2 ranking) 100%]:[Target (priotitised 3 ranking) 50%]])</f>
        <v>12330.189913054581</v>
      </c>
    </row>
    <row r="223" spans="1:27" x14ac:dyDescent="0.55000000000000004">
      <c r="A2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3" s="316" t="s">
        <v>368</v>
      </c>
      <c r="C223" s="317" t="s">
        <v>369</v>
      </c>
      <c r="D223" s="317" t="s">
        <v>372</v>
      </c>
      <c r="E223" s="105" t="s">
        <v>373</v>
      </c>
      <c r="F223" s="100"/>
      <c r="G223" s="34"/>
      <c r="H223" s="34"/>
      <c r="I223" s="97">
        <v>98408.747432231496</v>
      </c>
      <c r="J223" s="97" t="s">
        <v>414</v>
      </c>
      <c r="K223" s="318">
        <v>14761.312114834724</v>
      </c>
      <c r="L223" s="319">
        <v>22394.770403530743</v>
      </c>
      <c r="M223" s="319">
        <v>35540.933869193272</v>
      </c>
      <c r="N223" s="319">
        <v>52315.662132673438</v>
      </c>
      <c r="O223" s="319">
        <v>49887.945759563932</v>
      </c>
      <c r="P223" s="319">
        <v>65097</v>
      </c>
      <c r="Q223" s="320">
        <v>57990.869022564992</v>
      </c>
      <c r="R223" s="340">
        <v>49204.373716115748</v>
      </c>
      <c r="S223" s="439">
        <v>65097</v>
      </c>
      <c r="T223" s="326">
        <v>3</v>
      </c>
      <c r="U223" s="378">
        <v>3</v>
      </c>
      <c r="V223" s="439"/>
      <c r="W223" s="326">
        <f>tblPiNAnalysis8[[#This Row],[Final PiN]]/2</f>
        <v>32548.5</v>
      </c>
      <c r="X223" s="440">
        <f>SUM(tblPiNAnalysis8[[#This Row],[Target (severity 4-5 ranking) 100%]:[Target (severity 3 ranking) 50%]])</f>
        <v>32548.5</v>
      </c>
      <c r="Y223" s="354"/>
      <c r="Z223" s="326">
        <f>tblPiNAnalysis8[[#This Row],[Final PiN]]/2</f>
        <v>32548.5</v>
      </c>
      <c r="AA223" s="326">
        <f>SUM(tblPiNAnalysis8[[#This Row],[Target (priotitised 1-2 ranking) 100%]:[Target (priotitised 3 ranking) 50%]])</f>
        <v>32548.5</v>
      </c>
    </row>
    <row r="224" spans="1:27" x14ac:dyDescent="0.55000000000000004">
      <c r="A2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4" s="316" t="s">
        <v>368</v>
      </c>
      <c r="C224" s="317" t="s">
        <v>369</v>
      </c>
      <c r="D224" s="317" t="s">
        <v>374</v>
      </c>
      <c r="E224" s="105" t="s">
        <v>375</v>
      </c>
      <c r="F224" s="100"/>
      <c r="G224" s="34"/>
      <c r="H224" s="34"/>
      <c r="I224" s="97">
        <v>17868.834713485074</v>
      </c>
      <c r="J224" s="97" t="s">
        <v>414</v>
      </c>
      <c r="K224" s="318">
        <v>2680.3252070227609</v>
      </c>
      <c r="L224" s="319">
        <v>5845.6498996058772</v>
      </c>
      <c r="M224" s="319">
        <v>7627.3791897194624</v>
      </c>
      <c r="N224" s="319">
        <v>13176.465842066476</v>
      </c>
      <c r="O224" s="319">
        <v>7643.5241742857106</v>
      </c>
      <c r="P224" s="319">
        <v>13713</v>
      </c>
      <c r="Q224" s="320">
        <v>12183.296395558005</v>
      </c>
      <c r="R224" s="340">
        <v>8768.9651834695287</v>
      </c>
      <c r="S224" s="439">
        <v>13713</v>
      </c>
      <c r="T224" s="326">
        <v>4</v>
      </c>
      <c r="U224" s="378">
        <v>2</v>
      </c>
      <c r="V224" s="439">
        <f>tblPiNAnalysis8[[#This Row],[Final PiN]]</f>
        <v>13713</v>
      </c>
      <c r="W224" s="326"/>
      <c r="X224" s="440">
        <f>SUM(tblPiNAnalysis8[[#This Row],[Target (severity 4-5 ranking) 100%]:[Target (severity 3 ranking) 50%]])</f>
        <v>13713</v>
      </c>
      <c r="Y224" s="354">
        <f>tblPiNAnalysis8[[#This Row],[Final PiN]]</f>
        <v>13713</v>
      </c>
      <c r="Z224" s="326"/>
      <c r="AA224" s="326">
        <f>SUM(tblPiNAnalysis8[[#This Row],[Target (priotitised 1-2 ranking) 100%]:[Target (priotitised 3 ranking) 50%]])</f>
        <v>13713</v>
      </c>
    </row>
    <row r="225" spans="1:27" x14ac:dyDescent="0.55000000000000004">
      <c r="A2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5" s="316" t="s">
        <v>368</v>
      </c>
      <c r="C225" s="317" t="s">
        <v>369</v>
      </c>
      <c r="D225" s="317" t="s">
        <v>376</v>
      </c>
      <c r="E225" s="105" t="s">
        <v>377</v>
      </c>
      <c r="F225" s="100"/>
      <c r="G225" s="34"/>
      <c r="H225" s="34"/>
      <c r="I225" s="97">
        <v>13129.238762438523</v>
      </c>
      <c r="J225" s="97" t="s">
        <v>414</v>
      </c>
      <c r="K225" s="318">
        <v>1969.3858143657783</v>
      </c>
      <c r="L225" s="319">
        <v>3481.1651409055244</v>
      </c>
      <c r="M225" s="319">
        <v>4927.9522371892199</v>
      </c>
      <c r="N225" s="319">
        <v>8153.4055458651592</v>
      </c>
      <c r="O225" s="319">
        <v>5919.1551518143524</v>
      </c>
      <c r="P225" s="319">
        <v>8907</v>
      </c>
      <c r="Q225" s="320">
        <v>8951.7537016626302</v>
      </c>
      <c r="R225" s="340">
        <v>7901.8566625787389</v>
      </c>
      <c r="S225" s="439">
        <v>8951.7537016626302</v>
      </c>
      <c r="T225" s="326">
        <v>3</v>
      </c>
      <c r="U225" s="378">
        <v>3</v>
      </c>
      <c r="V225" s="439"/>
      <c r="W225" s="326">
        <f>tblPiNAnalysis8[[#This Row],[Final PiN]]/2</f>
        <v>4475.8768508313151</v>
      </c>
      <c r="X225" s="440">
        <f>SUM(tblPiNAnalysis8[[#This Row],[Target (severity 4-5 ranking) 100%]:[Target (severity 3 ranking) 50%]])</f>
        <v>4475.8768508313151</v>
      </c>
      <c r="Y225" s="354"/>
      <c r="Z225" s="326">
        <f>tblPiNAnalysis8[[#This Row],[Final PiN]]/2</f>
        <v>4475.8768508313151</v>
      </c>
      <c r="AA225" s="326">
        <f>SUM(tblPiNAnalysis8[[#This Row],[Target (priotitised 1-2 ranking) 100%]:[Target (priotitised 3 ranking) 50%]])</f>
        <v>4475.8768508313151</v>
      </c>
    </row>
    <row r="226" spans="1:27" x14ac:dyDescent="0.55000000000000004">
      <c r="A2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6" s="316" t="s">
        <v>368</v>
      </c>
      <c r="C226" s="317" t="s">
        <v>369</v>
      </c>
      <c r="D226" s="317" t="s">
        <v>378</v>
      </c>
      <c r="E226" s="105" t="s">
        <v>379</v>
      </c>
      <c r="F226" s="100"/>
      <c r="G226" s="34"/>
      <c r="H226" s="34"/>
      <c r="I226" s="97">
        <v>8647.438167676999</v>
      </c>
      <c r="J226" s="97" t="s">
        <v>414</v>
      </c>
      <c r="K226" s="318">
        <v>1297.1157251515499</v>
      </c>
      <c r="L226" s="319">
        <v>1343.0984776081723</v>
      </c>
      <c r="M226" s="319">
        <v>3855.9279964630709</v>
      </c>
      <c r="N226" s="319">
        <v>4902.8872654551633</v>
      </c>
      <c r="O226" s="319">
        <v>4930.3563020103575</v>
      </c>
      <c r="P226" s="319">
        <v>6053</v>
      </c>
      <c r="Q226" s="320">
        <v>5228.6835432465577</v>
      </c>
      <c r="R226" s="340">
        <v>6645.7163696036187</v>
      </c>
      <c r="S226" s="439">
        <v>6645.7163696036187</v>
      </c>
      <c r="T226" s="326">
        <v>3</v>
      </c>
      <c r="U226" s="378">
        <v>4</v>
      </c>
      <c r="V226" s="439"/>
      <c r="W226" s="326">
        <f>tblPiNAnalysis8[[#This Row],[Final PiN]]/2</f>
        <v>3322.8581848018093</v>
      </c>
      <c r="X226" s="440">
        <f>SUM(tblPiNAnalysis8[[#This Row],[Target (severity 4-5 ranking) 100%]:[Target (severity 3 ranking) 50%]])</f>
        <v>3322.8581848018093</v>
      </c>
      <c r="Y226" s="354"/>
      <c r="Z226" s="326"/>
      <c r="AA226" s="326">
        <f>SUM(tblPiNAnalysis8[[#This Row],[Target (priotitised 1-2 ranking) 100%]:[Target (priotitised 3 ranking) 50%]])</f>
        <v>0</v>
      </c>
    </row>
    <row r="227" spans="1:27" x14ac:dyDescent="0.55000000000000004">
      <c r="A2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7" s="316" t="s">
        <v>368</v>
      </c>
      <c r="C227" s="317" t="s">
        <v>369</v>
      </c>
      <c r="D227" s="317" t="s">
        <v>380</v>
      </c>
      <c r="E227" s="105" t="s">
        <v>381</v>
      </c>
      <c r="F227" s="100"/>
      <c r="G227" s="34"/>
      <c r="H227" s="34"/>
      <c r="I227" s="97">
        <v>79307.299107857689</v>
      </c>
      <c r="J227" s="97" t="s">
        <v>414</v>
      </c>
      <c r="K227" s="318">
        <v>11896.094866178653</v>
      </c>
      <c r="L227" s="319">
        <v>9739.0949450431381</v>
      </c>
      <c r="M227" s="319">
        <v>32810.821682426264</v>
      </c>
      <c r="N227" s="319">
        <v>46274.274786345559</v>
      </c>
      <c r="O227" s="319">
        <v>47910.869250360593</v>
      </c>
      <c r="P227" s="319">
        <v>33234</v>
      </c>
      <c r="Q227" s="320">
        <v>45123.11845791903</v>
      </c>
      <c r="R227" s="340">
        <v>35982.015335972479</v>
      </c>
      <c r="S227" s="439">
        <v>47910.869250360593</v>
      </c>
      <c r="T227" s="326">
        <v>4</v>
      </c>
      <c r="U227" s="378">
        <v>1</v>
      </c>
      <c r="V227" s="439">
        <f>tblPiNAnalysis8[[#This Row],[Final PiN]]</f>
        <v>47910.869250360593</v>
      </c>
      <c r="W227" s="326"/>
      <c r="X227" s="440">
        <f>SUM(tblPiNAnalysis8[[#This Row],[Target (severity 4-5 ranking) 100%]:[Target (severity 3 ranking) 50%]])</f>
        <v>47910.869250360593</v>
      </c>
      <c r="Y227" s="354">
        <f>tblPiNAnalysis8[[#This Row],[Final PiN]]</f>
        <v>47910.869250360593</v>
      </c>
      <c r="Z227" s="326"/>
      <c r="AA227" s="326">
        <f>SUM(tblPiNAnalysis8[[#This Row],[Target (priotitised 1-2 ranking) 100%]:[Target (priotitised 3 ranking) 50%]])</f>
        <v>47910.869250360593</v>
      </c>
    </row>
    <row r="228" spans="1:27" x14ac:dyDescent="0.55000000000000004">
      <c r="A2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8" s="316" t="s">
        <v>382</v>
      </c>
      <c r="C228" s="317" t="s">
        <v>383</v>
      </c>
      <c r="D228" s="317" t="s">
        <v>384</v>
      </c>
      <c r="E228" s="105" t="s">
        <v>385</v>
      </c>
      <c r="F228" s="100"/>
      <c r="G228" s="34"/>
      <c r="H228" s="34"/>
      <c r="I228" s="97">
        <v>20202.24984559073</v>
      </c>
      <c r="J228" s="97" t="s">
        <v>414</v>
      </c>
      <c r="K228" s="318">
        <v>3030.3374768386093</v>
      </c>
      <c r="L228" s="319">
        <v>4130.4429112803145</v>
      </c>
      <c r="M228" s="319">
        <v>6199.331577511226</v>
      </c>
      <c r="N228" s="319">
        <v>6182.5606374466261</v>
      </c>
      <c r="O228" s="319">
        <v>10500.549384030208</v>
      </c>
      <c r="P228" s="319">
        <v>13430</v>
      </c>
      <c r="Q228" s="320">
        <v>11223.472136439294</v>
      </c>
      <c r="R228" s="340">
        <v>14403.455908430427</v>
      </c>
      <c r="S228" s="439">
        <v>14403.455908430427</v>
      </c>
      <c r="T228" s="326">
        <v>3</v>
      </c>
      <c r="U228" s="378">
        <v>4</v>
      </c>
      <c r="V228" s="439"/>
      <c r="W228" s="326">
        <f>tblPiNAnalysis8[[#This Row],[Final PiN]]/2</f>
        <v>7201.7279542152137</v>
      </c>
      <c r="X228" s="440">
        <f>SUM(tblPiNAnalysis8[[#This Row],[Target (severity 4-5 ranking) 100%]:[Target (severity 3 ranking) 50%]])</f>
        <v>7201.7279542152137</v>
      </c>
      <c r="Y228" s="354"/>
      <c r="Z228" s="326"/>
      <c r="AA228" s="326">
        <f>SUM(tblPiNAnalysis8[[#This Row],[Target (priotitised 1-2 ranking) 100%]:[Target (priotitised 3 ranking) 50%]])</f>
        <v>0</v>
      </c>
    </row>
    <row r="229" spans="1:27" x14ac:dyDescent="0.55000000000000004">
      <c r="A2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9" s="316" t="s">
        <v>382</v>
      </c>
      <c r="C229" s="317" t="s">
        <v>383</v>
      </c>
      <c r="D229" s="317" t="s">
        <v>386</v>
      </c>
      <c r="E229" s="105" t="s">
        <v>387</v>
      </c>
      <c r="F229" s="100"/>
      <c r="G229" s="34"/>
      <c r="H229" s="34"/>
      <c r="I229" s="97">
        <v>28676.523493080207</v>
      </c>
      <c r="J229" s="97" t="s">
        <v>414</v>
      </c>
      <c r="K229" s="318">
        <v>4301.4785239620305</v>
      </c>
      <c r="L229" s="319">
        <v>7547.8473807814153</v>
      </c>
      <c r="M229" s="319">
        <v>9034.1005309117991</v>
      </c>
      <c r="N229" s="319">
        <v>14917.237217909655</v>
      </c>
      <c r="O229" s="319">
        <v>14871.963856483533</v>
      </c>
      <c r="P229" s="319">
        <v>19279</v>
      </c>
      <c r="Q229" s="320">
        <v>20899.83915597371</v>
      </c>
      <c r="R229" s="340">
        <v>7434.6542389467213</v>
      </c>
      <c r="S229" s="439">
        <v>20899.83915597371</v>
      </c>
      <c r="T229" s="326">
        <v>3</v>
      </c>
      <c r="U229" s="378">
        <v>3</v>
      </c>
      <c r="V229" s="439"/>
      <c r="W229" s="326">
        <f>tblPiNAnalysis8[[#This Row],[Final PiN]]/2</f>
        <v>10449.919577986855</v>
      </c>
      <c r="X229" s="440">
        <f>SUM(tblPiNAnalysis8[[#This Row],[Target (severity 4-5 ranking) 100%]:[Target (severity 3 ranking) 50%]])</f>
        <v>10449.919577986855</v>
      </c>
      <c r="Y229" s="354"/>
      <c r="Z229" s="326">
        <f>tblPiNAnalysis8[[#This Row],[Final PiN]]/2</f>
        <v>10449.919577986855</v>
      </c>
      <c r="AA229" s="326">
        <f>SUM(tblPiNAnalysis8[[#This Row],[Target (priotitised 1-2 ranking) 100%]:[Target (priotitised 3 ranking) 50%]])</f>
        <v>10449.919577986855</v>
      </c>
    </row>
    <row r="230" spans="1:27" x14ac:dyDescent="0.55000000000000004">
      <c r="A2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0" s="316" t="s">
        <v>382</v>
      </c>
      <c r="C230" s="317" t="s">
        <v>383</v>
      </c>
      <c r="D230" s="317" t="s">
        <v>388</v>
      </c>
      <c r="E230" s="105" t="s">
        <v>389</v>
      </c>
      <c r="F230" s="100"/>
      <c r="G230" s="34"/>
      <c r="H230" s="34"/>
      <c r="I230" s="97">
        <v>47646.035148118463</v>
      </c>
      <c r="J230" s="97" t="s">
        <v>414</v>
      </c>
      <c r="K230" s="318">
        <v>7146.9052722177694</v>
      </c>
      <c r="L230" s="319">
        <v>6494.4214084853766</v>
      </c>
      <c r="M230" s="319">
        <v>14934.166989641053</v>
      </c>
      <c r="N230" s="319">
        <v>23618.765949974742</v>
      </c>
      <c r="O230" s="319">
        <v>21699.970696247929</v>
      </c>
      <c r="P230" s="319">
        <v>31618</v>
      </c>
      <c r="Q230" s="320">
        <v>27488.097200837576</v>
      </c>
      <c r="R230" s="340">
        <v>20734.848629273776</v>
      </c>
      <c r="S230" s="439">
        <v>31618</v>
      </c>
      <c r="T230" s="326">
        <v>3</v>
      </c>
      <c r="U230" s="378">
        <v>4</v>
      </c>
      <c r="V230" s="439"/>
      <c r="W230" s="326">
        <f>tblPiNAnalysis8[[#This Row],[Final PiN]]/2</f>
        <v>15809</v>
      </c>
      <c r="X230" s="440">
        <f>SUM(tblPiNAnalysis8[[#This Row],[Target (severity 4-5 ranking) 100%]:[Target (severity 3 ranking) 50%]])</f>
        <v>15809</v>
      </c>
      <c r="Y230" s="354"/>
      <c r="Z230" s="326"/>
      <c r="AA230" s="326">
        <f>SUM(tblPiNAnalysis8[[#This Row],[Target (priotitised 1-2 ranking) 100%]:[Target (priotitised 3 ranking) 50%]])</f>
        <v>0</v>
      </c>
    </row>
    <row r="231" spans="1:27" x14ac:dyDescent="0.55000000000000004">
      <c r="A2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1" s="316" t="s">
        <v>390</v>
      </c>
      <c r="C231" s="317" t="s">
        <v>391</v>
      </c>
      <c r="D231" s="317" t="s">
        <v>392</v>
      </c>
      <c r="E231" s="105" t="s">
        <v>393</v>
      </c>
      <c r="F231" s="100"/>
      <c r="G231" s="34"/>
      <c r="H231" s="34"/>
      <c r="I231" s="97">
        <v>3661</v>
      </c>
      <c r="J231" s="97" t="s">
        <v>414</v>
      </c>
      <c r="K231" s="318">
        <v>549.15</v>
      </c>
      <c r="L231" s="319">
        <v>805.27539049999984</v>
      </c>
      <c r="M231" s="319">
        <v>1372.115900864655</v>
      </c>
      <c r="N231" s="319">
        <v>654.49499948243829</v>
      </c>
      <c r="O231" s="319">
        <v>1809.4480634899089</v>
      </c>
      <c r="P231" s="319">
        <v>1902</v>
      </c>
      <c r="Q231" s="320">
        <v>1464.4</v>
      </c>
      <c r="R231" s="340">
        <v>2711.8518518518522</v>
      </c>
      <c r="S231" s="439">
        <v>2711.8518518518522</v>
      </c>
      <c r="T231" s="326">
        <v>3</v>
      </c>
      <c r="U231" s="378">
        <v>3</v>
      </c>
      <c r="V231" s="439"/>
      <c r="W231" s="326">
        <f>tblPiNAnalysis8[[#This Row],[Final PiN]]/2</f>
        <v>1355.9259259259261</v>
      </c>
      <c r="X231" s="440">
        <f>SUM(tblPiNAnalysis8[[#This Row],[Target (severity 4-5 ranking) 100%]:[Target (severity 3 ranking) 50%]])</f>
        <v>1355.9259259259261</v>
      </c>
      <c r="Y231" s="354"/>
      <c r="Z231" s="326">
        <f>tblPiNAnalysis8[[#This Row],[Final PiN]]/2</f>
        <v>1355.9259259259261</v>
      </c>
      <c r="AA231" s="326">
        <f>SUM(tblPiNAnalysis8[[#This Row],[Target (priotitised 1-2 ranking) 100%]:[Target (priotitised 3 ranking) 50%]])</f>
        <v>1355.9259259259261</v>
      </c>
    </row>
    <row r="232" spans="1:27" x14ac:dyDescent="0.55000000000000004">
      <c r="A2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2" s="316" t="s">
        <v>390</v>
      </c>
      <c r="C232" s="317" t="s">
        <v>391</v>
      </c>
      <c r="D232" s="317" t="s">
        <v>394</v>
      </c>
      <c r="E232" s="105" t="s">
        <v>395</v>
      </c>
      <c r="F232" s="100"/>
      <c r="G232" s="34"/>
      <c r="H232" s="34"/>
      <c r="I232" s="97">
        <v>1463.1428571428601</v>
      </c>
      <c r="J232" s="97" t="s">
        <v>414</v>
      </c>
      <c r="K232" s="318">
        <v>219.47142857142902</v>
      </c>
      <c r="L232" s="319">
        <v>209.6127720000004</v>
      </c>
      <c r="M232" s="319">
        <v>493.86726857254502</v>
      </c>
      <c r="N232" s="319">
        <v>368.66869819399255</v>
      </c>
      <c r="O232" s="319">
        <v>636.05586257138452</v>
      </c>
      <c r="P232" s="319">
        <v>765</v>
      </c>
      <c r="Q232" s="320">
        <v>585.257142857144</v>
      </c>
      <c r="R232" s="340">
        <v>1246.3809523809548</v>
      </c>
      <c r="S232" s="439">
        <v>1246.3809523809548</v>
      </c>
      <c r="T232" s="326">
        <v>3</v>
      </c>
      <c r="U232" s="378">
        <v>5</v>
      </c>
      <c r="V232" s="439"/>
      <c r="W232" s="326">
        <f>tblPiNAnalysis8[[#This Row],[Final PiN]]/2</f>
        <v>623.1904761904774</v>
      </c>
      <c r="X232" s="440">
        <f>SUM(tblPiNAnalysis8[[#This Row],[Target (severity 4-5 ranking) 100%]:[Target (severity 3 ranking) 50%]])</f>
        <v>623.1904761904774</v>
      </c>
      <c r="Y232" s="354"/>
      <c r="Z232" s="326"/>
      <c r="AA232" s="326">
        <f>SUM(tblPiNAnalysis8[[#This Row],[Target (priotitised 1-2 ranking) 100%]:[Target (priotitised 3 ranking) 50%]])</f>
        <v>0</v>
      </c>
    </row>
    <row r="233" spans="1:27" x14ac:dyDescent="0.55000000000000004">
      <c r="A2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3" s="316" t="s">
        <v>390</v>
      </c>
      <c r="C233" s="317" t="s">
        <v>391</v>
      </c>
      <c r="D233" s="317" t="s">
        <v>396</v>
      </c>
      <c r="E233" s="105" t="s">
        <v>397</v>
      </c>
      <c r="F233" s="100"/>
      <c r="G233" s="34"/>
      <c r="H233" s="34"/>
      <c r="I233" s="97">
        <v>688</v>
      </c>
      <c r="J233" s="97" t="s">
        <v>414</v>
      </c>
      <c r="K233" s="318">
        <v>103.2</v>
      </c>
      <c r="L233" s="319">
        <v>107.43986879999999</v>
      </c>
      <c r="M233" s="319">
        <v>303.0168485540961</v>
      </c>
      <c r="N233" s="319">
        <v>174.49196153942614</v>
      </c>
      <c r="O233" s="319">
        <v>270.21792453378356</v>
      </c>
      <c r="P233" s="319">
        <v>482</v>
      </c>
      <c r="Q233" s="320">
        <v>516</v>
      </c>
      <c r="R233" s="340">
        <v>496.88888888888886</v>
      </c>
      <c r="S233" s="439">
        <v>516</v>
      </c>
      <c r="T233" s="326">
        <v>3</v>
      </c>
      <c r="U233" s="378">
        <v>5</v>
      </c>
      <c r="V233" s="439"/>
      <c r="W233" s="326">
        <f>tblPiNAnalysis8[[#This Row],[Final PiN]]/2</f>
        <v>258</v>
      </c>
      <c r="X233" s="440">
        <f>SUM(tblPiNAnalysis8[[#This Row],[Target (severity 4-5 ranking) 100%]:[Target (severity 3 ranking) 50%]])</f>
        <v>258</v>
      </c>
      <c r="Y233" s="354"/>
      <c r="Z233" s="326"/>
      <c r="AA233" s="326">
        <f>SUM(tblPiNAnalysis8[[#This Row],[Target (priotitised 1-2 ranking) 100%]:[Target (priotitised 3 ranking) 50%]])</f>
        <v>0</v>
      </c>
    </row>
    <row r="234" spans="1:27" x14ac:dyDescent="0.55000000000000004">
      <c r="A2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4" s="316" t="s">
        <v>390</v>
      </c>
      <c r="C234" s="317" t="s">
        <v>391</v>
      </c>
      <c r="D234" s="317" t="s">
        <v>398</v>
      </c>
      <c r="E234" s="105" t="s">
        <v>399</v>
      </c>
      <c r="F234" s="100"/>
      <c r="G234" s="34"/>
      <c r="H234" s="34"/>
      <c r="I234" s="97">
        <v>5019</v>
      </c>
      <c r="J234" s="97" t="s">
        <v>414</v>
      </c>
      <c r="K234" s="318">
        <v>752.85</v>
      </c>
      <c r="L234" s="319">
        <v>78.894664800000015</v>
      </c>
      <c r="M234" s="319">
        <v>2034.152637362987</v>
      </c>
      <c r="N234" s="319">
        <v>2159.001427823719</v>
      </c>
      <c r="O234" s="319">
        <v>2420.3032000838125</v>
      </c>
      <c r="P234" s="319">
        <v>2794</v>
      </c>
      <c r="Q234" s="320">
        <v>1892.4098360655737</v>
      </c>
      <c r="R234" s="340">
        <v>3113.6388888888891</v>
      </c>
      <c r="S234" s="439">
        <v>3113.6388888888891</v>
      </c>
      <c r="T234" s="326">
        <v>3</v>
      </c>
      <c r="U234" s="378">
        <v>5</v>
      </c>
      <c r="V234" s="439"/>
      <c r="W234" s="326">
        <f>tblPiNAnalysis8[[#This Row],[Final PiN]]/2</f>
        <v>1556.8194444444446</v>
      </c>
      <c r="X234" s="440">
        <f>SUM(tblPiNAnalysis8[[#This Row],[Target (severity 4-5 ranking) 100%]:[Target (severity 3 ranking) 50%]])</f>
        <v>1556.8194444444446</v>
      </c>
      <c r="Y234" s="354"/>
      <c r="Z234" s="326"/>
      <c r="AA234" s="326">
        <f>SUM(tblPiNAnalysis8[[#This Row],[Target (priotitised 1-2 ranking) 100%]:[Target (priotitised 3 ranking) 50%]])</f>
        <v>0</v>
      </c>
    </row>
    <row r="235" spans="1:27" x14ac:dyDescent="0.55000000000000004">
      <c r="A2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5" s="316" t="s">
        <v>390</v>
      </c>
      <c r="C235" s="317" t="s">
        <v>391</v>
      </c>
      <c r="D235" s="317" t="s">
        <v>400</v>
      </c>
      <c r="E235" s="105" t="s">
        <v>401</v>
      </c>
      <c r="F235" s="100"/>
      <c r="G235" s="34"/>
      <c r="H235" s="34"/>
      <c r="I235" s="97">
        <v>2319</v>
      </c>
      <c r="J235" s="97" t="s">
        <v>414</v>
      </c>
      <c r="K235" s="318">
        <v>347.84999999999997</v>
      </c>
      <c r="L235" s="319">
        <v>190.59397199999998</v>
      </c>
      <c r="M235" s="319">
        <v>960.62743263091625</v>
      </c>
      <c r="N235" s="319">
        <v>891.58596384741622</v>
      </c>
      <c r="O235" s="319">
        <v>1150.5166343396793</v>
      </c>
      <c r="P235" s="319">
        <v>1623</v>
      </c>
      <c r="Q235" s="320">
        <v>1578.2083333333333</v>
      </c>
      <c r="R235" s="340">
        <v>878.40909090909099</v>
      </c>
      <c r="S235" s="439">
        <v>1623</v>
      </c>
      <c r="T235" s="326">
        <v>3</v>
      </c>
      <c r="U235" s="378">
        <v>5</v>
      </c>
      <c r="V235" s="439"/>
      <c r="W235" s="326">
        <f>tblPiNAnalysis8[[#This Row],[Final PiN]]/2</f>
        <v>811.5</v>
      </c>
      <c r="X235" s="440">
        <f>SUM(tblPiNAnalysis8[[#This Row],[Target (severity 4-5 ranking) 100%]:[Target (severity 3 ranking) 50%]])</f>
        <v>811.5</v>
      </c>
      <c r="Y235" s="354"/>
      <c r="Z235" s="326"/>
      <c r="AA235" s="326">
        <f>SUM(tblPiNAnalysis8[[#This Row],[Target (priotitised 1-2 ranking) 100%]:[Target (priotitised 3 ranking) 50%]])</f>
        <v>0</v>
      </c>
    </row>
    <row r="236" spans="1:27" x14ac:dyDescent="0.55000000000000004">
      <c r="A2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6" s="316" t="s">
        <v>390</v>
      </c>
      <c r="C236" s="317" t="s">
        <v>391</v>
      </c>
      <c r="D236" s="317" t="s">
        <v>402</v>
      </c>
      <c r="E236" s="105" t="s">
        <v>403</v>
      </c>
      <c r="F236" s="100"/>
      <c r="G236" s="34"/>
      <c r="H236" s="34"/>
      <c r="I236" s="97">
        <v>4934</v>
      </c>
      <c r="J236" s="97" t="s">
        <v>414</v>
      </c>
      <c r="K236" s="318">
        <v>740.1</v>
      </c>
      <c r="L236" s="319">
        <v>399.89083199999999</v>
      </c>
      <c r="M236" s="319">
        <v>1713.0999138081784</v>
      </c>
      <c r="N236" s="319">
        <v>2851.7811157245615</v>
      </c>
      <c r="O236" s="319">
        <v>2276.5651665888586</v>
      </c>
      <c r="P236" s="319">
        <v>2682</v>
      </c>
      <c r="Q236" s="320">
        <v>3981.8245614035086</v>
      </c>
      <c r="R236" s="340">
        <v>2284.2592592592591</v>
      </c>
      <c r="S236" s="439">
        <v>3981.8245614035086</v>
      </c>
      <c r="T236" s="326">
        <v>3</v>
      </c>
      <c r="U236" s="378">
        <v>5</v>
      </c>
      <c r="V236" s="439"/>
      <c r="W236" s="326">
        <f>tblPiNAnalysis8[[#This Row],[Final PiN]]/2</f>
        <v>1990.9122807017543</v>
      </c>
      <c r="X236" s="440">
        <f>SUM(tblPiNAnalysis8[[#This Row],[Target (severity 4-5 ranking) 100%]:[Target (severity 3 ranking) 50%]])</f>
        <v>1990.9122807017543</v>
      </c>
      <c r="Y236" s="354"/>
      <c r="Z236" s="326"/>
      <c r="AA236" s="326">
        <f>SUM(tblPiNAnalysis8[[#This Row],[Target (priotitised 1-2 ranking) 100%]:[Target (priotitised 3 ranking) 50%]])</f>
        <v>0</v>
      </c>
    </row>
    <row r="237" spans="1:27" x14ac:dyDescent="0.55000000000000004">
      <c r="A2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7" s="316" t="s">
        <v>390</v>
      </c>
      <c r="C237" s="317" t="s">
        <v>391</v>
      </c>
      <c r="D237" s="317" t="s">
        <v>404</v>
      </c>
      <c r="E237" s="105" t="s">
        <v>405</v>
      </c>
      <c r="F237" s="100"/>
      <c r="G237" s="34"/>
      <c r="H237" s="34"/>
      <c r="I237" s="97">
        <v>0</v>
      </c>
      <c r="J237" s="97" t="s">
        <v>414</v>
      </c>
      <c r="K237" s="318">
        <v>0</v>
      </c>
      <c r="L237" s="319">
        <v>0</v>
      </c>
      <c r="M237" s="319">
        <v>0</v>
      </c>
      <c r="N237" s="319">
        <v>0</v>
      </c>
      <c r="O237" s="319">
        <v>0</v>
      </c>
      <c r="P237" s="319">
        <v>0</v>
      </c>
      <c r="Q237" s="320">
        <v>0</v>
      </c>
      <c r="R237" s="340">
        <v>0</v>
      </c>
      <c r="S237" s="439">
        <v>0</v>
      </c>
      <c r="T237" s="326">
        <v>4</v>
      </c>
      <c r="U237" s="378">
        <v>2</v>
      </c>
      <c r="V237" s="439">
        <f>tblPiNAnalysis8[[#This Row],[Final PiN]]</f>
        <v>0</v>
      </c>
      <c r="W237" s="326"/>
      <c r="X237" s="440">
        <f>SUM(tblPiNAnalysis8[[#This Row],[Target (severity 4-5 ranking) 100%]:[Target (severity 3 ranking) 50%]])</f>
        <v>0</v>
      </c>
      <c r="Y237" s="354">
        <f>tblPiNAnalysis8[[#This Row],[Final PiN]]</f>
        <v>0</v>
      </c>
      <c r="Z237" s="326"/>
      <c r="AA237" s="326">
        <f>SUM(tblPiNAnalysis8[[#This Row],[Target (priotitised 1-2 ranking) 100%]:[Target (priotitised 3 ranking) 50%]])</f>
        <v>0</v>
      </c>
    </row>
    <row r="238" spans="1:27" x14ac:dyDescent="0.55000000000000004">
      <c r="A2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8" s="316" t="s">
        <v>390</v>
      </c>
      <c r="C238" s="317" t="s">
        <v>391</v>
      </c>
      <c r="D238" s="317" t="s">
        <v>406</v>
      </c>
      <c r="E238" s="105" t="s">
        <v>407</v>
      </c>
      <c r="F238" s="100"/>
      <c r="G238" s="34"/>
      <c r="H238" s="34"/>
      <c r="I238" s="97">
        <v>375</v>
      </c>
      <c r="J238" s="97" t="s">
        <v>414</v>
      </c>
      <c r="K238" s="318">
        <v>56.25</v>
      </c>
      <c r="L238" s="319">
        <v>71.836050000000014</v>
      </c>
      <c r="M238" s="319">
        <v>154.24426865262288</v>
      </c>
      <c r="N238" s="319">
        <v>72.83154889829467</v>
      </c>
      <c r="O238" s="319">
        <v>162.93212727173531</v>
      </c>
      <c r="P238" s="319">
        <v>263</v>
      </c>
      <c r="Q238" s="320">
        <v>375</v>
      </c>
      <c r="R238" s="340">
        <v>295.13888888888886</v>
      </c>
      <c r="S238" s="439">
        <v>375</v>
      </c>
      <c r="T238" s="326">
        <v>3</v>
      </c>
      <c r="U238" s="378">
        <v>5</v>
      </c>
      <c r="V238" s="439"/>
      <c r="W238" s="326">
        <f>tblPiNAnalysis8[[#This Row],[Final PiN]]/2</f>
        <v>187.5</v>
      </c>
      <c r="X238" s="440">
        <f>SUM(tblPiNAnalysis8[[#This Row],[Target (severity 4-5 ranking) 100%]:[Target (severity 3 ranking) 50%]])</f>
        <v>187.5</v>
      </c>
      <c r="Y238" s="354"/>
      <c r="Z238" s="326"/>
      <c r="AA238" s="326">
        <f>SUM(tblPiNAnalysis8[[#This Row],[Target (priotitised 1-2 ranking) 100%]:[Target (priotitised 3 ranking) 50%]])</f>
        <v>0</v>
      </c>
    </row>
    <row r="239" spans="1:27" x14ac:dyDescent="0.55000000000000004">
      <c r="A2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9" s="316" t="s">
        <v>390</v>
      </c>
      <c r="C239" s="317" t="s">
        <v>391</v>
      </c>
      <c r="D239" s="317" t="s">
        <v>408</v>
      </c>
      <c r="E239" s="105" t="s">
        <v>409</v>
      </c>
      <c r="F239" s="100"/>
      <c r="G239" s="34"/>
      <c r="H239" s="34"/>
      <c r="I239" s="97">
        <v>2118.1428571428601</v>
      </c>
      <c r="J239" s="97" t="s">
        <v>414</v>
      </c>
      <c r="K239" s="318">
        <v>317.72142857142899</v>
      </c>
      <c r="L239" s="319">
        <v>426.52830900000049</v>
      </c>
      <c r="M239" s="319">
        <v>697.85443144825274</v>
      </c>
      <c r="N239" s="319">
        <v>910.43538781819404</v>
      </c>
      <c r="O239" s="319">
        <v>1288.5202770589237</v>
      </c>
      <c r="P239" s="319">
        <v>1551</v>
      </c>
      <c r="Q239" s="320">
        <v>2118.1428571428601</v>
      </c>
      <c r="R239" s="340">
        <v>1627.8320105820128</v>
      </c>
      <c r="S239" s="439">
        <v>2118.1428571428601</v>
      </c>
      <c r="T239" s="326">
        <v>4</v>
      </c>
      <c r="U239" s="378">
        <v>2</v>
      </c>
      <c r="V239" s="439">
        <f>tblPiNAnalysis8[[#This Row],[Final PiN]]</f>
        <v>2118.1428571428601</v>
      </c>
      <c r="W239" s="326"/>
      <c r="X239" s="440">
        <f>SUM(tblPiNAnalysis8[[#This Row],[Target (severity 4-5 ranking) 100%]:[Target (severity 3 ranking) 50%]])</f>
        <v>2118.1428571428601</v>
      </c>
      <c r="Y239" s="354">
        <f>tblPiNAnalysis8[[#This Row],[Final PiN]]</f>
        <v>2118.1428571428601</v>
      </c>
      <c r="Z239" s="326"/>
      <c r="AA239" s="326">
        <f>SUM(tblPiNAnalysis8[[#This Row],[Target (priotitised 1-2 ranking) 100%]:[Target (priotitised 3 ranking) 50%]])</f>
        <v>2118.1428571428601</v>
      </c>
    </row>
    <row r="240" spans="1:27" ht="14.7" thickBot="1" x14ac:dyDescent="0.6">
      <c r="A2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0" s="316" t="s">
        <v>390</v>
      </c>
      <c r="C240" s="317" t="s">
        <v>391</v>
      </c>
      <c r="D240" s="317" t="s">
        <v>410</v>
      </c>
      <c r="E240" s="105" t="s">
        <v>411</v>
      </c>
      <c r="F240" s="100"/>
      <c r="G240" s="34"/>
      <c r="H240" s="34"/>
      <c r="I240" s="97">
        <v>7750</v>
      </c>
      <c r="J240" s="97" t="s">
        <v>414</v>
      </c>
      <c r="K240" s="318">
        <v>1162.5</v>
      </c>
      <c r="L240" s="319">
        <v>1435.114</v>
      </c>
      <c r="M240" s="319">
        <v>2568.044207503222</v>
      </c>
      <c r="N240" s="319">
        <v>1965.3678550191587</v>
      </c>
      <c r="O240" s="319">
        <v>3793.3158280108482</v>
      </c>
      <c r="P240" s="319">
        <v>5936</v>
      </c>
      <c r="Q240" s="320">
        <v>5904.7619047619046</v>
      </c>
      <c r="R240" s="340">
        <v>5812.5</v>
      </c>
      <c r="S240" s="441">
        <v>5936</v>
      </c>
      <c r="T240" s="442">
        <v>3</v>
      </c>
      <c r="U240" s="444">
        <v>5</v>
      </c>
      <c r="V240" s="439"/>
      <c r="W240" s="326">
        <f>tblPiNAnalysis8[[#This Row],[Final PiN]]/2</f>
        <v>2968</v>
      </c>
      <c r="X240" s="440">
        <f>SUM(tblPiNAnalysis8[[#This Row],[Target (severity 4-5 ranking) 100%]:[Target (severity 3 ranking) 50%]])</f>
        <v>2968</v>
      </c>
      <c r="Y240" s="354"/>
      <c r="Z240" s="326"/>
      <c r="AA240" s="326">
        <f>SUM(tblPiNAnalysis8[[#This Row],[Target (priotitised 1-2 ranking) 100%]:[Target (priotitised 3 ranking) 50%]])</f>
        <v>0</v>
      </c>
    </row>
  </sheetData>
  <mergeCells count="3">
    <mergeCell ref="B2:G2"/>
    <mergeCell ref="I2:J2"/>
    <mergeCell ref="K2:R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E69F-9856-4D47-A31A-7469FA8D9F17}">
  <sheetPr codeName="Sheet6">
    <tabColor theme="7" tint="0.59999389629810485"/>
  </sheetPr>
  <dimension ref="A1:CF241"/>
  <sheetViews>
    <sheetView showGridLines="0" zoomScaleNormal="100" workbookViewId="0">
      <pane ySplit="3" topLeftCell="A253" activePane="bottomLeft" state="frozen"/>
      <selection activeCell="R19" sqref="R19"/>
      <selection pane="bottomLeft" activeCell="I1" sqref="E1:I1048576"/>
    </sheetView>
  </sheetViews>
  <sheetFormatPr defaultColWidth="8.578125" defaultRowHeight="14.4" x14ac:dyDescent="0.55000000000000004"/>
  <cols>
    <col min="1" max="1" width="14.41796875" style="68" customWidth="1"/>
    <col min="2" max="2" width="12.68359375" style="107" customWidth="1"/>
    <col min="3" max="3" width="13.83984375" style="107" customWidth="1"/>
    <col min="4" max="4" width="22.68359375" style="107" bestFit="1" customWidth="1"/>
    <col min="5" max="5" width="13.578125" style="107" customWidth="1"/>
    <col min="6" max="6" width="6.83984375" style="14" customWidth="1"/>
    <col min="7" max="7" width="7.15625" style="14" customWidth="1"/>
    <col min="8" max="8" width="17.578125" style="14" customWidth="1"/>
    <col min="9" max="9" width="12.15625" style="15" bestFit="1" customWidth="1"/>
    <col min="10" max="10" width="13.578125" style="15" customWidth="1"/>
    <col min="11" max="11" width="10.26171875" style="22" bestFit="1" customWidth="1"/>
    <col min="12" max="12" width="13.15625" style="15" bestFit="1" customWidth="1"/>
    <col min="13" max="13" width="12" style="15" bestFit="1" customWidth="1"/>
    <col min="14" max="14" width="16" style="15" bestFit="1" customWidth="1"/>
    <col min="15" max="15" width="10.578125" style="15" bestFit="1" customWidth="1"/>
    <col min="16" max="16" width="14" style="15" customWidth="1"/>
    <col min="17" max="17" width="10.83984375" style="15" bestFit="1" customWidth="1"/>
    <col min="18" max="18" width="10.68359375" style="15" customWidth="1"/>
    <col min="19" max="20" width="9.15625" style="15" bestFit="1" customWidth="1"/>
    <col min="21" max="21" width="14.41796875" style="15" bestFit="1" customWidth="1"/>
    <col min="22" max="22" width="9.15625" style="15" customWidth="1"/>
    <col min="23" max="23" width="12.26171875" style="15" bestFit="1" customWidth="1"/>
    <col min="24" max="24" width="14.41796875" style="15" bestFit="1" customWidth="1"/>
    <col min="25" max="25" width="13.41796875" style="15" bestFit="1" customWidth="1"/>
    <col min="26" max="26" width="13.26171875" style="15" bestFit="1" customWidth="1"/>
    <col min="27" max="27" width="12.15625" style="15" bestFit="1" customWidth="1"/>
    <col min="28" max="28" width="15.68359375" bestFit="1" customWidth="1"/>
    <col min="29" max="29" width="12.83984375" bestFit="1" customWidth="1"/>
    <col min="30" max="30" width="12.15625" bestFit="1" customWidth="1"/>
    <col min="31" max="31" width="17.68359375" bestFit="1" customWidth="1"/>
    <col min="32" max="32" width="17.83984375" style="15" bestFit="1" customWidth="1"/>
    <col min="33" max="33" width="15.68359375" style="15" bestFit="1" customWidth="1"/>
    <col min="34" max="34" width="10" style="15" bestFit="1" customWidth="1"/>
    <col min="35" max="35" width="14.41796875" style="15" bestFit="1" customWidth="1"/>
    <col min="36" max="36" width="19.68359375" style="15" customWidth="1"/>
    <col min="37" max="37" width="23.83984375" style="15" bestFit="1" customWidth="1"/>
    <col min="38" max="38" width="22" style="13" bestFit="1" customWidth="1"/>
    <col min="39" max="39" width="20.26171875" style="15" bestFit="1" customWidth="1"/>
    <col min="40" max="40" width="26.15625" bestFit="1" customWidth="1"/>
    <col min="41" max="41" width="17.578125" style="22" bestFit="1" customWidth="1"/>
    <col min="42" max="42" width="21.83984375" style="13" bestFit="1" customWidth="1"/>
    <col min="43" max="43" width="24.26171875" style="19" bestFit="1" customWidth="1"/>
    <col min="44" max="44" width="25.26171875" style="13" bestFit="1" customWidth="1"/>
    <col min="45" max="45" width="23.578125" style="13" bestFit="1" customWidth="1"/>
    <col min="46" max="46" width="32" bestFit="1" customWidth="1"/>
    <col min="47" max="47" width="17.26171875" style="32" bestFit="1" customWidth="1"/>
    <col min="48" max="48" width="21.41796875" style="13" bestFit="1" customWidth="1"/>
    <col min="49" max="49" width="24.41796875" style="2" bestFit="1" customWidth="1"/>
    <col min="50" max="50" width="25.26171875" style="13" bestFit="1" customWidth="1"/>
    <col min="51" max="51" width="28.26171875" bestFit="1" customWidth="1"/>
    <col min="52" max="52" width="26.578125" bestFit="1" customWidth="1"/>
    <col min="53" max="53" width="27.578125" bestFit="1" customWidth="1"/>
    <col min="54" max="54" width="27.578125" style="22" bestFit="1" customWidth="1"/>
    <col min="55" max="55" width="24.68359375" style="22" bestFit="1" customWidth="1"/>
    <col min="56" max="56" width="27.578125" bestFit="1" customWidth="1"/>
    <col min="57" max="57" width="11.68359375" style="22" bestFit="1" customWidth="1"/>
    <col min="58" max="58" width="17.15625" style="22" bestFit="1" customWidth="1"/>
    <col min="59" max="59" width="14.578125" bestFit="1" customWidth="1"/>
    <col min="60" max="60" width="26.578125" bestFit="1" customWidth="1"/>
    <col min="61" max="61" width="11" style="22" bestFit="1" customWidth="1"/>
    <col min="62" max="62" width="11.578125" style="13" bestFit="1" customWidth="1"/>
    <col min="63" max="63" width="16.578125" style="15" bestFit="1" customWidth="1"/>
    <col min="64" max="64" width="27.15625" bestFit="1" customWidth="1"/>
    <col min="65" max="65" width="23.41796875" style="22" customWidth="1"/>
    <col min="66" max="68" width="25.15625" style="13" customWidth="1"/>
    <col min="69" max="69" width="27.578125" style="13" customWidth="1"/>
    <col min="70" max="70" width="25.41796875" customWidth="1"/>
    <col min="71" max="71" width="24.26171875" customWidth="1"/>
    <col min="72" max="72" width="25.83984375" style="86" customWidth="1"/>
    <col min="73" max="74" width="25.83984375" style="13" customWidth="1"/>
    <col min="75" max="75" width="38.578125" style="13" customWidth="1"/>
    <col min="76" max="76" width="57.26171875" style="13" customWidth="1"/>
    <col min="77" max="77" width="25.41796875" style="13" customWidth="1"/>
    <col min="78" max="78" width="27.26171875" customWidth="1"/>
    <col min="79" max="79" width="22.15625" customWidth="1"/>
    <col min="80" max="80" width="16" style="13" customWidth="1"/>
    <col min="81" max="81" width="11.15625" customWidth="1"/>
    <col min="82" max="82" width="12.578125" style="16" customWidth="1"/>
    <col min="83" max="83" width="20" style="15" bestFit="1" customWidth="1"/>
    <col min="84" max="84" width="46.15625" style="13" customWidth="1"/>
  </cols>
  <sheetData>
    <row r="1" spans="1:84" ht="15.6" thickBot="1" x14ac:dyDescent="0.6">
      <c r="A1" s="66"/>
      <c r="B1" s="103"/>
      <c r="C1" s="103"/>
      <c r="D1" s="103"/>
      <c r="E1" s="103"/>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1"/>
      <c r="AI1" s="17"/>
      <c r="AJ1" s="17"/>
      <c r="AK1" s="17"/>
      <c r="AL1" s="141" t="str">
        <f>_xlfn.CONCAT(COUNTIF(tblPiNAnalysis[Number of missing / zero PiNs greater than threshold - Data quality],"Flagged"), "/", COUNTA(tblPiNAnalysis[Number of missing / zero PiNs greater than threshold - Data quality]), " (", ROUND((COUNTIF(tblPiNAnalysis[Number of missing / zero PiNs greater than threshold - Data quality],"Flagged")/(COUNTA(tblPiNAnalysis[Number of missing / zero PiNs greater than threshold - Data quality]) + COUNTBLANK(tblPiNAnalysis[Number of missing / zero PiNs greater than threshold - Data quality])))*100, 0), "%) flagged")</f>
        <v>5/237 (1%) flagged</v>
      </c>
      <c r="AM1" s="141" t="str">
        <f>_xlfn.CONCAT(COUNTIF(tblPiNAnalysis[Highest PiN greater than 90% of total affected population],"Flagged"), "/", COUNTA(tblPiNAnalysis[Admin 1]), " (", ROUND((COUNTIF(tblPiNAnalysis[Highest PiN greater than 90% of total affected population],"Flagged")/(COUNTA(tblPiNAnalysis[Highest PiN greater than 90% of total affected population]) + COUNTBLANK(tblPiNAnalysis[Highest PiN greater than 90% of total affected population])))*100, 0), "%) flagged")</f>
        <v>54/237 (13%) flagged</v>
      </c>
      <c r="AN1" s="133" t="str">
        <f>_xlfn.CONCAT(COUNTIF(tblPiNAnalysis[Highest sector targets sub-population group(s)],"Flagged"), "/", COUNTA(tblPiNAnalysis[Admin 1]), " (", ROUND((COUNTIF(tblPiNAnalysis[Highest sector targets sub-population group(s)],"Flagged")/(COUNTA(tblPiNAnalysis[Highest sector targets sub-population group(s)]) + COUNTBLANK(tblPiNAnalysis[Highest sector targets sub-population group(s)])))*100, 0), "%) flagged")</f>
        <v>0/237 (0%) flagged</v>
      </c>
      <c r="AO1" s="21"/>
      <c r="AP1" s="17"/>
      <c r="AQ1" s="74"/>
      <c r="AR1" s="23"/>
      <c r="AS1" s="17"/>
      <c r="AT1" s="133" t="str">
        <f>_xlfn.CONCAT(COUNTIF(tblPiNAnalysis[% difference is over a specified threshold between Highest and 2nd Highest],"Flagged"), "/", COUNTA(tblPiNAnalysis[Admin 1]), " (", ROUND((COUNTIF(tblPiNAnalysis[% difference is over a specified threshold between Highest and 2nd Highest],"Flagged")/(COUNTA(tblPiNAnalysis[% difference is over a specified threshold between Highest and 2nd Highest]) + COUNTBLANK(tblPiNAnalysis[% difference is over a specified threshold between Highest and 2nd Highest])))*100, 0), "%) flagged")</f>
        <v>47/237 (11%) flagged</v>
      </c>
      <c r="AU1" s="21"/>
      <c r="AV1" s="17"/>
      <c r="AW1" s="17"/>
      <c r="AX1" s="21"/>
      <c r="AY1" s="17"/>
      <c r="AZ1" s="133" t="str">
        <f>_xlfn.CONCAT(COUNTIF(tblPiNAnalysis[% difference is over a specified threshold between Highest and 3rd Highest],"Flagged"), "/", COUNTA(tblPiNAnalysis[Admin 1]), " (", ROUND((COUNTIF(tblPiNAnalysis[% difference is over a specified threshold between Highest and 3rd Highest],"Flagged")/(COUNTA(tblPiNAnalysis[% difference is over a specified threshold between Highest and 3rd Highest]) + COUNTBLANK(tblPiNAnalysis[% difference is over a specified threshold between Highest and 3rd Highest])))*100, 0), "%) flagged")</f>
        <v>48/237 (11%) flagged</v>
      </c>
      <c r="BA1" s="133"/>
      <c r="BB1" s="133" t="str">
        <f>_xlfn.CONCAT(COUNTIF(tblPiNAnalysis[Change from last year for the highest sector(s) has significantly increased or decreased],"Flagged"), "/", COUNTA(tblPiNAnalysis[Admin 1]), " (", ROUND((COUNTIF(tblPiNAnalysis[Change from last year for the highest sector(s) has significantly increased or decreased],"Flagged")/(COUNTA(tblPiNAnalysis[Change from last year for the highest sector(s) has significantly increased or decreased]) + COUNTBLANK(tblPiNAnalysis[Change from last year for the highest sector(s) has significantly increased or decreased])))*100, 0), "%) flagged")</f>
        <v>0/237 (0%) flagged</v>
      </c>
      <c r="BC1" s="133"/>
      <c r="BD1" s="133" t="str">
        <f>_xlfn.CONCAT(COUNTIF(tblPiNAnalysis[Change from last year for the 2nd highest sector(s) has significantly increased or decreased],"Flagged"), "/", COUNTA(tblPiNAnalysis[Admin 1]), " (", ROUND((COUNTIF(tblPiNAnalysis[Change from last year for the 2nd highest sector(s) has significantly increased or decreased],"Flagged")/(COUNTA(tblPiNAnalysis[Change from last year for the 2nd highest sector(s) has significantly increased or decreased]) + COUNTBLANK(tblPiNAnalysis[Change from last year for the 2nd highest sector(s) has significantly increased or decreased])))*100, 0), "%) flagged")</f>
        <v>0/237 (0%) flagged</v>
      </c>
      <c r="BE1" s="308"/>
      <c r="BF1" s="177"/>
      <c r="BG1" s="133" t="str">
        <f>_xlfn.CONCAT(COUNTIF(tblPiNAnalysis[Manual Flag],"Flagged"), "/", COUNTA(tblPiNAnalysis[Admin 1]), " (", ROUND((COUNTIF(tblPiNAnalysis[Manual Flag],"Flagged")/(COUNTA(tblPiNAnalysis[Manual Flag]) + COUNTBLANK(tblPiNAnalysis[Manual Flag])))*100, 0), "%) flagged")</f>
        <v>0/237 (0%) flagged</v>
      </c>
      <c r="BH1" s="178"/>
      <c r="BI1" s="782" t="str">
        <f ca="1">_xlfn.CONCAT(COUNTIF(tblPiNAnalysis[Flagged],"Flagged"), "/", COUNTA(tblPiNAnalysis[Admin 1]), " (", ROUND((COUNTIF(tblPiNAnalysis[Flagged],"Flagged")/(COUNTA(tblPiNAnalysis[Flagged]) + COUNTBLANK(tblPiNAnalysis[Flagged])))*100, 0), "%) flagged")</f>
        <v>97/237 (26%) flagged</v>
      </c>
      <c r="BJ1" s="783"/>
      <c r="BK1" s="285">
        <f>SUM(tblPiNAnalysis[Final PiN])</f>
        <v>9266561.0112328324</v>
      </c>
      <c r="BL1" s="285"/>
      <c r="BM1"/>
      <c r="BN1"/>
      <c r="BO1"/>
      <c r="BP1"/>
      <c r="BQ1"/>
      <c r="BT1"/>
      <c r="BU1"/>
      <c r="BV1"/>
      <c r="BW1"/>
      <c r="BX1"/>
      <c r="BY1"/>
      <c r="CB1"/>
      <c r="CD1"/>
      <c r="CE1"/>
      <c r="CF1"/>
    </row>
    <row r="2" spans="1:84" ht="18.3" thickTop="1" thickBot="1" x14ac:dyDescent="0.6">
      <c r="A2" s="130"/>
      <c r="B2" s="784" t="s">
        <v>61</v>
      </c>
      <c r="C2" s="784"/>
      <c r="D2" s="784"/>
      <c r="E2" s="784"/>
      <c r="F2" s="784"/>
      <c r="G2" s="784"/>
      <c r="H2" s="310"/>
      <c r="I2" s="785" t="s">
        <v>62</v>
      </c>
      <c r="J2" s="785"/>
      <c r="K2" s="787" t="s">
        <v>63</v>
      </c>
      <c r="L2" s="787"/>
      <c r="M2" s="787"/>
      <c r="N2" s="787"/>
      <c r="O2" s="787"/>
      <c r="P2" s="787"/>
      <c r="Q2" s="787"/>
      <c r="R2" s="787"/>
      <c r="S2" s="796" t="s">
        <v>64</v>
      </c>
      <c r="T2" s="796"/>
      <c r="U2" s="796"/>
      <c r="V2" s="797"/>
      <c r="W2" s="798" t="s">
        <v>65</v>
      </c>
      <c r="X2" s="799"/>
      <c r="Y2" s="799"/>
      <c r="Z2" s="799"/>
      <c r="AA2" s="799"/>
      <c r="AB2" s="799"/>
      <c r="AC2" s="799"/>
      <c r="AD2" s="800"/>
      <c r="AE2" s="799" t="s">
        <v>66</v>
      </c>
      <c r="AF2" s="799"/>
      <c r="AG2" s="799"/>
      <c r="AH2" s="800"/>
      <c r="AI2" s="793" t="s">
        <v>67</v>
      </c>
      <c r="AJ2" s="794"/>
      <c r="AK2" s="794"/>
      <c r="AL2" s="794"/>
      <c r="AM2" s="794"/>
      <c r="AN2" s="795"/>
      <c r="AO2" s="788" t="s">
        <v>68</v>
      </c>
      <c r="AP2" s="788"/>
      <c r="AQ2" s="788"/>
      <c r="AR2" s="790" t="s">
        <v>69</v>
      </c>
      <c r="AS2" s="790"/>
      <c r="AT2" s="790"/>
      <c r="AU2" s="788" t="s">
        <v>70</v>
      </c>
      <c r="AV2" s="788"/>
      <c r="AW2" s="788"/>
      <c r="AX2" s="790" t="s">
        <v>71</v>
      </c>
      <c r="AY2" s="790"/>
      <c r="AZ2" s="790"/>
      <c r="BA2" s="779" t="s">
        <v>72</v>
      </c>
      <c r="BB2" s="780"/>
      <c r="BC2" s="780"/>
      <c r="BD2" s="781"/>
      <c r="BE2" s="777"/>
      <c r="BF2" s="778"/>
      <c r="BG2" s="789" t="s">
        <v>47</v>
      </c>
      <c r="BH2" s="789"/>
      <c r="BI2" s="791" t="s">
        <v>73</v>
      </c>
      <c r="BJ2" s="792"/>
      <c r="BK2" s="786"/>
      <c r="BL2" s="786"/>
      <c r="BM2"/>
      <c r="BN2"/>
      <c r="BO2"/>
      <c r="BP2"/>
      <c r="BQ2"/>
      <c r="BT2"/>
      <c r="BU2"/>
      <c r="BV2"/>
      <c r="BW2"/>
      <c r="BX2"/>
      <c r="BY2"/>
      <c r="CB2"/>
      <c r="CD2"/>
      <c r="CE2"/>
      <c r="CF2"/>
    </row>
    <row r="3" spans="1:84" ht="49.8" thickTop="1" thickBot="1" x14ac:dyDescent="0.6">
      <c r="A3" s="49" t="s">
        <v>74</v>
      </c>
      <c r="B3" s="128" t="s">
        <v>75</v>
      </c>
      <c r="C3" s="104" t="s">
        <v>76</v>
      </c>
      <c r="D3" s="104" t="s">
        <v>77</v>
      </c>
      <c r="E3" s="104" t="s">
        <v>78</v>
      </c>
      <c r="F3" s="48" t="s">
        <v>79</v>
      </c>
      <c r="G3" s="48" t="s">
        <v>80</v>
      </c>
      <c r="H3" s="48" t="s">
        <v>228</v>
      </c>
      <c r="I3" s="101" t="s">
        <v>431</v>
      </c>
      <c r="J3" s="49" t="s">
        <v>82</v>
      </c>
      <c r="K3" s="73" t="s">
        <v>83</v>
      </c>
      <c r="L3" s="81" t="s">
        <v>56</v>
      </c>
      <c r="M3" s="81" t="s">
        <v>84</v>
      </c>
      <c r="N3" s="81" t="s">
        <v>85</v>
      </c>
      <c r="O3" s="81" t="s">
        <v>86</v>
      </c>
      <c r="P3" s="81" t="s">
        <v>87</v>
      </c>
      <c r="Q3" s="81" t="s">
        <v>88</v>
      </c>
      <c r="R3" s="116" t="s">
        <v>89</v>
      </c>
      <c r="S3" s="147" t="s">
        <v>90</v>
      </c>
      <c r="T3" s="147" t="s">
        <v>91</v>
      </c>
      <c r="U3" s="147" t="s">
        <v>92</v>
      </c>
      <c r="V3" s="173" t="s">
        <v>93</v>
      </c>
      <c r="W3" s="174" t="s">
        <v>94</v>
      </c>
      <c r="X3" s="175" t="s">
        <v>95</v>
      </c>
      <c r="Y3" s="175" t="s">
        <v>96</v>
      </c>
      <c r="Z3" s="64" t="s">
        <v>97</v>
      </c>
      <c r="AA3" s="64" t="s">
        <v>98</v>
      </c>
      <c r="AB3" s="64" t="s">
        <v>99</v>
      </c>
      <c r="AC3" s="64" t="s">
        <v>100</v>
      </c>
      <c r="AD3" s="65" t="s">
        <v>101</v>
      </c>
      <c r="AE3" s="147" t="s">
        <v>102</v>
      </c>
      <c r="AF3" s="147" t="s">
        <v>103</v>
      </c>
      <c r="AG3" s="147" t="s">
        <v>104</v>
      </c>
      <c r="AH3" s="148" t="s">
        <v>105</v>
      </c>
      <c r="AI3" s="52" t="s">
        <v>106</v>
      </c>
      <c r="AJ3" s="53" t="s">
        <v>107</v>
      </c>
      <c r="AK3" s="53" t="s">
        <v>108</v>
      </c>
      <c r="AL3" s="54" t="s">
        <v>109</v>
      </c>
      <c r="AM3" s="54" t="s">
        <v>110</v>
      </c>
      <c r="AN3" s="54" t="s">
        <v>111</v>
      </c>
      <c r="AO3" s="176" t="s">
        <v>112</v>
      </c>
      <c r="AP3" s="56" t="s">
        <v>113</v>
      </c>
      <c r="AQ3" s="221" t="s">
        <v>114</v>
      </c>
      <c r="AR3" s="57" t="s">
        <v>115</v>
      </c>
      <c r="AS3" s="58" t="s">
        <v>116</v>
      </c>
      <c r="AT3" s="59" t="s">
        <v>117</v>
      </c>
      <c r="AU3" s="109" t="s">
        <v>118</v>
      </c>
      <c r="AV3" s="108" t="s">
        <v>119</v>
      </c>
      <c r="AW3" s="108" t="s">
        <v>120</v>
      </c>
      <c r="AX3" s="57" t="s">
        <v>121</v>
      </c>
      <c r="AY3" s="58" t="s">
        <v>122</v>
      </c>
      <c r="AZ3" s="59" t="s">
        <v>123</v>
      </c>
      <c r="BA3" s="57" t="s">
        <v>124</v>
      </c>
      <c r="BB3" s="166" t="s">
        <v>125</v>
      </c>
      <c r="BC3" s="57" t="s">
        <v>126</v>
      </c>
      <c r="BD3" s="165" t="s">
        <v>127</v>
      </c>
      <c r="BE3" s="755" t="s">
        <v>223</v>
      </c>
      <c r="BF3" s="84" t="s">
        <v>128</v>
      </c>
      <c r="BG3" s="62" t="s">
        <v>47</v>
      </c>
      <c r="BH3" s="55" t="s">
        <v>129</v>
      </c>
      <c r="BI3" s="117" t="s">
        <v>130</v>
      </c>
      <c r="BJ3" s="283" t="s">
        <v>131</v>
      </c>
      <c r="BK3" s="286" t="s">
        <v>132</v>
      </c>
      <c r="BL3" s="287" t="s">
        <v>133</v>
      </c>
      <c r="BM3"/>
      <c r="BN3"/>
      <c r="BO3"/>
      <c r="BP3"/>
      <c r="BQ3"/>
      <c r="BT3"/>
      <c r="BU3"/>
      <c r="BV3"/>
      <c r="BW3"/>
      <c r="BX3"/>
      <c r="BY3"/>
      <c r="CB3"/>
      <c r="CD3"/>
      <c r="CE3"/>
      <c r="CF3"/>
    </row>
    <row r="4" spans="1:84" s="244" customFormat="1" ht="37.200000000000003" thickTop="1" x14ac:dyDescent="0.55000000000000004">
      <c r="A4" s="754"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SS0001</v>
      </c>
      <c r="B4" s="259" t="s">
        <v>233</v>
      </c>
      <c r="C4" s="218" t="s">
        <v>234</v>
      </c>
      <c r="D4" s="260" t="s">
        <v>233</v>
      </c>
      <c r="E4" s="260" t="s">
        <v>235</v>
      </c>
      <c r="F4" s="100"/>
      <c r="G4" s="34"/>
      <c r="H4" s="34"/>
      <c r="I4" s="97">
        <v>122221.68957757292</v>
      </c>
      <c r="J4" s="226" t="s">
        <v>412</v>
      </c>
      <c r="K4" s="261">
        <v>30000</v>
      </c>
      <c r="L4" s="219">
        <v>26008.775542107513</v>
      </c>
      <c r="M4" s="219">
        <v>45256.130915601672</v>
      </c>
      <c r="N4" s="219">
        <v>75443.064683122982</v>
      </c>
      <c r="O4" s="219">
        <v>85561.698971807957</v>
      </c>
      <c r="P4" s="219">
        <v>84755</v>
      </c>
      <c r="Q4" s="229">
        <v>76068.04456226567</v>
      </c>
      <c r="R4" s="219">
        <v>47530.65705794502</v>
      </c>
      <c r="S4" s="219">
        <v>48965</v>
      </c>
      <c r="T4" s="219">
        <v>49809</v>
      </c>
      <c r="U4" s="219">
        <v>0</v>
      </c>
      <c r="V4" s="219">
        <v>35585</v>
      </c>
      <c r="W4" s="262">
        <f>IFERROR(IF(tblPiNAnalysis[[#This Row],[CCCM]]="", "", MROUND(tblPiNAnalysis[[#This Row],[CCCM]]/tblPiNAnalysis[[#This Row],[Affected population projection 2026]], 0.05)), "")</f>
        <v>0.25</v>
      </c>
      <c r="X4" s="263">
        <f>IFERROR(IF(tblPiNAnalysis[[#This Row],[Education]]="", "", MROUND(tblPiNAnalysis[[#This Row],[Education]]/tblPiNAnalysis[[#This Row],[Affected population projection 2026]], 0.05)), "")</f>
        <v>0.2</v>
      </c>
      <c r="Y4" s="263">
        <f>IFERROR(IF(tblPiNAnalysis[[#This Row],[Nutrition]]="", "", MROUND(tblPiNAnalysis[[#This Row],[Nutrition]]/tblPiNAnalysis[[#This Row],[Affected population projection 2026]], 0.05)), "")</f>
        <v>0.35000000000000003</v>
      </c>
      <c r="Z4" s="263">
        <f>IFERROR(IF(tblPiNAnalysis[[#This Row],[Food Security]]="", "", MROUND(tblPiNAnalysis[[#This Row],[Food Security]]/tblPiNAnalysis[[#This Row],[Affected population projection 2026]], 0.05)), "")</f>
        <v>0.60000000000000009</v>
      </c>
      <c r="AA4" s="263">
        <f>IFERROR(IF(tblPiNAnalysis[[#This Row],[Health]]="", "", MROUND(tblPiNAnalysis[[#This Row],[Health]]/tblPiNAnalysis[[#This Row],[Affected population projection 2026]], 0.05)), "")</f>
        <v>0.70000000000000007</v>
      </c>
      <c r="AB4" s="264">
        <f>IFERROR(IF(tblPiNAnalysis[[#This Row],[Overarching Protection]]="", "", MROUND(tblPiNAnalysis[[#This Row],[Overarching Protection]]/tblPiNAnalysis[[#This Row],[Affected population projection 2026]], 0.05)), "")</f>
        <v>0.70000000000000007</v>
      </c>
      <c r="AC4" s="264">
        <f>IFERROR(IF(tblPiNAnalysis[[#This Row],[Shelter]]="", "", MROUND(tblPiNAnalysis[[#This Row],[Shelter]]/tblPiNAnalysis[[#This Row],[Affected population projection 2026]], 0.05)), "")</f>
        <v>0.60000000000000009</v>
      </c>
      <c r="AD4" s="265">
        <f>IFERROR(IF(tblPiNAnalysis[[#This Row],[WASH]]="", "", MROUND(tblPiNAnalysis[[#This Row],[WASH]]/tblPiNAnalysis[[#This Row],[Affected population projection 2026]], 0.05)), "")</f>
        <v>0.4</v>
      </c>
      <c r="AE4" s="263">
        <f>IFERROR(MROUND(tblPiNAnalysis[[#This Row],[CP]]/tblPiNAnalysis[[#This Row],[Affected population projection 2026]], 0.05), "")</f>
        <v>0.4</v>
      </c>
      <c r="AF4" s="263">
        <f>IFERROR(MROUND(tblPiNAnalysis[[#This Row],[GBV]]/tblPiNAnalysis[[#This Row],[Affected population projection 2026]], 0.05), "")</f>
        <v>0.4</v>
      </c>
      <c r="AG4" s="263">
        <f>IFERROR(MROUND(tblPiNAnalysis[[#This Row],[Mine Action]]/tblPiNAnalysis[[#This Row],[Affected population projection 2026]], 0.05), "")</f>
        <v>0</v>
      </c>
      <c r="AH4" s="263">
        <f>IFERROR(MROUND(tblPiNAnalysis[[#This Row],[HLP]]/tblPiNAnalysis[[#This Row],[Affected population projection 2026]], 0.05), "")</f>
        <v>0.30000000000000004</v>
      </c>
      <c r="AI4" s="266">
        <f>IFERROR(LARGE(tblPiNAnalysis[[#This Row],[CCCM]:[WASH]], 1), "")</f>
        <v>85561.698971807957</v>
      </c>
      <c r="AJ4" s="267" t="str" cm="1">
        <f t="array" ref="AJ4">IF(tblPiNAnalysis[[#This Row],[Highest PiN]]="", "", _xlfn.TEXTJOIN(CHAR(10), TRUE, IF(tblPiNAnalysis[[#This Row],[Highest PiN]]=tblPiNAnalysis[[#This Row],[CCCM]:[WASH]], tblPiNAnalysis[[#Headers],[CCCM]:[WASH]], "")))</f>
        <v>Health</v>
      </c>
      <c r="AK4" s="268">
        <f>IF(tblPiNAnalysis[[#This Row],[Highest PiN]]="", "", tblPiNAnalysis[[#This Row],[Highest PiN]]/tblPiNAnalysis[[#This Row],[Affected population projection 2026]])</f>
        <v>0.70005331514831315</v>
      </c>
      <c r="AL4" s="269" t="str">
        <f>IF(SUM(tblPiNAnalysis[[#This Row],[CCCM]:[WASH]])=0, "",IF(COUNTIF(tblPiNAnalysis[[#This Row],[CCCM]:[WASH]],"=0")+COUNTIF(tblPiNAnalysis[[#This Row],[CCCM]:[WASH]],"")&gt;=zero_pin_thresh, "Flagged", ""))</f>
        <v/>
      </c>
      <c r="AM4" s="268" t="str">
        <f>IFERROR(IF(tblPiNAnalysis[[#This Row],[Highest PiN]]="", "", IF(tblPiNAnalysis[[#This Row],[Highest sector(s'') PiN %]]&gt;=flag_pin_perc, "Flagged", "")), "")</f>
        <v/>
      </c>
      <c r="AN4" s="270" t="str" cm="1">
        <f t="array" ref="AN4">IF(tblPiNAnalysis[[#This Row],[Highest PiN]]=0, "",  IF(OR(COUNTIF(tblPiNAnalysis[[#This Row],[Highest sector(s)]],tblSubSectorPopulation[Sector])), "Flagged", ""))</f>
        <v/>
      </c>
      <c r="AO4" s="271" cm="1">
        <f t="array" ref="AO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84755</v>
      </c>
      <c r="AP4" s="272" t="str" cm="1">
        <f t="array" ref="AP4">IF(tblPiNAnalysis[[#This Row],[2nd Highest PiN]]="", "", _xlfn.TEXTJOIN(CHAR(10), TRUE, IF(tblPiNAnalysis[[#This Row],[2nd Highest PiN]]=tblPiNAnalysis[[#This Row],[CCCM]:[WASH]], tblPiNAnalysis[[#Headers],[CCCM]:[WASH]], "")))</f>
        <v>Overarching Protection</v>
      </c>
      <c r="AQ4" s="38">
        <f>IFERROR(tblPiNAnalysis[[#This Row],[2nd Highest PiN]]/tblPiNAnalysis[[#This Row],[Affected population projection 2026]], "")</f>
        <v>0.69345302206943249</v>
      </c>
      <c r="AR4" s="46">
        <f>IFERROR(tblPiNAnalysis[[#This Row],[Highest PiN]]-tblPiNAnalysis[[#This Row],[2nd Highest PiN]], "")</f>
        <v>806.6989718079567</v>
      </c>
      <c r="AS4" s="39">
        <f>IFERROR(((tblPiNAnalysis[[#This Row],[Highest PiN]]-tblPiNAnalysis[[#This Row],[2nd Highest PiN]])/tblPiNAnalysis[[#This Row],[2nd Highest PiN]]),"")</f>
        <v>9.518010404199832E-3</v>
      </c>
      <c r="AT4" s="273" t="str" cm="1">
        <f t="array" ref="AT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 s="274" cm="1">
        <f t="array" ref="AU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76068.04456226567</v>
      </c>
      <c r="AV4" s="275" t="str" cm="1">
        <f t="array" ref="AV4">IF(tblPiNAnalysis[[#This Row],[3rd Highest PiN]]="", "", _xlfn.TEXTJOIN(CHAR(10), TRUE, IF(tblPiNAnalysis[[#This Row],[3rd Highest PiN]]=tblPiNAnalysis[[#This Row],[CCCM]:[WASH]], tblPiNAnalysis[[#Headers],[CCCM]:[WASH]], "")))</f>
        <v>Shelter</v>
      </c>
      <c r="AW4" s="190">
        <f>IFERROR(tblPiNAnalysis[[#This Row],[3rd Highest PiN]]/tblPiNAnalysis[[#This Row],[Affected population projection 2026]], "")</f>
        <v>0.6223776223776224</v>
      </c>
      <c r="AX4" s="46">
        <f>IFERROR(tblPiNAnalysis[[#This Row],[Highest PiN]]-tblPiNAnalysis[[#This Row],[3rd Highest PiN]],"")</f>
        <v>9493.6544095422869</v>
      </c>
      <c r="AY4" s="39">
        <f>IFERROR(tblPiNAnalysis[[#This Row],[Difference of PiN between Highest and 3rd Highest]]/tblPiNAnalysis[[#This Row],[3rd Highest PiN]], "")</f>
        <v>0.12480476478886261</v>
      </c>
      <c r="AZ4" s="270" t="str" cm="1">
        <f t="array" ref="AZ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 s="300" t="str" cm="1">
        <f t="array" ref="BA4">IFERROR(IF(tblPiNAnalysis[[#This Row],[ID]]="", "", INDEX(tblPiNHistorical[[CCCM]:[WASH]], MATCH(tblPiNAnalysis[[#This Row],[ID]],tblPiNHistorical[ID], 0),MATCH(_xlfn._xlws.FILTER(tblPiNAnalysis[[#Headers],[CCCM]:[WASH]], tblPiNAnalysis[[#This Row],[Highest PiN]]=tblPiNAnalysis[[#This Row],[CCCM]:[WASH]]), tblPiNHistorical[[#Headers],[CCCM]:[WASH]], 0))), "")</f>
        <v/>
      </c>
      <c r="BB4" s="276" t="str" cm="1">
        <f t="array" ref="BB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 s="276" t="str" cm="1">
        <f t="array" ref="BC4">IFERROR(IF(tblPiNAnalysis[[#This Row],[ID]]="", "", INDEX(tblPiNHistorical[[CCCM]:[WASH]], MATCH(tblPiNAnalysis[[#This Row],[ID]],tblPiNHistorical[ID], 0),MATCH(_xlfn._xlws.FILTER(tblPiNAnalysis[[#Headers],[CCCM]:[WASH]], tblPiNAnalysis[[#This Row],[2nd Highest PiN]]=tblPiNAnalysis[[#This Row],[CCCM]:[WASH]]), tblPiNHistorical[[#Headers],[CCCM]:[WASH]], 0))), "")</f>
        <v/>
      </c>
      <c r="BD4" s="277" t="str" cm="1">
        <f t="array" ref="BD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 s="276">
        <f>INDEX(tblSeverityAnalysis[Final Severity], MATCH(tblPiNAnalysis[[#This Row],[ID]],tblSeverityAnalysis[ID], 0))</f>
        <v>4</v>
      </c>
      <c r="BF4" s="220">
        <f>IF(tblPiNAnalysis[[#This Row],[Severity]]&gt;2,tblPiNAnalysis[[#This Row],[Highest PiN]],)</f>
        <v>85561.698971807957</v>
      </c>
      <c r="BG4" s="191"/>
      <c r="BH4" s="192"/>
      <c r="BI4" s="193">
        <f>COUNTIFS(tblPiNAnalysis[[#This Row],[Number of missing / zero PiNs greater than threshold - Data quality]:[Manual Flag]],"Flagged")</f>
        <v>0</v>
      </c>
      <c r="BJ4" s="284" t="str">
        <f>IF(tblPiNAnalysis[[#This Row],['# Flags]]&gt;0, "Flagged", "")</f>
        <v/>
      </c>
      <c r="BK4" s="267">
        <f>tblPiNAnalysis[[#This Row],[Preliminary PiN]]</f>
        <v>85561.698971807957</v>
      </c>
      <c r="BL4" s="272"/>
      <c r="BM4" s="278"/>
      <c r="BN4" s="279"/>
      <c r="BO4" s="279"/>
      <c r="BP4" s="279"/>
      <c r="BQ4" s="279"/>
      <c r="BT4" s="280"/>
      <c r="BU4" s="279"/>
      <c r="BV4" s="279"/>
      <c r="BW4" s="279"/>
      <c r="BX4" s="279"/>
      <c r="BY4" s="279"/>
      <c r="CB4" s="279"/>
      <c r="CD4" s="281"/>
      <c r="CE4" s="282"/>
      <c r="CF4" s="279"/>
    </row>
    <row r="5" spans="1:84" s="244" customFormat="1" ht="24.6" x14ac:dyDescent="0.55000000000000004">
      <c r="A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SS0101</v>
      </c>
      <c r="B5" s="259" t="s">
        <v>236</v>
      </c>
      <c r="C5" s="218" t="s">
        <v>237</v>
      </c>
      <c r="D5" s="260" t="s">
        <v>238</v>
      </c>
      <c r="E5" s="260" t="s">
        <v>239</v>
      </c>
      <c r="F5" s="100"/>
      <c r="G5" s="34"/>
      <c r="H5" s="34"/>
      <c r="I5" s="97">
        <v>185655.53028576757</v>
      </c>
      <c r="J5" s="226" t="s">
        <v>412</v>
      </c>
      <c r="K5" s="261">
        <v>143125</v>
      </c>
      <c r="L5" s="219">
        <v>20629.114247703066</v>
      </c>
      <c r="M5" s="219">
        <v>55663.994410481486</v>
      </c>
      <c r="N5" s="219">
        <v>130641.61559673256</v>
      </c>
      <c r="O5" s="219">
        <v>102957.42828930625</v>
      </c>
      <c r="P5" s="219">
        <v>125516</v>
      </c>
      <c r="Q5" s="229">
        <v>156584.91344386805</v>
      </c>
      <c r="R5" s="219">
        <v>72574.434566254567</v>
      </c>
      <c r="S5" s="219">
        <v>28152</v>
      </c>
      <c r="T5" s="219">
        <v>71011</v>
      </c>
      <c r="U5" s="219">
        <v>102296</v>
      </c>
      <c r="V5" s="219">
        <v>49942</v>
      </c>
      <c r="W5" s="262">
        <f>IFERROR(IF(tblPiNAnalysis[[#This Row],[CCCM]]="", "", MROUND(tblPiNAnalysis[[#This Row],[CCCM]]/tblPiNAnalysis[[#This Row],[Affected population projection 2026]], 0.05)), "")</f>
        <v>0.75</v>
      </c>
      <c r="X5" s="263">
        <f>IFERROR(IF(tblPiNAnalysis[[#This Row],[Education]]="", "", MROUND(tblPiNAnalysis[[#This Row],[Education]]/tblPiNAnalysis[[#This Row],[Affected population projection 2026]], 0.05)), "")</f>
        <v>0.1</v>
      </c>
      <c r="Y5" s="263">
        <f>IFERROR(IF(tblPiNAnalysis[[#This Row],[Nutrition]]="", "", MROUND(tblPiNAnalysis[[#This Row],[Nutrition]]/tblPiNAnalysis[[#This Row],[Affected population projection 2026]], 0.05)), "")</f>
        <v>0.30000000000000004</v>
      </c>
      <c r="Z5" s="263">
        <f>IFERROR(IF(tblPiNAnalysis[[#This Row],[Food Security]]="", "", MROUND(tblPiNAnalysis[[#This Row],[Food Security]]/tblPiNAnalysis[[#This Row],[Affected population projection 2026]], 0.05)), "")</f>
        <v>0.70000000000000007</v>
      </c>
      <c r="AA5" s="263">
        <f>IFERROR(IF(tblPiNAnalysis[[#This Row],[Health]]="", "", MROUND(tblPiNAnalysis[[#This Row],[Health]]/tblPiNAnalysis[[#This Row],[Affected population projection 2026]], 0.05)), "")</f>
        <v>0.55000000000000004</v>
      </c>
      <c r="AB5" s="264">
        <f>IFERROR(IF(tblPiNAnalysis[[#This Row],[Overarching Protection]]="", "", MROUND(tblPiNAnalysis[[#This Row],[Overarching Protection]]/tblPiNAnalysis[[#This Row],[Affected population projection 2026]], 0.05)), "")</f>
        <v>0.70000000000000007</v>
      </c>
      <c r="AC5" s="264">
        <f>IFERROR(IF(tblPiNAnalysis[[#This Row],[Shelter]]="", "", MROUND(tblPiNAnalysis[[#This Row],[Shelter]]/tblPiNAnalysis[[#This Row],[Affected population projection 2026]], 0.05)), "")</f>
        <v>0.85000000000000009</v>
      </c>
      <c r="AD5" s="265">
        <f>IFERROR(IF(tblPiNAnalysis[[#This Row],[WASH]]="", "", MROUND(tblPiNAnalysis[[#This Row],[WASH]]/tblPiNAnalysis[[#This Row],[Affected population projection 2026]], 0.05)), "")</f>
        <v>0.4</v>
      </c>
      <c r="AE5" s="263">
        <f>IFERROR(MROUND(tblPiNAnalysis[[#This Row],[CP]]/tblPiNAnalysis[[#This Row],[Affected population projection 2026]], 0.05), "")</f>
        <v>0.15000000000000002</v>
      </c>
      <c r="AF5" s="263">
        <f>IFERROR(MROUND(tblPiNAnalysis[[#This Row],[GBV]]/tblPiNAnalysis[[#This Row],[Affected population projection 2026]], 0.05), "")</f>
        <v>0.4</v>
      </c>
      <c r="AG5" s="263">
        <f>IFERROR(MROUND(tblPiNAnalysis[[#This Row],[Mine Action]]/tblPiNAnalysis[[#This Row],[Affected population projection 2026]], 0.05), "")</f>
        <v>0.55000000000000004</v>
      </c>
      <c r="AH5" s="263">
        <f>IFERROR(MROUND(tblPiNAnalysis[[#This Row],[HLP]]/tblPiNAnalysis[[#This Row],[Affected population projection 2026]], 0.05), "")</f>
        <v>0.25</v>
      </c>
      <c r="AI5" s="266">
        <f>IFERROR(LARGE(tblPiNAnalysis[[#This Row],[CCCM]:[WASH]], 1), "")</f>
        <v>156584.91344386805</v>
      </c>
      <c r="AJ5" s="267" t="str" cm="1">
        <f t="array" ref="AJ5">IF(tblPiNAnalysis[[#This Row],[Highest PiN]]="", "", _xlfn.TEXTJOIN(CHAR(10), TRUE, IF(tblPiNAnalysis[[#This Row],[Highest PiN]]=tblPiNAnalysis[[#This Row],[CCCM]:[WASH]], tblPiNAnalysis[[#Headers],[CCCM]:[WASH]], "")))</f>
        <v>Shelter</v>
      </c>
      <c r="AK5" s="268">
        <f>IF(tblPiNAnalysis[[#This Row],[Highest PiN]]="", "", tblPiNAnalysis[[#This Row],[Highest PiN]]/tblPiNAnalysis[[#This Row],[Affected population projection 2026]])</f>
        <v>0.84341637010676174</v>
      </c>
      <c r="AL5" s="269" t="str">
        <f>IF(SUM(tblPiNAnalysis[[#This Row],[CCCM]:[WASH]])=0, "",IF(COUNTIF(tblPiNAnalysis[[#This Row],[CCCM]:[WASH]],"=0")+COUNTIF(tblPiNAnalysis[[#This Row],[CCCM]:[WASH]],"")&gt;=zero_pin_thresh, "Flagged", ""))</f>
        <v/>
      </c>
      <c r="AM5" s="268" t="str">
        <f>IFERROR(IF(tblPiNAnalysis[[#This Row],[Highest PiN]]="", "", IF(tblPiNAnalysis[[#This Row],[Highest sector(s'') PiN %]]&gt;=flag_pin_perc, "Flagged", "")), "")</f>
        <v/>
      </c>
      <c r="AN5" s="270" t="str" cm="1">
        <f t="array" ref="AN5">IF(tblPiNAnalysis[[#This Row],[Highest PiN]]=0, "",  IF(OR(COUNTIF(tblPiNAnalysis[[#This Row],[Highest sector(s)]],tblSubSectorPopulation[Sector])), "Flagged", ""))</f>
        <v/>
      </c>
      <c r="AO5" s="271" cm="1">
        <f t="array" ref="AO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143125</v>
      </c>
      <c r="AP5" s="272" t="str" cm="1">
        <f t="array" ref="AP5">IF(tblPiNAnalysis[[#This Row],[2nd Highest PiN]]="", "", _xlfn.TEXTJOIN(CHAR(10), TRUE, IF(tblPiNAnalysis[[#This Row],[2nd Highest PiN]]=tblPiNAnalysis[[#This Row],[CCCM]:[WASH]], tblPiNAnalysis[[#Headers],[CCCM]:[WASH]], "")))</f>
        <v>CCCM</v>
      </c>
      <c r="AQ5" s="38">
        <f>IFERROR(tblPiNAnalysis[[#This Row],[2nd Highest PiN]]/tblPiNAnalysis[[#This Row],[Affected population projection 2026]], "")</f>
        <v>0.77091697607766885</v>
      </c>
      <c r="AR5" s="46">
        <f>IFERROR(tblPiNAnalysis[[#This Row],[Highest PiN]]-tblPiNAnalysis[[#This Row],[2nd Highest PiN]], "")</f>
        <v>13459.913443868048</v>
      </c>
      <c r="AS5" s="39">
        <f>IFERROR(((tblPiNAnalysis[[#This Row],[Highest PiN]]-tblPiNAnalysis[[#This Row],[2nd Highest PiN]])/tblPiNAnalysis[[#This Row],[2nd Highest PiN]]),"")</f>
        <v>9.4043063363270202E-2</v>
      </c>
      <c r="AT5" s="273" t="str" cm="1">
        <f t="array" ref="AT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 s="274" cm="1">
        <f t="array" ref="AU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130641.61559673256</v>
      </c>
      <c r="AV5" s="275" t="str" cm="1">
        <f t="array" ref="AV5">IF(tblPiNAnalysis[[#This Row],[3rd Highest PiN]]="", "", _xlfn.TEXTJOIN(CHAR(10), TRUE, IF(tblPiNAnalysis[[#This Row],[3rd Highest PiN]]=tblPiNAnalysis[[#This Row],[CCCM]:[WASH]], tblPiNAnalysis[[#Headers],[CCCM]:[WASH]], "")))</f>
        <v>Food Security</v>
      </c>
      <c r="AW5" s="190">
        <f>IFERROR(tblPiNAnalysis[[#This Row],[3rd Highest PiN]]/tblPiNAnalysis[[#This Row],[Affected population projection 2026]], "")</f>
        <v>0.70367747944617842</v>
      </c>
      <c r="AX5" s="45">
        <f>IFERROR(tblPiNAnalysis[[#This Row],[Highest PiN]]-tblPiNAnalysis[[#This Row],[3rd Highest PiN]],"")</f>
        <v>25943.297847135487</v>
      </c>
      <c r="AY5" s="39">
        <f>IFERROR(tblPiNAnalysis[[#This Row],[Difference of PiN between Highest and 3rd Highest]]/tblPiNAnalysis[[#This Row],[3rd Highest PiN]], "")</f>
        <v>0.19858371873796965</v>
      </c>
      <c r="AZ5" s="270" t="str" cm="1">
        <f t="array" ref="AZ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 s="300" t="str" cm="1">
        <f t="array" ref="BA5">IFERROR(IF(tblPiNAnalysis[[#This Row],[ID]]="", "", INDEX(tblPiNHistorical[[CCCM]:[WASH]], MATCH(tblPiNAnalysis[[#This Row],[ID]],tblPiNHistorical[ID], 0),MATCH(_xlfn._xlws.FILTER(tblPiNAnalysis[[#Headers],[CCCM]:[WASH]], tblPiNAnalysis[[#This Row],[Highest PiN]]=tblPiNAnalysis[[#This Row],[CCCM]:[WASH]]), tblPiNHistorical[[#Headers],[CCCM]:[WASH]], 0))), "")</f>
        <v/>
      </c>
      <c r="BB5" s="276" t="str" cm="1">
        <f t="array" ref="BB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 s="276" t="str" cm="1">
        <f t="array" ref="BC5">IFERROR(IF(tblPiNAnalysis[[#This Row],[ID]]="", "", INDEX(tblPiNHistorical[[CCCM]:[WASH]], MATCH(tblPiNAnalysis[[#This Row],[ID]],tblPiNHistorical[ID], 0),MATCH(_xlfn._xlws.FILTER(tblPiNAnalysis[[#Headers],[CCCM]:[WASH]], tblPiNAnalysis[[#This Row],[2nd Highest PiN]]=tblPiNAnalysis[[#This Row],[CCCM]:[WASH]]), tblPiNHistorical[[#Headers],[CCCM]:[WASH]], 0))), "")</f>
        <v/>
      </c>
      <c r="BD5" s="277" t="str" cm="1">
        <f t="array" ref="BD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 s="276">
        <f>INDEX(tblSeverityAnalysis[Final Severity], MATCH(tblPiNAnalysis[[#This Row],[ID]],tblSeverityAnalysis[ID], 0))</f>
        <v>3</v>
      </c>
      <c r="BF5" s="61">
        <f>IF(tblPiNAnalysis[[#This Row],[Severity]]&gt;2,tblPiNAnalysis[[#This Row],[Highest PiN]],)</f>
        <v>156584.91344386805</v>
      </c>
      <c r="BG5" s="191"/>
      <c r="BH5" s="192"/>
      <c r="BI5" s="193">
        <f>COUNTIFS(tblPiNAnalysis[[#This Row],[Number of missing / zero PiNs greater than threshold - Data quality]:[Manual Flag]],"Flagged")</f>
        <v>0</v>
      </c>
      <c r="BJ5" s="284" t="str">
        <f>IF(tblPiNAnalysis[[#This Row],['# Flags]]&gt;0, "Flagged", "")</f>
        <v/>
      </c>
      <c r="BK5" s="267">
        <f>tblPiNAnalysis[[#This Row],[Preliminary PiN]]</f>
        <v>156584.91344386805</v>
      </c>
      <c r="BL5" s="272"/>
      <c r="BM5" s="278"/>
      <c r="BN5" s="279"/>
      <c r="BO5" s="279"/>
      <c r="BP5" s="279"/>
      <c r="BQ5" s="279"/>
      <c r="BT5" s="280"/>
      <c r="BU5" s="279"/>
      <c r="BV5" s="279"/>
      <c r="BW5" s="279"/>
      <c r="BX5" s="279"/>
      <c r="BY5" s="279"/>
      <c r="CB5" s="279"/>
      <c r="CD5" s="281"/>
      <c r="CE5" s="282"/>
      <c r="CF5" s="279"/>
    </row>
    <row r="6" spans="1:84" s="244" customFormat="1" ht="24.6" x14ac:dyDescent="0.55000000000000004">
      <c r="A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SS0102</v>
      </c>
      <c r="B6" s="259" t="s">
        <v>236</v>
      </c>
      <c r="C6" s="218" t="s">
        <v>237</v>
      </c>
      <c r="D6" s="260" t="s">
        <v>240</v>
      </c>
      <c r="E6" s="105" t="s">
        <v>241</v>
      </c>
      <c r="F6" s="100"/>
      <c r="G6" s="34"/>
      <c r="H6" s="34"/>
      <c r="I6" s="97">
        <v>16311.747528959717</v>
      </c>
      <c r="J6" s="226" t="s">
        <v>412</v>
      </c>
      <c r="K6" s="261">
        <v>0</v>
      </c>
      <c r="L6" s="219">
        <v>1218.1221572686422</v>
      </c>
      <c r="M6" s="219">
        <v>5483.0313173129834</v>
      </c>
      <c r="N6" s="219">
        <v>11295.239262162</v>
      </c>
      <c r="O6" s="219">
        <v>8641.7640411393641</v>
      </c>
      <c r="P6" s="219">
        <v>12061</v>
      </c>
      <c r="Q6" s="229">
        <v>11514.174726324505</v>
      </c>
      <c r="R6" s="219">
        <v>13291.053542115327</v>
      </c>
      <c r="S6" s="219">
        <v>5929</v>
      </c>
      <c r="T6" s="219">
        <v>5804</v>
      </c>
      <c r="U6" s="219">
        <v>3127</v>
      </c>
      <c r="V6" s="219">
        <v>4645</v>
      </c>
      <c r="W6" s="262">
        <f>IFERROR(IF(tblPiNAnalysis[[#This Row],[CCCM]]="", "", MROUND(tblPiNAnalysis[[#This Row],[CCCM]]/tblPiNAnalysis[[#This Row],[Affected population projection 2026]], 0.05)), "")</f>
        <v>0</v>
      </c>
      <c r="X6" s="263">
        <f>IFERROR(IF(tblPiNAnalysis[[#This Row],[Education]]="", "", MROUND(tblPiNAnalysis[[#This Row],[Education]]/tblPiNAnalysis[[#This Row],[Affected population projection 2026]], 0.05)), "")</f>
        <v>0.05</v>
      </c>
      <c r="Y6" s="263">
        <f>IFERROR(IF(tblPiNAnalysis[[#This Row],[Nutrition]]="", "", MROUND(tblPiNAnalysis[[#This Row],[Nutrition]]/tblPiNAnalysis[[#This Row],[Affected population projection 2026]], 0.05)), "")</f>
        <v>0.35000000000000003</v>
      </c>
      <c r="Z6" s="263">
        <f>IFERROR(IF(tblPiNAnalysis[[#This Row],[Food Security]]="", "", MROUND(tblPiNAnalysis[[#This Row],[Food Security]]/tblPiNAnalysis[[#This Row],[Affected population projection 2026]], 0.05)), "")</f>
        <v>0.70000000000000007</v>
      </c>
      <c r="AA6" s="263">
        <f>IFERROR(IF(tblPiNAnalysis[[#This Row],[Health]]="", "", MROUND(tblPiNAnalysis[[#This Row],[Health]]/tblPiNAnalysis[[#This Row],[Affected population projection 2026]], 0.05)), "")</f>
        <v>0.55000000000000004</v>
      </c>
      <c r="AB6" s="264">
        <f>IFERROR(IF(tblPiNAnalysis[[#This Row],[Overarching Protection]]="", "", MROUND(tblPiNAnalysis[[#This Row],[Overarching Protection]]/tblPiNAnalysis[[#This Row],[Affected population projection 2026]], 0.05)), "")</f>
        <v>0.75</v>
      </c>
      <c r="AC6" s="264">
        <f>IFERROR(IF(tblPiNAnalysis[[#This Row],[Shelter]]="", "", MROUND(tblPiNAnalysis[[#This Row],[Shelter]]/tblPiNAnalysis[[#This Row],[Affected population projection 2026]], 0.05)), "")</f>
        <v>0.70000000000000007</v>
      </c>
      <c r="AD6" s="265">
        <f>IFERROR(IF(tblPiNAnalysis[[#This Row],[WASH]]="", "", MROUND(tblPiNAnalysis[[#This Row],[WASH]]/tblPiNAnalysis[[#This Row],[Affected population projection 2026]], 0.05)), "")</f>
        <v>0.8</v>
      </c>
      <c r="AE6" s="263">
        <f>IFERROR(MROUND(tblPiNAnalysis[[#This Row],[CP]]/tblPiNAnalysis[[#This Row],[Affected population projection 2026]], 0.05), "")</f>
        <v>0.35000000000000003</v>
      </c>
      <c r="AF6" s="263">
        <f>IFERROR(MROUND(tblPiNAnalysis[[#This Row],[GBV]]/tblPiNAnalysis[[#This Row],[Affected population projection 2026]], 0.05), "")</f>
        <v>0.35000000000000003</v>
      </c>
      <c r="AG6" s="263">
        <f>IFERROR(MROUND(tblPiNAnalysis[[#This Row],[Mine Action]]/tblPiNAnalysis[[#This Row],[Affected population projection 2026]], 0.05), "")</f>
        <v>0.2</v>
      </c>
      <c r="AH6" s="263">
        <f>IFERROR(MROUND(tblPiNAnalysis[[#This Row],[HLP]]/tblPiNAnalysis[[#This Row],[Affected population projection 2026]], 0.05), "")</f>
        <v>0.30000000000000004</v>
      </c>
      <c r="AI6" s="266">
        <f>IFERROR(LARGE(tblPiNAnalysis[[#This Row],[CCCM]:[WASH]], 1), "")</f>
        <v>13291.053542115327</v>
      </c>
      <c r="AJ6" s="267" t="str" cm="1">
        <f t="array" ref="AJ6">IF(tblPiNAnalysis[[#This Row],[Highest PiN]]="", "", _xlfn.TEXTJOIN(CHAR(10), TRUE, IF(tblPiNAnalysis[[#This Row],[Highest PiN]]=tblPiNAnalysis[[#This Row],[CCCM]:[WASH]], tblPiNAnalysis[[#Headers],[CCCM]:[WASH]], "")))</f>
        <v>WASH</v>
      </c>
      <c r="AK6" s="268">
        <f>IF(tblPiNAnalysis[[#This Row],[Highest PiN]]="", "", tblPiNAnalysis[[#This Row],[Highest PiN]]/tblPiNAnalysis[[#This Row],[Affected population projection 2026]])</f>
        <v>0.81481481481481499</v>
      </c>
      <c r="AL6" s="269" t="str">
        <f>IF(SUM(tblPiNAnalysis[[#This Row],[CCCM]:[WASH]])=0, "",IF(COUNTIF(tblPiNAnalysis[[#This Row],[CCCM]:[WASH]],"=0")+COUNTIF(tblPiNAnalysis[[#This Row],[CCCM]:[WASH]],"")&gt;=zero_pin_thresh, "Flagged", ""))</f>
        <v/>
      </c>
      <c r="AM6" s="268" t="str">
        <f>IFERROR(IF(tblPiNAnalysis[[#This Row],[Highest PiN]]="", "", IF(tblPiNAnalysis[[#This Row],[Highest sector(s'') PiN %]]&gt;=flag_pin_perc, "Flagged", "")), "")</f>
        <v/>
      </c>
      <c r="AN6" s="270" t="str" cm="1">
        <f t="array" ref="AN6">IF(tblPiNAnalysis[[#This Row],[Highest PiN]]=0, "",  IF(OR(COUNTIF(tblPiNAnalysis[[#This Row],[Highest sector(s)]],tblSubSectorPopulation[Sector])), "Flagged", ""))</f>
        <v/>
      </c>
      <c r="AO6" s="271" cm="1">
        <f t="array" ref="AO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12061</v>
      </c>
      <c r="AP6" s="272" t="str" cm="1">
        <f t="array" ref="AP6">IF(tblPiNAnalysis[[#This Row],[2nd Highest PiN]]="", "", _xlfn.TEXTJOIN(CHAR(10), TRUE, IF(tblPiNAnalysis[[#This Row],[2nd Highest PiN]]=tblPiNAnalysis[[#This Row],[CCCM]:[WASH]], tblPiNAnalysis[[#Headers],[CCCM]:[WASH]], "")))</f>
        <v>Overarching Protection</v>
      </c>
      <c r="AQ6" s="38">
        <f>IFERROR(tblPiNAnalysis[[#This Row],[2nd Highest PiN]]/tblPiNAnalysis[[#This Row],[Affected population projection 2026]], "")</f>
        <v>0.73940575518270002</v>
      </c>
      <c r="AR6" s="46">
        <f>IFERROR(tblPiNAnalysis[[#This Row],[Highest PiN]]-tblPiNAnalysis[[#This Row],[2nd Highest PiN]], "")</f>
        <v>1230.0535421153272</v>
      </c>
      <c r="AS6" s="39">
        <f>IFERROR(((tblPiNAnalysis[[#This Row],[Highest PiN]]-tblPiNAnalysis[[#This Row],[2nd Highest PiN]])/tblPiNAnalysis[[#This Row],[2nd Highest PiN]]),"")</f>
        <v>0.10198603284266042</v>
      </c>
      <c r="AT6" s="273" t="str" cm="1">
        <f t="array" ref="AT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 s="274" cm="1">
        <f t="array" ref="AU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11514.174726324505</v>
      </c>
      <c r="AV6" s="275" t="str" cm="1">
        <f t="array" ref="AV6">IF(tblPiNAnalysis[[#This Row],[3rd Highest PiN]]="", "", _xlfn.TEXTJOIN(CHAR(10), TRUE, IF(tblPiNAnalysis[[#This Row],[3rd Highest PiN]]=tblPiNAnalysis[[#This Row],[CCCM]:[WASH]], tblPiNAnalysis[[#Headers],[CCCM]:[WASH]], "")))</f>
        <v>Shelter</v>
      </c>
      <c r="AW6" s="190">
        <f>IFERROR(tblPiNAnalysis[[#This Row],[3rd Highest PiN]]/tblPiNAnalysis[[#This Row],[Affected population projection 2026]], "")</f>
        <v>0.70588235294117641</v>
      </c>
      <c r="AX6" s="45">
        <f>IFERROR(tblPiNAnalysis[[#This Row],[Highest PiN]]-tblPiNAnalysis[[#This Row],[3rd Highest PiN]],"")</f>
        <v>1776.878815790822</v>
      </c>
      <c r="AY6" s="39">
        <f>IFERROR(tblPiNAnalysis[[#This Row],[Difference of PiN between Highest and 3rd Highest]]/tblPiNAnalysis[[#This Row],[3rd Highest PiN]], "")</f>
        <v>0.15432098765432128</v>
      </c>
      <c r="AZ6" s="270" t="str" cm="1">
        <f t="array" ref="AZ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 s="300" t="str" cm="1">
        <f t="array" ref="BA6">IFERROR(IF(tblPiNAnalysis[[#This Row],[ID]]="", "", INDEX(tblPiNHistorical[[CCCM]:[WASH]], MATCH(tblPiNAnalysis[[#This Row],[ID]],tblPiNHistorical[ID], 0),MATCH(_xlfn._xlws.FILTER(tblPiNAnalysis[[#Headers],[CCCM]:[WASH]], tblPiNAnalysis[[#This Row],[Highest PiN]]=tblPiNAnalysis[[#This Row],[CCCM]:[WASH]]), tblPiNHistorical[[#Headers],[CCCM]:[WASH]], 0))), "")</f>
        <v/>
      </c>
      <c r="BB6" s="276" t="str" cm="1">
        <f t="array" ref="BB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 s="276" t="str" cm="1">
        <f t="array" ref="BC6">IFERROR(IF(tblPiNAnalysis[[#This Row],[ID]]="", "", INDEX(tblPiNHistorical[[CCCM]:[WASH]], MATCH(tblPiNAnalysis[[#This Row],[ID]],tblPiNHistorical[ID], 0),MATCH(_xlfn._xlws.FILTER(tblPiNAnalysis[[#Headers],[CCCM]:[WASH]], tblPiNAnalysis[[#This Row],[2nd Highest PiN]]=tblPiNAnalysis[[#This Row],[CCCM]:[WASH]]), tblPiNHistorical[[#Headers],[CCCM]:[WASH]], 0))), "")</f>
        <v/>
      </c>
      <c r="BD6" s="277" t="str" cm="1">
        <f t="array" ref="BD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 s="276">
        <f>INDEX(tblSeverityAnalysis[Final Severity], MATCH(tblPiNAnalysis[[#This Row],[ID]],tblSeverityAnalysis[ID], 0))</f>
        <v>3</v>
      </c>
      <c r="BF6" s="61">
        <f>IF(tblPiNAnalysis[[#This Row],[Severity]]&gt;2,tblPiNAnalysis[[#This Row],[Highest PiN]],)</f>
        <v>13291.053542115327</v>
      </c>
      <c r="BG6" s="191"/>
      <c r="BH6" s="192"/>
      <c r="BI6" s="193">
        <f>COUNTIFS(tblPiNAnalysis[[#This Row],[Number of missing / zero PiNs greater than threshold - Data quality]:[Manual Flag]],"Flagged")</f>
        <v>0</v>
      </c>
      <c r="BJ6" s="284" t="str">
        <f>IF(tblPiNAnalysis[[#This Row],['# Flags]]&gt;0, "Flagged", "")</f>
        <v/>
      </c>
      <c r="BK6" s="267">
        <f>tblPiNAnalysis[[#This Row],[Preliminary PiN]]</f>
        <v>13291.053542115327</v>
      </c>
      <c r="BL6" s="272"/>
      <c r="BM6" s="278"/>
      <c r="BN6" s="279"/>
      <c r="BO6" s="279"/>
      <c r="BP6" s="279"/>
      <c r="BQ6" s="279"/>
      <c r="BT6" s="280"/>
      <c r="BU6" s="279"/>
      <c r="BV6" s="279"/>
      <c r="BW6" s="279"/>
      <c r="BX6" s="279"/>
      <c r="BY6" s="279"/>
      <c r="CB6" s="279"/>
      <c r="CD6" s="281"/>
      <c r="CE6" s="282"/>
      <c r="CF6" s="279"/>
    </row>
    <row r="7" spans="1:84" s="244" customFormat="1" ht="24.6" x14ac:dyDescent="0.55000000000000004">
      <c r="A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SS0103</v>
      </c>
      <c r="B7" s="259" t="s">
        <v>236</v>
      </c>
      <c r="C7" s="218" t="s">
        <v>237</v>
      </c>
      <c r="D7" s="260" t="s">
        <v>242</v>
      </c>
      <c r="E7" s="105" t="s">
        <v>243</v>
      </c>
      <c r="F7" s="100"/>
      <c r="G7" s="34"/>
      <c r="H7" s="34"/>
      <c r="I7" s="97">
        <v>7434.8763775539119</v>
      </c>
      <c r="J7" s="226" t="s">
        <v>412</v>
      </c>
      <c r="K7" s="261">
        <v>0</v>
      </c>
      <c r="L7" s="219">
        <v>981.68620713946348</v>
      </c>
      <c r="M7" s="219">
        <v>3016.7293663498526</v>
      </c>
      <c r="N7" s="219">
        <v>4690.9435850029386</v>
      </c>
      <c r="O7" s="219">
        <v>3386.0205108896025</v>
      </c>
      <c r="P7" s="219">
        <v>5948</v>
      </c>
      <c r="Q7" s="229">
        <v>4687.2046728057267</v>
      </c>
      <c r="R7" s="219">
        <v>4405.8526681800959</v>
      </c>
      <c r="S7" s="219">
        <v>1249</v>
      </c>
      <c r="T7" s="219">
        <v>907</v>
      </c>
      <c r="U7" s="219">
        <v>3560</v>
      </c>
      <c r="V7" s="219">
        <v>1895</v>
      </c>
      <c r="W7" s="262">
        <f>IFERROR(IF(tblPiNAnalysis[[#This Row],[CCCM]]="", "", MROUND(tblPiNAnalysis[[#This Row],[CCCM]]/tblPiNAnalysis[[#This Row],[Affected population projection 2026]], 0.05)), "")</f>
        <v>0</v>
      </c>
      <c r="X7" s="263">
        <f>IFERROR(IF(tblPiNAnalysis[[#This Row],[Education]]="", "", MROUND(tblPiNAnalysis[[#This Row],[Education]]/tblPiNAnalysis[[#This Row],[Affected population projection 2026]], 0.05)), "")</f>
        <v>0.15000000000000002</v>
      </c>
      <c r="Y7" s="263">
        <f>IFERROR(IF(tblPiNAnalysis[[#This Row],[Nutrition]]="", "", MROUND(tblPiNAnalysis[[#This Row],[Nutrition]]/tblPiNAnalysis[[#This Row],[Affected population projection 2026]], 0.05)), "")</f>
        <v>0.4</v>
      </c>
      <c r="Z7" s="263">
        <f>IFERROR(IF(tblPiNAnalysis[[#This Row],[Food Security]]="", "", MROUND(tblPiNAnalysis[[#This Row],[Food Security]]/tblPiNAnalysis[[#This Row],[Affected population projection 2026]], 0.05)), "")</f>
        <v>0.65</v>
      </c>
      <c r="AA7" s="263">
        <f>IFERROR(IF(tblPiNAnalysis[[#This Row],[Health]]="", "", MROUND(tblPiNAnalysis[[#This Row],[Health]]/tblPiNAnalysis[[#This Row],[Affected population projection 2026]], 0.05)), "")</f>
        <v>0.45</v>
      </c>
      <c r="AB7" s="264">
        <f>IFERROR(IF(tblPiNAnalysis[[#This Row],[Overarching Protection]]="", "", MROUND(tblPiNAnalysis[[#This Row],[Overarching Protection]]/tblPiNAnalysis[[#This Row],[Affected population projection 2026]], 0.05)), "")</f>
        <v>0.8</v>
      </c>
      <c r="AC7" s="264">
        <f>IFERROR(IF(tblPiNAnalysis[[#This Row],[Shelter]]="", "", MROUND(tblPiNAnalysis[[#This Row],[Shelter]]/tblPiNAnalysis[[#This Row],[Affected population projection 2026]], 0.05)), "")</f>
        <v>0.65</v>
      </c>
      <c r="AD7" s="265">
        <f>IFERROR(IF(tblPiNAnalysis[[#This Row],[WASH]]="", "", MROUND(tblPiNAnalysis[[#This Row],[WASH]]/tblPiNAnalysis[[#This Row],[Affected population projection 2026]], 0.05)), "")</f>
        <v>0.60000000000000009</v>
      </c>
      <c r="AE7" s="263">
        <f>IFERROR(MROUND(tblPiNAnalysis[[#This Row],[CP]]/tblPiNAnalysis[[#This Row],[Affected population projection 2026]], 0.05), "")</f>
        <v>0.15000000000000002</v>
      </c>
      <c r="AF7" s="263">
        <f>IFERROR(MROUND(tblPiNAnalysis[[#This Row],[GBV]]/tblPiNAnalysis[[#This Row],[Affected population projection 2026]], 0.05), "")</f>
        <v>0.1</v>
      </c>
      <c r="AG7" s="263">
        <f>IFERROR(MROUND(tblPiNAnalysis[[#This Row],[Mine Action]]/tblPiNAnalysis[[#This Row],[Affected population projection 2026]], 0.05), "")</f>
        <v>0.5</v>
      </c>
      <c r="AH7" s="263">
        <f>IFERROR(MROUND(tblPiNAnalysis[[#This Row],[HLP]]/tblPiNAnalysis[[#This Row],[Affected population projection 2026]], 0.05), "")</f>
        <v>0.25</v>
      </c>
      <c r="AI7" s="266">
        <f>IFERROR(LARGE(tblPiNAnalysis[[#This Row],[CCCM]:[WASH]], 1), "")</f>
        <v>5948</v>
      </c>
      <c r="AJ7" s="267" t="str" cm="1">
        <f t="array" ref="AJ7">IF(tblPiNAnalysis[[#This Row],[Highest PiN]]="", "", _xlfn.TEXTJOIN(CHAR(10), TRUE, IF(tblPiNAnalysis[[#This Row],[Highest PiN]]=tblPiNAnalysis[[#This Row],[CCCM]:[WASH]], tblPiNAnalysis[[#Headers],[CCCM]:[WASH]], "")))</f>
        <v>Overarching Protection</v>
      </c>
      <c r="AK7" s="268">
        <f>IF(tblPiNAnalysis[[#This Row],[Highest PiN]]="", "", tblPiNAnalysis[[#This Row],[Highest PiN]]/tblPiNAnalysis[[#This Row],[Affected population projection 2026]])</f>
        <v>0.80001330189660835</v>
      </c>
      <c r="AL7" s="269" t="str">
        <f>IF(SUM(tblPiNAnalysis[[#This Row],[CCCM]:[WASH]])=0, "",IF(COUNTIF(tblPiNAnalysis[[#This Row],[CCCM]:[WASH]],"=0")+COUNTIF(tblPiNAnalysis[[#This Row],[CCCM]:[WASH]],"")&gt;=zero_pin_thresh, "Flagged", ""))</f>
        <v/>
      </c>
      <c r="AM7" s="268" t="str">
        <f>IFERROR(IF(tblPiNAnalysis[[#This Row],[Highest PiN]]="", "", IF(tblPiNAnalysis[[#This Row],[Highest sector(s'') PiN %]]&gt;=flag_pin_perc, "Flagged", "")), "")</f>
        <v/>
      </c>
      <c r="AN7" s="270" t="str" cm="1">
        <f t="array" ref="AN7">IF(tblPiNAnalysis[[#This Row],[Highest PiN]]=0, "",  IF(OR(COUNTIF(tblPiNAnalysis[[#This Row],[Highest sector(s)]],tblSubSectorPopulation[Sector])), "Flagged", ""))</f>
        <v/>
      </c>
      <c r="AO7" s="271" cm="1">
        <f t="array" ref="AO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4690.9435850029386</v>
      </c>
      <c r="AP7" s="272" t="str" cm="1">
        <f t="array" ref="AP7">IF(tblPiNAnalysis[[#This Row],[2nd Highest PiN]]="", "", _xlfn.TEXTJOIN(CHAR(10), TRUE, IF(tblPiNAnalysis[[#This Row],[2nd Highest PiN]]=tblPiNAnalysis[[#This Row],[CCCM]:[WASH]], tblPiNAnalysis[[#Headers],[CCCM]:[WASH]], "")))</f>
        <v>Food Security</v>
      </c>
      <c r="AQ7" s="38">
        <f>IFERROR(tblPiNAnalysis[[#This Row],[2nd Highest PiN]]/tblPiNAnalysis[[#This Row],[Affected population projection 2026]], "")</f>
        <v>0.63093767088919206</v>
      </c>
      <c r="AR7" s="46">
        <f>IFERROR(tblPiNAnalysis[[#This Row],[Highest PiN]]-tblPiNAnalysis[[#This Row],[2nd Highest PiN]], "")</f>
        <v>1257.0564149970614</v>
      </c>
      <c r="AS7" s="39">
        <f>IFERROR(((tblPiNAnalysis[[#This Row],[Highest PiN]]-tblPiNAnalysis[[#This Row],[2nd Highest PiN]])/tblPiNAnalysis[[#This Row],[2nd Highest PiN]]),"")</f>
        <v>0.26797517220541761</v>
      </c>
      <c r="AT7" s="273" t="str" cm="1">
        <f t="array" ref="AT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 s="274" cm="1">
        <f t="array" ref="AU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4687.2046728057267</v>
      </c>
      <c r="AV7" s="275" t="str" cm="1">
        <f t="array" ref="AV7">IF(tblPiNAnalysis[[#This Row],[3rd Highest PiN]]="", "", _xlfn.TEXTJOIN(CHAR(10), TRUE, IF(tblPiNAnalysis[[#This Row],[3rd Highest PiN]]=tblPiNAnalysis[[#This Row],[CCCM]:[WASH]], tblPiNAnalysis[[#Headers],[CCCM]:[WASH]], "")))</f>
        <v>Shelter</v>
      </c>
      <c r="AW7" s="190">
        <f>IFERROR(tblPiNAnalysis[[#This Row],[3rd Highest PiN]]/tblPiNAnalysis[[#This Row],[Affected population projection 2026]], "")</f>
        <v>0.63043478260869557</v>
      </c>
      <c r="AX7" s="45">
        <f>IFERROR(tblPiNAnalysis[[#This Row],[Highest PiN]]-tblPiNAnalysis[[#This Row],[3rd Highest PiN]],"")</f>
        <v>1260.7953271942733</v>
      </c>
      <c r="AY7" s="39">
        <f>IFERROR(tblPiNAnalysis[[#This Row],[Difference of PiN between Highest and 3rd Highest]]/tblPiNAnalysis[[#This Row],[3rd Highest PiN]], "")</f>
        <v>0.26898661680151686</v>
      </c>
      <c r="AZ7" s="270" t="str" cm="1">
        <f t="array" ref="AZ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 s="300" t="str" cm="1">
        <f t="array" ref="BA7">IFERROR(IF(tblPiNAnalysis[[#This Row],[ID]]="", "", INDEX(tblPiNHistorical[[CCCM]:[WASH]], MATCH(tblPiNAnalysis[[#This Row],[ID]],tblPiNHistorical[ID], 0),MATCH(_xlfn._xlws.FILTER(tblPiNAnalysis[[#Headers],[CCCM]:[WASH]], tblPiNAnalysis[[#This Row],[Highest PiN]]=tblPiNAnalysis[[#This Row],[CCCM]:[WASH]]), tblPiNHistorical[[#Headers],[CCCM]:[WASH]], 0))), "")</f>
        <v/>
      </c>
      <c r="BB7" s="276" t="str" cm="1">
        <f t="array" ref="BB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 s="276" t="str" cm="1">
        <f t="array" ref="BC7">IFERROR(IF(tblPiNAnalysis[[#This Row],[ID]]="", "", INDEX(tblPiNHistorical[[CCCM]:[WASH]], MATCH(tblPiNAnalysis[[#This Row],[ID]],tblPiNHistorical[ID], 0),MATCH(_xlfn._xlws.FILTER(tblPiNAnalysis[[#Headers],[CCCM]:[WASH]], tblPiNAnalysis[[#This Row],[2nd Highest PiN]]=tblPiNAnalysis[[#This Row],[CCCM]:[WASH]]), tblPiNHistorical[[#Headers],[CCCM]:[WASH]], 0))), "")</f>
        <v/>
      </c>
      <c r="BD7" s="277" t="str" cm="1">
        <f t="array" ref="BD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 s="276">
        <f>INDEX(tblSeverityAnalysis[Final Severity], MATCH(tblPiNAnalysis[[#This Row],[ID]],tblSeverityAnalysis[ID], 0))</f>
        <v>3</v>
      </c>
      <c r="BF7" s="61">
        <f>IF(tblPiNAnalysis[[#This Row],[Severity]]&gt;2,tblPiNAnalysis[[#This Row],[Highest PiN]],)</f>
        <v>5948</v>
      </c>
      <c r="BG7" s="191"/>
      <c r="BH7" s="192"/>
      <c r="BI7" s="193">
        <f>COUNTIFS(tblPiNAnalysis[[#This Row],[Number of missing / zero PiNs greater than threshold - Data quality]:[Manual Flag]],"Flagged")</f>
        <v>0</v>
      </c>
      <c r="BJ7" s="284" t="str">
        <f>IF(tblPiNAnalysis[[#This Row],['# Flags]]&gt;0, "Flagged", "")</f>
        <v/>
      </c>
      <c r="BK7" s="267">
        <f>tblPiNAnalysis[[#This Row],[Preliminary PiN]]</f>
        <v>5948</v>
      </c>
      <c r="BL7" s="272"/>
      <c r="BM7" s="278"/>
      <c r="BN7" s="279"/>
      <c r="BO7" s="279"/>
      <c r="BP7" s="279"/>
      <c r="BQ7" s="279"/>
      <c r="BT7" s="280"/>
      <c r="BU7" s="279"/>
      <c r="BV7" s="279"/>
      <c r="BW7" s="279"/>
      <c r="BX7" s="279"/>
      <c r="BY7" s="279"/>
      <c r="CB7" s="279"/>
      <c r="CD7" s="281"/>
      <c r="CE7" s="282"/>
      <c r="CF7" s="279"/>
    </row>
    <row r="8" spans="1:84" ht="24.6" x14ac:dyDescent="0.55000000000000004">
      <c r="A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SS0104</v>
      </c>
      <c r="B8" s="316" t="s">
        <v>236</v>
      </c>
      <c r="C8" s="317" t="s">
        <v>237</v>
      </c>
      <c r="D8" s="317" t="s">
        <v>244</v>
      </c>
      <c r="E8" s="105" t="s">
        <v>245</v>
      </c>
      <c r="F8" s="100"/>
      <c r="G8" s="34"/>
      <c r="H8" s="34"/>
      <c r="I8" s="97">
        <v>10995.852324765609</v>
      </c>
      <c r="J8" s="97" t="s">
        <v>412</v>
      </c>
      <c r="K8" s="318">
        <v>10003.75</v>
      </c>
      <c r="L8" s="319">
        <v>1946.0349485846925</v>
      </c>
      <c r="M8" s="319">
        <v>3652.351679331086</v>
      </c>
      <c r="N8" s="319">
        <v>7470.4403267122298</v>
      </c>
      <c r="O8" s="319">
        <v>7139.7875687378446</v>
      </c>
      <c r="P8" s="319">
        <v>8797</v>
      </c>
      <c r="Q8" s="320">
        <v>10472.24030930058</v>
      </c>
      <c r="R8" s="319">
        <v>6210.620294543538</v>
      </c>
      <c r="S8" s="319">
        <v>4830</v>
      </c>
      <c r="T8" s="319">
        <v>1708</v>
      </c>
      <c r="U8" s="319">
        <v>5418</v>
      </c>
      <c r="V8" s="319">
        <v>2853</v>
      </c>
      <c r="W8" s="321">
        <f>IFERROR(IF(tblPiNAnalysis[[#This Row],[CCCM]]="", "", MROUND(tblPiNAnalysis[[#This Row],[CCCM]]/tblPiNAnalysis[[#This Row],[Affected population projection 2026]], 0.05)), "")</f>
        <v>0.9</v>
      </c>
      <c r="X8" s="322">
        <f>IFERROR(IF(tblPiNAnalysis[[#This Row],[Education]]="", "", MROUND(tblPiNAnalysis[[#This Row],[Education]]/tblPiNAnalysis[[#This Row],[Affected population projection 2026]], 0.05)), "")</f>
        <v>0.2</v>
      </c>
      <c r="Y8" s="322">
        <f>IFERROR(IF(tblPiNAnalysis[[#This Row],[Nutrition]]="", "", MROUND(tblPiNAnalysis[[#This Row],[Nutrition]]/tblPiNAnalysis[[#This Row],[Affected population projection 2026]], 0.05)), "")</f>
        <v>0.35000000000000003</v>
      </c>
      <c r="Z8" s="322">
        <f>IFERROR(IF(tblPiNAnalysis[[#This Row],[Food Security]]="", "", MROUND(tblPiNAnalysis[[#This Row],[Food Security]]/tblPiNAnalysis[[#This Row],[Affected population projection 2026]], 0.05)), "")</f>
        <v>0.70000000000000007</v>
      </c>
      <c r="AA8" s="322">
        <f>IFERROR(IF(tblPiNAnalysis[[#This Row],[Health]]="", "", MROUND(tblPiNAnalysis[[#This Row],[Health]]/tblPiNAnalysis[[#This Row],[Affected population projection 2026]], 0.05)), "")</f>
        <v>0.65</v>
      </c>
      <c r="AB8" s="323">
        <f>IFERROR(IF(tblPiNAnalysis[[#This Row],[Overarching Protection]]="", "", MROUND(tblPiNAnalysis[[#This Row],[Overarching Protection]]/tblPiNAnalysis[[#This Row],[Affected population projection 2026]], 0.05)), "")</f>
        <v>0.8</v>
      </c>
      <c r="AC8" s="323">
        <f>IFERROR(IF(tblPiNAnalysis[[#This Row],[Shelter]]="", "", MROUND(tblPiNAnalysis[[#This Row],[Shelter]]/tblPiNAnalysis[[#This Row],[Affected population projection 2026]], 0.05)), "")</f>
        <v>0.95000000000000007</v>
      </c>
      <c r="AD8" s="324">
        <f>IFERROR(IF(tblPiNAnalysis[[#This Row],[WASH]]="", "", MROUND(tblPiNAnalysis[[#This Row],[WASH]]/tblPiNAnalysis[[#This Row],[Affected population projection 2026]], 0.05)), "")</f>
        <v>0.55000000000000004</v>
      </c>
      <c r="AE8" s="322">
        <f>IFERROR(MROUND(tblPiNAnalysis[[#This Row],[CP]]/tblPiNAnalysis[[#This Row],[Affected population projection 2026]], 0.05), "")</f>
        <v>0.45</v>
      </c>
      <c r="AF8" s="322">
        <f>IFERROR(MROUND(tblPiNAnalysis[[#This Row],[GBV]]/tblPiNAnalysis[[#This Row],[Affected population projection 2026]], 0.05), "")</f>
        <v>0.15000000000000002</v>
      </c>
      <c r="AG8" s="322">
        <f>IFERROR(MROUND(tblPiNAnalysis[[#This Row],[Mine Action]]/tblPiNAnalysis[[#This Row],[Affected population projection 2026]], 0.05), "")</f>
        <v>0.5</v>
      </c>
      <c r="AH8" s="322">
        <f>IFERROR(MROUND(tblPiNAnalysis[[#This Row],[HLP]]/tblPiNAnalysis[[#This Row],[Affected population projection 2026]], 0.05), "")</f>
        <v>0.25</v>
      </c>
      <c r="AI8" s="325">
        <f>IFERROR(LARGE(tblPiNAnalysis[[#This Row],[CCCM]:[WASH]], 1), "")</f>
        <v>10472.24030930058</v>
      </c>
      <c r="AJ8" s="326" t="str" cm="1">
        <f t="array" ref="AJ8">IF(tblPiNAnalysis[[#This Row],[Highest PiN]]="", "", _xlfn.TEXTJOIN(CHAR(10), TRUE, IF(tblPiNAnalysis[[#This Row],[Highest PiN]]=tblPiNAnalysis[[#This Row],[CCCM]:[WASH]], tblPiNAnalysis[[#Headers],[CCCM]:[WASH]], "")))</f>
        <v>Shelter</v>
      </c>
      <c r="AK8" s="327">
        <f>IF(tblPiNAnalysis[[#This Row],[Highest PiN]]="", "", tblPiNAnalysis[[#This Row],[Highest PiN]]/tblPiNAnalysis[[#This Row],[Affected population projection 2026]])</f>
        <v>0.95238095238095244</v>
      </c>
      <c r="AL8" s="328" t="str">
        <f>IF(SUM(tblPiNAnalysis[[#This Row],[CCCM]:[WASH]])=0, "",IF(COUNTIF(tblPiNAnalysis[[#This Row],[CCCM]:[WASH]],"=0")+COUNTIF(tblPiNAnalysis[[#This Row],[CCCM]:[WASH]],"")&gt;=zero_pin_thresh, "Flagged", ""))</f>
        <v/>
      </c>
      <c r="AM8" s="329" t="str">
        <f>IFERROR(IF(tblPiNAnalysis[[#This Row],[Highest PiN]]="", "", IF(tblPiNAnalysis[[#This Row],[Highest sector(s'') PiN %]]&gt;=flag_pin_perc, "Flagged", "")), "")</f>
        <v>Flagged</v>
      </c>
      <c r="AN8" s="330" t="str" cm="1">
        <f t="array" ref="AN8">IF(tblPiNAnalysis[[#This Row],[Highest PiN]]=0, "",  IF(OR(COUNTIF(tblPiNAnalysis[[#This Row],[Highest sector(s)]],tblSubSectorPopulation[Sector])), "Flagged", ""))</f>
        <v/>
      </c>
      <c r="AO8" s="46" cm="1">
        <f t="array" ref="AO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10003.75</v>
      </c>
      <c r="AP8" s="331" t="str" cm="1">
        <f t="array" ref="AP8">IF(tblPiNAnalysis[[#This Row],[2nd Highest PiN]]="", "", _xlfn.TEXTJOIN(CHAR(10), TRUE, IF(tblPiNAnalysis[[#This Row],[2nd Highest PiN]]=tblPiNAnalysis[[#This Row],[CCCM]:[WASH]], tblPiNAnalysis[[#Headers],[CCCM]:[WASH]], "")))</f>
        <v>CCCM</v>
      </c>
      <c r="AQ8" s="36">
        <f>IFERROR(tblPiNAnalysis[[#This Row],[2nd Highest PiN]]/tblPiNAnalysis[[#This Row],[Affected population projection 2026]], "")</f>
        <v>0.90977485915019718</v>
      </c>
      <c r="AR8" s="46">
        <f>IFERROR(tblPiNAnalysis[[#This Row],[Highest PiN]]-tblPiNAnalysis[[#This Row],[2nd Highest PiN]], "")</f>
        <v>468.49030930057961</v>
      </c>
      <c r="AS8" s="39">
        <f>IFERROR(((tblPiNAnalysis[[#This Row],[Highest PiN]]-tblPiNAnalysis[[#This Row],[2nd Highest PiN]])/tblPiNAnalysis[[#This Row],[2nd Highest PiN]]),"")</f>
        <v>4.6831469129134537E-2</v>
      </c>
      <c r="AT8" s="39" t="str" cm="1">
        <f t="array" ref="AT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 s="332" cm="1">
        <f t="array" ref="AU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8797</v>
      </c>
      <c r="AV8" s="190" t="str" cm="1">
        <f t="array" ref="AV8">IF(tblPiNAnalysis[[#This Row],[3rd Highest PiN]]="", "", _xlfn.TEXTJOIN(CHAR(10), TRUE, IF(tblPiNAnalysis[[#This Row],[3rd Highest PiN]]=tblPiNAnalysis[[#This Row],[CCCM]:[WASH]], tblPiNAnalysis[[#Headers],[CCCM]:[WASH]], "")))</f>
        <v>Overarching Protection</v>
      </c>
      <c r="AW8" s="190">
        <f>IFERROR(tblPiNAnalysis[[#This Row],[3rd Highest PiN]]/tblPiNAnalysis[[#This Row],[Affected population projection 2026]], "")</f>
        <v>0.80002893274464926</v>
      </c>
      <c r="AX8" s="45">
        <f>IFERROR(tblPiNAnalysis[[#This Row],[Highest PiN]]-tblPiNAnalysis[[#This Row],[3rd Highest PiN]],"")</f>
        <v>1675.2403093005796</v>
      </c>
      <c r="AY8" s="39">
        <f>IFERROR(tblPiNAnalysis[[#This Row],[Difference of PiN between Highest and 3rd Highest]]/tblPiNAnalysis[[#This Row],[3rd Highest PiN]], "")</f>
        <v>0.19043313735370918</v>
      </c>
      <c r="AZ8" s="330" t="str" cm="1">
        <f t="array" ref="AZ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 s="300" t="str" cm="1">
        <f t="array" ref="BA8">IFERROR(IF(tblPiNAnalysis[[#This Row],[ID]]="", "", INDEX(tblPiNHistorical[[CCCM]:[WASH]], MATCH(tblPiNAnalysis[[#This Row],[ID]],tblPiNHistorical[ID], 0),MATCH(_xlfn._xlws.FILTER(tblPiNAnalysis[[#Headers],[CCCM]:[WASH]], tblPiNAnalysis[[#This Row],[Highest PiN]]=tblPiNAnalysis[[#This Row],[CCCM]:[WASH]]), tblPiNHistorical[[#Headers],[CCCM]:[WASH]], 0))), "")</f>
        <v/>
      </c>
      <c r="BB8" s="333" t="str" cm="1">
        <f t="array" ref="BB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 s="276" t="str" cm="1">
        <f t="array" ref="BC8">IFERROR(IF(tblPiNAnalysis[[#This Row],[ID]]="", "", INDEX(tblPiNHistorical[[CCCM]:[WASH]], MATCH(tblPiNAnalysis[[#This Row],[ID]],tblPiNHistorical[ID], 0),MATCH(_xlfn._xlws.FILTER(tblPiNAnalysis[[#Headers],[CCCM]:[WASH]], tblPiNAnalysis[[#This Row],[2nd Highest PiN]]=tblPiNAnalysis[[#This Row],[CCCM]:[WASH]]), tblPiNHistorical[[#Headers],[CCCM]:[WASH]], 0))), "")</f>
        <v/>
      </c>
      <c r="BD8" s="334" t="str" cm="1">
        <f t="array" ref="BD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 s="276">
        <f>INDEX(tblSeverityAnalysis[Final Severity], MATCH(tblPiNAnalysis[[#This Row],[ID]],tblSeverityAnalysis[ID], 0))</f>
        <v>3</v>
      </c>
      <c r="BF8" s="61">
        <f>IF(tblPiNAnalysis[[#This Row],[Severity]]&gt;2,tblPiNAnalysis[[#This Row],[Highest PiN]],)</f>
        <v>10472.24030930058</v>
      </c>
      <c r="BG8" s="191"/>
      <c r="BH8" s="192"/>
      <c r="BI8" s="193">
        <f>COUNTIFS(tblPiNAnalysis[[#This Row],[Number of missing / zero PiNs greater than threshold - Data quality]:[Manual Flag]],"Flagged")</f>
        <v>1</v>
      </c>
      <c r="BJ8" s="96" t="str">
        <f>IF(tblPiNAnalysis[[#This Row],['# Flags]]&gt;0, "Flagged", "")</f>
        <v>Flagged</v>
      </c>
      <c r="BK8" s="326">
        <f>tblPiNAnalysis[[#This Row],[Preliminary PiN]]</f>
        <v>10472.24030930058</v>
      </c>
      <c r="BL8" s="331"/>
    </row>
    <row r="9" spans="1:84" ht="24.6" x14ac:dyDescent="0.55000000000000004">
      <c r="A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SS0105</v>
      </c>
      <c r="B9" s="316" t="s">
        <v>236</v>
      </c>
      <c r="C9" s="317" t="s">
        <v>237</v>
      </c>
      <c r="D9" s="317" t="s">
        <v>246</v>
      </c>
      <c r="E9" s="105" t="s">
        <v>247</v>
      </c>
      <c r="F9" s="100"/>
      <c r="G9" s="34"/>
      <c r="H9" s="34"/>
      <c r="I9" s="97">
        <v>13333.613326350463</v>
      </c>
      <c r="J9" s="97" t="s">
        <v>412</v>
      </c>
      <c r="K9" s="318">
        <v>0</v>
      </c>
      <c r="L9" s="319">
        <v>3537.4742835474094</v>
      </c>
      <c r="M9" s="319">
        <v>3921.0295061368129</v>
      </c>
      <c r="N9" s="319">
        <v>8587.0091798293361</v>
      </c>
      <c r="O9" s="319">
        <v>6819.088880858395</v>
      </c>
      <c r="P9" s="319">
        <v>8429</v>
      </c>
      <c r="Q9" s="320">
        <v>11111.344438625387</v>
      </c>
      <c r="R9" s="319">
        <v>4814.9159234043336</v>
      </c>
      <c r="S9" s="319">
        <v>2013</v>
      </c>
      <c r="T9" s="319">
        <v>5155</v>
      </c>
      <c r="U9" s="319">
        <v>7187</v>
      </c>
      <c r="V9" s="319">
        <v>2960</v>
      </c>
      <c r="W9" s="321">
        <f>IFERROR(IF(tblPiNAnalysis[[#This Row],[CCCM]]="", "", MROUND(tblPiNAnalysis[[#This Row],[CCCM]]/tblPiNAnalysis[[#This Row],[Affected population projection 2026]], 0.05)), "")</f>
        <v>0</v>
      </c>
      <c r="X9" s="322">
        <f>IFERROR(IF(tblPiNAnalysis[[#This Row],[Education]]="", "", MROUND(tblPiNAnalysis[[#This Row],[Education]]/tblPiNAnalysis[[#This Row],[Affected population projection 2026]], 0.05)), "")</f>
        <v>0.25</v>
      </c>
      <c r="Y9" s="322">
        <f>IFERROR(IF(tblPiNAnalysis[[#This Row],[Nutrition]]="", "", MROUND(tblPiNAnalysis[[#This Row],[Nutrition]]/tblPiNAnalysis[[#This Row],[Affected population projection 2026]], 0.05)), "")</f>
        <v>0.30000000000000004</v>
      </c>
      <c r="Z9" s="322">
        <f>IFERROR(IF(tblPiNAnalysis[[#This Row],[Food Security]]="", "", MROUND(tblPiNAnalysis[[#This Row],[Food Security]]/tblPiNAnalysis[[#This Row],[Affected population projection 2026]], 0.05)), "")</f>
        <v>0.65</v>
      </c>
      <c r="AA9" s="322">
        <f>IFERROR(IF(tblPiNAnalysis[[#This Row],[Health]]="", "", MROUND(tblPiNAnalysis[[#This Row],[Health]]/tblPiNAnalysis[[#This Row],[Affected population projection 2026]], 0.05)), "")</f>
        <v>0.5</v>
      </c>
      <c r="AB9" s="323">
        <f>IFERROR(IF(tblPiNAnalysis[[#This Row],[Overarching Protection]]="", "", MROUND(tblPiNAnalysis[[#This Row],[Overarching Protection]]/tblPiNAnalysis[[#This Row],[Affected population projection 2026]], 0.05)), "")</f>
        <v>0.65</v>
      </c>
      <c r="AC9" s="323">
        <f>IFERROR(IF(tblPiNAnalysis[[#This Row],[Shelter]]="", "", MROUND(tblPiNAnalysis[[#This Row],[Shelter]]/tblPiNAnalysis[[#This Row],[Affected population projection 2026]], 0.05)), "")</f>
        <v>0.85000000000000009</v>
      </c>
      <c r="AD9" s="324">
        <f>IFERROR(IF(tblPiNAnalysis[[#This Row],[WASH]]="", "", MROUND(tblPiNAnalysis[[#This Row],[WASH]]/tblPiNAnalysis[[#This Row],[Affected population projection 2026]], 0.05)), "")</f>
        <v>0.35000000000000003</v>
      </c>
      <c r="AE9" s="322">
        <f>IFERROR(MROUND(tblPiNAnalysis[[#This Row],[CP]]/tblPiNAnalysis[[#This Row],[Affected population projection 2026]], 0.05), "")</f>
        <v>0.15000000000000002</v>
      </c>
      <c r="AF9" s="322">
        <f>IFERROR(MROUND(tblPiNAnalysis[[#This Row],[GBV]]/tblPiNAnalysis[[#This Row],[Affected population projection 2026]], 0.05), "")</f>
        <v>0.4</v>
      </c>
      <c r="AG9" s="322">
        <f>IFERROR(MROUND(tblPiNAnalysis[[#This Row],[Mine Action]]/tblPiNAnalysis[[#This Row],[Affected population projection 2026]], 0.05), "")</f>
        <v>0.55000000000000004</v>
      </c>
      <c r="AH9" s="322">
        <f>IFERROR(MROUND(tblPiNAnalysis[[#This Row],[HLP]]/tblPiNAnalysis[[#This Row],[Affected population projection 2026]], 0.05), "")</f>
        <v>0.2</v>
      </c>
      <c r="AI9" s="325">
        <f>IFERROR(LARGE(tblPiNAnalysis[[#This Row],[CCCM]:[WASH]], 1), "")</f>
        <v>11111.344438625387</v>
      </c>
      <c r="AJ9" s="326" t="str" cm="1">
        <f t="array" ref="AJ9">IF(tblPiNAnalysis[[#This Row],[Highest PiN]]="", "", _xlfn.TEXTJOIN(CHAR(10), TRUE, IF(tblPiNAnalysis[[#This Row],[Highest PiN]]=tblPiNAnalysis[[#This Row],[CCCM]:[WASH]], tblPiNAnalysis[[#Headers],[CCCM]:[WASH]], "")))</f>
        <v>Shelter</v>
      </c>
      <c r="AK9" s="327">
        <f>IF(tblPiNAnalysis[[#This Row],[Highest PiN]]="", "", tblPiNAnalysis[[#This Row],[Highest PiN]]/tblPiNAnalysis[[#This Row],[Affected population projection 2026]])</f>
        <v>0.83333333333333337</v>
      </c>
      <c r="AL9" s="328" t="str">
        <f>IF(SUM(tblPiNAnalysis[[#This Row],[CCCM]:[WASH]])=0, "",IF(COUNTIF(tblPiNAnalysis[[#This Row],[CCCM]:[WASH]],"=0")+COUNTIF(tblPiNAnalysis[[#This Row],[CCCM]:[WASH]],"")&gt;=zero_pin_thresh, "Flagged", ""))</f>
        <v/>
      </c>
      <c r="AM9" s="329" t="str">
        <f>IFERROR(IF(tblPiNAnalysis[[#This Row],[Highest PiN]]="", "", IF(tblPiNAnalysis[[#This Row],[Highest sector(s'') PiN %]]&gt;=flag_pin_perc, "Flagged", "")), "")</f>
        <v/>
      </c>
      <c r="AN9" s="330" t="str" cm="1">
        <f t="array" ref="AN9">IF(tblPiNAnalysis[[#This Row],[Highest PiN]]=0, "",  IF(OR(COUNTIF(tblPiNAnalysis[[#This Row],[Highest sector(s)]],tblSubSectorPopulation[Sector])), "Flagged", ""))</f>
        <v/>
      </c>
      <c r="AO9" s="46" cm="1">
        <f t="array" ref="AO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8587.0091798293361</v>
      </c>
      <c r="AP9" s="331" t="str" cm="1">
        <f t="array" ref="AP9">IF(tblPiNAnalysis[[#This Row],[2nd Highest PiN]]="", "", _xlfn.TEXTJOIN(CHAR(10), TRUE, IF(tblPiNAnalysis[[#This Row],[2nd Highest PiN]]=tblPiNAnalysis[[#This Row],[CCCM]:[WASH]], tblPiNAnalysis[[#Headers],[CCCM]:[WASH]], "")))</f>
        <v>Food Security</v>
      </c>
      <c r="AQ9" s="36">
        <f>IFERROR(tblPiNAnalysis[[#This Row],[2nd Highest PiN]]/tblPiNAnalysis[[#This Row],[Affected population projection 2026]], "")</f>
        <v>0.64401216456902322</v>
      </c>
      <c r="AR9" s="46">
        <f>IFERROR(tblPiNAnalysis[[#This Row],[Highest PiN]]-tblPiNAnalysis[[#This Row],[2nd Highest PiN]], "")</f>
        <v>2524.3352587960508</v>
      </c>
      <c r="AS9" s="39">
        <f>IFERROR(((tblPiNAnalysis[[#This Row],[Highest PiN]]-tblPiNAnalysis[[#This Row],[2nd Highest PiN]])/tblPiNAnalysis[[#This Row],[2nd Highest PiN]]),"")</f>
        <v>0.29397141728061144</v>
      </c>
      <c r="AT9" s="39" t="str" cm="1">
        <f t="array" ref="AT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 s="332" cm="1">
        <f t="array" ref="AU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8429</v>
      </c>
      <c r="AV9" s="190" t="str" cm="1">
        <f t="array" ref="AV9">IF(tblPiNAnalysis[[#This Row],[3rd Highest PiN]]="", "", _xlfn.TEXTJOIN(CHAR(10), TRUE, IF(tblPiNAnalysis[[#This Row],[3rd Highest PiN]]=tblPiNAnalysis[[#This Row],[CCCM]:[WASH]], tblPiNAnalysis[[#Headers],[CCCM]:[WASH]], "")))</f>
        <v>Overarching Protection</v>
      </c>
      <c r="AW9" s="190">
        <f>IFERROR(tblPiNAnalysis[[#This Row],[3rd Highest PiN]]/tblPiNAnalysis[[#This Row],[Affected population projection 2026]], "")</f>
        <v>0.63216172493484912</v>
      </c>
      <c r="AX9" s="45">
        <f>IFERROR(tblPiNAnalysis[[#This Row],[Highest PiN]]-tblPiNAnalysis[[#This Row],[3rd Highest PiN]],"")</f>
        <v>2682.3444386253868</v>
      </c>
      <c r="AY9" s="39">
        <f>IFERROR(tblPiNAnalysis[[#This Row],[Difference of PiN between Highest and 3rd Highest]]/tblPiNAnalysis[[#This Row],[3rd Highest PiN]], "")</f>
        <v>0.31822807434160477</v>
      </c>
      <c r="AZ9" s="330" t="str" cm="1">
        <f t="array" ref="AZ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 s="300" t="str" cm="1">
        <f t="array" ref="BA9">IFERROR(IF(tblPiNAnalysis[[#This Row],[ID]]="", "", INDEX(tblPiNHistorical[[CCCM]:[WASH]], MATCH(tblPiNAnalysis[[#This Row],[ID]],tblPiNHistorical[ID], 0),MATCH(_xlfn._xlws.FILTER(tblPiNAnalysis[[#Headers],[CCCM]:[WASH]], tblPiNAnalysis[[#This Row],[Highest PiN]]=tblPiNAnalysis[[#This Row],[CCCM]:[WASH]]), tblPiNHistorical[[#Headers],[CCCM]:[WASH]], 0))), "")</f>
        <v/>
      </c>
      <c r="BB9" s="333" t="str" cm="1">
        <f t="array" ref="BB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 s="276" t="str" cm="1">
        <f t="array" ref="BC9">IFERROR(IF(tblPiNAnalysis[[#This Row],[ID]]="", "", INDEX(tblPiNHistorical[[CCCM]:[WASH]], MATCH(tblPiNAnalysis[[#This Row],[ID]],tblPiNHistorical[ID], 0),MATCH(_xlfn._xlws.FILTER(tblPiNAnalysis[[#Headers],[CCCM]:[WASH]], tblPiNAnalysis[[#This Row],[2nd Highest PiN]]=tblPiNAnalysis[[#This Row],[CCCM]:[WASH]]), tblPiNHistorical[[#Headers],[CCCM]:[WASH]], 0))), "")</f>
        <v/>
      </c>
      <c r="BD9" s="334" t="str" cm="1">
        <f t="array" ref="BD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 s="276">
        <f>INDEX(tblSeverityAnalysis[Final Severity], MATCH(tblPiNAnalysis[[#This Row],[ID]],tblSeverityAnalysis[ID], 0))</f>
        <v>3</v>
      </c>
      <c r="BF9" s="61">
        <f>IF(tblPiNAnalysis[[#This Row],[Severity]]&gt;2,tblPiNAnalysis[[#This Row],[Highest PiN]],)</f>
        <v>11111.344438625387</v>
      </c>
      <c r="BG9" s="191"/>
      <c r="BH9" s="192"/>
      <c r="BI9" s="193">
        <f>COUNTIFS(tblPiNAnalysis[[#This Row],[Number of missing / zero PiNs greater than threshold - Data quality]:[Manual Flag]],"Flagged")</f>
        <v>0</v>
      </c>
      <c r="BJ9" s="96" t="str">
        <f>IF(tblPiNAnalysis[[#This Row],['# Flags]]&gt;0, "Flagged", "")</f>
        <v/>
      </c>
      <c r="BK9" s="326">
        <f>tblPiNAnalysis[[#This Row],[Preliminary PiN]]</f>
        <v>11111.344438625387</v>
      </c>
      <c r="BL9" s="331"/>
    </row>
    <row r="10" spans="1:84" ht="24.6" x14ac:dyDescent="0.55000000000000004">
      <c r="A1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SS0106</v>
      </c>
      <c r="B10" s="316" t="s">
        <v>236</v>
      </c>
      <c r="C10" s="317" t="s">
        <v>237</v>
      </c>
      <c r="D10" s="317" t="s">
        <v>248</v>
      </c>
      <c r="E10" s="105" t="s">
        <v>249</v>
      </c>
      <c r="F10" s="100"/>
      <c r="G10" s="34"/>
      <c r="H10" s="34"/>
      <c r="I10" s="97">
        <v>38535.006634969555</v>
      </c>
      <c r="J10" s="97" t="s">
        <v>412</v>
      </c>
      <c r="K10" s="318">
        <v>6856.25</v>
      </c>
      <c r="L10" s="319">
        <v>6751.5258374798414</v>
      </c>
      <c r="M10" s="319">
        <v>13241.129960863167</v>
      </c>
      <c r="N10" s="319">
        <v>18936.823915437224</v>
      </c>
      <c r="O10" s="319">
        <v>17789.683120040547</v>
      </c>
      <c r="P10" s="319">
        <v>15408</v>
      </c>
      <c r="Q10" s="320">
        <v>25047.754312730212</v>
      </c>
      <c r="R10" s="319">
        <v>31398.894295160375</v>
      </c>
      <c r="S10" s="319">
        <v>3059</v>
      </c>
      <c r="T10" s="319">
        <v>8076</v>
      </c>
      <c r="U10" s="319">
        <v>10831</v>
      </c>
      <c r="V10" s="319">
        <v>5931</v>
      </c>
      <c r="W10" s="321">
        <f>IFERROR(IF(tblPiNAnalysis[[#This Row],[CCCM]]="", "", MROUND(tblPiNAnalysis[[#This Row],[CCCM]]/tblPiNAnalysis[[#This Row],[Affected population projection 2026]], 0.05)), "")</f>
        <v>0.2</v>
      </c>
      <c r="X10" s="322">
        <f>IFERROR(IF(tblPiNAnalysis[[#This Row],[Education]]="", "", MROUND(tblPiNAnalysis[[#This Row],[Education]]/tblPiNAnalysis[[#This Row],[Affected population projection 2026]], 0.05)), "")</f>
        <v>0.2</v>
      </c>
      <c r="Y10" s="322">
        <f>IFERROR(IF(tblPiNAnalysis[[#This Row],[Nutrition]]="", "", MROUND(tblPiNAnalysis[[#This Row],[Nutrition]]/tblPiNAnalysis[[#This Row],[Affected population projection 2026]], 0.05)), "")</f>
        <v>0.35000000000000003</v>
      </c>
      <c r="Z10" s="322">
        <f>IFERROR(IF(tblPiNAnalysis[[#This Row],[Food Security]]="", "", MROUND(tblPiNAnalysis[[#This Row],[Food Security]]/tblPiNAnalysis[[#This Row],[Affected population projection 2026]], 0.05)), "")</f>
        <v>0.5</v>
      </c>
      <c r="AA10" s="322">
        <f>IFERROR(IF(tblPiNAnalysis[[#This Row],[Health]]="", "", MROUND(tblPiNAnalysis[[#This Row],[Health]]/tblPiNAnalysis[[#This Row],[Affected population projection 2026]], 0.05)), "")</f>
        <v>0.45</v>
      </c>
      <c r="AB10" s="323">
        <f>IFERROR(IF(tblPiNAnalysis[[#This Row],[Overarching Protection]]="", "", MROUND(tblPiNAnalysis[[#This Row],[Overarching Protection]]/tblPiNAnalysis[[#This Row],[Affected population projection 2026]], 0.05)), "")</f>
        <v>0.4</v>
      </c>
      <c r="AC10" s="323">
        <f>IFERROR(IF(tblPiNAnalysis[[#This Row],[Shelter]]="", "", MROUND(tblPiNAnalysis[[#This Row],[Shelter]]/tblPiNAnalysis[[#This Row],[Affected population projection 2026]], 0.05)), "")</f>
        <v>0.65</v>
      </c>
      <c r="AD10" s="324">
        <f>IFERROR(IF(tblPiNAnalysis[[#This Row],[WASH]]="", "", MROUND(tblPiNAnalysis[[#This Row],[WASH]]/tblPiNAnalysis[[#This Row],[Affected population projection 2026]], 0.05)), "")</f>
        <v>0.8</v>
      </c>
      <c r="AE10" s="322">
        <f>IFERROR(MROUND(tblPiNAnalysis[[#This Row],[CP]]/tblPiNAnalysis[[#This Row],[Affected population projection 2026]], 0.05), "")</f>
        <v>0.1</v>
      </c>
      <c r="AF10" s="322">
        <f>IFERROR(MROUND(tblPiNAnalysis[[#This Row],[GBV]]/tblPiNAnalysis[[#This Row],[Affected population projection 2026]], 0.05), "")</f>
        <v>0.2</v>
      </c>
      <c r="AG10" s="322">
        <f>IFERROR(MROUND(tblPiNAnalysis[[#This Row],[Mine Action]]/tblPiNAnalysis[[#This Row],[Affected population projection 2026]], 0.05), "")</f>
        <v>0.30000000000000004</v>
      </c>
      <c r="AH10" s="322">
        <f>IFERROR(MROUND(tblPiNAnalysis[[#This Row],[HLP]]/tblPiNAnalysis[[#This Row],[Affected population projection 2026]], 0.05), "")</f>
        <v>0.15000000000000002</v>
      </c>
      <c r="AI10" s="325">
        <f>IFERROR(LARGE(tblPiNAnalysis[[#This Row],[CCCM]:[WASH]], 1), "")</f>
        <v>31398.894295160375</v>
      </c>
      <c r="AJ10" s="326" t="str" cm="1">
        <f t="array" ref="AJ10">IF(tblPiNAnalysis[[#This Row],[Highest PiN]]="", "", _xlfn.TEXTJOIN(CHAR(10), TRUE, IF(tblPiNAnalysis[[#This Row],[Highest PiN]]=tblPiNAnalysis[[#This Row],[CCCM]:[WASH]], tblPiNAnalysis[[#Headers],[CCCM]:[WASH]], "")))</f>
        <v>WASH</v>
      </c>
      <c r="AK10" s="327">
        <f>IF(tblPiNAnalysis[[#This Row],[Highest PiN]]="", "", tblPiNAnalysis[[#This Row],[Highest PiN]]/tblPiNAnalysis[[#This Row],[Affected population projection 2026]])</f>
        <v>0.81481481481481477</v>
      </c>
      <c r="AL10" s="328" t="str">
        <f>IF(SUM(tblPiNAnalysis[[#This Row],[CCCM]:[WASH]])=0, "",IF(COUNTIF(tblPiNAnalysis[[#This Row],[CCCM]:[WASH]],"=0")+COUNTIF(tblPiNAnalysis[[#This Row],[CCCM]:[WASH]],"")&gt;=zero_pin_thresh, "Flagged", ""))</f>
        <v/>
      </c>
      <c r="AM10" s="329" t="str">
        <f>IFERROR(IF(tblPiNAnalysis[[#This Row],[Highest PiN]]="", "", IF(tblPiNAnalysis[[#This Row],[Highest sector(s'') PiN %]]&gt;=flag_pin_perc, "Flagged", "")), "")</f>
        <v/>
      </c>
      <c r="AN10" s="330" t="str" cm="1">
        <f t="array" ref="AN10">IF(tblPiNAnalysis[[#This Row],[Highest PiN]]=0, "",  IF(OR(COUNTIF(tblPiNAnalysis[[#This Row],[Highest sector(s)]],tblSubSectorPopulation[Sector])), "Flagged", ""))</f>
        <v/>
      </c>
      <c r="AO10" s="46" cm="1">
        <f t="array" ref="AO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25047.754312730212</v>
      </c>
      <c r="AP10" s="331" t="str" cm="1">
        <f t="array" ref="AP10">IF(tblPiNAnalysis[[#This Row],[2nd Highest PiN]]="", "", _xlfn.TEXTJOIN(CHAR(10), TRUE, IF(tblPiNAnalysis[[#This Row],[2nd Highest PiN]]=tblPiNAnalysis[[#This Row],[CCCM]:[WASH]], tblPiNAnalysis[[#Headers],[CCCM]:[WASH]], "")))</f>
        <v>Shelter</v>
      </c>
      <c r="AQ10" s="36">
        <f>IFERROR(tblPiNAnalysis[[#This Row],[2nd Highest PiN]]/tblPiNAnalysis[[#This Row],[Affected population projection 2026]], "")</f>
        <v>0.65</v>
      </c>
      <c r="AR10" s="46">
        <f>IFERROR(tblPiNAnalysis[[#This Row],[Highest PiN]]-tblPiNAnalysis[[#This Row],[2nd Highest PiN]], "")</f>
        <v>6351.1399824301625</v>
      </c>
      <c r="AS10" s="39">
        <f>IFERROR(((tblPiNAnalysis[[#This Row],[Highest PiN]]-tblPiNAnalysis[[#This Row],[2nd Highest PiN]])/tblPiNAnalysis[[#This Row],[2nd Highest PiN]]),"")</f>
        <v>0.25356125356125336</v>
      </c>
      <c r="AT10" s="39" t="str" cm="1">
        <f t="array" ref="AT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 s="332" cm="1">
        <f t="array" ref="AU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18936.823915437224</v>
      </c>
      <c r="AV10" s="190" t="str" cm="1">
        <f t="array" ref="AV10">IF(tblPiNAnalysis[[#This Row],[3rd Highest PiN]]="", "", _xlfn.TEXTJOIN(CHAR(10), TRUE, IF(tblPiNAnalysis[[#This Row],[3rd Highest PiN]]=tblPiNAnalysis[[#This Row],[CCCM]:[WASH]], tblPiNAnalysis[[#Headers],[CCCM]:[WASH]], "")))</f>
        <v>Food Security</v>
      </c>
      <c r="AW10" s="190">
        <f>IFERROR(tblPiNAnalysis[[#This Row],[3rd Highest PiN]]/tblPiNAnalysis[[#This Row],[Affected population projection 2026]], "")</f>
        <v>0.4914187272580493</v>
      </c>
      <c r="AX10" s="45">
        <f>IFERROR(tblPiNAnalysis[[#This Row],[Highest PiN]]-tblPiNAnalysis[[#This Row],[3rd Highest PiN]],"")</f>
        <v>12462.070379723151</v>
      </c>
      <c r="AY10" s="39">
        <f>IFERROR(tblPiNAnalysis[[#This Row],[Difference of PiN between Highest and 3rd Highest]]/tblPiNAnalysis[[#This Row],[3rd Highest PiN]], "")</f>
        <v>0.65808661660333234</v>
      </c>
      <c r="AZ10" s="330" t="str" cm="1">
        <f t="array" ref="AZ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 s="300" t="str" cm="1">
        <f t="array" ref="BA10">IFERROR(IF(tblPiNAnalysis[[#This Row],[ID]]="", "", INDEX(tblPiNHistorical[[CCCM]:[WASH]], MATCH(tblPiNAnalysis[[#This Row],[ID]],tblPiNHistorical[ID], 0),MATCH(_xlfn._xlws.FILTER(tblPiNAnalysis[[#Headers],[CCCM]:[WASH]], tblPiNAnalysis[[#This Row],[Highest PiN]]=tblPiNAnalysis[[#This Row],[CCCM]:[WASH]]), tblPiNHistorical[[#Headers],[CCCM]:[WASH]], 0))), "")</f>
        <v/>
      </c>
      <c r="BB10" s="333" t="str" cm="1">
        <f t="array" ref="BB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 s="276" t="str" cm="1">
        <f t="array" ref="BC1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 s="334" t="str" cm="1">
        <f t="array" ref="BD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 s="276">
        <f>INDEX(tblSeverityAnalysis[Final Severity], MATCH(tblPiNAnalysis[[#This Row],[ID]],tblSeverityAnalysis[ID], 0))</f>
        <v>3</v>
      </c>
      <c r="BF10" s="61">
        <f>IF(tblPiNAnalysis[[#This Row],[Severity]]&gt;2,tblPiNAnalysis[[#This Row],[Highest PiN]],)</f>
        <v>31398.894295160375</v>
      </c>
      <c r="BG10" s="191"/>
      <c r="BH10" s="192"/>
      <c r="BI10" s="193">
        <f>COUNTIFS(tblPiNAnalysis[[#This Row],[Number of missing / zero PiNs greater than threshold - Data quality]:[Manual Flag]],"Flagged")</f>
        <v>1</v>
      </c>
      <c r="BJ10" s="96" t="str">
        <f>IF(tblPiNAnalysis[[#This Row],['# Flags]]&gt;0, "Flagged", "")</f>
        <v>Flagged</v>
      </c>
      <c r="BK10" s="326">
        <f>tblPiNAnalysis[[#This Row],[Preliminary PiN]]</f>
        <v>31398.894295160375</v>
      </c>
      <c r="BL10" s="331"/>
    </row>
    <row r="11" spans="1:84" ht="24.6" x14ac:dyDescent="0.55000000000000004">
      <c r="A1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SS0201</v>
      </c>
      <c r="B11" s="316" t="s">
        <v>250</v>
      </c>
      <c r="C11" s="317" t="s">
        <v>251</v>
      </c>
      <c r="D11" s="317" t="s">
        <v>252</v>
      </c>
      <c r="E11" s="105" t="s">
        <v>253</v>
      </c>
      <c r="F11" s="100"/>
      <c r="G11" s="34"/>
      <c r="H11" s="34"/>
      <c r="I11" s="97">
        <v>4566.5835894145539</v>
      </c>
      <c r="J11" s="97" t="s">
        <v>412</v>
      </c>
      <c r="K11" s="318">
        <v>0</v>
      </c>
      <c r="L11" s="319">
        <v>1492.7522432093658</v>
      </c>
      <c r="M11" s="319">
        <v>1813.6109456368461</v>
      </c>
      <c r="N11" s="319">
        <v>2934.7298505674235</v>
      </c>
      <c r="O11" s="319">
        <v>2000.988397539779</v>
      </c>
      <c r="P11" s="319">
        <v>3197</v>
      </c>
      <c r="Q11" s="320">
        <v>3044.3890596097026</v>
      </c>
      <c r="R11" s="319">
        <v>3424.9376920609157</v>
      </c>
      <c r="S11" s="319">
        <v>778</v>
      </c>
      <c r="T11" s="319">
        <v>691</v>
      </c>
      <c r="U11" s="319">
        <v>893</v>
      </c>
      <c r="V11" s="319">
        <v>1116</v>
      </c>
      <c r="W11" s="321">
        <f>IFERROR(IF(tblPiNAnalysis[[#This Row],[CCCM]]="", "", MROUND(tblPiNAnalysis[[#This Row],[CCCM]]/tblPiNAnalysis[[#This Row],[Affected population projection 2026]], 0.05)), "")</f>
        <v>0</v>
      </c>
      <c r="X11" s="322">
        <f>IFERROR(IF(tblPiNAnalysis[[#This Row],[Education]]="", "", MROUND(tblPiNAnalysis[[#This Row],[Education]]/tblPiNAnalysis[[#This Row],[Affected population projection 2026]], 0.05)), "")</f>
        <v>0.35000000000000003</v>
      </c>
      <c r="Y11" s="322">
        <f>IFERROR(IF(tblPiNAnalysis[[#This Row],[Nutrition]]="", "", MROUND(tblPiNAnalysis[[#This Row],[Nutrition]]/tblPiNAnalysis[[#This Row],[Affected population projection 2026]], 0.05)), "")</f>
        <v>0.4</v>
      </c>
      <c r="Z11" s="322">
        <f>IFERROR(IF(tblPiNAnalysis[[#This Row],[Food Security]]="", "", MROUND(tblPiNAnalysis[[#This Row],[Food Security]]/tblPiNAnalysis[[#This Row],[Affected population projection 2026]], 0.05)), "")</f>
        <v>0.65</v>
      </c>
      <c r="AA11" s="322">
        <f>IFERROR(IF(tblPiNAnalysis[[#This Row],[Health]]="", "", MROUND(tblPiNAnalysis[[#This Row],[Health]]/tblPiNAnalysis[[#This Row],[Affected population projection 2026]], 0.05)), "")</f>
        <v>0.45</v>
      </c>
      <c r="AB11" s="323">
        <f>IFERROR(IF(tblPiNAnalysis[[#This Row],[Overarching Protection]]="", "", MROUND(tblPiNAnalysis[[#This Row],[Overarching Protection]]/tblPiNAnalysis[[#This Row],[Affected population projection 2026]], 0.05)), "")</f>
        <v>0.70000000000000007</v>
      </c>
      <c r="AC11" s="323">
        <f>IFERROR(IF(tblPiNAnalysis[[#This Row],[Shelter]]="", "", MROUND(tblPiNAnalysis[[#This Row],[Shelter]]/tblPiNAnalysis[[#This Row],[Affected population projection 2026]], 0.05)), "")</f>
        <v>0.65</v>
      </c>
      <c r="AD11" s="324">
        <f>IFERROR(IF(tblPiNAnalysis[[#This Row],[WASH]]="", "", MROUND(tblPiNAnalysis[[#This Row],[WASH]]/tblPiNAnalysis[[#This Row],[Affected population projection 2026]], 0.05)), "")</f>
        <v>0.75</v>
      </c>
      <c r="AE11" s="322">
        <f>IFERROR(MROUND(tblPiNAnalysis[[#This Row],[CP]]/tblPiNAnalysis[[#This Row],[Affected population projection 2026]], 0.05), "")</f>
        <v>0.15000000000000002</v>
      </c>
      <c r="AF11" s="322">
        <f>IFERROR(MROUND(tblPiNAnalysis[[#This Row],[GBV]]/tblPiNAnalysis[[#This Row],[Affected population projection 2026]], 0.05), "")</f>
        <v>0.15000000000000002</v>
      </c>
      <c r="AG11" s="322">
        <f>IFERROR(MROUND(tblPiNAnalysis[[#This Row],[Mine Action]]/tblPiNAnalysis[[#This Row],[Affected population projection 2026]], 0.05), "")</f>
        <v>0.2</v>
      </c>
      <c r="AH11" s="322">
        <f>IFERROR(MROUND(tblPiNAnalysis[[#This Row],[HLP]]/tblPiNAnalysis[[#This Row],[Affected population projection 2026]], 0.05), "")</f>
        <v>0.25</v>
      </c>
      <c r="AI11" s="325">
        <f>IFERROR(LARGE(tblPiNAnalysis[[#This Row],[CCCM]:[WASH]], 1), "")</f>
        <v>3424.9376920609157</v>
      </c>
      <c r="AJ11" s="326" t="str" cm="1">
        <f t="array" ref="AJ11">IF(tblPiNAnalysis[[#This Row],[Highest PiN]]="", "", _xlfn.TEXTJOIN(CHAR(10), TRUE, IF(tblPiNAnalysis[[#This Row],[Highest PiN]]=tblPiNAnalysis[[#This Row],[CCCM]:[WASH]], tblPiNAnalysis[[#Headers],[CCCM]:[WASH]], "")))</f>
        <v>WASH</v>
      </c>
      <c r="AK11" s="327">
        <f>IF(tblPiNAnalysis[[#This Row],[Highest PiN]]="", "", tblPiNAnalysis[[#This Row],[Highest PiN]]/tblPiNAnalysis[[#This Row],[Affected population projection 2026]])</f>
        <v>0.75</v>
      </c>
      <c r="AL11" s="328" t="str">
        <f>IF(SUM(tblPiNAnalysis[[#This Row],[CCCM]:[WASH]])=0, "",IF(COUNTIF(tblPiNAnalysis[[#This Row],[CCCM]:[WASH]],"=0")+COUNTIF(tblPiNAnalysis[[#This Row],[CCCM]:[WASH]],"")&gt;=zero_pin_thresh, "Flagged", ""))</f>
        <v/>
      </c>
      <c r="AM11" s="329" t="str">
        <f>IFERROR(IF(tblPiNAnalysis[[#This Row],[Highest PiN]]="", "", IF(tblPiNAnalysis[[#This Row],[Highest sector(s'') PiN %]]&gt;=flag_pin_perc, "Flagged", "")), "")</f>
        <v/>
      </c>
      <c r="AN11" s="330" t="str" cm="1">
        <f t="array" ref="AN11">IF(tblPiNAnalysis[[#This Row],[Highest PiN]]=0, "",  IF(OR(COUNTIF(tblPiNAnalysis[[#This Row],[Highest sector(s)]],tblSubSectorPopulation[Sector])), "Flagged", ""))</f>
        <v/>
      </c>
      <c r="AO11" s="46" cm="1">
        <f t="array" ref="AO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3197</v>
      </c>
      <c r="AP11" s="331" t="str" cm="1">
        <f t="array" ref="AP11">IF(tblPiNAnalysis[[#This Row],[2nd Highest PiN]]="", "", _xlfn.TEXTJOIN(CHAR(10), TRUE, IF(tblPiNAnalysis[[#This Row],[2nd Highest PiN]]=tblPiNAnalysis[[#This Row],[CCCM]:[WASH]], tblPiNAnalysis[[#Headers],[CCCM]:[WASH]], "")))</f>
        <v>Overarching Protection</v>
      </c>
      <c r="AQ11" s="36">
        <f>IFERROR(tblPiNAnalysis[[#This Row],[2nd Highest PiN]]/tblPiNAnalysis[[#This Row],[Affected population projection 2026]], "")</f>
        <v>0.70008572872961738</v>
      </c>
      <c r="AR11" s="46">
        <f>IFERROR(tblPiNAnalysis[[#This Row],[Highest PiN]]-tblPiNAnalysis[[#This Row],[2nd Highest PiN]], "")</f>
        <v>227.93769206091565</v>
      </c>
      <c r="AS11" s="39">
        <f>IFERROR(((tblPiNAnalysis[[#This Row],[Highest PiN]]-tblPiNAnalysis[[#This Row],[2nd Highest PiN]])/tblPiNAnalysis[[#This Row],[2nd Highest PiN]]),"")</f>
        <v>7.1297370053461262E-2</v>
      </c>
      <c r="AT11" s="39" t="str" cm="1">
        <f t="array" ref="AT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 s="332" cm="1">
        <f t="array" ref="AU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3044.3890596097026</v>
      </c>
      <c r="AV11" s="190" t="str" cm="1">
        <f t="array" ref="AV11">IF(tblPiNAnalysis[[#This Row],[3rd Highest PiN]]="", "", _xlfn.TEXTJOIN(CHAR(10), TRUE, IF(tblPiNAnalysis[[#This Row],[3rd Highest PiN]]=tblPiNAnalysis[[#This Row],[CCCM]:[WASH]], tblPiNAnalysis[[#Headers],[CCCM]:[WASH]], "")))</f>
        <v>Shelter</v>
      </c>
      <c r="AW11" s="190">
        <f>IFERROR(tblPiNAnalysis[[#This Row],[3rd Highest PiN]]/tblPiNAnalysis[[#This Row],[Affected population projection 2026]], "")</f>
        <v>0.66666666666666663</v>
      </c>
      <c r="AX11" s="45">
        <f>IFERROR(tblPiNAnalysis[[#This Row],[Highest PiN]]-tblPiNAnalysis[[#This Row],[3rd Highest PiN]],"")</f>
        <v>380.54863245121305</v>
      </c>
      <c r="AY11" s="39">
        <f>IFERROR(tblPiNAnalysis[[#This Row],[Difference of PiN between Highest and 3rd Highest]]/tblPiNAnalysis[[#This Row],[3rd Highest PiN]], "")</f>
        <v>0.12500000000000008</v>
      </c>
      <c r="AZ11" s="330" t="str" cm="1">
        <f t="array" ref="AZ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 s="300" t="str" cm="1">
        <f t="array" ref="BA11">IFERROR(IF(tblPiNAnalysis[[#This Row],[ID]]="", "", INDEX(tblPiNHistorical[[CCCM]:[WASH]], MATCH(tblPiNAnalysis[[#This Row],[ID]],tblPiNHistorical[ID], 0),MATCH(_xlfn._xlws.FILTER(tblPiNAnalysis[[#Headers],[CCCM]:[WASH]], tblPiNAnalysis[[#This Row],[Highest PiN]]=tblPiNAnalysis[[#This Row],[CCCM]:[WASH]]), tblPiNHistorical[[#Headers],[CCCM]:[WASH]], 0))), "")</f>
        <v/>
      </c>
      <c r="BB11" s="333" t="str" cm="1">
        <f t="array" ref="BB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 s="276" t="str" cm="1">
        <f t="array" ref="BC1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 s="334" t="str" cm="1">
        <f t="array" ref="BD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 s="276">
        <f>INDEX(tblSeverityAnalysis[Final Severity], MATCH(tblPiNAnalysis[[#This Row],[ID]],tblSeverityAnalysis[ID], 0))</f>
        <v>3</v>
      </c>
      <c r="BF11" s="61">
        <f>IF(tblPiNAnalysis[[#This Row],[Severity]]&gt;2,tblPiNAnalysis[[#This Row],[Highest PiN]],)</f>
        <v>3424.9376920609157</v>
      </c>
      <c r="BG11" s="191"/>
      <c r="BH11" s="192"/>
      <c r="BI11" s="193">
        <f>COUNTIFS(tblPiNAnalysis[[#This Row],[Number of missing / zero PiNs greater than threshold - Data quality]:[Manual Flag]],"Flagged")</f>
        <v>0</v>
      </c>
      <c r="BJ11" s="96" t="str">
        <f>IF(tblPiNAnalysis[[#This Row],['# Flags]]&gt;0, "Flagged", "")</f>
        <v/>
      </c>
      <c r="BK11" s="326">
        <f>tblPiNAnalysis[[#This Row],[Preliminary PiN]]</f>
        <v>3424.9376920609157</v>
      </c>
      <c r="BL11" s="331"/>
    </row>
    <row r="12" spans="1:84" ht="24.6" x14ac:dyDescent="0.55000000000000004">
      <c r="A1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SS0202</v>
      </c>
      <c r="B12" s="316" t="s">
        <v>250</v>
      </c>
      <c r="C12" s="317" t="s">
        <v>251</v>
      </c>
      <c r="D12" s="317" t="s">
        <v>254</v>
      </c>
      <c r="E12" s="105" t="s">
        <v>255</v>
      </c>
      <c r="F12" s="100"/>
      <c r="G12" s="34"/>
      <c r="H12" s="34"/>
      <c r="I12" s="97">
        <v>6185.6711628854973</v>
      </c>
      <c r="J12" s="97" t="s">
        <v>412</v>
      </c>
      <c r="K12" s="318">
        <v>0</v>
      </c>
      <c r="L12" s="319">
        <v>693.40136601713857</v>
      </c>
      <c r="M12" s="319">
        <v>2509.0423214440798</v>
      </c>
      <c r="N12" s="319">
        <v>2761.5031570219976</v>
      </c>
      <c r="O12" s="319">
        <v>3482.4856610790357</v>
      </c>
      <c r="P12" s="319">
        <v>4315</v>
      </c>
      <c r="Q12" s="320">
        <v>2617.0147227592488</v>
      </c>
      <c r="R12" s="319">
        <v>3007.7116663571692</v>
      </c>
      <c r="S12" s="319">
        <v>1030</v>
      </c>
      <c r="T12" s="319">
        <v>2734</v>
      </c>
      <c r="U12" s="319">
        <v>3238</v>
      </c>
      <c r="V12" s="319">
        <v>1574</v>
      </c>
      <c r="W12" s="321">
        <f>IFERROR(IF(tblPiNAnalysis[[#This Row],[CCCM]]="", "", MROUND(tblPiNAnalysis[[#This Row],[CCCM]]/tblPiNAnalysis[[#This Row],[Affected population projection 2026]], 0.05)), "")</f>
        <v>0</v>
      </c>
      <c r="X12" s="322">
        <f>IFERROR(IF(tblPiNAnalysis[[#This Row],[Education]]="", "", MROUND(tblPiNAnalysis[[#This Row],[Education]]/tblPiNAnalysis[[#This Row],[Affected population projection 2026]], 0.05)), "")</f>
        <v>0.1</v>
      </c>
      <c r="Y12" s="322">
        <f>IFERROR(IF(tblPiNAnalysis[[#This Row],[Nutrition]]="", "", MROUND(tblPiNAnalysis[[#This Row],[Nutrition]]/tblPiNAnalysis[[#This Row],[Affected population projection 2026]], 0.05)), "")</f>
        <v>0.4</v>
      </c>
      <c r="Z12" s="322">
        <f>IFERROR(IF(tblPiNAnalysis[[#This Row],[Food Security]]="", "", MROUND(tblPiNAnalysis[[#This Row],[Food Security]]/tblPiNAnalysis[[#This Row],[Affected population projection 2026]], 0.05)), "")</f>
        <v>0.45</v>
      </c>
      <c r="AA12" s="322">
        <f>IFERROR(IF(tblPiNAnalysis[[#This Row],[Health]]="", "", MROUND(tblPiNAnalysis[[#This Row],[Health]]/tblPiNAnalysis[[#This Row],[Affected population projection 2026]], 0.05)), "")</f>
        <v>0.55000000000000004</v>
      </c>
      <c r="AB12" s="323">
        <f>IFERROR(IF(tblPiNAnalysis[[#This Row],[Overarching Protection]]="", "", MROUND(tblPiNAnalysis[[#This Row],[Overarching Protection]]/tblPiNAnalysis[[#This Row],[Affected population projection 2026]], 0.05)), "")</f>
        <v>0.70000000000000007</v>
      </c>
      <c r="AC12" s="323">
        <f>IFERROR(IF(tblPiNAnalysis[[#This Row],[Shelter]]="", "", MROUND(tblPiNAnalysis[[#This Row],[Shelter]]/tblPiNAnalysis[[#This Row],[Affected population projection 2026]], 0.05)), "")</f>
        <v>0.4</v>
      </c>
      <c r="AD12" s="324">
        <f>IFERROR(IF(tblPiNAnalysis[[#This Row],[WASH]]="", "", MROUND(tblPiNAnalysis[[#This Row],[WASH]]/tblPiNAnalysis[[#This Row],[Affected population projection 2026]], 0.05)), "")</f>
        <v>0.5</v>
      </c>
      <c r="AE12" s="322">
        <f>IFERROR(MROUND(tblPiNAnalysis[[#This Row],[CP]]/tblPiNAnalysis[[#This Row],[Affected population projection 2026]], 0.05), "")</f>
        <v>0.15000000000000002</v>
      </c>
      <c r="AF12" s="322">
        <f>IFERROR(MROUND(tblPiNAnalysis[[#This Row],[GBV]]/tblPiNAnalysis[[#This Row],[Affected population projection 2026]], 0.05), "")</f>
        <v>0.45</v>
      </c>
      <c r="AG12" s="322">
        <f>IFERROR(MROUND(tblPiNAnalysis[[#This Row],[Mine Action]]/tblPiNAnalysis[[#This Row],[Affected population projection 2026]], 0.05), "")</f>
        <v>0.5</v>
      </c>
      <c r="AH12" s="322">
        <f>IFERROR(MROUND(tblPiNAnalysis[[#This Row],[HLP]]/tblPiNAnalysis[[#This Row],[Affected population projection 2026]], 0.05), "")</f>
        <v>0.25</v>
      </c>
      <c r="AI12" s="325">
        <f>IFERROR(LARGE(tblPiNAnalysis[[#This Row],[CCCM]:[WASH]], 1), "")</f>
        <v>4315</v>
      </c>
      <c r="AJ12" s="326" t="str" cm="1">
        <f t="array" ref="AJ12">IF(tblPiNAnalysis[[#This Row],[Highest PiN]]="", "", _xlfn.TEXTJOIN(CHAR(10), TRUE, IF(tblPiNAnalysis[[#This Row],[Highest PiN]]=tblPiNAnalysis[[#This Row],[CCCM]:[WASH]], tblPiNAnalysis[[#Headers],[CCCM]:[WASH]], "")))</f>
        <v>Overarching Protection</v>
      </c>
      <c r="AK12" s="327">
        <f>IF(tblPiNAnalysis[[#This Row],[Highest PiN]]="", "", tblPiNAnalysis[[#This Row],[Highest PiN]]/tblPiNAnalysis[[#This Row],[Affected population projection 2026]])</f>
        <v>0.69757992081608411</v>
      </c>
      <c r="AL12" s="328" t="str">
        <f>IF(SUM(tblPiNAnalysis[[#This Row],[CCCM]:[WASH]])=0, "",IF(COUNTIF(tblPiNAnalysis[[#This Row],[CCCM]:[WASH]],"=0")+COUNTIF(tblPiNAnalysis[[#This Row],[CCCM]:[WASH]],"")&gt;=zero_pin_thresh, "Flagged", ""))</f>
        <v/>
      </c>
      <c r="AM12" s="329" t="str">
        <f>IFERROR(IF(tblPiNAnalysis[[#This Row],[Highest PiN]]="", "", IF(tblPiNAnalysis[[#This Row],[Highest sector(s'') PiN %]]&gt;=flag_pin_perc, "Flagged", "")), "")</f>
        <v/>
      </c>
      <c r="AN12" s="330" t="str" cm="1">
        <f t="array" ref="AN12">IF(tblPiNAnalysis[[#This Row],[Highest PiN]]=0, "",  IF(OR(COUNTIF(tblPiNAnalysis[[#This Row],[Highest sector(s)]],tblSubSectorPopulation[Sector])), "Flagged", ""))</f>
        <v/>
      </c>
      <c r="AO12" s="46" cm="1">
        <f t="array" ref="AO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3482.4856610790357</v>
      </c>
      <c r="AP12" s="331" t="str" cm="1">
        <f t="array" ref="AP12">IF(tblPiNAnalysis[[#This Row],[2nd Highest PiN]]="", "", _xlfn.TEXTJOIN(CHAR(10), TRUE, IF(tblPiNAnalysis[[#This Row],[2nd Highest PiN]]=tblPiNAnalysis[[#This Row],[CCCM]:[WASH]], tblPiNAnalysis[[#Headers],[CCCM]:[WASH]], "")))</f>
        <v>Health</v>
      </c>
      <c r="AQ12" s="36">
        <f>IFERROR(tblPiNAnalysis[[#This Row],[2nd Highest PiN]]/tblPiNAnalysis[[#This Row],[Affected population projection 2026]], "")</f>
        <v>0.56299236887570381</v>
      </c>
      <c r="AR12" s="46">
        <f>IFERROR(tblPiNAnalysis[[#This Row],[Highest PiN]]-tblPiNAnalysis[[#This Row],[2nd Highest PiN]], "")</f>
        <v>832.51433892096429</v>
      </c>
      <c r="AS12" s="39">
        <f>IFERROR(((tblPiNAnalysis[[#This Row],[Highest PiN]]-tblPiNAnalysis[[#This Row],[2nd Highest PiN]])/tblPiNAnalysis[[#This Row],[2nd Highest PiN]]),"")</f>
        <v>0.23905750660377814</v>
      </c>
      <c r="AT12" s="39" t="str" cm="1">
        <f t="array" ref="AT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 s="332" cm="1">
        <f t="array" ref="AU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3007.7116663571692</v>
      </c>
      <c r="AV12" s="190" t="str" cm="1">
        <f t="array" ref="AV12">IF(tblPiNAnalysis[[#This Row],[3rd Highest PiN]]="", "", _xlfn.TEXTJOIN(CHAR(10), TRUE, IF(tblPiNAnalysis[[#This Row],[3rd Highest PiN]]=tblPiNAnalysis[[#This Row],[CCCM]:[WASH]], tblPiNAnalysis[[#Headers],[CCCM]:[WASH]], "")))</f>
        <v>WASH</v>
      </c>
      <c r="AW12" s="190">
        <f>IFERROR(tblPiNAnalysis[[#This Row],[3rd Highest PiN]]/tblPiNAnalysis[[#This Row],[Affected population projection 2026]], "")</f>
        <v>0.48623853211009188</v>
      </c>
      <c r="AX12" s="45">
        <f>IFERROR(tblPiNAnalysis[[#This Row],[Highest PiN]]-tblPiNAnalysis[[#This Row],[3rd Highest PiN]],"")</f>
        <v>1307.2883336428308</v>
      </c>
      <c r="AY12" s="39">
        <f>IFERROR(tblPiNAnalysis[[#This Row],[Difference of PiN between Highest and 3rd Highest]]/tblPiNAnalysis[[#This Row],[3rd Highest PiN]], "")</f>
        <v>0.43464549752741788</v>
      </c>
      <c r="AZ12" s="330" t="str" cm="1">
        <f t="array" ref="AZ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 s="300" t="str" cm="1">
        <f t="array" ref="BA12">IFERROR(IF(tblPiNAnalysis[[#This Row],[ID]]="", "", INDEX(tblPiNHistorical[[CCCM]:[WASH]], MATCH(tblPiNAnalysis[[#This Row],[ID]],tblPiNHistorical[ID], 0),MATCH(_xlfn._xlws.FILTER(tblPiNAnalysis[[#Headers],[CCCM]:[WASH]], tblPiNAnalysis[[#This Row],[Highest PiN]]=tblPiNAnalysis[[#This Row],[CCCM]:[WASH]]), tblPiNHistorical[[#Headers],[CCCM]:[WASH]], 0))), "")</f>
        <v/>
      </c>
      <c r="BB12" s="333" t="str" cm="1">
        <f t="array" ref="BB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 s="276" t="str" cm="1">
        <f t="array" ref="BC1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 s="334" t="str" cm="1">
        <f t="array" ref="BD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 s="276">
        <f>INDEX(tblSeverityAnalysis[Final Severity], MATCH(tblPiNAnalysis[[#This Row],[ID]],tblSeverityAnalysis[ID], 0))</f>
        <v>3</v>
      </c>
      <c r="BF12" s="61">
        <f>IF(tblPiNAnalysis[[#This Row],[Severity]]&gt;2,tblPiNAnalysis[[#This Row],[Highest PiN]],)</f>
        <v>4315</v>
      </c>
      <c r="BG12" s="191"/>
      <c r="BH12" s="192"/>
      <c r="BI12" s="193">
        <f>COUNTIFS(tblPiNAnalysis[[#This Row],[Number of missing / zero PiNs greater than threshold - Data quality]:[Manual Flag]],"Flagged")</f>
        <v>0</v>
      </c>
      <c r="BJ12" s="96" t="str">
        <f>IF(tblPiNAnalysis[[#This Row],['# Flags]]&gt;0, "Flagged", "")</f>
        <v/>
      </c>
      <c r="BK12" s="326">
        <f>tblPiNAnalysis[[#This Row],[Preliminary PiN]]</f>
        <v>4315</v>
      </c>
      <c r="BL12" s="331"/>
    </row>
    <row r="13" spans="1:84" ht="24.6" x14ac:dyDescent="0.55000000000000004">
      <c r="A1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SS0203</v>
      </c>
      <c r="B13" s="316" t="s">
        <v>250</v>
      </c>
      <c r="C13" s="317" t="s">
        <v>251</v>
      </c>
      <c r="D13" s="317" t="s">
        <v>256</v>
      </c>
      <c r="E13" s="105" t="s">
        <v>257</v>
      </c>
      <c r="F13" s="100"/>
      <c r="G13" s="34"/>
      <c r="H13" s="34"/>
      <c r="I13" s="97">
        <v>2159.7729564411493</v>
      </c>
      <c r="J13" s="97" t="s">
        <v>412</v>
      </c>
      <c r="K13" s="318">
        <v>0</v>
      </c>
      <c r="L13" s="319">
        <v>737.7784419202967</v>
      </c>
      <c r="M13" s="319">
        <v>839.53465065268131</v>
      </c>
      <c r="N13" s="319">
        <v>1540.0205724248333</v>
      </c>
      <c r="O13" s="319">
        <v>837.76655048938323</v>
      </c>
      <c r="P13" s="319">
        <v>1512</v>
      </c>
      <c r="Q13" s="320">
        <v>0</v>
      </c>
      <c r="R13" s="319">
        <v>1719.8192060549893</v>
      </c>
      <c r="S13" s="319">
        <v>846</v>
      </c>
      <c r="T13" s="319">
        <v>832</v>
      </c>
      <c r="U13" s="319">
        <v>1057</v>
      </c>
      <c r="V13" s="319">
        <v>641</v>
      </c>
      <c r="W13" s="321">
        <f>IFERROR(IF(tblPiNAnalysis[[#This Row],[CCCM]]="", "", MROUND(tblPiNAnalysis[[#This Row],[CCCM]]/tblPiNAnalysis[[#This Row],[Affected population projection 2026]], 0.05)), "")</f>
        <v>0</v>
      </c>
      <c r="X13" s="322">
        <f>IFERROR(IF(tblPiNAnalysis[[#This Row],[Education]]="", "", MROUND(tblPiNAnalysis[[#This Row],[Education]]/tblPiNAnalysis[[#This Row],[Affected population projection 2026]], 0.05)), "")</f>
        <v>0.35000000000000003</v>
      </c>
      <c r="Y13" s="322">
        <f>IFERROR(IF(tblPiNAnalysis[[#This Row],[Nutrition]]="", "", MROUND(tblPiNAnalysis[[#This Row],[Nutrition]]/tblPiNAnalysis[[#This Row],[Affected population projection 2026]], 0.05)), "")</f>
        <v>0.4</v>
      </c>
      <c r="Z13" s="322">
        <f>IFERROR(IF(tblPiNAnalysis[[#This Row],[Food Security]]="", "", MROUND(tblPiNAnalysis[[#This Row],[Food Security]]/tblPiNAnalysis[[#This Row],[Affected population projection 2026]], 0.05)), "")</f>
        <v>0.70000000000000007</v>
      </c>
      <c r="AA13" s="322">
        <f>IFERROR(IF(tblPiNAnalysis[[#This Row],[Health]]="", "", MROUND(tblPiNAnalysis[[#This Row],[Health]]/tblPiNAnalysis[[#This Row],[Affected population projection 2026]], 0.05)), "")</f>
        <v>0.4</v>
      </c>
      <c r="AB13" s="323">
        <f>IFERROR(IF(tblPiNAnalysis[[#This Row],[Overarching Protection]]="", "", MROUND(tblPiNAnalysis[[#This Row],[Overarching Protection]]/tblPiNAnalysis[[#This Row],[Affected population projection 2026]], 0.05)), "")</f>
        <v>0.70000000000000007</v>
      </c>
      <c r="AC13" s="323">
        <f>IFERROR(IF(tblPiNAnalysis[[#This Row],[Shelter]]="", "", MROUND(tblPiNAnalysis[[#This Row],[Shelter]]/tblPiNAnalysis[[#This Row],[Affected population projection 2026]], 0.05)), "")</f>
        <v>0</v>
      </c>
      <c r="AD13" s="324">
        <f>IFERROR(IF(tblPiNAnalysis[[#This Row],[WASH]]="", "", MROUND(tblPiNAnalysis[[#This Row],[WASH]]/tblPiNAnalysis[[#This Row],[Affected population projection 2026]], 0.05)), "")</f>
        <v>0.8</v>
      </c>
      <c r="AE13" s="322">
        <f>IFERROR(MROUND(tblPiNAnalysis[[#This Row],[CP]]/tblPiNAnalysis[[#This Row],[Affected population projection 2026]], 0.05), "")</f>
        <v>0.4</v>
      </c>
      <c r="AF13" s="322">
        <f>IFERROR(MROUND(tblPiNAnalysis[[#This Row],[GBV]]/tblPiNAnalysis[[#This Row],[Affected population projection 2026]], 0.05), "")</f>
        <v>0.4</v>
      </c>
      <c r="AG13" s="322">
        <f>IFERROR(MROUND(tblPiNAnalysis[[#This Row],[Mine Action]]/tblPiNAnalysis[[#This Row],[Affected population projection 2026]], 0.05), "")</f>
        <v>0.5</v>
      </c>
      <c r="AH13" s="322">
        <f>IFERROR(MROUND(tblPiNAnalysis[[#This Row],[HLP]]/tblPiNAnalysis[[#This Row],[Affected population projection 2026]], 0.05), "")</f>
        <v>0.30000000000000004</v>
      </c>
      <c r="AI13" s="325">
        <f>IFERROR(LARGE(tblPiNAnalysis[[#This Row],[CCCM]:[WASH]], 1), "")</f>
        <v>1719.8192060549893</v>
      </c>
      <c r="AJ13" s="326" t="str" cm="1">
        <f t="array" ref="AJ13">IF(tblPiNAnalysis[[#This Row],[Highest PiN]]="", "", _xlfn.TEXTJOIN(CHAR(10), TRUE, IF(tblPiNAnalysis[[#This Row],[Highest PiN]]=tblPiNAnalysis[[#This Row],[CCCM]:[WASH]], tblPiNAnalysis[[#Headers],[CCCM]:[WASH]], "")))</f>
        <v>WASH</v>
      </c>
      <c r="AK13" s="327">
        <f>IF(tblPiNAnalysis[[#This Row],[Highest PiN]]="", "", tblPiNAnalysis[[#This Row],[Highest PiN]]/tblPiNAnalysis[[#This Row],[Affected population projection 2026]])</f>
        <v>0.79629629629629628</v>
      </c>
      <c r="AL13" s="328" t="str">
        <f>IF(SUM(tblPiNAnalysis[[#This Row],[CCCM]:[WASH]])=0, "",IF(COUNTIF(tblPiNAnalysis[[#This Row],[CCCM]:[WASH]],"=0")+COUNTIF(tblPiNAnalysis[[#This Row],[CCCM]:[WASH]],"")&gt;=zero_pin_thresh, "Flagged", ""))</f>
        <v>Flagged</v>
      </c>
      <c r="AM13" s="329" t="str">
        <f>IFERROR(IF(tblPiNAnalysis[[#This Row],[Highest PiN]]="", "", IF(tblPiNAnalysis[[#This Row],[Highest sector(s'') PiN %]]&gt;=flag_pin_perc, "Flagged", "")), "")</f>
        <v/>
      </c>
      <c r="AN13" s="330" t="str" cm="1">
        <f t="array" ref="AN13">IF(tblPiNAnalysis[[#This Row],[Highest PiN]]=0, "",  IF(OR(COUNTIF(tblPiNAnalysis[[#This Row],[Highest sector(s)]],tblSubSectorPopulation[Sector])), "Flagged", ""))</f>
        <v/>
      </c>
      <c r="AO13" s="46" cm="1">
        <f t="array" ref="AO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1540.0205724248333</v>
      </c>
      <c r="AP13" s="331" t="str" cm="1">
        <f t="array" ref="AP13">IF(tblPiNAnalysis[[#This Row],[2nd Highest PiN]]="", "", _xlfn.TEXTJOIN(CHAR(10), TRUE, IF(tblPiNAnalysis[[#This Row],[2nd Highest PiN]]=tblPiNAnalysis[[#This Row],[CCCM]:[WASH]], tblPiNAnalysis[[#Headers],[CCCM]:[WASH]], "")))</f>
        <v>Food Security</v>
      </c>
      <c r="AQ13" s="36">
        <f>IFERROR(tblPiNAnalysis[[#This Row],[2nd Highest PiN]]/tblPiNAnalysis[[#This Row],[Affected population projection 2026]], "")</f>
        <v>0.71304743761699041</v>
      </c>
      <c r="AR13" s="46">
        <f>IFERROR(tblPiNAnalysis[[#This Row],[Highest PiN]]-tblPiNAnalysis[[#This Row],[2nd Highest PiN]], "")</f>
        <v>179.79863363015602</v>
      </c>
      <c r="AS13" s="39">
        <f>IFERROR(((tblPiNAnalysis[[#This Row],[Highest PiN]]-tblPiNAnalysis[[#This Row],[2nd Highest PiN]])/tblPiNAnalysis[[#This Row],[2nd Highest PiN]]),"")</f>
        <v>0.11675079985915694</v>
      </c>
      <c r="AT13" s="39" t="str" cm="1">
        <f t="array" ref="AT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 s="332" cm="1">
        <f t="array" ref="AU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1512</v>
      </c>
      <c r="AV13" s="190" t="str" cm="1">
        <f t="array" ref="AV13">IF(tblPiNAnalysis[[#This Row],[3rd Highest PiN]]="", "", _xlfn.TEXTJOIN(CHAR(10), TRUE, IF(tblPiNAnalysis[[#This Row],[3rd Highest PiN]]=tblPiNAnalysis[[#This Row],[CCCM]:[WASH]], tblPiNAnalysis[[#Headers],[CCCM]:[WASH]], "")))</f>
        <v>Overarching Protection</v>
      </c>
      <c r="AW13" s="190">
        <f>IFERROR(tblPiNAnalysis[[#This Row],[3rd Highest PiN]]/tblPiNAnalysis[[#This Row],[Affected population projection 2026]], "")</f>
        <v>0.7000735866660065</v>
      </c>
      <c r="AX13" s="45">
        <f>IFERROR(tblPiNAnalysis[[#This Row],[Highest PiN]]-tblPiNAnalysis[[#This Row],[3rd Highest PiN]],"")</f>
        <v>207.81920605498931</v>
      </c>
      <c r="AY13" s="39">
        <f>IFERROR(tblPiNAnalysis[[#This Row],[Difference of PiN between Highest and 3rd Highest]]/tblPiNAnalysis[[#This Row],[3rd Highest PiN]], "")</f>
        <v>0.13744656485118339</v>
      </c>
      <c r="AZ13" s="330" t="str" cm="1">
        <f t="array" ref="AZ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 s="300" t="str" cm="1">
        <f t="array" ref="BA13">IFERROR(IF(tblPiNAnalysis[[#This Row],[ID]]="", "", INDEX(tblPiNHistorical[[CCCM]:[WASH]], MATCH(tblPiNAnalysis[[#This Row],[ID]],tblPiNHistorical[ID], 0),MATCH(_xlfn._xlws.FILTER(tblPiNAnalysis[[#Headers],[CCCM]:[WASH]], tblPiNAnalysis[[#This Row],[Highest PiN]]=tblPiNAnalysis[[#This Row],[CCCM]:[WASH]]), tblPiNHistorical[[#Headers],[CCCM]:[WASH]], 0))), "")</f>
        <v/>
      </c>
      <c r="BB13" s="333" t="str" cm="1">
        <f t="array" ref="BB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 s="276" t="str" cm="1">
        <f t="array" ref="BC1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 s="334" t="str" cm="1">
        <f t="array" ref="BD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 s="276">
        <f>INDEX(tblSeverityAnalysis[Final Severity], MATCH(tblPiNAnalysis[[#This Row],[ID]],tblSeverityAnalysis[ID], 0))</f>
        <v>3</v>
      </c>
      <c r="BF13" s="61">
        <f>IF(tblPiNAnalysis[[#This Row],[Severity]]&gt;2,tblPiNAnalysis[[#This Row],[Highest PiN]],)</f>
        <v>1719.8192060549893</v>
      </c>
      <c r="BG13" s="191"/>
      <c r="BH13" s="192"/>
      <c r="BI13" s="193">
        <f>COUNTIFS(tblPiNAnalysis[[#This Row],[Number of missing / zero PiNs greater than threshold - Data quality]:[Manual Flag]],"Flagged")</f>
        <v>1</v>
      </c>
      <c r="BJ13" s="96" t="str">
        <f>IF(tblPiNAnalysis[[#This Row],['# Flags]]&gt;0, "Flagged", "")</f>
        <v>Flagged</v>
      </c>
      <c r="BK13" s="326">
        <f>tblPiNAnalysis[[#This Row],[Preliminary PiN]]</f>
        <v>1719.8192060549893</v>
      </c>
      <c r="BL13" s="331"/>
    </row>
    <row r="14" spans="1:84" ht="24.6" x14ac:dyDescent="0.55000000000000004">
      <c r="A1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SS0204</v>
      </c>
      <c r="B14" s="316" t="s">
        <v>250</v>
      </c>
      <c r="C14" s="317" t="s">
        <v>251</v>
      </c>
      <c r="D14" s="317" t="s">
        <v>258</v>
      </c>
      <c r="E14" s="105" t="s">
        <v>259</v>
      </c>
      <c r="F14" s="100"/>
      <c r="G14" s="34"/>
      <c r="H14" s="34"/>
      <c r="I14" s="97">
        <v>8023.4115031633137</v>
      </c>
      <c r="J14" s="97" t="s">
        <v>412</v>
      </c>
      <c r="K14" s="318">
        <v>0</v>
      </c>
      <c r="L14" s="319">
        <v>3040.872959698896</v>
      </c>
      <c r="M14" s="319">
        <v>3020.3613084251488</v>
      </c>
      <c r="N14" s="319">
        <v>5691.5355279765563</v>
      </c>
      <c r="O14" s="319">
        <v>2855.4831771933182</v>
      </c>
      <c r="P14" s="319">
        <v>4057</v>
      </c>
      <c r="Q14" s="320">
        <v>8023.4115031633146</v>
      </c>
      <c r="R14" s="319">
        <v>4122.1196713499603</v>
      </c>
      <c r="S14" s="319">
        <v>2595</v>
      </c>
      <c r="T14" s="319">
        <v>2349</v>
      </c>
      <c r="U14" s="319">
        <v>1255</v>
      </c>
      <c r="V14" s="319">
        <v>1273</v>
      </c>
      <c r="W14" s="321">
        <f>IFERROR(IF(tblPiNAnalysis[[#This Row],[CCCM]]="", "", MROUND(tblPiNAnalysis[[#This Row],[CCCM]]/tblPiNAnalysis[[#This Row],[Affected population projection 2026]], 0.05)), "")</f>
        <v>0</v>
      </c>
      <c r="X14" s="322">
        <f>IFERROR(IF(tblPiNAnalysis[[#This Row],[Education]]="", "", MROUND(tblPiNAnalysis[[#This Row],[Education]]/tblPiNAnalysis[[#This Row],[Affected population projection 2026]], 0.05)), "")</f>
        <v>0.4</v>
      </c>
      <c r="Y14" s="322">
        <f>IFERROR(IF(tblPiNAnalysis[[#This Row],[Nutrition]]="", "", MROUND(tblPiNAnalysis[[#This Row],[Nutrition]]/tblPiNAnalysis[[#This Row],[Affected population projection 2026]], 0.05)), "")</f>
        <v>0.4</v>
      </c>
      <c r="Z14" s="322">
        <f>IFERROR(IF(tblPiNAnalysis[[#This Row],[Food Security]]="", "", MROUND(tblPiNAnalysis[[#This Row],[Food Security]]/tblPiNAnalysis[[#This Row],[Affected population projection 2026]], 0.05)), "")</f>
        <v>0.70000000000000007</v>
      </c>
      <c r="AA14" s="322">
        <f>IFERROR(IF(tblPiNAnalysis[[#This Row],[Health]]="", "", MROUND(tblPiNAnalysis[[#This Row],[Health]]/tblPiNAnalysis[[#This Row],[Affected population projection 2026]], 0.05)), "")</f>
        <v>0.35000000000000003</v>
      </c>
      <c r="AB14" s="323">
        <f>IFERROR(IF(tblPiNAnalysis[[#This Row],[Overarching Protection]]="", "", MROUND(tblPiNAnalysis[[#This Row],[Overarching Protection]]/tblPiNAnalysis[[#This Row],[Affected population projection 2026]], 0.05)), "")</f>
        <v>0.5</v>
      </c>
      <c r="AC14" s="323">
        <f>IFERROR(IF(tblPiNAnalysis[[#This Row],[Shelter]]="", "", MROUND(tblPiNAnalysis[[#This Row],[Shelter]]/tblPiNAnalysis[[#This Row],[Affected population projection 2026]], 0.05)), "")</f>
        <v>1</v>
      </c>
      <c r="AD14" s="324">
        <f>IFERROR(IF(tblPiNAnalysis[[#This Row],[WASH]]="", "", MROUND(tblPiNAnalysis[[#This Row],[WASH]]/tblPiNAnalysis[[#This Row],[Affected population projection 2026]], 0.05)), "")</f>
        <v>0.5</v>
      </c>
      <c r="AE14" s="322">
        <f>IFERROR(MROUND(tblPiNAnalysis[[#This Row],[CP]]/tblPiNAnalysis[[#This Row],[Affected population projection 2026]], 0.05), "")</f>
        <v>0.30000000000000004</v>
      </c>
      <c r="AF14" s="322">
        <f>IFERROR(MROUND(tblPiNAnalysis[[#This Row],[GBV]]/tblPiNAnalysis[[#This Row],[Affected population projection 2026]], 0.05), "")</f>
        <v>0.30000000000000004</v>
      </c>
      <c r="AG14" s="322">
        <f>IFERROR(MROUND(tblPiNAnalysis[[#This Row],[Mine Action]]/tblPiNAnalysis[[#This Row],[Affected population projection 2026]], 0.05), "")</f>
        <v>0.15000000000000002</v>
      </c>
      <c r="AH14" s="322">
        <f>IFERROR(MROUND(tblPiNAnalysis[[#This Row],[HLP]]/tblPiNAnalysis[[#This Row],[Affected population projection 2026]], 0.05), "")</f>
        <v>0.15000000000000002</v>
      </c>
      <c r="AI14" s="325">
        <f>IFERROR(LARGE(tblPiNAnalysis[[#This Row],[CCCM]:[WASH]], 1), "")</f>
        <v>8023.4115031633146</v>
      </c>
      <c r="AJ14" s="326" t="str" cm="1">
        <f t="array" ref="AJ14">IF(tblPiNAnalysis[[#This Row],[Highest PiN]]="", "", _xlfn.TEXTJOIN(CHAR(10), TRUE, IF(tblPiNAnalysis[[#This Row],[Highest PiN]]=tblPiNAnalysis[[#This Row],[CCCM]:[WASH]], tblPiNAnalysis[[#Headers],[CCCM]:[WASH]], "")))</f>
        <v>Shelter</v>
      </c>
      <c r="AK14" s="327">
        <f>IF(tblPiNAnalysis[[#This Row],[Highest PiN]]="", "", tblPiNAnalysis[[#This Row],[Highest PiN]]/tblPiNAnalysis[[#This Row],[Affected population projection 2026]])</f>
        <v>1.0000000000000002</v>
      </c>
      <c r="AL14" s="328" t="str">
        <f>IF(SUM(tblPiNAnalysis[[#This Row],[CCCM]:[WASH]])=0, "",IF(COUNTIF(tblPiNAnalysis[[#This Row],[CCCM]:[WASH]],"=0")+COUNTIF(tblPiNAnalysis[[#This Row],[CCCM]:[WASH]],"")&gt;=zero_pin_thresh, "Flagged", ""))</f>
        <v/>
      </c>
      <c r="AM14" s="329" t="str">
        <f>IFERROR(IF(tblPiNAnalysis[[#This Row],[Highest PiN]]="", "", IF(tblPiNAnalysis[[#This Row],[Highest sector(s'') PiN %]]&gt;=flag_pin_perc, "Flagged", "")), "")</f>
        <v>Flagged</v>
      </c>
      <c r="AN14" s="330" t="str" cm="1">
        <f t="array" ref="AN14">IF(tblPiNAnalysis[[#This Row],[Highest PiN]]=0, "",  IF(OR(COUNTIF(tblPiNAnalysis[[#This Row],[Highest sector(s)]],tblSubSectorPopulation[Sector])), "Flagged", ""))</f>
        <v/>
      </c>
      <c r="AO14" s="46" cm="1">
        <f t="array" ref="AO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5691.5355279765563</v>
      </c>
      <c r="AP14" s="331" t="str" cm="1">
        <f t="array" ref="AP14">IF(tblPiNAnalysis[[#This Row],[2nd Highest PiN]]="", "", _xlfn.TEXTJOIN(CHAR(10), TRUE, IF(tblPiNAnalysis[[#This Row],[2nd Highest PiN]]=tblPiNAnalysis[[#This Row],[CCCM]:[WASH]], tblPiNAnalysis[[#Headers],[CCCM]:[WASH]], "")))</f>
        <v>Food Security</v>
      </c>
      <c r="AQ14" s="36">
        <f>IFERROR(tblPiNAnalysis[[#This Row],[2nd Highest PiN]]/tblPiNAnalysis[[#This Row],[Affected population projection 2026]], "")</f>
        <v>0.70936602537868199</v>
      </c>
      <c r="AR14" s="46">
        <f>IFERROR(tblPiNAnalysis[[#This Row],[Highest PiN]]-tblPiNAnalysis[[#This Row],[2nd Highest PiN]], "")</f>
        <v>2331.8759751867583</v>
      </c>
      <c r="AS14" s="39">
        <f>IFERROR(((tblPiNAnalysis[[#This Row],[Highest PiN]]-tblPiNAnalysis[[#This Row],[2nd Highest PiN]])/tblPiNAnalysis[[#This Row],[2nd Highest PiN]]),"")</f>
        <v>0.40970946482271758</v>
      </c>
      <c r="AT14" s="39" t="str" cm="1">
        <f t="array" ref="AT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 s="332" cm="1">
        <f t="array" ref="AU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4122.1196713499603</v>
      </c>
      <c r="AV14" s="190" t="str" cm="1">
        <f t="array" ref="AV14">IF(tblPiNAnalysis[[#This Row],[3rd Highest PiN]]="", "", _xlfn.TEXTJOIN(CHAR(10), TRUE, IF(tblPiNAnalysis[[#This Row],[3rd Highest PiN]]=tblPiNAnalysis[[#This Row],[CCCM]:[WASH]], tblPiNAnalysis[[#Headers],[CCCM]:[WASH]], "")))</f>
        <v>WASH</v>
      </c>
      <c r="AW14" s="190">
        <f>IFERROR(tblPiNAnalysis[[#This Row],[3rd Highest PiN]]/tblPiNAnalysis[[#This Row],[Affected population projection 2026]], "")</f>
        <v>0.5137614678899084</v>
      </c>
      <c r="AX14" s="45">
        <f>IFERROR(tblPiNAnalysis[[#This Row],[Highest PiN]]-tblPiNAnalysis[[#This Row],[3rd Highest PiN]],"")</f>
        <v>3901.2918318133543</v>
      </c>
      <c r="AY14" s="39">
        <f>IFERROR(tblPiNAnalysis[[#This Row],[Difference of PiN between Highest and 3rd Highest]]/tblPiNAnalysis[[#This Row],[3rd Highest PiN]], "")</f>
        <v>0.94642857142857117</v>
      </c>
      <c r="AZ14" s="330" t="str" cm="1">
        <f t="array" ref="AZ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 s="300" t="str" cm="1">
        <f t="array" ref="BA14">IFERROR(IF(tblPiNAnalysis[[#This Row],[ID]]="", "", INDEX(tblPiNHistorical[[CCCM]:[WASH]], MATCH(tblPiNAnalysis[[#This Row],[ID]],tblPiNHistorical[ID], 0),MATCH(_xlfn._xlws.FILTER(tblPiNAnalysis[[#Headers],[CCCM]:[WASH]], tblPiNAnalysis[[#This Row],[Highest PiN]]=tblPiNAnalysis[[#This Row],[CCCM]:[WASH]]), tblPiNHistorical[[#Headers],[CCCM]:[WASH]], 0))), "")</f>
        <v/>
      </c>
      <c r="BB14" s="333" t="str" cm="1">
        <f t="array" ref="BB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 s="276" t="str" cm="1">
        <f t="array" ref="BC1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 s="334" t="str" cm="1">
        <f t="array" ref="BD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 s="276">
        <f>INDEX(tblSeverityAnalysis[Final Severity], MATCH(tblPiNAnalysis[[#This Row],[ID]],tblSeverityAnalysis[ID], 0))</f>
        <v>3</v>
      </c>
      <c r="BF14" s="61">
        <f>IF(tblPiNAnalysis[[#This Row],[Severity]]&gt;2,tblPiNAnalysis[[#This Row],[Highest PiN]],)</f>
        <v>8023.4115031633146</v>
      </c>
      <c r="BG14" s="191"/>
      <c r="BH14" s="192"/>
      <c r="BI14" s="193">
        <f>COUNTIFS(tblPiNAnalysis[[#This Row],[Number of missing / zero PiNs greater than threshold - Data quality]:[Manual Flag]],"Flagged")</f>
        <v>3</v>
      </c>
      <c r="BJ14" s="96" t="str">
        <f>IF(tblPiNAnalysis[[#This Row],['# Flags]]&gt;0, "Flagged", "")</f>
        <v>Flagged</v>
      </c>
      <c r="BK14" s="326">
        <f>tblPiNAnalysis[[#This Row],[Preliminary PiN]]</f>
        <v>8023.4115031633146</v>
      </c>
      <c r="BL14" s="331"/>
    </row>
    <row r="15" spans="1:84" ht="24.6" x14ac:dyDescent="0.55000000000000004">
      <c r="A1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SS0205</v>
      </c>
      <c r="B15" s="316" t="s">
        <v>250</v>
      </c>
      <c r="C15" s="317" t="s">
        <v>251</v>
      </c>
      <c r="D15" s="317" t="s">
        <v>260</v>
      </c>
      <c r="E15" s="105" t="s">
        <v>261</v>
      </c>
      <c r="F15" s="100"/>
      <c r="G15" s="34"/>
      <c r="H15" s="34"/>
      <c r="I15" s="97">
        <v>4829.7886557975189</v>
      </c>
      <c r="J15" s="97" t="s">
        <v>412</v>
      </c>
      <c r="K15" s="318">
        <v>0</v>
      </c>
      <c r="L15" s="319">
        <v>1199.4625573436151</v>
      </c>
      <c r="M15" s="319">
        <v>1736.0189569086174</v>
      </c>
      <c r="N15" s="319">
        <v>2134.1291226372955</v>
      </c>
      <c r="O15" s="319">
        <v>2357.176214784763</v>
      </c>
      <c r="P15" s="319">
        <v>3381</v>
      </c>
      <c r="Q15" s="320">
        <v>3622.3414918481394</v>
      </c>
      <c r="R15" s="319">
        <v>4785.06839046606</v>
      </c>
      <c r="S15" s="319">
        <v>1996</v>
      </c>
      <c r="T15" s="319">
        <v>731</v>
      </c>
      <c r="U15" s="319">
        <v>2250</v>
      </c>
      <c r="V15" s="319">
        <v>1334</v>
      </c>
      <c r="W15" s="321">
        <f>IFERROR(IF(tblPiNAnalysis[[#This Row],[CCCM]]="", "", MROUND(tblPiNAnalysis[[#This Row],[CCCM]]/tblPiNAnalysis[[#This Row],[Affected population projection 2026]], 0.05)), "")</f>
        <v>0</v>
      </c>
      <c r="X15" s="322">
        <f>IFERROR(IF(tblPiNAnalysis[[#This Row],[Education]]="", "", MROUND(tblPiNAnalysis[[#This Row],[Education]]/tblPiNAnalysis[[#This Row],[Affected population projection 2026]], 0.05)), "")</f>
        <v>0.25</v>
      </c>
      <c r="Y15" s="322">
        <f>IFERROR(IF(tblPiNAnalysis[[#This Row],[Nutrition]]="", "", MROUND(tblPiNAnalysis[[#This Row],[Nutrition]]/tblPiNAnalysis[[#This Row],[Affected population projection 2026]], 0.05)), "")</f>
        <v>0.35000000000000003</v>
      </c>
      <c r="Z15" s="322">
        <f>IFERROR(IF(tblPiNAnalysis[[#This Row],[Food Security]]="", "", MROUND(tblPiNAnalysis[[#This Row],[Food Security]]/tblPiNAnalysis[[#This Row],[Affected population projection 2026]], 0.05)), "")</f>
        <v>0.45</v>
      </c>
      <c r="AA15" s="322">
        <f>IFERROR(IF(tblPiNAnalysis[[#This Row],[Health]]="", "", MROUND(tblPiNAnalysis[[#This Row],[Health]]/tblPiNAnalysis[[#This Row],[Affected population projection 2026]], 0.05)), "")</f>
        <v>0.5</v>
      </c>
      <c r="AB15" s="323">
        <f>IFERROR(IF(tblPiNAnalysis[[#This Row],[Overarching Protection]]="", "", MROUND(tblPiNAnalysis[[#This Row],[Overarching Protection]]/tblPiNAnalysis[[#This Row],[Affected population projection 2026]], 0.05)), "")</f>
        <v>0.70000000000000007</v>
      </c>
      <c r="AC15" s="323">
        <f>IFERROR(IF(tblPiNAnalysis[[#This Row],[Shelter]]="", "", MROUND(tblPiNAnalysis[[#This Row],[Shelter]]/tblPiNAnalysis[[#This Row],[Affected population projection 2026]], 0.05)), "")</f>
        <v>0.75</v>
      </c>
      <c r="AD15" s="324">
        <f>IFERROR(IF(tblPiNAnalysis[[#This Row],[WASH]]="", "", MROUND(tblPiNAnalysis[[#This Row],[WASH]]/tblPiNAnalysis[[#This Row],[Affected population projection 2026]], 0.05)), "")</f>
        <v>1</v>
      </c>
      <c r="AE15" s="322">
        <f>IFERROR(MROUND(tblPiNAnalysis[[#This Row],[CP]]/tblPiNAnalysis[[#This Row],[Affected population projection 2026]], 0.05), "")</f>
        <v>0.4</v>
      </c>
      <c r="AF15" s="322">
        <f>IFERROR(MROUND(tblPiNAnalysis[[#This Row],[GBV]]/tblPiNAnalysis[[#This Row],[Affected population projection 2026]], 0.05), "")</f>
        <v>0.15000000000000002</v>
      </c>
      <c r="AG15" s="322">
        <f>IFERROR(MROUND(tblPiNAnalysis[[#This Row],[Mine Action]]/tblPiNAnalysis[[#This Row],[Affected population projection 2026]], 0.05), "")</f>
        <v>0.45</v>
      </c>
      <c r="AH15" s="322">
        <f>IFERROR(MROUND(tblPiNAnalysis[[#This Row],[HLP]]/tblPiNAnalysis[[#This Row],[Affected population projection 2026]], 0.05), "")</f>
        <v>0.30000000000000004</v>
      </c>
      <c r="AI15" s="325">
        <f>IFERROR(LARGE(tblPiNAnalysis[[#This Row],[CCCM]:[WASH]], 1), "")</f>
        <v>4785.06839046606</v>
      </c>
      <c r="AJ15" s="326" t="str" cm="1">
        <f t="array" ref="AJ15">IF(tblPiNAnalysis[[#This Row],[Highest PiN]]="", "", _xlfn.TEXTJOIN(CHAR(10), TRUE, IF(tblPiNAnalysis[[#This Row],[Highest PiN]]=tblPiNAnalysis[[#This Row],[CCCM]:[WASH]], tblPiNAnalysis[[#Headers],[CCCM]:[WASH]], "")))</f>
        <v>WASH</v>
      </c>
      <c r="AK15" s="327">
        <f>IF(tblPiNAnalysis[[#This Row],[Highest PiN]]="", "", tblPiNAnalysis[[#This Row],[Highest PiN]]/tblPiNAnalysis[[#This Row],[Affected population projection 2026]])</f>
        <v>0.9907407407407407</v>
      </c>
      <c r="AL15" s="328" t="str">
        <f>IF(SUM(tblPiNAnalysis[[#This Row],[CCCM]:[WASH]])=0, "",IF(COUNTIF(tblPiNAnalysis[[#This Row],[CCCM]:[WASH]],"=0")+COUNTIF(tblPiNAnalysis[[#This Row],[CCCM]:[WASH]],"")&gt;=zero_pin_thresh, "Flagged", ""))</f>
        <v/>
      </c>
      <c r="AM15" s="329" t="str">
        <f>IFERROR(IF(tblPiNAnalysis[[#This Row],[Highest PiN]]="", "", IF(tblPiNAnalysis[[#This Row],[Highest sector(s'') PiN %]]&gt;=flag_pin_perc, "Flagged", "")), "")</f>
        <v>Flagged</v>
      </c>
      <c r="AN15" s="330" t="str" cm="1">
        <f t="array" ref="AN15">IF(tblPiNAnalysis[[#This Row],[Highest PiN]]=0, "",  IF(OR(COUNTIF(tblPiNAnalysis[[#This Row],[Highest sector(s)]],tblSubSectorPopulation[Sector])), "Flagged", ""))</f>
        <v/>
      </c>
      <c r="AO15" s="46" cm="1">
        <f t="array" ref="AO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3622.3414918481394</v>
      </c>
      <c r="AP15" s="331" t="str" cm="1">
        <f t="array" ref="AP15">IF(tblPiNAnalysis[[#This Row],[2nd Highest PiN]]="", "", _xlfn.TEXTJOIN(CHAR(10), TRUE, IF(tblPiNAnalysis[[#This Row],[2nd Highest PiN]]=tblPiNAnalysis[[#This Row],[CCCM]:[WASH]], tblPiNAnalysis[[#Headers],[CCCM]:[WASH]], "")))</f>
        <v>Shelter</v>
      </c>
      <c r="AQ15" s="36">
        <f>IFERROR(tblPiNAnalysis[[#This Row],[2nd Highest PiN]]/tblPiNAnalysis[[#This Row],[Affected population projection 2026]], "")</f>
        <v>0.75</v>
      </c>
      <c r="AR15" s="46">
        <f>IFERROR(tblPiNAnalysis[[#This Row],[Highest PiN]]-tblPiNAnalysis[[#This Row],[2nd Highest PiN]], "")</f>
        <v>1162.7268986179206</v>
      </c>
      <c r="AS15" s="39">
        <f>IFERROR(((tblPiNAnalysis[[#This Row],[Highest PiN]]-tblPiNAnalysis[[#This Row],[2nd Highest PiN]])/tblPiNAnalysis[[#This Row],[2nd Highest PiN]]),"")</f>
        <v>0.32098765432098747</v>
      </c>
      <c r="AT15" s="39" t="str" cm="1">
        <f t="array" ref="AT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5" s="332" cm="1">
        <f t="array" ref="AU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3381</v>
      </c>
      <c r="AV15" s="190" t="str" cm="1">
        <f t="array" ref="AV15">IF(tblPiNAnalysis[[#This Row],[3rd Highest PiN]]="", "", _xlfn.TEXTJOIN(CHAR(10), TRUE, IF(tblPiNAnalysis[[#This Row],[3rd Highest PiN]]=tblPiNAnalysis[[#This Row],[CCCM]:[WASH]], tblPiNAnalysis[[#Headers],[CCCM]:[WASH]], "")))</f>
        <v>Overarching Protection</v>
      </c>
      <c r="AW15" s="190">
        <f>IFERROR(tblPiNAnalysis[[#This Row],[3rd Highest PiN]]/tblPiNAnalysis[[#This Row],[Affected population projection 2026]], "")</f>
        <v>0.70003063093486695</v>
      </c>
      <c r="AX15" s="45">
        <f>IFERROR(tblPiNAnalysis[[#This Row],[Highest PiN]]-tblPiNAnalysis[[#This Row],[3rd Highest PiN]],"")</f>
        <v>1404.06839046606</v>
      </c>
      <c r="AY15" s="39">
        <f>IFERROR(tblPiNAnalysis[[#This Row],[Difference of PiN between Highest and 3rd Highest]]/tblPiNAnalysis[[#This Row],[3rd Highest PiN]], "")</f>
        <v>0.41528198475778172</v>
      </c>
      <c r="AZ15" s="330" t="str" cm="1">
        <f t="array" ref="AZ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 s="300" t="str" cm="1">
        <f t="array" ref="BA15">IFERROR(IF(tblPiNAnalysis[[#This Row],[ID]]="", "", INDEX(tblPiNHistorical[[CCCM]:[WASH]], MATCH(tblPiNAnalysis[[#This Row],[ID]],tblPiNHistorical[ID], 0),MATCH(_xlfn._xlws.FILTER(tblPiNAnalysis[[#Headers],[CCCM]:[WASH]], tblPiNAnalysis[[#This Row],[Highest PiN]]=tblPiNAnalysis[[#This Row],[CCCM]:[WASH]]), tblPiNHistorical[[#Headers],[CCCM]:[WASH]], 0))), "")</f>
        <v/>
      </c>
      <c r="BB15" s="333" t="str" cm="1">
        <f t="array" ref="BB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 s="276" t="str" cm="1">
        <f t="array" ref="BC1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 s="334" t="str" cm="1">
        <f t="array" ref="BD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 s="276">
        <f>INDEX(tblSeverityAnalysis[Final Severity], MATCH(tblPiNAnalysis[[#This Row],[ID]],tblSeverityAnalysis[ID], 0))</f>
        <v>3</v>
      </c>
      <c r="BF15" s="61">
        <f>IF(tblPiNAnalysis[[#This Row],[Severity]]&gt;2,tblPiNAnalysis[[#This Row],[Highest PiN]],)</f>
        <v>4785.06839046606</v>
      </c>
      <c r="BG15" s="191"/>
      <c r="BH15" s="192"/>
      <c r="BI15" s="193">
        <f>COUNTIFS(tblPiNAnalysis[[#This Row],[Number of missing / zero PiNs greater than threshold - Data quality]:[Manual Flag]],"Flagged")</f>
        <v>2</v>
      </c>
      <c r="BJ15" s="96" t="str">
        <f>IF(tblPiNAnalysis[[#This Row],['# Flags]]&gt;0, "Flagged", "")</f>
        <v>Flagged</v>
      </c>
      <c r="BK15" s="326">
        <f>tblPiNAnalysis[[#This Row],[Preliminary PiN]]</f>
        <v>4785.06839046606</v>
      </c>
      <c r="BL15" s="331"/>
    </row>
    <row r="16" spans="1:84" ht="24.6" x14ac:dyDescent="0.55000000000000004">
      <c r="A1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SS0206</v>
      </c>
      <c r="B16" s="316" t="s">
        <v>250</v>
      </c>
      <c r="C16" s="317" t="s">
        <v>251</v>
      </c>
      <c r="D16" s="317" t="s">
        <v>262</v>
      </c>
      <c r="E16" s="105" t="s">
        <v>263</v>
      </c>
      <c r="F16" s="100"/>
      <c r="G16" s="34"/>
      <c r="H16" s="34"/>
      <c r="I16" s="97">
        <v>21293.088674698796</v>
      </c>
      <c r="J16" s="97" t="s">
        <v>412</v>
      </c>
      <c r="K16" s="318">
        <v>14262.5</v>
      </c>
      <c r="L16" s="319">
        <v>1138.3285205493978</v>
      </c>
      <c r="M16" s="319">
        <v>6949.2517940572598</v>
      </c>
      <c r="N16" s="319">
        <v>14604.061169572129</v>
      </c>
      <c r="O16" s="319">
        <v>8823.1210737882466</v>
      </c>
      <c r="P16" s="319">
        <v>14039</v>
      </c>
      <c r="Q16" s="320">
        <v>7097.6962248995987</v>
      </c>
      <c r="R16" s="319">
        <v>6227.2240463741755</v>
      </c>
      <c r="S16" s="319">
        <v>8483</v>
      </c>
      <c r="T16" s="319">
        <v>7959</v>
      </c>
      <c r="U16" s="319">
        <v>4004</v>
      </c>
      <c r="V16" s="319">
        <v>5323</v>
      </c>
      <c r="W16" s="321">
        <f>IFERROR(IF(tblPiNAnalysis[[#This Row],[CCCM]]="", "", MROUND(tblPiNAnalysis[[#This Row],[CCCM]]/tblPiNAnalysis[[#This Row],[Affected population projection 2026]], 0.05)), "")</f>
        <v>0.65</v>
      </c>
      <c r="X16" s="322">
        <f>IFERROR(IF(tblPiNAnalysis[[#This Row],[Education]]="", "", MROUND(tblPiNAnalysis[[#This Row],[Education]]/tblPiNAnalysis[[#This Row],[Affected population projection 2026]], 0.05)), "")</f>
        <v>0.05</v>
      </c>
      <c r="Y16" s="322">
        <f>IFERROR(IF(tblPiNAnalysis[[#This Row],[Nutrition]]="", "", MROUND(tblPiNAnalysis[[#This Row],[Nutrition]]/tblPiNAnalysis[[#This Row],[Affected population projection 2026]], 0.05)), "")</f>
        <v>0.35000000000000003</v>
      </c>
      <c r="Z16" s="322">
        <f>IFERROR(IF(tblPiNAnalysis[[#This Row],[Food Security]]="", "", MROUND(tblPiNAnalysis[[#This Row],[Food Security]]/tblPiNAnalysis[[#This Row],[Affected population projection 2026]], 0.05)), "")</f>
        <v>0.70000000000000007</v>
      </c>
      <c r="AA16" s="322">
        <f>IFERROR(IF(tblPiNAnalysis[[#This Row],[Health]]="", "", MROUND(tblPiNAnalysis[[#This Row],[Health]]/tblPiNAnalysis[[#This Row],[Affected population projection 2026]], 0.05)), "")</f>
        <v>0.4</v>
      </c>
      <c r="AB16" s="323">
        <f>IFERROR(IF(tblPiNAnalysis[[#This Row],[Overarching Protection]]="", "", MROUND(tblPiNAnalysis[[#This Row],[Overarching Protection]]/tblPiNAnalysis[[#This Row],[Affected population projection 2026]], 0.05)), "")</f>
        <v>0.65</v>
      </c>
      <c r="AC16" s="323">
        <f>IFERROR(IF(tblPiNAnalysis[[#This Row],[Shelter]]="", "", MROUND(tblPiNAnalysis[[#This Row],[Shelter]]/tblPiNAnalysis[[#This Row],[Affected population projection 2026]], 0.05)), "")</f>
        <v>0.35000000000000003</v>
      </c>
      <c r="AD16" s="324">
        <f>IFERROR(IF(tblPiNAnalysis[[#This Row],[WASH]]="", "", MROUND(tblPiNAnalysis[[#This Row],[WASH]]/tblPiNAnalysis[[#This Row],[Affected population projection 2026]], 0.05)), "")</f>
        <v>0.30000000000000004</v>
      </c>
      <c r="AE16" s="322">
        <f>IFERROR(MROUND(tblPiNAnalysis[[#This Row],[CP]]/tblPiNAnalysis[[#This Row],[Affected population projection 2026]], 0.05), "")</f>
        <v>0.4</v>
      </c>
      <c r="AF16" s="322">
        <f>IFERROR(MROUND(tblPiNAnalysis[[#This Row],[GBV]]/tblPiNAnalysis[[#This Row],[Affected population projection 2026]], 0.05), "")</f>
        <v>0.35000000000000003</v>
      </c>
      <c r="AG16" s="322">
        <f>IFERROR(MROUND(tblPiNAnalysis[[#This Row],[Mine Action]]/tblPiNAnalysis[[#This Row],[Affected population projection 2026]], 0.05), "")</f>
        <v>0.2</v>
      </c>
      <c r="AH16" s="322">
        <f>IFERROR(MROUND(tblPiNAnalysis[[#This Row],[HLP]]/tblPiNAnalysis[[#This Row],[Affected population projection 2026]], 0.05), "")</f>
        <v>0.25</v>
      </c>
      <c r="AI16" s="325">
        <f>IFERROR(LARGE(tblPiNAnalysis[[#This Row],[CCCM]:[WASH]], 1), "")</f>
        <v>14604.061169572129</v>
      </c>
      <c r="AJ16" s="326" t="str" cm="1">
        <f t="array" ref="AJ16">IF(tblPiNAnalysis[[#This Row],[Highest PiN]]="", "", _xlfn.TEXTJOIN(CHAR(10), TRUE, IF(tblPiNAnalysis[[#This Row],[Highest PiN]]=tblPiNAnalysis[[#This Row],[CCCM]:[WASH]], tblPiNAnalysis[[#Headers],[CCCM]:[WASH]], "")))</f>
        <v>Food Security</v>
      </c>
      <c r="AK16" s="327">
        <f>IF(tblPiNAnalysis[[#This Row],[Highest PiN]]="", "", tblPiNAnalysis[[#This Row],[Highest PiN]]/tblPiNAnalysis[[#This Row],[Affected population projection 2026]])</f>
        <v>0.68585921904909897</v>
      </c>
      <c r="AL16" s="328" t="str">
        <f>IF(SUM(tblPiNAnalysis[[#This Row],[CCCM]:[WASH]])=0, "",IF(COUNTIF(tblPiNAnalysis[[#This Row],[CCCM]:[WASH]],"=0")+COUNTIF(tblPiNAnalysis[[#This Row],[CCCM]:[WASH]],"")&gt;=zero_pin_thresh, "Flagged", ""))</f>
        <v/>
      </c>
      <c r="AM16" s="329" t="str">
        <f>IFERROR(IF(tblPiNAnalysis[[#This Row],[Highest PiN]]="", "", IF(tblPiNAnalysis[[#This Row],[Highest sector(s'') PiN %]]&gt;=flag_pin_perc, "Flagged", "")), "")</f>
        <v/>
      </c>
      <c r="AN16" s="330" t="str" cm="1">
        <f t="array" ref="AN16">IF(tblPiNAnalysis[[#This Row],[Highest PiN]]=0, "",  IF(OR(COUNTIF(tblPiNAnalysis[[#This Row],[Highest sector(s)]],tblSubSectorPopulation[Sector])), "Flagged", ""))</f>
        <v/>
      </c>
      <c r="AO16" s="46" cm="1">
        <f t="array" ref="AO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14262.5</v>
      </c>
      <c r="AP16" s="331" t="str" cm="1">
        <f t="array" ref="AP16">IF(tblPiNAnalysis[[#This Row],[2nd Highest PiN]]="", "", _xlfn.TEXTJOIN(CHAR(10), TRUE, IF(tblPiNAnalysis[[#This Row],[2nd Highest PiN]]=tblPiNAnalysis[[#This Row],[CCCM]:[WASH]], tblPiNAnalysis[[#Headers],[CCCM]:[WASH]], "")))</f>
        <v>CCCM</v>
      </c>
      <c r="AQ16" s="36">
        <f>IFERROR(tblPiNAnalysis[[#This Row],[2nd Highest PiN]]/tblPiNAnalysis[[#This Row],[Affected population projection 2026]], "")</f>
        <v>0.66981827849837539</v>
      </c>
      <c r="AR16" s="46">
        <f>IFERROR(tblPiNAnalysis[[#This Row],[Highest PiN]]-tblPiNAnalysis[[#This Row],[2nd Highest PiN]], "")</f>
        <v>341.56116957212907</v>
      </c>
      <c r="AS16" s="39">
        <f>IFERROR(((tblPiNAnalysis[[#This Row],[Highest PiN]]-tblPiNAnalysis[[#This Row],[2nd Highest PiN]])/tblPiNAnalysis[[#This Row],[2nd Highest PiN]]),"")</f>
        <v>2.3948197691297392E-2</v>
      </c>
      <c r="AT16" s="39" t="str" cm="1">
        <f t="array" ref="AT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 s="332" cm="1">
        <f t="array" ref="AU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14039</v>
      </c>
      <c r="AV16" s="190" t="str" cm="1">
        <f t="array" ref="AV16">IF(tblPiNAnalysis[[#This Row],[3rd Highest PiN]]="", "", _xlfn.TEXTJOIN(CHAR(10), TRUE, IF(tblPiNAnalysis[[#This Row],[3rd Highest PiN]]=tblPiNAnalysis[[#This Row],[CCCM]:[WASH]], tblPiNAnalysis[[#Headers],[CCCM]:[WASH]], "")))</f>
        <v>Overarching Protection</v>
      </c>
      <c r="AW16" s="190">
        <f>IFERROR(tblPiNAnalysis[[#This Row],[3rd Highest PiN]]/tblPiNAnalysis[[#This Row],[Affected population projection 2026]], "")</f>
        <v>0.65932191494048664</v>
      </c>
      <c r="AX16" s="45">
        <f>IFERROR(tblPiNAnalysis[[#This Row],[Highest PiN]]-tblPiNAnalysis[[#This Row],[3rd Highest PiN]],"")</f>
        <v>565.06116957212907</v>
      </c>
      <c r="AY16" s="39">
        <f>IFERROR(tblPiNAnalysis[[#This Row],[Difference of PiN between Highest and 3rd Highest]]/tblPiNAnalysis[[#This Row],[3rd Highest PiN]], "")</f>
        <v>4.0249388814882048E-2</v>
      </c>
      <c r="AZ16" s="330" t="str" cm="1">
        <f t="array" ref="AZ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 s="300" t="str" cm="1">
        <f t="array" ref="BA16">IFERROR(IF(tblPiNAnalysis[[#This Row],[ID]]="", "", INDEX(tblPiNHistorical[[CCCM]:[WASH]], MATCH(tblPiNAnalysis[[#This Row],[ID]],tblPiNHistorical[ID], 0),MATCH(_xlfn._xlws.FILTER(tblPiNAnalysis[[#Headers],[CCCM]:[WASH]], tblPiNAnalysis[[#This Row],[Highest PiN]]=tblPiNAnalysis[[#This Row],[CCCM]:[WASH]]), tblPiNHistorical[[#Headers],[CCCM]:[WASH]], 0))), "")</f>
        <v/>
      </c>
      <c r="BB16" s="333" t="str" cm="1">
        <f t="array" ref="BB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 s="276" t="str" cm="1">
        <f t="array" ref="BC1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 s="334" t="str" cm="1">
        <f t="array" ref="BD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 s="276">
        <f>INDEX(tblSeverityAnalysis[Final Severity], MATCH(tblPiNAnalysis[[#This Row],[ID]],tblSeverityAnalysis[ID], 0))</f>
        <v>3</v>
      </c>
      <c r="BF16" s="61">
        <f>IF(tblPiNAnalysis[[#This Row],[Severity]]&gt;2,tblPiNAnalysis[[#This Row],[Highest PiN]],)</f>
        <v>14604.061169572129</v>
      </c>
      <c r="BG16" s="191"/>
      <c r="BH16" s="192"/>
      <c r="BI16" s="193">
        <f>COUNTIFS(tblPiNAnalysis[[#This Row],[Number of missing / zero PiNs greater than threshold - Data quality]:[Manual Flag]],"Flagged")</f>
        <v>0</v>
      </c>
      <c r="BJ16" s="96" t="str">
        <f>IF(tblPiNAnalysis[[#This Row],['# Flags]]&gt;0, "Flagged", "")</f>
        <v/>
      </c>
      <c r="BK16" s="326">
        <f>tblPiNAnalysis[[#This Row],[Preliminary PiN]]</f>
        <v>14604.061169572129</v>
      </c>
      <c r="BL16" s="331"/>
    </row>
    <row r="17" spans="1:64" ht="24.6" x14ac:dyDescent="0.55000000000000004">
      <c r="A1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SS0207</v>
      </c>
      <c r="B17" s="316" t="s">
        <v>250</v>
      </c>
      <c r="C17" s="317" t="s">
        <v>251</v>
      </c>
      <c r="D17" s="317" t="s">
        <v>264</v>
      </c>
      <c r="E17" s="105" t="s">
        <v>265</v>
      </c>
      <c r="F17" s="100"/>
      <c r="G17" s="34"/>
      <c r="H17" s="34"/>
      <c r="I17" s="97">
        <v>40940.594481869215</v>
      </c>
      <c r="J17" s="97" t="s">
        <v>412</v>
      </c>
      <c r="K17" s="318">
        <v>0</v>
      </c>
      <c r="L17" s="319">
        <v>2692.6096762997117</v>
      </c>
      <c r="M17" s="319">
        <v>13324.992433803691</v>
      </c>
      <c r="N17" s="319">
        <v>9914.5548055213094</v>
      </c>
      <c r="O17" s="319">
        <v>21383.94598798571</v>
      </c>
      <c r="P17" s="319">
        <v>28480</v>
      </c>
      <c r="Q17" s="320">
        <v>2924.3281772763721</v>
      </c>
      <c r="R17" s="319">
        <v>14157.027998403373</v>
      </c>
      <c r="S17" s="319">
        <v>5695</v>
      </c>
      <c r="T17" s="319">
        <v>16601</v>
      </c>
      <c r="U17" s="319">
        <v>27506</v>
      </c>
      <c r="V17" s="319">
        <v>13277</v>
      </c>
      <c r="W17" s="321">
        <f>IFERROR(IF(tblPiNAnalysis[[#This Row],[CCCM]]="", "", MROUND(tblPiNAnalysis[[#This Row],[CCCM]]/tblPiNAnalysis[[#This Row],[Affected population projection 2026]], 0.05)), "")</f>
        <v>0</v>
      </c>
      <c r="X17" s="322">
        <f>IFERROR(IF(tblPiNAnalysis[[#This Row],[Education]]="", "", MROUND(tblPiNAnalysis[[#This Row],[Education]]/tblPiNAnalysis[[#This Row],[Affected population projection 2026]], 0.05)), "")</f>
        <v>0.05</v>
      </c>
      <c r="Y17" s="322">
        <f>IFERROR(IF(tblPiNAnalysis[[#This Row],[Nutrition]]="", "", MROUND(tblPiNAnalysis[[#This Row],[Nutrition]]/tblPiNAnalysis[[#This Row],[Affected population projection 2026]], 0.05)), "")</f>
        <v>0.35000000000000003</v>
      </c>
      <c r="Z17" s="322">
        <f>IFERROR(IF(tblPiNAnalysis[[#This Row],[Food Security]]="", "", MROUND(tblPiNAnalysis[[#This Row],[Food Security]]/tblPiNAnalysis[[#This Row],[Affected population projection 2026]], 0.05)), "")</f>
        <v>0.25</v>
      </c>
      <c r="AA17" s="322">
        <f>IFERROR(IF(tblPiNAnalysis[[#This Row],[Health]]="", "", MROUND(tblPiNAnalysis[[#This Row],[Health]]/tblPiNAnalysis[[#This Row],[Affected population projection 2026]], 0.05)), "")</f>
        <v>0.5</v>
      </c>
      <c r="AB17" s="323">
        <f>IFERROR(IF(tblPiNAnalysis[[#This Row],[Overarching Protection]]="", "", MROUND(tblPiNAnalysis[[#This Row],[Overarching Protection]]/tblPiNAnalysis[[#This Row],[Affected population projection 2026]], 0.05)), "")</f>
        <v>0.70000000000000007</v>
      </c>
      <c r="AC17" s="323">
        <f>IFERROR(IF(tblPiNAnalysis[[#This Row],[Shelter]]="", "", MROUND(tblPiNAnalysis[[#This Row],[Shelter]]/tblPiNAnalysis[[#This Row],[Affected population projection 2026]], 0.05)), "")</f>
        <v>0.05</v>
      </c>
      <c r="AD17" s="324">
        <f>IFERROR(IF(tblPiNAnalysis[[#This Row],[WASH]]="", "", MROUND(tblPiNAnalysis[[#This Row],[WASH]]/tblPiNAnalysis[[#This Row],[Affected population projection 2026]], 0.05)), "")</f>
        <v>0.35000000000000003</v>
      </c>
      <c r="AE17" s="322">
        <f>IFERROR(MROUND(tblPiNAnalysis[[#This Row],[CP]]/tblPiNAnalysis[[#This Row],[Affected population projection 2026]], 0.05), "")</f>
        <v>0.15000000000000002</v>
      </c>
      <c r="AF17" s="322">
        <f>IFERROR(MROUND(tblPiNAnalysis[[#This Row],[GBV]]/tblPiNAnalysis[[#This Row],[Affected population projection 2026]], 0.05), "")</f>
        <v>0.4</v>
      </c>
      <c r="AG17" s="322">
        <f>IFERROR(MROUND(tblPiNAnalysis[[#This Row],[Mine Action]]/tblPiNAnalysis[[#This Row],[Affected population projection 2026]], 0.05), "")</f>
        <v>0.65</v>
      </c>
      <c r="AH17" s="322">
        <f>IFERROR(MROUND(tblPiNAnalysis[[#This Row],[HLP]]/tblPiNAnalysis[[#This Row],[Affected population projection 2026]], 0.05), "")</f>
        <v>0.30000000000000004</v>
      </c>
      <c r="AI17" s="325">
        <f>IFERROR(LARGE(tblPiNAnalysis[[#This Row],[CCCM]:[WASH]], 1), "")</f>
        <v>28480</v>
      </c>
      <c r="AJ17" s="326" t="str" cm="1">
        <f t="array" ref="AJ17">IF(tblPiNAnalysis[[#This Row],[Highest PiN]]="", "", _xlfn.TEXTJOIN(CHAR(10), TRUE, IF(tblPiNAnalysis[[#This Row],[Highest PiN]]=tblPiNAnalysis[[#This Row],[CCCM]:[WASH]], tblPiNAnalysis[[#Headers],[CCCM]:[WASH]], "")))</f>
        <v>Overarching Protection</v>
      </c>
      <c r="AK17" s="327">
        <f>IF(tblPiNAnalysis[[#This Row],[Highest PiN]]="", "", tblPiNAnalysis[[#This Row],[Highest PiN]]/tblPiNAnalysis[[#This Row],[Affected population projection 2026]])</f>
        <v>0.69564207262824518</v>
      </c>
      <c r="AL17" s="328" t="str">
        <f>IF(SUM(tblPiNAnalysis[[#This Row],[CCCM]:[WASH]])=0, "",IF(COUNTIF(tblPiNAnalysis[[#This Row],[CCCM]:[WASH]],"=0")+COUNTIF(tblPiNAnalysis[[#This Row],[CCCM]:[WASH]],"")&gt;=zero_pin_thresh, "Flagged", ""))</f>
        <v/>
      </c>
      <c r="AM17" s="329" t="str">
        <f>IFERROR(IF(tblPiNAnalysis[[#This Row],[Highest PiN]]="", "", IF(tblPiNAnalysis[[#This Row],[Highest sector(s'') PiN %]]&gt;=flag_pin_perc, "Flagged", "")), "")</f>
        <v/>
      </c>
      <c r="AN17" s="330" t="str" cm="1">
        <f t="array" ref="AN17">IF(tblPiNAnalysis[[#This Row],[Highest PiN]]=0, "",  IF(OR(COUNTIF(tblPiNAnalysis[[#This Row],[Highest sector(s)]],tblSubSectorPopulation[Sector])), "Flagged", ""))</f>
        <v/>
      </c>
      <c r="AO17" s="46" cm="1">
        <f t="array" ref="AO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21383.94598798571</v>
      </c>
      <c r="AP17" s="331" t="str" cm="1">
        <f t="array" ref="AP17">IF(tblPiNAnalysis[[#This Row],[2nd Highest PiN]]="", "", _xlfn.TEXTJOIN(CHAR(10), TRUE, IF(tblPiNAnalysis[[#This Row],[2nd Highest PiN]]=tblPiNAnalysis[[#This Row],[CCCM]:[WASH]], tblPiNAnalysis[[#Headers],[CCCM]:[WASH]], "")))</f>
        <v>Health</v>
      </c>
      <c r="AQ17" s="36">
        <f>IFERROR(tblPiNAnalysis[[#This Row],[2nd Highest PiN]]/tblPiNAnalysis[[#This Row],[Affected population projection 2026]], "")</f>
        <v>0.52231645042320318</v>
      </c>
      <c r="AR17" s="46">
        <f>IFERROR(tblPiNAnalysis[[#This Row],[Highest PiN]]-tblPiNAnalysis[[#This Row],[2nd Highest PiN]], "")</f>
        <v>7096.0540120142905</v>
      </c>
      <c r="AS17" s="39">
        <f>IFERROR(((tblPiNAnalysis[[#This Row],[Highest PiN]]-tblPiNAnalysis[[#This Row],[2nd Highest PiN]])/tblPiNAnalysis[[#This Row],[2nd Highest PiN]]),"")</f>
        <v>0.33184025137367612</v>
      </c>
      <c r="AT17" s="39" t="str" cm="1">
        <f t="array" ref="AT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7" s="332" cm="1">
        <f t="array" ref="AU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14157.027998403373</v>
      </c>
      <c r="AV17" s="190" t="str" cm="1">
        <f t="array" ref="AV17">IF(tblPiNAnalysis[[#This Row],[3rd Highest PiN]]="", "", _xlfn.TEXTJOIN(CHAR(10), TRUE, IF(tblPiNAnalysis[[#This Row],[3rd Highest PiN]]=tblPiNAnalysis[[#This Row],[CCCM]:[WASH]], tblPiNAnalysis[[#Headers],[CCCM]:[WASH]], "")))</f>
        <v>WASH</v>
      </c>
      <c r="AW17" s="190">
        <f>IFERROR(tblPiNAnalysis[[#This Row],[3rd Highest PiN]]/tblPiNAnalysis[[#This Row],[Affected population projection 2026]], "")</f>
        <v>0.34579439252336447</v>
      </c>
      <c r="AX17" s="45">
        <f>IFERROR(tblPiNAnalysis[[#This Row],[Highest PiN]]-tblPiNAnalysis[[#This Row],[3rd Highest PiN]],"")</f>
        <v>14322.972001596627</v>
      </c>
      <c r="AY17" s="39">
        <f>IFERROR(tblPiNAnalysis[[#This Row],[Difference of PiN between Highest and 3rd Highest]]/tblPiNAnalysis[[#This Row],[3rd Highest PiN]], "")</f>
        <v>1.0117216694924929</v>
      </c>
      <c r="AZ17" s="330" t="str" cm="1">
        <f t="array" ref="AZ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7" s="300" t="str" cm="1">
        <f t="array" ref="BA17">IFERROR(IF(tblPiNAnalysis[[#This Row],[ID]]="", "", INDEX(tblPiNHistorical[[CCCM]:[WASH]], MATCH(tblPiNAnalysis[[#This Row],[ID]],tblPiNHistorical[ID], 0),MATCH(_xlfn._xlws.FILTER(tblPiNAnalysis[[#Headers],[CCCM]:[WASH]], tblPiNAnalysis[[#This Row],[Highest PiN]]=tblPiNAnalysis[[#This Row],[CCCM]:[WASH]]), tblPiNHistorical[[#Headers],[CCCM]:[WASH]], 0))), "")</f>
        <v/>
      </c>
      <c r="BB17" s="333" t="str" cm="1">
        <f t="array" ref="BB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 s="276" t="str" cm="1">
        <f t="array" ref="BC1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 s="334" t="str" cm="1">
        <f t="array" ref="BD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 s="276">
        <f>INDEX(tblSeverityAnalysis[Final Severity], MATCH(tblPiNAnalysis[[#This Row],[ID]],tblSeverityAnalysis[ID], 0))</f>
        <v>3</v>
      </c>
      <c r="BF17" s="61">
        <f>IF(tblPiNAnalysis[[#This Row],[Severity]]&gt;2,tblPiNAnalysis[[#This Row],[Highest PiN]],)</f>
        <v>28480</v>
      </c>
      <c r="BG17" s="191"/>
      <c r="BH17" s="192"/>
      <c r="BI17" s="193">
        <f>COUNTIFS(tblPiNAnalysis[[#This Row],[Number of missing / zero PiNs greater than threshold - Data quality]:[Manual Flag]],"Flagged")</f>
        <v>2</v>
      </c>
      <c r="BJ17" s="96" t="str">
        <f>IF(tblPiNAnalysis[[#This Row],['# Flags]]&gt;0, "Flagged", "")</f>
        <v>Flagged</v>
      </c>
      <c r="BK17" s="326">
        <f>tblPiNAnalysis[[#This Row],[Preliminary PiN]]</f>
        <v>28480</v>
      </c>
      <c r="BL17" s="331"/>
    </row>
    <row r="18" spans="1:64" ht="24.6" x14ac:dyDescent="0.55000000000000004">
      <c r="A1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SS0208</v>
      </c>
      <c r="B18" s="316" t="s">
        <v>250</v>
      </c>
      <c r="C18" s="317" t="s">
        <v>251</v>
      </c>
      <c r="D18" s="317" t="s">
        <v>266</v>
      </c>
      <c r="E18" s="105" t="s">
        <v>267</v>
      </c>
      <c r="F18" s="100"/>
      <c r="G18" s="34"/>
      <c r="H18" s="34"/>
      <c r="I18" s="97">
        <v>2501.5236312386551</v>
      </c>
      <c r="J18" s="97" t="s">
        <v>412</v>
      </c>
      <c r="K18" s="318">
        <v>0</v>
      </c>
      <c r="L18" s="319">
        <v>279.86546081571822</v>
      </c>
      <c r="M18" s="319">
        <v>1219.1162945708784</v>
      </c>
      <c r="N18" s="319">
        <v>1404.6058331272616</v>
      </c>
      <c r="O18" s="319">
        <v>1981.0929952949004</v>
      </c>
      <c r="P18" s="319">
        <v>1492</v>
      </c>
      <c r="Q18" s="320">
        <v>2501.5236312386551</v>
      </c>
      <c r="R18" s="319">
        <v>1728.3254179467071</v>
      </c>
      <c r="S18" s="319">
        <v>136</v>
      </c>
      <c r="T18" s="319">
        <v>990</v>
      </c>
      <c r="U18" s="319">
        <v>1316</v>
      </c>
      <c r="V18" s="319">
        <v>551</v>
      </c>
      <c r="W18" s="321">
        <f>IFERROR(IF(tblPiNAnalysis[[#This Row],[CCCM]]="", "", MROUND(tblPiNAnalysis[[#This Row],[CCCM]]/tblPiNAnalysis[[#This Row],[Affected population projection 2026]], 0.05)), "")</f>
        <v>0</v>
      </c>
      <c r="X18" s="322">
        <f>IFERROR(IF(tblPiNAnalysis[[#This Row],[Education]]="", "", MROUND(tblPiNAnalysis[[#This Row],[Education]]/tblPiNAnalysis[[#This Row],[Affected population projection 2026]], 0.05)), "")</f>
        <v>0.1</v>
      </c>
      <c r="Y18" s="322">
        <f>IFERROR(IF(tblPiNAnalysis[[#This Row],[Nutrition]]="", "", MROUND(tblPiNAnalysis[[#This Row],[Nutrition]]/tblPiNAnalysis[[#This Row],[Affected population projection 2026]], 0.05)), "")</f>
        <v>0.5</v>
      </c>
      <c r="Z18" s="322">
        <f>IFERROR(IF(tblPiNAnalysis[[#This Row],[Food Security]]="", "", MROUND(tblPiNAnalysis[[#This Row],[Food Security]]/tblPiNAnalysis[[#This Row],[Affected population projection 2026]], 0.05)), "")</f>
        <v>0.55000000000000004</v>
      </c>
      <c r="AA18" s="322">
        <f>IFERROR(IF(tblPiNAnalysis[[#This Row],[Health]]="", "", MROUND(tblPiNAnalysis[[#This Row],[Health]]/tblPiNAnalysis[[#This Row],[Affected population projection 2026]], 0.05)), "")</f>
        <v>0.8</v>
      </c>
      <c r="AB18" s="323">
        <f>IFERROR(IF(tblPiNAnalysis[[#This Row],[Overarching Protection]]="", "", MROUND(tblPiNAnalysis[[#This Row],[Overarching Protection]]/tblPiNAnalysis[[#This Row],[Affected population projection 2026]], 0.05)), "")</f>
        <v>0.60000000000000009</v>
      </c>
      <c r="AC18" s="323">
        <f>IFERROR(IF(tblPiNAnalysis[[#This Row],[Shelter]]="", "", MROUND(tblPiNAnalysis[[#This Row],[Shelter]]/tblPiNAnalysis[[#This Row],[Affected population projection 2026]], 0.05)), "")</f>
        <v>1</v>
      </c>
      <c r="AD18" s="324">
        <f>IFERROR(IF(tblPiNAnalysis[[#This Row],[WASH]]="", "", MROUND(tblPiNAnalysis[[#This Row],[WASH]]/tblPiNAnalysis[[#This Row],[Affected population projection 2026]], 0.05)), "")</f>
        <v>0.70000000000000007</v>
      </c>
      <c r="AE18" s="322">
        <f>IFERROR(MROUND(tblPiNAnalysis[[#This Row],[CP]]/tblPiNAnalysis[[#This Row],[Affected population projection 2026]], 0.05), "")</f>
        <v>0.05</v>
      </c>
      <c r="AF18" s="322">
        <f>IFERROR(MROUND(tblPiNAnalysis[[#This Row],[GBV]]/tblPiNAnalysis[[#This Row],[Affected population projection 2026]], 0.05), "")</f>
        <v>0.4</v>
      </c>
      <c r="AG18" s="322">
        <f>IFERROR(MROUND(tblPiNAnalysis[[#This Row],[Mine Action]]/tblPiNAnalysis[[#This Row],[Affected population projection 2026]], 0.05), "")</f>
        <v>0.55000000000000004</v>
      </c>
      <c r="AH18" s="322">
        <f>IFERROR(MROUND(tblPiNAnalysis[[#This Row],[HLP]]/tblPiNAnalysis[[#This Row],[Affected population projection 2026]], 0.05), "")</f>
        <v>0.2</v>
      </c>
      <c r="AI18" s="325">
        <f>IFERROR(LARGE(tblPiNAnalysis[[#This Row],[CCCM]:[WASH]], 1), "")</f>
        <v>2501.5236312386551</v>
      </c>
      <c r="AJ18" s="326" t="str" cm="1">
        <f t="array" ref="AJ18">IF(tblPiNAnalysis[[#This Row],[Highest PiN]]="", "", _xlfn.TEXTJOIN(CHAR(10), TRUE, IF(tblPiNAnalysis[[#This Row],[Highest PiN]]=tblPiNAnalysis[[#This Row],[CCCM]:[WASH]], tblPiNAnalysis[[#Headers],[CCCM]:[WASH]], "")))</f>
        <v>Shelter</v>
      </c>
      <c r="AK18" s="327">
        <f>IF(tblPiNAnalysis[[#This Row],[Highest PiN]]="", "", tblPiNAnalysis[[#This Row],[Highest PiN]]/tblPiNAnalysis[[#This Row],[Affected population projection 2026]])</f>
        <v>1</v>
      </c>
      <c r="AL18" s="328" t="str">
        <f>IF(SUM(tblPiNAnalysis[[#This Row],[CCCM]:[WASH]])=0, "",IF(COUNTIF(tblPiNAnalysis[[#This Row],[CCCM]:[WASH]],"=0")+COUNTIF(tblPiNAnalysis[[#This Row],[CCCM]:[WASH]],"")&gt;=zero_pin_thresh, "Flagged", ""))</f>
        <v/>
      </c>
      <c r="AM18" s="329" t="str">
        <f>IFERROR(IF(tblPiNAnalysis[[#This Row],[Highest PiN]]="", "", IF(tblPiNAnalysis[[#This Row],[Highest sector(s'') PiN %]]&gt;=flag_pin_perc, "Flagged", "")), "")</f>
        <v>Flagged</v>
      </c>
      <c r="AN18" s="330" t="str" cm="1">
        <f t="array" ref="AN18">IF(tblPiNAnalysis[[#This Row],[Highest PiN]]=0, "",  IF(OR(COUNTIF(tblPiNAnalysis[[#This Row],[Highest sector(s)]],tblSubSectorPopulation[Sector])), "Flagged", ""))</f>
        <v/>
      </c>
      <c r="AO18" s="46" cm="1">
        <f t="array" ref="AO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1981.0929952949004</v>
      </c>
      <c r="AP18" s="331" t="str" cm="1">
        <f t="array" ref="AP18">IF(tblPiNAnalysis[[#This Row],[2nd Highest PiN]]="", "", _xlfn.TEXTJOIN(CHAR(10), TRUE, IF(tblPiNAnalysis[[#This Row],[2nd Highest PiN]]=tblPiNAnalysis[[#This Row],[CCCM]:[WASH]], tblPiNAnalysis[[#Headers],[CCCM]:[WASH]], "")))</f>
        <v>Health</v>
      </c>
      <c r="AQ18" s="36">
        <f>IFERROR(tblPiNAnalysis[[#This Row],[2nd Highest PiN]]/tblPiNAnalysis[[#This Row],[Affected population projection 2026]], "")</f>
        <v>0.7919545394476013</v>
      </c>
      <c r="AR18" s="46">
        <f>IFERROR(tblPiNAnalysis[[#This Row],[Highest PiN]]-tblPiNAnalysis[[#This Row],[2nd Highest PiN]], "")</f>
        <v>520.43063594375462</v>
      </c>
      <c r="AS18" s="39">
        <f>IFERROR(((tblPiNAnalysis[[#This Row],[Highest PiN]]-tblPiNAnalysis[[#This Row],[2nd Highest PiN]])/tblPiNAnalysis[[#This Row],[2nd Highest PiN]]),"")</f>
        <v>0.26269874113924907</v>
      </c>
      <c r="AT18" s="39" t="str" cm="1">
        <f t="array" ref="AT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 s="332" cm="1">
        <f t="array" ref="AU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1728.3254179467071</v>
      </c>
      <c r="AV18" s="190" t="str" cm="1">
        <f t="array" ref="AV18">IF(tblPiNAnalysis[[#This Row],[3rd Highest PiN]]="", "", _xlfn.TEXTJOIN(CHAR(10), TRUE, IF(tblPiNAnalysis[[#This Row],[3rd Highest PiN]]=tblPiNAnalysis[[#This Row],[CCCM]:[WASH]], tblPiNAnalysis[[#Headers],[CCCM]:[WASH]], "")))</f>
        <v>WASH</v>
      </c>
      <c r="AW18" s="190">
        <f>IFERROR(tblPiNAnalysis[[#This Row],[3rd Highest PiN]]/tblPiNAnalysis[[#This Row],[Affected population projection 2026]], "")</f>
        <v>0.69090909090909092</v>
      </c>
      <c r="AX18" s="45">
        <f>IFERROR(tblPiNAnalysis[[#This Row],[Highest PiN]]-tblPiNAnalysis[[#This Row],[3rd Highest PiN]],"")</f>
        <v>773.19821329194792</v>
      </c>
      <c r="AY18" s="39">
        <f>IFERROR(tblPiNAnalysis[[#This Row],[Difference of PiN between Highest and 3rd Highest]]/tblPiNAnalysis[[#This Row],[3rd Highest PiN]], "")</f>
        <v>0.44736842105263158</v>
      </c>
      <c r="AZ18" s="330" t="str" cm="1">
        <f t="array" ref="AZ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 s="300" t="str" cm="1">
        <f t="array" ref="BA18">IFERROR(IF(tblPiNAnalysis[[#This Row],[ID]]="", "", INDEX(tblPiNHistorical[[CCCM]:[WASH]], MATCH(tblPiNAnalysis[[#This Row],[ID]],tblPiNHistorical[ID], 0),MATCH(_xlfn._xlws.FILTER(tblPiNAnalysis[[#Headers],[CCCM]:[WASH]], tblPiNAnalysis[[#This Row],[Highest PiN]]=tblPiNAnalysis[[#This Row],[CCCM]:[WASH]]), tblPiNHistorical[[#Headers],[CCCM]:[WASH]], 0))), "")</f>
        <v/>
      </c>
      <c r="BB18" s="333" t="str" cm="1">
        <f t="array" ref="BB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 s="276" t="str" cm="1">
        <f t="array" ref="BC1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 s="334" t="str" cm="1">
        <f t="array" ref="BD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 s="276">
        <f>INDEX(tblSeverityAnalysis[Final Severity], MATCH(tblPiNAnalysis[[#This Row],[ID]],tblSeverityAnalysis[ID], 0))</f>
        <v>3</v>
      </c>
      <c r="BF18" s="61">
        <f>IF(tblPiNAnalysis[[#This Row],[Severity]]&gt;2,tblPiNAnalysis[[#This Row],[Highest PiN]],)</f>
        <v>2501.5236312386551</v>
      </c>
      <c r="BG18" s="191"/>
      <c r="BH18" s="192"/>
      <c r="BI18" s="193">
        <f>COUNTIFS(tblPiNAnalysis[[#This Row],[Number of missing / zero PiNs greater than threshold - Data quality]:[Manual Flag]],"Flagged")</f>
        <v>1</v>
      </c>
      <c r="BJ18" s="96" t="str">
        <f>IF(tblPiNAnalysis[[#This Row],['# Flags]]&gt;0, "Flagged", "")</f>
        <v>Flagged</v>
      </c>
      <c r="BK18" s="326">
        <f>tblPiNAnalysis[[#This Row],[Preliminary PiN]]</f>
        <v>2501.5236312386551</v>
      </c>
      <c r="BL18" s="331"/>
    </row>
    <row r="19" spans="1:64" x14ac:dyDescent="0.55000000000000004">
      <c r="A1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SS0301</v>
      </c>
      <c r="B19" s="316" t="s">
        <v>268</v>
      </c>
      <c r="C19" s="317" t="s">
        <v>269</v>
      </c>
      <c r="D19" s="317" t="s">
        <v>270</v>
      </c>
      <c r="E19" s="105" t="s">
        <v>271</v>
      </c>
      <c r="F19" s="100"/>
      <c r="G19" s="34"/>
      <c r="H19" s="34"/>
      <c r="I19" s="97">
        <v>45687.987079478589</v>
      </c>
      <c r="J19" s="97" t="s">
        <v>412</v>
      </c>
      <c r="K19" s="318">
        <v>30191.25</v>
      </c>
      <c r="L19" s="319">
        <v>9011.1330676597208</v>
      </c>
      <c r="M19" s="319">
        <v>20328.448264613897</v>
      </c>
      <c r="N19" s="319">
        <v>39255.072141148179</v>
      </c>
      <c r="O19" s="319">
        <v>24457.221773689071</v>
      </c>
      <c r="P19" s="319">
        <v>36373</v>
      </c>
      <c r="Q19" s="320">
        <v>40611.544070647637</v>
      </c>
      <c r="R19" s="319">
        <v>22843.993539739295</v>
      </c>
      <c r="S19" s="319">
        <v>18743</v>
      </c>
      <c r="T19" s="319">
        <v>17594</v>
      </c>
      <c r="U19" s="319">
        <v>25213</v>
      </c>
      <c r="V19" s="319">
        <v>13582</v>
      </c>
      <c r="W19" s="321">
        <f>IFERROR(IF(tblPiNAnalysis[[#This Row],[CCCM]]="", "", MROUND(tblPiNAnalysis[[#This Row],[CCCM]]/tblPiNAnalysis[[#This Row],[Affected population projection 2026]], 0.05)), "")</f>
        <v>0.65</v>
      </c>
      <c r="X19" s="322">
        <f>IFERROR(IF(tblPiNAnalysis[[#This Row],[Education]]="", "", MROUND(tblPiNAnalysis[[#This Row],[Education]]/tblPiNAnalysis[[#This Row],[Affected population projection 2026]], 0.05)), "")</f>
        <v>0.2</v>
      </c>
      <c r="Y19" s="322">
        <f>IFERROR(IF(tblPiNAnalysis[[#This Row],[Nutrition]]="", "", MROUND(tblPiNAnalysis[[#This Row],[Nutrition]]/tblPiNAnalysis[[#This Row],[Affected population projection 2026]], 0.05)), "")</f>
        <v>0.45</v>
      </c>
      <c r="Z19" s="322">
        <f>IFERROR(IF(tblPiNAnalysis[[#This Row],[Food Security]]="", "", MROUND(tblPiNAnalysis[[#This Row],[Food Security]]/tblPiNAnalysis[[#This Row],[Affected population projection 2026]], 0.05)), "")</f>
        <v>0.85000000000000009</v>
      </c>
      <c r="AA19" s="322">
        <f>IFERROR(IF(tblPiNAnalysis[[#This Row],[Health]]="", "", MROUND(tblPiNAnalysis[[#This Row],[Health]]/tblPiNAnalysis[[#This Row],[Affected population projection 2026]], 0.05)), "")</f>
        <v>0.55000000000000004</v>
      </c>
      <c r="AB19" s="323">
        <f>IFERROR(IF(tblPiNAnalysis[[#This Row],[Overarching Protection]]="", "", MROUND(tblPiNAnalysis[[#This Row],[Overarching Protection]]/tblPiNAnalysis[[#This Row],[Affected population projection 2026]], 0.05)), "")</f>
        <v>0.8</v>
      </c>
      <c r="AC19" s="323">
        <f>IFERROR(IF(tblPiNAnalysis[[#This Row],[Shelter]]="", "", MROUND(tblPiNAnalysis[[#This Row],[Shelter]]/tblPiNAnalysis[[#This Row],[Affected population projection 2026]], 0.05)), "")</f>
        <v>0.9</v>
      </c>
      <c r="AD19" s="324">
        <f>IFERROR(IF(tblPiNAnalysis[[#This Row],[WASH]]="", "", MROUND(tblPiNAnalysis[[#This Row],[WASH]]/tblPiNAnalysis[[#This Row],[Affected population projection 2026]], 0.05)), "")</f>
        <v>0.5</v>
      </c>
      <c r="AE19" s="322">
        <f>IFERROR(MROUND(tblPiNAnalysis[[#This Row],[CP]]/tblPiNAnalysis[[#This Row],[Affected population projection 2026]], 0.05), "")</f>
        <v>0.4</v>
      </c>
      <c r="AF19" s="322">
        <f>IFERROR(MROUND(tblPiNAnalysis[[#This Row],[GBV]]/tblPiNAnalysis[[#This Row],[Affected population projection 2026]], 0.05), "")</f>
        <v>0.4</v>
      </c>
      <c r="AG19" s="322">
        <f>IFERROR(MROUND(tblPiNAnalysis[[#This Row],[Mine Action]]/tblPiNAnalysis[[#This Row],[Affected population projection 2026]], 0.05), "")</f>
        <v>0.55000000000000004</v>
      </c>
      <c r="AH19" s="322">
        <f>IFERROR(MROUND(tblPiNAnalysis[[#This Row],[HLP]]/tblPiNAnalysis[[#This Row],[Affected population projection 2026]], 0.05), "")</f>
        <v>0.30000000000000004</v>
      </c>
      <c r="AI19" s="325">
        <f>IFERROR(LARGE(tblPiNAnalysis[[#This Row],[CCCM]:[WASH]], 1), "")</f>
        <v>40611.544070647637</v>
      </c>
      <c r="AJ19" s="326" t="str" cm="1">
        <f t="array" ref="AJ19">IF(tblPiNAnalysis[[#This Row],[Highest PiN]]="", "", _xlfn.TEXTJOIN(CHAR(10), TRUE, IF(tblPiNAnalysis[[#This Row],[Highest PiN]]=tblPiNAnalysis[[#This Row],[CCCM]:[WASH]], tblPiNAnalysis[[#Headers],[CCCM]:[WASH]], "")))</f>
        <v>Shelter</v>
      </c>
      <c r="AK19" s="327">
        <f>IF(tblPiNAnalysis[[#This Row],[Highest PiN]]="", "", tblPiNAnalysis[[#This Row],[Highest PiN]]/tblPiNAnalysis[[#This Row],[Affected population projection 2026]])</f>
        <v>0.88888888888888895</v>
      </c>
      <c r="AL19" s="328" t="str">
        <f>IF(SUM(tblPiNAnalysis[[#This Row],[CCCM]:[WASH]])=0, "",IF(COUNTIF(tblPiNAnalysis[[#This Row],[CCCM]:[WASH]],"=0")+COUNTIF(tblPiNAnalysis[[#This Row],[CCCM]:[WASH]],"")&gt;=zero_pin_thresh, "Flagged", ""))</f>
        <v/>
      </c>
      <c r="AM19" s="329" t="str">
        <f>IFERROR(IF(tblPiNAnalysis[[#This Row],[Highest PiN]]="", "", IF(tblPiNAnalysis[[#This Row],[Highest sector(s'') PiN %]]&gt;=flag_pin_perc, "Flagged", "")), "")</f>
        <v/>
      </c>
      <c r="AN19" s="330" t="str" cm="1">
        <f t="array" ref="AN19">IF(tblPiNAnalysis[[#This Row],[Highest PiN]]=0, "",  IF(OR(COUNTIF(tblPiNAnalysis[[#This Row],[Highest sector(s)]],tblSubSectorPopulation[Sector])), "Flagged", ""))</f>
        <v/>
      </c>
      <c r="AO19" s="46" cm="1">
        <f t="array" ref="AO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39255.072141148179</v>
      </c>
      <c r="AP19" s="331" t="str" cm="1">
        <f t="array" ref="AP19">IF(tblPiNAnalysis[[#This Row],[2nd Highest PiN]]="", "", _xlfn.TEXTJOIN(CHAR(10), TRUE, IF(tblPiNAnalysis[[#This Row],[2nd Highest PiN]]=tblPiNAnalysis[[#This Row],[CCCM]:[WASH]], tblPiNAnalysis[[#Headers],[CCCM]:[WASH]], "")))</f>
        <v>Food Security</v>
      </c>
      <c r="AQ19" s="36">
        <f>IFERROR(tblPiNAnalysis[[#This Row],[2nd Highest PiN]]/tblPiNAnalysis[[#This Row],[Affected population projection 2026]], "")</f>
        <v>0.85919898534510297</v>
      </c>
      <c r="AR19" s="46">
        <f>IFERROR(tblPiNAnalysis[[#This Row],[Highest PiN]]-tblPiNAnalysis[[#This Row],[2nd Highest PiN]], "")</f>
        <v>1356.4719294994575</v>
      </c>
      <c r="AS19" s="39">
        <f>IFERROR(((tblPiNAnalysis[[#This Row],[Highest PiN]]-tblPiNAnalysis[[#This Row],[2nd Highest PiN]])/tblPiNAnalysis[[#This Row],[2nd Highest PiN]]),"")</f>
        <v>3.4555328917038691E-2</v>
      </c>
      <c r="AT19" s="39" t="str" cm="1">
        <f t="array" ref="AT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 s="332" cm="1">
        <f t="array" ref="AU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36373</v>
      </c>
      <c r="AV19" s="190" t="str" cm="1">
        <f t="array" ref="AV19">IF(tblPiNAnalysis[[#This Row],[3rd Highest PiN]]="", "", _xlfn.TEXTJOIN(CHAR(10), TRUE, IF(tblPiNAnalysis[[#This Row],[3rd Highest PiN]]=tblPiNAnalysis[[#This Row],[CCCM]:[WASH]], tblPiNAnalysis[[#Headers],[CCCM]:[WASH]], "")))</f>
        <v>Overarching Protection</v>
      </c>
      <c r="AW19" s="190">
        <f>IFERROR(tblPiNAnalysis[[#This Row],[3rd Highest PiN]]/tblPiNAnalysis[[#This Row],[Affected population projection 2026]], "")</f>
        <v>0.79611736749806272</v>
      </c>
      <c r="AX19" s="45">
        <f>IFERROR(tblPiNAnalysis[[#This Row],[Highest PiN]]-tblPiNAnalysis[[#This Row],[3rd Highest PiN]],"")</f>
        <v>4238.5440706476365</v>
      </c>
      <c r="AY19" s="39">
        <f>IFERROR(tblPiNAnalysis[[#This Row],[Difference of PiN between Highest and 3rd Highest]]/tblPiNAnalysis[[#This Row],[3rd Highest PiN]], "")</f>
        <v>0.1165299554792741</v>
      </c>
      <c r="AZ19" s="330" t="str" cm="1">
        <f t="array" ref="AZ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 s="300" t="str" cm="1">
        <f t="array" ref="BA19">IFERROR(IF(tblPiNAnalysis[[#This Row],[ID]]="", "", INDEX(tblPiNHistorical[[CCCM]:[WASH]], MATCH(tblPiNAnalysis[[#This Row],[ID]],tblPiNHistorical[ID], 0),MATCH(_xlfn._xlws.FILTER(tblPiNAnalysis[[#Headers],[CCCM]:[WASH]], tblPiNAnalysis[[#This Row],[Highest PiN]]=tblPiNAnalysis[[#This Row],[CCCM]:[WASH]]), tblPiNHistorical[[#Headers],[CCCM]:[WASH]], 0))), "")</f>
        <v/>
      </c>
      <c r="BB19" s="333" t="str" cm="1">
        <f t="array" ref="BB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 s="276" t="str" cm="1">
        <f t="array" ref="BC1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 s="334" t="str" cm="1">
        <f t="array" ref="BD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 s="276">
        <f>INDEX(tblSeverityAnalysis[Final Severity], MATCH(tblPiNAnalysis[[#This Row],[ID]],tblSeverityAnalysis[ID], 0))</f>
        <v>4</v>
      </c>
      <c r="BF19" s="61">
        <f>IF(tblPiNAnalysis[[#This Row],[Severity]]&gt;2,tblPiNAnalysis[[#This Row],[Highest PiN]],)</f>
        <v>40611.544070647637</v>
      </c>
      <c r="BG19" s="191"/>
      <c r="BH19" s="192"/>
      <c r="BI19" s="193">
        <f>COUNTIFS(tblPiNAnalysis[[#This Row],[Number of missing / zero PiNs greater than threshold - Data quality]:[Manual Flag]],"Flagged")</f>
        <v>0</v>
      </c>
      <c r="BJ19" s="96" t="str">
        <f>IF(tblPiNAnalysis[[#This Row],['# Flags]]&gt;0, "Flagged", "")</f>
        <v/>
      </c>
      <c r="BK19" s="326">
        <f>tblPiNAnalysis[[#This Row],[Preliminary PiN]]</f>
        <v>40611.544070647637</v>
      </c>
      <c r="BL19" s="331"/>
    </row>
    <row r="20" spans="1:64" x14ac:dyDescent="0.55000000000000004">
      <c r="A2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SS0302</v>
      </c>
      <c r="B20" s="316" t="s">
        <v>268</v>
      </c>
      <c r="C20" s="317" t="s">
        <v>269</v>
      </c>
      <c r="D20" s="317" t="s">
        <v>272</v>
      </c>
      <c r="E20" s="105" t="s">
        <v>273</v>
      </c>
      <c r="F20" s="100"/>
      <c r="G20" s="34"/>
      <c r="H20" s="34"/>
      <c r="I20" s="97">
        <v>21857.689382345037</v>
      </c>
      <c r="J20" s="97" t="s">
        <v>412</v>
      </c>
      <c r="K20" s="318">
        <v>0</v>
      </c>
      <c r="L20" s="319">
        <v>3012.1644584022056</v>
      </c>
      <c r="M20" s="319">
        <v>7246.9332264528048</v>
      </c>
      <c r="N20" s="319">
        <v>16171.05136149268</v>
      </c>
      <c r="O20" s="319">
        <v>9814.1802232710907</v>
      </c>
      <c r="P20" s="319">
        <v>16888</v>
      </c>
      <c r="Q20" s="320">
        <v>13871.225954180503</v>
      </c>
      <c r="R20" s="319">
        <v>18659.003131270158</v>
      </c>
      <c r="S20" s="319">
        <v>8247</v>
      </c>
      <c r="T20" s="319">
        <v>10279</v>
      </c>
      <c r="U20" s="319">
        <v>1805</v>
      </c>
      <c r="V20" s="319">
        <v>6241</v>
      </c>
      <c r="W20" s="321">
        <f>IFERROR(IF(tblPiNAnalysis[[#This Row],[CCCM]]="", "", MROUND(tblPiNAnalysis[[#This Row],[CCCM]]/tblPiNAnalysis[[#This Row],[Affected population projection 2026]], 0.05)), "")</f>
        <v>0</v>
      </c>
      <c r="X20" s="322">
        <f>IFERROR(IF(tblPiNAnalysis[[#This Row],[Education]]="", "", MROUND(tblPiNAnalysis[[#This Row],[Education]]/tblPiNAnalysis[[#This Row],[Affected population projection 2026]], 0.05)), "")</f>
        <v>0.15000000000000002</v>
      </c>
      <c r="Y20" s="322">
        <f>IFERROR(IF(tblPiNAnalysis[[#This Row],[Nutrition]]="", "", MROUND(tblPiNAnalysis[[#This Row],[Nutrition]]/tblPiNAnalysis[[#This Row],[Affected population projection 2026]], 0.05)), "")</f>
        <v>0.35000000000000003</v>
      </c>
      <c r="Z20" s="322">
        <f>IFERROR(IF(tblPiNAnalysis[[#This Row],[Food Security]]="", "", MROUND(tblPiNAnalysis[[#This Row],[Food Security]]/tblPiNAnalysis[[#This Row],[Affected population projection 2026]], 0.05)), "")</f>
        <v>0.75</v>
      </c>
      <c r="AA20" s="322">
        <f>IFERROR(IF(tblPiNAnalysis[[#This Row],[Health]]="", "", MROUND(tblPiNAnalysis[[#This Row],[Health]]/tblPiNAnalysis[[#This Row],[Affected population projection 2026]], 0.05)), "")</f>
        <v>0.45</v>
      </c>
      <c r="AB20" s="323">
        <f>IFERROR(IF(tblPiNAnalysis[[#This Row],[Overarching Protection]]="", "", MROUND(tblPiNAnalysis[[#This Row],[Overarching Protection]]/tblPiNAnalysis[[#This Row],[Affected population projection 2026]], 0.05)), "")</f>
        <v>0.75</v>
      </c>
      <c r="AC20" s="323">
        <f>IFERROR(IF(tblPiNAnalysis[[#This Row],[Shelter]]="", "", MROUND(tblPiNAnalysis[[#This Row],[Shelter]]/tblPiNAnalysis[[#This Row],[Affected population projection 2026]], 0.05)), "")</f>
        <v>0.65</v>
      </c>
      <c r="AD20" s="324">
        <f>IFERROR(IF(tblPiNAnalysis[[#This Row],[WASH]]="", "", MROUND(tblPiNAnalysis[[#This Row],[WASH]]/tblPiNAnalysis[[#This Row],[Affected population projection 2026]], 0.05)), "")</f>
        <v>0.85000000000000009</v>
      </c>
      <c r="AE20" s="322">
        <f>IFERROR(MROUND(tblPiNAnalysis[[#This Row],[CP]]/tblPiNAnalysis[[#This Row],[Affected population projection 2026]], 0.05), "")</f>
        <v>0.4</v>
      </c>
      <c r="AF20" s="322">
        <f>IFERROR(MROUND(tblPiNAnalysis[[#This Row],[GBV]]/tblPiNAnalysis[[#This Row],[Affected population projection 2026]], 0.05), "")</f>
        <v>0.45</v>
      </c>
      <c r="AG20" s="322">
        <f>IFERROR(MROUND(tblPiNAnalysis[[#This Row],[Mine Action]]/tblPiNAnalysis[[#This Row],[Affected population projection 2026]], 0.05), "")</f>
        <v>0.1</v>
      </c>
      <c r="AH20" s="322">
        <f>IFERROR(MROUND(tblPiNAnalysis[[#This Row],[HLP]]/tblPiNAnalysis[[#This Row],[Affected population projection 2026]], 0.05), "")</f>
        <v>0.30000000000000004</v>
      </c>
      <c r="AI20" s="325">
        <f>IFERROR(LARGE(tblPiNAnalysis[[#This Row],[CCCM]:[WASH]], 1), "")</f>
        <v>18659.003131270158</v>
      </c>
      <c r="AJ20" s="326" t="str" cm="1">
        <f t="array" ref="AJ20">IF(tblPiNAnalysis[[#This Row],[Highest PiN]]="", "", _xlfn.TEXTJOIN(CHAR(10), TRUE, IF(tblPiNAnalysis[[#This Row],[Highest PiN]]=tblPiNAnalysis[[#This Row],[CCCM]:[WASH]], tblPiNAnalysis[[#Headers],[CCCM]:[WASH]], "")))</f>
        <v>WASH</v>
      </c>
      <c r="AK20" s="327">
        <f>IF(tblPiNAnalysis[[#This Row],[Highest PiN]]="", "", tblPiNAnalysis[[#This Row],[Highest PiN]]/tblPiNAnalysis[[#This Row],[Affected population projection 2026]])</f>
        <v>0.85365853658536606</v>
      </c>
      <c r="AL20" s="328" t="str">
        <f>IF(SUM(tblPiNAnalysis[[#This Row],[CCCM]:[WASH]])=0, "",IF(COUNTIF(tblPiNAnalysis[[#This Row],[CCCM]:[WASH]],"=0")+COUNTIF(tblPiNAnalysis[[#This Row],[CCCM]:[WASH]],"")&gt;=zero_pin_thresh, "Flagged", ""))</f>
        <v/>
      </c>
      <c r="AM20" s="329" t="str">
        <f>IFERROR(IF(tblPiNAnalysis[[#This Row],[Highest PiN]]="", "", IF(tblPiNAnalysis[[#This Row],[Highest sector(s'') PiN %]]&gt;=flag_pin_perc, "Flagged", "")), "")</f>
        <v/>
      </c>
      <c r="AN20" s="330" t="str" cm="1">
        <f t="array" ref="AN20">IF(tblPiNAnalysis[[#This Row],[Highest PiN]]=0, "",  IF(OR(COUNTIF(tblPiNAnalysis[[#This Row],[Highest sector(s)]],tblSubSectorPopulation[Sector])), "Flagged", ""))</f>
        <v/>
      </c>
      <c r="AO20" s="46" cm="1">
        <f t="array" ref="AO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16888</v>
      </c>
      <c r="AP20" s="331" t="str" cm="1">
        <f t="array" ref="AP20">IF(tblPiNAnalysis[[#This Row],[2nd Highest PiN]]="", "", _xlfn.TEXTJOIN(CHAR(10), TRUE, IF(tblPiNAnalysis[[#This Row],[2nd Highest PiN]]=tblPiNAnalysis[[#This Row],[CCCM]:[WASH]], tblPiNAnalysis[[#Headers],[CCCM]:[WASH]], "")))</f>
        <v>Overarching Protection</v>
      </c>
      <c r="AQ20" s="36">
        <f>IFERROR(tblPiNAnalysis[[#This Row],[2nd Highest PiN]]/tblPiNAnalysis[[#This Row],[Affected population projection 2026]], "")</f>
        <v>0.77263427549852681</v>
      </c>
      <c r="AR20" s="46">
        <f>IFERROR(tblPiNAnalysis[[#This Row],[Highest PiN]]-tblPiNAnalysis[[#This Row],[2nd Highest PiN]], "")</f>
        <v>1771.0031312701576</v>
      </c>
      <c r="AS20" s="39">
        <f>IFERROR(((tblPiNAnalysis[[#This Row],[Highest PiN]]-tblPiNAnalysis[[#This Row],[2nd Highest PiN]])/tblPiNAnalysis[[#This Row],[2nd Highest PiN]]),"")</f>
        <v>0.10486754685398848</v>
      </c>
      <c r="AT20" s="39" t="str" cm="1">
        <f t="array" ref="AT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 s="332" cm="1">
        <f t="array" ref="AU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16171.05136149268</v>
      </c>
      <c r="AV20" s="190" t="str" cm="1">
        <f t="array" ref="AV20">IF(tblPiNAnalysis[[#This Row],[3rd Highest PiN]]="", "", _xlfn.TEXTJOIN(CHAR(10), TRUE, IF(tblPiNAnalysis[[#This Row],[3rd Highest PiN]]=tblPiNAnalysis[[#This Row],[CCCM]:[WASH]], tblPiNAnalysis[[#Headers],[CCCM]:[WASH]], "")))</f>
        <v>Food Security</v>
      </c>
      <c r="AW20" s="190">
        <f>IFERROR(tblPiNAnalysis[[#This Row],[3rd Highest PiN]]/tblPiNAnalysis[[#This Row],[Affected population projection 2026]], "")</f>
        <v>0.7398335239659144</v>
      </c>
      <c r="AX20" s="45">
        <f>IFERROR(tblPiNAnalysis[[#This Row],[Highest PiN]]-tblPiNAnalysis[[#This Row],[3rd Highest PiN]],"")</f>
        <v>2487.9517697774772</v>
      </c>
      <c r="AY20" s="39">
        <f>IFERROR(tblPiNAnalysis[[#This Row],[Difference of PiN between Highest and 3rd Highest]]/tblPiNAnalysis[[#This Row],[3rd Highest PiN]], "")</f>
        <v>0.15385219638235229</v>
      </c>
      <c r="AZ20" s="330" t="str" cm="1">
        <f t="array" ref="AZ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 s="300" t="str" cm="1">
        <f t="array" ref="BA20">IFERROR(IF(tblPiNAnalysis[[#This Row],[ID]]="", "", INDEX(tblPiNHistorical[[CCCM]:[WASH]], MATCH(tblPiNAnalysis[[#This Row],[ID]],tblPiNHistorical[ID], 0),MATCH(_xlfn._xlws.FILTER(tblPiNAnalysis[[#Headers],[CCCM]:[WASH]], tblPiNAnalysis[[#This Row],[Highest PiN]]=tblPiNAnalysis[[#This Row],[CCCM]:[WASH]]), tblPiNHistorical[[#Headers],[CCCM]:[WASH]], 0))), "")</f>
        <v/>
      </c>
      <c r="BB20" s="333" t="str" cm="1">
        <f t="array" ref="BB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 s="276" t="str" cm="1">
        <f t="array" ref="BC2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 s="334" t="str" cm="1">
        <f t="array" ref="BD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 s="276">
        <f>INDEX(tblSeverityAnalysis[Final Severity], MATCH(tblPiNAnalysis[[#This Row],[ID]],tblSeverityAnalysis[ID], 0))</f>
        <v>4</v>
      </c>
      <c r="BF20" s="61">
        <f>IF(tblPiNAnalysis[[#This Row],[Severity]]&gt;2,tblPiNAnalysis[[#This Row],[Highest PiN]],)</f>
        <v>18659.003131270158</v>
      </c>
      <c r="BG20" s="191"/>
      <c r="BH20" s="192"/>
      <c r="BI20" s="193">
        <f>COUNTIFS(tblPiNAnalysis[[#This Row],[Number of missing / zero PiNs greater than threshold - Data quality]:[Manual Flag]],"Flagged")</f>
        <v>0</v>
      </c>
      <c r="BJ20" s="96" t="str">
        <f>IF(tblPiNAnalysis[[#This Row],['# Flags]]&gt;0, "Flagged", "")</f>
        <v/>
      </c>
      <c r="BK20" s="326">
        <f>tblPiNAnalysis[[#This Row],[Preliminary PiN]]</f>
        <v>18659.003131270158</v>
      </c>
      <c r="BL20" s="331"/>
    </row>
    <row r="21" spans="1:64" x14ac:dyDescent="0.55000000000000004">
      <c r="A2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SS0303</v>
      </c>
      <c r="B21" s="316" t="s">
        <v>268</v>
      </c>
      <c r="C21" s="317" t="s">
        <v>269</v>
      </c>
      <c r="D21" s="317" t="s">
        <v>274</v>
      </c>
      <c r="E21" s="105" t="s">
        <v>275</v>
      </c>
      <c r="F21" s="100"/>
      <c r="G21" s="34"/>
      <c r="H21" s="34"/>
      <c r="I21" s="97">
        <v>95901.175542296638</v>
      </c>
      <c r="J21" s="97" t="s">
        <v>412</v>
      </c>
      <c r="K21" s="318">
        <v>50265</v>
      </c>
      <c r="L21" s="319">
        <v>19394.094729918648</v>
      </c>
      <c r="M21" s="319">
        <v>36837.40550042902</v>
      </c>
      <c r="N21" s="319">
        <v>22913.183208266495</v>
      </c>
      <c r="O21" s="319">
        <v>53275.674539844593</v>
      </c>
      <c r="P21" s="319">
        <v>66786</v>
      </c>
      <c r="Q21" s="320">
        <v>71925.881656722486</v>
      </c>
      <c r="R21" s="319">
        <v>45286.666228306742</v>
      </c>
      <c r="S21" s="319">
        <v>41372</v>
      </c>
      <c r="T21" s="319">
        <v>13259</v>
      </c>
      <c r="U21" s="319">
        <v>18846</v>
      </c>
      <c r="V21" s="319">
        <v>23327</v>
      </c>
      <c r="W21" s="321">
        <f>IFERROR(IF(tblPiNAnalysis[[#This Row],[CCCM]]="", "", MROUND(tblPiNAnalysis[[#This Row],[CCCM]]/tblPiNAnalysis[[#This Row],[Affected population projection 2026]], 0.05)), "")</f>
        <v>0.5</v>
      </c>
      <c r="X21" s="322">
        <f>IFERROR(IF(tblPiNAnalysis[[#This Row],[Education]]="", "", MROUND(tblPiNAnalysis[[#This Row],[Education]]/tblPiNAnalysis[[#This Row],[Affected population projection 2026]], 0.05)), "")</f>
        <v>0.2</v>
      </c>
      <c r="Y21" s="322">
        <f>IFERROR(IF(tblPiNAnalysis[[#This Row],[Nutrition]]="", "", MROUND(tblPiNAnalysis[[#This Row],[Nutrition]]/tblPiNAnalysis[[#This Row],[Affected population projection 2026]], 0.05)), "")</f>
        <v>0.4</v>
      </c>
      <c r="Z21" s="322">
        <f>IFERROR(IF(tblPiNAnalysis[[#This Row],[Food Security]]="", "", MROUND(tblPiNAnalysis[[#This Row],[Food Security]]/tblPiNAnalysis[[#This Row],[Affected population projection 2026]], 0.05)), "")</f>
        <v>0.25</v>
      </c>
      <c r="AA21" s="322">
        <f>IFERROR(IF(tblPiNAnalysis[[#This Row],[Health]]="", "", MROUND(tblPiNAnalysis[[#This Row],[Health]]/tblPiNAnalysis[[#This Row],[Affected population projection 2026]], 0.05)), "")</f>
        <v>0.55000000000000004</v>
      </c>
      <c r="AB21" s="323">
        <f>IFERROR(IF(tblPiNAnalysis[[#This Row],[Overarching Protection]]="", "", MROUND(tblPiNAnalysis[[#This Row],[Overarching Protection]]/tblPiNAnalysis[[#This Row],[Affected population projection 2026]], 0.05)), "")</f>
        <v>0.70000000000000007</v>
      </c>
      <c r="AC21" s="323">
        <f>IFERROR(IF(tblPiNAnalysis[[#This Row],[Shelter]]="", "", MROUND(tblPiNAnalysis[[#This Row],[Shelter]]/tblPiNAnalysis[[#This Row],[Affected population projection 2026]], 0.05)), "")</f>
        <v>0.75</v>
      </c>
      <c r="AD21" s="324">
        <f>IFERROR(IF(tblPiNAnalysis[[#This Row],[WASH]]="", "", MROUND(tblPiNAnalysis[[#This Row],[WASH]]/tblPiNAnalysis[[#This Row],[Affected population projection 2026]], 0.05)), "")</f>
        <v>0.45</v>
      </c>
      <c r="AE21" s="322">
        <f>IFERROR(MROUND(tblPiNAnalysis[[#This Row],[CP]]/tblPiNAnalysis[[#This Row],[Affected population projection 2026]], 0.05), "")</f>
        <v>0.45</v>
      </c>
      <c r="AF21" s="322">
        <f>IFERROR(MROUND(tblPiNAnalysis[[#This Row],[GBV]]/tblPiNAnalysis[[#This Row],[Affected population projection 2026]], 0.05), "")</f>
        <v>0.15000000000000002</v>
      </c>
      <c r="AG21" s="322">
        <f>IFERROR(MROUND(tblPiNAnalysis[[#This Row],[Mine Action]]/tblPiNAnalysis[[#This Row],[Affected population projection 2026]], 0.05), "")</f>
        <v>0.2</v>
      </c>
      <c r="AH21" s="322">
        <f>IFERROR(MROUND(tblPiNAnalysis[[#This Row],[HLP]]/tblPiNAnalysis[[#This Row],[Affected population projection 2026]], 0.05), "")</f>
        <v>0.25</v>
      </c>
      <c r="AI21" s="325">
        <f>IFERROR(LARGE(tblPiNAnalysis[[#This Row],[CCCM]:[WASH]], 1), "")</f>
        <v>71925.881656722486</v>
      </c>
      <c r="AJ21" s="326" t="str" cm="1">
        <f t="array" ref="AJ21">IF(tblPiNAnalysis[[#This Row],[Highest PiN]]="", "", _xlfn.TEXTJOIN(CHAR(10), TRUE, IF(tblPiNAnalysis[[#This Row],[Highest PiN]]=tblPiNAnalysis[[#This Row],[CCCM]:[WASH]], tblPiNAnalysis[[#Headers],[CCCM]:[WASH]], "")))</f>
        <v>Shelter</v>
      </c>
      <c r="AK21" s="327">
        <f>IF(tblPiNAnalysis[[#This Row],[Highest PiN]]="", "", tblPiNAnalysis[[#This Row],[Highest PiN]]/tblPiNAnalysis[[#This Row],[Affected population projection 2026]])</f>
        <v>0.75000000000000011</v>
      </c>
      <c r="AL21" s="328" t="str">
        <f>IF(SUM(tblPiNAnalysis[[#This Row],[CCCM]:[WASH]])=0, "",IF(COUNTIF(tblPiNAnalysis[[#This Row],[CCCM]:[WASH]],"=0")+COUNTIF(tblPiNAnalysis[[#This Row],[CCCM]:[WASH]],"")&gt;=zero_pin_thresh, "Flagged", ""))</f>
        <v/>
      </c>
      <c r="AM21" s="329" t="str">
        <f>IFERROR(IF(tblPiNAnalysis[[#This Row],[Highest PiN]]="", "", IF(tblPiNAnalysis[[#This Row],[Highest sector(s'') PiN %]]&gt;=flag_pin_perc, "Flagged", "")), "")</f>
        <v/>
      </c>
      <c r="AN21" s="330" t="str" cm="1">
        <f t="array" ref="AN21">IF(tblPiNAnalysis[[#This Row],[Highest PiN]]=0, "",  IF(OR(COUNTIF(tblPiNAnalysis[[#This Row],[Highest sector(s)]],tblSubSectorPopulation[Sector])), "Flagged", ""))</f>
        <v/>
      </c>
      <c r="AO21" s="46" cm="1">
        <f t="array" ref="AO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66786</v>
      </c>
      <c r="AP21" s="331" t="str" cm="1">
        <f t="array" ref="AP21">IF(tblPiNAnalysis[[#This Row],[2nd Highest PiN]]="", "", _xlfn.TEXTJOIN(CHAR(10), TRUE, IF(tblPiNAnalysis[[#This Row],[2nd Highest PiN]]=tblPiNAnalysis[[#This Row],[CCCM]:[WASH]], tblPiNAnalysis[[#Headers],[CCCM]:[WASH]], "")))</f>
        <v>Overarching Protection</v>
      </c>
      <c r="AQ21" s="36">
        <f>IFERROR(tblPiNAnalysis[[#This Row],[2nd Highest PiN]]/tblPiNAnalysis[[#This Row],[Affected population projection 2026]], "")</f>
        <v>0.69640439360979922</v>
      </c>
      <c r="AR21" s="46">
        <f>IFERROR(tblPiNAnalysis[[#This Row],[Highest PiN]]-tblPiNAnalysis[[#This Row],[2nd Highest PiN]], "")</f>
        <v>5139.8816567224858</v>
      </c>
      <c r="AS21" s="39">
        <f>IFERROR(((tblPiNAnalysis[[#This Row],[Highest PiN]]-tblPiNAnalysis[[#This Row],[2nd Highest PiN]])/tblPiNAnalysis[[#This Row],[2nd Highest PiN]]),"")</f>
        <v>7.6960465617382179E-2</v>
      </c>
      <c r="AT21" s="39" t="str" cm="1">
        <f t="array" ref="AT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 s="332" cm="1">
        <f t="array" ref="AU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53275.674539844593</v>
      </c>
      <c r="AV21" s="190" t="str" cm="1">
        <f t="array" ref="AV21">IF(tblPiNAnalysis[[#This Row],[3rd Highest PiN]]="", "", _xlfn.TEXTJOIN(CHAR(10), TRUE, IF(tblPiNAnalysis[[#This Row],[3rd Highest PiN]]=tblPiNAnalysis[[#This Row],[CCCM]:[WASH]], tblPiNAnalysis[[#Headers],[CCCM]:[WASH]], "")))</f>
        <v>Health</v>
      </c>
      <c r="AW21" s="190">
        <f>IFERROR(tblPiNAnalysis[[#This Row],[3rd Highest PiN]]/tblPiNAnalysis[[#This Row],[Affected population projection 2026]], "")</f>
        <v>0.55552681433344553</v>
      </c>
      <c r="AX21" s="45">
        <f>IFERROR(tblPiNAnalysis[[#This Row],[Highest PiN]]-tblPiNAnalysis[[#This Row],[3rd Highest PiN]],"")</f>
        <v>18650.207116877893</v>
      </c>
      <c r="AY21" s="39">
        <f>IFERROR(tblPiNAnalysis[[#This Row],[Difference of PiN between Highest and 3rd Highest]]/tblPiNAnalysis[[#This Row],[3rd Highest PiN]], "")</f>
        <v>0.35006984478309144</v>
      </c>
      <c r="AZ21" s="330" t="str" cm="1">
        <f t="array" ref="AZ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 s="300" t="str" cm="1">
        <f t="array" ref="BA21">IFERROR(IF(tblPiNAnalysis[[#This Row],[ID]]="", "", INDEX(tblPiNHistorical[[CCCM]:[WASH]], MATCH(tblPiNAnalysis[[#This Row],[ID]],tblPiNHistorical[ID], 0),MATCH(_xlfn._xlws.FILTER(tblPiNAnalysis[[#Headers],[CCCM]:[WASH]], tblPiNAnalysis[[#This Row],[Highest PiN]]=tblPiNAnalysis[[#This Row],[CCCM]:[WASH]]), tblPiNHistorical[[#Headers],[CCCM]:[WASH]], 0))), "")</f>
        <v/>
      </c>
      <c r="BB21" s="333" t="str" cm="1">
        <f t="array" ref="BB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 s="276" t="str" cm="1">
        <f t="array" ref="BC2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 s="334" t="str" cm="1">
        <f t="array" ref="BD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 s="276">
        <f>INDEX(tblSeverityAnalysis[Final Severity], MATCH(tblPiNAnalysis[[#This Row],[ID]],tblSeverityAnalysis[ID], 0))</f>
        <v>3</v>
      </c>
      <c r="BF21" s="61">
        <f>IF(tblPiNAnalysis[[#This Row],[Severity]]&gt;2,tblPiNAnalysis[[#This Row],[Highest PiN]],)</f>
        <v>71925.881656722486</v>
      </c>
      <c r="BG21" s="191"/>
      <c r="BH21" s="192"/>
      <c r="BI21" s="193">
        <f>COUNTIFS(tblPiNAnalysis[[#This Row],[Number of missing / zero PiNs greater than threshold - Data quality]:[Manual Flag]],"Flagged")</f>
        <v>0</v>
      </c>
      <c r="BJ21" s="96" t="str">
        <f>IF(tblPiNAnalysis[[#This Row],['# Flags]]&gt;0, "Flagged", "")</f>
        <v/>
      </c>
      <c r="BK21" s="326">
        <f>tblPiNAnalysis[[#This Row],[Preliminary PiN]]</f>
        <v>71925.881656722486</v>
      </c>
      <c r="BL21" s="331"/>
    </row>
    <row r="22" spans="1:64" x14ac:dyDescent="0.55000000000000004">
      <c r="A2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SS0304</v>
      </c>
      <c r="B22" s="316" t="s">
        <v>268</v>
      </c>
      <c r="C22" s="317" t="s">
        <v>269</v>
      </c>
      <c r="D22" s="317" t="s">
        <v>276</v>
      </c>
      <c r="E22" s="105" t="s">
        <v>277</v>
      </c>
      <c r="F22" s="100"/>
      <c r="G22" s="34"/>
      <c r="H22" s="34"/>
      <c r="I22" s="97">
        <v>69039.732902168529</v>
      </c>
      <c r="J22" s="97" t="s">
        <v>412</v>
      </c>
      <c r="K22" s="318">
        <v>2940</v>
      </c>
      <c r="L22" s="319">
        <v>11234.283417306668</v>
      </c>
      <c r="M22" s="319">
        <v>26154.980284305846</v>
      </c>
      <c r="N22" s="319">
        <v>60658.225579270336</v>
      </c>
      <c r="O22" s="319">
        <v>50858.935327370076</v>
      </c>
      <c r="P22" s="319">
        <v>53298</v>
      </c>
      <c r="Q22" s="320">
        <v>69039.732902168529</v>
      </c>
      <c r="R22" s="319">
        <v>66482.705757643766</v>
      </c>
      <c r="S22" s="319">
        <v>27542</v>
      </c>
      <c r="T22" s="319">
        <v>26342</v>
      </c>
      <c r="U22" s="319">
        <v>32419</v>
      </c>
      <c r="V22" s="319">
        <v>16304</v>
      </c>
      <c r="W22" s="321">
        <f>IFERROR(IF(tblPiNAnalysis[[#This Row],[CCCM]]="", "", MROUND(tblPiNAnalysis[[#This Row],[CCCM]]/tblPiNAnalysis[[#This Row],[Affected population projection 2026]], 0.05)), "")</f>
        <v>0.05</v>
      </c>
      <c r="X22" s="322">
        <f>IFERROR(IF(tblPiNAnalysis[[#This Row],[Education]]="", "", MROUND(tblPiNAnalysis[[#This Row],[Education]]/tblPiNAnalysis[[#This Row],[Affected population projection 2026]], 0.05)), "")</f>
        <v>0.15000000000000002</v>
      </c>
      <c r="Y22" s="322">
        <f>IFERROR(IF(tblPiNAnalysis[[#This Row],[Nutrition]]="", "", MROUND(tblPiNAnalysis[[#This Row],[Nutrition]]/tblPiNAnalysis[[#This Row],[Affected population projection 2026]], 0.05)), "")</f>
        <v>0.4</v>
      </c>
      <c r="Z22" s="322">
        <f>IFERROR(IF(tblPiNAnalysis[[#This Row],[Food Security]]="", "", MROUND(tblPiNAnalysis[[#This Row],[Food Security]]/tblPiNAnalysis[[#This Row],[Affected population projection 2026]], 0.05)), "")</f>
        <v>0.9</v>
      </c>
      <c r="AA22" s="322">
        <f>IFERROR(IF(tblPiNAnalysis[[#This Row],[Health]]="", "", MROUND(tblPiNAnalysis[[#This Row],[Health]]/tblPiNAnalysis[[#This Row],[Affected population projection 2026]], 0.05)), "")</f>
        <v>0.75</v>
      </c>
      <c r="AB22" s="323">
        <f>IFERROR(IF(tblPiNAnalysis[[#This Row],[Overarching Protection]]="", "", MROUND(tblPiNAnalysis[[#This Row],[Overarching Protection]]/tblPiNAnalysis[[#This Row],[Affected population projection 2026]], 0.05)), "")</f>
        <v>0.75</v>
      </c>
      <c r="AC22" s="323">
        <f>IFERROR(IF(tblPiNAnalysis[[#This Row],[Shelter]]="", "", MROUND(tblPiNAnalysis[[#This Row],[Shelter]]/tblPiNAnalysis[[#This Row],[Affected population projection 2026]], 0.05)), "")</f>
        <v>1</v>
      </c>
      <c r="AD22" s="324">
        <f>IFERROR(IF(tblPiNAnalysis[[#This Row],[WASH]]="", "", MROUND(tblPiNAnalysis[[#This Row],[WASH]]/tblPiNAnalysis[[#This Row],[Affected population projection 2026]], 0.05)), "")</f>
        <v>0.95000000000000007</v>
      </c>
      <c r="AE22" s="322">
        <f>IFERROR(MROUND(tblPiNAnalysis[[#This Row],[CP]]/tblPiNAnalysis[[#This Row],[Affected population projection 2026]], 0.05), "")</f>
        <v>0.4</v>
      </c>
      <c r="AF22" s="322">
        <f>IFERROR(MROUND(tblPiNAnalysis[[#This Row],[GBV]]/tblPiNAnalysis[[#This Row],[Affected population projection 2026]], 0.05), "")</f>
        <v>0.4</v>
      </c>
      <c r="AG22" s="322">
        <f>IFERROR(MROUND(tblPiNAnalysis[[#This Row],[Mine Action]]/tblPiNAnalysis[[#This Row],[Affected population projection 2026]], 0.05), "")</f>
        <v>0.45</v>
      </c>
      <c r="AH22" s="322">
        <f>IFERROR(MROUND(tblPiNAnalysis[[#This Row],[HLP]]/tblPiNAnalysis[[#This Row],[Affected population projection 2026]], 0.05), "")</f>
        <v>0.25</v>
      </c>
      <c r="AI22" s="325">
        <f>IFERROR(LARGE(tblPiNAnalysis[[#This Row],[CCCM]:[WASH]], 1), "")</f>
        <v>69039.732902168529</v>
      </c>
      <c r="AJ22" s="326" t="str" cm="1">
        <f t="array" ref="AJ22">IF(tblPiNAnalysis[[#This Row],[Highest PiN]]="", "", _xlfn.TEXTJOIN(CHAR(10), TRUE, IF(tblPiNAnalysis[[#This Row],[Highest PiN]]=tblPiNAnalysis[[#This Row],[CCCM]:[WASH]], tblPiNAnalysis[[#Headers],[CCCM]:[WASH]], "")))</f>
        <v>Shelter</v>
      </c>
      <c r="AK22" s="327">
        <f>IF(tblPiNAnalysis[[#This Row],[Highest PiN]]="", "", tblPiNAnalysis[[#This Row],[Highest PiN]]/tblPiNAnalysis[[#This Row],[Affected population projection 2026]])</f>
        <v>1</v>
      </c>
      <c r="AL22" s="328" t="str">
        <f>IF(SUM(tblPiNAnalysis[[#This Row],[CCCM]:[WASH]])=0, "",IF(COUNTIF(tblPiNAnalysis[[#This Row],[CCCM]:[WASH]],"=0")+COUNTIF(tblPiNAnalysis[[#This Row],[CCCM]:[WASH]],"")&gt;=zero_pin_thresh, "Flagged", ""))</f>
        <v/>
      </c>
      <c r="AM22" s="329" t="str">
        <f>IFERROR(IF(tblPiNAnalysis[[#This Row],[Highest PiN]]="", "", IF(tblPiNAnalysis[[#This Row],[Highest sector(s'') PiN %]]&gt;=flag_pin_perc, "Flagged", "")), "")</f>
        <v>Flagged</v>
      </c>
      <c r="AN22" s="330" t="str" cm="1">
        <f t="array" ref="AN22">IF(tblPiNAnalysis[[#This Row],[Highest PiN]]=0, "",  IF(OR(COUNTIF(tblPiNAnalysis[[#This Row],[Highest sector(s)]],tblSubSectorPopulation[Sector])), "Flagged", ""))</f>
        <v/>
      </c>
      <c r="AO22" s="46" cm="1">
        <f t="array" ref="AO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66482.705757643766</v>
      </c>
      <c r="AP22" s="331" t="str" cm="1">
        <f t="array" ref="AP22">IF(tblPiNAnalysis[[#This Row],[2nd Highest PiN]]="", "", _xlfn.TEXTJOIN(CHAR(10), TRUE, IF(tblPiNAnalysis[[#This Row],[2nd Highest PiN]]=tblPiNAnalysis[[#This Row],[CCCM]:[WASH]], tblPiNAnalysis[[#Headers],[CCCM]:[WASH]], "")))</f>
        <v>WASH</v>
      </c>
      <c r="AQ22" s="36">
        <f>IFERROR(tblPiNAnalysis[[#This Row],[2nd Highest PiN]]/tblPiNAnalysis[[#This Row],[Affected population projection 2026]], "")</f>
        <v>0.96296296296296291</v>
      </c>
      <c r="AR22" s="46">
        <f>IFERROR(tblPiNAnalysis[[#This Row],[Highest PiN]]-tblPiNAnalysis[[#This Row],[2nd Highest PiN]], "")</f>
        <v>2557.0271445247636</v>
      </c>
      <c r="AS22" s="39">
        <f>IFERROR(((tblPiNAnalysis[[#This Row],[Highest PiN]]-tblPiNAnalysis[[#This Row],[2nd Highest PiN]])/tblPiNAnalysis[[#This Row],[2nd Highest PiN]]),"")</f>
        <v>3.8461538461538512E-2</v>
      </c>
      <c r="AT22" s="39" t="str" cm="1">
        <f t="array" ref="AT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 s="332" cm="1">
        <f t="array" ref="AU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60658.225579270336</v>
      </c>
      <c r="AV22" s="190" t="str" cm="1">
        <f t="array" ref="AV22">IF(tblPiNAnalysis[[#This Row],[3rd Highest PiN]]="", "", _xlfn.TEXTJOIN(CHAR(10), TRUE, IF(tblPiNAnalysis[[#This Row],[3rd Highest PiN]]=tblPiNAnalysis[[#This Row],[CCCM]:[WASH]], tblPiNAnalysis[[#Headers],[CCCM]:[WASH]], "")))</f>
        <v>Food Security</v>
      </c>
      <c r="AW22" s="190">
        <f>IFERROR(tblPiNAnalysis[[#This Row],[3rd Highest PiN]]/tblPiNAnalysis[[#This Row],[Affected population projection 2026]], "")</f>
        <v>0.87859878695105831</v>
      </c>
      <c r="AX22" s="45">
        <f>IFERROR(tblPiNAnalysis[[#This Row],[Highest PiN]]-tblPiNAnalysis[[#This Row],[3rd Highest PiN]],"")</f>
        <v>8381.5073228981928</v>
      </c>
      <c r="AY22" s="39">
        <f>IFERROR(tblPiNAnalysis[[#This Row],[Difference of PiN between Highest and 3rd Highest]]/tblPiNAnalysis[[#This Row],[3rd Highest PiN]], "")</f>
        <v>0.13817593974859912</v>
      </c>
      <c r="AZ22" s="330" t="str" cm="1">
        <f t="array" ref="AZ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 s="300" t="str" cm="1">
        <f t="array" ref="BA22">IFERROR(IF(tblPiNAnalysis[[#This Row],[ID]]="", "", INDEX(tblPiNHistorical[[CCCM]:[WASH]], MATCH(tblPiNAnalysis[[#This Row],[ID]],tblPiNHistorical[ID], 0),MATCH(_xlfn._xlws.FILTER(tblPiNAnalysis[[#Headers],[CCCM]:[WASH]], tblPiNAnalysis[[#This Row],[Highest PiN]]=tblPiNAnalysis[[#This Row],[CCCM]:[WASH]]), tblPiNHistorical[[#Headers],[CCCM]:[WASH]], 0))), "")</f>
        <v/>
      </c>
      <c r="BB22" s="333" t="str" cm="1">
        <f t="array" ref="BB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 s="276" t="str" cm="1">
        <f t="array" ref="BC2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 s="334" t="str" cm="1">
        <f t="array" ref="BD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 s="276">
        <f>INDEX(tblSeverityAnalysis[Final Severity], MATCH(tblPiNAnalysis[[#This Row],[ID]],tblSeverityAnalysis[ID], 0))</f>
        <v>4</v>
      </c>
      <c r="BF22" s="61">
        <f>IF(tblPiNAnalysis[[#This Row],[Severity]]&gt;2,tblPiNAnalysis[[#This Row],[Highest PiN]],)</f>
        <v>69039.732902168529</v>
      </c>
      <c r="BG22" s="191"/>
      <c r="BH22" s="192"/>
      <c r="BI22" s="193">
        <f>COUNTIFS(tblPiNAnalysis[[#This Row],[Number of missing / zero PiNs greater than threshold - Data quality]:[Manual Flag]],"Flagged")</f>
        <v>1</v>
      </c>
      <c r="BJ22" s="96" t="str">
        <f>IF(tblPiNAnalysis[[#This Row],['# Flags]]&gt;0, "Flagged", "")</f>
        <v>Flagged</v>
      </c>
      <c r="BK22" s="326">
        <f>tblPiNAnalysis[[#This Row],[Preliminary PiN]]</f>
        <v>69039.732902168529</v>
      </c>
      <c r="BL22" s="331"/>
    </row>
    <row r="23" spans="1:64" x14ac:dyDescent="0.55000000000000004">
      <c r="A2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SS0305</v>
      </c>
      <c r="B23" s="316" t="s">
        <v>268</v>
      </c>
      <c r="C23" s="317" t="s">
        <v>269</v>
      </c>
      <c r="D23" s="317" t="s">
        <v>278</v>
      </c>
      <c r="E23" s="105" t="s">
        <v>279</v>
      </c>
      <c r="F23" s="100"/>
      <c r="G23" s="34"/>
      <c r="H23" s="34"/>
      <c r="I23" s="97">
        <v>77068.443303189997</v>
      </c>
      <c r="J23" s="97" t="s">
        <v>412</v>
      </c>
      <c r="K23" s="318">
        <v>0</v>
      </c>
      <c r="L23" s="319">
        <v>8003.5578370362809</v>
      </c>
      <c r="M23" s="319">
        <v>29219.09106715216</v>
      </c>
      <c r="N23" s="319">
        <v>53758.117095312671</v>
      </c>
      <c r="O23" s="319">
        <v>51263.151432420411</v>
      </c>
      <c r="P23" s="319">
        <v>53948</v>
      </c>
      <c r="Q23" s="320">
        <v>77068.443303189997</v>
      </c>
      <c r="R23" s="319">
        <v>36393.431559839715</v>
      </c>
      <c r="S23" s="319">
        <v>32413</v>
      </c>
      <c r="T23" s="319">
        <v>33856</v>
      </c>
      <c r="U23" s="319">
        <v>15753</v>
      </c>
      <c r="V23" s="319">
        <v>20043</v>
      </c>
      <c r="W23" s="321">
        <f>IFERROR(IF(tblPiNAnalysis[[#This Row],[CCCM]]="", "", MROUND(tblPiNAnalysis[[#This Row],[CCCM]]/tblPiNAnalysis[[#This Row],[Affected population projection 2026]], 0.05)), "")</f>
        <v>0</v>
      </c>
      <c r="X23" s="322">
        <f>IFERROR(IF(tblPiNAnalysis[[#This Row],[Education]]="", "", MROUND(tblPiNAnalysis[[#This Row],[Education]]/tblPiNAnalysis[[#This Row],[Affected population projection 2026]], 0.05)), "")</f>
        <v>0.1</v>
      </c>
      <c r="Y23" s="322">
        <f>IFERROR(IF(tblPiNAnalysis[[#This Row],[Nutrition]]="", "", MROUND(tblPiNAnalysis[[#This Row],[Nutrition]]/tblPiNAnalysis[[#This Row],[Affected population projection 2026]], 0.05)), "")</f>
        <v>0.4</v>
      </c>
      <c r="Z23" s="322">
        <f>IFERROR(IF(tblPiNAnalysis[[#This Row],[Food Security]]="", "", MROUND(tblPiNAnalysis[[#This Row],[Food Security]]/tblPiNAnalysis[[#This Row],[Affected population projection 2026]], 0.05)), "")</f>
        <v>0.70000000000000007</v>
      </c>
      <c r="AA23" s="322">
        <f>IFERROR(IF(tblPiNAnalysis[[#This Row],[Health]]="", "", MROUND(tblPiNAnalysis[[#This Row],[Health]]/tblPiNAnalysis[[#This Row],[Affected population projection 2026]], 0.05)), "")</f>
        <v>0.65</v>
      </c>
      <c r="AB23" s="323">
        <f>IFERROR(IF(tblPiNAnalysis[[#This Row],[Overarching Protection]]="", "", MROUND(tblPiNAnalysis[[#This Row],[Overarching Protection]]/tblPiNAnalysis[[#This Row],[Affected population projection 2026]], 0.05)), "")</f>
        <v>0.70000000000000007</v>
      </c>
      <c r="AC23" s="323">
        <f>IFERROR(IF(tblPiNAnalysis[[#This Row],[Shelter]]="", "", MROUND(tblPiNAnalysis[[#This Row],[Shelter]]/tblPiNAnalysis[[#This Row],[Affected population projection 2026]], 0.05)), "")</f>
        <v>1</v>
      </c>
      <c r="AD23" s="324">
        <f>IFERROR(IF(tblPiNAnalysis[[#This Row],[WASH]]="", "", MROUND(tblPiNAnalysis[[#This Row],[WASH]]/tblPiNAnalysis[[#This Row],[Affected population projection 2026]], 0.05)), "")</f>
        <v>0.45</v>
      </c>
      <c r="AE23" s="322">
        <f>IFERROR(MROUND(tblPiNAnalysis[[#This Row],[CP]]/tblPiNAnalysis[[#This Row],[Affected population projection 2026]], 0.05), "")</f>
        <v>0.4</v>
      </c>
      <c r="AF23" s="322">
        <f>IFERROR(MROUND(tblPiNAnalysis[[#This Row],[GBV]]/tblPiNAnalysis[[#This Row],[Affected population projection 2026]], 0.05), "")</f>
        <v>0.45</v>
      </c>
      <c r="AG23" s="322">
        <f>IFERROR(MROUND(tblPiNAnalysis[[#This Row],[Mine Action]]/tblPiNAnalysis[[#This Row],[Affected population projection 2026]], 0.05), "")</f>
        <v>0.2</v>
      </c>
      <c r="AH23" s="322">
        <f>IFERROR(MROUND(tblPiNAnalysis[[#This Row],[HLP]]/tblPiNAnalysis[[#This Row],[Affected population projection 2026]], 0.05), "")</f>
        <v>0.25</v>
      </c>
      <c r="AI23" s="325">
        <f>IFERROR(LARGE(tblPiNAnalysis[[#This Row],[CCCM]:[WASH]], 1), "")</f>
        <v>77068.443303189997</v>
      </c>
      <c r="AJ23" s="326" t="str" cm="1">
        <f t="array" ref="AJ23">IF(tblPiNAnalysis[[#This Row],[Highest PiN]]="", "", _xlfn.TEXTJOIN(CHAR(10), TRUE, IF(tblPiNAnalysis[[#This Row],[Highest PiN]]=tblPiNAnalysis[[#This Row],[CCCM]:[WASH]], tblPiNAnalysis[[#Headers],[CCCM]:[WASH]], "")))</f>
        <v>Shelter</v>
      </c>
      <c r="AK23" s="327">
        <f>IF(tblPiNAnalysis[[#This Row],[Highest PiN]]="", "", tblPiNAnalysis[[#This Row],[Highest PiN]]/tblPiNAnalysis[[#This Row],[Affected population projection 2026]])</f>
        <v>1</v>
      </c>
      <c r="AL23" s="328" t="str">
        <f>IF(SUM(tblPiNAnalysis[[#This Row],[CCCM]:[WASH]])=0, "",IF(COUNTIF(tblPiNAnalysis[[#This Row],[CCCM]:[WASH]],"=0")+COUNTIF(tblPiNAnalysis[[#This Row],[CCCM]:[WASH]],"")&gt;=zero_pin_thresh, "Flagged", ""))</f>
        <v/>
      </c>
      <c r="AM23" s="329" t="str">
        <f>IFERROR(IF(tblPiNAnalysis[[#This Row],[Highest PiN]]="", "", IF(tblPiNAnalysis[[#This Row],[Highest sector(s'') PiN %]]&gt;=flag_pin_perc, "Flagged", "")), "")</f>
        <v>Flagged</v>
      </c>
      <c r="AN23" s="330" t="str" cm="1">
        <f t="array" ref="AN23">IF(tblPiNAnalysis[[#This Row],[Highest PiN]]=0, "",  IF(OR(COUNTIF(tblPiNAnalysis[[#This Row],[Highest sector(s)]],tblSubSectorPopulation[Sector])), "Flagged", ""))</f>
        <v/>
      </c>
      <c r="AO23" s="46" cm="1">
        <f t="array" ref="AO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53948</v>
      </c>
      <c r="AP23" s="331" t="str" cm="1">
        <f t="array" ref="AP23">IF(tblPiNAnalysis[[#This Row],[2nd Highest PiN]]="", "", _xlfn.TEXTJOIN(CHAR(10), TRUE, IF(tblPiNAnalysis[[#This Row],[2nd Highest PiN]]=tblPiNAnalysis[[#This Row],[CCCM]:[WASH]], tblPiNAnalysis[[#Headers],[CCCM]:[WASH]], "")))</f>
        <v>Overarching Protection</v>
      </c>
      <c r="AQ23" s="36">
        <f>IFERROR(tblPiNAnalysis[[#This Row],[2nd Highest PiN]]/tblPiNAnalysis[[#This Row],[Affected population projection 2026]], "")</f>
        <v>0.7000011637417749</v>
      </c>
      <c r="AR23" s="46">
        <f>IFERROR(tblPiNAnalysis[[#This Row],[Highest PiN]]-tblPiNAnalysis[[#This Row],[2nd Highest PiN]], "")</f>
        <v>23120.443303189997</v>
      </c>
      <c r="AS23" s="39">
        <f>IFERROR(((tblPiNAnalysis[[#This Row],[Highest PiN]]-tblPiNAnalysis[[#This Row],[2nd Highest PiN]])/tblPiNAnalysis[[#This Row],[2nd Highest PiN]]),"")</f>
        <v>0.4285690535921628</v>
      </c>
      <c r="AT23" s="39" t="str" cm="1">
        <f t="array" ref="AT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 s="332" cm="1">
        <f t="array" ref="AU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53758.117095312671</v>
      </c>
      <c r="AV23" s="190" t="str" cm="1">
        <f t="array" ref="AV23">IF(tblPiNAnalysis[[#This Row],[3rd Highest PiN]]="", "", _xlfn.TEXTJOIN(CHAR(10), TRUE, IF(tblPiNAnalysis[[#This Row],[3rd Highest PiN]]=tblPiNAnalysis[[#This Row],[CCCM]:[WASH]], tblPiNAnalysis[[#Headers],[CCCM]:[WASH]], "")))</f>
        <v>Food Security</v>
      </c>
      <c r="AW23" s="190">
        <f>IFERROR(tblPiNAnalysis[[#This Row],[3rd Highest PiN]]/tblPiNAnalysis[[#This Row],[Affected population projection 2026]], "")</f>
        <v>0.6975373420198242</v>
      </c>
      <c r="AX23" s="45">
        <f>IFERROR(tblPiNAnalysis[[#This Row],[Highest PiN]]-tblPiNAnalysis[[#This Row],[3rd Highest PiN]],"")</f>
        <v>23310.326207877326</v>
      </c>
      <c r="AY23" s="39">
        <f>IFERROR(tblPiNAnalysis[[#This Row],[Difference of PiN between Highest and 3rd Highest]]/tblPiNAnalysis[[#This Row],[3rd Highest PiN]], "")</f>
        <v>0.43361500490332133</v>
      </c>
      <c r="AZ23" s="330" t="str" cm="1">
        <f t="array" ref="AZ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 s="300" t="str" cm="1">
        <f t="array" ref="BA23">IFERROR(IF(tblPiNAnalysis[[#This Row],[ID]]="", "", INDEX(tblPiNHistorical[[CCCM]:[WASH]], MATCH(tblPiNAnalysis[[#This Row],[ID]],tblPiNHistorical[ID], 0),MATCH(_xlfn._xlws.FILTER(tblPiNAnalysis[[#Headers],[CCCM]:[WASH]], tblPiNAnalysis[[#This Row],[Highest PiN]]=tblPiNAnalysis[[#This Row],[CCCM]:[WASH]]), tblPiNHistorical[[#Headers],[CCCM]:[WASH]], 0))), "")</f>
        <v/>
      </c>
      <c r="BB23" s="333" t="str" cm="1">
        <f t="array" ref="BB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 s="276" t="str" cm="1">
        <f t="array" ref="BC23">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 s="334" t="str" cm="1">
        <f t="array" ref="BD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 s="276">
        <f>INDEX(tblSeverityAnalysis[Final Severity], MATCH(tblPiNAnalysis[[#This Row],[ID]],tblSeverityAnalysis[ID], 0))</f>
        <v>4</v>
      </c>
      <c r="BF23" s="61">
        <f>IF(tblPiNAnalysis[[#This Row],[Severity]]&gt;2,tblPiNAnalysis[[#This Row],[Highest PiN]],)</f>
        <v>77068.443303189997</v>
      </c>
      <c r="BG23" s="191"/>
      <c r="BH23" s="192"/>
      <c r="BI23" s="193">
        <f>COUNTIFS(tblPiNAnalysis[[#This Row],[Number of missing / zero PiNs greater than threshold - Data quality]:[Manual Flag]],"Flagged")</f>
        <v>2</v>
      </c>
      <c r="BJ23" s="96" t="str">
        <f>IF(tblPiNAnalysis[[#This Row],['# Flags]]&gt;0, "Flagged", "")</f>
        <v>Flagged</v>
      </c>
      <c r="BK23" s="326">
        <f>tblPiNAnalysis[[#This Row],[Preliminary PiN]]</f>
        <v>77068.443303189997</v>
      </c>
      <c r="BL23" s="331"/>
    </row>
    <row r="24" spans="1:64" x14ac:dyDescent="0.55000000000000004">
      <c r="A2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SS0306</v>
      </c>
      <c r="B24" s="316" t="s">
        <v>268</v>
      </c>
      <c r="C24" s="317" t="s">
        <v>269</v>
      </c>
      <c r="D24" s="317" t="s">
        <v>280</v>
      </c>
      <c r="E24" s="105" t="s">
        <v>281</v>
      </c>
      <c r="F24" s="100"/>
      <c r="G24" s="34"/>
      <c r="H24" s="34"/>
      <c r="I24" s="97">
        <v>118740.98784317059</v>
      </c>
      <c r="J24" s="97" t="s">
        <v>412</v>
      </c>
      <c r="K24" s="318">
        <v>53426.25</v>
      </c>
      <c r="L24" s="319">
        <v>44409.129453345799</v>
      </c>
      <c r="M24" s="319">
        <v>40113.54086952786</v>
      </c>
      <c r="N24" s="319">
        <v>103011.12865811396</v>
      </c>
      <c r="O24" s="319">
        <v>77337.079860623839</v>
      </c>
      <c r="P24" s="319">
        <v>94945</v>
      </c>
      <c r="Q24" s="320">
        <v>74762.844197551851</v>
      </c>
      <c r="R24" s="319">
        <v>93453.55524693981</v>
      </c>
      <c r="S24" s="319">
        <v>49865</v>
      </c>
      <c r="T24" s="319">
        <v>48097</v>
      </c>
      <c r="U24" s="319">
        <v>60463</v>
      </c>
      <c r="V24" s="319">
        <v>34020</v>
      </c>
      <c r="W24" s="321">
        <f>IFERROR(IF(tblPiNAnalysis[[#This Row],[CCCM]]="", "", MROUND(tblPiNAnalysis[[#This Row],[CCCM]]/tblPiNAnalysis[[#This Row],[Affected population projection 2026]], 0.05)), "")</f>
        <v>0.45</v>
      </c>
      <c r="X24" s="322">
        <f>IFERROR(IF(tblPiNAnalysis[[#This Row],[Education]]="", "", MROUND(tblPiNAnalysis[[#This Row],[Education]]/tblPiNAnalysis[[#This Row],[Affected population projection 2026]], 0.05)), "")</f>
        <v>0.35000000000000003</v>
      </c>
      <c r="Y24" s="322">
        <f>IFERROR(IF(tblPiNAnalysis[[#This Row],[Nutrition]]="", "", MROUND(tblPiNAnalysis[[#This Row],[Nutrition]]/tblPiNAnalysis[[#This Row],[Affected population projection 2026]], 0.05)), "")</f>
        <v>0.35000000000000003</v>
      </c>
      <c r="Z24" s="322">
        <f>IFERROR(IF(tblPiNAnalysis[[#This Row],[Food Security]]="", "", MROUND(tblPiNAnalysis[[#This Row],[Food Security]]/tblPiNAnalysis[[#This Row],[Affected population projection 2026]], 0.05)), "")</f>
        <v>0.85000000000000009</v>
      </c>
      <c r="AA24" s="322">
        <f>IFERROR(IF(tblPiNAnalysis[[#This Row],[Health]]="", "", MROUND(tblPiNAnalysis[[#This Row],[Health]]/tblPiNAnalysis[[#This Row],[Affected population projection 2026]], 0.05)), "")</f>
        <v>0.65</v>
      </c>
      <c r="AB24" s="323">
        <f>IFERROR(IF(tblPiNAnalysis[[#This Row],[Overarching Protection]]="", "", MROUND(tblPiNAnalysis[[#This Row],[Overarching Protection]]/tblPiNAnalysis[[#This Row],[Affected population projection 2026]], 0.05)), "")</f>
        <v>0.8</v>
      </c>
      <c r="AC24" s="323">
        <f>IFERROR(IF(tblPiNAnalysis[[#This Row],[Shelter]]="", "", MROUND(tblPiNAnalysis[[#This Row],[Shelter]]/tblPiNAnalysis[[#This Row],[Affected population projection 2026]], 0.05)), "")</f>
        <v>0.65</v>
      </c>
      <c r="AD24" s="324">
        <f>IFERROR(IF(tblPiNAnalysis[[#This Row],[WASH]]="", "", MROUND(tblPiNAnalysis[[#This Row],[WASH]]/tblPiNAnalysis[[#This Row],[Affected population projection 2026]], 0.05)), "")</f>
        <v>0.8</v>
      </c>
      <c r="AE24" s="322">
        <f>IFERROR(MROUND(tblPiNAnalysis[[#This Row],[CP]]/tblPiNAnalysis[[#This Row],[Affected population projection 2026]], 0.05), "")</f>
        <v>0.4</v>
      </c>
      <c r="AF24" s="322">
        <f>IFERROR(MROUND(tblPiNAnalysis[[#This Row],[GBV]]/tblPiNAnalysis[[#This Row],[Affected population projection 2026]], 0.05), "")</f>
        <v>0.4</v>
      </c>
      <c r="AG24" s="322">
        <f>IFERROR(MROUND(tblPiNAnalysis[[#This Row],[Mine Action]]/tblPiNAnalysis[[#This Row],[Affected population projection 2026]], 0.05), "")</f>
        <v>0.5</v>
      </c>
      <c r="AH24" s="322">
        <f>IFERROR(MROUND(tblPiNAnalysis[[#This Row],[HLP]]/tblPiNAnalysis[[#This Row],[Affected population projection 2026]], 0.05), "")</f>
        <v>0.30000000000000004</v>
      </c>
      <c r="AI24" s="325">
        <f>IFERROR(LARGE(tblPiNAnalysis[[#This Row],[CCCM]:[WASH]], 1), "")</f>
        <v>103011.12865811396</v>
      </c>
      <c r="AJ24" s="326" t="str" cm="1">
        <f t="array" ref="AJ24">IF(tblPiNAnalysis[[#This Row],[Highest PiN]]="", "", _xlfn.TEXTJOIN(CHAR(10), TRUE, IF(tblPiNAnalysis[[#This Row],[Highest PiN]]=tblPiNAnalysis[[#This Row],[CCCM]:[WASH]], tblPiNAnalysis[[#Headers],[CCCM]:[WASH]], "")))</f>
        <v>Food Security</v>
      </c>
      <c r="AK24" s="327">
        <f>IF(tblPiNAnalysis[[#This Row],[Highest PiN]]="", "", tblPiNAnalysis[[#This Row],[Highest PiN]]/tblPiNAnalysis[[#This Row],[Affected population projection 2026]])</f>
        <v>0.86752797436861362</v>
      </c>
      <c r="AL24" s="328" t="str">
        <f>IF(SUM(tblPiNAnalysis[[#This Row],[CCCM]:[WASH]])=0, "",IF(COUNTIF(tblPiNAnalysis[[#This Row],[CCCM]:[WASH]],"=0")+COUNTIF(tblPiNAnalysis[[#This Row],[CCCM]:[WASH]],"")&gt;=zero_pin_thresh, "Flagged", ""))</f>
        <v/>
      </c>
      <c r="AM24" s="329" t="str">
        <f>IFERROR(IF(tblPiNAnalysis[[#This Row],[Highest PiN]]="", "", IF(tblPiNAnalysis[[#This Row],[Highest sector(s'') PiN %]]&gt;=flag_pin_perc, "Flagged", "")), "")</f>
        <v/>
      </c>
      <c r="AN24" s="330" t="str" cm="1">
        <f t="array" ref="AN24">IF(tblPiNAnalysis[[#This Row],[Highest PiN]]=0, "",  IF(OR(COUNTIF(tblPiNAnalysis[[#This Row],[Highest sector(s)]],tblSubSectorPopulation[Sector])), "Flagged", ""))</f>
        <v/>
      </c>
      <c r="AO24" s="46" cm="1">
        <f t="array" ref="AO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94945</v>
      </c>
      <c r="AP24" s="331" t="str" cm="1">
        <f t="array" ref="AP24">IF(tblPiNAnalysis[[#This Row],[2nd Highest PiN]]="", "", _xlfn.TEXTJOIN(CHAR(10), TRUE, IF(tblPiNAnalysis[[#This Row],[2nd Highest PiN]]=tblPiNAnalysis[[#This Row],[CCCM]:[WASH]], tblPiNAnalysis[[#Headers],[CCCM]:[WASH]], "")))</f>
        <v>Overarching Protection</v>
      </c>
      <c r="AQ24" s="36">
        <f>IFERROR(tblPiNAnalysis[[#This Row],[2nd Highest PiN]]/tblPiNAnalysis[[#This Row],[Affected population projection 2026]], "")</f>
        <v>0.79959752503828252</v>
      </c>
      <c r="AR24" s="46">
        <f>IFERROR(tblPiNAnalysis[[#This Row],[Highest PiN]]-tblPiNAnalysis[[#This Row],[2nd Highest PiN]], "")</f>
        <v>8066.1286581139575</v>
      </c>
      <c r="AS24" s="39">
        <f>IFERROR(((tblPiNAnalysis[[#This Row],[Highest PiN]]-tblPiNAnalysis[[#This Row],[2nd Highest PiN]])/tblPiNAnalysis[[#This Row],[2nd Highest PiN]]),"")</f>
        <v>8.4955802392058119E-2</v>
      </c>
      <c r="AT24" s="39" t="str" cm="1">
        <f t="array" ref="AT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4" s="332" cm="1">
        <f t="array" ref="AU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93453.55524693981</v>
      </c>
      <c r="AV24" s="190" t="str" cm="1">
        <f t="array" ref="AV24">IF(tblPiNAnalysis[[#This Row],[3rd Highest PiN]]="", "", _xlfn.TEXTJOIN(CHAR(10), TRUE, IF(tblPiNAnalysis[[#This Row],[3rd Highest PiN]]=tblPiNAnalysis[[#This Row],[CCCM]:[WASH]], tblPiNAnalysis[[#Headers],[CCCM]:[WASH]], "")))</f>
        <v>WASH</v>
      </c>
      <c r="AW24" s="190">
        <f>IFERROR(tblPiNAnalysis[[#This Row],[3rd Highest PiN]]/tblPiNAnalysis[[#This Row],[Affected population projection 2026]], "")</f>
        <v>0.78703703703703698</v>
      </c>
      <c r="AX24" s="45">
        <f>IFERROR(tblPiNAnalysis[[#This Row],[Highest PiN]]-tblPiNAnalysis[[#This Row],[3rd Highest PiN]],"")</f>
        <v>9557.5734111741476</v>
      </c>
      <c r="AY24" s="39">
        <f>IFERROR(tblPiNAnalysis[[#This Row],[Difference of PiN between Highest and 3rd Highest]]/tblPiNAnalysis[[#This Row],[3rd Highest PiN]], "")</f>
        <v>0.10227083802129738</v>
      </c>
      <c r="AZ24" s="330" t="str" cm="1">
        <f t="array" ref="AZ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4" s="300" t="str" cm="1">
        <f t="array" ref="BA24">IFERROR(IF(tblPiNAnalysis[[#This Row],[ID]]="", "", INDEX(tblPiNHistorical[[CCCM]:[WASH]], MATCH(tblPiNAnalysis[[#This Row],[ID]],tblPiNHistorical[ID], 0),MATCH(_xlfn._xlws.FILTER(tblPiNAnalysis[[#Headers],[CCCM]:[WASH]], tblPiNAnalysis[[#This Row],[Highest PiN]]=tblPiNAnalysis[[#This Row],[CCCM]:[WASH]]), tblPiNHistorical[[#Headers],[CCCM]:[WASH]], 0))), "")</f>
        <v/>
      </c>
      <c r="BB24" s="333" t="str" cm="1">
        <f t="array" ref="BB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4" s="276" t="str" cm="1">
        <f t="array" ref="BC24">IFERROR(IF(tblPiNAnalysis[[#This Row],[ID]]="", "", INDEX(tblPiNHistorical[[CCCM]:[WASH]], MATCH(tblPiNAnalysis[[#This Row],[ID]],tblPiNHistorical[ID], 0),MATCH(_xlfn._xlws.FILTER(tblPiNAnalysis[[#Headers],[CCCM]:[WASH]], tblPiNAnalysis[[#This Row],[2nd Highest PiN]]=tblPiNAnalysis[[#This Row],[CCCM]:[WASH]]), tblPiNHistorical[[#Headers],[CCCM]:[WASH]], 0))), "")</f>
        <v/>
      </c>
      <c r="BD24" s="334" t="str" cm="1">
        <f t="array" ref="BD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4" s="276">
        <f>INDEX(tblSeverityAnalysis[Final Severity], MATCH(tblPiNAnalysis[[#This Row],[ID]],tblSeverityAnalysis[ID], 0))</f>
        <v>5</v>
      </c>
      <c r="BF24" s="61">
        <f>IF(tblPiNAnalysis[[#This Row],[Severity]]&gt;2,tblPiNAnalysis[[#This Row],[Highest PiN]],)</f>
        <v>103011.12865811396</v>
      </c>
      <c r="BG24" s="191"/>
      <c r="BH24" s="192"/>
      <c r="BI24" s="193">
        <f>COUNTIFS(tblPiNAnalysis[[#This Row],[Number of missing / zero PiNs greater than threshold - Data quality]:[Manual Flag]],"Flagged")</f>
        <v>0</v>
      </c>
      <c r="BJ24" s="96" t="str">
        <f>IF(tblPiNAnalysis[[#This Row],['# Flags]]&gt;0, "Flagged", "")</f>
        <v/>
      </c>
      <c r="BK24" s="326">
        <f>tblPiNAnalysis[[#This Row],[Preliminary PiN]]</f>
        <v>103011.12865811396</v>
      </c>
      <c r="BL24" s="331"/>
    </row>
    <row r="25" spans="1:64" x14ac:dyDescent="0.55000000000000004">
      <c r="A2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SS0307</v>
      </c>
      <c r="B25" s="316" t="s">
        <v>268</v>
      </c>
      <c r="C25" s="317" t="s">
        <v>269</v>
      </c>
      <c r="D25" s="317" t="s">
        <v>282</v>
      </c>
      <c r="E25" s="105" t="s">
        <v>283</v>
      </c>
      <c r="F25" s="100"/>
      <c r="G25" s="34"/>
      <c r="H25" s="34"/>
      <c r="I25" s="97">
        <v>53158.210520699089</v>
      </c>
      <c r="J25" s="97" t="s">
        <v>412</v>
      </c>
      <c r="K25" s="318">
        <v>9342.5</v>
      </c>
      <c r="L25" s="319">
        <v>18476.762707710903</v>
      </c>
      <c r="M25" s="319">
        <v>22173.945694892671</v>
      </c>
      <c r="N25" s="319">
        <v>39836.572985494066</v>
      </c>
      <c r="O25" s="319">
        <v>37476.690262488526</v>
      </c>
      <c r="P25" s="319">
        <v>37211</v>
      </c>
      <c r="Q25" s="320">
        <v>47024.570845233815</v>
      </c>
      <c r="R25" s="319">
        <v>36423.218319738276</v>
      </c>
      <c r="S25" s="319">
        <v>23275</v>
      </c>
      <c r="T25" s="319">
        <v>19503</v>
      </c>
      <c r="U25" s="319">
        <v>4158</v>
      </c>
      <c r="V25" s="319">
        <v>12301</v>
      </c>
      <c r="W25" s="321">
        <f>IFERROR(IF(tblPiNAnalysis[[#This Row],[CCCM]]="", "", MROUND(tblPiNAnalysis[[#This Row],[CCCM]]/tblPiNAnalysis[[#This Row],[Affected population projection 2026]], 0.05)), "")</f>
        <v>0.2</v>
      </c>
      <c r="X25" s="322">
        <f>IFERROR(IF(tblPiNAnalysis[[#This Row],[Education]]="", "", MROUND(tblPiNAnalysis[[#This Row],[Education]]/tblPiNAnalysis[[#This Row],[Affected population projection 2026]], 0.05)), "")</f>
        <v>0.35000000000000003</v>
      </c>
      <c r="Y25" s="322">
        <f>IFERROR(IF(tblPiNAnalysis[[#This Row],[Nutrition]]="", "", MROUND(tblPiNAnalysis[[#This Row],[Nutrition]]/tblPiNAnalysis[[#This Row],[Affected population projection 2026]], 0.05)), "")</f>
        <v>0.4</v>
      </c>
      <c r="Z25" s="322">
        <f>IFERROR(IF(tblPiNAnalysis[[#This Row],[Food Security]]="", "", MROUND(tblPiNAnalysis[[#This Row],[Food Security]]/tblPiNAnalysis[[#This Row],[Affected population projection 2026]], 0.05)), "")</f>
        <v>0.75</v>
      </c>
      <c r="AA25" s="322">
        <f>IFERROR(IF(tblPiNAnalysis[[#This Row],[Health]]="", "", MROUND(tblPiNAnalysis[[#This Row],[Health]]/tblPiNAnalysis[[#This Row],[Affected population projection 2026]], 0.05)), "")</f>
        <v>0.70000000000000007</v>
      </c>
      <c r="AB25" s="323">
        <f>IFERROR(IF(tblPiNAnalysis[[#This Row],[Overarching Protection]]="", "", MROUND(tblPiNAnalysis[[#This Row],[Overarching Protection]]/tblPiNAnalysis[[#This Row],[Affected population projection 2026]], 0.05)), "")</f>
        <v>0.70000000000000007</v>
      </c>
      <c r="AC25" s="323">
        <f>IFERROR(IF(tblPiNAnalysis[[#This Row],[Shelter]]="", "", MROUND(tblPiNAnalysis[[#This Row],[Shelter]]/tblPiNAnalysis[[#This Row],[Affected population projection 2026]], 0.05)), "")</f>
        <v>0.9</v>
      </c>
      <c r="AD25" s="324">
        <f>IFERROR(IF(tblPiNAnalysis[[#This Row],[WASH]]="", "", MROUND(tblPiNAnalysis[[#This Row],[WASH]]/tblPiNAnalysis[[#This Row],[Affected population projection 2026]], 0.05)), "")</f>
        <v>0.70000000000000007</v>
      </c>
      <c r="AE25" s="322">
        <f>IFERROR(MROUND(tblPiNAnalysis[[#This Row],[CP]]/tblPiNAnalysis[[#This Row],[Affected population projection 2026]], 0.05), "")</f>
        <v>0.45</v>
      </c>
      <c r="AF25" s="322">
        <f>IFERROR(MROUND(tblPiNAnalysis[[#This Row],[GBV]]/tblPiNAnalysis[[#This Row],[Affected population projection 2026]], 0.05), "")</f>
        <v>0.35000000000000003</v>
      </c>
      <c r="AG25" s="322">
        <f>IFERROR(MROUND(tblPiNAnalysis[[#This Row],[Mine Action]]/tblPiNAnalysis[[#This Row],[Affected population projection 2026]], 0.05), "")</f>
        <v>0.1</v>
      </c>
      <c r="AH25" s="322">
        <f>IFERROR(MROUND(tblPiNAnalysis[[#This Row],[HLP]]/tblPiNAnalysis[[#This Row],[Affected population projection 2026]], 0.05), "")</f>
        <v>0.25</v>
      </c>
      <c r="AI25" s="325">
        <f>IFERROR(LARGE(tblPiNAnalysis[[#This Row],[CCCM]:[WASH]], 1), "")</f>
        <v>47024.570845233815</v>
      </c>
      <c r="AJ25" s="326" t="str" cm="1">
        <f t="array" ref="AJ25">IF(tblPiNAnalysis[[#This Row],[Highest PiN]]="", "", _xlfn.TEXTJOIN(CHAR(10), TRUE, IF(tblPiNAnalysis[[#This Row],[Highest PiN]]=tblPiNAnalysis[[#This Row],[CCCM]:[WASH]], tblPiNAnalysis[[#Headers],[CCCM]:[WASH]], "")))</f>
        <v>Shelter</v>
      </c>
      <c r="AK25" s="327">
        <f>IF(tblPiNAnalysis[[#This Row],[Highest PiN]]="", "", tblPiNAnalysis[[#This Row],[Highest PiN]]/tblPiNAnalysis[[#This Row],[Affected population projection 2026]])</f>
        <v>0.88461538461538469</v>
      </c>
      <c r="AL25" s="328" t="str">
        <f>IF(SUM(tblPiNAnalysis[[#This Row],[CCCM]:[WASH]])=0, "",IF(COUNTIF(tblPiNAnalysis[[#This Row],[CCCM]:[WASH]],"=0")+COUNTIF(tblPiNAnalysis[[#This Row],[CCCM]:[WASH]],"")&gt;=zero_pin_thresh, "Flagged", ""))</f>
        <v/>
      </c>
      <c r="AM25" s="329" t="str">
        <f>IFERROR(IF(tblPiNAnalysis[[#This Row],[Highest PiN]]="", "", IF(tblPiNAnalysis[[#This Row],[Highest sector(s'') PiN %]]&gt;=flag_pin_perc, "Flagged", "")), "")</f>
        <v/>
      </c>
      <c r="AN25" s="330" t="str" cm="1">
        <f t="array" ref="AN25">IF(tblPiNAnalysis[[#This Row],[Highest PiN]]=0, "",  IF(OR(COUNTIF(tblPiNAnalysis[[#This Row],[Highest sector(s)]],tblSubSectorPopulation[Sector])), "Flagged", ""))</f>
        <v/>
      </c>
      <c r="AO25" s="46" cm="1">
        <f t="array" ref="AO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39836.572985494066</v>
      </c>
      <c r="AP25" s="331" t="str" cm="1">
        <f t="array" ref="AP25">IF(tblPiNAnalysis[[#This Row],[2nd Highest PiN]]="", "", _xlfn.TEXTJOIN(CHAR(10), TRUE, IF(tblPiNAnalysis[[#This Row],[2nd Highest PiN]]=tblPiNAnalysis[[#This Row],[CCCM]:[WASH]], tblPiNAnalysis[[#Headers],[CCCM]:[WASH]], "")))</f>
        <v>Food Security</v>
      </c>
      <c r="AQ25" s="36">
        <f>IFERROR(tblPiNAnalysis[[#This Row],[2nd Highest PiN]]/tblPiNAnalysis[[#This Row],[Affected population projection 2026]], "")</f>
        <v>0.74939642616416224</v>
      </c>
      <c r="AR25" s="46">
        <f>IFERROR(tblPiNAnalysis[[#This Row],[Highest PiN]]-tblPiNAnalysis[[#This Row],[2nd Highest PiN]], "")</f>
        <v>7187.9978597397494</v>
      </c>
      <c r="AS25" s="39">
        <f>IFERROR(((tblPiNAnalysis[[#This Row],[Highest PiN]]-tblPiNAnalysis[[#This Row],[2nd Highest PiN]])/tblPiNAnalysis[[#This Row],[2nd Highest PiN]]),"")</f>
        <v>0.18043715412862343</v>
      </c>
      <c r="AT25" s="39" t="str" cm="1">
        <f t="array" ref="AT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5" s="332" cm="1">
        <f t="array" ref="AU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37476.690262488526</v>
      </c>
      <c r="AV25" s="190" t="str" cm="1">
        <f t="array" ref="AV25">IF(tblPiNAnalysis[[#This Row],[3rd Highest PiN]]="", "", _xlfn.TEXTJOIN(CHAR(10), TRUE, IF(tblPiNAnalysis[[#This Row],[3rd Highest PiN]]=tblPiNAnalysis[[#This Row],[CCCM]:[WASH]], tblPiNAnalysis[[#Headers],[CCCM]:[WASH]], "")))</f>
        <v>Health</v>
      </c>
      <c r="AW25" s="190">
        <f>IFERROR(tblPiNAnalysis[[#This Row],[3rd Highest PiN]]/tblPiNAnalysis[[#This Row],[Affected population projection 2026]], "")</f>
        <v>0.70500285648057337</v>
      </c>
      <c r="AX25" s="45">
        <f>IFERROR(tblPiNAnalysis[[#This Row],[Highest PiN]]-tblPiNAnalysis[[#This Row],[3rd Highest PiN]],"")</f>
        <v>9547.8805827452888</v>
      </c>
      <c r="AY25" s="39">
        <f>IFERROR(tblPiNAnalysis[[#This Row],[Difference of PiN between Highest and 3rd Highest]]/tblPiNAnalysis[[#This Row],[3rd Highest PiN]], "")</f>
        <v>0.25476851119646582</v>
      </c>
      <c r="AZ25" s="330" t="str" cm="1">
        <f t="array" ref="AZ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5" s="300" t="str" cm="1">
        <f t="array" ref="BA25">IFERROR(IF(tblPiNAnalysis[[#This Row],[ID]]="", "", INDEX(tblPiNHistorical[[CCCM]:[WASH]], MATCH(tblPiNAnalysis[[#This Row],[ID]],tblPiNHistorical[ID], 0),MATCH(_xlfn._xlws.FILTER(tblPiNAnalysis[[#Headers],[CCCM]:[WASH]], tblPiNAnalysis[[#This Row],[Highest PiN]]=tblPiNAnalysis[[#This Row],[CCCM]:[WASH]]), tblPiNHistorical[[#Headers],[CCCM]:[WASH]], 0))), "")</f>
        <v/>
      </c>
      <c r="BB25" s="333" t="str" cm="1">
        <f t="array" ref="BB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5" s="276" t="str" cm="1">
        <f t="array" ref="BC2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5" s="334" t="str" cm="1">
        <f t="array" ref="BD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5" s="276">
        <f>INDEX(tblSeverityAnalysis[Final Severity], MATCH(tblPiNAnalysis[[#This Row],[ID]],tblSeverityAnalysis[ID], 0))</f>
        <v>3</v>
      </c>
      <c r="BF25" s="61">
        <f>IF(tblPiNAnalysis[[#This Row],[Severity]]&gt;2,tblPiNAnalysis[[#This Row],[Highest PiN]],)</f>
        <v>47024.570845233815</v>
      </c>
      <c r="BG25" s="191"/>
      <c r="BH25" s="192"/>
      <c r="BI25" s="193">
        <f>COUNTIFS(tblPiNAnalysis[[#This Row],[Number of missing / zero PiNs greater than threshold - Data quality]:[Manual Flag]],"Flagged")</f>
        <v>0</v>
      </c>
      <c r="BJ25" s="96" t="str">
        <f>IF(tblPiNAnalysis[[#This Row],['# Flags]]&gt;0, "Flagged", "")</f>
        <v/>
      </c>
      <c r="BK25" s="326">
        <f>tblPiNAnalysis[[#This Row],[Preliminary PiN]]</f>
        <v>47024.570845233815</v>
      </c>
      <c r="BL25" s="331"/>
    </row>
    <row r="26" spans="1:64" x14ac:dyDescent="0.55000000000000004">
      <c r="A2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SS0308</v>
      </c>
      <c r="B26" s="316" t="s">
        <v>268</v>
      </c>
      <c r="C26" s="317" t="s">
        <v>269</v>
      </c>
      <c r="D26" s="317" t="s">
        <v>284</v>
      </c>
      <c r="E26" s="105" t="s">
        <v>285</v>
      </c>
      <c r="F26" s="100"/>
      <c r="G26" s="34"/>
      <c r="H26" s="34"/>
      <c r="I26" s="97">
        <v>46710.303757716349</v>
      </c>
      <c r="J26" s="97" t="s">
        <v>412</v>
      </c>
      <c r="K26" s="318">
        <v>3985</v>
      </c>
      <c r="L26" s="319">
        <v>13385.024382988649</v>
      </c>
      <c r="M26" s="319">
        <v>21719.780450793813</v>
      </c>
      <c r="N26" s="319">
        <v>37316.911865707822</v>
      </c>
      <c r="O26" s="319">
        <v>28450.937364045618</v>
      </c>
      <c r="P26" s="319">
        <v>32535</v>
      </c>
      <c r="Q26" s="320">
        <v>32697.212630401442</v>
      </c>
      <c r="R26" s="319">
        <v>38060.2475062874</v>
      </c>
      <c r="S26" s="319">
        <v>18914</v>
      </c>
      <c r="T26" s="319">
        <v>22099</v>
      </c>
      <c r="U26" s="319">
        <v>3929</v>
      </c>
      <c r="V26" s="319">
        <v>13525</v>
      </c>
      <c r="W26" s="321">
        <f>IFERROR(IF(tblPiNAnalysis[[#This Row],[CCCM]]="", "", MROUND(tblPiNAnalysis[[#This Row],[CCCM]]/tblPiNAnalysis[[#This Row],[Affected population projection 2026]], 0.05)), "")</f>
        <v>0.1</v>
      </c>
      <c r="X26" s="322">
        <f>IFERROR(IF(tblPiNAnalysis[[#This Row],[Education]]="", "", MROUND(tblPiNAnalysis[[#This Row],[Education]]/tblPiNAnalysis[[#This Row],[Affected population projection 2026]], 0.05)), "")</f>
        <v>0.30000000000000004</v>
      </c>
      <c r="Y26" s="322">
        <f>IFERROR(IF(tblPiNAnalysis[[#This Row],[Nutrition]]="", "", MROUND(tblPiNAnalysis[[#This Row],[Nutrition]]/tblPiNAnalysis[[#This Row],[Affected population projection 2026]], 0.05)), "")</f>
        <v>0.45</v>
      </c>
      <c r="Z26" s="322">
        <f>IFERROR(IF(tblPiNAnalysis[[#This Row],[Food Security]]="", "", MROUND(tblPiNAnalysis[[#This Row],[Food Security]]/tblPiNAnalysis[[#This Row],[Affected population projection 2026]], 0.05)), "")</f>
        <v>0.8</v>
      </c>
      <c r="AA26" s="322">
        <f>IFERROR(IF(tblPiNAnalysis[[#This Row],[Health]]="", "", MROUND(tblPiNAnalysis[[#This Row],[Health]]/tblPiNAnalysis[[#This Row],[Affected population projection 2026]], 0.05)), "")</f>
        <v>0.60000000000000009</v>
      </c>
      <c r="AB26" s="323">
        <f>IFERROR(IF(tblPiNAnalysis[[#This Row],[Overarching Protection]]="", "", MROUND(tblPiNAnalysis[[#This Row],[Overarching Protection]]/tblPiNAnalysis[[#This Row],[Affected population projection 2026]], 0.05)), "")</f>
        <v>0.70000000000000007</v>
      </c>
      <c r="AC26" s="323">
        <f>IFERROR(IF(tblPiNAnalysis[[#This Row],[Shelter]]="", "", MROUND(tblPiNAnalysis[[#This Row],[Shelter]]/tblPiNAnalysis[[#This Row],[Affected population projection 2026]], 0.05)), "")</f>
        <v>0.70000000000000007</v>
      </c>
      <c r="AD26" s="324">
        <f>IFERROR(IF(tblPiNAnalysis[[#This Row],[WASH]]="", "", MROUND(tblPiNAnalysis[[#This Row],[WASH]]/tblPiNAnalysis[[#This Row],[Affected population projection 2026]], 0.05)), "")</f>
        <v>0.8</v>
      </c>
      <c r="AE26" s="322">
        <f>IFERROR(MROUND(tblPiNAnalysis[[#This Row],[CP]]/tblPiNAnalysis[[#This Row],[Affected population projection 2026]], 0.05), "")</f>
        <v>0.4</v>
      </c>
      <c r="AF26" s="322">
        <f>IFERROR(MROUND(tblPiNAnalysis[[#This Row],[GBV]]/tblPiNAnalysis[[#This Row],[Affected population projection 2026]], 0.05), "")</f>
        <v>0.45</v>
      </c>
      <c r="AG26" s="322">
        <f>IFERROR(MROUND(tblPiNAnalysis[[#This Row],[Mine Action]]/tblPiNAnalysis[[#This Row],[Affected population projection 2026]], 0.05), "")</f>
        <v>0.1</v>
      </c>
      <c r="AH26" s="322">
        <f>IFERROR(MROUND(tblPiNAnalysis[[#This Row],[HLP]]/tblPiNAnalysis[[#This Row],[Affected population projection 2026]], 0.05), "")</f>
        <v>0.30000000000000004</v>
      </c>
      <c r="AI26" s="325">
        <f>IFERROR(LARGE(tblPiNAnalysis[[#This Row],[CCCM]:[WASH]], 1), "")</f>
        <v>38060.2475062874</v>
      </c>
      <c r="AJ26" s="326" t="str" cm="1">
        <f t="array" ref="AJ26">IF(tblPiNAnalysis[[#This Row],[Highest PiN]]="", "", _xlfn.TEXTJOIN(CHAR(10), TRUE, IF(tblPiNAnalysis[[#This Row],[Highest PiN]]=tblPiNAnalysis[[#This Row],[CCCM]:[WASH]], tblPiNAnalysis[[#Headers],[CCCM]:[WASH]], "")))</f>
        <v>WASH</v>
      </c>
      <c r="AK26" s="327">
        <f>IF(tblPiNAnalysis[[#This Row],[Highest PiN]]="", "", tblPiNAnalysis[[#This Row],[Highest PiN]]/tblPiNAnalysis[[#This Row],[Affected population projection 2026]])</f>
        <v>0.81481481481481488</v>
      </c>
      <c r="AL26" s="328" t="str">
        <f>IF(SUM(tblPiNAnalysis[[#This Row],[CCCM]:[WASH]])=0, "",IF(COUNTIF(tblPiNAnalysis[[#This Row],[CCCM]:[WASH]],"=0")+COUNTIF(tblPiNAnalysis[[#This Row],[CCCM]:[WASH]],"")&gt;=zero_pin_thresh, "Flagged", ""))</f>
        <v/>
      </c>
      <c r="AM26" s="329" t="str">
        <f>IFERROR(IF(tblPiNAnalysis[[#This Row],[Highest PiN]]="", "", IF(tblPiNAnalysis[[#This Row],[Highest sector(s'') PiN %]]&gt;=flag_pin_perc, "Flagged", "")), "")</f>
        <v/>
      </c>
      <c r="AN26" s="330" t="str" cm="1">
        <f t="array" ref="AN26">IF(tblPiNAnalysis[[#This Row],[Highest PiN]]=0, "",  IF(OR(COUNTIF(tblPiNAnalysis[[#This Row],[Highest sector(s)]],tblSubSectorPopulation[Sector])), "Flagged", ""))</f>
        <v/>
      </c>
      <c r="AO26" s="46" cm="1">
        <f t="array" ref="AO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37316.911865707822</v>
      </c>
      <c r="AP26" s="331" t="str" cm="1">
        <f t="array" ref="AP26">IF(tblPiNAnalysis[[#This Row],[2nd Highest PiN]]="", "", _xlfn.TEXTJOIN(CHAR(10), TRUE, IF(tblPiNAnalysis[[#This Row],[2nd Highest PiN]]=tblPiNAnalysis[[#This Row],[CCCM]:[WASH]], tblPiNAnalysis[[#Headers],[CCCM]:[WASH]], "")))</f>
        <v>Food Security</v>
      </c>
      <c r="AQ26" s="36">
        <f>IFERROR(tblPiNAnalysis[[#This Row],[2nd Highest PiN]]/tblPiNAnalysis[[#This Row],[Affected population projection 2026]], "")</f>
        <v>0.79890107457379189</v>
      </c>
      <c r="AR26" s="46">
        <f>IFERROR(tblPiNAnalysis[[#This Row],[Highest PiN]]-tblPiNAnalysis[[#This Row],[2nd Highest PiN]], "")</f>
        <v>743.33564057957847</v>
      </c>
      <c r="AS26" s="39">
        <f>IFERROR(((tblPiNAnalysis[[#This Row],[Highest PiN]]-tblPiNAnalysis[[#This Row],[2nd Highest PiN]])/tblPiNAnalysis[[#This Row],[2nd Highest PiN]]),"")</f>
        <v>1.9919537909637769E-2</v>
      </c>
      <c r="AT26" s="39" t="str" cm="1">
        <f t="array" ref="AT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6" s="332" cm="1">
        <f t="array" ref="AU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32697.212630401442</v>
      </c>
      <c r="AV26" s="190" t="str" cm="1">
        <f t="array" ref="AV26">IF(tblPiNAnalysis[[#This Row],[3rd Highest PiN]]="", "", _xlfn.TEXTJOIN(CHAR(10), TRUE, IF(tblPiNAnalysis[[#This Row],[3rd Highest PiN]]=tblPiNAnalysis[[#This Row],[CCCM]:[WASH]], tblPiNAnalysis[[#Headers],[CCCM]:[WASH]], "")))</f>
        <v>Shelter</v>
      </c>
      <c r="AW26" s="190">
        <f>IFERROR(tblPiNAnalysis[[#This Row],[3rd Highest PiN]]/tblPiNAnalysis[[#This Row],[Affected population projection 2026]], "")</f>
        <v>0.7</v>
      </c>
      <c r="AX26" s="45">
        <f>IFERROR(tblPiNAnalysis[[#This Row],[Highest PiN]]-tblPiNAnalysis[[#This Row],[3rd Highest PiN]],"")</f>
        <v>5363.0348758859582</v>
      </c>
      <c r="AY26" s="39">
        <f>IFERROR(tblPiNAnalysis[[#This Row],[Difference of PiN between Highest and 3rd Highest]]/tblPiNAnalysis[[#This Row],[3rd Highest PiN]], "")</f>
        <v>0.16402116402116423</v>
      </c>
      <c r="AZ26" s="330" t="str" cm="1">
        <f t="array" ref="AZ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6" s="300" t="str" cm="1">
        <f t="array" ref="BA26">IFERROR(IF(tblPiNAnalysis[[#This Row],[ID]]="", "", INDEX(tblPiNHistorical[[CCCM]:[WASH]], MATCH(tblPiNAnalysis[[#This Row],[ID]],tblPiNHistorical[ID], 0),MATCH(_xlfn._xlws.FILTER(tblPiNAnalysis[[#Headers],[CCCM]:[WASH]], tblPiNAnalysis[[#This Row],[Highest PiN]]=tblPiNAnalysis[[#This Row],[CCCM]:[WASH]]), tblPiNHistorical[[#Headers],[CCCM]:[WASH]], 0))), "")</f>
        <v/>
      </c>
      <c r="BB26" s="333" t="str" cm="1">
        <f t="array" ref="BB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6" s="276" t="str" cm="1">
        <f t="array" ref="BC26">IFERROR(IF(tblPiNAnalysis[[#This Row],[ID]]="", "", INDEX(tblPiNHistorical[[CCCM]:[WASH]], MATCH(tblPiNAnalysis[[#This Row],[ID]],tblPiNHistorical[ID], 0),MATCH(_xlfn._xlws.FILTER(tblPiNAnalysis[[#Headers],[CCCM]:[WASH]], tblPiNAnalysis[[#This Row],[2nd Highest PiN]]=tblPiNAnalysis[[#This Row],[CCCM]:[WASH]]), tblPiNHistorical[[#Headers],[CCCM]:[WASH]], 0))), "")</f>
        <v/>
      </c>
      <c r="BD26" s="334" t="str" cm="1">
        <f t="array" ref="BD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6" s="276">
        <f>INDEX(tblSeverityAnalysis[Final Severity], MATCH(tblPiNAnalysis[[#This Row],[ID]],tblSeverityAnalysis[ID], 0))</f>
        <v>4</v>
      </c>
      <c r="BF26" s="61">
        <f>IF(tblPiNAnalysis[[#This Row],[Severity]]&gt;2,tblPiNAnalysis[[#This Row],[Highest PiN]],)</f>
        <v>38060.2475062874</v>
      </c>
      <c r="BG26" s="191"/>
      <c r="BH26" s="192"/>
      <c r="BI26" s="193">
        <f>COUNTIFS(tblPiNAnalysis[[#This Row],[Number of missing / zero PiNs greater than threshold - Data quality]:[Manual Flag]],"Flagged")</f>
        <v>0</v>
      </c>
      <c r="BJ26" s="96" t="str">
        <f>IF(tblPiNAnalysis[[#This Row],['# Flags]]&gt;0, "Flagged", "")</f>
        <v/>
      </c>
      <c r="BK26" s="326">
        <f>tblPiNAnalysis[[#This Row],[Preliminary PiN]]</f>
        <v>38060.2475062874</v>
      </c>
      <c r="BL26" s="331"/>
    </row>
    <row r="27" spans="1:64" x14ac:dyDescent="0.55000000000000004">
      <c r="A2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SS0309</v>
      </c>
      <c r="B27" s="316" t="s">
        <v>268</v>
      </c>
      <c r="C27" s="317" t="s">
        <v>269</v>
      </c>
      <c r="D27" s="317" t="s">
        <v>286</v>
      </c>
      <c r="E27" s="105" t="s">
        <v>287</v>
      </c>
      <c r="F27" s="100"/>
      <c r="G27" s="34"/>
      <c r="H27" s="34"/>
      <c r="I27" s="97">
        <v>15457.341069804937</v>
      </c>
      <c r="J27" s="97" t="s">
        <v>412</v>
      </c>
      <c r="K27" s="318">
        <v>0</v>
      </c>
      <c r="L27" s="319">
        <v>1984.9080814557915</v>
      </c>
      <c r="M27" s="319">
        <v>5322.885706808629</v>
      </c>
      <c r="N27" s="319">
        <v>10432.941512055986</v>
      </c>
      <c r="O27" s="319">
        <v>9774.8209809490527</v>
      </c>
      <c r="P27" s="319">
        <v>10820</v>
      </c>
      <c r="Q27" s="320">
        <v>14426.851665151275</v>
      </c>
      <c r="R27" s="319">
        <v>567.24187412128219</v>
      </c>
      <c r="S27" s="319">
        <v>6310</v>
      </c>
      <c r="T27" s="319">
        <v>5847</v>
      </c>
      <c r="U27" s="319">
        <v>8427</v>
      </c>
      <c r="V27" s="319">
        <v>4289</v>
      </c>
      <c r="W27" s="321">
        <f>IFERROR(IF(tblPiNAnalysis[[#This Row],[CCCM]]="", "", MROUND(tblPiNAnalysis[[#This Row],[CCCM]]/tblPiNAnalysis[[#This Row],[Affected population projection 2026]], 0.05)), "")</f>
        <v>0</v>
      </c>
      <c r="X27" s="322">
        <f>IFERROR(IF(tblPiNAnalysis[[#This Row],[Education]]="", "", MROUND(tblPiNAnalysis[[#This Row],[Education]]/tblPiNAnalysis[[#This Row],[Affected population projection 2026]], 0.05)), "")</f>
        <v>0.15000000000000002</v>
      </c>
      <c r="Y27" s="322">
        <f>IFERROR(IF(tblPiNAnalysis[[#This Row],[Nutrition]]="", "", MROUND(tblPiNAnalysis[[#This Row],[Nutrition]]/tblPiNAnalysis[[#This Row],[Affected population projection 2026]], 0.05)), "")</f>
        <v>0.35000000000000003</v>
      </c>
      <c r="Z27" s="322">
        <f>IFERROR(IF(tblPiNAnalysis[[#This Row],[Food Security]]="", "", MROUND(tblPiNAnalysis[[#This Row],[Food Security]]/tblPiNAnalysis[[#This Row],[Affected population projection 2026]], 0.05)), "")</f>
        <v>0.65</v>
      </c>
      <c r="AA27" s="322">
        <f>IFERROR(IF(tblPiNAnalysis[[#This Row],[Health]]="", "", MROUND(tblPiNAnalysis[[#This Row],[Health]]/tblPiNAnalysis[[#This Row],[Affected population projection 2026]], 0.05)), "")</f>
        <v>0.65</v>
      </c>
      <c r="AB27" s="323">
        <f>IFERROR(IF(tblPiNAnalysis[[#This Row],[Overarching Protection]]="", "", MROUND(tblPiNAnalysis[[#This Row],[Overarching Protection]]/tblPiNAnalysis[[#This Row],[Affected population projection 2026]], 0.05)), "")</f>
        <v>0.70000000000000007</v>
      </c>
      <c r="AC27" s="323">
        <f>IFERROR(IF(tblPiNAnalysis[[#This Row],[Shelter]]="", "", MROUND(tblPiNAnalysis[[#This Row],[Shelter]]/tblPiNAnalysis[[#This Row],[Affected population projection 2026]], 0.05)), "")</f>
        <v>0.95000000000000007</v>
      </c>
      <c r="AD27" s="324">
        <f>IFERROR(IF(tblPiNAnalysis[[#This Row],[WASH]]="", "", MROUND(tblPiNAnalysis[[#This Row],[WASH]]/tblPiNAnalysis[[#This Row],[Affected population projection 2026]], 0.05)), "")</f>
        <v>0.05</v>
      </c>
      <c r="AE27" s="322">
        <f>IFERROR(MROUND(tblPiNAnalysis[[#This Row],[CP]]/tblPiNAnalysis[[#This Row],[Affected population projection 2026]], 0.05), "")</f>
        <v>0.4</v>
      </c>
      <c r="AF27" s="322">
        <f>IFERROR(MROUND(tblPiNAnalysis[[#This Row],[GBV]]/tblPiNAnalysis[[#This Row],[Affected population projection 2026]], 0.05), "")</f>
        <v>0.4</v>
      </c>
      <c r="AG27" s="322">
        <f>IFERROR(MROUND(tblPiNAnalysis[[#This Row],[Mine Action]]/tblPiNAnalysis[[#This Row],[Affected population projection 2026]], 0.05), "")</f>
        <v>0.55000000000000004</v>
      </c>
      <c r="AH27" s="322">
        <f>IFERROR(MROUND(tblPiNAnalysis[[#This Row],[HLP]]/tblPiNAnalysis[[#This Row],[Affected population projection 2026]], 0.05), "")</f>
        <v>0.30000000000000004</v>
      </c>
      <c r="AI27" s="325">
        <f>IFERROR(LARGE(tblPiNAnalysis[[#This Row],[CCCM]:[WASH]], 1), "")</f>
        <v>14426.851665151275</v>
      </c>
      <c r="AJ27" s="326" t="str" cm="1">
        <f t="array" ref="AJ27">IF(tblPiNAnalysis[[#This Row],[Highest PiN]]="", "", _xlfn.TEXTJOIN(CHAR(10), TRUE, IF(tblPiNAnalysis[[#This Row],[Highest PiN]]=tblPiNAnalysis[[#This Row],[CCCM]:[WASH]], tblPiNAnalysis[[#Headers],[CCCM]:[WASH]], "")))</f>
        <v>Shelter</v>
      </c>
      <c r="AK27" s="327">
        <f>IF(tblPiNAnalysis[[#This Row],[Highest PiN]]="", "", tblPiNAnalysis[[#This Row],[Highest PiN]]/tblPiNAnalysis[[#This Row],[Affected population projection 2026]])</f>
        <v>0.93333333333333335</v>
      </c>
      <c r="AL27" s="328" t="str">
        <f>IF(SUM(tblPiNAnalysis[[#This Row],[CCCM]:[WASH]])=0, "",IF(COUNTIF(tblPiNAnalysis[[#This Row],[CCCM]:[WASH]],"=0")+COUNTIF(tblPiNAnalysis[[#This Row],[CCCM]:[WASH]],"")&gt;=zero_pin_thresh, "Flagged", ""))</f>
        <v/>
      </c>
      <c r="AM27" s="329" t="str">
        <f>IFERROR(IF(tblPiNAnalysis[[#This Row],[Highest PiN]]="", "", IF(tblPiNAnalysis[[#This Row],[Highest sector(s'') PiN %]]&gt;=flag_pin_perc, "Flagged", "")), "")</f>
        <v>Flagged</v>
      </c>
      <c r="AN27" s="330" t="str" cm="1">
        <f t="array" ref="AN27">IF(tblPiNAnalysis[[#This Row],[Highest PiN]]=0, "",  IF(OR(COUNTIF(tblPiNAnalysis[[#This Row],[Highest sector(s)]],tblSubSectorPopulation[Sector])), "Flagged", ""))</f>
        <v/>
      </c>
      <c r="AO27" s="46" cm="1">
        <f t="array" ref="AO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10820</v>
      </c>
      <c r="AP27" s="331" t="str" cm="1">
        <f t="array" ref="AP27">IF(tblPiNAnalysis[[#This Row],[2nd Highest PiN]]="", "", _xlfn.TEXTJOIN(CHAR(10), TRUE, IF(tblPiNAnalysis[[#This Row],[2nd Highest PiN]]=tblPiNAnalysis[[#This Row],[CCCM]:[WASH]], tblPiNAnalysis[[#Headers],[CCCM]:[WASH]], "")))</f>
        <v>Overarching Protection</v>
      </c>
      <c r="AQ27" s="36">
        <f>IFERROR(tblPiNAnalysis[[#This Row],[2nd Highest PiN]]/tblPiNAnalysis[[#This Row],[Affected population projection 2026]], "")</f>
        <v>0.69999102375610212</v>
      </c>
      <c r="AR27" s="46">
        <f>IFERROR(tblPiNAnalysis[[#This Row],[Highest PiN]]-tblPiNAnalysis[[#This Row],[2nd Highest PiN]], "")</f>
        <v>3606.8516651512746</v>
      </c>
      <c r="AS27" s="39">
        <f>IFERROR(((tblPiNAnalysis[[#This Row],[Highest PiN]]-tblPiNAnalysis[[#This Row],[2nd Highest PiN]])/tblPiNAnalysis[[#This Row],[2nd Highest PiN]]),"")</f>
        <v>0.3333504311600069</v>
      </c>
      <c r="AT27" s="39" t="str" cm="1">
        <f t="array" ref="AT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7" s="332" cm="1">
        <f t="array" ref="AU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10432.941512055986</v>
      </c>
      <c r="AV27" s="190" t="str" cm="1">
        <f t="array" ref="AV27">IF(tblPiNAnalysis[[#This Row],[3rd Highest PiN]]="", "", _xlfn.TEXTJOIN(CHAR(10), TRUE, IF(tblPiNAnalysis[[#This Row],[3rd Highest PiN]]=tblPiNAnalysis[[#This Row],[CCCM]:[WASH]], tblPiNAnalysis[[#Headers],[CCCM]:[WASH]], "")))</f>
        <v>Food Security</v>
      </c>
      <c r="AW27" s="190">
        <f>IFERROR(tblPiNAnalysis[[#This Row],[3rd Highest PiN]]/tblPiNAnalysis[[#This Row],[Affected population projection 2026]], "")</f>
        <v>0.6749505924040301</v>
      </c>
      <c r="AX27" s="45">
        <f>IFERROR(tblPiNAnalysis[[#This Row],[Highest PiN]]-tblPiNAnalysis[[#This Row],[3rd Highest PiN]],"")</f>
        <v>3993.9101530952885</v>
      </c>
      <c r="AY27" s="39">
        <f>IFERROR(tblPiNAnalysis[[#This Row],[Difference of PiN between Highest and 3rd Highest]]/tblPiNAnalysis[[#This Row],[3rd Highest PiN]], "")</f>
        <v>0.38281726668169747</v>
      </c>
      <c r="AZ27" s="330" t="str" cm="1">
        <f t="array" ref="AZ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7" s="300" t="str" cm="1">
        <f t="array" ref="BA27">IFERROR(IF(tblPiNAnalysis[[#This Row],[ID]]="", "", INDEX(tblPiNHistorical[[CCCM]:[WASH]], MATCH(tblPiNAnalysis[[#This Row],[ID]],tblPiNHistorical[ID], 0),MATCH(_xlfn._xlws.FILTER(tblPiNAnalysis[[#Headers],[CCCM]:[WASH]], tblPiNAnalysis[[#This Row],[Highest PiN]]=tblPiNAnalysis[[#This Row],[CCCM]:[WASH]]), tblPiNHistorical[[#Headers],[CCCM]:[WASH]], 0))), "")</f>
        <v/>
      </c>
      <c r="BB27" s="333" t="str" cm="1">
        <f t="array" ref="BB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7" s="276" t="str" cm="1">
        <f t="array" ref="BC27">IFERROR(IF(tblPiNAnalysis[[#This Row],[ID]]="", "", INDEX(tblPiNHistorical[[CCCM]:[WASH]], MATCH(tblPiNAnalysis[[#This Row],[ID]],tblPiNHistorical[ID], 0),MATCH(_xlfn._xlws.FILTER(tblPiNAnalysis[[#Headers],[CCCM]:[WASH]], tblPiNAnalysis[[#This Row],[2nd Highest PiN]]=tblPiNAnalysis[[#This Row],[CCCM]:[WASH]]), tblPiNHistorical[[#Headers],[CCCM]:[WASH]], 0))), "")</f>
        <v/>
      </c>
      <c r="BD27" s="334" t="str" cm="1">
        <f t="array" ref="BD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7" s="276">
        <f>INDEX(tblSeverityAnalysis[Final Severity], MATCH(tblPiNAnalysis[[#This Row],[ID]],tblSeverityAnalysis[ID], 0))</f>
        <v>3</v>
      </c>
      <c r="BF27" s="61">
        <f>IF(tblPiNAnalysis[[#This Row],[Severity]]&gt;2,tblPiNAnalysis[[#This Row],[Highest PiN]],)</f>
        <v>14426.851665151275</v>
      </c>
      <c r="BG27" s="191"/>
      <c r="BH27" s="192"/>
      <c r="BI27" s="193">
        <f>COUNTIFS(tblPiNAnalysis[[#This Row],[Number of missing / zero PiNs greater than threshold - Data quality]:[Manual Flag]],"Flagged")</f>
        <v>2</v>
      </c>
      <c r="BJ27" s="96" t="str">
        <f>IF(tblPiNAnalysis[[#This Row],['# Flags]]&gt;0, "Flagged", "")</f>
        <v>Flagged</v>
      </c>
      <c r="BK27" s="326">
        <f>tblPiNAnalysis[[#This Row],[Preliminary PiN]]</f>
        <v>14426.851665151275</v>
      </c>
      <c r="BL27" s="331"/>
    </row>
    <row r="28" spans="1:64" x14ac:dyDescent="0.55000000000000004">
      <c r="A2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SS0310</v>
      </c>
      <c r="B28" s="316" t="s">
        <v>268</v>
      </c>
      <c r="C28" s="317" t="s">
        <v>269</v>
      </c>
      <c r="D28" s="317" t="s">
        <v>288</v>
      </c>
      <c r="E28" s="105" t="s">
        <v>289</v>
      </c>
      <c r="F28" s="100"/>
      <c r="G28" s="34"/>
      <c r="H28" s="34"/>
      <c r="I28" s="97">
        <v>25870.030094616061</v>
      </c>
      <c r="J28" s="97" t="s">
        <v>412</v>
      </c>
      <c r="K28" s="318">
        <v>0</v>
      </c>
      <c r="L28" s="319">
        <v>7810.8088363169554</v>
      </c>
      <c r="M28" s="319">
        <v>9979.4566480560989</v>
      </c>
      <c r="N28" s="319">
        <v>18946.094558254914</v>
      </c>
      <c r="O28" s="319">
        <v>14421.909777090057</v>
      </c>
      <c r="P28" s="319">
        <v>20696</v>
      </c>
      <c r="Q28" s="320">
        <v>25870.030094616064</v>
      </c>
      <c r="R28" s="319">
        <v>17246.68672974404</v>
      </c>
      <c r="S28" s="319">
        <v>9879</v>
      </c>
      <c r="T28" s="319">
        <v>10865</v>
      </c>
      <c r="U28" s="319">
        <v>12862</v>
      </c>
      <c r="V28" s="319">
        <v>8312</v>
      </c>
      <c r="W28" s="321">
        <f>IFERROR(IF(tblPiNAnalysis[[#This Row],[CCCM]]="", "", MROUND(tblPiNAnalysis[[#This Row],[CCCM]]/tblPiNAnalysis[[#This Row],[Affected population projection 2026]], 0.05)), "")</f>
        <v>0</v>
      </c>
      <c r="X28" s="322">
        <f>IFERROR(IF(tblPiNAnalysis[[#This Row],[Education]]="", "", MROUND(tblPiNAnalysis[[#This Row],[Education]]/tblPiNAnalysis[[#This Row],[Affected population projection 2026]], 0.05)), "")</f>
        <v>0.30000000000000004</v>
      </c>
      <c r="Y28" s="322">
        <f>IFERROR(IF(tblPiNAnalysis[[#This Row],[Nutrition]]="", "", MROUND(tblPiNAnalysis[[#This Row],[Nutrition]]/tblPiNAnalysis[[#This Row],[Affected population projection 2026]], 0.05)), "")</f>
        <v>0.4</v>
      </c>
      <c r="Z28" s="322">
        <f>IFERROR(IF(tblPiNAnalysis[[#This Row],[Food Security]]="", "", MROUND(tblPiNAnalysis[[#This Row],[Food Security]]/tblPiNAnalysis[[#This Row],[Affected population projection 2026]], 0.05)), "")</f>
        <v>0.75</v>
      </c>
      <c r="AA28" s="322">
        <f>IFERROR(IF(tblPiNAnalysis[[#This Row],[Health]]="", "", MROUND(tblPiNAnalysis[[#This Row],[Health]]/tblPiNAnalysis[[#This Row],[Affected population projection 2026]], 0.05)), "")</f>
        <v>0.55000000000000004</v>
      </c>
      <c r="AB28" s="323">
        <f>IFERROR(IF(tblPiNAnalysis[[#This Row],[Overarching Protection]]="", "", MROUND(tblPiNAnalysis[[#This Row],[Overarching Protection]]/tblPiNAnalysis[[#This Row],[Affected population projection 2026]], 0.05)), "")</f>
        <v>0.8</v>
      </c>
      <c r="AC28" s="323">
        <f>IFERROR(IF(tblPiNAnalysis[[#This Row],[Shelter]]="", "", MROUND(tblPiNAnalysis[[#This Row],[Shelter]]/tblPiNAnalysis[[#This Row],[Affected population projection 2026]], 0.05)), "")</f>
        <v>1</v>
      </c>
      <c r="AD28" s="324">
        <f>IFERROR(IF(tblPiNAnalysis[[#This Row],[WASH]]="", "", MROUND(tblPiNAnalysis[[#This Row],[WASH]]/tblPiNAnalysis[[#This Row],[Affected population projection 2026]], 0.05)), "")</f>
        <v>0.65</v>
      </c>
      <c r="AE28" s="322">
        <f>IFERROR(MROUND(tblPiNAnalysis[[#This Row],[CP]]/tblPiNAnalysis[[#This Row],[Affected population projection 2026]], 0.05), "")</f>
        <v>0.4</v>
      </c>
      <c r="AF28" s="322">
        <f>IFERROR(MROUND(tblPiNAnalysis[[#This Row],[GBV]]/tblPiNAnalysis[[#This Row],[Affected population projection 2026]], 0.05), "")</f>
        <v>0.4</v>
      </c>
      <c r="AG28" s="322">
        <f>IFERROR(MROUND(tblPiNAnalysis[[#This Row],[Mine Action]]/tblPiNAnalysis[[#This Row],[Affected population projection 2026]], 0.05), "")</f>
        <v>0.5</v>
      </c>
      <c r="AH28" s="322">
        <f>IFERROR(MROUND(tblPiNAnalysis[[#This Row],[HLP]]/tblPiNAnalysis[[#This Row],[Affected population projection 2026]], 0.05), "")</f>
        <v>0.30000000000000004</v>
      </c>
      <c r="AI28" s="325">
        <f>IFERROR(LARGE(tblPiNAnalysis[[#This Row],[CCCM]:[WASH]], 1), "")</f>
        <v>25870.030094616064</v>
      </c>
      <c r="AJ28" s="326" t="str" cm="1">
        <f t="array" ref="AJ28">IF(tblPiNAnalysis[[#This Row],[Highest PiN]]="", "", _xlfn.TEXTJOIN(CHAR(10), TRUE, IF(tblPiNAnalysis[[#This Row],[Highest PiN]]=tblPiNAnalysis[[#This Row],[CCCM]:[WASH]], tblPiNAnalysis[[#Headers],[CCCM]:[WASH]], "")))</f>
        <v>Shelter</v>
      </c>
      <c r="AK28" s="327">
        <f>IF(tblPiNAnalysis[[#This Row],[Highest PiN]]="", "", tblPiNAnalysis[[#This Row],[Highest PiN]]/tblPiNAnalysis[[#This Row],[Affected population projection 2026]])</f>
        <v>1.0000000000000002</v>
      </c>
      <c r="AL28" s="328" t="str">
        <f>IF(SUM(tblPiNAnalysis[[#This Row],[CCCM]:[WASH]])=0, "",IF(COUNTIF(tblPiNAnalysis[[#This Row],[CCCM]:[WASH]],"=0")+COUNTIF(tblPiNAnalysis[[#This Row],[CCCM]:[WASH]],"")&gt;=zero_pin_thresh, "Flagged", ""))</f>
        <v/>
      </c>
      <c r="AM28" s="329" t="str">
        <f>IFERROR(IF(tblPiNAnalysis[[#This Row],[Highest PiN]]="", "", IF(tblPiNAnalysis[[#This Row],[Highest sector(s'') PiN %]]&gt;=flag_pin_perc, "Flagged", "")), "")</f>
        <v>Flagged</v>
      </c>
      <c r="AN28" s="330" t="str" cm="1">
        <f t="array" ref="AN28">IF(tblPiNAnalysis[[#This Row],[Highest PiN]]=0, "",  IF(OR(COUNTIF(tblPiNAnalysis[[#This Row],[Highest sector(s)]],tblSubSectorPopulation[Sector])), "Flagged", ""))</f>
        <v/>
      </c>
      <c r="AO28" s="46" cm="1">
        <f t="array" ref="AO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20696</v>
      </c>
      <c r="AP28" s="331" t="str" cm="1">
        <f t="array" ref="AP28">IF(tblPiNAnalysis[[#This Row],[2nd Highest PiN]]="", "", _xlfn.TEXTJOIN(CHAR(10), TRUE, IF(tblPiNAnalysis[[#This Row],[2nd Highest PiN]]=tblPiNAnalysis[[#This Row],[CCCM]:[WASH]], tblPiNAnalysis[[#Headers],[CCCM]:[WASH]], "")))</f>
        <v>Overarching Protection</v>
      </c>
      <c r="AQ28" s="36">
        <f>IFERROR(tblPiNAnalysis[[#This Row],[2nd Highest PiN]]/tblPiNAnalysis[[#This Row],[Affected population projection 2026]], "")</f>
        <v>0.79999906935968912</v>
      </c>
      <c r="AR28" s="46">
        <f>IFERROR(tblPiNAnalysis[[#This Row],[Highest PiN]]-tblPiNAnalysis[[#This Row],[2nd Highest PiN]], "")</f>
        <v>5174.0300946160642</v>
      </c>
      <c r="AS28" s="39">
        <f>IFERROR(((tblPiNAnalysis[[#This Row],[Highest PiN]]-tblPiNAnalysis[[#This Row],[2nd Highest PiN]])/tblPiNAnalysis[[#This Row],[2nd Highest PiN]]),"")</f>
        <v>0.25000145412717745</v>
      </c>
      <c r="AT28" s="39" t="str" cm="1">
        <f t="array" ref="AT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8" s="332" cm="1">
        <f t="array" ref="AU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18946.094558254914</v>
      </c>
      <c r="AV28" s="190" t="str" cm="1">
        <f t="array" ref="AV28">IF(tblPiNAnalysis[[#This Row],[3rd Highest PiN]]="", "", _xlfn.TEXTJOIN(CHAR(10), TRUE, IF(tblPiNAnalysis[[#This Row],[3rd Highest PiN]]=tblPiNAnalysis[[#This Row],[CCCM]:[WASH]], tblPiNAnalysis[[#Headers],[CCCM]:[WASH]], "")))</f>
        <v>Food Security</v>
      </c>
      <c r="AW28" s="190">
        <f>IFERROR(tblPiNAnalysis[[#This Row],[3rd Highest PiN]]/tblPiNAnalysis[[#This Row],[Affected population projection 2026]], "")</f>
        <v>0.73235688126230203</v>
      </c>
      <c r="AX28" s="45">
        <f>IFERROR(tblPiNAnalysis[[#This Row],[Highest PiN]]-tblPiNAnalysis[[#This Row],[3rd Highest PiN]],"")</f>
        <v>6923.9355363611503</v>
      </c>
      <c r="AY28" s="39">
        <f>IFERROR(tblPiNAnalysis[[#This Row],[Difference of PiN between Highest and 3rd Highest]]/tblPiNAnalysis[[#This Row],[3rd Highest PiN]], "")</f>
        <v>0.36545450119398643</v>
      </c>
      <c r="AZ28" s="330" t="str" cm="1">
        <f t="array" ref="AZ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8" s="300" t="str" cm="1">
        <f t="array" ref="BA28">IFERROR(IF(tblPiNAnalysis[[#This Row],[ID]]="", "", INDEX(tblPiNHistorical[[CCCM]:[WASH]], MATCH(tblPiNAnalysis[[#This Row],[ID]],tblPiNHistorical[ID], 0),MATCH(_xlfn._xlws.FILTER(tblPiNAnalysis[[#Headers],[CCCM]:[WASH]], tblPiNAnalysis[[#This Row],[Highest PiN]]=tblPiNAnalysis[[#This Row],[CCCM]:[WASH]]), tblPiNHistorical[[#Headers],[CCCM]:[WASH]], 0))), "")</f>
        <v/>
      </c>
      <c r="BB28" s="333" t="str" cm="1">
        <f t="array" ref="BB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8" s="276" t="str" cm="1">
        <f t="array" ref="BC28">IFERROR(IF(tblPiNAnalysis[[#This Row],[ID]]="", "", INDEX(tblPiNHistorical[[CCCM]:[WASH]], MATCH(tblPiNAnalysis[[#This Row],[ID]],tblPiNHistorical[ID], 0),MATCH(_xlfn._xlws.FILTER(tblPiNAnalysis[[#Headers],[CCCM]:[WASH]], tblPiNAnalysis[[#This Row],[2nd Highest PiN]]=tblPiNAnalysis[[#This Row],[CCCM]:[WASH]]), tblPiNHistorical[[#Headers],[CCCM]:[WASH]], 0))), "")</f>
        <v/>
      </c>
      <c r="BD28" s="334" t="str" cm="1">
        <f t="array" ref="BD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8" s="276">
        <f>INDEX(tblSeverityAnalysis[Final Severity], MATCH(tblPiNAnalysis[[#This Row],[ID]],tblSeverityAnalysis[ID], 0))</f>
        <v>4</v>
      </c>
      <c r="BF28" s="61">
        <f>IF(tblPiNAnalysis[[#This Row],[Severity]]&gt;2,tblPiNAnalysis[[#This Row],[Highest PiN]],)</f>
        <v>25870.030094616064</v>
      </c>
      <c r="BG28" s="191"/>
      <c r="BH28" s="192"/>
      <c r="BI28" s="193">
        <f>COUNTIFS(tblPiNAnalysis[[#This Row],[Number of missing / zero PiNs greater than threshold - Data quality]:[Manual Flag]],"Flagged")</f>
        <v>1</v>
      </c>
      <c r="BJ28" s="96" t="str">
        <f>IF(tblPiNAnalysis[[#This Row],['# Flags]]&gt;0, "Flagged", "")</f>
        <v>Flagged</v>
      </c>
      <c r="BK28" s="326">
        <f>tblPiNAnalysis[[#This Row],[Preliminary PiN]]</f>
        <v>25870.030094616064</v>
      </c>
      <c r="BL28" s="331"/>
    </row>
    <row r="29" spans="1:64" x14ac:dyDescent="0.55000000000000004">
      <c r="A2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SS0311</v>
      </c>
      <c r="B29" s="316" t="s">
        <v>268</v>
      </c>
      <c r="C29" s="317" t="s">
        <v>269</v>
      </c>
      <c r="D29" s="317" t="s">
        <v>290</v>
      </c>
      <c r="E29" s="105" t="s">
        <v>291</v>
      </c>
      <c r="F29" s="100"/>
      <c r="G29" s="34"/>
      <c r="H29" s="34"/>
      <c r="I29" s="97">
        <v>23976.103995536083</v>
      </c>
      <c r="J29" s="97" t="s">
        <v>412</v>
      </c>
      <c r="K29" s="318">
        <v>3750</v>
      </c>
      <c r="L29" s="319">
        <v>5890.5930862472778</v>
      </c>
      <c r="M29" s="319">
        <v>12235.778897909482</v>
      </c>
      <c r="N29" s="319">
        <v>19540.244000728337</v>
      </c>
      <c r="O29" s="319">
        <v>11494.910930784306</v>
      </c>
      <c r="P29" s="319">
        <v>16783</v>
      </c>
      <c r="Q29" s="320">
        <v>23976.103995536083</v>
      </c>
      <c r="R29" s="319">
        <v>19980.086662946735</v>
      </c>
      <c r="S29" s="319">
        <v>10483</v>
      </c>
      <c r="T29" s="319">
        <v>9726</v>
      </c>
      <c r="U29" s="319">
        <v>1927</v>
      </c>
      <c r="V29" s="319">
        <v>6480</v>
      </c>
      <c r="W29" s="321">
        <f>IFERROR(IF(tblPiNAnalysis[[#This Row],[CCCM]]="", "", MROUND(tblPiNAnalysis[[#This Row],[CCCM]]/tblPiNAnalysis[[#This Row],[Affected population projection 2026]], 0.05)), "")</f>
        <v>0.15000000000000002</v>
      </c>
      <c r="X29" s="322">
        <f>IFERROR(IF(tblPiNAnalysis[[#This Row],[Education]]="", "", MROUND(tblPiNAnalysis[[#This Row],[Education]]/tblPiNAnalysis[[#This Row],[Affected population projection 2026]], 0.05)), "")</f>
        <v>0.25</v>
      </c>
      <c r="Y29" s="322">
        <f>IFERROR(IF(tblPiNAnalysis[[#This Row],[Nutrition]]="", "", MROUND(tblPiNAnalysis[[#This Row],[Nutrition]]/tblPiNAnalysis[[#This Row],[Affected population projection 2026]], 0.05)), "")</f>
        <v>0.5</v>
      </c>
      <c r="Z29" s="322">
        <f>IFERROR(IF(tblPiNAnalysis[[#This Row],[Food Security]]="", "", MROUND(tblPiNAnalysis[[#This Row],[Food Security]]/tblPiNAnalysis[[#This Row],[Affected population projection 2026]], 0.05)), "")</f>
        <v>0.8</v>
      </c>
      <c r="AA29" s="322">
        <f>IFERROR(IF(tblPiNAnalysis[[#This Row],[Health]]="", "", MROUND(tblPiNAnalysis[[#This Row],[Health]]/tblPiNAnalysis[[#This Row],[Affected population projection 2026]], 0.05)), "")</f>
        <v>0.5</v>
      </c>
      <c r="AB29" s="323">
        <f>IFERROR(IF(tblPiNAnalysis[[#This Row],[Overarching Protection]]="", "", MROUND(tblPiNAnalysis[[#This Row],[Overarching Protection]]/tblPiNAnalysis[[#This Row],[Affected population projection 2026]], 0.05)), "")</f>
        <v>0.70000000000000007</v>
      </c>
      <c r="AC29" s="323">
        <f>IFERROR(IF(tblPiNAnalysis[[#This Row],[Shelter]]="", "", MROUND(tblPiNAnalysis[[#This Row],[Shelter]]/tblPiNAnalysis[[#This Row],[Affected population projection 2026]], 0.05)), "")</f>
        <v>1</v>
      </c>
      <c r="AD29" s="324">
        <f>IFERROR(IF(tblPiNAnalysis[[#This Row],[WASH]]="", "", MROUND(tblPiNAnalysis[[#This Row],[WASH]]/tblPiNAnalysis[[#This Row],[Affected population projection 2026]], 0.05)), "")</f>
        <v>0.85000000000000009</v>
      </c>
      <c r="AE29" s="322">
        <f>IFERROR(MROUND(tblPiNAnalysis[[#This Row],[CP]]/tblPiNAnalysis[[#This Row],[Affected population projection 2026]], 0.05), "")</f>
        <v>0.45</v>
      </c>
      <c r="AF29" s="322">
        <f>IFERROR(MROUND(tblPiNAnalysis[[#This Row],[GBV]]/tblPiNAnalysis[[#This Row],[Affected population projection 2026]], 0.05), "")</f>
        <v>0.4</v>
      </c>
      <c r="AG29" s="322">
        <f>IFERROR(MROUND(tblPiNAnalysis[[#This Row],[Mine Action]]/tblPiNAnalysis[[#This Row],[Affected population projection 2026]], 0.05), "")</f>
        <v>0.1</v>
      </c>
      <c r="AH29" s="322">
        <f>IFERROR(MROUND(tblPiNAnalysis[[#This Row],[HLP]]/tblPiNAnalysis[[#This Row],[Affected population projection 2026]], 0.05), "")</f>
        <v>0.25</v>
      </c>
      <c r="AI29" s="325">
        <f>IFERROR(LARGE(tblPiNAnalysis[[#This Row],[CCCM]:[WASH]], 1), "")</f>
        <v>23976.103995536083</v>
      </c>
      <c r="AJ29" s="326" t="str" cm="1">
        <f t="array" ref="AJ29">IF(tblPiNAnalysis[[#This Row],[Highest PiN]]="", "", _xlfn.TEXTJOIN(CHAR(10), TRUE, IF(tblPiNAnalysis[[#This Row],[Highest PiN]]=tblPiNAnalysis[[#This Row],[CCCM]:[WASH]], tblPiNAnalysis[[#Headers],[CCCM]:[WASH]], "")))</f>
        <v>Shelter</v>
      </c>
      <c r="AK29" s="327">
        <f>IF(tblPiNAnalysis[[#This Row],[Highest PiN]]="", "", tblPiNAnalysis[[#This Row],[Highest PiN]]/tblPiNAnalysis[[#This Row],[Affected population projection 2026]])</f>
        <v>1</v>
      </c>
      <c r="AL29" s="328" t="str">
        <f>IF(SUM(tblPiNAnalysis[[#This Row],[CCCM]:[WASH]])=0, "",IF(COUNTIF(tblPiNAnalysis[[#This Row],[CCCM]:[WASH]],"=0")+COUNTIF(tblPiNAnalysis[[#This Row],[CCCM]:[WASH]],"")&gt;=zero_pin_thresh, "Flagged", ""))</f>
        <v/>
      </c>
      <c r="AM29" s="329" t="str">
        <f>IFERROR(IF(tblPiNAnalysis[[#This Row],[Highest PiN]]="", "", IF(tblPiNAnalysis[[#This Row],[Highest sector(s'') PiN %]]&gt;=flag_pin_perc, "Flagged", "")), "")</f>
        <v>Flagged</v>
      </c>
      <c r="AN29" s="330" t="str" cm="1">
        <f t="array" ref="AN29">IF(tblPiNAnalysis[[#This Row],[Highest PiN]]=0, "",  IF(OR(COUNTIF(tblPiNAnalysis[[#This Row],[Highest sector(s)]],tblSubSectorPopulation[Sector])), "Flagged", ""))</f>
        <v/>
      </c>
      <c r="AO29" s="46" cm="1">
        <f t="array" ref="AO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19980.086662946735</v>
      </c>
      <c r="AP29" s="331" t="str" cm="1">
        <f t="array" ref="AP29">IF(tblPiNAnalysis[[#This Row],[2nd Highest PiN]]="", "", _xlfn.TEXTJOIN(CHAR(10), TRUE, IF(tblPiNAnalysis[[#This Row],[2nd Highest PiN]]=tblPiNAnalysis[[#This Row],[CCCM]:[WASH]], tblPiNAnalysis[[#Headers],[CCCM]:[WASH]], "")))</f>
        <v>WASH</v>
      </c>
      <c r="AQ29" s="36">
        <f>IFERROR(tblPiNAnalysis[[#This Row],[2nd Highest PiN]]/tblPiNAnalysis[[#This Row],[Affected population projection 2026]], "")</f>
        <v>0.83333333333333326</v>
      </c>
      <c r="AR29" s="46">
        <f>IFERROR(tblPiNAnalysis[[#This Row],[Highest PiN]]-tblPiNAnalysis[[#This Row],[2nd Highest PiN]], "")</f>
        <v>3996.0173325893484</v>
      </c>
      <c r="AS29" s="39">
        <f>IFERROR(((tblPiNAnalysis[[#This Row],[Highest PiN]]-tblPiNAnalysis[[#This Row],[2nd Highest PiN]])/tblPiNAnalysis[[#This Row],[2nd Highest PiN]]),"")</f>
        <v>0.20000000000000007</v>
      </c>
      <c r="AT29" s="39" t="str" cm="1">
        <f t="array" ref="AT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9" s="332" cm="1">
        <f t="array" ref="AU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19540.244000728337</v>
      </c>
      <c r="AV29" s="190" t="str" cm="1">
        <f t="array" ref="AV29">IF(tblPiNAnalysis[[#This Row],[3rd Highest PiN]]="", "", _xlfn.TEXTJOIN(CHAR(10), TRUE, IF(tblPiNAnalysis[[#This Row],[3rd Highest PiN]]=tblPiNAnalysis[[#This Row],[CCCM]:[WASH]], tblPiNAnalysis[[#Headers],[CCCM]:[WASH]], "")))</f>
        <v>Food Security</v>
      </c>
      <c r="AW29" s="190">
        <f>IFERROR(tblPiNAnalysis[[#This Row],[3rd Highest PiN]]/tblPiNAnalysis[[#This Row],[Affected population projection 2026]], "")</f>
        <v>0.81498829018953112</v>
      </c>
      <c r="AX29" s="45">
        <f>IFERROR(tblPiNAnalysis[[#This Row],[Highest PiN]]-tblPiNAnalysis[[#This Row],[3rd Highest PiN]],"")</f>
        <v>4435.8599948077463</v>
      </c>
      <c r="AY29" s="39">
        <f>IFERROR(tblPiNAnalysis[[#This Row],[Difference of PiN between Highest and 3rd Highest]]/tblPiNAnalysis[[#This Row],[3rd Highest PiN]], "")</f>
        <v>0.22701149456692585</v>
      </c>
      <c r="AZ29" s="330" t="str" cm="1">
        <f t="array" ref="AZ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9" s="300" t="str" cm="1">
        <f t="array" ref="BA29">IFERROR(IF(tblPiNAnalysis[[#This Row],[ID]]="", "", INDEX(tblPiNHistorical[[CCCM]:[WASH]], MATCH(tblPiNAnalysis[[#This Row],[ID]],tblPiNHistorical[ID], 0),MATCH(_xlfn._xlws.FILTER(tblPiNAnalysis[[#Headers],[CCCM]:[WASH]], tblPiNAnalysis[[#This Row],[Highest PiN]]=tblPiNAnalysis[[#This Row],[CCCM]:[WASH]]), tblPiNHistorical[[#Headers],[CCCM]:[WASH]], 0))), "")</f>
        <v/>
      </c>
      <c r="BB29" s="333" t="str" cm="1">
        <f t="array" ref="BB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9" s="276" t="str" cm="1">
        <f t="array" ref="BC29">IFERROR(IF(tblPiNAnalysis[[#This Row],[ID]]="", "", INDEX(tblPiNHistorical[[CCCM]:[WASH]], MATCH(tblPiNAnalysis[[#This Row],[ID]],tblPiNHistorical[ID], 0),MATCH(_xlfn._xlws.FILTER(tblPiNAnalysis[[#Headers],[CCCM]:[WASH]], tblPiNAnalysis[[#This Row],[2nd Highest PiN]]=tblPiNAnalysis[[#This Row],[CCCM]:[WASH]]), tblPiNHistorical[[#Headers],[CCCM]:[WASH]], 0))), "")</f>
        <v/>
      </c>
      <c r="BD29" s="334" t="str" cm="1">
        <f t="array" ref="BD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9" s="276">
        <f>INDEX(tblSeverityAnalysis[Final Severity], MATCH(tblPiNAnalysis[[#This Row],[ID]],tblSeverityAnalysis[ID], 0))</f>
        <v>4</v>
      </c>
      <c r="BF29" s="61">
        <f>IF(tblPiNAnalysis[[#This Row],[Severity]]&gt;2,tblPiNAnalysis[[#This Row],[Highest PiN]],)</f>
        <v>23976.103995536083</v>
      </c>
      <c r="BG29" s="191"/>
      <c r="BH29" s="192"/>
      <c r="BI29" s="193">
        <f>COUNTIFS(tblPiNAnalysis[[#This Row],[Number of missing / zero PiNs greater than threshold - Data quality]:[Manual Flag]],"Flagged")</f>
        <v>1</v>
      </c>
      <c r="BJ29" s="96" t="str">
        <f>IF(tblPiNAnalysis[[#This Row],['# Flags]]&gt;0, "Flagged", "")</f>
        <v>Flagged</v>
      </c>
      <c r="BK29" s="326">
        <f>tblPiNAnalysis[[#This Row],[Preliminary PiN]]</f>
        <v>23976.103995536083</v>
      </c>
      <c r="BL29" s="331"/>
    </row>
    <row r="30" spans="1:64" x14ac:dyDescent="0.55000000000000004">
      <c r="A3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SS0401</v>
      </c>
      <c r="B30" s="316" t="s">
        <v>292</v>
      </c>
      <c r="C30" s="317" t="s">
        <v>293</v>
      </c>
      <c r="D30" s="317" t="s">
        <v>294</v>
      </c>
      <c r="E30" s="105" t="s">
        <v>295</v>
      </c>
      <c r="F30" s="100"/>
      <c r="G30" s="34"/>
      <c r="H30" s="34"/>
      <c r="I30" s="97">
        <v>48668.970941608946</v>
      </c>
      <c r="J30" s="97" t="s">
        <v>412</v>
      </c>
      <c r="K30" s="318">
        <v>27592.5</v>
      </c>
      <c r="L30" s="319">
        <v>18644.644746991911</v>
      </c>
      <c r="M30" s="319">
        <v>16670.82020771665</v>
      </c>
      <c r="N30" s="319">
        <v>31631.790952911062</v>
      </c>
      <c r="O30" s="319">
        <v>23801.97264963109</v>
      </c>
      <c r="P30" s="319">
        <v>9694</v>
      </c>
      <c r="Q30" s="320">
        <v>39461.327790493742</v>
      </c>
      <c r="R30" s="319">
        <v>36501.72820620671</v>
      </c>
      <c r="S30" s="319">
        <v>3994</v>
      </c>
      <c r="T30" s="319">
        <v>8096</v>
      </c>
      <c r="U30" s="319">
        <v>4622</v>
      </c>
      <c r="V30" s="319">
        <v>7203</v>
      </c>
      <c r="W30" s="321">
        <f>IFERROR(IF(tblPiNAnalysis[[#This Row],[CCCM]]="", "", MROUND(tblPiNAnalysis[[#This Row],[CCCM]]/tblPiNAnalysis[[#This Row],[Affected population projection 2026]], 0.05)), "")</f>
        <v>0.55000000000000004</v>
      </c>
      <c r="X30" s="322">
        <f>IFERROR(IF(tblPiNAnalysis[[#This Row],[Education]]="", "", MROUND(tblPiNAnalysis[[#This Row],[Education]]/tblPiNAnalysis[[#This Row],[Affected population projection 2026]], 0.05)), "")</f>
        <v>0.4</v>
      </c>
      <c r="Y30" s="322">
        <f>IFERROR(IF(tblPiNAnalysis[[#This Row],[Nutrition]]="", "", MROUND(tblPiNAnalysis[[#This Row],[Nutrition]]/tblPiNAnalysis[[#This Row],[Affected population projection 2026]], 0.05)), "")</f>
        <v>0.35000000000000003</v>
      </c>
      <c r="Z30" s="322">
        <f>IFERROR(IF(tblPiNAnalysis[[#This Row],[Food Security]]="", "", MROUND(tblPiNAnalysis[[#This Row],[Food Security]]/tblPiNAnalysis[[#This Row],[Affected population projection 2026]], 0.05)), "")</f>
        <v>0.65</v>
      </c>
      <c r="AA30" s="322">
        <f>IFERROR(IF(tblPiNAnalysis[[#This Row],[Health]]="", "", MROUND(tblPiNAnalysis[[#This Row],[Health]]/tblPiNAnalysis[[#This Row],[Affected population projection 2026]], 0.05)), "")</f>
        <v>0.5</v>
      </c>
      <c r="AB30" s="323">
        <f>IFERROR(IF(tblPiNAnalysis[[#This Row],[Overarching Protection]]="", "", MROUND(tblPiNAnalysis[[#This Row],[Overarching Protection]]/tblPiNAnalysis[[#This Row],[Affected population projection 2026]], 0.05)), "")</f>
        <v>0.2</v>
      </c>
      <c r="AC30" s="323">
        <f>IFERROR(IF(tblPiNAnalysis[[#This Row],[Shelter]]="", "", MROUND(tblPiNAnalysis[[#This Row],[Shelter]]/tblPiNAnalysis[[#This Row],[Affected population projection 2026]], 0.05)), "")</f>
        <v>0.8</v>
      </c>
      <c r="AD30" s="324">
        <f>IFERROR(IF(tblPiNAnalysis[[#This Row],[WASH]]="", "", MROUND(tblPiNAnalysis[[#This Row],[WASH]]/tblPiNAnalysis[[#This Row],[Affected population projection 2026]], 0.05)), "")</f>
        <v>0.75</v>
      </c>
      <c r="AE30" s="322">
        <f>IFERROR(MROUND(tblPiNAnalysis[[#This Row],[CP]]/tblPiNAnalysis[[#This Row],[Affected population projection 2026]], 0.05), "")</f>
        <v>0.1</v>
      </c>
      <c r="AF30" s="322">
        <f>IFERROR(MROUND(tblPiNAnalysis[[#This Row],[GBV]]/tblPiNAnalysis[[#This Row],[Affected population projection 2026]], 0.05), "")</f>
        <v>0.15000000000000002</v>
      </c>
      <c r="AG30" s="322">
        <f>IFERROR(MROUND(tblPiNAnalysis[[#This Row],[Mine Action]]/tblPiNAnalysis[[#This Row],[Affected population projection 2026]], 0.05), "")</f>
        <v>0.1</v>
      </c>
      <c r="AH30" s="322">
        <f>IFERROR(MROUND(tblPiNAnalysis[[#This Row],[HLP]]/tblPiNAnalysis[[#This Row],[Affected population projection 2026]], 0.05), "")</f>
        <v>0.15000000000000002</v>
      </c>
      <c r="AI30" s="325">
        <f>IFERROR(LARGE(tblPiNAnalysis[[#This Row],[CCCM]:[WASH]], 1), "")</f>
        <v>39461.327790493742</v>
      </c>
      <c r="AJ30" s="326" t="str" cm="1">
        <f t="array" ref="AJ30">IF(tblPiNAnalysis[[#This Row],[Highest PiN]]="", "", _xlfn.TEXTJOIN(CHAR(10), TRUE, IF(tblPiNAnalysis[[#This Row],[Highest PiN]]=tblPiNAnalysis[[#This Row],[CCCM]:[WASH]], tblPiNAnalysis[[#Headers],[CCCM]:[WASH]], "")))</f>
        <v>Shelter</v>
      </c>
      <c r="AK30" s="327">
        <f>IF(tblPiNAnalysis[[#This Row],[Highest PiN]]="", "", tblPiNAnalysis[[#This Row],[Highest PiN]]/tblPiNAnalysis[[#This Row],[Affected population projection 2026]])</f>
        <v>0.81081081081081086</v>
      </c>
      <c r="AL30" s="328" t="str">
        <f>IF(SUM(tblPiNAnalysis[[#This Row],[CCCM]:[WASH]])=0, "",IF(COUNTIF(tblPiNAnalysis[[#This Row],[CCCM]:[WASH]],"=0")+COUNTIF(tblPiNAnalysis[[#This Row],[CCCM]:[WASH]],"")&gt;=zero_pin_thresh, "Flagged", ""))</f>
        <v/>
      </c>
      <c r="AM30" s="329" t="str">
        <f>IFERROR(IF(tblPiNAnalysis[[#This Row],[Highest PiN]]="", "", IF(tblPiNAnalysis[[#This Row],[Highest sector(s'') PiN %]]&gt;=flag_pin_perc, "Flagged", "")), "")</f>
        <v/>
      </c>
      <c r="AN30" s="330" t="str" cm="1">
        <f t="array" ref="AN30">IF(tblPiNAnalysis[[#This Row],[Highest PiN]]=0, "",  IF(OR(COUNTIF(tblPiNAnalysis[[#This Row],[Highest sector(s)]],tblSubSectorPopulation[Sector])), "Flagged", ""))</f>
        <v/>
      </c>
      <c r="AO30" s="46" cm="1">
        <f t="array" ref="AO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36501.72820620671</v>
      </c>
      <c r="AP30" s="331" t="str" cm="1">
        <f t="array" ref="AP30">IF(tblPiNAnalysis[[#This Row],[2nd Highest PiN]]="", "", _xlfn.TEXTJOIN(CHAR(10), TRUE, IF(tblPiNAnalysis[[#This Row],[2nd Highest PiN]]=tblPiNAnalysis[[#This Row],[CCCM]:[WASH]], tblPiNAnalysis[[#Headers],[CCCM]:[WASH]], "")))</f>
        <v>WASH</v>
      </c>
      <c r="AQ30" s="36">
        <f>IFERROR(tblPiNAnalysis[[#This Row],[2nd Highest PiN]]/tblPiNAnalysis[[#This Row],[Affected population projection 2026]], "")</f>
        <v>0.75</v>
      </c>
      <c r="AR30" s="46">
        <f>IFERROR(tblPiNAnalysis[[#This Row],[Highest PiN]]-tblPiNAnalysis[[#This Row],[2nd Highest PiN]], "")</f>
        <v>2959.5995842870325</v>
      </c>
      <c r="AS30" s="39">
        <f>IFERROR(((tblPiNAnalysis[[#This Row],[Highest PiN]]-tblPiNAnalysis[[#This Row],[2nd Highest PiN]])/tblPiNAnalysis[[#This Row],[2nd Highest PiN]]),"")</f>
        <v>8.1081081081081141E-2</v>
      </c>
      <c r="AT30" s="39" t="str" cm="1">
        <f t="array" ref="AT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0" s="332" cm="1">
        <f t="array" ref="AU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31631.790952911062</v>
      </c>
      <c r="AV30" s="190" t="str" cm="1">
        <f t="array" ref="AV30">IF(tblPiNAnalysis[[#This Row],[3rd Highest PiN]]="", "", _xlfn.TEXTJOIN(CHAR(10), TRUE, IF(tblPiNAnalysis[[#This Row],[3rd Highest PiN]]=tblPiNAnalysis[[#This Row],[CCCM]:[WASH]], tblPiNAnalysis[[#Headers],[CCCM]:[WASH]], "")))</f>
        <v>Food Security</v>
      </c>
      <c r="AW30" s="190">
        <f>IFERROR(tblPiNAnalysis[[#This Row],[3rd Highest PiN]]/tblPiNAnalysis[[#This Row],[Affected population projection 2026]], "")</f>
        <v>0.64993753393433362</v>
      </c>
      <c r="AX30" s="45">
        <f>IFERROR(tblPiNAnalysis[[#This Row],[Highest PiN]]-tblPiNAnalysis[[#This Row],[3rd Highest PiN]],"")</f>
        <v>7829.5368375826802</v>
      </c>
      <c r="AY30" s="39">
        <f>IFERROR(tblPiNAnalysis[[#This Row],[Difference of PiN between Highest and 3rd Highest]]/tblPiNAnalysis[[#This Row],[3rd Highest PiN]], "")</f>
        <v>0.24752113622773328</v>
      </c>
      <c r="AZ30" s="330" t="str" cm="1">
        <f t="array" ref="AZ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0" s="300" t="str" cm="1">
        <f t="array" ref="BA30">IFERROR(IF(tblPiNAnalysis[[#This Row],[ID]]="", "", INDEX(tblPiNHistorical[[CCCM]:[WASH]], MATCH(tblPiNAnalysis[[#This Row],[ID]],tblPiNHistorical[ID], 0),MATCH(_xlfn._xlws.FILTER(tblPiNAnalysis[[#Headers],[CCCM]:[WASH]], tblPiNAnalysis[[#This Row],[Highest PiN]]=tblPiNAnalysis[[#This Row],[CCCM]:[WASH]]), tblPiNHistorical[[#Headers],[CCCM]:[WASH]], 0))), "")</f>
        <v/>
      </c>
      <c r="BB30" s="333" t="str" cm="1">
        <f t="array" ref="BB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0" s="276" t="str" cm="1">
        <f t="array" ref="BC30">IFERROR(IF(tblPiNAnalysis[[#This Row],[ID]]="", "", INDEX(tblPiNHistorical[[CCCM]:[WASH]], MATCH(tblPiNAnalysis[[#This Row],[ID]],tblPiNHistorical[ID], 0),MATCH(_xlfn._xlws.FILTER(tblPiNAnalysis[[#Headers],[CCCM]:[WASH]], tblPiNAnalysis[[#This Row],[2nd Highest PiN]]=tblPiNAnalysis[[#This Row],[CCCM]:[WASH]]), tblPiNHistorical[[#Headers],[CCCM]:[WASH]], 0))), "")</f>
        <v/>
      </c>
      <c r="BD30" s="334" t="str" cm="1">
        <f t="array" ref="BD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0" s="276">
        <f>INDEX(tblSeverityAnalysis[Final Severity], MATCH(tblPiNAnalysis[[#This Row],[ID]],tblSeverityAnalysis[ID], 0))</f>
        <v>3</v>
      </c>
      <c r="BF30" s="61">
        <f>IF(tblPiNAnalysis[[#This Row],[Severity]]&gt;2,tblPiNAnalysis[[#This Row],[Highest PiN]],)</f>
        <v>39461.327790493742</v>
      </c>
      <c r="BG30" s="191"/>
      <c r="BH30" s="192"/>
      <c r="BI30" s="193">
        <f>COUNTIFS(tblPiNAnalysis[[#This Row],[Number of missing / zero PiNs greater than threshold - Data quality]:[Manual Flag]],"Flagged")</f>
        <v>0</v>
      </c>
      <c r="BJ30" s="96" t="str">
        <f>IF(tblPiNAnalysis[[#This Row],['# Flags]]&gt;0, "Flagged", "")</f>
        <v/>
      </c>
      <c r="BK30" s="326">
        <f>tblPiNAnalysis[[#This Row],[Preliminary PiN]]</f>
        <v>39461.327790493742</v>
      </c>
      <c r="BL30" s="331"/>
    </row>
    <row r="31" spans="1:64" x14ac:dyDescent="0.55000000000000004">
      <c r="A3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SS0402</v>
      </c>
      <c r="B31" s="316" t="s">
        <v>292</v>
      </c>
      <c r="C31" s="317" t="s">
        <v>293</v>
      </c>
      <c r="D31" s="317" t="s">
        <v>296</v>
      </c>
      <c r="E31" s="105" t="s">
        <v>297</v>
      </c>
      <c r="F31" s="100"/>
      <c r="G31" s="34"/>
      <c r="H31" s="34"/>
      <c r="I31" s="97">
        <v>5443.7472474147844</v>
      </c>
      <c r="J31" s="97" t="s">
        <v>412</v>
      </c>
      <c r="K31" s="318">
        <v>0</v>
      </c>
      <c r="L31" s="319">
        <v>1524.9950226490353</v>
      </c>
      <c r="M31" s="319">
        <v>1761.9655989273585</v>
      </c>
      <c r="N31" s="319">
        <v>2820.6659228924295</v>
      </c>
      <c r="O31" s="319">
        <v>2281.8772120135632</v>
      </c>
      <c r="P31" s="319">
        <v>1089</v>
      </c>
      <c r="Q31" s="320">
        <v>2721.8736237073922</v>
      </c>
      <c r="R31" s="319">
        <v>3578.7597645041642</v>
      </c>
      <c r="S31" s="319">
        <v>883</v>
      </c>
      <c r="T31" s="319">
        <v>836</v>
      </c>
      <c r="U31" s="319">
        <v>425</v>
      </c>
      <c r="V31" s="319">
        <v>459</v>
      </c>
      <c r="W31" s="321">
        <f>IFERROR(IF(tblPiNAnalysis[[#This Row],[CCCM]]="", "", MROUND(tblPiNAnalysis[[#This Row],[CCCM]]/tblPiNAnalysis[[#This Row],[Affected population projection 2026]], 0.05)), "")</f>
        <v>0</v>
      </c>
      <c r="X31" s="322">
        <f>IFERROR(IF(tblPiNAnalysis[[#This Row],[Education]]="", "", MROUND(tblPiNAnalysis[[#This Row],[Education]]/tblPiNAnalysis[[#This Row],[Affected population projection 2026]], 0.05)), "")</f>
        <v>0.30000000000000004</v>
      </c>
      <c r="Y31" s="322">
        <f>IFERROR(IF(tblPiNAnalysis[[#This Row],[Nutrition]]="", "", MROUND(tblPiNAnalysis[[#This Row],[Nutrition]]/tblPiNAnalysis[[#This Row],[Affected population projection 2026]], 0.05)), "")</f>
        <v>0.30000000000000004</v>
      </c>
      <c r="Z31" s="322">
        <f>IFERROR(IF(tblPiNAnalysis[[#This Row],[Food Security]]="", "", MROUND(tblPiNAnalysis[[#This Row],[Food Security]]/tblPiNAnalysis[[#This Row],[Affected population projection 2026]], 0.05)), "")</f>
        <v>0.5</v>
      </c>
      <c r="AA31" s="322">
        <f>IFERROR(IF(tblPiNAnalysis[[#This Row],[Health]]="", "", MROUND(tblPiNAnalysis[[#This Row],[Health]]/tblPiNAnalysis[[#This Row],[Affected population projection 2026]], 0.05)), "")</f>
        <v>0.4</v>
      </c>
      <c r="AB31" s="323">
        <f>IFERROR(IF(tblPiNAnalysis[[#This Row],[Overarching Protection]]="", "", MROUND(tblPiNAnalysis[[#This Row],[Overarching Protection]]/tblPiNAnalysis[[#This Row],[Affected population projection 2026]], 0.05)), "")</f>
        <v>0.2</v>
      </c>
      <c r="AC31" s="323">
        <f>IFERROR(IF(tblPiNAnalysis[[#This Row],[Shelter]]="", "", MROUND(tblPiNAnalysis[[#This Row],[Shelter]]/tblPiNAnalysis[[#This Row],[Affected population projection 2026]], 0.05)), "")</f>
        <v>0.5</v>
      </c>
      <c r="AD31" s="324">
        <f>IFERROR(IF(tblPiNAnalysis[[#This Row],[WASH]]="", "", MROUND(tblPiNAnalysis[[#This Row],[WASH]]/tblPiNAnalysis[[#This Row],[Affected population projection 2026]], 0.05)), "")</f>
        <v>0.65</v>
      </c>
      <c r="AE31" s="322">
        <f>IFERROR(MROUND(tblPiNAnalysis[[#This Row],[CP]]/tblPiNAnalysis[[#This Row],[Affected population projection 2026]], 0.05), "")</f>
        <v>0.15000000000000002</v>
      </c>
      <c r="AF31" s="322">
        <f>IFERROR(MROUND(tblPiNAnalysis[[#This Row],[GBV]]/tblPiNAnalysis[[#This Row],[Affected population projection 2026]], 0.05), "")</f>
        <v>0.15000000000000002</v>
      </c>
      <c r="AG31" s="322">
        <f>IFERROR(MROUND(tblPiNAnalysis[[#This Row],[Mine Action]]/tblPiNAnalysis[[#This Row],[Affected population projection 2026]], 0.05), "")</f>
        <v>0.1</v>
      </c>
      <c r="AH31" s="322">
        <f>IFERROR(MROUND(tblPiNAnalysis[[#This Row],[HLP]]/tblPiNAnalysis[[#This Row],[Affected population projection 2026]], 0.05), "")</f>
        <v>0.1</v>
      </c>
      <c r="AI31" s="325">
        <f>IFERROR(LARGE(tblPiNAnalysis[[#This Row],[CCCM]:[WASH]], 1), "")</f>
        <v>3578.7597645041642</v>
      </c>
      <c r="AJ31" s="326" t="str" cm="1">
        <f t="array" ref="AJ31">IF(tblPiNAnalysis[[#This Row],[Highest PiN]]="", "", _xlfn.TEXTJOIN(CHAR(10), TRUE, IF(tblPiNAnalysis[[#This Row],[Highest PiN]]=tblPiNAnalysis[[#This Row],[CCCM]:[WASH]], tblPiNAnalysis[[#Headers],[CCCM]:[WASH]], "")))</f>
        <v>WASH</v>
      </c>
      <c r="AK31" s="327">
        <f>IF(tblPiNAnalysis[[#This Row],[Highest PiN]]="", "", tblPiNAnalysis[[#This Row],[Highest PiN]]/tblPiNAnalysis[[#This Row],[Affected population projection 2026]])</f>
        <v>0.65740740740740744</v>
      </c>
      <c r="AL31" s="328" t="str">
        <f>IF(SUM(tblPiNAnalysis[[#This Row],[CCCM]:[WASH]])=0, "",IF(COUNTIF(tblPiNAnalysis[[#This Row],[CCCM]:[WASH]],"=0")+COUNTIF(tblPiNAnalysis[[#This Row],[CCCM]:[WASH]],"")&gt;=zero_pin_thresh, "Flagged", ""))</f>
        <v/>
      </c>
      <c r="AM31" s="329" t="str">
        <f>IFERROR(IF(tblPiNAnalysis[[#This Row],[Highest PiN]]="", "", IF(tblPiNAnalysis[[#This Row],[Highest sector(s'') PiN %]]&gt;=flag_pin_perc, "Flagged", "")), "")</f>
        <v/>
      </c>
      <c r="AN31" s="330" t="str" cm="1">
        <f t="array" ref="AN31">IF(tblPiNAnalysis[[#This Row],[Highest PiN]]=0, "",  IF(OR(COUNTIF(tblPiNAnalysis[[#This Row],[Highest sector(s)]],tblSubSectorPopulation[Sector])), "Flagged", ""))</f>
        <v/>
      </c>
      <c r="AO31" s="46" cm="1">
        <f t="array" ref="AO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2820.6659228924295</v>
      </c>
      <c r="AP31" s="331" t="str" cm="1">
        <f t="array" ref="AP31">IF(tblPiNAnalysis[[#This Row],[2nd Highest PiN]]="", "", _xlfn.TEXTJOIN(CHAR(10), TRUE, IF(tblPiNAnalysis[[#This Row],[2nd Highest PiN]]=tblPiNAnalysis[[#This Row],[CCCM]:[WASH]], tblPiNAnalysis[[#Headers],[CCCM]:[WASH]], "")))</f>
        <v>Food Security</v>
      </c>
      <c r="AQ31" s="36">
        <f>IFERROR(tblPiNAnalysis[[#This Row],[2nd Highest PiN]]/tblPiNAnalysis[[#This Row],[Affected population projection 2026]], "")</f>
        <v>0.51814784829180915</v>
      </c>
      <c r="AR31" s="46">
        <f>IFERROR(tblPiNAnalysis[[#This Row],[Highest PiN]]-tblPiNAnalysis[[#This Row],[2nd Highest PiN]], "")</f>
        <v>758.09384161173466</v>
      </c>
      <c r="AS31" s="39">
        <f>IFERROR(((tblPiNAnalysis[[#This Row],[Highest PiN]]-tblPiNAnalysis[[#This Row],[2nd Highest PiN]])/tblPiNAnalysis[[#This Row],[2nd Highest PiN]]),"")</f>
        <v>0.26876413667392179</v>
      </c>
      <c r="AT31" s="39" t="str" cm="1">
        <f t="array" ref="AT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1" s="332" cm="1">
        <f t="array" ref="AU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2721.8736237073922</v>
      </c>
      <c r="AV31" s="190" t="str" cm="1">
        <f t="array" ref="AV31">IF(tblPiNAnalysis[[#This Row],[3rd Highest PiN]]="", "", _xlfn.TEXTJOIN(CHAR(10), TRUE, IF(tblPiNAnalysis[[#This Row],[3rd Highest PiN]]=tblPiNAnalysis[[#This Row],[CCCM]:[WASH]], tblPiNAnalysis[[#Headers],[CCCM]:[WASH]], "")))</f>
        <v>Shelter</v>
      </c>
      <c r="AW31" s="190">
        <f>IFERROR(tblPiNAnalysis[[#This Row],[3rd Highest PiN]]/tblPiNAnalysis[[#This Row],[Affected population projection 2026]], "")</f>
        <v>0.5</v>
      </c>
      <c r="AX31" s="45">
        <f>IFERROR(tblPiNAnalysis[[#This Row],[Highest PiN]]-tblPiNAnalysis[[#This Row],[3rd Highest PiN]],"")</f>
        <v>856.886140796772</v>
      </c>
      <c r="AY31" s="39">
        <f>IFERROR(tblPiNAnalysis[[#This Row],[Difference of PiN between Highest and 3rd Highest]]/tblPiNAnalysis[[#This Row],[3rd Highest PiN]], "")</f>
        <v>0.31481481481481494</v>
      </c>
      <c r="AZ31" s="330" t="str" cm="1">
        <f t="array" ref="AZ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1" s="300" t="str" cm="1">
        <f t="array" ref="BA31">IFERROR(IF(tblPiNAnalysis[[#This Row],[ID]]="", "", INDEX(tblPiNHistorical[[CCCM]:[WASH]], MATCH(tblPiNAnalysis[[#This Row],[ID]],tblPiNHistorical[ID], 0),MATCH(_xlfn._xlws.FILTER(tblPiNAnalysis[[#Headers],[CCCM]:[WASH]], tblPiNAnalysis[[#This Row],[Highest PiN]]=tblPiNAnalysis[[#This Row],[CCCM]:[WASH]]), tblPiNHistorical[[#Headers],[CCCM]:[WASH]], 0))), "")</f>
        <v/>
      </c>
      <c r="BB31" s="333" t="str" cm="1">
        <f t="array" ref="BB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1" s="276" t="str" cm="1">
        <f t="array" ref="BC31">IFERROR(IF(tblPiNAnalysis[[#This Row],[ID]]="", "", INDEX(tblPiNHistorical[[CCCM]:[WASH]], MATCH(tblPiNAnalysis[[#This Row],[ID]],tblPiNHistorical[ID], 0),MATCH(_xlfn._xlws.FILTER(tblPiNAnalysis[[#Headers],[CCCM]:[WASH]], tblPiNAnalysis[[#This Row],[2nd Highest PiN]]=tblPiNAnalysis[[#This Row],[CCCM]:[WASH]]), tblPiNHistorical[[#Headers],[CCCM]:[WASH]], 0))), "")</f>
        <v/>
      </c>
      <c r="BD31" s="334" t="str" cm="1">
        <f t="array" ref="BD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1" s="276">
        <f>INDEX(tblSeverityAnalysis[Final Severity], MATCH(tblPiNAnalysis[[#This Row],[ID]],tblSeverityAnalysis[ID], 0))</f>
        <v>3</v>
      </c>
      <c r="BF31" s="61">
        <f>IF(tblPiNAnalysis[[#This Row],[Severity]]&gt;2,tblPiNAnalysis[[#This Row],[Highest PiN]],)</f>
        <v>3578.7597645041642</v>
      </c>
      <c r="BG31" s="191"/>
      <c r="BH31" s="192"/>
      <c r="BI31" s="193">
        <f>COUNTIFS(tblPiNAnalysis[[#This Row],[Number of missing / zero PiNs greater than threshold - Data quality]:[Manual Flag]],"Flagged")</f>
        <v>0</v>
      </c>
      <c r="BJ31" s="96" t="str">
        <f>IF(tblPiNAnalysis[[#This Row],['# Flags]]&gt;0, "Flagged", "")</f>
        <v/>
      </c>
      <c r="BK31" s="326">
        <f>tblPiNAnalysis[[#This Row],[Preliminary PiN]]</f>
        <v>3578.7597645041642</v>
      </c>
      <c r="BL31" s="331"/>
    </row>
    <row r="32" spans="1:64" x14ac:dyDescent="0.55000000000000004">
      <c r="A3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SS0403</v>
      </c>
      <c r="B32" s="316" t="s">
        <v>292</v>
      </c>
      <c r="C32" s="317" t="s">
        <v>293</v>
      </c>
      <c r="D32" s="317" t="s">
        <v>298</v>
      </c>
      <c r="E32" s="105" t="s">
        <v>299</v>
      </c>
      <c r="F32" s="100"/>
      <c r="G32" s="34"/>
      <c r="H32" s="34"/>
      <c r="I32" s="97">
        <v>2921.2783873957369</v>
      </c>
      <c r="J32" s="97" t="s">
        <v>412</v>
      </c>
      <c r="K32" s="318">
        <v>0</v>
      </c>
      <c r="L32" s="319">
        <v>770.42874910787771</v>
      </c>
      <c r="M32" s="319">
        <v>936.82857757413524</v>
      </c>
      <c r="N32" s="319">
        <v>2086.7142353334721</v>
      </c>
      <c r="O32" s="319">
        <v>1464.6374692423374</v>
      </c>
      <c r="P32" s="319">
        <v>584</v>
      </c>
      <c r="Q32" s="320">
        <v>0</v>
      </c>
      <c r="R32" s="319">
        <v>1420.4381149722392</v>
      </c>
      <c r="S32" s="319">
        <v>198</v>
      </c>
      <c r="T32" s="319">
        <v>420</v>
      </c>
      <c r="U32" s="319">
        <v>229</v>
      </c>
      <c r="V32" s="319">
        <v>216</v>
      </c>
      <c r="W32" s="321">
        <f>IFERROR(IF(tblPiNAnalysis[[#This Row],[CCCM]]="", "", MROUND(tblPiNAnalysis[[#This Row],[CCCM]]/tblPiNAnalysis[[#This Row],[Affected population projection 2026]], 0.05)), "")</f>
        <v>0</v>
      </c>
      <c r="X32" s="322">
        <f>IFERROR(IF(tblPiNAnalysis[[#This Row],[Education]]="", "", MROUND(tblPiNAnalysis[[#This Row],[Education]]/tblPiNAnalysis[[#This Row],[Affected population projection 2026]], 0.05)), "")</f>
        <v>0.25</v>
      </c>
      <c r="Y32" s="322">
        <f>IFERROR(IF(tblPiNAnalysis[[#This Row],[Nutrition]]="", "", MROUND(tblPiNAnalysis[[#This Row],[Nutrition]]/tblPiNAnalysis[[#This Row],[Affected population projection 2026]], 0.05)), "")</f>
        <v>0.30000000000000004</v>
      </c>
      <c r="Z32" s="322">
        <f>IFERROR(IF(tblPiNAnalysis[[#This Row],[Food Security]]="", "", MROUND(tblPiNAnalysis[[#This Row],[Food Security]]/tblPiNAnalysis[[#This Row],[Affected population projection 2026]], 0.05)), "")</f>
        <v>0.70000000000000007</v>
      </c>
      <c r="AA32" s="322">
        <f>IFERROR(IF(tblPiNAnalysis[[#This Row],[Health]]="", "", MROUND(tblPiNAnalysis[[#This Row],[Health]]/tblPiNAnalysis[[#This Row],[Affected population projection 2026]], 0.05)), "")</f>
        <v>0.5</v>
      </c>
      <c r="AB32" s="323">
        <f>IFERROR(IF(tblPiNAnalysis[[#This Row],[Overarching Protection]]="", "", MROUND(tblPiNAnalysis[[#This Row],[Overarching Protection]]/tblPiNAnalysis[[#This Row],[Affected population projection 2026]], 0.05)), "")</f>
        <v>0.2</v>
      </c>
      <c r="AC32" s="323">
        <f>IFERROR(IF(tblPiNAnalysis[[#This Row],[Shelter]]="", "", MROUND(tblPiNAnalysis[[#This Row],[Shelter]]/tblPiNAnalysis[[#This Row],[Affected population projection 2026]], 0.05)), "")</f>
        <v>0</v>
      </c>
      <c r="AD32" s="324">
        <f>IFERROR(IF(tblPiNAnalysis[[#This Row],[WASH]]="", "", MROUND(tblPiNAnalysis[[#This Row],[WASH]]/tblPiNAnalysis[[#This Row],[Affected population projection 2026]], 0.05)), "")</f>
        <v>0.5</v>
      </c>
      <c r="AE32" s="322">
        <f>IFERROR(MROUND(tblPiNAnalysis[[#This Row],[CP]]/tblPiNAnalysis[[#This Row],[Affected population projection 2026]], 0.05), "")</f>
        <v>0.05</v>
      </c>
      <c r="AF32" s="322">
        <f>IFERROR(MROUND(tblPiNAnalysis[[#This Row],[GBV]]/tblPiNAnalysis[[#This Row],[Affected population projection 2026]], 0.05), "")</f>
        <v>0.15000000000000002</v>
      </c>
      <c r="AG32" s="322">
        <f>IFERROR(MROUND(tblPiNAnalysis[[#This Row],[Mine Action]]/tblPiNAnalysis[[#This Row],[Affected population projection 2026]], 0.05), "")</f>
        <v>0.1</v>
      </c>
      <c r="AH32" s="322">
        <f>IFERROR(MROUND(tblPiNAnalysis[[#This Row],[HLP]]/tblPiNAnalysis[[#This Row],[Affected population projection 2026]], 0.05), "")</f>
        <v>0.05</v>
      </c>
      <c r="AI32" s="325">
        <f>IFERROR(LARGE(tblPiNAnalysis[[#This Row],[CCCM]:[WASH]], 1), "")</f>
        <v>2086.7142353334721</v>
      </c>
      <c r="AJ32" s="326" t="str" cm="1">
        <f t="array" ref="AJ32">IF(tblPiNAnalysis[[#This Row],[Highest PiN]]="", "", _xlfn.TEXTJOIN(CHAR(10), TRUE, IF(tblPiNAnalysis[[#This Row],[Highest PiN]]=tblPiNAnalysis[[#This Row],[CCCM]:[WASH]], tblPiNAnalysis[[#Headers],[CCCM]:[WASH]], "")))</f>
        <v>Food Security</v>
      </c>
      <c r="AK32" s="327">
        <f>IF(tblPiNAnalysis[[#This Row],[Highest PiN]]="", "", tblPiNAnalysis[[#This Row],[Highest PiN]]/tblPiNAnalysis[[#This Row],[Affected population projection 2026]])</f>
        <v>0.71431543270127618</v>
      </c>
      <c r="AL32" s="328" t="str">
        <f>IF(SUM(tblPiNAnalysis[[#This Row],[CCCM]:[WASH]])=0, "",IF(COUNTIF(tblPiNAnalysis[[#This Row],[CCCM]:[WASH]],"=0")+COUNTIF(tblPiNAnalysis[[#This Row],[CCCM]:[WASH]],"")&gt;=zero_pin_thresh, "Flagged", ""))</f>
        <v>Flagged</v>
      </c>
      <c r="AM32" s="329" t="str">
        <f>IFERROR(IF(tblPiNAnalysis[[#This Row],[Highest PiN]]="", "", IF(tblPiNAnalysis[[#This Row],[Highest sector(s'') PiN %]]&gt;=flag_pin_perc, "Flagged", "")), "")</f>
        <v/>
      </c>
      <c r="AN32" s="330" t="str" cm="1">
        <f t="array" ref="AN32">IF(tblPiNAnalysis[[#This Row],[Highest PiN]]=0, "",  IF(OR(COUNTIF(tblPiNAnalysis[[#This Row],[Highest sector(s)]],tblSubSectorPopulation[Sector])), "Flagged", ""))</f>
        <v/>
      </c>
      <c r="AO32" s="46" cm="1">
        <f t="array" ref="AO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1464.6374692423374</v>
      </c>
      <c r="AP32" s="331" t="str" cm="1">
        <f t="array" ref="AP32">IF(tblPiNAnalysis[[#This Row],[2nd Highest PiN]]="", "", _xlfn.TEXTJOIN(CHAR(10), TRUE, IF(tblPiNAnalysis[[#This Row],[2nd Highest PiN]]=tblPiNAnalysis[[#This Row],[CCCM]:[WASH]], tblPiNAnalysis[[#Headers],[CCCM]:[WASH]], "")))</f>
        <v>Health</v>
      </c>
      <c r="AQ32" s="36">
        <f>IFERROR(tblPiNAnalysis[[#This Row],[2nd Highest PiN]]/tblPiNAnalysis[[#This Row],[Affected population projection 2026]], "")</f>
        <v>0.50136867323625167</v>
      </c>
      <c r="AR32" s="46">
        <f>IFERROR(tblPiNAnalysis[[#This Row],[Highest PiN]]-tblPiNAnalysis[[#This Row],[2nd Highest PiN]], "")</f>
        <v>622.07676609113469</v>
      </c>
      <c r="AS32" s="39">
        <f>IFERROR(((tblPiNAnalysis[[#This Row],[Highest PiN]]-tblPiNAnalysis[[#This Row],[2nd Highest PiN]])/tblPiNAnalysis[[#This Row],[2nd Highest PiN]]),"")</f>
        <v>0.42473088334476206</v>
      </c>
      <c r="AT32" s="39" t="str" cm="1">
        <f t="array" ref="AT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2" s="332" cm="1">
        <f t="array" ref="AU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1420.4381149722392</v>
      </c>
      <c r="AV32" s="190" t="str" cm="1">
        <f t="array" ref="AV32">IF(tblPiNAnalysis[[#This Row],[3rd Highest PiN]]="", "", _xlfn.TEXTJOIN(CHAR(10), TRUE, IF(tblPiNAnalysis[[#This Row],[3rd Highest PiN]]=tblPiNAnalysis[[#This Row],[CCCM]:[WASH]], tblPiNAnalysis[[#Headers],[CCCM]:[WASH]], "")))</f>
        <v>WASH</v>
      </c>
      <c r="AW32" s="190">
        <f>IFERROR(tblPiNAnalysis[[#This Row],[3rd Highest PiN]]/tblPiNAnalysis[[#This Row],[Affected population projection 2026]], "")</f>
        <v>0.48623853211009177</v>
      </c>
      <c r="AX32" s="45">
        <f>IFERROR(tblPiNAnalysis[[#This Row],[Highest PiN]]-tblPiNAnalysis[[#This Row],[3rd Highest PiN]],"")</f>
        <v>666.27612036123287</v>
      </c>
      <c r="AY32" s="39">
        <f>IFERROR(tblPiNAnalysis[[#This Row],[Difference of PiN between Highest and 3rd Highest]]/tblPiNAnalysis[[#This Row],[3rd Highest PiN]], "")</f>
        <v>0.46906381442337913</v>
      </c>
      <c r="AZ32" s="330" t="str" cm="1">
        <f t="array" ref="AZ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2" s="300" t="str" cm="1">
        <f t="array" ref="BA32">IFERROR(IF(tblPiNAnalysis[[#This Row],[ID]]="", "", INDEX(tblPiNHistorical[[CCCM]:[WASH]], MATCH(tblPiNAnalysis[[#This Row],[ID]],tblPiNHistorical[ID], 0),MATCH(_xlfn._xlws.FILTER(tblPiNAnalysis[[#Headers],[CCCM]:[WASH]], tblPiNAnalysis[[#This Row],[Highest PiN]]=tblPiNAnalysis[[#This Row],[CCCM]:[WASH]]), tblPiNHistorical[[#Headers],[CCCM]:[WASH]], 0))), "")</f>
        <v/>
      </c>
      <c r="BB32" s="333" t="str" cm="1">
        <f t="array" ref="BB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2" s="276" t="str" cm="1">
        <f t="array" ref="BC32">IFERROR(IF(tblPiNAnalysis[[#This Row],[ID]]="", "", INDEX(tblPiNHistorical[[CCCM]:[WASH]], MATCH(tblPiNAnalysis[[#This Row],[ID]],tblPiNHistorical[ID], 0),MATCH(_xlfn._xlws.FILTER(tblPiNAnalysis[[#Headers],[CCCM]:[WASH]], tblPiNAnalysis[[#This Row],[2nd Highest PiN]]=tblPiNAnalysis[[#This Row],[CCCM]:[WASH]]), tblPiNHistorical[[#Headers],[CCCM]:[WASH]], 0))), "")</f>
        <v/>
      </c>
      <c r="BD32" s="334" t="str" cm="1">
        <f t="array" ref="BD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2" s="276">
        <f>INDEX(tblSeverityAnalysis[Final Severity], MATCH(tblPiNAnalysis[[#This Row],[ID]],tblSeverityAnalysis[ID], 0))</f>
        <v>3</v>
      </c>
      <c r="BF32" s="61">
        <f>IF(tblPiNAnalysis[[#This Row],[Severity]]&gt;2,tblPiNAnalysis[[#This Row],[Highest PiN]],)</f>
        <v>2086.7142353334721</v>
      </c>
      <c r="BG32" s="191"/>
      <c r="BH32" s="192"/>
      <c r="BI32" s="193">
        <f>COUNTIFS(tblPiNAnalysis[[#This Row],[Number of missing / zero PiNs greater than threshold - Data quality]:[Manual Flag]],"Flagged")</f>
        <v>2</v>
      </c>
      <c r="BJ32" s="96" t="str">
        <f>IF(tblPiNAnalysis[[#This Row],['# Flags]]&gt;0, "Flagged", "")</f>
        <v>Flagged</v>
      </c>
      <c r="BK32" s="326">
        <f>tblPiNAnalysis[[#This Row],[Preliminary PiN]]</f>
        <v>2086.7142353334721</v>
      </c>
      <c r="BL32" s="331"/>
    </row>
    <row r="33" spans="1:64" x14ac:dyDescent="0.55000000000000004">
      <c r="A3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SS0404</v>
      </c>
      <c r="B33" s="316" t="s">
        <v>292</v>
      </c>
      <c r="C33" s="317" t="s">
        <v>293</v>
      </c>
      <c r="D33" s="317" t="s">
        <v>300</v>
      </c>
      <c r="E33" s="105" t="s">
        <v>301</v>
      </c>
      <c r="F33" s="100"/>
      <c r="G33" s="34"/>
      <c r="H33" s="34"/>
      <c r="I33" s="97">
        <v>6808.1234044964567</v>
      </c>
      <c r="J33" s="97" t="s">
        <v>412</v>
      </c>
      <c r="K33" s="318">
        <v>1961.25</v>
      </c>
      <c r="L33" s="319">
        <v>974.6032897238814</v>
      </c>
      <c r="M33" s="319">
        <v>2225.9042651408727</v>
      </c>
      <c r="N33" s="319">
        <v>5229.8277387173584</v>
      </c>
      <c r="O33" s="319">
        <v>2473.1027379150541</v>
      </c>
      <c r="P33" s="319">
        <v>1362</v>
      </c>
      <c r="Q33" s="320">
        <v>6808.1234044964567</v>
      </c>
      <c r="R33" s="319">
        <v>3656.2144209332823</v>
      </c>
      <c r="S33" s="319">
        <v>1183</v>
      </c>
      <c r="T33" s="319">
        <v>1096</v>
      </c>
      <c r="U33" s="319">
        <v>548</v>
      </c>
      <c r="V33" s="319">
        <v>512</v>
      </c>
      <c r="W33" s="321">
        <f>IFERROR(IF(tblPiNAnalysis[[#This Row],[CCCM]]="", "", MROUND(tblPiNAnalysis[[#This Row],[CCCM]]/tblPiNAnalysis[[#This Row],[Affected population projection 2026]], 0.05)), "")</f>
        <v>0.30000000000000004</v>
      </c>
      <c r="X33" s="322">
        <f>IFERROR(IF(tblPiNAnalysis[[#This Row],[Education]]="", "", MROUND(tblPiNAnalysis[[#This Row],[Education]]/tblPiNAnalysis[[#This Row],[Affected population projection 2026]], 0.05)), "")</f>
        <v>0.15000000000000002</v>
      </c>
      <c r="Y33" s="322">
        <f>IFERROR(IF(tblPiNAnalysis[[#This Row],[Nutrition]]="", "", MROUND(tblPiNAnalysis[[#This Row],[Nutrition]]/tblPiNAnalysis[[#This Row],[Affected population projection 2026]], 0.05)), "")</f>
        <v>0.35000000000000003</v>
      </c>
      <c r="Z33" s="322">
        <f>IFERROR(IF(tblPiNAnalysis[[#This Row],[Food Security]]="", "", MROUND(tblPiNAnalysis[[#This Row],[Food Security]]/tblPiNAnalysis[[#This Row],[Affected population projection 2026]], 0.05)), "")</f>
        <v>0.75</v>
      </c>
      <c r="AA33" s="322">
        <f>IFERROR(IF(tblPiNAnalysis[[#This Row],[Health]]="", "", MROUND(tblPiNAnalysis[[#This Row],[Health]]/tblPiNAnalysis[[#This Row],[Affected population projection 2026]], 0.05)), "")</f>
        <v>0.35000000000000003</v>
      </c>
      <c r="AB33" s="323">
        <f>IFERROR(IF(tblPiNAnalysis[[#This Row],[Overarching Protection]]="", "", MROUND(tblPiNAnalysis[[#This Row],[Overarching Protection]]/tblPiNAnalysis[[#This Row],[Affected population projection 2026]], 0.05)), "")</f>
        <v>0.2</v>
      </c>
      <c r="AC33" s="323">
        <f>IFERROR(IF(tblPiNAnalysis[[#This Row],[Shelter]]="", "", MROUND(tblPiNAnalysis[[#This Row],[Shelter]]/tblPiNAnalysis[[#This Row],[Affected population projection 2026]], 0.05)), "")</f>
        <v>1</v>
      </c>
      <c r="AD33" s="324">
        <f>IFERROR(IF(tblPiNAnalysis[[#This Row],[WASH]]="", "", MROUND(tblPiNAnalysis[[#This Row],[WASH]]/tblPiNAnalysis[[#This Row],[Affected population projection 2026]], 0.05)), "")</f>
        <v>0.55000000000000004</v>
      </c>
      <c r="AE33" s="322">
        <f>IFERROR(MROUND(tblPiNAnalysis[[#This Row],[CP]]/tblPiNAnalysis[[#This Row],[Affected population projection 2026]], 0.05), "")</f>
        <v>0.15000000000000002</v>
      </c>
      <c r="AF33" s="322">
        <f>IFERROR(MROUND(tblPiNAnalysis[[#This Row],[GBV]]/tblPiNAnalysis[[#This Row],[Affected population projection 2026]], 0.05), "")</f>
        <v>0.15000000000000002</v>
      </c>
      <c r="AG33" s="322">
        <f>IFERROR(MROUND(tblPiNAnalysis[[#This Row],[Mine Action]]/tblPiNAnalysis[[#This Row],[Affected population projection 2026]], 0.05), "")</f>
        <v>0.1</v>
      </c>
      <c r="AH33" s="322">
        <f>IFERROR(MROUND(tblPiNAnalysis[[#This Row],[HLP]]/tblPiNAnalysis[[#This Row],[Affected population projection 2026]], 0.05), "")</f>
        <v>0.1</v>
      </c>
      <c r="AI33" s="325">
        <f>IFERROR(LARGE(tblPiNAnalysis[[#This Row],[CCCM]:[WASH]], 1), "")</f>
        <v>6808.1234044964567</v>
      </c>
      <c r="AJ33" s="326" t="str" cm="1">
        <f t="array" ref="AJ33">IF(tblPiNAnalysis[[#This Row],[Highest PiN]]="", "", _xlfn.TEXTJOIN(CHAR(10), TRUE, IF(tblPiNAnalysis[[#This Row],[Highest PiN]]=tblPiNAnalysis[[#This Row],[CCCM]:[WASH]], tblPiNAnalysis[[#Headers],[CCCM]:[WASH]], "")))</f>
        <v>Shelter</v>
      </c>
      <c r="AK33" s="327">
        <f>IF(tblPiNAnalysis[[#This Row],[Highest PiN]]="", "", tblPiNAnalysis[[#This Row],[Highest PiN]]/tblPiNAnalysis[[#This Row],[Affected population projection 2026]])</f>
        <v>1</v>
      </c>
      <c r="AL33" s="328" t="str">
        <f>IF(SUM(tblPiNAnalysis[[#This Row],[CCCM]:[WASH]])=0, "",IF(COUNTIF(tblPiNAnalysis[[#This Row],[CCCM]:[WASH]],"=0")+COUNTIF(tblPiNAnalysis[[#This Row],[CCCM]:[WASH]],"")&gt;=zero_pin_thresh, "Flagged", ""))</f>
        <v/>
      </c>
      <c r="AM33" s="329" t="str">
        <f>IFERROR(IF(tblPiNAnalysis[[#This Row],[Highest PiN]]="", "", IF(tblPiNAnalysis[[#This Row],[Highest sector(s'') PiN %]]&gt;=flag_pin_perc, "Flagged", "")), "")</f>
        <v>Flagged</v>
      </c>
      <c r="AN33" s="330" t="str" cm="1">
        <f t="array" ref="AN33">IF(tblPiNAnalysis[[#This Row],[Highest PiN]]=0, "",  IF(OR(COUNTIF(tblPiNAnalysis[[#This Row],[Highest sector(s)]],tblSubSectorPopulation[Sector])), "Flagged", ""))</f>
        <v/>
      </c>
      <c r="AO33" s="46" cm="1">
        <f t="array" ref="AO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5229.8277387173584</v>
      </c>
      <c r="AP33" s="331" t="str" cm="1">
        <f t="array" ref="AP33">IF(tblPiNAnalysis[[#This Row],[2nd Highest PiN]]="", "", _xlfn.TEXTJOIN(CHAR(10), TRUE, IF(tblPiNAnalysis[[#This Row],[2nd Highest PiN]]=tblPiNAnalysis[[#This Row],[CCCM]:[WASH]], tblPiNAnalysis[[#Headers],[CCCM]:[WASH]], "")))</f>
        <v>Food Security</v>
      </c>
      <c r="AQ33" s="36">
        <f>IFERROR(tblPiNAnalysis[[#This Row],[2nd Highest PiN]]/tblPiNAnalysis[[#This Row],[Affected population projection 2026]], "")</f>
        <v>0.76817463902950034</v>
      </c>
      <c r="AR33" s="46">
        <f>IFERROR(tblPiNAnalysis[[#This Row],[Highest PiN]]-tblPiNAnalysis[[#This Row],[2nd Highest PiN]], "")</f>
        <v>1578.2956657790983</v>
      </c>
      <c r="AS33" s="39">
        <f>IFERROR(((tblPiNAnalysis[[#This Row],[Highest PiN]]-tblPiNAnalysis[[#This Row],[2nd Highest PiN]])/tblPiNAnalysis[[#This Row],[2nd Highest PiN]]),"")</f>
        <v>0.30178731396728248</v>
      </c>
      <c r="AT33" s="39" t="str" cm="1">
        <f t="array" ref="AT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3" s="332" cm="1">
        <f t="array" ref="AU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3656.2144209332823</v>
      </c>
      <c r="AV33" s="190" t="str" cm="1">
        <f t="array" ref="AV33">IF(tblPiNAnalysis[[#This Row],[3rd Highest PiN]]="", "", _xlfn.TEXTJOIN(CHAR(10), TRUE, IF(tblPiNAnalysis[[#This Row],[3rd Highest PiN]]=tblPiNAnalysis[[#This Row],[CCCM]:[WASH]], tblPiNAnalysis[[#Headers],[CCCM]:[WASH]], "")))</f>
        <v>WASH</v>
      </c>
      <c r="AW33" s="190">
        <f>IFERROR(tblPiNAnalysis[[#This Row],[3rd Highest PiN]]/tblPiNAnalysis[[#This Row],[Affected population projection 2026]], "")</f>
        <v>0.53703703703703709</v>
      </c>
      <c r="AX33" s="45">
        <f>IFERROR(tblPiNAnalysis[[#This Row],[Highest PiN]]-tblPiNAnalysis[[#This Row],[3rd Highest PiN]],"")</f>
        <v>3151.9089835631744</v>
      </c>
      <c r="AY33" s="39">
        <f>IFERROR(tblPiNAnalysis[[#This Row],[Difference of PiN between Highest and 3rd Highest]]/tblPiNAnalysis[[#This Row],[3rd Highest PiN]], "")</f>
        <v>0.86206896551724133</v>
      </c>
      <c r="AZ33" s="330" t="str" cm="1">
        <f t="array" ref="AZ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3" s="300" t="str" cm="1">
        <f t="array" ref="BA33">IFERROR(IF(tblPiNAnalysis[[#This Row],[ID]]="", "", INDEX(tblPiNHistorical[[CCCM]:[WASH]], MATCH(tblPiNAnalysis[[#This Row],[ID]],tblPiNHistorical[ID], 0),MATCH(_xlfn._xlws.FILTER(tblPiNAnalysis[[#Headers],[CCCM]:[WASH]], tblPiNAnalysis[[#This Row],[Highest PiN]]=tblPiNAnalysis[[#This Row],[CCCM]:[WASH]]), tblPiNHistorical[[#Headers],[CCCM]:[WASH]], 0))), "")</f>
        <v/>
      </c>
      <c r="BB33" s="333" t="str" cm="1">
        <f t="array" ref="BB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3" s="276" t="str" cm="1">
        <f t="array" ref="BC33">IFERROR(IF(tblPiNAnalysis[[#This Row],[ID]]="", "", INDEX(tblPiNHistorical[[CCCM]:[WASH]], MATCH(tblPiNAnalysis[[#This Row],[ID]],tblPiNHistorical[ID], 0),MATCH(_xlfn._xlws.FILTER(tblPiNAnalysis[[#Headers],[CCCM]:[WASH]], tblPiNAnalysis[[#This Row],[2nd Highest PiN]]=tblPiNAnalysis[[#This Row],[CCCM]:[WASH]]), tblPiNHistorical[[#Headers],[CCCM]:[WASH]], 0))), "")</f>
        <v/>
      </c>
      <c r="BD33" s="334" t="str" cm="1">
        <f t="array" ref="BD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3" s="276">
        <f>INDEX(tblSeverityAnalysis[Final Severity], MATCH(tblPiNAnalysis[[#This Row],[ID]],tblSeverityAnalysis[ID], 0))</f>
        <v>3</v>
      </c>
      <c r="BF33" s="61">
        <f>IF(tblPiNAnalysis[[#This Row],[Severity]]&gt;2,tblPiNAnalysis[[#This Row],[Highest PiN]],)</f>
        <v>6808.1234044964567</v>
      </c>
      <c r="BG33" s="191"/>
      <c r="BH33" s="192"/>
      <c r="BI33" s="193">
        <f>COUNTIFS(tblPiNAnalysis[[#This Row],[Number of missing / zero PiNs greater than threshold - Data quality]:[Manual Flag]],"Flagged")</f>
        <v>3</v>
      </c>
      <c r="BJ33" s="96" t="str">
        <f>IF(tblPiNAnalysis[[#This Row],['# Flags]]&gt;0, "Flagged", "")</f>
        <v>Flagged</v>
      </c>
      <c r="BK33" s="326">
        <f>tblPiNAnalysis[[#This Row],[Preliminary PiN]]</f>
        <v>6808.1234044964567</v>
      </c>
      <c r="BL33" s="331"/>
    </row>
    <row r="34" spans="1:64" x14ac:dyDescent="0.55000000000000004">
      <c r="A3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SS0405</v>
      </c>
      <c r="B34" s="316" t="s">
        <v>292</v>
      </c>
      <c r="C34" s="317" t="s">
        <v>293</v>
      </c>
      <c r="D34" s="317" t="s">
        <v>302</v>
      </c>
      <c r="E34" s="105" t="s">
        <v>303</v>
      </c>
      <c r="F34" s="100"/>
      <c r="G34" s="34"/>
      <c r="H34" s="34"/>
      <c r="I34" s="97">
        <v>23157.383024277355</v>
      </c>
      <c r="J34" s="97" t="s">
        <v>412</v>
      </c>
      <c r="K34" s="318">
        <v>0</v>
      </c>
      <c r="L34" s="319">
        <v>6297.210323174766</v>
      </c>
      <c r="M34" s="319">
        <v>7424.7877396599824</v>
      </c>
      <c r="N34" s="319">
        <v>16423.63054500983</v>
      </c>
      <c r="O34" s="319">
        <v>12362.758698726082</v>
      </c>
      <c r="P34" s="319">
        <v>4385</v>
      </c>
      <c r="Q34" s="320">
        <v>16898.630855553747</v>
      </c>
      <c r="R34" s="319">
        <v>4288.4042637550656</v>
      </c>
      <c r="S34" s="319">
        <v>3429</v>
      </c>
      <c r="T34" s="319">
        <v>3200</v>
      </c>
      <c r="U34" s="319">
        <v>1845</v>
      </c>
      <c r="V34" s="319">
        <v>1776</v>
      </c>
      <c r="W34" s="321">
        <f>IFERROR(IF(tblPiNAnalysis[[#This Row],[CCCM]]="", "", MROUND(tblPiNAnalysis[[#This Row],[CCCM]]/tblPiNAnalysis[[#This Row],[Affected population projection 2026]], 0.05)), "")</f>
        <v>0</v>
      </c>
      <c r="X34" s="322">
        <f>IFERROR(IF(tblPiNAnalysis[[#This Row],[Education]]="", "", MROUND(tblPiNAnalysis[[#This Row],[Education]]/tblPiNAnalysis[[#This Row],[Affected population projection 2026]], 0.05)), "")</f>
        <v>0.25</v>
      </c>
      <c r="Y34" s="322">
        <f>IFERROR(IF(tblPiNAnalysis[[#This Row],[Nutrition]]="", "", MROUND(tblPiNAnalysis[[#This Row],[Nutrition]]/tblPiNAnalysis[[#This Row],[Affected population projection 2026]], 0.05)), "")</f>
        <v>0.30000000000000004</v>
      </c>
      <c r="Z34" s="322">
        <f>IFERROR(IF(tblPiNAnalysis[[#This Row],[Food Security]]="", "", MROUND(tblPiNAnalysis[[#This Row],[Food Security]]/tblPiNAnalysis[[#This Row],[Affected population projection 2026]], 0.05)), "")</f>
        <v>0.70000000000000007</v>
      </c>
      <c r="AA34" s="322">
        <f>IFERROR(IF(tblPiNAnalysis[[#This Row],[Health]]="", "", MROUND(tblPiNAnalysis[[#This Row],[Health]]/tblPiNAnalysis[[#This Row],[Affected population projection 2026]], 0.05)), "")</f>
        <v>0.55000000000000004</v>
      </c>
      <c r="AB34" s="323">
        <f>IFERROR(IF(tblPiNAnalysis[[#This Row],[Overarching Protection]]="", "", MROUND(tblPiNAnalysis[[#This Row],[Overarching Protection]]/tblPiNAnalysis[[#This Row],[Affected population projection 2026]], 0.05)), "")</f>
        <v>0.2</v>
      </c>
      <c r="AC34" s="323">
        <f>IFERROR(IF(tblPiNAnalysis[[#This Row],[Shelter]]="", "", MROUND(tblPiNAnalysis[[#This Row],[Shelter]]/tblPiNAnalysis[[#This Row],[Affected population projection 2026]], 0.05)), "")</f>
        <v>0.75</v>
      </c>
      <c r="AD34" s="324">
        <f>IFERROR(IF(tblPiNAnalysis[[#This Row],[WASH]]="", "", MROUND(tblPiNAnalysis[[#This Row],[WASH]]/tblPiNAnalysis[[#This Row],[Affected population projection 2026]], 0.05)), "")</f>
        <v>0.2</v>
      </c>
      <c r="AE34" s="322">
        <f>IFERROR(MROUND(tblPiNAnalysis[[#This Row],[CP]]/tblPiNAnalysis[[#This Row],[Affected population projection 2026]], 0.05), "")</f>
        <v>0.15000000000000002</v>
      </c>
      <c r="AF34" s="322">
        <f>IFERROR(MROUND(tblPiNAnalysis[[#This Row],[GBV]]/tblPiNAnalysis[[#This Row],[Affected population projection 2026]], 0.05), "")</f>
        <v>0.15000000000000002</v>
      </c>
      <c r="AG34" s="322">
        <f>IFERROR(MROUND(tblPiNAnalysis[[#This Row],[Mine Action]]/tblPiNAnalysis[[#This Row],[Affected population projection 2026]], 0.05), "")</f>
        <v>0.1</v>
      </c>
      <c r="AH34" s="322">
        <f>IFERROR(MROUND(tblPiNAnalysis[[#This Row],[HLP]]/tblPiNAnalysis[[#This Row],[Affected population projection 2026]], 0.05), "")</f>
        <v>0.1</v>
      </c>
      <c r="AI34" s="325">
        <f>IFERROR(LARGE(tblPiNAnalysis[[#This Row],[CCCM]:[WASH]], 1), "")</f>
        <v>16898.630855553747</v>
      </c>
      <c r="AJ34" s="326" t="str" cm="1">
        <f t="array" ref="AJ34">IF(tblPiNAnalysis[[#This Row],[Highest PiN]]="", "", _xlfn.TEXTJOIN(CHAR(10), TRUE, IF(tblPiNAnalysis[[#This Row],[Highest PiN]]=tblPiNAnalysis[[#This Row],[CCCM]:[WASH]], tblPiNAnalysis[[#Headers],[CCCM]:[WASH]], "")))</f>
        <v>Shelter</v>
      </c>
      <c r="AK34" s="327">
        <f>IF(tblPiNAnalysis[[#This Row],[Highest PiN]]="", "", tblPiNAnalysis[[#This Row],[Highest PiN]]/tblPiNAnalysis[[#This Row],[Affected population projection 2026]])</f>
        <v>0.72972972972972983</v>
      </c>
      <c r="AL34" s="328" t="str">
        <f>IF(SUM(tblPiNAnalysis[[#This Row],[CCCM]:[WASH]])=0, "",IF(COUNTIF(tblPiNAnalysis[[#This Row],[CCCM]:[WASH]],"=0")+COUNTIF(tblPiNAnalysis[[#This Row],[CCCM]:[WASH]],"")&gt;=zero_pin_thresh, "Flagged", ""))</f>
        <v/>
      </c>
      <c r="AM34" s="329" t="str">
        <f>IFERROR(IF(tblPiNAnalysis[[#This Row],[Highest PiN]]="", "", IF(tblPiNAnalysis[[#This Row],[Highest sector(s'') PiN %]]&gt;=flag_pin_perc, "Flagged", "")), "")</f>
        <v/>
      </c>
      <c r="AN34" s="330" t="str" cm="1">
        <f t="array" ref="AN34">IF(tblPiNAnalysis[[#This Row],[Highest PiN]]=0, "",  IF(OR(COUNTIF(tblPiNAnalysis[[#This Row],[Highest sector(s)]],tblSubSectorPopulation[Sector])), "Flagged", ""))</f>
        <v/>
      </c>
      <c r="AO34" s="46" cm="1">
        <f t="array" ref="AO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16423.63054500983</v>
      </c>
      <c r="AP34" s="331" t="str" cm="1">
        <f t="array" ref="AP34">IF(tblPiNAnalysis[[#This Row],[2nd Highest PiN]]="", "", _xlfn.TEXTJOIN(CHAR(10), TRUE, IF(tblPiNAnalysis[[#This Row],[2nd Highest PiN]]=tblPiNAnalysis[[#This Row],[CCCM]:[WASH]], tblPiNAnalysis[[#Headers],[CCCM]:[WASH]], "")))</f>
        <v>Food Security</v>
      </c>
      <c r="AQ34" s="36">
        <f>IFERROR(tblPiNAnalysis[[#This Row],[2nd Highest PiN]]/tblPiNAnalysis[[#This Row],[Affected population projection 2026]], "")</f>
        <v>0.70921789944018698</v>
      </c>
      <c r="AR34" s="46">
        <f>IFERROR(tblPiNAnalysis[[#This Row],[Highest PiN]]-tblPiNAnalysis[[#This Row],[2nd Highest PiN]], "")</f>
        <v>475.00031054391729</v>
      </c>
      <c r="AS34" s="39">
        <f>IFERROR(((tblPiNAnalysis[[#This Row],[Highest PiN]]-tblPiNAnalysis[[#This Row],[2nd Highest PiN]])/tblPiNAnalysis[[#This Row],[2nd Highest PiN]]),"")</f>
        <v>2.8921760584065367E-2</v>
      </c>
      <c r="AT34" s="39" t="str" cm="1">
        <f t="array" ref="AT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4" s="332" cm="1">
        <f t="array" ref="AU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12362.758698726082</v>
      </c>
      <c r="AV34" s="190" t="str" cm="1">
        <f t="array" ref="AV34">IF(tblPiNAnalysis[[#This Row],[3rd Highest PiN]]="", "", _xlfn.TEXTJOIN(CHAR(10), TRUE, IF(tblPiNAnalysis[[#This Row],[3rd Highest PiN]]=tblPiNAnalysis[[#This Row],[CCCM]:[WASH]], tblPiNAnalysis[[#Headers],[CCCM]:[WASH]], "")))</f>
        <v>Health</v>
      </c>
      <c r="AW34" s="190">
        <f>IFERROR(tblPiNAnalysis[[#This Row],[3rd Highest PiN]]/tblPiNAnalysis[[#This Row],[Affected population projection 2026]], "")</f>
        <v>0.53385819484720776</v>
      </c>
      <c r="AX34" s="45">
        <f>IFERROR(tblPiNAnalysis[[#This Row],[Highest PiN]]-tblPiNAnalysis[[#This Row],[3rd Highest PiN]],"")</f>
        <v>4535.8721568276651</v>
      </c>
      <c r="AY34" s="39">
        <f>IFERROR(tblPiNAnalysis[[#This Row],[Difference of PiN between Highest and 3rd Highest]]/tblPiNAnalysis[[#This Row],[3rd Highest PiN]], "")</f>
        <v>0.36689805789827984</v>
      </c>
      <c r="AZ34" s="330" t="str" cm="1">
        <f t="array" ref="AZ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4" s="300" t="str" cm="1">
        <f t="array" ref="BA34">IFERROR(IF(tblPiNAnalysis[[#This Row],[ID]]="", "", INDEX(tblPiNHistorical[[CCCM]:[WASH]], MATCH(tblPiNAnalysis[[#This Row],[ID]],tblPiNHistorical[ID], 0),MATCH(_xlfn._xlws.FILTER(tblPiNAnalysis[[#Headers],[CCCM]:[WASH]], tblPiNAnalysis[[#This Row],[Highest PiN]]=tblPiNAnalysis[[#This Row],[CCCM]:[WASH]]), tblPiNHistorical[[#Headers],[CCCM]:[WASH]], 0))), "")</f>
        <v/>
      </c>
      <c r="BB34" s="333" t="str" cm="1">
        <f t="array" ref="BB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4" s="276" t="str" cm="1">
        <f t="array" ref="BC34">IFERROR(IF(tblPiNAnalysis[[#This Row],[ID]]="", "", INDEX(tblPiNHistorical[[CCCM]:[WASH]], MATCH(tblPiNAnalysis[[#This Row],[ID]],tblPiNHistorical[ID], 0),MATCH(_xlfn._xlws.FILTER(tblPiNAnalysis[[#Headers],[CCCM]:[WASH]], tblPiNAnalysis[[#This Row],[2nd Highest PiN]]=tblPiNAnalysis[[#This Row],[CCCM]:[WASH]]), tblPiNHistorical[[#Headers],[CCCM]:[WASH]], 0))), "")</f>
        <v/>
      </c>
      <c r="BD34" s="334" t="str" cm="1">
        <f t="array" ref="BD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4" s="276">
        <f>INDEX(tblSeverityAnalysis[Final Severity], MATCH(tblPiNAnalysis[[#This Row],[ID]],tblSeverityAnalysis[ID], 0))</f>
        <v>3</v>
      </c>
      <c r="BF34" s="61">
        <f>IF(tblPiNAnalysis[[#This Row],[Severity]]&gt;2,tblPiNAnalysis[[#This Row],[Highest PiN]],)</f>
        <v>16898.630855553747</v>
      </c>
      <c r="BG34" s="191"/>
      <c r="BH34" s="192"/>
      <c r="BI34" s="193">
        <f>COUNTIFS(tblPiNAnalysis[[#This Row],[Number of missing / zero PiNs greater than threshold - Data quality]:[Manual Flag]],"Flagged")</f>
        <v>0</v>
      </c>
      <c r="BJ34" s="96" t="str">
        <f>IF(tblPiNAnalysis[[#This Row],['# Flags]]&gt;0, "Flagged", "")</f>
        <v/>
      </c>
      <c r="BK34" s="326">
        <f>tblPiNAnalysis[[#This Row],[Preliminary PiN]]</f>
        <v>16898.630855553747</v>
      </c>
      <c r="BL34" s="331"/>
    </row>
    <row r="35" spans="1:64" x14ac:dyDescent="0.55000000000000004">
      <c r="A3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SS0406</v>
      </c>
      <c r="B35" s="316" t="s">
        <v>292</v>
      </c>
      <c r="C35" s="317" t="s">
        <v>293</v>
      </c>
      <c r="D35" s="317" t="s">
        <v>304</v>
      </c>
      <c r="E35" s="105" t="s">
        <v>305</v>
      </c>
      <c r="F35" s="100"/>
      <c r="G35" s="34"/>
      <c r="H35" s="34"/>
      <c r="I35" s="97">
        <v>9602.9953236523688</v>
      </c>
      <c r="J35" s="97" t="s">
        <v>412</v>
      </c>
      <c r="K35" s="318">
        <v>0</v>
      </c>
      <c r="L35" s="319">
        <v>1474.8568307925018</v>
      </c>
      <c r="M35" s="319">
        <v>3392.5638313927398</v>
      </c>
      <c r="N35" s="319">
        <v>2414.8464910307239</v>
      </c>
      <c r="O35" s="319">
        <v>4727.5994284799453</v>
      </c>
      <c r="P35" s="319">
        <v>1921</v>
      </c>
      <c r="Q35" s="320">
        <v>8322.595947165386</v>
      </c>
      <c r="R35" s="319">
        <v>5334.9974020290929</v>
      </c>
      <c r="S35" s="319">
        <v>1606</v>
      </c>
      <c r="T35" s="319">
        <v>1407</v>
      </c>
      <c r="U35" s="319">
        <v>715</v>
      </c>
      <c r="V35" s="319">
        <v>763</v>
      </c>
      <c r="W35" s="321">
        <f>IFERROR(IF(tblPiNAnalysis[[#This Row],[CCCM]]="", "", MROUND(tblPiNAnalysis[[#This Row],[CCCM]]/tblPiNAnalysis[[#This Row],[Affected population projection 2026]], 0.05)), "")</f>
        <v>0</v>
      </c>
      <c r="X35" s="322">
        <f>IFERROR(IF(tblPiNAnalysis[[#This Row],[Education]]="", "", MROUND(tblPiNAnalysis[[#This Row],[Education]]/tblPiNAnalysis[[#This Row],[Affected population projection 2026]], 0.05)), "")</f>
        <v>0.15000000000000002</v>
      </c>
      <c r="Y35" s="322">
        <f>IFERROR(IF(tblPiNAnalysis[[#This Row],[Nutrition]]="", "", MROUND(tblPiNAnalysis[[#This Row],[Nutrition]]/tblPiNAnalysis[[#This Row],[Affected population projection 2026]], 0.05)), "")</f>
        <v>0.35000000000000003</v>
      </c>
      <c r="Z35" s="322">
        <f>IFERROR(IF(tblPiNAnalysis[[#This Row],[Food Security]]="", "", MROUND(tblPiNAnalysis[[#This Row],[Food Security]]/tblPiNAnalysis[[#This Row],[Affected population projection 2026]], 0.05)), "")</f>
        <v>0.25</v>
      </c>
      <c r="AA35" s="322">
        <f>IFERROR(IF(tblPiNAnalysis[[#This Row],[Health]]="", "", MROUND(tblPiNAnalysis[[#This Row],[Health]]/tblPiNAnalysis[[#This Row],[Affected population projection 2026]], 0.05)), "")</f>
        <v>0.5</v>
      </c>
      <c r="AB35" s="323">
        <f>IFERROR(IF(tblPiNAnalysis[[#This Row],[Overarching Protection]]="", "", MROUND(tblPiNAnalysis[[#This Row],[Overarching Protection]]/tblPiNAnalysis[[#This Row],[Affected population projection 2026]], 0.05)), "")</f>
        <v>0.2</v>
      </c>
      <c r="AC35" s="323">
        <f>IFERROR(IF(tblPiNAnalysis[[#This Row],[Shelter]]="", "", MROUND(tblPiNAnalysis[[#This Row],[Shelter]]/tblPiNAnalysis[[#This Row],[Affected population projection 2026]], 0.05)), "")</f>
        <v>0.85000000000000009</v>
      </c>
      <c r="AD35" s="324">
        <f>IFERROR(IF(tblPiNAnalysis[[#This Row],[WASH]]="", "", MROUND(tblPiNAnalysis[[#This Row],[WASH]]/tblPiNAnalysis[[#This Row],[Affected population projection 2026]], 0.05)), "")</f>
        <v>0.55000000000000004</v>
      </c>
      <c r="AE35" s="322">
        <f>IFERROR(MROUND(tblPiNAnalysis[[#This Row],[CP]]/tblPiNAnalysis[[#This Row],[Affected population projection 2026]], 0.05), "")</f>
        <v>0.15000000000000002</v>
      </c>
      <c r="AF35" s="322">
        <f>IFERROR(MROUND(tblPiNAnalysis[[#This Row],[GBV]]/tblPiNAnalysis[[#This Row],[Affected population projection 2026]], 0.05), "")</f>
        <v>0.15000000000000002</v>
      </c>
      <c r="AG35" s="322">
        <f>IFERROR(MROUND(tblPiNAnalysis[[#This Row],[Mine Action]]/tblPiNAnalysis[[#This Row],[Affected population projection 2026]], 0.05), "")</f>
        <v>0.05</v>
      </c>
      <c r="AH35" s="322">
        <f>IFERROR(MROUND(tblPiNAnalysis[[#This Row],[HLP]]/tblPiNAnalysis[[#This Row],[Affected population projection 2026]], 0.05), "")</f>
        <v>0.1</v>
      </c>
      <c r="AI35" s="325">
        <f>IFERROR(LARGE(tblPiNAnalysis[[#This Row],[CCCM]:[WASH]], 1), "")</f>
        <v>8322.595947165386</v>
      </c>
      <c r="AJ35" s="326" t="str" cm="1">
        <f t="array" ref="AJ35">IF(tblPiNAnalysis[[#This Row],[Highest PiN]]="", "", _xlfn.TEXTJOIN(CHAR(10), TRUE, IF(tblPiNAnalysis[[#This Row],[Highest PiN]]=tblPiNAnalysis[[#This Row],[CCCM]:[WASH]], tblPiNAnalysis[[#Headers],[CCCM]:[WASH]], "")))</f>
        <v>Shelter</v>
      </c>
      <c r="AK35" s="327">
        <f>IF(tblPiNAnalysis[[#This Row],[Highest PiN]]="", "", tblPiNAnalysis[[#This Row],[Highest PiN]]/tblPiNAnalysis[[#This Row],[Affected population projection 2026]])</f>
        <v>0.86666666666666659</v>
      </c>
      <c r="AL35" s="328" t="str">
        <f>IF(SUM(tblPiNAnalysis[[#This Row],[CCCM]:[WASH]])=0, "",IF(COUNTIF(tblPiNAnalysis[[#This Row],[CCCM]:[WASH]],"=0")+COUNTIF(tblPiNAnalysis[[#This Row],[CCCM]:[WASH]],"")&gt;=zero_pin_thresh, "Flagged", ""))</f>
        <v/>
      </c>
      <c r="AM35" s="329" t="str">
        <f>IFERROR(IF(tblPiNAnalysis[[#This Row],[Highest PiN]]="", "", IF(tblPiNAnalysis[[#This Row],[Highest sector(s'') PiN %]]&gt;=flag_pin_perc, "Flagged", "")), "")</f>
        <v/>
      </c>
      <c r="AN35" s="330" t="str" cm="1">
        <f t="array" ref="AN35">IF(tblPiNAnalysis[[#This Row],[Highest PiN]]=0, "",  IF(OR(COUNTIF(tblPiNAnalysis[[#This Row],[Highest sector(s)]],tblSubSectorPopulation[Sector])), "Flagged", ""))</f>
        <v/>
      </c>
      <c r="AO35" s="46" cm="1">
        <f t="array" ref="AO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5334.9974020290929</v>
      </c>
      <c r="AP35" s="331" t="str" cm="1">
        <f t="array" ref="AP35">IF(tblPiNAnalysis[[#This Row],[2nd Highest PiN]]="", "", _xlfn.TEXTJOIN(CHAR(10), TRUE, IF(tblPiNAnalysis[[#This Row],[2nd Highest PiN]]=tblPiNAnalysis[[#This Row],[CCCM]:[WASH]], tblPiNAnalysis[[#Headers],[CCCM]:[WASH]], "")))</f>
        <v>WASH</v>
      </c>
      <c r="AQ35" s="36">
        <f>IFERROR(tblPiNAnalysis[[#This Row],[2nd Highest PiN]]/tblPiNAnalysis[[#This Row],[Affected population projection 2026]], "")</f>
        <v>0.55555555555555547</v>
      </c>
      <c r="AR35" s="46">
        <f>IFERROR(tblPiNAnalysis[[#This Row],[Highest PiN]]-tblPiNAnalysis[[#This Row],[2nd Highest PiN]], "")</f>
        <v>2987.5985451362931</v>
      </c>
      <c r="AS35" s="39">
        <f>IFERROR(((tblPiNAnalysis[[#This Row],[Highest PiN]]-tblPiNAnalysis[[#This Row],[2nd Highest PiN]])/tblPiNAnalysis[[#This Row],[2nd Highest PiN]]),"")</f>
        <v>0.56000000000000016</v>
      </c>
      <c r="AT35" s="39" t="str" cm="1">
        <f t="array" ref="AT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5" s="332" cm="1">
        <f t="array" ref="AU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4727.5994284799453</v>
      </c>
      <c r="AV35" s="190" t="str" cm="1">
        <f t="array" ref="AV35">IF(tblPiNAnalysis[[#This Row],[3rd Highest PiN]]="", "", _xlfn.TEXTJOIN(CHAR(10), TRUE, IF(tblPiNAnalysis[[#This Row],[3rd Highest PiN]]=tblPiNAnalysis[[#This Row],[CCCM]:[WASH]], tblPiNAnalysis[[#Headers],[CCCM]:[WASH]], "")))</f>
        <v>Health</v>
      </c>
      <c r="AW35" s="190">
        <f>IFERROR(tblPiNAnalysis[[#This Row],[3rd Highest PiN]]/tblPiNAnalysis[[#This Row],[Affected population projection 2026]], "")</f>
        <v>0.4923046684023446</v>
      </c>
      <c r="AX35" s="45">
        <f>IFERROR(tblPiNAnalysis[[#This Row],[Highest PiN]]-tblPiNAnalysis[[#This Row],[3rd Highest PiN]],"")</f>
        <v>3594.9965186854406</v>
      </c>
      <c r="AY35" s="39">
        <f>IFERROR(tblPiNAnalysis[[#This Row],[Difference of PiN between Highest and 3rd Highest]]/tblPiNAnalysis[[#This Row],[3rd Highest PiN]], "")</f>
        <v>0.76042747975399683</v>
      </c>
      <c r="AZ35" s="330" t="str" cm="1">
        <f t="array" ref="AZ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5" s="300" t="str" cm="1">
        <f t="array" ref="BA35">IFERROR(IF(tblPiNAnalysis[[#This Row],[ID]]="", "", INDEX(tblPiNHistorical[[CCCM]:[WASH]], MATCH(tblPiNAnalysis[[#This Row],[ID]],tblPiNHistorical[ID], 0),MATCH(_xlfn._xlws.FILTER(tblPiNAnalysis[[#Headers],[CCCM]:[WASH]], tblPiNAnalysis[[#This Row],[Highest PiN]]=tblPiNAnalysis[[#This Row],[CCCM]:[WASH]]), tblPiNHistorical[[#Headers],[CCCM]:[WASH]], 0))), "")</f>
        <v/>
      </c>
      <c r="BB35" s="333" t="str" cm="1">
        <f t="array" ref="BB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5" s="276" t="str" cm="1">
        <f t="array" ref="BC35">IFERROR(IF(tblPiNAnalysis[[#This Row],[ID]]="", "", INDEX(tblPiNHistorical[[CCCM]:[WASH]], MATCH(tblPiNAnalysis[[#This Row],[ID]],tblPiNHistorical[ID], 0),MATCH(_xlfn._xlws.FILTER(tblPiNAnalysis[[#Headers],[CCCM]:[WASH]], tblPiNAnalysis[[#This Row],[2nd Highest PiN]]=tblPiNAnalysis[[#This Row],[CCCM]:[WASH]]), tblPiNHistorical[[#Headers],[CCCM]:[WASH]], 0))), "")</f>
        <v/>
      </c>
      <c r="BD35" s="334" t="str" cm="1">
        <f t="array" ref="BD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5" s="276">
        <f>INDEX(tblSeverityAnalysis[Final Severity], MATCH(tblPiNAnalysis[[#This Row],[ID]],tblSeverityAnalysis[ID], 0))</f>
        <v>3</v>
      </c>
      <c r="BF35" s="61">
        <f>IF(tblPiNAnalysis[[#This Row],[Severity]]&gt;2,tblPiNAnalysis[[#This Row],[Highest PiN]],)</f>
        <v>8322.595947165386</v>
      </c>
      <c r="BG35" s="191"/>
      <c r="BH35" s="192"/>
      <c r="BI35" s="193">
        <f>COUNTIFS(tblPiNAnalysis[[#This Row],[Number of missing / zero PiNs greater than threshold - Data quality]:[Manual Flag]],"Flagged")</f>
        <v>2</v>
      </c>
      <c r="BJ35" s="96" t="str">
        <f>IF(tblPiNAnalysis[[#This Row],['# Flags]]&gt;0, "Flagged", "")</f>
        <v>Flagged</v>
      </c>
      <c r="BK35" s="326">
        <f>tblPiNAnalysis[[#This Row],[Preliminary PiN]]</f>
        <v>8322.595947165386</v>
      </c>
      <c r="BL35" s="331"/>
    </row>
    <row r="36" spans="1:64" x14ac:dyDescent="0.55000000000000004">
      <c r="A3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SS0407</v>
      </c>
      <c r="B36" s="316" t="s">
        <v>292</v>
      </c>
      <c r="C36" s="317" t="s">
        <v>293</v>
      </c>
      <c r="D36" s="317" t="s">
        <v>306</v>
      </c>
      <c r="E36" s="105" t="s">
        <v>307</v>
      </c>
      <c r="F36" s="100"/>
      <c r="G36" s="34"/>
      <c r="H36" s="34"/>
      <c r="I36" s="97">
        <v>23378.692739825943</v>
      </c>
      <c r="J36" s="97" t="s">
        <v>412</v>
      </c>
      <c r="K36" s="318">
        <v>0</v>
      </c>
      <c r="L36" s="319">
        <v>3896.0591450919933</v>
      </c>
      <c r="M36" s="319">
        <v>7543.5561506952527</v>
      </c>
      <c r="N36" s="319">
        <v>17522.912022449935</v>
      </c>
      <c r="O36" s="319">
        <v>9003.6718509253769</v>
      </c>
      <c r="P36" s="319">
        <v>15391</v>
      </c>
      <c r="Q36" s="320">
        <v>21917.524443586823</v>
      </c>
      <c r="R36" s="319">
        <v>15585.795159883963</v>
      </c>
      <c r="S36" s="319">
        <v>7660</v>
      </c>
      <c r="T36" s="319">
        <v>3213</v>
      </c>
      <c r="U36" s="319">
        <v>10475</v>
      </c>
      <c r="V36" s="319">
        <v>7860</v>
      </c>
      <c r="W36" s="321">
        <f>IFERROR(IF(tblPiNAnalysis[[#This Row],[CCCM]]="", "", MROUND(tblPiNAnalysis[[#This Row],[CCCM]]/tblPiNAnalysis[[#This Row],[Affected population projection 2026]], 0.05)), "")</f>
        <v>0</v>
      </c>
      <c r="X36" s="322">
        <f>IFERROR(IF(tblPiNAnalysis[[#This Row],[Education]]="", "", MROUND(tblPiNAnalysis[[#This Row],[Education]]/tblPiNAnalysis[[#This Row],[Affected population projection 2026]], 0.05)), "")</f>
        <v>0.15000000000000002</v>
      </c>
      <c r="Y36" s="322">
        <f>IFERROR(IF(tblPiNAnalysis[[#This Row],[Nutrition]]="", "", MROUND(tblPiNAnalysis[[#This Row],[Nutrition]]/tblPiNAnalysis[[#This Row],[Affected population projection 2026]], 0.05)), "")</f>
        <v>0.30000000000000004</v>
      </c>
      <c r="Z36" s="322">
        <f>IFERROR(IF(tblPiNAnalysis[[#This Row],[Food Security]]="", "", MROUND(tblPiNAnalysis[[#This Row],[Food Security]]/tblPiNAnalysis[[#This Row],[Affected population projection 2026]], 0.05)), "")</f>
        <v>0.75</v>
      </c>
      <c r="AA36" s="322">
        <f>IFERROR(IF(tblPiNAnalysis[[#This Row],[Health]]="", "", MROUND(tblPiNAnalysis[[#This Row],[Health]]/tblPiNAnalysis[[#This Row],[Affected population projection 2026]], 0.05)), "")</f>
        <v>0.4</v>
      </c>
      <c r="AB36" s="323">
        <f>IFERROR(IF(tblPiNAnalysis[[#This Row],[Overarching Protection]]="", "", MROUND(tblPiNAnalysis[[#This Row],[Overarching Protection]]/tblPiNAnalysis[[#This Row],[Affected population projection 2026]], 0.05)), "")</f>
        <v>0.65</v>
      </c>
      <c r="AC36" s="323">
        <f>IFERROR(IF(tblPiNAnalysis[[#This Row],[Shelter]]="", "", MROUND(tblPiNAnalysis[[#This Row],[Shelter]]/tblPiNAnalysis[[#This Row],[Affected population projection 2026]], 0.05)), "")</f>
        <v>0.95000000000000007</v>
      </c>
      <c r="AD36" s="324">
        <f>IFERROR(IF(tblPiNAnalysis[[#This Row],[WASH]]="", "", MROUND(tblPiNAnalysis[[#This Row],[WASH]]/tblPiNAnalysis[[#This Row],[Affected population projection 2026]], 0.05)), "")</f>
        <v>0.65</v>
      </c>
      <c r="AE36" s="322">
        <f>IFERROR(MROUND(tblPiNAnalysis[[#This Row],[CP]]/tblPiNAnalysis[[#This Row],[Affected population projection 2026]], 0.05), "")</f>
        <v>0.35000000000000003</v>
      </c>
      <c r="AF36" s="322">
        <f>IFERROR(MROUND(tblPiNAnalysis[[#This Row],[GBV]]/tblPiNAnalysis[[#This Row],[Affected population projection 2026]], 0.05), "")</f>
        <v>0.15000000000000002</v>
      </c>
      <c r="AG36" s="322">
        <f>IFERROR(MROUND(tblPiNAnalysis[[#This Row],[Mine Action]]/tblPiNAnalysis[[#This Row],[Affected population projection 2026]], 0.05), "")</f>
        <v>0.45</v>
      </c>
      <c r="AH36" s="322">
        <f>IFERROR(MROUND(tblPiNAnalysis[[#This Row],[HLP]]/tblPiNAnalysis[[#This Row],[Affected population projection 2026]], 0.05), "")</f>
        <v>0.35000000000000003</v>
      </c>
      <c r="AI36" s="325">
        <f>IFERROR(LARGE(tblPiNAnalysis[[#This Row],[CCCM]:[WASH]], 1), "")</f>
        <v>21917.524443586823</v>
      </c>
      <c r="AJ36" s="326" t="str" cm="1">
        <f t="array" ref="AJ36">IF(tblPiNAnalysis[[#This Row],[Highest PiN]]="", "", _xlfn.TEXTJOIN(CHAR(10), TRUE, IF(tblPiNAnalysis[[#This Row],[Highest PiN]]=tblPiNAnalysis[[#This Row],[CCCM]:[WASH]], tblPiNAnalysis[[#Headers],[CCCM]:[WASH]], "")))</f>
        <v>Shelter</v>
      </c>
      <c r="AK36" s="327">
        <f>IF(tblPiNAnalysis[[#This Row],[Highest PiN]]="", "", tblPiNAnalysis[[#This Row],[Highest PiN]]/tblPiNAnalysis[[#This Row],[Affected population projection 2026]])</f>
        <v>0.9375</v>
      </c>
      <c r="AL36" s="328" t="str">
        <f>IF(SUM(tblPiNAnalysis[[#This Row],[CCCM]:[WASH]])=0, "",IF(COUNTIF(tblPiNAnalysis[[#This Row],[CCCM]:[WASH]],"=0")+COUNTIF(tblPiNAnalysis[[#This Row],[CCCM]:[WASH]],"")&gt;=zero_pin_thresh, "Flagged", ""))</f>
        <v/>
      </c>
      <c r="AM36" s="329" t="str">
        <f>IFERROR(IF(tblPiNAnalysis[[#This Row],[Highest PiN]]="", "", IF(tblPiNAnalysis[[#This Row],[Highest sector(s'') PiN %]]&gt;=flag_pin_perc, "Flagged", "")), "")</f>
        <v>Flagged</v>
      </c>
      <c r="AN36" s="330" t="str" cm="1">
        <f t="array" ref="AN36">IF(tblPiNAnalysis[[#This Row],[Highest PiN]]=0, "",  IF(OR(COUNTIF(tblPiNAnalysis[[#This Row],[Highest sector(s)]],tblSubSectorPopulation[Sector])), "Flagged", ""))</f>
        <v/>
      </c>
      <c r="AO36" s="46" cm="1">
        <f t="array" ref="AO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17522.912022449935</v>
      </c>
      <c r="AP36" s="331" t="str" cm="1">
        <f t="array" ref="AP36">IF(tblPiNAnalysis[[#This Row],[2nd Highest PiN]]="", "", _xlfn.TEXTJOIN(CHAR(10), TRUE, IF(tblPiNAnalysis[[#This Row],[2nd Highest PiN]]=tblPiNAnalysis[[#This Row],[CCCM]:[WASH]], tblPiNAnalysis[[#Headers],[CCCM]:[WASH]], "")))</f>
        <v>Food Security</v>
      </c>
      <c r="AQ36" s="36">
        <f>IFERROR(tblPiNAnalysis[[#This Row],[2nd Highest PiN]]/tblPiNAnalysis[[#This Row],[Affected population projection 2026]], "")</f>
        <v>0.74952488650485571</v>
      </c>
      <c r="AR36" s="46">
        <f>IFERROR(tblPiNAnalysis[[#This Row],[Highest PiN]]-tblPiNAnalysis[[#This Row],[2nd Highest PiN]], "")</f>
        <v>4394.6124211368879</v>
      </c>
      <c r="AS36" s="39">
        <f>IFERROR(((tblPiNAnalysis[[#This Row],[Highest PiN]]-tblPiNAnalysis[[#This Row],[2nd Highest PiN]])/tblPiNAnalysis[[#This Row],[2nd Highest PiN]]),"")</f>
        <v>0.25079235777173425</v>
      </c>
      <c r="AT36" s="39" t="str" cm="1">
        <f t="array" ref="AT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6" s="332" cm="1">
        <f t="array" ref="AU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15585.795159883963</v>
      </c>
      <c r="AV36" s="190" t="str" cm="1">
        <f t="array" ref="AV36">IF(tblPiNAnalysis[[#This Row],[3rd Highest PiN]]="", "", _xlfn.TEXTJOIN(CHAR(10), TRUE, IF(tblPiNAnalysis[[#This Row],[3rd Highest PiN]]=tblPiNAnalysis[[#This Row],[CCCM]:[WASH]], tblPiNAnalysis[[#Headers],[CCCM]:[WASH]], "")))</f>
        <v>WASH</v>
      </c>
      <c r="AW36" s="190">
        <f>IFERROR(tblPiNAnalysis[[#This Row],[3rd Highest PiN]]/tblPiNAnalysis[[#This Row],[Affected population projection 2026]], "")</f>
        <v>0.66666666666666674</v>
      </c>
      <c r="AX36" s="45">
        <f>IFERROR(tblPiNAnalysis[[#This Row],[Highest PiN]]-tblPiNAnalysis[[#This Row],[3rd Highest PiN]],"")</f>
        <v>6331.7292837028599</v>
      </c>
      <c r="AY36" s="39">
        <f>IFERROR(tblPiNAnalysis[[#This Row],[Difference of PiN between Highest and 3rd Highest]]/tblPiNAnalysis[[#This Row],[3rd Highest PiN]], "")</f>
        <v>0.40625</v>
      </c>
      <c r="AZ36" s="330" t="str" cm="1">
        <f t="array" ref="AZ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6" s="300" t="str" cm="1">
        <f t="array" ref="BA36">IFERROR(IF(tblPiNAnalysis[[#This Row],[ID]]="", "", INDEX(tblPiNHistorical[[CCCM]:[WASH]], MATCH(tblPiNAnalysis[[#This Row],[ID]],tblPiNHistorical[ID], 0),MATCH(_xlfn._xlws.FILTER(tblPiNAnalysis[[#Headers],[CCCM]:[WASH]], tblPiNAnalysis[[#This Row],[Highest PiN]]=tblPiNAnalysis[[#This Row],[CCCM]:[WASH]]), tblPiNHistorical[[#Headers],[CCCM]:[WASH]], 0))), "")</f>
        <v/>
      </c>
      <c r="BB36" s="333" t="str" cm="1">
        <f t="array" ref="BB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6" s="276" t="str" cm="1">
        <f t="array" ref="BC36">IFERROR(IF(tblPiNAnalysis[[#This Row],[ID]]="", "", INDEX(tblPiNHistorical[[CCCM]:[WASH]], MATCH(tblPiNAnalysis[[#This Row],[ID]],tblPiNHistorical[ID], 0),MATCH(_xlfn._xlws.FILTER(tblPiNAnalysis[[#Headers],[CCCM]:[WASH]], tblPiNAnalysis[[#This Row],[2nd Highest PiN]]=tblPiNAnalysis[[#This Row],[CCCM]:[WASH]]), tblPiNHistorical[[#Headers],[CCCM]:[WASH]], 0))), "")</f>
        <v/>
      </c>
      <c r="BD36" s="334" t="str" cm="1">
        <f t="array" ref="BD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6" s="276">
        <f>INDEX(tblSeverityAnalysis[Final Severity], MATCH(tblPiNAnalysis[[#This Row],[ID]],tblSeverityAnalysis[ID], 0))</f>
        <v>3</v>
      </c>
      <c r="BF36" s="61">
        <f>IF(tblPiNAnalysis[[#This Row],[Severity]]&gt;2,tblPiNAnalysis[[#This Row],[Highest PiN]],)</f>
        <v>21917.524443586823</v>
      </c>
      <c r="BG36" s="191"/>
      <c r="BH36" s="192"/>
      <c r="BI36" s="193">
        <f>COUNTIFS(tblPiNAnalysis[[#This Row],[Number of missing / zero PiNs greater than threshold - Data quality]:[Manual Flag]],"Flagged")</f>
        <v>1</v>
      </c>
      <c r="BJ36" s="96" t="str">
        <f>IF(tblPiNAnalysis[[#This Row],['# Flags]]&gt;0, "Flagged", "")</f>
        <v>Flagged</v>
      </c>
      <c r="BK36" s="326">
        <f>tblPiNAnalysis[[#This Row],[Preliminary PiN]]</f>
        <v>21917.524443586823</v>
      </c>
      <c r="BL36" s="331"/>
    </row>
    <row r="37" spans="1:64" x14ac:dyDescent="0.55000000000000004">
      <c r="A3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SS0408</v>
      </c>
      <c r="B37" s="316" t="s">
        <v>292</v>
      </c>
      <c r="C37" s="317" t="s">
        <v>293</v>
      </c>
      <c r="D37" s="317" t="s">
        <v>308</v>
      </c>
      <c r="E37" s="105" t="s">
        <v>309</v>
      </c>
      <c r="F37" s="100"/>
      <c r="G37" s="34"/>
      <c r="H37" s="34"/>
      <c r="I37" s="97">
        <v>11657.898587687116</v>
      </c>
      <c r="J37" s="97" t="s">
        <v>412</v>
      </c>
      <c r="K37" s="318">
        <v>0</v>
      </c>
      <c r="L37" s="319">
        <v>2415.563218963121</v>
      </c>
      <c r="M37" s="319">
        <v>3755.1502060352823</v>
      </c>
      <c r="N37" s="319">
        <v>7422.1695295511654</v>
      </c>
      <c r="O37" s="319">
        <v>4653.255551786312</v>
      </c>
      <c r="P37" s="319">
        <v>2079</v>
      </c>
      <c r="Q37" s="320">
        <v>10362.576522388546</v>
      </c>
      <c r="R37" s="319">
        <v>7556.0453809083147</v>
      </c>
      <c r="S37" s="319">
        <v>1610</v>
      </c>
      <c r="T37" s="319">
        <v>1645</v>
      </c>
      <c r="U37" s="319">
        <v>857</v>
      </c>
      <c r="V37" s="319">
        <v>934</v>
      </c>
      <c r="W37" s="321">
        <f>IFERROR(IF(tblPiNAnalysis[[#This Row],[CCCM]]="", "", MROUND(tblPiNAnalysis[[#This Row],[CCCM]]/tblPiNAnalysis[[#This Row],[Affected population projection 2026]], 0.05)), "")</f>
        <v>0</v>
      </c>
      <c r="X37" s="322">
        <f>IFERROR(IF(tblPiNAnalysis[[#This Row],[Education]]="", "", MROUND(tblPiNAnalysis[[#This Row],[Education]]/tblPiNAnalysis[[#This Row],[Affected population projection 2026]], 0.05)), "")</f>
        <v>0.2</v>
      </c>
      <c r="Y37" s="322">
        <f>IFERROR(IF(tblPiNAnalysis[[#This Row],[Nutrition]]="", "", MROUND(tblPiNAnalysis[[#This Row],[Nutrition]]/tblPiNAnalysis[[#This Row],[Affected population projection 2026]], 0.05)), "")</f>
        <v>0.30000000000000004</v>
      </c>
      <c r="Z37" s="322">
        <f>IFERROR(IF(tblPiNAnalysis[[#This Row],[Food Security]]="", "", MROUND(tblPiNAnalysis[[#This Row],[Food Security]]/tblPiNAnalysis[[#This Row],[Affected population projection 2026]], 0.05)), "")</f>
        <v>0.65</v>
      </c>
      <c r="AA37" s="322">
        <f>IFERROR(IF(tblPiNAnalysis[[#This Row],[Health]]="", "", MROUND(tblPiNAnalysis[[#This Row],[Health]]/tblPiNAnalysis[[#This Row],[Affected population projection 2026]], 0.05)), "")</f>
        <v>0.4</v>
      </c>
      <c r="AB37" s="323">
        <f>IFERROR(IF(tblPiNAnalysis[[#This Row],[Overarching Protection]]="", "", MROUND(tblPiNAnalysis[[#This Row],[Overarching Protection]]/tblPiNAnalysis[[#This Row],[Affected population projection 2026]], 0.05)), "")</f>
        <v>0.2</v>
      </c>
      <c r="AC37" s="323">
        <f>IFERROR(IF(tblPiNAnalysis[[#This Row],[Shelter]]="", "", MROUND(tblPiNAnalysis[[#This Row],[Shelter]]/tblPiNAnalysis[[#This Row],[Affected population projection 2026]], 0.05)), "")</f>
        <v>0.9</v>
      </c>
      <c r="AD37" s="324">
        <f>IFERROR(IF(tblPiNAnalysis[[#This Row],[WASH]]="", "", MROUND(tblPiNAnalysis[[#This Row],[WASH]]/tblPiNAnalysis[[#This Row],[Affected population projection 2026]], 0.05)), "")</f>
        <v>0.65</v>
      </c>
      <c r="AE37" s="322">
        <f>IFERROR(MROUND(tblPiNAnalysis[[#This Row],[CP]]/tblPiNAnalysis[[#This Row],[Affected population projection 2026]], 0.05), "")</f>
        <v>0.15000000000000002</v>
      </c>
      <c r="AF37" s="322">
        <f>IFERROR(MROUND(tblPiNAnalysis[[#This Row],[GBV]]/tblPiNAnalysis[[#This Row],[Affected population projection 2026]], 0.05), "")</f>
        <v>0.15000000000000002</v>
      </c>
      <c r="AG37" s="322">
        <f>IFERROR(MROUND(tblPiNAnalysis[[#This Row],[Mine Action]]/tblPiNAnalysis[[#This Row],[Affected population projection 2026]], 0.05), "")</f>
        <v>0.05</v>
      </c>
      <c r="AH37" s="322">
        <f>IFERROR(MROUND(tblPiNAnalysis[[#This Row],[HLP]]/tblPiNAnalysis[[#This Row],[Affected population projection 2026]], 0.05), "")</f>
        <v>0.1</v>
      </c>
      <c r="AI37" s="325">
        <f>IFERROR(LARGE(tblPiNAnalysis[[#This Row],[CCCM]:[WASH]], 1), "")</f>
        <v>10362.576522388546</v>
      </c>
      <c r="AJ37" s="326" t="str" cm="1">
        <f t="array" ref="AJ37">IF(tblPiNAnalysis[[#This Row],[Highest PiN]]="", "", _xlfn.TEXTJOIN(CHAR(10), TRUE, IF(tblPiNAnalysis[[#This Row],[Highest PiN]]=tblPiNAnalysis[[#This Row],[CCCM]:[WASH]], tblPiNAnalysis[[#Headers],[CCCM]:[WASH]], "")))</f>
        <v>Shelter</v>
      </c>
      <c r="AK37" s="327">
        <f>IF(tblPiNAnalysis[[#This Row],[Highest PiN]]="", "", tblPiNAnalysis[[#This Row],[Highest PiN]]/tblPiNAnalysis[[#This Row],[Affected population projection 2026]])</f>
        <v>0.88888888888888884</v>
      </c>
      <c r="AL37" s="328" t="str">
        <f>IF(SUM(tblPiNAnalysis[[#This Row],[CCCM]:[WASH]])=0, "",IF(COUNTIF(tblPiNAnalysis[[#This Row],[CCCM]:[WASH]],"=0")+COUNTIF(tblPiNAnalysis[[#This Row],[CCCM]:[WASH]],"")&gt;=zero_pin_thresh, "Flagged", ""))</f>
        <v/>
      </c>
      <c r="AM37" s="329" t="str">
        <f>IFERROR(IF(tblPiNAnalysis[[#This Row],[Highest PiN]]="", "", IF(tblPiNAnalysis[[#This Row],[Highest sector(s'') PiN %]]&gt;=flag_pin_perc, "Flagged", "")), "")</f>
        <v/>
      </c>
      <c r="AN37" s="330" t="str" cm="1">
        <f t="array" ref="AN37">IF(tblPiNAnalysis[[#This Row],[Highest PiN]]=0, "",  IF(OR(COUNTIF(tblPiNAnalysis[[#This Row],[Highest sector(s)]],tblSubSectorPopulation[Sector])), "Flagged", ""))</f>
        <v/>
      </c>
      <c r="AO37" s="46" cm="1">
        <f t="array" ref="AO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7556.0453809083147</v>
      </c>
      <c r="AP37" s="331" t="str" cm="1">
        <f t="array" ref="AP37">IF(tblPiNAnalysis[[#This Row],[2nd Highest PiN]]="", "", _xlfn.TEXTJOIN(CHAR(10), TRUE, IF(tblPiNAnalysis[[#This Row],[2nd Highest PiN]]=tblPiNAnalysis[[#This Row],[CCCM]:[WASH]], tblPiNAnalysis[[#Headers],[CCCM]:[WASH]], "")))</f>
        <v>WASH</v>
      </c>
      <c r="AQ37" s="36">
        <f>IFERROR(tblPiNAnalysis[[#This Row],[2nd Highest PiN]]/tblPiNAnalysis[[#This Row],[Affected population projection 2026]], "")</f>
        <v>0.64814814814814803</v>
      </c>
      <c r="AR37" s="46">
        <f>IFERROR(tblPiNAnalysis[[#This Row],[Highest PiN]]-tblPiNAnalysis[[#This Row],[2nd Highest PiN]], "")</f>
        <v>2806.5311414802318</v>
      </c>
      <c r="AS37" s="39">
        <f>IFERROR(((tblPiNAnalysis[[#This Row],[Highest PiN]]-tblPiNAnalysis[[#This Row],[2nd Highest PiN]])/tblPiNAnalysis[[#This Row],[2nd Highest PiN]]),"")</f>
        <v>0.3714285714285715</v>
      </c>
      <c r="AT37" s="39" t="str" cm="1">
        <f t="array" ref="AT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7" s="332" cm="1">
        <f t="array" ref="AU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7422.1695295511654</v>
      </c>
      <c r="AV37" s="190" t="str" cm="1">
        <f t="array" ref="AV37">IF(tblPiNAnalysis[[#This Row],[3rd Highest PiN]]="", "", _xlfn.TEXTJOIN(CHAR(10), TRUE, IF(tblPiNAnalysis[[#This Row],[3rd Highest PiN]]=tblPiNAnalysis[[#This Row],[CCCM]:[WASH]], tblPiNAnalysis[[#Headers],[CCCM]:[WASH]], "")))</f>
        <v>Food Security</v>
      </c>
      <c r="AW37" s="190">
        <f>IFERROR(tblPiNAnalysis[[#This Row],[3rd Highest PiN]]/tblPiNAnalysis[[#This Row],[Affected population projection 2026]], "")</f>
        <v>0.63666444460156324</v>
      </c>
      <c r="AX37" s="45">
        <f>IFERROR(tblPiNAnalysis[[#This Row],[Highest PiN]]-tblPiNAnalysis[[#This Row],[3rd Highest PiN]],"")</f>
        <v>2940.406992837381</v>
      </c>
      <c r="AY37" s="39">
        <f>IFERROR(tblPiNAnalysis[[#This Row],[Difference of PiN between Highest and 3rd Highest]]/tblPiNAnalysis[[#This Row],[3rd Highest PiN]], "")</f>
        <v>0.39616543129744353</v>
      </c>
      <c r="AZ37" s="330" t="str" cm="1">
        <f t="array" ref="AZ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7" s="300" t="str" cm="1">
        <f t="array" ref="BA37">IFERROR(IF(tblPiNAnalysis[[#This Row],[ID]]="", "", INDEX(tblPiNHistorical[[CCCM]:[WASH]], MATCH(tblPiNAnalysis[[#This Row],[ID]],tblPiNHistorical[ID], 0),MATCH(_xlfn._xlws.FILTER(tblPiNAnalysis[[#Headers],[CCCM]:[WASH]], tblPiNAnalysis[[#This Row],[Highest PiN]]=tblPiNAnalysis[[#This Row],[CCCM]:[WASH]]), tblPiNHistorical[[#Headers],[CCCM]:[WASH]], 0))), "")</f>
        <v/>
      </c>
      <c r="BB37" s="333" t="str" cm="1">
        <f t="array" ref="BB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7" s="276" t="str" cm="1">
        <f t="array" ref="BC37">IFERROR(IF(tblPiNAnalysis[[#This Row],[ID]]="", "", INDEX(tblPiNHistorical[[CCCM]:[WASH]], MATCH(tblPiNAnalysis[[#This Row],[ID]],tblPiNHistorical[ID], 0),MATCH(_xlfn._xlws.FILTER(tblPiNAnalysis[[#Headers],[CCCM]:[WASH]], tblPiNAnalysis[[#This Row],[2nd Highest PiN]]=tblPiNAnalysis[[#This Row],[CCCM]:[WASH]]), tblPiNHistorical[[#Headers],[CCCM]:[WASH]], 0))), "")</f>
        <v/>
      </c>
      <c r="BD37" s="334" t="str" cm="1">
        <f t="array" ref="BD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7" s="276">
        <f>INDEX(tblSeverityAnalysis[Final Severity], MATCH(tblPiNAnalysis[[#This Row],[ID]],tblSeverityAnalysis[ID], 0))</f>
        <v>3</v>
      </c>
      <c r="BF37" s="61">
        <f>IF(tblPiNAnalysis[[#This Row],[Severity]]&gt;2,tblPiNAnalysis[[#This Row],[Highest PiN]],)</f>
        <v>10362.576522388546</v>
      </c>
      <c r="BG37" s="191"/>
      <c r="BH37" s="192"/>
      <c r="BI37" s="193">
        <f>COUNTIFS(tblPiNAnalysis[[#This Row],[Number of missing / zero PiNs greater than threshold - Data quality]:[Manual Flag]],"Flagged")</f>
        <v>1</v>
      </c>
      <c r="BJ37" s="96" t="str">
        <f>IF(tblPiNAnalysis[[#This Row],['# Flags]]&gt;0, "Flagged", "")</f>
        <v>Flagged</v>
      </c>
      <c r="BK37" s="326">
        <f>tblPiNAnalysis[[#This Row],[Preliminary PiN]]</f>
        <v>10362.576522388546</v>
      </c>
      <c r="BL37" s="331"/>
    </row>
    <row r="38" spans="1:64" ht="24.6" x14ac:dyDescent="0.55000000000000004">
      <c r="A3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SS0501</v>
      </c>
      <c r="B38" s="316" t="s">
        <v>310</v>
      </c>
      <c r="C38" s="317" t="s">
        <v>311</v>
      </c>
      <c r="D38" s="317" t="s">
        <v>312</v>
      </c>
      <c r="E38" s="105" t="s">
        <v>313</v>
      </c>
      <c r="F38" s="100"/>
      <c r="G38" s="34"/>
      <c r="H38" s="34"/>
      <c r="I38" s="97">
        <v>8794.7895188948787</v>
      </c>
      <c r="J38" s="97" t="s">
        <v>412</v>
      </c>
      <c r="K38" s="318">
        <v>0</v>
      </c>
      <c r="L38" s="319">
        <v>1526.1228870978489</v>
      </c>
      <c r="M38" s="319">
        <v>6096.439632573115</v>
      </c>
      <c r="N38" s="319">
        <v>5317.2943643502422</v>
      </c>
      <c r="O38" s="319">
        <v>7245.0982575978587</v>
      </c>
      <c r="P38" s="319">
        <v>6157</v>
      </c>
      <c r="Q38" s="320">
        <v>6156.3526632264156</v>
      </c>
      <c r="R38" s="319">
        <v>5753.6006198377709</v>
      </c>
      <c r="S38" s="319">
        <v>3671</v>
      </c>
      <c r="T38" s="319">
        <v>3469</v>
      </c>
      <c r="U38" s="319">
        <v>702</v>
      </c>
      <c r="V38" s="319">
        <v>2387</v>
      </c>
      <c r="W38" s="321">
        <f>IFERROR(IF(tblPiNAnalysis[[#This Row],[CCCM]]="", "", MROUND(tblPiNAnalysis[[#This Row],[CCCM]]/tblPiNAnalysis[[#This Row],[Affected population projection 2026]], 0.05)), "")</f>
        <v>0</v>
      </c>
      <c r="X38" s="322">
        <f>IFERROR(IF(tblPiNAnalysis[[#This Row],[Education]]="", "", MROUND(tblPiNAnalysis[[#This Row],[Education]]/tblPiNAnalysis[[#This Row],[Affected population projection 2026]], 0.05)), "")</f>
        <v>0.15000000000000002</v>
      </c>
      <c r="Y38" s="322">
        <f>IFERROR(IF(tblPiNAnalysis[[#This Row],[Nutrition]]="", "", MROUND(tblPiNAnalysis[[#This Row],[Nutrition]]/tblPiNAnalysis[[#This Row],[Affected population projection 2026]], 0.05)), "")</f>
        <v>0.70000000000000007</v>
      </c>
      <c r="Z38" s="322">
        <f>IFERROR(IF(tblPiNAnalysis[[#This Row],[Food Security]]="", "", MROUND(tblPiNAnalysis[[#This Row],[Food Security]]/tblPiNAnalysis[[#This Row],[Affected population projection 2026]], 0.05)), "")</f>
        <v>0.60000000000000009</v>
      </c>
      <c r="AA38" s="322">
        <f>IFERROR(IF(tblPiNAnalysis[[#This Row],[Health]]="", "", MROUND(tblPiNAnalysis[[#This Row],[Health]]/tblPiNAnalysis[[#This Row],[Affected population projection 2026]], 0.05)), "")</f>
        <v>0.8</v>
      </c>
      <c r="AB38" s="323">
        <f>IFERROR(IF(tblPiNAnalysis[[#This Row],[Overarching Protection]]="", "", MROUND(tblPiNAnalysis[[#This Row],[Overarching Protection]]/tblPiNAnalysis[[#This Row],[Affected population projection 2026]], 0.05)), "")</f>
        <v>0.70000000000000007</v>
      </c>
      <c r="AC38" s="323">
        <f>IFERROR(IF(tblPiNAnalysis[[#This Row],[Shelter]]="", "", MROUND(tblPiNAnalysis[[#This Row],[Shelter]]/tblPiNAnalysis[[#This Row],[Affected population projection 2026]], 0.05)), "")</f>
        <v>0.70000000000000007</v>
      </c>
      <c r="AD38" s="324">
        <f>IFERROR(IF(tblPiNAnalysis[[#This Row],[WASH]]="", "", MROUND(tblPiNAnalysis[[#This Row],[WASH]]/tblPiNAnalysis[[#This Row],[Affected population projection 2026]], 0.05)), "")</f>
        <v>0.65</v>
      </c>
      <c r="AE38" s="322">
        <f>IFERROR(MROUND(tblPiNAnalysis[[#This Row],[CP]]/tblPiNAnalysis[[#This Row],[Affected population projection 2026]], 0.05), "")</f>
        <v>0.4</v>
      </c>
      <c r="AF38" s="322">
        <f>IFERROR(MROUND(tblPiNAnalysis[[#This Row],[GBV]]/tblPiNAnalysis[[#This Row],[Affected population projection 2026]], 0.05), "")</f>
        <v>0.4</v>
      </c>
      <c r="AG38" s="322">
        <f>IFERROR(MROUND(tblPiNAnalysis[[#This Row],[Mine Action]]/tblPiNAnalysis[[#This Row],[Affected population projection 2026]], 0.05), "")</f>
        <v>0.1</v>
      </c>
      <c r="AH38" s="322">
        <f>IFERROR(MROUND(tblPiNAnalysis[[#This Row],[HLP]]/tblPiNAnalysis[[#This Row],[Affected population projection 2026]], 0.05), "")</f>
        <v>0.25</v>
      </c>
      <c r="AI38" s="325">
        <f>IFERROR(LARGE(tblPiNAnalysis[[#This Row],[CCCM]:[WASH]], 1), "")</f>
        <v>7245.0982575978587</v>
      </c>
      <c r="AJ38" s="326" t="str" cm="1">
        <f t="array" ref="AJ38">IF(tblPiNAnalysis[[#This Row],[Highest PiN]]="", "", _xlfn.TEXTJOIN(CHAR(10), TRUE, IF(tblPiNAnalysis[[#This Row],[Highest PiN]]=tblPiNAnalysis[[#This Row],[CCCM]:[WASH]], tblPiNAnalysis[[#Headers],[CCCM]:[WASH]], "")))</f>
        <v>Health</v>
      </c>
      <c r="AK38" s="327">
        <f>IF(tblPiNAnalysis[[#This Row],[Highest PiN]]="", "", tblPiNAnalysis[[#This Row],[Highest PiN]]/tblPiNAnalysis[[#This Row],[Affected population projection 2026]])</f>
        <v>0.82379438894272161</v>
      </c>
      <c r="AL38" s="328" t="str">
        <f>IF(SUM(tblPiNAnalysis[[#This Row],[CCCM]:[WASH]])=0, "",IF(COUNTIF(tblPiNAnalysis[[#This Row],[CCCM]:[WASH]],"=0")+COUNTIF(tblPiNAnalysis[[#This Row],[CCCM]:[WASH]],"")&gt;=zero_pin_thresh, "Flagged", ""))</f>
        <v/>
      </c>
      <c r="AM38" s="329" t="str">
        <f>IFERROR(IF(tblPiNAnalysis[[#This Row],[Highest PiN]]="", "", IF(tblPiNAnalysis[[#This Row],[Highest sector(s'') PiN %]]&gt;=flag_pin_perc, "Flagged", "")), "")</f>
        <v/>
      </c>
      <c r="AN38" s="330" t="str" cm="1">
        <f t="array" ref="AN38">IF(tblPiNAnalysis[[#This Row],[Highest PiN]]=0, "",  IF(OR(COUNTIF(tblPiNAnalysis[[#This Row],[Highest sector(s)]],tblSubSectorPopulation[Sector])), "Flagged", ""))</f>
        <v/>
      </c>
      <c r="AO38" s="46" cm="1">
        <f t="array" ref="AO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6157</v>
      </c>
      <c r="AP38" s="331" t="str" cm="1">
        <f t="array" ref="AP38">IF(tblPiNAnalysis[[#This Row],[2nd Highest PiN]]="", "", _xlfn.TEXTJOIN(CHAR(10), TRUE, IF(tblPiNAnalysis[[#This Row],[2nd Highest PiN]]=tblPiNAnalysis[[#This Row],[CCCM]:[WASH]], tblPiNAnalysis[[#Headers],[CCCM]:[WASH]], "")))</f>
        <v>Overarching Protection</v>
      </c>
      <c r="AQ38" s="36">
        <f>IFERROR(tblPiNAnalysis[[#This Row],[2nd Highest PiN]]/tblPiNAnalysis[[#This Row],[Affected population projection 2026]], "")</f>
        <v>0.70007360457827827</v>
      </c>
      <c r="AR38" s="46">
        <f>IFERROR(tblPiNAnalysis[[#This Row],[Highest PiN]]-tblPiNAnalysis[[#This Row],[2nd Highest PiN]], "")</f>
        <v>1088.0982575978587</v>
      </c>
      <c r="AS38" s="39">
        <f>IFERROR(((tblPiNAnalysis[[#This Row],[Highest PiN]]-tblPiNAnalysis[[#This Row],[2nd Highest PiN]])/tblPiNAnalysis[[#This Row],[2nd Highest PiN]]),"")</f>
        <v>0.17672539509466603</v>
      </c>
      <c r="AT38" s="39" t="str" cm="1">
        <f t="array" ref="AT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8" s="332" cm="1">
        <f t="array" ref="AU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6156.3526632264156</v>
      </c>
      <c r="AV38" s="190" t="str" cm="1">
        <f t="array" ref="AV38">IF(tblPiNAnalysis[[#This Row],[3rd Highest PiN]]="", "", _xlfn.TEXTJOIN(CHAR(10), TRUE, IF(tblPiNAnalysis[[#This Row],[3rd Highest PiN]]=tblPiNAnalysis[[#This Row],[CCCM]:[WASH]], tblPiNAnalysis[[#Headers],[CCCM]:[WASH]], "")))</f>
        <v>Shelter</v>
      </c>
      <c r="AW38" s="190">
        <f>IFERROR(tblPiNAnalysis[[#This Row],[3rd Highest PiN]]/tblPiNAnalysis[[#This Row],[Affected population projection 2026]], "")</f>
        <v>0.70000000000000007</v>
      </c>
      <c r="AX38" s="45">
        <f>IFERROR(tblPiNAnalysis[[#This Row],[Highest PiN]]-tblPiNAnalysis[[#This Row],[3rd Highest PiN]],"")</f>
        <v>1088.7455943714431</v>
      </c>
      <c r="AY38" s="39">
        <f>IFERROR(tblPiNAnalysis[[#This Row],[Difference of PiN between Highest and 3rd Highest]]/tblPiNAnalysis[[#This Row],[3rd Highest PiN]], "")</f>
        <v>0.1768491270610307</v>
      </c>
      <c r="AZ38" s="330" t="str" cm="1">
        <f t="array" ref="AZ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8" s="300" t="str" cm="1">
        <f t="array" ref="BA38">IFERROR(IF(tblPiNAnalysis[[#This Row],[ID]]="", "", INDEX(tblPiNHistorical[[CCCM]:[WASH]], MATCH(tblPiNAnalysis[[#This Row],[ID]],tblPiNHistorical[ID], 0),MATCH(_xlfn._xlws.FILTER(tblPiNAnalysis[[#Headers],[CCCM]:[WASH]], tblPiNAnalysis[[#This Row],[Highest PiN]]=tblPiNAnalysis[[#This Row],[CCCM]:[WASH]]), tblPiNHistorical[[#Headers],[CCCM]:[WASH]], 0))), "")</f>
        <v/>
      </c>
      <c r="BB38" s="333" t="str" cm="1">
        <f t="array" ref="BB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8" s="276" t="str" cm="1">
        <f t="array" ref="BC38">IFERROR(IF(tblPiNAnalysis[[#This Row],[ID]]="", "", INDEX(tblPiNHistorical[[CCCM]:[WASH]], MATCH(tblPiNAnalysis[[#This Row],[ID]],tblPiNHistorical[ID], 0),MATCH(_xlfn._xlws.FILTER(tblPiNAnalysis[[#Headers],[CCCM]:[WASH]], tblPiNAnalysis[[#This Row],[2nd Highest PiN]]=tblPiNAnalysis[[#This Row],[CCCM]:[WASH]]), tblPiNHistorical[[#Headers],[CCCM]:[WASH]], 0))), "")</f>
        <v/>
      </c>
      <c r="BD38" s="334" t="str" cm="1">
        <f t="array" ref="BD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8" s="276">
        <f>INDEX(tblSeverityAnalysis[Final Severity], MATCH(tblPiNAnalysis[[#This Row],[ID]],tblSeverityAnalysis[ID], 0))</f>
        <v>3</v>
      </c>
      <c r="BF38" s="61">
        <f>IF(tblPiNAnalysis[[#This Row],[Severity]]&gt;2,tblPiNAnalysis[[#This Row],[Highest PiN]],)</f>
        <v>7245.0982575978587</v>
      </c>
      <c r="BG38" s="191"/>
      <c r="BH38" s="192"/>
      <c r="BI38" s="193">
        <f>COUNTIFS(tblPiNAnalysis[[#This Row],[Number of missing / zero PiNs greater than threshold - Data quality]:[Manual Flag]],"Flagged")</f>
        <v>0</v>
      </c>
      <c r="BJ38" s="96" t="str">
        <f>IF(tblPiNAnalysis[[#This Row],['# Flags]]&gt;0, "Flagged", "")</f>
        <v/>
      </c>
      <c r="BK38" s="326">
        <f>tblPiNAnalysis[[#This Row],[Preliminary PiN]]</f>
        <v>7245.0982575978587</v>
      </c>
      <c r="BL38" s="331"/>
    </row>
    <row r="39" spans="1:64" ht="24.6" x14ac:dyDescent="0.55000000000000004">
      <c r="A3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SS0502</v>
      </c>
      <c r="B39" s="316" t="s">
        <v>310</v>
      </c>
      <c r="C39" s="317" t="s">
        <v>311</v>
      </c>
      <c r="D39" s="317" t="s">
        <v>314</v>
      </c>
      <c r="E39" s="105" t="s">
        <v>315</v>
      </c>
      <c r="F39" s="100"/>
      <c r="G39" s="34"/>
      <c r="H39" s="34"/>
      <c r="I39" s="97">
        <v>56514.282244133567</v>
      </c>
      <c r="J39" s="97" t="s">
        <v>412</v>
      </c>
      <c r="K39" s="318">
        <v>31645</v>
      </c>
      <c r="L39" s="319">
        <v>20725.79920737167</v>
      </c>
      <c r="M39" s="319">
        <v>21802.567492248902</v>
      </c>
      <c r="N39" s="319">
        <v>43545.091047850299</v>
      </c>
      <c r="O39" s="319">
        <v>23873.32943540845</v>
      </c>
      <c r="P39" s="319">
        <v>39123</v>
      </c>
      <c r="Q39" s="320">
        <v>47590.974521375632</v>
      </c>
      <c r="R39" s="319">
        <v>23024.33721057294</v>
      </c>
      <c r="S39" s="319">
        <v>24108</v>
      </c>
      <c r="T39" s="319">
        <v>21216</v>
      </c>
      <c r="U39" s="319">
        <v>10745</v>
      </c>
      <c r="V39" s="319">
        <v>14032</v>
      </c>
      <c r="W39" s="321">
        <f>IFERROR(IF(tblPiNAnalysis[[#This Row],[CCCM]]="", "", MROUND(tblPiNAnalysis[[#This Row],[CCCM]]/tblPiNAnalysis[[#This Row],[Affected population projection 2026]], 0.05)), "")</f>
        <v>0.55000000000000004</v>
      </c>
      <c r="X39" s="322">
        <f>IFERROR(IF(tblPiNAnalysis[[#This Row],[Education]]="", "", MROUND(tblPiNAnalysis[[#This Row],[Education]]/tblPiNAnalysis[[#This Row],[Affected population projection 2026]], 0.05)), "")</f>
        <v>0.35000000000000003</v>
      </c>
      <c r="Y39" s="322">
        <f>IFERROR(IF(tblPiNAnalysis[[#This Row],[Nutrition]]="", "", MROUND(tblPiNAnalysis[[#This Row],[Nutrition]]/tblPiNAnalysis[[#This Row],[Affected population projection 2026]], 0.05)), "")</f>
        <v>0.4</v>
      </c>
      <c r="Z39" s="322">
        <f>IFERROR(IF(tblPiNAnalysis[[#This Row],[Food Security]]="", "", MROUND(tblPiNAnalysis[[#This Row],[Food Security]]/tblPiNAnalysis[[#This Row],[Affected population projection 2026]], 0.05)), "")</f>
        <v>0.75</v>
      </c>
      <c r="AA39" s="322">
        <f>IFERROR(IF(tblPiNAnalysis[[#This Row],[Health]]="", "", MROUND(tblPiNAnalysis[[#This Row],[Health]]/tblPiNAnalysis[[#This Row],[Affected population projection 2026]], 0.05)), "")</f>
        <v>0.4</v>
      </c>
      <c r="AB39" s="323">
        <f>IFERROR(IF(tblPiNAnalysis[[#This Row],[Overarching Protection]]="", "", MROUND(tblPiNAnalysis[[#This Row],[Overarching Protection]]/tblPiNAnalysis[[#This Row],[Affected population projection 2026]], 0.05)), "")</f>
        <v>0.70000000000000007</v>
      </c>
      <c r="AC39" s="323">
        <f>IFERROR(IF(tblPiNAnalysis[[#This Row],[Shelter]]="", "", MROUND(tblPiNAnalysis[[#This Row],[Shelter]]/tblPiNAnalysis[[#This Row],[Affected population projection 2026]], 0.05)), "")</f>
        <v>0.85000000000000009</v>
      </c>
      <c r="AD39" s="324">
        <f>IFERROR(IF(tblPiNAnalysis[[#This Row],[WASH]]="", "", MROUND(tblPiNAnalysis[[#This Row],[WASH]]/tblPiNAnalysis[[#This Row],[Affected population projection 2026]], 0.05)), "")</f>
        <v>0.4</v>
      </c>
      <c r="AE39" s="322">
        <f>IFERROR(MROUND(tblPiNAnalysis[[#This Row],[CP]]/tblPiNAnalysis[[#This Row],[Affected population projection 2026]], 0.05), "")</f>
        <v>0.45</v>
      </c>
      <c r="AF39" s="322">
        <f>IFERROR(MROUND(tblPiNAnalysis[[#This Row],[GBV]]/tblPiNAnalysis[[#This Row],[Affected population projection 2026]], 0.05), "")</f>
        <v>0.4</v>
      </c>
      <c r="AG39" s="322">
        <f>IFERROR(MROUND(tblPiNAnalysis[[#This Row],[Mine Action]]/tblPiNAnalysis[[#This Row],[Affected population projection 2026]], 0.05), "")</f>
        <v>0.2</v>
      </c>
      <c r="AH39" s="322">
        <f>IFERROR(MROUND(tblPiNAnalysis[[#This Row],[HLP]]/tblPiNAnalysis[[#This Row],[Affected population projection 2026]], 0.05), "")</f>
        <v>0.25</v>
      </c>
      <c r="AI39" s="325">
        <f>IFERROR(LARGE(tblPiNAnalysis[[#This Row],[CCCM]:[WASH]], 1), "")</f>
        <v>47590.974521375632</v>
      </c>
      <c r="AJ39" s="326" t="str" cm="1">
        <f t="array" ref="AJ39">IF(tblPiNAnalysis[[#This Row],[Highest PiN]]="", "", _xlfn.TEXTJOIN(CHAR(10), TRUE, IF(tblPiNAnalysis[[#This Row],[Highest PiN]]=tblPiNAnalysis[[#This Row],[CCCM]:[WASH]], tblPiNAnalysis[[#Headers],[CCCM]:[WASH]], "")))</f>
        <v>Shelter</v>
      </c>
      <c r="AK39" s="327">
        <f>IF(tblPiNAnalysis[[#This Row],[Highest PiN]]="", "", tblPiNAnalysis[[#This Row],[Highest PiN]]/tblPiNAnalysis[[#This Row],[Affected population projection 2026]])</f>
        <v>0.84210526315789469</v>
      </c>
      <c r="AL39" s="328" t="str">
        <f>IF(SUM(tblPiNAnalysis[[#This Row],[CCCM]:[WASH]])=0, "",IF(COUNTIF(tblPiNAnalysis[[#This Row],[CCCM]:[WASH]],"=0")+COUNTIF(tblPiNAnalysis[[#This Row],[CCCM]:[WASH]],"")&gt;=zero_pin_thresh, "Flagged", ""))</f>
        <v/>
      </c>
      <c r="AM39" s="329" t="str">
        <f>IFERROR(IF(tblPiNAnalysis[[#This Row],[Highest PiN]]="", "", IF(tblPiNAnalysis[[#This Row],[Highest sector(s'') PiN %]]&gt;=flag_pin_perc, "Flagged", "")), "")</f>
        <v/>
      </c>
      <c r="AN39" s="330" t="str" cm="1">
        <f t="array" ref="AN39">IF(tblPiNAnalysis[[#This Row],[Highest PiN]]=0, "",  IF(OR(COUNTIF(tblPiNAnalysis[[#This Row],[Highest sector(s)]],tblSubSectorPopulation[Sector])), "Flagged", ""))</f>
        <v/>
      </c>
      <c r="AO39" s="46" cm="1">
        <f t="array" ref="AO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43545.091047850299</v>
      </c>
      <c r="AP39" s="331" t="str" cm="1">
        <f t="array" ref="AP39">IF(tblPiNAnalysis[[#This Row],[2nd Highest PiN]]="", "", _xlfn.TEXTJOIN(CHAR(10), TRUE, IF(tblPiNAnalysis[[#This Row],[2nd Highest PiN]]=tblPiNAnalysis[[#This Row],[CCCM]:[WASH]], tblPiNAnalysis[[#Headers],[CCCM]:[WASH]], "")))</f>
        <v>Food Security</v>
      </c>
      <c r="AQ39" s="36">
        <f>IFERROR(tblPiNAnalysis[[#This Row],[2nd Highest PiN]]/tblPiNAnalysis[[#This Row],[Affected population projection 2026]], "")</f>
        <v>0.77051480296151997</v>
      </c>
      <c r="AR39" s="46">
        <f>IFERROR(tblPiNAnalysis[[#This Row],[Highest PiN]]-tblPiNAnalysis[[#This Row],[2nd Highest PiN]], "")</f>
        <v>4045.8834735253331</v>
      </c>
      <c r="AS39" s="39">
        <f>IFERROR(((tblPiNAnalysis[[#This Row],[Highest PiN]]-tblPiNAnalysis[[#This Row],[2nd Highest PiN]])/tblPiNAnalysis[[#This Row],[2nd Highest PiN]]),"")</f>
        <v>9.2912504628350462E-2</v>
      </c>
      <c r="AT39" s="39" t="str" cm="1">
        <f t="array" ref="AT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9" s="332" cm="1">
        <f t="array" ref="AU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39123</v>
      </c>
      <c r="AV39" s="190" t="str" cm="1">
        <f t="array" ref="AV39">IF(tblPiNAnalysis[[#This Row],[3rd Highest PiN]]="", "", _xlfn.TEXTJOIN(CHAR(10), TRUE, IF(tblPiNAnalysis[[#This Row],[3rd Highest PiN]]=tblPiNAnalysis[[#This Row],[CCCM]:[WASH]], tblPiNAnalysis[[#Headers],[CCCM]:[WASH]], "")))</f>
        <v>Overarching Protection</v>
      </c>
      <c r="AW39" s="190">
        <f>IFERROR(tblPiNAnalysis[[#This Row],[3rd Highest PiN]]/tblPiNAnalysis[[#This Row],[Affected population projection 2026]], "")</f>
        <v>0.69226748436783236</v>
      </c>
      <c r="AX39" s="45">
        <f>IFERROR(tblPiNAnalysis[[#This Row],[Highest PiN]]-tblPiNAnalysis[[#This Row],[3rd Highest PiN]],"")</f>
        <v>8467.9745213756323</v>
      </c>
      <c r="AY39" s="39">
        <f>IFERROR(tblPiNAnalysis[[#This Row],[Difference of PiN between Highest and 3rd Highest]]/tblPiNAnalysis[[#This Row],[3rd Highest PiN]], "")</f>
        <v>0.21644491785843703</v>
      </c>
      <c r="AZ39" s="330" t="str" cm="1">
        <f t="array" ref="AZ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9" s="300" t="str" cm="1">
        <f t="array" ref="BA39">IFERROR(IF(tblPiNAnalysis[[#This Row],[ID]]="", "", INDEX(tblPiNHistorical[[CCCM]:[WASH]], MATCH(tblPiNAnalysis[[#This Row],[ID]],tblPiNHistorical[ID], 0),MATCH(_xlfn._xlws.FILTER(tblPiNAnalysis[[#Headers],[CCCM]:[WASH]], tblPiNAnalysis[[#This Row],[Highest PiN]]=tblPiNAnalysis[[#This Row],[CCCM]:[WASH]]), tblPiNHistorical[[#Headers],[CCCM]:[WASH]], 0))), "")</f>
        <v/>
      </c>
      <c r="BB39" s="333" t="str" cm="1">
        <f t="array" ref="BB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9" s="276" t="str" cm="1">
        <f t="array" ref="BC39">IFERROR(IF(tblPiNAnalysis[[#This Row],[ID]]="", "", INDEX(tblPiNHistorical[[CCCM]:[WASH]], MATCH(tblPiNAnalysis[[#This Row],[ID]],tblPiNHistorical[ID], 0),MATCH(_xlfn._xlws.FILTER(tblPiNAnalysis[[#Headers],[CCCM]:[WASH]], tblPiNAnalysis[[#This Row],[2nd Highest PiN]]=tblPiNAnalysis[[#This Row],[CCCM]:[WASH]]), tblPiNHistorical[[#Headers],[CCCM]:[WASH]], 0))), "")</f>
        <v/>
      </c>
      <c r="BD39" s="334" t="str" cm="1">
        <f t="array" ref="BD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9" s="276">
        <f>INDEX(tblSeverityAnalysis[Final Severity], MATCH(tblPiNAnalysis[[#This Row],[ID]],tblSeverityAnalysis[ID], 0))</f>
        <v>4</v>
      </c>
      <c r="BF39" s="61">
        <f>IF(tblPiNAnalysis[[#This Row],[Severity]]&gt;2,tblPiNAnalysis[[#This Row],[Highest PiN]],)</f>
        <v>47590.974521375632</v>
      </c>
      <c r="BG39" s="191"/>
      <c r="BH39" s="192"/>
      <c r="BI39" s="193">
        <f>COUNTIFS(tblPiNAnalysis[[#This Row],[Number of missing / zero PiNs greater than threshold - Data quality]:[Manual Flag]],"Flagged")</f>
        <v>0</v>
      </c>
      <c r="BJ39" s="96" t="str">
        <f>IF(tblPiNAnalysis[[#This Row],['# Flags]]&gt;0, "Flagged", "")</f>
        <v/>
      </c>
      <c r="BK39" s="326">
        <f>tblPiNAnalysis[[#This Row],[Preliminary PiN]]</f>
        <v>47590.974521375632</v>
      </c>
      <c r="BL39" s="331"/>
    </row>
    <row r="40" spans="1:64" ht="98.4" x14ac:dyDescent="0.55000000000000004">
      <c r="A4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SS0503</v>
      </c>
      <c r="B40" s="316" t="s">
        <v>310</v>
      </c>
      <c r="C40" s="317" t="s">
        <v>311</v>
      </c>
      <c r="D40" s="317" t="s">
        <v>316</v>
      </c>
      <c r="E40" s="105" t="s">
        <v>317</v>
      </c>
      <c r="F40" s="100"/>
      <c r="G40" s="34"/>
      <c r="H40" s="34"/>
      <c r="I40" s="97">
        <v>0</v>
      </c>
      <c r="J40" s="97" t="s">
        <v>412</v>
      </c>
      <c r="K40" s="318">
        <v>0</v>
      </c>
      <c r="L40" s="319">
        <v>0</v>
      </c>
      <c r="M40" s="319">
        <v>0</v>
      </c>
      <c r="N40" s="319">
        <v>0</v>
      </c>
      <c r="O40" s="319">
        <v>0</v>
      </c>
      <c r="P40" s="319">
        <v>0</v>
      </c>
      <c r="Q40" s="320">
        <v>0</v>
      </c>
      <c r="R40" s="319">
        <v>0</v>
      </c>
      <c r="S40" s="319">
        <v>0</v>
      </c>
      <c r="T40" s="319">
        <v>0</v>
      </c>
      <c r="U40" s="319">
        <v>0</v>
      </c>
      <c r="V40" s="319">
        <v>0</v>
      </c>
      <c r="W40" s="321" t="str">
        <f>IFERROR(IF(tblPiNAnalysis[[#This Row],[CCCM]]="", "", MROUND(tblPiNAnalysis[[#This Row],[CCCM]]/tblPiNAnalysis[[#This Row],[Affected population projection 2026]], 0.05)), "")</f>
        <v/>
      </c>
      <c r="X40" s="322" t="str">
        <f>IFERROR(IF(tblPiNAnalysis[[#This Row],[Education]]="", "", MROUND(tblPiNAnalysis[[#This Row],[Education]]/tblPiNAnalysis[[#This Row],[Affected population projection 2026]], 0.05)), "")</f>
        <v/>
      </c>
      <c r="Y40" s="322" t="str">
        <f>IFERROR(IF(tblPiNAnalysis[[#This Row],[Nutrition]]="", "", MROUND(tblPiNAnalysis[[#This Row],[Nutrition]]/tblPiNAnalysis[[#This Row],[Affected population projection 2026]], 0.05)), "")</f>
        <v/>
      </c>
      <c r="Z40" s="322" t="str">
        <f>IFERROR(IF(tblPiNAnalysis[[#This Row],[Food Security]]="", "", MROUND(tblPiNAnalysis[[#This Row],[Food Security]]/tblPiNAnalysis[[#This Row],[Affected population projection 2026]], 0.05)), "")</f>
        <v/>
      </c>
      <c r="AA40" s="322" t="str">
        <f>IFERROR(IF(tblPiNAnalysis[[#This Row],[Health]]="", "", MROUND(tblPiNAnalysis[[#This Row],[Health]]/tblPiNAnalysis[[#This Row],[Affected population projection 2026]], 0.05)), "")</f>
        <v/>
      </c>
      <c r="AB40" s="323" t="str">
        <f>IFERROR(IF(tblPiNAnalysis[[#This Row],[Overarching Protection]]="", "", MROUND(tblPiNAnalysis[[#This Row],[Overarching Protection]]/tblPiNAnalysis[[#This Row],[Affected population projection 2026]], 0.05)), "")</f>
        <v/>
      </c>
      <c r="AC40" s="323" t="str">
        <f>IFERROR(IF(tblPiNAnalysis[[#This Row],[Shelter]]="", "", MROUND(tblPiNAnalysis[[#This Row],[Shelter]]/tblPiNAnalysis[[#This Row],[Affected population projection 2026]], 0.05)), "")</f>
        <v/>
      </c>
      <c r="AD40" s="324" t="str">
        <f>IFERROR(IF(tblPiNAnalysis[[#This Row],[WASH]]="", "", MROUND(tblPiNAnalysis[[#This Row],[WASH]]/tblPiNAnalysis[[#This Row],[Affected population projection 2026]], 0.05)), "")</f>
        <v/>
      </c>
      <c r="AE40" s="322" t="str">
        <f>IFERROR(MROUND(tblPiNAnalysis[[#This Row],[CP]]/tblPiNAnalysis[[#This Row],[Affected population projection 2026]], 0.05), "")</f>
        <v/>
      </c>
      <c r="AF40" s="322" t="str">
        <f>IFERROR(MROUND(tblPiNAnalysis[[#This Row],[GBV]]/tblPiNAnalysis[[#This Row],[Affected population projection 2026]], 0.05), "")</f>
        <v/>
      </c>
      <c r="AG40" s="322" t="str">
        <f>IFERROR(MROUND(tblPiNAnalysis[[#This Row],[Mine Action]]/tblPiNAnalysis[[#This Row],[Affected population projection 2026]], 0.05), "")</f>
        <v/>
      </c>
      <c r="AH40" s="322" t="str">
        <f>IFERROR(MROUND(tblPiNAnalysis[[#This Row],[HLP]]/tblPiNAnalysis[[#This Row],[Affected population projection 2026]], 0.05), "")</f>
        <v/>
      </c>
      <c r="AI40" s="325">
        <f>IFERROR(LARGE(tblPiNAnalysis[[#This Row],[CCCM]:[WASH]], 1), "")</f>
        <v>0</v>
      </c>
      <c r="AJ40" s="326" t="str" cm="1">
        <f t="array" ref="AJ40">IF(tblPiNAnalysis[[#This Row],[Highest PiN]]="", "", _xlfn.TEXTJOIN(CHAR(10), TRUE, IF(tblPiNAnalysis[[#This Row],[Highest PiN]]=tblPiNAnalysis[[#This Row],[CCCM]:[WASH]], tblPiNAnalysis[[#Headers],[CCCM]:[WASH]], "")))</f>
        <v>CCCM
Education
Nutrition
Food Security
Health
Overarching Protection
Shelter
WASH</v>
      </c>
      <c r="AK40" s="327" t="e">
        <f>IF(tblPiNAnalysis[[#This Row],[Highest PiN]]="", "", tblPiNAnalysis[[#This Row],[Highest PiN]]/tblPiNAnalysis[[#This Row],[Affected population projection 2026]])</f>
        <v>#DIV/0!</v>
      </c>
      <c r="AL40" s="328" t="str">
        <f>IF(SUM(tblPiNAnalysis[[#This Row],[CCCM]:[WASH]])=0, "",IF(COUNTIF(tblPiNAnalysis[[#This Row],[CCCM]:[WASH]],"=0")+COUNTIF(tblPiNAnalysis[[#This Row],[CCCM]:[WASH]],"")&gt;=zero_pin_thresh, "Flagged", ""))</f>
        <v/>
      </c>
      <c r="AM40" s="329" t="str">
        <f>IFERROR(IF(tblPiNAnalysis[[#This Row],[Highest PiN]]="", "", IF(tblPiNAnalysis[[#This Row],[Highest sector(s'') PiN %]]&gt;=flag_pin_perc, "Flagged", "")), "")</f>
        <v/>
      </c>
      <c r="AN40" s="330" t="str" cm="1">
        <f t="array" ref="AN40">IF(tblPiNAnalysis[[#This Row],[Highest PiN]]=0, "",  IF(OR(COUNTIF(tblPiNAnalysis[[#This Row],[Highest sector(s)]],tblSubSectorPopulation[Sector])), "Flagged", ""))</f>
        <v/>
      </c>
      <c r="AO40" s="46" cm="1">
        <f t="array" ref="AO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0</v>
      </c>
      <c r="AP40" s="331" t="str" cm="1">
        <f t="array" ref="AP40">IF(tblPiNAnalysis[[#This Row],[2nd Highest PiN]]="", "", _xlfn.TEXTJOIN(CHAR(10), TRUE, IF(tblPiNAnalysis[[#This Row],[2nd Highest PiN]]=tblPiNAnalysis[[#This Row],[CCCM]:[WASH]], tblPiNAnalysis[[#Headers],[CCCM]:[WASH]], "")))</f>
        <v>CCCM
Education
Nutrition
Food Security
Health
Overarching Protection
Shelter
WASH</v>
      </c>
      <c r="AQ40" s="36" t="str">
        <f>IFERROR(tblPiNAnalysis[[#This Row],[2nd Highest PiN]]/tblPiNAnalysis[[#This Row],[Affected population projection 2026]], "")</f>
        <v/>
      </c>
      <c r="AR40" s="46">
        <f>IFERROR(tblPiNAnalysis[[#This Row],[Highest PiN]]-tblPiNAnalysis[[#This Row],[2nd Highest PiN]], "")</f>
        <v>0</v>
      </c>
      <c r="AS40" s="39" t="str">
        <f>IFERROR(((tblPiNAnalysis[[#This Row],[Highest PiN]]-tblPiNAnalysis[[#This Row],[2nd Highest PiN]])/tblPiNAnalysis[[#This Row],[2nd Highest PiN]]),"")</f>
        <v/>
      </c>
      <c r="AT40" s="39" t="str" cm="1">
        <f t="array" ref="AT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0" s="332" cm="1">
        <f t="array" ref="AU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0</v>
      </c>
      <c r="AV40" s="190" t="str" cm="1">
        <f t="array" ref="AV40">IF(tblPiNAnalysis[[#This Row],[3rd Highest PiN]]="", "", _xlfn.TEXTJOIN(CHAR(10), TRUE, IF(tblPiNAnalysis[[#This Row],[3rd Highest PiN]]=tblPiNAnalysis[[#This Row],[CCCM]:[WASH]], tblPiNAnalysis[[#Headers],[CCCM]:[WASH]], "")))</f>
        <v>CCCM
Education
Nutrition
Food Security
Health
Overarching Protection
Shelter
WASH</v>
      </c>
      <c r="AW40" s="190" t="str">
        <f>IFERROR(tblPiNAnalysis[[#This Row],[3rd Highest PiN]]/tblPiNAnalysis[[#This Row],[Affected population projection 2026]], "")</f>
        <v/>
      </c>
      <c r="AX40" s="45">
        <f>IFERROR(tblPiNAnalysis[[#This Row],[Highest PiN]]-tblPiNAnalysis[[#This Row],[3rd Highest PiN]],"")</f>
        <v>0</v>
      </c>
      <c r="AY40" s="39" t="str">
        <f>IFERROR(tblPiNAnalysis[[#This Row],[Difference of PiN between Highest and 3rd Highest]]/tblPiNAnalysis[[#This Row],[3rd Highest PiN]], "")</f>
        <v/>
      </c>
      <c r="AZ40" s="330" t="str" cm="1">
        <f t="array" ref="AZ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0" s="300" t="e" cm="1" vm="1">
        <f t="array" aca="1" ref="BA40"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40" s="333" t="str" cm="1">
        <f t="array" ref="BB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0" s="276" t="e" cm="1" vm="1">
        <f t="array" aca="1" ref="BC40"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40" s="334" t="str" cm="1">
        <f t="array" ref="BD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0" s="276">
        <f>INDEX(tblSeverityAnalysis[Final Severity], MATCH(tblPiNAnalysis[[#This Row],[ID]],tblSeverityAnalysis[ID], 0))</f>
        <v>3</v>
      </c>
      <c r="BF40" s="61">
        <f>IF(tblPiNAnalysis[[#This Row],[Severity]]&gt;2,tblPiNAnalysis[[#This Row],[Highest PiN]],)</f>
        <v>0</v>
      </c>
      <c r="BG40" s="191"/>
      <c r="BH40" s="192"/>
      <c r="BI40" s="193">
        <f ca="1">COUNTIFS(tblPiNAnalysis[[#This Row],[Number of missing / zero PiNs greater than threshold - Data quality]:[Manual Flag]],"Flagged")</f>
        <v>0</v>
      </c>
      <c r="BJ40" s="96" t="str">
        <f ca="1">IF(tblPiNAnalysis[[#This Row],['# Flags]]&gt;0, "Flagged", "")</f>
        <v/>
      </c>
      <c r="BK40" s="326">
        <f>tblPiNAnalysis[[#This Row],[Preliminary PiN]]</f>
        <v>0</v>
      </c>
      <c r="BL40" s="331"/>
    </row>
    <row r="41" spans="1:64" ht="24.6" x14ac:dyDescent="0.55000000000000004">
      <c r="A4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SS0504</v>
      </c>
      <c r="B41" s="316" t="s">
        <v>310</v>
      </c>
      <c r="C41" s="317" t="s">
        <v>311</v>
      </c>
      <c r="D41" s="317" t="s">
        <v>318</v>
      </c>
      <c r="E41" s="105" t="s">
        <v>319</v>
      </c>
      <c r="F41" s="100"/>
      <c r="G41" s="34"/>
      <c r="H41" s="34"/>
      <c r="I41" s="97">
        <v>8245.4682123487128</v>
      </c>
      <c r="J41" s="97" t="s">
        <v>412</v>
      </c>
      <c r="K41" s="318">
        <v>0</v>
      </c>
      <c r="L41" s="319">
        <v>1504.2826069903681</v>
      </c>
      <c r="M41" s="319">
        <v>3824.0659036693</v>
      </c>
      <c r="N41" s="319">
        <v>6262.5878943591415</v>
      </c>
      <c r="O41" s="319">
        <v>3888.5009814634523</v>
      </c>
      <c r="P41" s="319">
        <v>5772</v>
      </c>
      <c r="Q41" s="320">
        <v>6413.1419429378875</v>
      </c>
      <c r="R41" s="319">
        <v>4722.4045216178984</v>
      </c>
      <c r="S41" s="319">
        <v>3359</v>
      </c>
      <c r="T41" s="319">
        <v>3067</v>
      </c>
      <c r="U41" s="319">
        <v>642</v>
      </c>
      <c r="V41" s="319">
        <v>2290</v>
      </c>
      <c r="W41" s="321">
        <f>IFERROR(IF(tblPiNAnalysis[[#This Row],[CCCM]]="", "", MROUND(tblPiNAnalysis[[#This Row],[CCCM]]/tblPiNAnalysis[[#This Row],[Affected population projection 2026]], 0.05)), "")</f>
        <v>0</v>
      </c>
      <c r="X41" s="322">
        <f>IFERROR(IF(tblPiNAnalysis[[#This Row],[Education]]="", "", MROUND(tblPiNAnalysis[[#This Row],[Education]]/tblPiNAnalysis[[#This Row],[Affected population projection 2026]], 0.05)), "")</f>
        <v>0.2</v>
      </c>
      <c r="Y41" s="322">
        <f>IFERROR(IF(tblPiNAnalysis[[#This Row],[Nutrition]]="", "", MROUND(tblPiNAnalysis[[#This Row],[Nutrition]]/tblPiNAnalysis[[#This Row],[Affected population projection 2026]], 0.05)), "")</f>
        <v>0.45</v>
      </c>
      <c r="Z41" s="322">
        <f>IFERROR(IF(tblPiNAnalysis[[#This Row],[Food Security]]="", "", MROUND(tblPiNAnalysis[[#This Row],[Food Security]]/tblPiNAnalysis[[#This Row],[Affected population projection 2026]], 0.05)), "")</f>
        <v>0.75</v>
      </c>
      <c r="AA41" s="322">
        <f>IFERROR(IF(tblPiNAnalysis[[#This Row],[Health]]="", "", MROUND(tblPiNAnalysis[[#This Row],[Health]]/tblPiNAnalysis[[#This Row],[Affected population projection 2026]], 0.05)), "")</f>
        <v>0.45</v>
      </c>
      <c r="AB41" s="323">
        <f>IFERROR(IF(tblPiNAnalysis[[#This Row],[Overarching Protection]]="", "", MROUND(tblPiNAnalysis[[#This Row],[Overarching Protection]]/tblPiNAnalysis[[#This Row],[Affected population projection 2026]], 0.05)), "")</f>
        <v>0.70000000000000007</v>
      </c>
      <c r="AC41" s="323">
        <f>IFERROR(IF(tblPiNAnalysis[[#This Row],[Shelter]]="", "", MROUND(tblPiNAnalysis[[#This Row],[Shelter]]/tblPiNAnalysis[[#This Row],[Affected population projection 2026]], 0.05)), "")</f>
        <v>0.8</v>
      </c>
      <c r="AD41" s="324">
        <f>IFERROR(IF(tblPiNAnalysis[[#This Row],[WASH]]="", "", MROUND(tblPiNAnalysis[[#This Row],[WASH]]/tblPiNAnalysis[[#This Row],[Affected population projection 2026]], 0.05)), "")</f>
        <v>0.55000000000000004</v>
      </c>
      <c r="AE41" s="322">
        <f>IFERROR(MROUND(tblPiNAnalysis[[#This Row],[CP]]/tblPiNAnalysis[[#This Row],[Affected population projection 2026]], 0.05), "")</f>
        <v>0.4</v>
      </c>
      <c r="AF41" s="322">
        <f>IFERROR(MROUND(tblPiNAnalysis[[#This Row],[GBV]]/tblPiNAnalysis[[#This Row],[Affected population projection 2026]], 0.05), "")</f>
        <v>0.35000000000000003</v>
      </c>
      <c r="AG41" s="322">
        <f>IFERROR(MROUND(tblPiNAnalysis[[#This Row],[Mine Action]]/tblPiNAnalysis[[#This Row],[Affected population projection 2026]], 0.05), "")</f>
        <v>0.1</v>
      </c>
      <c r="AH41" s="322">
        <f>IFERROR(MROUND(tblPiNAnalysis[[#This Row],[HLP]]/tblPiNAnalysis[[#This Row],[Affected population projection 2026]], 0.05), "")</f>
        <v>0.30000000000000004</v>
      </c>
      <c r="AI41" s="325">
        <f>IFERROR(LARGE(tblPiNAnalysis[[#This Row],[CCCM]:[WASH]], 1), "")</f>
        <v>6413.1419429378875</v>
      </c>
      <c r="AJ41" s="326" t="str" cm="1">
        <f t="array" ref="AJ41">IF(tblPiNAnalysis[[#This Row],[Highest PiN]]="", "", _xlfn.TEXTJOIN(CHAR(10), TRUE, IF(tblPiNAnalysis[[#This Row],[Highest PiN]]=tblPiNAnalysis[[#This Row],[CCCM]:[WASH]], tblPiNAnalysis[[#Headers],[CCCM]:[WASH]], "")))</f>
        <v>Shelter</v>
      </c>
      <c r="AK41" s="327">
        <f>IF(tblPiNAnalysis[[#This Row],[Highest PiN]]="", "", tblPiNAnalysis[[#This Row],[Highest PiN]]/tblPiNAnalysis[[#This Row],[Affected population projection 2026]])</f>
        <v>0.77777777777777779</v>
      </c>
      <c r="AL41" s="328" t="str">
        <f>IF(SUM(tblPiNAnalysis[[#This Row],[CCCM]:[WASH]])=0, "",IF(COUNTIF(tblPiNAnalysis[[#This Row],[CCCM]:[WASH]],"=0")+COUNTIF(tblPiNAnalysis[[#This Row],[CCCM]:[WASH]],"")&gt;=zero_pin_thresh, "Flagged", ""))</f>
        <v/>
      </c>
      <c r="AM41" s="329" t="str">
        <f>IFERROR(IF(tblPiNAnalysis[[#This Row],[Highest PiN]]="", "", IF(tblPiNAnalysis[[#This Row],[Highest sector(s'') PiN %]]&gt;=flag_pin_perc, "Flagged", "")), "")</f>
        <v/>
      </c>
      <c r="AN41" s="330" t="str" cm="1">
        <f t="array" ref="AN41">IF(tblPiNAnalysis[[#This Row],[Highest PiN]]=0, "",  IF(OR(COUNTIF(tblPiNAnalysis[[#This Row],[Highest sector(s)]],tblSubSectorPopulation[Sector])), "Flagged", ""))</f>
        <v/>
      </c>
      <c r="AO41" s="46" cm="1">
        <f t="array" ref="AO4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6262.5878943591415</v>
      </c>
      <c r="AP41" s="331" t="str" cm="1">
        <f t="array" ref="AP41">IF(tblPiNAnalysis[[#This Row],[2nd Highest PiN]]="", "", _xlfn.TEXTJOIN(CHAR(10), TRUE, IF(tblPiNAnalysis[[#This Row],[2nd Highest PiN]]=tblPiNAnalysis[[#This Row],[CCCM]:[WASH]], tblPiNAnalysis[[#Headers],[CCCM]:[WASH]], "")))</f>
        <v>Food Security</v>
      </c>
      <c r="AQ41" s="36">
        <f>IFERROR(tblPiNAnalysis[[#This Row],[2nd Highest PiN]]/tblPiNAnalysis[[#This Row],[Affected population projection 2026]], "")</f>
        <v>0.75951877238215071</v>
      </c>
      <c r="AR41" s="46">
        <f>IFERROR(tblPiNAnalysis[[#This Row],[Highest PiN]]-tblPiNAnalysis[[#This Row],[2nd Highest PiN]], "")</f>
        <v>150.55404857874601</v>
      </c>
      <c r="AS41" s="39">
        <f>IFERROR(((tblPiNAnalysis[[#This Row],[Highest PiN]]-tblPiNAnalysis[[#This Row],[2nd Highest PiN]])/tblPiNAnalysis[[#This Row],[2nd Highest PiN]]),"")</f>
        <v>2.404022923404453E-2</v>
      </c>
      <c r="AT41" s="39" t="str" cm="1">
        <f t="array" ref="AT4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1" s="332" cm="1">
        <f t="array" ref="AU4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5772</v>
      </c>
      <c r="AV41" s="190" t="str" cm="1">
        <f t="array" ref="AV41">IF(tblPiNAnalysis[[#This Row],[3rd Highest PiN]]="", "", _xlfn.TEXTJOIN(CHAR(10), TRUE, IF(tblPiNAnalysis[[#This Row],[3rd Highest PiN]]=tblPiNAnalysis[[#This Row],[CCCM]:[WASH]], tblPiNAnalysis[[#Headers],[CCCM]:[WASH]], "")))</f>
        <v>Overarching Protection</v>
      </c>
      <c r="AW41" s="190">
        <f>IFERROR(tblPiNAnalysis[[#This Row],[3rd Highest PiN]]/tblPiNAnalysis[[#This Row],[Affected population projection 2026]], "")</f>
        <v>0.70002089042750093</v>
      </c>
      <c r="AX41" s="45">
        <f>IFERROR(tblPiNAnalysis[[#This Row],[Highest PiN]]-tblPiNAnalysis[[#This Row],[3rd Highest PiN]],"")</f>
        <v>641.14194293788751</v>
      </c>
      <c r="AY41" s="39">
        <f>IFERROR(tblPiNAnalysis[[#This Row],[Difference of PiN between Highest and 3rd Highest]]/tblPiNAnalysis[[#This Row],[3rd Highest PiN]], "")</f>
        <v>0.11107795269194171</v>
      </c>
      <c r="AZ41" s="330" t="str" cm="1">
        <f t="array" ref="AZ4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1" s="300" t="str" cm="1">
        <f t="array" ref="BA41">IFERROR(IF(tblPiNAnalysis[[#This Row],[ID]]="", "", INDEX(tblPiNHistorical[[CCCM]:[WASH]], MATCH(tblPiNAnalysis[[#This Row],[ID]],tblPiNHistorical[ID], 0),MATCH(_xlfn._xlws.FILTER(tblPiNAnalysis[[#Headers],[CCCM]:[WASH]], tblPiNAnalysis[[#This Row],[Highest PiN]]=tblPiNAnalysis[[#This Row],[CCCM]:[WASH]]), tblPiNHistorical[[#Headers],[CCCM]:[WASH]], 0))), "")</f>
        <v/>
      </c>
      <c r="BB41" s="333" t="str" cm="1">
        <f t="array" ref="BB4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1" s="276" t="str" cm="1">
        <f t="array" ref="BC41">IFERROR(IF(tblPiNAnalysis[[#This Row],[ID]]="", "", INDEX(tblPiNHistorical[[CCCM]:[WASH]], MATCH(tblPiNAnalysis[[#This Row],[ID]],tblPiNHistorical[ID], 0),MATCH(_xlfn._xlws.FILTER(tblPiNAnalysis[[#Headers],[CCCM]:[WASH]], tblPiNAnalysis[[#This Row],[2nd Highest PiN]]=tblPiNAnalysis[[#This Row],[CCCM]:[WASH]]), tblPiNHistorical[[#Headers],[CCCM]:[WASH]], 0))), "")</f>
        <v/>
      </c>
      <c r="BD41" s="334" t="str" cm="1">
        <f t="array" ref="BD4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1" s="276">
        <f>INDEX(tblSeverityAnalysis[Final Severity], MATCH(tblPiNAnalysis[[#This Row],[ID]],tblSeverityAnalysis[ID], 0))</f>
        <v>3</v>
      </c>
      <c r="BF41" s="61">
        <f>IF(tblPiNAnalysis[[#This Row],[Severity]]&gt;2,tblPiNAnalysis[[#This Row],[Highest PiN]],)</f>
        <v>6413.1419429378875</v>
      </c>
      <c r="BG41" s="191"/>
      <c r="BH41" s="192"/>
      <c r="BI41" s="193">
        <f>COUNTIFS(tblPiNAnalysis[[#This Row],[Number of missing / zero PiNs greater than threshold - Data quality]:[Manual Flag]],"Flagged")</f>
        <v>0</v>
      </c>
      <c r="BJ41" s="96" t="str">
        <f>IF(tblPiNAnalysis[[#This Row],['# Flags]]&gt;0, "Flagged", "")</f>
        <v/>
      </c>
      <c r="BK41" s="326">
        <f>tblPiNAnalysis[[#This Row],[Preliminary PiN]]</f>
        <v>6413.1419429378875</v>
      </c>
      <c r="BL41" s="331"/>
    </row>
    <row r="42" spans="1:64" ht="24.6" x14ac:dyDescent="0.55000000000000004">
      <c r="A4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SS0505</v>
      </c>
      <c r="B42" s="316" t="s">
        <v>310</v>
      </c>
      <c r="C42" s="317" t="s">
        <v>311</v>
      </c>
      <c r="D42" s="317" t="s">
        <v>320</v>
      </c>
      <c r="E42" s="105" t="s">
        <v>321</v>
      </c>
      <c r="F42" s="100"/>
      <c r="G42" s="34"/>
      <c r="H42" s="34"/>
      <c r="I42" s="97">
        <v>736.57326854984808</v>
      </c>
      <c r="J42" s="97" t="s">
        <v>412</v>
      </c>
      <c r="K42" s="318">
        <v>0</v>
      </c>
      <c r="L42" s="319">
        <v>115.4004071302418</v>
      </c>
      <c r="M42" s="319">
        <v>254.73760012449753</v>
      </c>
      <c r="N42" s="319">
        <v>498.34516109062099</v>
      </c>
      <c r="O42" s="319">
        <v>313.3875472339538</v>
      </c>
      <c r="P42" s="319">
        <v>469</v>
      </c>
      <c r="Q42" s="320">
        <v>633.7956031707995</v>
      </c>
      <c r="R42" s="319">
        <v>283.81722274397816</v>
      </c>
      <c r="S42" s="319">
        <v>278</v>
      </c>
      <c r="T42" s="319">
        <v>237</v>
      </c>
      <c r="U42" s="319">
        <v>51</v>
      </c>
      <c r="V42" s="319">
        <v>56</v>
      </c>
      <c r="W42" s="321">
        <f>IFERROR(IF(tblPiNAnalysis[[#This Row],[CCCM]]="", "", MROUND(tblPiNAnalysis[[#This Row],[CCCM]]/tblPiNAnalysis[[#This Row],[Affected population projection 2026]], 0.05)), "")</f>
        <v>0</v>
      </c>
      <c r="X42" s="322">
        <f>IFERROR(IF(tblPiNAnalysis[[#This Row],[Education]]="", "", MROUND(tblPiNAnalysis[[#This Row],[Education]]/tblPiNAnalysis[[#This Row],[Affected population projection 2026]], 0.05)), "")</f>
        <v>0.15000000000000002</v>
      </c>
      <c r="Y42" s="322">
        <f>IFERROR(IF(tblPiNAnalysis[[#This Row],[Nutrition]]="", "", MROUND(tblPiNAnalysis[[#This Row],[Nutrition]]/tblPiNAnalysis[[#This Row],[Affected population projection 2026]], 0.05)), "")</f>
        <v>0.35000000000000003</v>
      </c>
      <c r="Z42" s="322">
        <f>IFERROR(IF(tblPiNAnalysis[[#This Row],[Food Security]]="", "", MROUND(tblPiNAnalysis[[#This Row],[Food Security]]/tblPiNAnalysis[[#This Row],[Affected population projection 2026]], 0.05)), "")</f>
        <v>0.70000000000000007</v>
      </c>
      <c r="AA42" s="322">
        <f>IFERROR(IF(tblPiNAnalysis[[#This Row],[Health]]="", "", MROUND(tblPiNAnalysis[[#This Row],[Health]]/tblPiNAnalysis[[#This Row],[Affected population projection 2026]], 0.05)), "")</f>
        <v>0.45</v>
      </c>
      <c r="AB42" s="323">
        <f>IFERROR(IF(tblPiNAnalysis[[#This Row],[Overarching Protection]]="", "", MROUND(tblPiNAnalysis[[#This Row],[Overarching Protection]]/tblPiNAnalysis[[#This Row],[Affected population projection 2026]], 0.05)), "")</f>
        <v>0.65</v>
      </c>
      <c r="AC42" s="323">
        <f>IFERROR(IF(tblPiNAnalysis[[#This Row],[Shelter]]="", "", MROUND(tblPiNAnalysis[[#This Row],[Shelter]]/tblPiNAnalysis[[#This Row],[Affected population projection 2026]], 0.05)), "")</f>
        <v>0.85000000000000009</v>
      </c>
      <c r="AD42" s="324">
        <f>IFERROR(IF(tblPiNAnalysis[[#This Row],[WASH]]="", "", MROUND(tblPiNAnalysis[[#This Row],[WASH]]/tblPiNAnalysis[[#This Row],[Affected population projection 2026]], 0.05)), "")</f>
        <v>0.4</v>
      </c>
      <c r="AE42" s="322">
        <f>IFERROR(MROUND(tblPiNAnalysis[[#This Row],[CP]]/tblPiNAnalysis[[#This Row],[Affected population projection 2026]], 0.05), "")</f>
        <v>0.4</v>
      </c>
      <c r="AF42" s="322">
        <f>IFERROR(MROUND(tblPiNAnalysis[[#This Row],[GBV]]/tblPiNAnalysis[[#This Row],[Affected population projection 2026]], 0.05), "")</f>
        <v>0.30000000000000004</v>
      </c>
      <c r="AG42" s="322">
        <f>IFERROR(MROUND(tblPiNAnalysis[[#This Row],[Mine Action]]/tblPiNAnalysis[[#This Row],[Affected population projection 2026]], 0.05), "")</f>
        <v>0.05</v>
      </c>
      <c r="AH42" s="322">
        <f>IFERROR(MROUND(tblPiNAnalysis[[#This Row],[HLP]]/tblPiNAnalysis[[#This Row],[Affected population projection 2026]], 0.05), "")</f>
        <v>0.1</v>
      </c>
      <c r="AI42" s="325">
        <f>IFERROR(LARGE(tblPiNAnalysis[[#This Row],[CCCM]:[WASH]], 1), "")</f>
        <v>633.7956031707995</v>
      </c>
      <c r="AJ42" s="326" t="str" cm="1">
        <f t="array" ref="AJ42">IF(tblPiNAnalysis[[#This Row],[Highest PiN]]="", "", _xlfn.TEXTJOIN(CHAR(10), TRUE, IF(tblPiNAnalysis[[#This Row],[Highest PiN]]=tblPiNAnalysis[[#This Row],[CCCM]:[WASH]], tblPiNAnalysis[[#Headers],[CCCM]:[WASH]], "")))</f>
        <v>Shelter</v>
      </c>
      <c r="AK42" s="327">
        <f>IF(tblPiNAnalysis[[#This Row],[Highest PiN]]="", "", tblPiNAnalysis[[#This Row],[Highest PiN]]/tblPiNAnalysis[[#This Row],[Affected population projection 2026]])</f>
        <v>0.86046511627906974</v>
      </c>
      <c r="AL42" s="328" t="str">
        <f>IF(SUM(tblPiNAnalysis[[#This Row],[CCCM]:[WASH]])=0, "",IF(COUNTIF(tblPiNAnalysis[[#This Row],[CCCM]:[WASH]],"=0")+COUNTIF(tblPiNAnalysis[[#This Row],[CCCM]:[WASH]],"")&gt;=zero_pin_thresh, "Flagged", ""))</f>
        <v/>
      </c>
      <c r="AM42" s="329" t="str">
        <f>IFERROR(IF(tblPiNAnalysis[[#This Row],[Highest PiN]]="", "", IF(tblPiNAnalysis[[#This Row],[Highest sector(s'') PiN %]]&gt;=flag_pin_perc, "Flagged", "")), "")</f>
        <v/>
      </c>
      <c r="AN42" s="330" t="str" cm="1">
        <f t="array" ref="AN42">IF(tblPiNAnalysis[[#This Row],[Highest PiN]]=0, "",  IF(OR(COUNTIF(tblPiNAnalysis[[#This Row],[Highest sector(s)]],tblSubSectorPopulation[Sector])), "Flagged", ""))</f>
        <v/>
      </c>
      <c r="AO42" s="46" cm="1">
        <f t="array" ref="AO4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498.34516109062099</v>
      </c>
      <c r="AP42" s="331" t="str" cm="1">
        <f t="array" ref="AP42">IF(tblPiNAnalysis[[#This Row],[2nd Highest PiN]]="", "", _xlfn.TEXTJOIN(CHAR(10), TRUE, IF(tblPiNAnalysis[[#This Row],[2nd Highest PiN]]=tblPiNAnalysis[[#This Row],[CCCM]:[WASH]], tblPiNAnalysis[[#Headers],[CCCM]:[WASH]], "")))</f>
        <v>Food Security</v>
      </c>
      <c r="AQ42" s="36">
        <f>IFERROR(tblPiNAnalysis[[#This Row],[2nd Highest PiN]]/tblPiNAnalysis[[#This Row],[Affected population projection 2026]], "")</f>
        <v>0.67657242309614873</v>
      </c>
      <c r="AR42" s="46">
        <f>IFERROR(tblPiNAnalysis[[#This Row],[Highest PiN]]-tblPiNAnalysis[[#This Row],[2nd Highest PiN]], "")</f>
        <v>135.4504420801785</v>
      </c>
      <c r="AS42" s="39">
        <f>IFERROR(((tblPiNAnalysis[[#This Row],[Highest PiN]]-tblPiNAnalysis[[#This Row],[2nd Highest PiN]])/tblPiNAnalysis[[#This Row],[2nd Highest PiN]]),"")</f>
        <v>0.27180045610104292</v>
      </c>
      <c r="AT42" s="39" t="str" cm="1">
        <f t="array" ref="AT4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2" s="332" cm="1">
        <f t="array" ref="AU4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469</v>
      </c>
      <c r="AV42" s="190" t="str" cm="1">
        <f t="array" ref="AV42">IF(tblPiNAnalysis[[#This Row],[3rd Highest PiN]]="", "", _xlfn.TEXTJOIN(CHAR(10), TRUE, IF(tblPiNAnalysis[[#This Row],[3rd Highest PiN]]=tblPiNAnalysis[[#This Row],[CCCM]:[WASH]], tblPiNAnalysis[[#Headers],[CCCM]:[WASH]], "")))</f>
        <v>Overarching Protection</v>
      </c>
      <c r="AW42" s="190">
        <f>IFERROR(tblPiNAnalysis[[#This Row],[3rd Highest PiN]]/tblPiNAnalysis[[#This Row],[Affected population projection 2026]], "")</f>
        <v>0.6367323116726169</v>
      </c>
      <c r="AX42" s="45">
        <f>IFERROR(tblPiNAnalysis[[#This Row],[Highest PiN]]-tblPiNAnalysis[[#This Row],[3rd Highest PiN]],"")</f>
        <v>164.7956031707995</v>
      </c>
      <c r="AY42" s="39">
        <f>IFERROR(tblPiNAnalysis[[#This Row],[Difference of PiN between Highest and 3rd Highest]]/tblPiNAnalysis[[#This Row],[3rd Highest PiN]], "")</f>
        <v>0.351376552602984</v>
      </c>
      <c r="AZ42" s="330" t="str" cm="1">
        <f t="array" ref="AZ4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2" s="300" t="str" cm="1">
        <f t="array" ref="BA42">IFERROR(IF(tblPiNAnalysis[[#This Row],[ID]]="", "", INDEX(tblPiNHistorical[[CCCM]:[WASH]], MATCH(tblPiNAnalysis[[#This Row],[ID]],tblPiNHistorical[ID], 0),MATCH(_xlfn._xlws.FILTER(tblPiNAnalysis[[#Headers],[CCCM]:[WASH]], tblPiNAnalysis[[#This Row],[Highest PiN]]=tblPiNAnalysis[[#This Row],[CCCM]:[WASH]]), tblPiNHistorical[[#Headers],[CCCM]:[WASH]], 0))), "")</f>
        <v/>
      </c>
      <c r="BB42" s="333" t="str" cm="1">
        <f t="array" ref="BB4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2" s="276" t="str" cm="1">
        <f t="array" ref="BC42">IFERROR(IF(tblPiNAnalysis[[#This Row],[ID]]="", "", INDEX(tblPiNHistorical[[CCCM]:[WASH]], MATCH(tblPiNAnalysis[[#This Row],[ID]],tblPiNHistorical[ID], 0),MATCH(_xlfn._xlws.FILTER(tblPiNAnalysis[[#Headers],[CCCM]:[WASH]], tblPiNAnalysis[[#This Row],[2nd Highest PiN]]=tblPiNAnalysis[[#This Row],[CCCM]:[WASH]]), tblPiNHistorical[[#Headers],[CCCM]:[WASH]], 0))), "")</f>
        <v/>
      </c>
      <c r="BD42" s="334" t="str" cm="1">
        <f t="array" ref="BD4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2" s="276">
        <f>INDEX(tblSeverityAnalysis[Final Severity], MATCH(tblPiNAnalysis[[#This Row],[ID]],tblSeverityAnalysis[ID], 0))</f>
        <v>3</v>
      </c>
      <c r="BF42" s="61">
        <f>IF(tblPiNAnalysis[[#This Row],[Severity]]&gt;2,tblPiNAnalysis[[#This Row],[Highest PiN]],)</f>
        <v>633.7956031707995</v>
      </c>
      <c r="BG42" s="191"/>
      <c r="BH42" s="192"/>
      <c r="BI42" s="193">
        <f>COUNTIFS(tblPiNAnalysis[[#This Row],[Number of missing / zero PiNs greater than threshold - Data quality]:[Manual Flag]],"Flagged")</f>
        <v>0</v>
      </c>
      <c r="BJ42" s="96" t="str">
        <f>IF(tblPiNAnalysis[[#This Row],['# Flags]]&gt;0, "Flagged", "")</f>
        <v/>
      </c>
      <c r="BK42" s="326">
        <f>tblPiNAnalysis[[#This Row],[Preliminary PiN]]</f>
        <v>633.7956031707995</v>
      </c>
      <c r="BL42" s="331"/>
    </row>
    <row r="43" spans="1:64" x14ac:dyDescent="0.55000000000000004">
      <c r="A4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SS0601</v>
      </c>
      <c r="B43" s="316" t="s">
        <v>322</v>
      </c>
      <c r="C43" s="317" t="s">
        <v>323</v>
      </c>
      <c r="D43" s="317" t="s">
        <v>324</v>
      </c>
      <c r="E43" s="105" t="s">
        <v>325</v>
      </c>
      <c r="F43" s="100"/>
      <c r="G43" s="34"/>
      <c r="H43" s="34"/>
      <c r="I43" s="97">
        <v>8191.9832367247782</v>
      </c>
      <c r="J43" s="97" t="s">
        <v>412</v>
      </c>
      <c r="K43" s="318">
        <v>0</v>
      </c>
      <c r="L43" s="319">
        <v>652.26536606779484</v>
      </c>
      <c r="M43" s="319">
        <v>3213.6343218737725</v>
      </c>
      <c r="N43" s="319">
        <v>5106.1027347013696</v>
      </c>
      <c r="O43" s="319">
        <v>4152.3577038046233</v>
      </c>
      <c r="P43" s="319">
        <v>1638</v>
      </c>
      <c r="Q43" s="320">
        <v>8191.9832367247782</v>
      </c>
      <c r="R43" s="319">
        <v>2123.8475058175354</v>
      </c>
      <c r="S43" s="319">
        <v>790</v>
      </c>
      <c r="T43" s="319">
        <v>1297</v>
      </c>
      <c r="U43" s="319">
        <v>760</v>
      </c>
      <c r="V43" s="319">
        <v>1084</v>
      </c>
      <c r="W43" s="321">
        <f>IFERROR(IF(tblPiNAnalysis[[#This Row],[CCCM]]="", "", MROUND(tblPiNAnalysis[[#This Row],[CCCM]]/tblPiNAnalysis[[#This Row],[Affected population projection 2026]], 0.05)), "")</f>
        <v>0</v>
      </c>
      <c r="X43" s="322">
        <f>IFERROR(IF(tblPiNAnalysis[[#This Row],[Education]]="", "", MROUND(tblPiNAnalysis[[#This Row],[Education]]/tblPiNAnalysis[[#This Row],[Affected population projection 2026]], 0.05)), "")</f>
        <v>0.1</v>
      </c>
      <c r="Y43" s="322">
        <f>IFERROR(IF(tblPiNAnalysis[[#This Row],[Nutrition]]="", "", MROUND(tblPiNAnalysis[[#This Row],[Nutrition]]/tblPiNAnalysis[[#This Row],[Affected population projection 2026]], 0.05)), "")</f>
        <v>0.4</v>
      </c>
      <c r="Z43" s="322">
        <f>IFERROR(IF(tblPiNAnalysis[[#This Row],[Food Security]]="", "", MROUND(tblPiNAnalysis[[#This Row],[Food Security]]/tblPiNAnalysis[[#This Row],[Affected population projection 2026]], 0.05)), "")</f>
        <v>0.60000000000000009</v>
      </c>
      <c r="AA43" s="322">
        <f>IFERROR(IF(tblPiNAnalysis[[#This Row],[Health]]="", "", MROUND(tblPiNAnalysis[[#This Row],[Health]]/tblPiNAnalysis[[#This Row],[Affected population projection 2026]], 0.05)), "")</f>
        <v>0.5</v>
      </c>
      <c r="AB43" s="323">
        <f>IFERROR(IF(tblPiNAnalysis[[#This Row],[Overarching Protection]]="", "", MROUND(tblPiNAnalysis[[#This Row],[Overarching Protection]]/tblPiNAnalysis[[#This Row],[Affected population projection 2026]], 0.05)), "")</f>
        <v>0.2</v>
      </c>
      <c r="AC43" s="323">
        <f>IFERROR(IF(tblPiNAnalysis[[#This Row],[Shelter]]="", "", MROUND(tblPiNAnalysis[[#This Row],[Shelter]]/tblPiNAnalysis[[#This Row],[Affected population projection 2026]], 0.05)), "")</f>
        <v>1</v>
      </c>
      <c r="AD43" s="324">
        <f>IFERROR(IF(tblPiNAnalysis[[#This Row],[WASH]]="", "", MROUND(tblPiNAnalysis[[#This Row],[WASH]]/tblPiNAnalysis[[#This Row],[Affected population projection 2026]], 0.05)), "")</f>
        <v>0.25</v>
      </c>
      <c r="AE43" s="322">
        <f>IFERROR(MROUND(tblPiNAnalysis[[#This Row],[CP]]/tblPiNAnalysis[[#This Row],[Affected population projection 2026]], 0.05), "")</f>
        <v>0.1</v>
      </c>
      <c r="AF43" s="322">
        <f>IFERROR(MROUND(tblPiNAnalysis[[#This Row],[GBV]]/tblPiNAnalysis[[#This Row],[Affected population projection 2026]], 0.05), "")</f>
        <v>0.15000000000000002</v>
      </c>
      <c r="AG43" s="322">
        <f>IFERROR(MROUND(tblPiNAnalysis[[#This Row],[Mine Action]]/tblPiNAnalysis[[#This Row],[Affected population projection 2026]], 0.05), "")</f>
        <v>0.1</v>
      </c>
      <c r="AH43" s="322">
        <f>IFERROR(MROUND(tblPiNAnalysis[[#This Row],[HLP]]/tblPiNAnalysis[[#This Row],[Affected population projection 2026]], 0.05), "")</f>
        <v>0.15000000000000002</v>
      </c>
      <c r="AI43" s="325">
        <f>IFERROR(LARGE(tblPiNAnalysis[[#This Row],[CCCM]:[WASH]], 1), "")</f>
        <v>8191.9832367247782</v>
      </c>
      <c r="AJ43" s="326" t="str" cm="1">
        <f t="array" ref="AJ43">IF(tblPiNAnalysis[[#This Row],[Highest PiN]]="", "", _xlfn.TEXTJOIN(CHAR(10), TRUE, IF(tblPiNAnalysis[[#This Row],[Highest PiN]]=tblPiNAnalysis[[#This Row],[CCCM]:[WASH]], tblPiNAnalysis[[#Headers],[CCCM]:[WASH]], "")))</f>
        <v>Shelter</v>
      </c>
      <c r="AK43" s="327">
        <f>IF(tblPiNAnalysis[[#This Row],[Highest PiN]]="", "", tblPiNAnalysis[[#This Row],[Highest PiN]]/tblPiNAnalysis[[#This Row],[Affected population projection 2026]])</f>
        <v>1</v>
      </c>
      <c r="AL43" s="328" t="str">
        <f>IF(SUM(tblPiNAnalysis[[#This Row],[CCCM]:[WASH]])=0, "",IF(COUNTIF(tblPiNAnalysis[[#This Row],[CCCM]:[WASH]],"=0")+COUNTIF(tblPiNAnalysis[[#This Row],[CCCM]:[WASH]],"")&gt;=zero_pin_thresh, "Flagged", ""))</f>
        <v/>
      </c>
      <c r="AM43" s="329" t="str">
        <f>IFERROR(IF(tblPiNAnalysis[[#This Row],[Highest PiN]]="", "", IF(tblPiNAnalysis[[#This Row],[Highest sector(s'') PiN %]]&gt;=flag_pin_perc, "Flagged", "")), "")</f>
        <v>Flagged</v>
      </c>
      <c r="AN43" s="330" t="str" cm="1">
        <f t="array" ref="AN43">IF(tblPiNAnalysis[[#This Row],[Highest PiN]]=0, "",  IF(OR(COUNTIF(tblPiNAnalysis[[#This Row],[Highest sector(s)]],tblSubSectorPopulation[Sector])), "Flagged", ""))</f>
        <v/>
      </c>
      <c r="AO43" s="46" cm="1">
        <f t="array" ref="AO4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5106.1027347013696</v>
      </c>
      <c r="AP43" s="331" t="str" cm="1">
        <f t="array" ref="AP43">IF(tblPiNAnalysis[[#This Row],[2nd Highest PiN]]="", "", _xlfn.TEXTJOIN(CHAR(10), TRUE, IF(tblPiNAnalysis[[#This Row],[2nd Highest PiN]]=tblPiNAnalysis[[#This Row],[CCCM]:[WASH]], tblPiNAnalysis[[#Headers],[CCCM]:[WASH]], "")))</f>
        <v>Food Security</v>
      </c>
      <c r="AQ43" s="36">
        <f>IFERROR(tblPiNAnalysis[[#This Row],[2nd Highest PiN]]/tblPiNAnalysis[[#This Row],[Affected population projection 2026]], "")</f>
        <v>0.62330483194968445</v>
      </c>
      <c r="AR43" s="46">
        <f>IFERROR(tblPiNAnalysis[[#This Row],[Highest PiN]]-tblPiNAnalysis[[#This Row],[2nd Highest PiN]], "")</f>
        <v>3085.8805020234086</v>
      </c>
      <c r="AS43" s="39">
        <f>IFERROR(((tblPiNAnalysis[[#This Row],[Highest PiN]]-tblPiNAnalysis[[#This Row],[2nd Highest PiN]])/tblPiNAnalysis[[#This Row],[2nd Highest PiN]]),"")</f>
        <v>0.60435143246366474</v>
      </c>
      <c r="AT43" s="39" t="str" cm="1">
        <f t="array" ref="AT4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3" s="332" cm="1">
        <f t="array" ref="AU4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4152.3577038046233</v>
      </c>
      <c r="AV43" s="190" t="str" cm="1">
        <f t="array" ref="AV43">IF(tblPiNAnalysis[[#This Row],[3rd Highest PiN]]="", "", _xlfn.TEXTJOIN(CHAR(10), TRUE, IF(tblPiNAnalysis[[#This Row],[3rd Highest PiN]]=tblPiNAnalysis[[#This Row],[CCCM]:[WASH]], tblPiNAnalysis[[#Headers],[CCCM]:[WASH]], "")))</f>
        <v>Health</v>
      </c>
      <c r="AW43" s="190">
        <f>IFERROR(tblPiNAnalysis[[#This Row],[3rd Highest PiN]]/tblPiNAnalysis[[#This Row],[Affected population projection 2026]], "")</f>
        <v>0.5068806397441763</v>
      </c>
      <c r="AX43" s="45">
        <f>IFERROR(tblPiNAnalysis[[#This Row],[Highest PiN]]-tblPiNAnalysis[[#This Row],[3rd Highest PiN]],"")</f>
        <v>4039.6255329201549</v>
      </c>
      <c r="AY43" s="39">
        <f>IFERROR(tblPiNAnalysis[[#This Row],[Difference of PiN between Highest and 3rd Highest]]/tblPiNAnalysis[[#This Row],[3rd Highest PiN]], "")</f>
        <v>0.97285104537569655</v>
      </c>
      <c r="AZ43" s="330" t="str" cm="1">
        <f t="array" ref="AZ4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3" s="300" t="str" cm="1">
        <f t="array" ref="BA43">IFERROR(IF(tblPiNAnalysis[[#This Row],[ID]]="", "", INDEX(tblPiNHistorical[[CCCM]:[WASH]], MATCH(tblPiNAnalysis[[#This Row],[ID]],tblPiNHistorical[ID], 0),MATCH(_xlfn._xlws.FILTER(tblPiNAnalysis[[#Headers],[CCCM]:[WASH]], tblPiNAnalysis[[#This Row],[Highest PiN]]=tblPiNAnalysis[[#This Row],[CCCM]:[WASH]]), tblPiNHistorical[[#Headers],[CCCM]:[WASH]], 0))), "")</f>
        <v/>
      </c>
      <c r="BB43" s="333" t="str" cm="1">
        <f t="array" ref="BB4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3" s="276" t="str" cm="1">
        <f t="array" ref="BC43">IFERROR(IF(tblPiNAnalysis[[#This Row],[ID]]="", "", INDEX(tblPiNHistorical[[CCCM]:[WASH]], MATCH(tblPiNAnalysis[[#This Row],[ID]],tblPiNHistorical[ID], 0),MATCH(_xlfn._xlws.FILTER(tblPiNAnalysis[[#Headers],[CCCM]:[WASH]], tblPiNAnalysis[[#This Row],[2nd Highest PiN]]=tblPiNAnalysis[[#This Row],[CCCM]:[WASH]]), tblPiNHistorical[[#Headers],[CCCM]:[WASH]], 0))), "")</f>
        <v/>
      </c>
      <c r="BD43" s="334" t="str" cm="1">
        <f t="array" ref="BD4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3" s="276">
        <f>INDEX(tblSeverityAnalysis[Final Severity], MATCH(tblPiNAnalysis[[#This Row],[ID]],tblSeverityAnalysis[ID], 0))</f>
        <v>3</v>
      </c>
      <c r="BF43" s="61">
        <f>IF(tblPiNAnalysis[[#This Row],[Severity]]&gt;2,tblPiNAnalysis[[#This Row],[Highest PiN]],)</f>
        <v>8191.9832367247782</v>
      </c>
      <c r="BG43" s="191"/>
      <c r="BH43" s="192"/>
      <c r="BI43" s="193">
        <f>COUNTIFS(tblPiNAnalysis[[#This Row],[Number of missing / zero PiNs greater than threshold - Data quality]:[Manual Flag]],"Flagged")</f>
        <v>3</v>
      </c>
      <c r="BJ43" s="96" t="str">
        <f>IF(tblPiNAnalysis[[#This Row],['# Flags]]&gt;0, "Flagged", "")</f>
        <v>Flagged</v>
      </c>
      <c r="BK43" s="326">
        <f>tblPiNAnalysis[[#This Row],[Preliminary PiN]]</f>
        <v>8191.9832367247782</v>
      </c>
      <c r="BL43" s="331"/>
    </row>
    <row r="44" spans="1:64" x14ac:dyDescent="0.55000000000000004">
      <c r="A4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SS0602</v>
      </c>
      <c r="B44" s="316" t="s">
        <v>322</v>
      </c>
      <c r="C44" s="317" t="s">
        <v>323</v>
      </c>
      <c r="D44" s="317" t="s">
        <v>326</v>
      </c>
      <c r="E44" s="105" t="s">
        <v>327</v>
      </c>
      <c r="F44" s="100"/>
      <c r="G44" s="34"/>
      <c r="H44" s="34"/>
      <c r="I44" s="97">
        <v>25939.727484978604</v>
      </c>
      <c r="J44" s="97" t="s">
        <v>412</v>
      </c>
      <c r="K44" s="318">
        <v>22557.5</v>
      </c>
      <c r="L44" s="319">
        <v>5909.7676997474728</v>
      </c>
      <c r="M44" s="319">
        <v>8966.1074964812524</v>
      </c>
      <c r="N44" s="319">
        <v>21363.392178563096</v>
      </c>
      <c r="O44" s="319">
        <v>13327.318954058459</v>
      </c>
      <c r="P44" s="319">
        <v>18094</v>
      </c>
      <c r="Q44" s="320">
        <v>22234.052129981661</v>
      </c>
      <c r="R44" s="319">
        <v>13450.229066285201</v>
      </c>
      <c r="S44" s="319">
        <v>8942</v>
      </c>
      <c r="T44" s="319">
        <v>10001</v>
      </c>
      <c r="U44" s="319">
        <v>2070</v>
      </c>
      <c r="V44" s="319">
        <v>9234</v>
      </c>
      <c r="W44" s="321">
        <f>IFERROR(IF(tblPiNAnalysis[[#This Row],[CCCM]]="", "", MROUND(tblPiNAnalysis[[#This Row],[CCCM]]/tblPiNAnalysis[[#This Row],[Affected population projection 2026]], 0.05)), "")</f>
        <v>0.85000000000000009</v>
      </c>
      <c r="X44" s="322">
        <f>IFERROR(IF(tblPiNAnalysis[[#This Row],[Education]]="", "", MROUND(tblPiNAnalysis[[#This Row],[Education]]/tblPiNAnalysis[[#This Row],[Affected population projection 2026]], 0.05)), "")</f>
        <v>0.25</v>
      </c>
      <c r="Y44" s="322">
        <f>IFERROR(IF(tblPiNAnalysis[[#This Row],[Nutrition]]="", "", MROUND(tblPiNAnalysis[[#This Row],[Nutrition]]/tblPiNAnalysis[[#This Row],[Affected population projection 2026]], 0.05)), "")</f>
        <v>0.35000000000000003</v>
      </c>
      <c r="Z44" s="322">
        <f>IFERROR(IF(tblPiNAnalysis[[#This Row],[Food Security]]="", "", MROUND(tblPiNAnalysis[[#This Row],[Food Security]]/tblPiNAnalysis[[#This Row],[Affected population projection 2026]], 0.05)), "")</f>
        <v>0.8</v>
      </c>
      <c r="AA44" s="322">
        <f>IFERROR(IF(tblPiNAnalysis[[#This Row],[Health]]="", "", MROUND(tblPiNAnalysis[[#This Row],[Health]]/tblPiNAnalysis[[#This Row],[Affected population projection 2026]], 0.05)), "")</f>
        <v>0.5</v>
      </c>
      <c r="AB44" s="323">
        <f>IFERROR(IF(tblPiNAnalysis[[#This Row],[Overarching Protection]]="", "", MROUND(tblPiNAnalysis[[#This Row],[Overarching Protection]]/tblPiNAnalysis[[#This Row],[Affected population projection 2026]], 0.05)), "")</f>
        <v>0.70000000000000007</v>
      </c>
      <c r="AC44" s="323">
        <f>IFERROR(IF(tblPiNAnalysis[[#This Row],[Shelter]]="", "", MROUND(tblPiNAnalysis[[#This Row],[Shelter]]/tblPiNAnalysis[[#This Row],[Affected population projection 2026]], 0.05)), "")</f>
        <v>0.85000000000000009</v>
      </c>
      <c r="AD44" s="324">
        <f>IFERROR(IF(tblPiNAnalysis[[#This Row],[WASH]]="", "", MROUND(tblPiNAnalysis[[#This Row],[WASH]]/tblPiNAnalysis[[#This Row],[Affected population projection 2026]], 0.05)), "")</f>
        <v>0.5</v>
      </c>
      <c r="AE44" s="322">
        <f>IFERROR(MROUND(tblPiNAnalysis[[#This Row],[CP]]/tblPiNAnalysis[[#This Row],[Affected population projection 2026]], 0.05), "")</f>
        <v>0.35000000000000003</v>
      </c>
      <c r="AF44" s="322">
        <f>IFERROR(MROUND(tblPiNAnalysis[[#This Row],[GBV]]/tblPiNAnalysis[[#This Row],[Affected population projection 2026]], 0.05), "")</f>
        <v>0.4</v>
      </c>
      <c r="AG44" s="322">
        <f>IFERROR(MROUND(tblPiNAnalysis[[#This Row],[Mine Action]]/tblPiNAnalysis[[#This Row],[Affected population projection 2026]], 0.05), "")</f>
        <v>0.1</v>
      </c>
      <c r="AH44" s="322">
        <f>IFERROR(MROUND(tblPiNAnalysis[[#This Row],[HLP]]/tblPiNAnalysis[[#This Row],[Affected population projection 2026]], 0.05), "")</f>
        <v>0.35000000000000003</v>
      </c>
      <c r="AI44" s="325">
        <f>IFERROR(LARGE(tblPiNAnalysis[[#This Row],[CCCM]:[WASH]], 1), "")</f>
        <v>22557.5</v>
      </c>
      <c r="AJ44" s="326" t="str" cm="1">
        <f t="array" ref="AJ44">IF(tblPiNAnalysis[[#This Row],[Highest PiN]]="", "", _xlfn.TEXTJOIN(CHAR(10), TRUE, IF(tblPiNAnalysis[[#This Row],[Highest PiN]]=tblPiNAnalysis[[#This Row],[CCCM]:[WASH]], tblPiNAnalysis[[#Headers],[CCCM]:[WASH]], "")))</f>
        <v>CCCM</v>
      </c>
      <c r="AK44" s="327">
        <f>IF(tblPiNAnalysis[[#This Row],[Highest PiN]]="", "", tblPiNAnalysis[[#This Row],[Highest PiN]]/tblPiNAnalysis[[#This Row],[Affected population projection 2026]])</f>
        <v>0.86961206562647142</v>
      </c>
      <c r="AL44" s="328" t="str">
        <f>IF(SUM(tblPiNAnalysis[[#This Row],[CCCM]:[WASH]])=0, "",IF(COUNTIF(tblPiNAnalysis[[#This Row],[CCCM]:[WASH]],"=0")+COUNTIF(tblPiNAnalysis[[#This Row],[CCCM]:[WASH]],"")&gt;=zero_pin_thresh, "Flagged", ""))</f>
        <v/>
      </c>
      <c r="AM44" s="329" t="str">
        <f>IFERROR(IF(tblPiNAnalysis[[#This Row],[Highest PiN]]="", "", IF(tblPiNAnalysis[[#This Row],[Highest sector(s'') PiN %]]&gt;=flag_pin_perc, "Flagged", "")), "")</f>
        <v/>
      </c>
      <c r="AN44" s="330" t="str" cm="1">
        <f t="array" ref="AN44">IF(tblPiNAnalysis[[#This Row],[Highest PiN]]=0, "",  IF(OR(COUNTIF(tblPiNAnalysis[[#This Row],[Highest sector(s)]],tblSubSectorPopulation[Sector])), "Flagged", ""))</f>
        <v/>
      </c>
      <c r="AO44" s="46" cm="1">
        <f t="array" ref="AO4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22234.052129981661</v>
      </c>
      <c r="AP44" s="331" t="str" cm="1">
        <f t="array" ref="AP44">IF(tblPiNAnalysis[[#This Row],[2nd Highest PiN]]="", "", _xlfn.TEXTJOIN(CHAR(10), TRUE, IF(tblPiNAnalysis[[#This Row],[2nd Highest PiN]]=tblPiNAnalysis[[#This Row],[CCCM]:[WASH]], tblPiNAnalysis[[#Headers],[CCCM]:[WASH]], "")))</f>
        <v>Shelter</v>
      </c>
      <c r="AQ44" s="36">
        <f>IFERROR(tblPiNAnalysis[[#This Row],[2nd Highest PiN]]/tblPiNAnalysis[[#This Row],[Affected population projection 2026]], "")</f>
        <v>0.8571428571428571</v>
      </c>
      <c r="AR44" s="46">
        <f>IFERROR(tblPiNAnalysis[[#This Row],[Highest PiN]]-tblPiNAnalysis[[#This Row],[2nd Highest PiN]], "")</f>
        <v>323.44787001833902</v>
      </c>
      <c r="AS44" s="39">
        <f>IFERROR(((tblPiNAnalysis[[#This Row],[Highest PiN]]-tblPiNAnalysis[[#This Row],[2nd Highest PiN]])/tblPiNAnalysis[[#This Row],[2nd Highest PiN]]),"")</f>
        <v>1.4547409897550051E-2</v>
      </c>
      <c r="AT44" s="39" t="str" cm="1">
        <f t="array" ref="AT4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4" s="332" cm="1">
        <f t="array" ref="AU4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21363.392178563096</v>
      </c>
      <c r="AV44" s="190" t="str" cm="1">
        <f t="array" ref="AV44">IF(tblPiNAnalysis[[#This Row],[3rd Highest PiN]]="", "", _xlfn.TEXTJOIN(CHAR(10), TRUE, IF(tblPiNAnalysis[[#This Row],[3rd Highest PiN]]=tblPiNAnalysis[[#This Row],[CCCM]:[WASH]], tblPiNAnalysis[[#Headers],[CCCM]:[WASH]], "")))</f>
        <v>Food Security</v>
      </c>
      <c r="AW44" s="190">
        <f>IFERROR(tblPiNAnalysis[[#This Row],[3rd Highest PiN]]/tblPiNAnalysis[[#This Row],[Affected population projection 2026]], "")</f>
        <v>0.82357812706144995</v>
      </c>
      <c r="AX44" s="45">
        <f>IFERROR(tblPiNAnalysis[[#This Row],[Highest PiN]]-tblPiNAnalysis[[#This Row],[3rd Highest PiN]],"")</f>
        <v>1194.1078214369045</v>
      </c>
      <c r="AY44" s="39">
        <f>IFERROR(tblPiNAnalysis[[#This Row],[Difference of PiN between Highest and 3rd Highest]]/tblPiNAnalysis[[#This Row],[3rd Highest PiN]], "")</f>
        <v>5.589504754002135E-2</v>
      </c>
      <c r="AZ44" s="330" t="str" cm="1">
        <f t="array" ref="AZ4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4" s="300" t="str" cm="1">
        <f t="array" ref="BA44">IFERROR(IF(tblPiNAnalysis[[#This Row],[ID]]="", "", INDEX(tblPiNHistorical[[CCCM]:[WASH]], MATCH(tblPiNAnalysis[[#This Row],[ID]],tblPiNHistorical[ID], 0),MATCH(_xlfn._xlws.FILTER(tblPiNAnalysis[[#Headers],[CCCM]:[WASH]], tblPiNAnalysis[[#This Row],[Highest PiN]]=tblPiNAnalysis[[#This Row],[CCCM]:[WASH]]), tblPiNHistorical[[#Headers],[CCCM]:[WASH]], 0))), "")</f>
        <v/>
      </c>
      <c r="BB44" s="333" t="str" cm="1">
        <f t="array" ref="BB4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4" s="276" t="str" cm="1">
        <f t="array" ref="BC44">IFERROR(IF(tblPiNAnalysis[[#This Row],[ID]]="", "", INDEX(tblPiNHistorical[[CCCM]:[WASH]], MATCH(tblPiNAnalysis[[#This Row],[ID]],tblPiNHistorical[ID], 0),MATCH(_xlfn._xlws.FILTER(tblPiNAnalysis[[#Headers],[CCCM]:[WASH]], tblPiNAnalysis[[#This Row],[2nd Highest PiN]]=tblPiNAnalysis[[#This Row],[CCCM]:[WASH]]), tblPiNHistorical[[#Headers],[CCCM]:[WASH]], 0))), "")</f>
        <v/>
      </c>
      <c r="BD44" s="334" t="str" cm="1">
        <f t="array" ref="BD4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4" s="276">
        <f>INDEX(tblSeverityAnalysis[Final Severity], MATCH(tblPiNAnalysis[[#This Row],[ID]],tblSeverityAnalysis[ID], 0))</f>
        <v>3</v>
      </c>
      <c r="BF44" s="61">
        <f>IF(tblPiNAnalysis[[#This Row],[Severity]]&gt;2,tblPiNAnalysis[[#This Row],[Highest PiN]],)</f>
        <v>22557.5</v>
      </c>
      <c r="BG44" s="191"/>
      <c r="BH44" s="192"/>
      <c r="BI44" s="193">
        <f>COUNTIFS(tblPiNAnalysis[[#This Row],[Number of missing / zero PiNs greater than threshold - Data quality]:[Manual Flag]],"Flagged")</f>
        <v>0</v>
      </c>
      <c r="BJ44" s="96" t="str">
        <f>IF(tblPiNAnalysis[[#This Row],['# Flags]]&gt;0, "Flagged", "")</f>
        <v/>
      </c>
      <c r="BK44" s="326">
        <f>tblPiNAnalysis[[#This Row],[Preliminary PiN]]</f>
        <v>22557.5</v>
      </c>
      <c r="BL44" s="331"/>
    </row>
    <row r="45" spans="1:64" x14ac:dyDescent="0.55000000000000004">
      <c r="A4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SS0603</v>
      </c>
      <c r="B45" s="316" t="s">
        <v>322</v>
      </c>
      <c r="C45" s="317" t="s">
        <v>323</v>
      </c>
      <c r="D45" s="317" t="s">
        <v>328</v>
      </c>
      <c r="E45" s="105" t="s">
        <v>329</v>
      </c>
      <c r="F45" s="100"/>
      <c r="G45" s="34"/>
      <c r="H45" s="34"/>
      <c r="I45" s="97">
        <v>31198.282244133567</v>
      </c>
      <c r="J45" s="97" t="s">
        <v>412</v>
      </c>
      <c r="K45" s="318">
        <v>0</v>
      </c>
      <c r="L45" s="319">
        <v>7478.939574753982</v>
      </c>
      <c r="M45" s="319">
        <v>12005.797664351909</v>
      </c>
      <c r="N45" s="319">
        <v>25721.288553470346</v>
      </c>
      <c r="O45" s="319">
        <v>15994.252409673876</v>
      </c>
      <c r="P45" s="319">
        <v>20386</v>
      </c>
      <c r="Q45" s="320">
        <v>7799.5705610333916</v>
      </c>
      <c r="R45" s="319">
        <v>18776.743943228539</v>
      </c>
      <c r="S45" s="319">
        <v>11513</v>
      </c>
      <c r="T45" s="319">
        <v>11792</v>
      </c>
      <c r="U45" s="319">
        <v>2378</v>
      </c>
      <c r="V45" s="319">
        <v>8678</v>
      </c>
      <c r="W45" s="321">
        <f>IFERROR(IF(tblPiNAnalysis[[#This Row],[CCCM]]="", "", MROUND(tblPiNAnalysis[[#This Row],[CCCM]]/tblPiNAnalysis[[#This Row],[Affected population projection 2026]], 0.05)), "")</f>
        <v>0</v>
      </c>
      <c r="X45" s="322">
        <f>IFERROR(IF(tblPiNAnalysis[[#This Row],[Education]]="", "", MROUND(tblPiNAnalysis[[#This Row],[Education]]/tblPiNAnalysis[[#This Row],[Affected population projection 2026]], 0.05)), "")</f>
        <v>0.25</v>
      </c>
      <c r="Y45" s="322">
        <f>IFERROR(IF(tblPiNAnalysis[[#This Row],[Nutrition]]="", "", MROUND(tblPiNAnalysis[[#This Row],[Nutrition]]/tblPiNAnalysis[[#This Row],[Affected population projection 2026]], 0.05)), "")</f>
        <v>0.4</v>
      </c>
      <c r="Z45" s="322">
        <f>IFERROR(IF(tblPiNAnalysis[[#This Row],[Food Security]]="", "", MROUND(tblPiNAnalysis[[#This Row],[Food Security]]/tblPiNAnalysis[[#This Row],[Affected population projection 2026]], 0.05)), "")</f>
        <v>0.8</v>
      </c>
      <c r="AA45" s="322">
        <f>IFERROR(IF(tblPiNAnalysis[[#This Row],[Health]]="", "", MROUND(tblPiNAnalysis[[#This Row],[Health]]/tblPiNAnalysis[[#This Row],[Affected population projection 2026]], 0.05)), "")</f>
        <v>0.5</v>
      </c>
      <c r="AB45" s="323">
        <f>IFERROR(IF(tblPiNAnalysis[[#This Row],[Overarching Protection]]="", "", MROUND(tblPiNAnalysis[[#This Row],[Overarching Protection]]/tblPiNAnalysis[[#This Row],[Affected population projection 2026]], 0.05)), "")</f>
        <v>0.65</v>
      </c>
      <c r="AC45" s="323">
        <f>IFERROR(IF(tblPiNAnalysis[[#This Row],[Shelter]]="", "", MROUND(tblPiNAnalysis[[#This Row],[Shelter]]/tblPiNAnalysis[[#This Row],[Affected population projection 2026]], 0.05)), "")</f>
        <v>0.25</v>
      </c>
      <c r="AD45" s="324">
        <f>IFERROR(IF(tblPiNAnalysis[[#This Row],[WASH]]="", "", MROUND(tblPiNAnalysis[[#This Row],[WASH]]/tblPiNAnalysis[[#This Row],[Affected population projection 2026]], 0.05)), "")</f>
        <v>0.60000000000000009</v>
      </c>
      <c r="AE45" s="322">
        <f>IFERROR(MROUND(tblPiNAnalysis[[#This Row],[CP]]/tblPiNAnalysis[[#This Row],[Affected population projection 2026]], 0.05), "")</f>
        <v>0.35000000000000003</v>
      </c>
      <c r="AF45" s="322">
        <f>IFERROR(MROUND(tblPiNAnalysis[[#This Row],[GBV]]/tblPiNAnalysis[[#This Row],[Affected population projection 2026]], 0.05), "")</f>
        <v>0.4</v>
      </c>
      <c r="AG45" s="322">
        <f>IFERROR(MROUND(tblPiNAnalysis[[#This Row],[Mine Action]]/tblPiNAnalysis[[#This Row],[Affected population projection 2026]], 0.05), "")</f>
        <v>0.1</v>
      </c>
      <c r="AH45" s="322">
        <f>IFERROR(MROUND(tblPiNAnalysis[[#This Row],[HLP]]/tblPiNAnalysis[[#This Row],[Affected population projection 2026]], 0.05), "")</f>
        <v>0.30000000000000004</v>
      </c>
      <c r="AI45" s="325">
        <f>IFERROR(LARGE(tblPiNAnalysis[[#This Row],[CCCM]:[WASH]], 1), "")</f>
        <v>25721.288553470346</v>
      </c>
      <c r="AJ45" s="326" t="str" cm="1">
        <f t="array" ref="AJ45">IF(tblPiNAnalysis[[#This Row],[Highest PiN]]="", "", _xlfn.TEXTJOIN(CHAR(10), TRUE, IF(tblPiNAnalysis[[#This Row],[Highest PiN]]=tblPiNAnalysis[[#This Row],[CCCM]:[WASH]], tblPiNAnalysis[[#Headers],[CCCM]:[WASH]], "")))</f>
        <v>Food Security</v>
      </c>
      <c r="AK45" s="327">
        <f>IF(tblPiNAnalysis[[#This Row],[Highest PiN]]="", "", tblPiNAnalysis[[#This Row],[Highest PiN]]/tblPiNAnalysis[[#This Row],[Affected population projection 2026]])</f>
        <v>0.82444566505923256</v>
      </c>
      <c r="AL45" s="328" t="str">
        <f>IF(SUM(tblPiNAnalysis[[#This Row],[CCCM]:[WASH]])=0, "",IF(COUNTIF(tblPiNAnalysis[[#This Row],[CCCM]:[WASH]],"=0")+COUNTIF(tblPiNAnalysis[[#This Row],[CCCM]:[WASH]],"")&gt;=zero_pin_thresh, "Flagged", ""))</f>
        <v/>
      </c>
      <c r="AM45" s="329" t="str">
        <f>IFERROR(IF(tblPiNAnalysis[[#This Row],[Highest PiN]]="", "", IF(tblPiNAnalysis[[#This Row],[Highest sector(s'') PiN %]]&gt;=flag_pin_perc, "Flagged", "")), "")</f>
        <v/>
      </c>
      <c r="AN45" s="330" t="str" cm="1">
        <f t="array" ref="AN45">IF(tblPiNAnalysis[[#This Row],[Highest PiN]]=0, "",  IF(OR(COUNTIF(tblPiNAnalysis[[#This Row],[Highest sector(s)]],tblSubSectorPopulation[Sector])), "Flagged", ""))</f>
        <v/>
      </c>
      <c r="AO45" s="46" cm="1">
        <f t="array" ref="AO4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20386</v>
      </c>
      <c r="AP45" s="331" t="str" cm="1">
        <f t="array" ref="AP45">IF(tblPiNAnalysis[[#This Row],[2nd Highest PiN]]="", "", _xlfn.TEXTJOIN(CHAR(10), TRUE, IF(tblPiNAnalysis[[#This Row],[2nd Highest PiN]]=tblPiNAnalysis[[#This Row],[CCCM]:[WASH]], tblPiNAnalysis[[#Headers],[CCCM]:[WASH]], "")))</f>
        <v>Overarching Protection</v>
      </c>
      <c r="AQ45" s="36">
        <f>IFERROR(tblPiNAnalysis[[#This Row],[2nd Highest PiN]]/tblPiNAnalysis[[#This Row],[Affected population projection 2026]], "")</f>
        <v>0.65343341150884438</v>
      </c>
      <c r="AR45" s="46">
        <f>IFERROR(tblPiNAnalysis[[#This Row],[Highest PiN]]-tblPiNAnalysis[[#This Row],[2nd Highest PiN]], "")</f>
        <v>5335.2885534703455</v>
      </c>
      <c r="AS45" s="39">
        <f>IFERROR(((tblPiNAnalysis[[#This Row],[Highest PiN]]-tblPiNAnalysis[[#This Row],[2nd Highest PiN]])/tblPiNAnalysis[[#This Row],[2nd Highest PiN]]),"")</f>
        <v>0.26171335982882105</v>
      </c>
      <c r="AT45" s="39" t="str" cm="1">
        <f t="array" ref="AT4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5" s="332" cm="1">
        <f t="array" ref="AU4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18776.743943228539</v>
      </c>
      <c r="AV45" s="190" t="str" cm="1">
        <f t="array" ref="AV45">IF(tblPiNAnalysis[[#This Row],[3rd Highest PiN]]="", "", _xlfn.TEXTJOIN(CHAR(10), TRUE, IF(tblPiNAnalysis[[#This Row],[3rd Highest PiN]]=tblPiNAnalysis[[#This Row],[CCCM]:[WASH]], tblPiNAnalysis[[#Headers],[CCCM]:[WASH]], "")))</f>
        <v>WASH</v>
      </c>
      <c r="AW45" s="190">
        <f>IFERROR(tblPiNAnalysis[[#This Row],[3rd Highest PiN]]/tblPiNAnalysis[[#This Row],[Affected population projection 2026]], "")</f>
        <v>0.60185185185185197</v>
      </c>
      <c r="AX45" s="45">
        <f>IFERROR(tblPiNAnalysis[[#This Row],[Highest PiN]]-tblPiNAnalysis[[#This Row],[3rd Highest PiN]],"")</f>
        <v>6944.5446102418064</v>
      </c>
      <c r="AY45" s="39">
        <f>IFERROR(tblPiNAnalysis[[#This Row],[Difference of PiN between Highest and 3rd Highest]]/tblPiNAnalysis[[#This Row],[3rd Highest PiN]], "")</f>
        <v>0.36984818194457081</v>
      </c>
      <c r="AZ45" s="330" t="str" cm="1">
        <f t="array" ref="AZ4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5" s="300" t="str" cm="1">
        <f t="array" ref="BA45">IFERROR(IF(tblPiNAnalysis[[#This Row],[ID]]="", "", INDEX(tblPiNHistorical[[CCCM]:[WASH]], MATCH(tblPiNAnalysis[[#This Row],[ID]],tblPiNHistorical[ID], 0),MATCH(_xlfn._xlws.FILTER(tblPiNAnalysis[[#Headers],[CCCM]:[WASH]], tblPiNAnalysis[[#This Row],[Highest PiN]]=tblPiNAnalysis[[#This Row],[CCCM]:[WASH]]), tblPiNHistorical[[#Headers],[CCCM]:[WASH]], 0))), "")</f>
        <v/>
      </c>
      <c r="BB45" s="333" t="str" cm="1">
        <f t="array" ref="BB4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5" s="276" t="str" cm="1">
        <f t="array" ref="BC45">IFERROR(IF(tblPiNAnalysis[[#This Row],[ID]]="", "", INDEX(tblPiNHistorical[[CCCM]:[WASH]], MATCH(tblPiNAnalysis[[#This Row],[ID]],tblPiNHistorical[ID], 0),MATCH(_xlfn._xlws.FILTER(tblPiNAnalysis[[#Headers],[CCCM]:[WASH]], tblPiNAnalysis[[#This Row],[2nd Highest PiN]]=tblPiNAnalysis[[#This Row],[CCCM]:[WASH]]), tblPiNHistorical[[#Headers],[CCCM]:[WASH]], 0))), "")</f>
        <v/>
      </c>
      <c r="BD45" s="334" t="str" cm="1">
        <f t="array" ref="BD4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5" s="276">
        <f>INDEX(tblSeverityAnalysis[Final Severity], MATCH(tblPiNAnalysis[[#This Row],[ID]],tblSeverityAnalysis[ID], 0))</f>
        <v>3</v>
      </c>
      <c r="BF45" s="61">
        <f>IF(tblPiNAnalysis[[#This Row],[Severity]]&gt;2,tblPiNAnalysis[[#This Row],[Highest PiN]],)</f>
        <v>25721.288553470346</v>
      </c>
      <c r="BG45" s="191"/>
      <c r="BH45" s="192"/>
      <c r="BI45" s="193">
        <f>COUNTIFS(tblPiNAnalysis[[#This Row],[Number of missing / zero PiNs greater than threshold - Data quality]:[Manual Flag]],"Flagged")</f>
        <v>0</v>
      </c>
      <c r="BJ45" s="96" t="str">
        <f>IF(tblPiNAnalysis[[#This Row],['# Flags]]&gt;0, "Flagged", "")</f>
        <v/>
      </c>
      <c r="BK45" s="326">
        <f>tblPiNAnalysis[[#This Row],[Preliminary PiN]]</f>
        <v>25721.288553470346</v>
      </c>
      <c r="BL45" s="331"/>
    </row>
    <row r="46" spans="1:64" x14ac:dyDescent="0.55000000000000004">
      <c r="A4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SS0604</v>
      </c>
      <c r="B46" s="316" t="s">
        <v>322</v>
      </c>
      <c r="C46" s="317" t="s">
        <v>323</v>
      </c>
      <c r="D46" s="317" t="s">
        <v>330</v>
      </c>
      <c r="E46" s="105" t="s">
        <v>331</v>
      </c>
      <c r="F46" s="100"/>
      <c r="G46" s="34"/>
      <c r="H46" s="34"/>
      <c r="I46" s="97">
        <v>44969.201203905293</v>
      </c>
      <c r="J46" s="97" t="s">
        <v>412</v>
      </c>
      <c r="K46" s="318">
        <v>25145</v>
      </c>
      <c r="L46" s="319">
        <v>8773.086432071088</v>
      </c>
      <c r="M46" s="319">
        <v>15288.695997555973</v>
      </c>
      <c r="N46" s="319">
        <v>32430.489674210403</v>
      </c>
      <c r="O46" s="319">
        <v>24942.84097150544</v>
      </c>
      <c r="P46" s="319">
        <v>31478</v>
      </c>
      <c r="Q46" s="320">
        <v>38545.029603347393</v>
      </c>
      <c r="R46" s="319">
        <v>16238.878212521355</v>
      </c>
      <c r="S46" s="319">
        <v>18773</v>
      </c>
      <c r="T46" s="319">
        <v>17100</v>
      </c>
      <c r="U46" s="319">
        <v>3710</v>
      </c>
      <c r="V46" s="319">
        <v>11710</v>
      </c>
      <c r="W46" s="321">
        <f>IFERROR(IF(tblPiNAnalysis[[#This Row],[CCCM]]="", "", MROUND(tblPiNAnalysis[[#This Row],[CCCM]]/tblPiNAnalysis[[#This Row],[Affected population projection 2026]], 0.05)), "")</f>
        <v>0.55000000000000004</v>
      </c>
      <c r="X46" s="322">
        <f>IFERROR(IF(tblPiNAnalysis[[#This Row],[Education]]="", "", MROUND(tblPiNAnalysis[[#This Row],[Education]]/tblPiNAnalysis[[#This Row],[Affected population projection 2026]], 0.05)), "")</f>
        <v>0.2</v>
      </c>
      <c r="Y46" s="322">
        <f>IFERROR(IF(tblPiNAnalysis[[#This Row],[Nutrition]]="", "", MROUND(tblPiNAnalysis[[#This Row],[Nutrition]]/tblPiNAnalysis[[#This Row],[Affected population projection 2026]], 0.05)), "")</f>
        <v>0.35000000000000003</v>
      </c>
      <c r="Z46" s="322">
        <f>IFERROR(IF(tblPiNAnalysis[[#This Row],[Food Security]]="", "", MROUND(tblPiNAnalysis[[#This Row],[Food Security]]/tblPiNAnalysis[[#This Row],[Affected population projection 2026]], 0.05)), "")</f>
        <v>0.70000000000000007</v>
      </c>
      <c r="AA46" s="322">
        <f>IFERROR(IF(tblPiNAnalysis[[#This Row],[Health]]="", "", MROUND(tblPiNAnalysis[[#This Row],[Health]]/tblPiNAnalysis[[#This Row],[Affected population projection 2026]], 0.05)), "")</f>
        <v>0.55000000000000004</v>
      </c>
      <c r="AB46" s="323">
        <f>IFERROR(IF(tblPiNAnalysis[[#This Row],[Overarching Protection]]="", "", MROUND(tblPiNAnalysis[[#This Row],[Overarching Protection]]/tblPiNAnalysis[[#This Row],[Affected population projection 2026]], 0.05)), "")</f>
        <v>0.70000000000000007</v>
      </c>
      <c r="AC46" s="323">
        <f>IFERROR(IF(tblPiNAnalysis[[#This Row],[Shelter]]="", "", MROUND(tblPiNAnalysis[[#This Row],[Shelter]]/tblPiNAnalysis[[#This Row],[Affected population projection 2026]], 0.05)), "")</f>
        <v>0.85000000000000009</v>
      </c>
      <c r="AD46" s="324">
        <f>IFERROR(IF(tblPiNAnalysis[[#This Row],[WASH]]="", "", MROUND(tblPiNAnalysis[[#This Row],[WASH]]/tblPiNAnalysis[[#This Row],[Affected population projection 2026]], 0.05)), "")</f>
        <v>0.35000000000000003</v>
      </c>
      <c r="AE46" s="322">
        <f>IFERROR(MROUND(tblPiNAnalysis[[#This Row],[CP]]/tblPiNAnalysis[[#This Row],[Affected population projection 2026]], 0.05), "")</f>
        <v>0.4</v>
      </c>
      <c r="AF46" s="322">
        <f>IFERROR(MROUND(tblPiNAnalysis[[#This Row],[GBV]]/tblPiNAnalysis[[#This Row],[Affected population projection 2026]], 0.05), "")</f>
        <v>0.4</v>
      </c>
      <c r="AG46" s="322">
        <f>IFERROR(MROUND(tblPiNAnalysis[[#This Row],[Mine Action]]/tblPiNAnalysis[[#This Row],[Affected population projection 2026]], 0.05), "")</f>
        <v>0.1</v>
      </c>
      <c r="AH46" s="322">
        <f>IFERROR(MROUND(tblPiNAnalysis[[#This Row],[HLP]]/tblPiNAnalysis[[#This Row],[Affected population projection 2026]], 0.05), "")</f>
        <v>0.25</v>
      </c>
      <c r="AI46" s="325">
        <f>IFERROR(LARGE(tblPiNAnalysis[[#This Row],[CCCM]:[WASH]], 1), "")</f>
        <v>38545.029603347393</v>
      </c>
      <c r="AJ46" s="326" t="str" cm="1">
        <f t="array" ref="AJ46">IF(tblPiNAnalysis[[#This Row],[Highest PiN]]="", "", _xlfn.TEXTJOIN(CHAR(10), TRUE, IF(tblPiNAnalysis[[#This Row],[Highest PiN]]=tblPiNAnalysis[[#This Row],[CCCM]:[WASH]], tblPiNAnalysis[[#Headers],[CCCM]:[WASH]], "")))</f>
        <v>Shelter</v>
      </c>
      <c r="AK46" s="327">
        <f>IF(tblPiNAnalysis[[#This Row],[Highest PiN]]="", "", tblPiNAnalysis[[#This Row],[Highest PiN]]/tblPiNAnalysis[[#This Row],[Affected population projection 2026]])</f>
        <v>0.8571428571428571</v>
      </c>
      <c r="AL46" s="328" t="str">
        <f>IF(SUM(tblPiNAnalysis[[#This Row],[CCCM]:[WASH]])=0, "",IF(COUNTIF(tblPiNAnalysis[[#This Row],[CCCM]:[WASH]],"=0")+COUNTIF(tblPiNAnalysis[[#This Row],[CCCM]:[WASH]],"")&gt;=zero_pin_thresh, "Flagged", ""))</f>
        <v/>
      </c>
      <c r="AM46" s="329" t="str">
        <f>IFERROR(IF(tblPiNAnalysis[[#This Row],[Highest PiN]]="", "", IF(tblPiNAnalysis[[#This Row],[Highest sector(s'') PiN %]]&gt;=flag_pin_perc, "Flagged", "")), "")</f>
        <v/>
      </c>
      <c r="AN46" s="330" t="str" cm="1">
        <f t="array" ref="AN46">IF(tblPiNAnalysis[[#This Row],[Highest PiN]]=0, "",  IF(OR(COUNTIF(tblPiNAnalysis[[#This Row],[Highest sector(s)]],tblSubSectorPopulation[Sector])), "Flagged", ""))</f>
        <v/>
      </c>
      <c r="AO46" s="46" cm="1">
        <f t="array" ref="AO4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32430.489674210403</v>
      </c>
      <c r="AP46" s="331" t="str" cm="1">
        <f t="array" ref="AP46">IF(tblPiNAnalysis[[#This Row],[2nd Highest PiN]]="", "", _xlfn.TEXTJOIN(CHAR(10), TRUE, IF(tblPiNAnalysis[[#This Row],[2nd Highest PiN]]=tblPiNAnalysis[[#This Row],[CCCM]:[WASH]], tblPiNAnalysis[[#Headers],[CCCM]:[WASH]], "")))</f>
        <v>Food Security</v>
      </c>
      <c r="AQ46" s="36">
        <f>IFERROR(tblPiNAnalysis[[#This Row],[2nd Highest PiN]]/tblPiNAnalysis[[#This Row],[Affected population projection 2026]], "")</f>
        <v>0.72117113059580029</v>
      </c>
      <c r="AR46" s="46">
        <f>IFERROR(tblPiNAnalysis[[#This Row],[Highest PiN]]-tblPiNAnalysis[[#This Row],[2nd Highest PiN]], "")</f>
        <v>6114.5399291369904</v>
      </c>
      <c r="AS46" s="39">
        <f>IFERROR(((tblPiNAnalysis[[#This Row],[Highest PiN]]-tblPiNAnalysis[[#This Row],[2nd Highest PiN]])/tblPiNAnalysis[[#This Row],[2nd Highest PiN]]),"")</f>
        <v>0.18854294186003109</v>
      </c>
      <c r="AT46" s="39" t="str" cm="1">
        <f t="array" ref="AT4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6" s="332" cm="1">
        <f t="array" ref="AU4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31478</v>
      </c>
      <c r="AV46" s="190" t="str" cm="1">
        <f t="array" ref="AV46">IF(tblPiNAnalysis[[#This Row],[3rd Highest PiN]]="", "", _xlfn.TEXTJOIN(CHAR(10), TRUE, IF(tblPiNAnalysis[[#This Row],[3rd Highest PiN]]=tblPiNAnalysis[[#This Row],[CCCM]:[WASH]], tblPiNAnalysis[[#Headers],[CCCM]:[WASH]], "")))</f>
        <v>Overarching Protection</v>
      </c>
      <c r="AW46" s="190">
        <f>IFERROR(tblPiNAnalysis[[#This Row],[3rd Highest PiN]]/tblPiNAnalysis[[#This Row],[Affected population projection 2026]], "")</f>
        <v>0.69999019678531293</v>
      </c>
      <c r="AX46" s="45">
        <f>IFERROR(tblPiNAnalysis[[#This Row],[Highest PiN]]-tblPiNAnalysis[[#This Row],[3rd Highest PiN]],"")</f>
        <v>7067.0296033473933</v>
      </c>
      <c r="AY46" s="39">
        <f>IFERROR(tblPiNAnalysis[[#This Row],[Difference of PiN between Highest and 3rd Highest]]/tblPiNAnalysis[[#This Row],[3rd Highest PiN]], "")</f>
        <v>0.22450694463903023</v>
      </c>
      <c r="AZ46" s="330" t="str" cm="1">
        <f t="array" ref="AZ4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6" s="300" t="str" cm="1">
        <f t="array" ref="BA46">IFERROR(IF(tblPiNAnalysis[[#This Row],[ID]]="", "", INDEX(tblPiNHistorical[[CCCM]:[WASH]], MATCH(tblPiNAnalysis[[#This Row],[ID]],tblPiNHistorical[ID], 0),MATCH(_xlfn._xlws.FILTER(tblPiNAnalysis[[#Headers],[CCCM]:[WASH]], tblPiNAnalysis[[#This Row],[Highest PiN]]=tblPiNAnalysis[[#This Row],[CCCM]:[WASH]]), tblPiNHistorical[[#Headers],[CCCM]:[WASH]], 0))), "")</f>
        <v/>
      </c>
      <c r="BB46" s="333" t="str" cm="1">
        <f t="array" ref="BB4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6" s="276" t="str" cm="1">
        <f t="array" ref="BC46">IFERROR(IF(tblPiNAnalysis[[#This Row],[ID]]="", "", INDEX(tblPiNHistorical[[CCCM]:[WASH]], MATCH(tblPiNAnalysis[[#This Row],[ID]],tblPiNHistorical[ID], 0),MATCH(_xlfn._xlws.FILTER(tblPiNAnalysis[[#Headers],[CCCM]:[WASH]], tblPiNAnalysis[[#This Row],[2nd Highest PiN]]=tblPiNAnalysis[[#This Row],[CCCM]:[WASH]]), tblPiNHistorical[[#Headers],[CCCM]:[WASH]], 0))), "")</f>
        <v/>
      </c>
      <c r="BD46" s="334" t="str" cm="1">
        <f t="array" ref="BD4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6" s="276">
        <f>INDEX(tblSeverityAnalysis[Final Severity], MATCH(tblPiNAnalysis[[#This Row],[ID]],tblSeverityAnalysis[ID], 0))</f>
        <v>3</v>
      </c>
      <c r="BF46" s="61">
        <f>IF(tblPiNAnalysis[[#This Row],[Severity]]&gt;2,tblPiNAnalysis[[#This Row],[Highest PiN]],)</f>
        <v>38545.029603347393</v>
      </c>
      <c r="BG46" s="191"/>
      <c r="BH46" s="192"/>
      <c r="BI46" s="193">
        <f>COUNTIFS(tblPiNAnalysis[[#This Row],[Number of missing / zero PiNs greater than threshold - Data quality]:[Manual Flag]],"Flagged")</f>
        <v>0</v>
      </c>
      <c r="BJ46" s="96" t="str">
        <f>IF(tblPiNAnalysis[[#This Row],['# Flags]]&gt;0, "Flagged", "")</f>
        <v/>
      </c>
      <c r="BK46" s="326">
        <f>tblPiNAnalysis[[#This Row],[Preliminary PiN]]</f>
        <v>38545.029603347393</v>
      </c>
      <c r="BL46" s="331"/>
    </row>
    <row r="47" spans="1:64" x14ac:dyDescent="0.55000000000000004">
      <c r="A4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SS0605</v>
      </c>
      <c r="B47" s="316" t="s">
        <v>322</v>
      </c>
      <c r="C47" s="317" t="s">
        <v>323</v>
      </c>
      <c r="D47" s="317" t="s">
        <v>332</v>
      </c>
      <c r="E47" s="105" t="s">
        <v>333</v>
      </c>
      <c r="F47" s="100"/>
      <c r="G47" s="34"/>
      <c r="H47" s="34"/>
      <c r="I47" s="97">
        <v>30389.775329136301</v>
      </c>
      <c r="J47" s="97" t="s">
        <v>412</v>
      </c>
      <c r="K47" s="318">
        <v>15678.75</v>
      </c>
      <c r="L47" s="319">
        <v>1377.7508543217234</v>
      </c>
      <c r="M47" s="319">
        <v>12808.60290556908</v>
      </c>
      <c r="N47" s="319">
        <v>22768.814394256126</v>
      </c>
      <c r="O47" s="319">
        <v>14585.685611122632</v>
      </c>
      <c r="P47" s="319">
        <v>21273</v>
      </c>
      <c r="Q47" s="320">
        <v>30389.775329136304</v>
      </c>
      <c r="R47" s="319">
        <v>12381.019578537012</v>
      </c>
      <c r="S47" s="319">
        <v>12988</v>
      </c>
      <c r="T47" s="319">
        <v>10654</v>
      </c>
      <c r="U47" s="319">
        <v>2404</v>
      </c>
      <c r="V47" s="319">
        <v>6916</v>
      </c>
      <c r="W47" s="321">
        <f>IFERROR(IF(tblPiNAnalysis[[#This Row],[CCCM]]="", "", MROUND(tblPiNAnalysis[[#This Row],[CCCM]]/tblPiNAnalysis[[#This Row],[Affected population projection 2026]], 0.05)), "")</f>
        <v>0.5</v>
      </c>
      <c r="X47" s="322">
        <f>IFERROR(IF(tblPiNAnalysis[[#This Row],[Education]]="", "", MROUND(tblPiNAnalysis[[#This Row],[Education]]/tblPiNAnalysis[[#This Row],[Affected population projection 2026]], 0.05)), "")</f>
        <v>0.05</v>
      </c>
      <c r="Y47" s="322">
        <f>IFERROR(IF(tblPiNAnalysis[[#This Row],[Nutrition]]="", "", MROUND(tblPiNAnalysis[[#This Row],[Nutrition]]/tblPiNAnalysis[[#This Row],[Affected population projection 2026]], 0.05)), "")</f>
        <v>0.4</v>
      </c>
      <c r="Z47" s="322">
        <f>IFERROR(IF(tblPiNAnalysis[[#This Row],[Food Security]]="", "", MROUND(tblPiNAnalysis[[#This Row],[Food Security]]/tblPiNAnalysis[[#This Row],[Affected population projection 2026]], 0.05)), "")</f>
        <v>0.75</v>
      </c>
      <c r="AA47" s="322">
        <f>IFERROR(IF(tblPiNAnalysis[[#This Row],[Health]]="", "", MROUND(tblPiNAnalysis[[#This Row],[Health]]/tblPiNAnalysis[[#This Row],[Affected population projection 2026]], 0.05)), "")</f>
        <v>0.5</v>
      </c>
      <c r="AB47" s="323">
        <f>IFERROR(IF(tblPiNAnalysis[[#This Row],[Overarching Protection]]="", "", MROUND(tblPiNAnalysis[[#This Row],[Overarching Protection]]/tblPiNAnalysis[[#This Row],[Affected population projection 2026]], 0.05)), "")</f>
        <v>0.70000000000000007</v>
      </c>
      <c r="AC47" s="323">
        <f>IFERROR(IF(tblPiNAnalysis[[#This Row],[Shelter]]="", "", MROUND(tblPiNAnalysis[[#This Row],[Shelter]]/tblPiNAnalysis[[#This Row],[Affected population projection 2026]], 0.05)), "")</f>
        <v>1</v>
      </c>
      <c r="AD47" s="324">
        <f>IFERROR(IF(tblPiNAnalysis[[#This Row],[WASH]]="", "", MROUND(tblPiNAnalysis[[#This Row],[WASH]]/tblPiNAnalysis[[#This Row],[Affected population projection 2026]], 0.05)), "")</f>
        <v>0.4</v>
      </c>
      <c r="AE47" s="322">
        <f>IFERROR(MROUND(tblPiNAnalysis[[#This Row],[CP]]/tblPiNAnalysis[[#This Row],[Affected population projection 2026]], 0.05), "")</f>
        <v>0.45</v>
      </c>
      <c r="AF47" s="322">
        <f>IFERROR(MROUND(tblPiNAnalysis[[#This Row],[GBV]]/tblPiNAnalysis[[#This Row],[Affected population projection 2026]], 0.05), "")</f>
        <v>0.35000000000000003</v>
      </c>
      <c r="AG47" s="322">
        <f>IFERROR(MROUND(tblPiNAnalysis[[#This Row],[Mine Action]]/tblPiNAnalysis[[#This Row],[Affected population projection 2026]], 0.05), "")</f>
        <v>0.1</v>
      </c>
      <c r="AH47" s="322">
        <f>IFERROR(MROUND(tblPiNAnalysis[[#This Row],[HLP]]/tblPiNAnalysis[[#This Row],[Affected population projection 2026]], 0.05), "")</f>
        <v>0.25</v>
      </c>
      <c r="AI47" s="325">
        <f>IFERROR(LARGE(tblPiNAnalysis[[#This Row],[CCCM]:[WASH]], 1), "")</f>
        <v>30389.775329136304</v>
      </c>
      <c r="AJ47" s="326" t="str" cm="1">
        <f t="array" ref="AJ47">IF(tblPiNAnalysis[[#This Row],[Highest PiN]]="", "", _xlfn.TEXTJOIN(CHAR(10), TRUE, IF(tblPiNAnalysis[[#This Row],[Highest PiN]]=tblPiNAnalysis[[#This Row],[CCCM]:[WASH]], tblPiNAnalysis[[#Headers],[CCCM]:[WASH]], "")))</f>
        <v>Shelter</v>
      </c>
      <c r="AK47" s="327">
        <f>IF(tblPiNAnalysis[[#This Row],[Highest PiN]]="", "", tblPiNAnalysis[[#This Row],[Highest PiN]]/tblPiNAnalysis[[#This Row],[Affected population projection 2026]])</f>
        <v>1.0000000000000002</v>
      </c>
      <c r="AL47" s="328" t="str">
        <f>IF(SUM(tblPiNAnalysis[[#This Row],[CCCM]:[WASH]])=0, "",IF(COUNTIF(tblPiNAnalysis[[#This Row],[CCCM]:[WASH]],"=0")+COUNTIF(tblPiNAnalysis[[#This Row],[CCCM]:[WASH]],"")&gt;=zero_pin_thresh, "Flagged", ""))</f>
        <v/>
      </c>
      <c r="AM47" s="329" t="str">
        <f>IFERROR(IF(tblPiNAnalysis[[#This Row],[Highest PiN]]="", "", IF(tblPiNAnalysis[[#This Row],[Highest sector(s'') PiN %]]&gt;=flag_pin_perc, "Flagged", "")), "")</f>
        <v>Flagged</v>
      </c>
      <c r="AN47" s="330" t="str" cm="1">
        <f t="array" ref="AN47">IF(tblPiNAnalysis[[#This Row],[Highest PiN]]=0, "",  IF(OR(COUNTIF(tblPiNAnalysis[[#This Row],[Highest sector(s)]],tblSubSectorPopulation[Sector])), "Flagged", ""))</f>
        <v/>
      </c>
      <c r="AO47" s="46" cm="1">
        <f t="array" ref="AO4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22768.814394256126</v>
      </c>
      <c r="AP47" s="331" t="str" cm="1">
        <f t="array" ref="AP47">IF(tblPiNAnalysis[[#This Row],[2nd Highest PiN]]="", "", _xlfn.TEXTJOIN(CHAR(10), TRUE, IF(tblPiNAnalysis[[#This Row],[2nd Highest PiN]]=tblPiNAnalysis[[#This Row],[CCCM]:[WASH]], tblPiNAnalysis[[#Headers],[CCCM]:[WASH]], "")))</f>
        <v>Food Security</v>
      </c>
      <c r="AQ47" s="36">
        <f>IFERROR(tblPiNAnalysis[[#This Row],[2nd Highest PiN]]/tblPiNAnalysis[[#This Row],[Affected population projection 2026]], "")</f>
        <v>0.74922615082403876</v>
      </c>
      <c r="AR47" s="46">
        <f>IFERROR(tblPiNAnalysis[[#This Row],[Highest PiN]]-tblPiNAnalysis[[#This Row],[2nd Highest PiN]], "")</f>
        <v>7620.9609348801787</v>
      </c>
      <c r="AS47" s="39">
        <f>IFERROR(((tblPiNAnalysis[[#This Row],[Highest PiN]]-tblPiNAnalysis[[#This Row],[2nd Highest PiN]])/tblPiNAnalysis[[#This Row],[2nd Highest PiN]]),"")</f>
        <v>0.33471048614646853</v>
      </c>
      <c r="AT47" s="39" t="str" cm="1">
        <f t="array" ref="AT4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7" s="332" cm="1">
        <f t="array" ref="AU4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21273</v>
      </c>
      <c r="AV47" s="190" t="str" cm="1">
        <f t="array" ref="AV47">IF(tblPiNAnalysis[[#This Row],[3rd Highest PiN]]="", "", _xlfn.TEXTJOIN(CHAR(10), TRUE, IF(tblPiNAnalysis[[#This Row],[3rd Highest PiN]]=tblPiNAnalysis[[#This Row],[CCCM]:[WASH]], tblPiNAnalysis[[#Headers],[CCCM]:[WASH]], "")))</f>
        <v>Overarching Protection</v>
      </c>
      <c r="AW47" s="190">
        <f>IFERROR(tblPiNAnalysis[[#This Row],[3rd Highest PiN]]/tblPiNAnalysis[[#This Row],[Affected population projection 2026]], "")</f>
        <v>0.70000517508283255</v>
      </c>
      <c r="AX47" s="45">
        <f>IFERROR(tblPiNAnalysis[[#This Row],[Highest PiN]]-tblPiNAnalysis[[#This Row],[3rd Highest PiN]],"")</f>
        <v>9116.7753291363042</v>
      </c>
      <c r="AY47" s="39">
        <f>IFERROR(tblPiNAnalysis[[#This Row],[Difference of PiN between Highest and 3rd Highest]]/tblPiNAnalysis[[#This Row],[3rd Highest PiN]], "")</f>
        <v>0.42856086725597253</v>
      </c>
      <c r="AZ47" s="330" t="str" cm="1">
        <f t="array" ref="AZ4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7" s="300" t="str" cm="1">
        <f t="array" ref="BA47">IFERROR(IF(tblPiNAnalysis[[#This Row],[ID]]="", "", INDEX(tblPiNHistorical[[CCCM]:[WASH]], MATCH(tblPiNAnalysis[[#This Row],[ID]],tblPiNHistorical[ID], 0),MATCH(_xlfn._xlws.FILTER(tblPiNAnalysis[[#Headers],[CCCM]:[WASH]], tblPiNAnalysis[[#This Row],[Highest PiN]]=tblPiNAnalysis[[#This Row],[CCCM]:[WASH]]), tblPiNHistorical[[#Headers],[CCCM]:[WASH]], 0))), "")</f>
        <v/>
      </c>
      <c r="BB47" s="333" t="str" cm="1">
        <f t="array" ref="BB4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7" s="276" t="str" cm="1">
        <f t="array" ref="BC47">IFERROR(IF(tblPiNAnalysis[[#This Row],[ID]]="", "", INDEX(tblPiNHistorical[[CCCM]:[WASH]], MATCH(tblPiNAnalysis[[#This Row],[ID]],tblPiNHistorical[ID], 0),MATCH(_xlfn._xlws.FILTER(tblPiNAnalysis[[#Headers],[CCCM]:[WASH]], tblPiNAnalysis[[#This Row],[2nd Highest PiN]]=tblPiNAnalysis[[#This Row],[CCCM]:[WASH]]), tblPiNHistorical[[#Headers],[CCCM]:[WASH]], 0))), "")</f>
        <v/>
      </c>
      <c r="BD47" s="334" t="str" cm="1">
        <f t="array" ref="BD4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7" s="276">
        <f>INDEX(tblSeverityAnalysis[Final Severity], MATCH(tblPiNAnalysis[[#This Row],[ID]],tblSeverityAnalysis[ID], 0))</f>
        <v>4</v>
      </c>
      <c r="BF47" s="61">
        <f>IF(tblPiNAnalysis[[#This Row],[Severity]]&gt;2,tblPiNAnalysis[[#This Row],[Highest PiN]],)</f>
        <v>30389.775329136304</v>
      </c>
      <c r="BG47" s="191"/>
      <c r="BH47" s="192"/>
      <c r="BI47" s="193">
        <f>COUNTIFS(tblPiNAnalysis[[#This Row],[Number of missing / zero PiNs greater than threshold - Data quality]:[Manual Flag]],"Flagged")</f>
        <v>2</v>
      </c>
      <c r="BJ47" s="96" t="str">
        <f>IF(tblPiNAnalysis[[#This Row],['# Flags]]&gt;0, "Flagged", "")</f>
        <v>Flagged</v>
      </c>
      <c r="BK47" s="326">
        <f>tblPiNAnalysis[[#This Row],[Preliminary PiN]]</f>
        <v>30389.775329136304</v>
      </c>
      <c r="BL47" s="331"/>
    </row>
    <row r="48" spans="1:64" x14ac:dyDescent="0.55000000000000004">
      <c r="A4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SS0606</v>
      </c>
      <c r="B48" s="316" t="s">
        <v>322</v>
      </c>
      <c r="C48" s="317" t="s">
        <v>323</v>
      </c>
      <c r="D48" s="317" t="s">
        <v>334</v>
      </c>
      <c r="E48" s="105" t="s">
        <v>335</v>
      </c>
      <c r="F48" s="100"/>
      <c r="G48" s="34"/>
      <c r="H48" s="34"/>
      <c r="I48" s="97">
        <v>44141.695035855759</v>
      </c>
      <c r="J48" s="97" t="s">
        <v>412</v>
      </c>
      <c r="K48" s="318">
        <v>0</v>
      </c>
      <c r="L48" s="319">
        <v>13507.755956227185</v>
      </c>
      <c r="M48" s="319">
        <v>16137.025442343989</v>
      </c>
      <c r="N48" s="319">
        <v>29153.471897626488</v>
      </c>
      <c r="O48" s="319">
        <v>23834.92627879652</v>
      </c>
      <c r="P48" s="319">
        <v>30899</v>
      </c>
      <c r="Q48" s="320">
        <v>16815.883823183147</v>
      </c>
      <c r="R48" s="319">
        <v>18801.092330086714</v>
      </c>
      <c r="S48" s="319">
        <v>19917</v>
      </c>
      <c r="T48" s="319">
        <v>17178</v>
      </c>
      <c r="U48" s="319">
        <v>3501</v>
      </c>
      <c r="V48" s="319">
        <v>10377</v>
      </c>
      <c r="W48" s="321">
        <f>IFERROR(IF(tblPiNAnalysis[[#This Row],[CCCM]]="", "", MROUND(tblPiNAnalysis[[#This Row],[CCCM]]/tblPiNAnalysis[[#This Row],[Affected population projection 2026]], 0.05)), "")</f>
        <v>0</v>
      </c>
      <c r="X48" s="322">
        <f>IFERROR(IF(tblPiNAnalysis[[#This Row],[Education]]="", "", MROUND(tblPiNAnalysis[[#This Row],[Education]]/tblPiNAnalysis[[#This Row],[Affected population projection 2026]], 0.05)), "")</f>
        <v>0.30000000000000004</v>
      </c>
      <c r="Y48" s="322">
        <f>IFERROR(IF(tblPiNAnalysis[[#This Row],[Nutrition]]="", "", MROUND(tblPiNAnalysis[[#This Row],[Nutrition]]/tblPiNAnalysis[[#This Row],[Affected population projection 2026]], 0.05)), "")</f>
        <v>0.35000000000000003</v>
      </c>
      <c r="Z48" s="322">
        <f>IFERROR(IF(tblPiNAnalysis[[#This Row],[Food Security]]="", "", MROUND(tblPiNAnalysis[[#This Row],[Food Security]]/tblPiNAnalysis[[#This Row],[Affected population projection 2026]], 0.05)), "")</f>
        <v>0.65</v>
      </c>
      <c r="AA48" s="322">
        <f>IFERROR(IF(tblPiNAnalysis[[#This Row],[Health]]="", "", MROUND(tblPiNAnalysis[[#This Row],[Health]]/tblPiNAnalysis[[#This Row],[Affected population projection 2026]], 0.05)), "")</f>
        <v>0.55000000000000004</v>
      </c>
      <c r="AB48" s="323">
        <f>IFERROR(IF(tblPiNAnalysis[[#This Row],[Overarching Protection]]="", "", MROUND(tblPiNAnalysis[[#This Row],[Overarching Protection]]/tblPiNAnalysis[[#This Row],[Affected population projection 2026]], 0.05)), "")</f>
        <v>0.70000000000000007</v>
      </c>
      <c r="AC48" s="323">
        <f>IFERROR(IF(tblPiNAnalysis[[#This Row],[Shelter]]="", "", MROUND(tblPiNAnalysis[[#This Row],[Shelter]]/tblPiNAnalysis[[#This Row],[Affected population projection 2026]], 0.05)), "")</f>
        <v>0.4</v>
      </c>
      <c r="AD48" s="324">
        <f>IFERROR(IF(tblPiNAnalysis[[#This Row],[WASH]]="", "", MROUND(tblPiNAnalysis[[#This Row],[WASH]]/tblPiNAnalysis[[#This Row],[Affected population projection 2026]], 0.05)), "")</f>
        <v>0.45</v>
      </c>
      <c r="AE48" s="322">
        <f>IFERROR(MROUND(tblPiNAnalysis[[#This Row],[CP]]/tblPiNAnalysis[[#This Row],[Affected population projection 2026]], 0.05), "")</f>
        <v>0.45</v>
      </c>
      <c r="AF48" s="322">
        <f>IFERROR(MROUND(tblPiNAnalysis[[#This Row],[GBV]]/tblPiNAnalysis[[#This Row],[Affected population projection 2026]], 0.05), "")</f>
        <v>0.4</v>
      </c>
      <c r="AG48" s="322">
        <f>IFERROR(MROUND(tblPiNAnalysis[[#This Row],[Mine Action]]/tblPiNAnalysis[[#This Row],[Affected population projection 2026]], 0.05), "")</f>
        <v>0.1</v>
      </c>
      <c r="AH48" s="322">
        <f>IFERROR(MROUND(tblPiNAnalysis[[#This Row],[HLP]]/tblPiNAnalysis[[#This Row],[Affected population projection 2026]], 0.05), "")</f>
        <v>0.25</v>
      </c>
      <c r="AI48" s="325">
        <f>IFERROR(LARGE(tblPiNAnalysis[[#This Row],[CCCM]:[WASH]], 1), "")</f>
        <v>30899</v>
      </c>
      <c r="AJ48" s="326" t="str" cm="1">
        <f t="array" ref="AJ48">IF(tblPiNAnalysis[[#This Row],[Highest PiN]]="", "", _xlfn.TEXTJOIN(CHAR(10), TRUE, IF(tblPiNAnalysis[[#This Row],[Highest PiN]]=tblPiNAnalysis[[#This Row],[CCCM]:[WASH]], tblPiNAnalysis[[#Headers],[CCCM]:[WASH]], "")))</f>
        <v>Overarching Protection</v>
      </c>
      <c r="AK48" s="327">
        <f>IF(tblPiNAnalysis[[#This Row],[Highest PiN]]="", "", tblPiNAnalysis[[#This Row],[Highest PiN]]/tblPiNAnalysis[[#This Row],[Affected population projection 2026]])</f>
        <v>0.69999577440107641</v>
      </c>
      <c r="AL48" s="328" t="str">
        <f>IF(SUM(tblPiNAnalysis[[#This Row],[CCCM]:[WASH]])=0, "",IF(COUNTIF(tblPiNAnalysis[[#This Row],[CCCM]:[WASH]],"=0")+COUNTIF(tblPiNAnalysis[[#This Row],[CCCM]:[WASH]],"")&gt;=zero_pin_thresh, "Flagged", ""))</f>
        <v/>
      </c>
      <c r="AM48" s="329" t="str">
        <f>IFERROR(IF(tblPiNAnalysis[[#This Row],[Highest PiN]]="", "", IF(tblPiNAnalysis[[#This Row],[Highest sector(s'') PiN %]]&gt;=flag_pin_perc, "Flagged", "")), "")</f>
        <v/>
      </c>
      <c r="AN48" s="330" t="str" cm="1">
        <f t="array" ref="AN48">IF(tblPiNAnalysis[[#This Row],[Highest PiN]]=0, "",  IF(OR(COUNTIF(tblPiNAnalysis[[#This Row],[Highest sector(s)]],tblSubSectorPopulation[Sector])), "Flagged", ""))</f>
        <v/>
      </c>
      <c r="AO48" s="46" cm="1">
        <f t="array" ref="AO4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29153.471897626488</v>
      </c>
      <c r="AP48" s="331" t="str" cm="1">
        <f t="array" ref="AP48">IF(tblPiNAnalysis[[#This Row],[2nd Highest PiN]]="", "", _xlfn.TEXTJOIN(CHAR(10), TRUE, IF(tblPiNAnalysis[[#This Row],[2nd Highest PiN]]=tblPiNAnalysis[[#This Row],[CCCM]:[WASH]], tblPiNAnalysis[[#Headers],[CCCM]:[WASH]], "")))</f>
        <v>Food Security</v>
      </c>
      <c r="AQ48" s="36">
        <f>IFERROR(tblPiNAnalysis[[#This Row],[2nd Highest PiN]]/tblPiNAnalysis[[#This Row],[Affected population projection 2026]], "")</f>
        <v>0.66045202554966409</v>
      </c>
      <c r="AR48" s="46">
        <f>IFERROR(tblPiNAnalysis[[#This Row],[Highest PiN]]-tblPiNAnalysis[[#This Row],[2nd Highest PiN]], "")</f>
        <v>1745.5281023735115</v>
      </c>
      <c r="AS48" s="39">
        <f>IFERROR(((tblPiNAnalysis[[#This Row],[Highest PiN]]-tblPiNAnalysis[[#This Row],[2nd Highest PiN]])/tblPiNAnalysis[[#This Row],[2nd Highest PiN]]),"")</f>
        <v>5.9873764212475242E-2</v>
      </c>
      <c r="AT48" s="39" t="str" cm="1">
        <f t="array" ref="AT4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8" s="332" cm="1">
        <f t="array" ref="AU4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23834.92627879652</v>
      </c>
      <c r="AV48" s="190" t="str" cm="1">
        <f t="array" ref="AV48">IF(tblPiNAnalysis[[#This Row],[3rd Highest PiN]]="", "", _xlfn.TEXTJOIN(CHAR(10), TRUE, IF(tblPiNAnalysis[[#This Row],[3rd Highest PiN]]=tblPiNAnalysis[[#This Row],[CCCM]:[WASH]], tblPiNAnalysis[[#Headers],[CCCM]:[WASH]], "")))</f>
        <v>Health</v>
      </c>
      <c r="AW48" s="190">
        <f>IFERROR(tblPiNAnalysis[[#This Row],[3rd Highest PiN]]/tblPiNAnalysis[[#This Row],[Affected population projection 2026]], "")</f>
        <v>0.53996400136958267</v>
      </c>
      <c r="AX48" s="45">
        <f>IFERROR(tblPiNAnalysis[[#This Row],[Highest PiN]]-tblPiNAnalysis[[#This Row],[3rd Highest PiN]],"")</f>
        <v>7064.0737212034801</v>
      </c>
      <c r="AY48" s="39">
        <f>IFERROR(tblPiNAnalysis[[#This Row],[Difference of PiN between Highest and 3rd Highest]]/tblPiNAnalysis[[#This Row],[3rd Highest PiN]], "")</f>
        <v>0.29637489281800966</v>
      </c>
      <c r="AZ48" s="330" t="str" cm="1">
        <f t="array" ref="AZ4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8" s="300" t="str" cm="1">
        <f t="array" ref="BA48">IFERROR(IF(tblPiNAnalysis[[#This Row],[ID]]="", "", INDEX(tblPiNHistorical[[CCCM]:[WASH]], MATCH(tblPiNAnalysis[[#This Row],[ID]],tblPiNHistorical[ID], 0),MATCH(_xlfn._xlws.FILTER(tblPiNAnalysis[[#Headers],[CCCM]:[WASH]], tblPiNAnalysis[[#This Row],[Highest PiN]]=tblPiNAnalysis[[#This Row],[CCCM]:[WASH]]), tblPiNHistorical[[#Headers],[CCCM]:[WASH]], 0))), "")</f>
        <v/>
      </c>
      <c r="BB48" s="333" t="str" cm="1">
        <f t="array" ref="BB4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8" s="276" t="str" cm="1">
        <f t="array" ref="BC48">IFERROR(IF(tblPiNAnalysis[[#This Row],[ID]]="", "", INDEX(tblPiNHistorical[[CCCM]:[WASH]], MATCH(tblPiNAnalysis[[#This Row],[ID]],tblPiNHistorical[ID], 0),MATCH(_xlfn._xlws.FILTER(tblPiNAnalysis[[#Headers],[CCCM]:[WASH]], tblPiNAnalysis[[#This Row],[2nd Highest PiN]]=tblPiNAnalysis[[#This Row],[CCCM]:[WASH]]), tblPiNHistorical[[#Headers],[CCCM]:[WASH]], 0))), "")</f>
        <v/>
      </c>
      <c r="BD48" s="334" t="str" cm="1">
        <f t="array" ref="BD4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8" s="276">
        <f>INDEX(tblSeverityAnalysis[Final Severity], MATCH(tblPiNAnalysis[[#This Row],[ID]],tblSeverityAnalysis[ID], 0))</f>
        <v>3</v>
      </c>
      <c r="BF48" s="61">
        <f>IF(tblPiNAnalysis[[#This Row],[Severity]]&gt;2,tblPiNAnalysis[[#This Row],[Highest PiN]],)</f>
        <v>30899</v>
      </c>
      <c r="BG48" s="191"/>
      <c r="BH48" s="192"/>
      <c r="BI48" s="193">
        <f>COUNTIFS(tblPiNAnalysis[[#This Row],[Number of missing / zero PiNs greater than threshold - Data quality]:[Manual Flag]],"Flagged")</f>
        <v>0</v>
      </c>
      <c r="BJ48" s="96" t="str">
        <f>IF(tblPiNAnalysis[[#This Row],['# Flags]]&gt;0, "Flagged", "")</f>
        <v/>
      </c>
      <c r="BK48" s="326">
        <f>tblPiNAnalysis[[#This Row],[Preliminary PiN]]</f>
        <v>30899</v>
      </c>
      <c r="BL48" s="331"/>
    </row>
    <row r="49" spans="1:64" x14ac:dyDescent="0.55000000000000004">
      <c r="A4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SS0607</v>
      </c>
      <c r="B49" s="316" t="s">
        <v>322</v>
      </c>
      <c r="C49" s="317" t="s">
        <v>323</v>
      </c>
      <c r="D49" s="317" t="s">
        <v>336</v>
      </c>
      <c r="E49" s="105" t="s">
        <v>337</v>
      </c>
      <c r="F49" s="100"/>
      <c r="G49" s="34"/>
      <c r="H49" s="34"/>
      <c r="I49" s="97">
        <v>63061.040191389133</v>
      </c>
      <c r="J49" s="97" t="s">
        <v>412</v>
      </c>
      <c r="K49" s="318">
        <v>34478.75</v>
      </c>
      <c r="L49" s="319">
        <v>12479.729405043756</v>
      </c>
      <c r="M49" s="319">
        <v>24607.146779216342</v>
      </c>
      <c r="N49" s="319">
        <v>46221.661749142266</v>
      </c>
      <c r="O49" s="319">
        <v>40518.916515767763</v>
      </c>
      <c r="P49" s="319">
        <v>43485</v>
      </c>
      <c r="Q49" s="320">
        <v>54052.320164047829</v>
      </c>
      <c r="R49" s="319">
        <v>33282.215656566485</v>
      </c>
      <c r="S49" s="319">
        <v>25115</v>
      </c>
      <c r="T49" s="319">
        <v>25029</v>
      </c>
      <c r="U49" s="319">
        <v>5054</v>
      </c>
      <c r="V49" s="319">
        <v>19426</v>
      </c>
      <c r="W49" s="321">
        <f>IFERROR(IF(tblPiNAnalysis[[#This Row],[CCCM]]="", "", MROUND(tblPiNAnalysis[[#This Row],[CCCM]]/tblPiNAnalysis[[#This Row],[Affected population projection 2026]], 0.05)), "")</f>
        <v>0.55000000000000004</v>
      </c>
      <c r="X49" s="322">
        <f>IFERROR(IF(tblPiNAnalysis[[#This Row],[Education]]="", "", MROUND(tblPiNAnalysis[[#This Row],[Education]]/tblPiNAnalysis[[#This Row],[Affected population projection 2026]], 0.05)), "")</f>
        <v>0.2</v>
      </c>
      <c r="Y49" s="322">
        <f>IFERROR(IF(tblPiNAnalysis[[#This Row],[Nutrition]]="", "", MROUND(tblPiNAnalysis[[#This Row],[Nutrition]]/tblPiNAnalysis[[#This Row],[Affected population projection 2026]], 0.05)), "")</f>
        <v>0.4</v>
      </c>
      <c r="Z49" s="322">
        <f>IFERROR(IF(tblPiNAnalysis[[#This Row],[Food Security]]="", "", MROUND(tblPiNAnalysis[[#This Row],[Food Security]]/tblPiNAnalysis[[#This Row],[Affected population projection 2026]], 0.05)), "")</f>
        <v>0.75</v>
      </c>
      <c r="AA49" s="322">
        <f>IFERROR(IF(tblPiNAnalysis[[#This Row],[Health]]="", "", MROUND(tblPiNAnalysis[[#This Row],[Health]]/tblPiNAnalysis[[#This Row],[Affected population projection 2026]], 0.05)), "")</f>
        <v>0.65</v>
      </c>
      <c r="AB49" s="323">
        <f>IFERROR(IF(tblPiNAnalysis[[#This Row],[Overarching Protection]]="", "", MROUND(tblPiNAnalysis[[#This Row],[Overarching Protection]]/tblPiNAnalysis[[#This Row],[Affected population projection 2026]], 0.05)), "")</f>
        <v>0.70000000000000007</v>
      </c>
      <c r="AC49" s="323">
        <f>IFERROR(IF(tblPiNAnalysis[[#This Row],[Shelter]]="", "", MROUND(tblPiNAnalysis[[#This Row],[Shelter]]/tblPiNAnalysis[[#This Row],[Affected population projection 2026]], 0.05)), "")</f>
        <v>0.85000000000000009</v>
      </c>
      <c r="AD49" s="324">
        <f>IFERROR(IF(tblPiNAnalysis[[#This Row],[WASH]]="", "", MROUND(tblPiNAnalysis[[#This Row],[WASH]]/tblPiNAnalysis[[#This Row],[Affected population projection 2026]], 0.05)), "")</f>
        <v>0.55000000000000004</v>
      </c>
      <c r="AE49" s="322">
        <f>IFERROR(MROUND(tblPiNAnalysis[[#This Row],[CP]]/tblPiNAnalysis[[#This Row],[Affected population projection 2026]], 0.05), "")</f>
        <v>0.4</v>
      </c>
      <c r="AF49" s="322">
        <f>IFERROR(MROUND(tblPiNAnalysis[[#This Row],[GBV]]/tblPiNAnalysis[[#This Row],[Affected population projection 2026]], 0.05), "")</f>
        <v>0.4</v>
      </c>
      <c r="AG49" s="322">
        <f>IFERROR(MROUND(tblPiNAnalysis[[#This Row],[Mine Action]]/tblPiNAnalysis[[#This Row],[Affected population projection 2026]], 0.05), "")</f>
        <v>0.1</v>
      </c>
      <c r="AH49" s="322">
        <f>IFERROR(MROUND(tblPiNAnalysis[[#This Row],[HLP]]/tblPiNAnalysis[[#This Row],[Affected population projection 2026]], 0.05), "")</f>
        <v>0.30000000000000004</v>
      </c>
      <c r="AI49" s="325">
        <f>IFERROR(LARGE(tblPiNAnalysis[[#This Row],[CCCM]:[WASH]], 1), "")</f>
        <v>54052.320164047829</v>
      </c>
      <c r="AJ49" s="326" t="str" cm="1">
        <f t="array" ref="AJ49">IF(tblPiNAnalysis[[#This Row],[Highest PiN]]="", "", _xlfn.TEXTJOIN(CHAR(10), TRUE, IF(tblPiNAnalysis[[#This Row],[Highest PiN]]=tblPiNAnalysis[[#This Row],[CCCM]:[WASH]], tblPiNAnalysis[[#Headers],[CCCM]:[WASH]], "")))</f>
        <v>Shelter</v>
      </c>
      <c r="AK49" s="327">
        <f>IF(tblPiNAnalysis[[#This Row],[Highest PiN]]="", "", tblPiNAnalysis[[#This Row],[Highest PiN]]/tblPiNAnalysis[[#This Row],[Affected population projection 2026]])</f>
        <v>0.85714285714285721</v>
      </c>
      <c r="AL49" s="328" t="str">
        <f>IF(SUM(tblPiNAnalysis[[#This Row],[CCCM]:[WASH]])=0, "",IF(COUNTIF(tblPiNAnalysis[[#This Row],[CCCM]:[WASH]],"=0")+COUNTIF(tblPiNAnalysis[[#This Row],[CCCM]:[WASH]],"")&gt;=zero_pin_thresh, "Flagged", ""))</f>
        <v/>
      </c>
      <c r="AM49" s="329" t="str">
        <f>IFERROR(IF(tblPiNAnalysis[[#This Row],[Highest PiN]]="", "", IF(tblPiNAnalysis[[#This Row],[Highest sector(s'') PiN %]]&gt;=flag_pin_perc, "Flagged", "")), "")</f>
        <v/>
      </c>
      <c r="AN49" s="330" t="str" cm="1">
        <f t="array" ref="AN49">IF(tblPiNAnalysis[[#This Row],[Highest PiN]]=0, "",  IF(OR(COUNTIF(tblPiNAnalysis[[#This Row],[Highest sector(s)]],tblSubSectorPopulation[Sector])), "Flagged", ""))</f>
        <v/>
      </c>
      <c r="AO49" s="46" cm="1">
        <f t="array" ref="AO4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46221.661749142266</v>
      </c>
      <c r="AP49" s="331" t="str" cm="1">
        <f t="array" ref="AP49">IF(tblPiNAnalysis[[#This Row],[2nd Highest PiN]]="", "", _xlfn.TEXTJOIN(CHAR(10), TRUE, IF(tblPiNAnalysis[[#This Row],[2nd Highest PiN]]=tblPiNAnalysis[[#This Row],[CCCM]:[WASH]], tblPiNAnalysis[[#Headers],[CCCM]:[WASH]], "")))</f>
        <v>Food Security</v>
      </c>
      <c r="AQ49" s="36">
        <f>IFERROR(tblPiNAnalysis[[#This Row],[2nd Highest PiN]]/tblPiNAnalysis[[#This Row],[Affected population projection 2026]], "")</f>
        <v>0.73296700480772825</v>
      </c>
      <c r="AR49" s="46">
        <f>IFERROR(tblPiNAnalysis[[#This Row],[Highest PiN]]-tblPiNAnalysis[[#This Row],[2nd Highest PiN]], "")</f>
        <v>7830.6584149055634</v>
      </c>
      <c r="AS49" s="39">
        <f>IFERROR(((tblPiNAnalysis[[#This Row],[Highest PiN]]-tblPiNAnalysis[[#This Row],[2nd Highest PiN]])/tblPiNAnalysis[[#This Row],[2nd Highest PiN]]),"")</f>
        <v>0.16941533728070426</v>
      </c>
      <c r="AT49" s="39" t="str" cm="1">
        <f t="array" ref="AT4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9" s="332" cm="1">
        <f t="array" ref="AU4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43485</v>
      </c>
      <c r="AV49" s="190" t="str" cm="1">
        <f t="array" ref="AV49">IF(tblPiNAnalysis[[#This Row],[3rd Highest PiN]]="", "", _xlfn.TEXTJOIN(CHAR(10), TRUE, IF(tblPiNAnalysis[[#This Row],[3rd Highest PiN]]=tblPiNAnalysis[[#This Row],[CCCM]:[WASH]], tblPiNAnalysis[[#Headers],[CCCM]:[WASH]], "")))</f>
        <v>Overarching Protection</v>
      </c>
      <c r="AW49" s="190">
        <f>IFERROR(tblPiNAnalysis[[#This Row],[3rd Highest PiN]]/tblPiNAnalysis[[#This Row],[Affected population projection 2026]], "")</f>
        <v>0.68956997645493634</v>
      </c>
      <c r="AX49" s="45">
        <f>IFERROR(tblPiNAnalysis[[#This Row],[Highest PiN]]-tblPiNAnalysis[[#This Row],[3rd Highest PiN]],"")</f>
        <v>10567.320164047829</v>
      </c>
      <c r="AY49" s="39">
        <f>IFERROR(tblPiNAnalysis[[#This Row],[Difference of PiN between Highest and 3rd Highest]]/tblPiNAnalysis[[#This Row],[3rd Highest PiN]], "")</f>
        <v>0.24301069711504725</v>
      </c>
      <c r="AZ49" s="330" t="str" cm="1">
        <f t="array" ref="AZ4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9" s="300" t="str" cm="1">
        <f t="array" ref="BA49">IFERROR(IF(tblPiNAnalysis[[#This Row],[ID]]="", "", INDEX(tblPiNHistorical[[CCCM]:[WASH]], MATCH(tblPiNAnalysis[[#This Row],[ID]],tblPiNHistorical[ID], 0),MATCH(_xlfn._xlws.FILTER(tblPiNAnalysis[[#Headers],[CCCM]:[WASH]], tblPiNAnalysis[[#This Row],[Highest PiN]]=tblPiNAnalysis[[#This Row],[CCCM]:[WASH]]), tblPiNHistorical[[#Headers],[CCCM]:[WASH]], 0))), "")</f>
        <v/>
      </c>
      <c r="BB49" s="333" t="str" cm="1">
        <f t="array" ref="BB4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9" s="276" t="str" cm="1">
        <f t="array" ref="BC49">IFERROR(IF(tblPiNAnalysis[[#This Row],[ID]]="", "", INDEX(tblPiNHistorical[[CCCM]:[WASH]], MATCH(tblPiNAnalysis[[#This Row],[ID]],tblPiNHistorical[ID], 0),MATCH(_xlfn._xlws.FILTER(tblPiNAnalysis[[#Headers],[CCCM]:[WASH]], tblPiNAnalysis[[#This Row],[2nd Highest PiN]]=tblPiNAnalysis[[#This Row],[CCCM]:[WASH]]), tblPiNHistorical[[#Headers],[CCCM]:[WASH]], 0))), "")</f>
        <v/>
      </c>
      <c r="BD49" s="334" t="str" cm="1">
        <f t="array" ref="BD4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9" s="276">
        <f>INDEX(tblSeverityAnalysis[Final Severity], MATCH(tblPiNAnalysis[[#This Row],[ID]],tblSeverityAnalysis[ID], 0))</f>
        <v>4</v>
      </c>
      <c r="BF49" s="61">
        <f>IF(tblPiNAnalysis[[#This Row],[Severity]]&gt;2,tblPiNAnalysis[[#This Row],[Highest PiN]],)</f>
        <v>54052.320164047829</v>
      </c>
      <c r="BG49" s="191"/>
      <c r="BH49" s="192"/>
      <c r="BI49" s="193">
        <f>COUNTIFS(tblPiNAnalysis[[#This Row],[Number of missing / zero PiNs greater than threshold - Data quality]:[Manual Flag]],"Flagged")</f>
        <v>0</v>
      </c>
      <c r="BJ49" s="96" t="str">
        <f>IF(tblPiNAnalysis[[#This Row],['# Flags]]&gt;0, "Flagged", "")</f>
        <v/>
      </c>
      <c r="BK49" s="326">
        <f>tblPiNAnalysis[[#This Row],[Preliminary PiN]]</f>
        <v>54052.320164047829</v>
      </c>
      <c r="BL49" s="331"/>
    </row>
    <row r="50" spans="1:64" x14ac:dyDescent="0.55000000000000004">
      <c r="A5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SS0608</v>
      </c>
      <c r="B50" s="316" t="s">
        <v>322</v>
      </c>
      <c r="C50" s="317" t="s">
        <v>323</v>
      </c>
      <c r="D50" s="317" t="s">
        <v>338</v>
      </c>
      <c r="E50" s="105" t="s">
        <v>339</v>
      </c>
      <c r="F50" s="100"/>
      <c r="G50" s="34"/>
      <c r="H50" s="34"/>
      <c r="I50" s="97">
        <v>12256.01658411525</v>
      </c>
      <c r="J50" s="97" t="s">
        <v>412</v>
      </c>
      <c r="K50" s="318">
        <v>0</v>
      </c>
      <c r="L50" s="319">
        <v>1850.3643598033841</v>
      </c>
      <c r="M50" s="319">
        <v>4697.5558725250112</v>
      </c>
      <c r="N50" s="319">
        <v>7754.778001379178</v>
      </c>
      <c r="O50" s="319">
        <v>10954.255548004925</v>
      </c>
      <c r="P50" s="319">
        <v>2451</v>
      </c>
      <c r="Q50" s="320">
        <v>5252.5785360493928</v>
      </c>
      <c r="R50" s="319">
        <v>5172.2638795348767</v>
      </c>
      <c r="S50" s="319">
        <v>1767</v>
      </c>
      <c r="T50" s="319">
        <v>1850</v>
      </c>
      <c r="U50" s="319">
        <v>993</v>
      </c>
      <c r="V50" s="319">
        <v>1216</v>
      </c>
      <c r="W50" s="321">
        <f>IFERROR(IF(tblPiNAnalysis[[#This Row],[CCCM]]="", "", MROUND(tblPiNAnalysis[[#This Row],[CCCM]]/tblPiNAnalysis[[#This Row],[Affected population projection 2026]], 0.05)), "")</f>
        <v>0</v>
      </c>
      <c r="X50" s="322">
        <f>IFERROR(IF(tblPiNAnalysis[[#This Row],[Education]]="", "", MROUND(tblPiNAnalysis[[#This Row],[Education]]/tblPiNAnalysis[[#This Row],[Affected population projection 2026]], 0.05)), "")</f>
        <v>0.15000000000000002</v>
      </c>
      <c r="Y50" s="322">
        <f>IFERROR(IF(tblPiNAnalysis[[#This Row],[Nutrition]]="", "", MROUND(tblPiNAnalysis[[#This Row],[Nutrition]]/tblPiNAnalysis[[#This Row],[Affected population projection 2026]], 0.05)), "")</f>
        <v>0.4</v>
      </c>
      <c r="Z50" s="322">
        <f>IFERROR(IF(tblPiNAnalysis[[#This Row],[Food Security]]="", "", MROUND(tblPiNAnalysis[[#This Row],[Food Security]]/tblPiNAnalysis[[#This Row],[Affected population projection 2026]], 0.05)), "")</f>
        <v>0.65</v>
      </c>
      <c r="AA50" s="322">
        <f>IFERROR(IF(tblPiNAnalysis[[#This Row],[Health]]="", "", MROUND(tblPiNAnalysis[[#This Row],[Health]]/tblPiNAnalysis[[#This Row],[Affected population projection 2026]], 0.05)), "")</f>
        <v>0.9</v>
      </c>
      <c r="AB50" s="323">
        <f>IFERROR(IF(tblPiNAnalysis[[#This Row],[Overarching Protection]]="", "", MROUND(tblPiNAnalysis[[#This Row],[Overarching Protection]]/tblPiNAnalysis[[#This Row],[Affected population projection 2026]], 0.05)), "")</f>
        <v>0.2</v>
      </c>
      <c r="AC50" s="323">
        <f>IFERROR(IF(tblPiNAnalysis[[#This Row],[Shelter]]="", "", MROUND(tblPiNAnalysis[[#This Row],[Shelter]]/tblPiNAnalysis[[#This Row],[Affected population projection 2026]], 0.05)), "")</f>
        <v>0.45</v>
      </c>
      <c r="AD50" s="324">
        <f>IFERROR(IF(tblPiNAnalysis[[#This Row],[WASH]]="", "", MROUND(tblPiNAnalysis[[#This Row],[WASH]]/tblPiNAnalysis[[#This Row],[Affected population projection 2026]], 0.05)), "")</f>
        <v>0.4</v>
      </c>
      <c r="AE50" s="322">
        <f>IFERROR(MROUND(tblPiNAnalysis[[#This Row],[CP]]/tblPiNAnalysis[[#This Row],[Affected population projection 2026]], 0.05), "")</f>
        <v>0.15000000000000002</v>
      </c>
      <c r="AF50" s="322">
        <f>IFERROR(MROUND(tblPiNAnalysis[[#This Row],[GBV]]/tblPiNAnalysis[[#This Row],[Affected population projection 2026]], 0.05), "")</f>
        <v>0.15000000000000002</v>
      </c>
      <c r="AG50" s="322">
        <f>IFERROR(MROUND(tblPiNAnalysis[[#This Row],[Mine Action]]/tblPiNAnalysis[[#This Row],[Affected population projection 2026]], 0.05), "")</f>
        <v>0.1</v>
      </c>
      <c r="AH50" s="322">
        <f>IFERROR(MROUND(tblPiNAnalysis[[#This Row],[HLP]]/tblPiNAnalysis[[#This Row],[Affected population projection 2026]], 0.05), "")</f>
        <v>0.1</v>
      </c>
      <c r="AI50" s="325">
        <f>IFERROR(LARGE(tblPiNAnalysis[[#This Row],[CCCM]:[WASH]], 1), "")</f>
        <v>10954.255548004925</v>
      </c>
      <c r="AJ50" s="326" t="str" cm="1">
        <f t="array" ref="AJ50">IF(tblPiNAnalysis[[#This Row],[Highest PiN]]="", "", _xlfn.TEXTJOIN(CHAR(10), TRUE, IF(tblPiNAnalysis[[#This Row],[Highest PiN]]=tblPiNAnalysis[[#This Row],[CCCM]:[WASH]], tblPiNAnalysis[[#Headers],[CCCM]:[WASH]], "")))</f>
        <v>Health</v>
      </c>
      <c r="AK50" s="327">
        <f>IF(tblPiNAnalysis[[#This Row],[Highest PiN]]="", "", tblPiNAnalysis[[#This Row],[Highest PiN]]/tblPiNAnalysis[[#This Row],[Affected population projection 2026]])</f>
        <v>0.89378595996700028</v>
      </c>
      <c r="AL50" s="328" t="str">
        <f>IF(SUM(tblPiNAnalysis[[#This Row],[CCCM]:[WASH]])=0, "",IF(COUNTIF(tblPiNAnalysis[[#This Row],[CCCM]:[WASH]],"=0")+COUNTIF(tblPiNAnalysis[[#This Row],[CCCM]:[WASH]],"")&gt;=zero_pin_thresh, "Flagged", ""))</f>
        <v/>
      </c>
      <c r="AM50" s="329" t="str">
        <f>IFERROR(IF(tblPiNAnalysis[[#This Row],[Highest PiN]]="", "", IF(tblPiNAnalysis[[#This Row],[Highest sector(s'') PiN %]]&gt;=flag_pin_perc, "Flagged", "")), "")</f>
        <v/>
      </c>
      <c r="AN50" s="330" t="str" cm="1">
        <f t="array" ref="AN50">IF(tblPiNAnalysis[[#This Row],[Highest PiN]]=0, "",  IF(OR(COUNTIF(tblPiNAnalysis[[#This Row],[Highest sector(s)]],tblSubSectorPopulation[Sector])), "Flagged", ""))</f>
        <v/>
      </c>
      <c r="AO50" s="46" cm="1">
        <f t="array" ref="AO5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7754.778001379178</v>
      </c>
      <c r="AP50" s="331" t="str" cm="1">
        <f t="array" ref="AP50">IF(tblPiNAnalysis[[#This Row],[2nd Highest PiN]]="", "", _xlfn.TEXTJOIN(CHAR(10), TRUE, IF(tblPiNAnalysis[[#This Row],[2nd Highest PiN]]=tblPiNAnalysis[[#This Row],[CCCM]:[WASH]], tblPiNAnalysis[[#Headers],[CCCM]:[WASH]], "")))</f>
        <v>Food Security</v>
      </c>
      <c r="AQ50" s="36">
        <f>IFERROR(tblPiNAnalysis[[#This Row],[2nd Highest PiN]]/tblPiNAnalysis[[#This Row],[Affected population projection 2026]], "")</f>
        <v>0.63273233584148159</v>
      </c>
      <c r="AR50" s="46">
        <f>IFERROR(tblPiNAnalysis[[#This Row],[Highest PiN]]-tblPiNAnalysis[[#This Row],[2nd Highest PiN]], "")</f>
        <v>3199.477546625747</v>
      </c>
      <c r="AS50" s="39">
        <f>IFERROR(((tblPiNAnalysis[[#This Row],[Highest PiN]]-tblPiNAnalysis[[#This Row],[2nd Highest PiN]])/tblPiNAnalysis[[#This Row],[2nd Highest PiN]]),"")</f>
        <v>0.41258144927639756</v>
      </c>
      <c r="AT50" s="39" t="str" cm="1">
        <f t="array" ref="AT5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0" s="332" cm="1">
        <f t="array" ref="AU5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5252.5785360493928</v>
      </c>
      <c r="AV50" s="190" t="str" cm="1">
        <f t="array" ref="AV50">IF(tblPiNAnalysis[[#This Row],[3rd Highest PiN]]="", "", _xlfn.TEXTJOIN(CHAR(10), TRUE, IF(tblPiNAnalysis[[#This Row],[3rd Highest PiN]]=tblPiNAnalysis[[#This Row],[CCCM]:[WASH]], tblPiNAnalysis[[#Headers],[CCCM]:[WASH]], "")))</f>
        <v>Shelter</v>
      </c>
      <c r="AW50" s="190">
        <f>IFERROR(tblPiNAnalysis[[#This Row],[3rd Highest PiN]]/tblPiNAnalysis[[#This Row],[Affected population projection 2026]], "")</f>
        <v>0.42857142857142855</v>
      </c>
      <c r="AX50" s="45">
        <f>IFERROR(tblPiNAnalysis[[#This Row],[Highest PiN]]-tblPiNAnalysis[[#This Row],[3rd Highest PiN]],"")</f>
        <v>5701.6770119555322</v>
      </c>
      <c r="AY50" s="39">
        <f>IFERROR(tblPiNAnalysis[[#This Row],[Difference of PiN between Highest and 3rd Highest]]/tblPiNAnalysis[[#This Row],[3rd Highest PiN]], "")</f>
        <v>1.0855005732563341</v>
      </c>
      <c r="AZ50" s="330" t="str" cm="1">
        <f t="array" ref="AZ5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0" s="300" t="str" cm="1">
        <f t="array" ref="BA50">IFERROR(IF(tblPiNAnalysis[[#This Row],[ID]]="", "", INDEX(tblPiNHistorical[[CCCM]:[WASH]], MATCH(tblPiNAnalysis[[#This Row],[ID]],tblPiNHistorical[ID], 0),MATCH(_xlfn._xlws.FILTER(tblPiNAnalysis[[#Headers],[CCCM]:[WASH]], tblPiNAnalysis[[#This Row],[Highest PiN]]=tblPiNAnalysis[[#This Row],[CCCM]:[WASH]]), tblPiNHistorical[[#Headers],[CCCM]:[WASH]], 0))), "")</f>
        <v/>
      </c>
      <c r="BB50" s="333" t="str" cm="1">
        <f t="array" ref="BB5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0" s="276" t="str" cm="1">
        <f t="array" ref="BC50">IFERROR(IF(tblPiNAnalysis[[#This Row],[ID]]="", "", INDEX(tblPiNHistorical[[CCCM]:[WASH]], MATCH(tblPiNAnalysis[[#This Row],[ID]],tblPiNHistorical[ID], 0),MATCH(_xlfn._xlws.FILTER(tblPiNAnalysis[[#Headers],[CCCM]:[WASH]], tblPiNAnalysis[[#This Row],[2nd Highest PiN]]=tblPiNAnalysis[[#This Row],[CCCM]:[WASH]]), tblPiNHistorical[[#Headers],[CCCM]:[WASH]], 0))), "")</f>
        <v/>
      </c>
      <c r="BD50" s="334" t="str" cm="1">
        <f t="array" ref="BD5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0" s="276">
        <f>INDEX(tblSeverityAnalysis[Final Severity], MATCH(tblPiNAnalysis[[#This Row],[ID]],tblSeverityAnalysis[ID], 0))</f>
        <v>3</v>
      </c>
      <c r="BF50" s="61">
        <f>IF(tblPiNAnalysis[[#This Row],[Severity]]&gt;2,tblPiNAnalysis[[#This Row],[Highest PiN]],)</f>
        <v>10954.255548004925</v>
      </c>
      <c r="BG50" s="191"/>
      <c r="BH50" s="192"/>
      <c r="BI50" s="193">
        <f>COUNTIFS(tblPiNAnalysis[[#This Row],[Number of missing / zero PiNs greater than threshold - Data quality]:[Manual Flag]],"Flagged")</f>
        <v>2</v>
      </c>
      <c r="BJ50" s="96" t="str">
        <f>IF(tblPiNAnalysis[[#This Row],['# Flags]]&gt;0, "Flagged", "")</f>
        <v>Flagged</v>
      </c>
      <c r="BK50" s="326">
        <f>tblPiNAnalysis[[#This Row],[Preliminary PiN]]</f>
        <v>10954.255548004925</v>
      </c>
      <c r="BL50" s="331"/>
    </row>
    <row r="51" spans="1:64" x14ac:dyDescent="0.55000000000000004">
      <c r="A5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SS0609</v>
      </c>
      <c r="B51" s="316" t="s">
        <v>322</v>
      </c>
      <c r="C51" s="317" t="s">
        <v>323</v>
      </c>
      <c r="D51" s="317" t="s">
        <v>340</v>
      </c>
      <c r="E51" s="105" t="s">
        <v>341</v>
      </c>
      <c r="F51" s="100"/>
      <c r="G51" s="34"/>
      <c r="H51" s="34"/>
      <c r="I51" s="97">
        <v>233351.6448103383</v>
      </c>
      <c r="J51" s="97" t="s">
        <v>412</v>
      </c>
      <c r="K51" s="318">
        <v>233351.6448103383</v>
      </c>
      <c r="L51" s="319">
        <v>64255.662244645791</v>
      </c>
      <c r="M51" s="319">
        <v>74302.744858180435</v>
      </c>
      <c r="N51" s="319">
        <v>193493.98589746177</v>
      </c>
      <c r="O51" s="319">
        <v>147561.08000448596</v>
      </c>
      <c r="P51" s="319">
        <v>162104</v>
      </c>
      <c r="Q51" s="320">
        <v>143193.05476998031</v>
      </c>
      <c r="R51" s="319">
        <v>110193.83227154864</v>
      </c>
      <c r="S51" s="319">
        <v>98262</v>
      </c>
      <c r="T51" s="319">
        <v>92999</v>
      </c>
      <c r="U51" s="319">
        <v>47155</v>
      </c>
      <c r="V51" s="319">
        <v>62408</v>
      </c>
      <c r="W51" s="321">
        <f>IFERROR(IF(tblPiNAnalysis[[#This Row],[CCCM]]="", "", MROUND(tblPiNAnalysis[[#This Row],[CCCM]]/tblPiNAnalysis[[#This Row],[Affected population projection 2026]], 0.05)), "")</f>
        <v>1</v>
      </c>
      <c r="X51" s="322">
        <f>IFERROR(IF(tblPiNAnalysis[[#This Row],[Education]]="", "", MROUND(tblPiNAnalysis[[#This Row],[Education]]/tblPiNAnalysis[[#This Row],[Affected population projection 2026]], 0.05)), "")</f>
        <v>0.30000000000000004</v>
      </c>
      <c r="Y51" s="322">
        <f>IFERROR(IF(tblPiNAnalysis[[#This Row],[Nutrition]]="", "", MROUND(tblPiNAnalysis[[#This Row],[Nutrition]]/tblPiNAnalysis[[#This Row],[Affected population projection 2026]], 0.05)), "")</f>
        <v>0.30000000000000004</v>
      </c>
      <c r="Z51" s="322">
        <f>IFERROR(IF(tblPiNAnalysis[[#This Row],[Food Security]]="", "", MROUND(tblPiNAnalysis[[#This Row],[Food Security]]/tblPiNAnalysis[[#This Row],[Affected population projection 2026]], 0.05)), "")</f>
        <v>0.85000000000000009</v>
      </c>
      <c r="AA51" s="322">
        <f>IFERROR(IF(tblPiNAnalysis[[#This Row],[Health]]="", "", MROUND(tblPiNAnalysis[[#This Row],[Health]]/tblPiNAnalysis[[#This Row],[Affected population projection 2026]], 0.05)), "")</f>
        <v>0.65</v>
      </c>
      <c r="AB51" s="323">
        <f>IFERROR(IF(tblPiNAnalysis[[#This Row],[Overarching Protection]]="", "", MROUND(tblPiNAnalysis[[#This Row],[Overarching Protection]]/tblPiNAnalysis[[#This Row],[Affected population projection 2026]], 0.05)), "")</f>
        <v>0.70000000000000007</v>
      </c>
      <c r="AC51" s="323">
        <f>IFERROR(IF(tblPiNAnalysis[[#This Row],[Shelter]]="", "", MROUND(tblPiNAnalysis[[#This Row],[Shelter]]/tblPiNAnalysis[[#This Row],[Affected population projection 2026]], 0.05)), "")</f>
        <v>0.60000000000000009</v>
      </c>
      <c r="AD51" s="324">
        <f>IFERROR(IF(tblPiNAnalysis[[#This Row],[WASH]]="", "", MROUND(tblPiNAnalysis[[#This Row],[WASH]]/tblPiNAnalysis[[#This Row],[Affected population projection 2026]], 0.05)), "")</f>
        <v>0.45</v>
      </c>
      <c r="AE51" s="322">
        <f>IFERROR(MROUND(tblPiNAnalysis[[#This Row],[CP]]/tblPiNAnalysis[[#This Row],[Affected population projection 2026]], 0.05), "")</f>
        <v>0.4</v>
      </c>
      <c r="AF51" s="322">
        <f>IFERROR(MROUND(tblPiNAnalysis[[#This Row],[GBV]]/tblPiNAnalysis[[#This Row],[Affected population projection 2026]], 0.05), "")</f>
        <v>0.4</v>
      </c>
      <c r="AG51" s="322">
        <f>IFERROR(MROUND(tblPiNAnalysis[[#This Row],[Mine Action]]/tblPiNAnalysis[[#This Row],[Affected population projection 2026]], 0.05), "")</f>
        <v>0.2</v>
      </c>
      <c r="AH51" s="322">
        <f>IFERROR(MROUND(tblPiNAnalysis[[#This Row],[HLP]]/tblPiNAnalysis[[#This Row],[Affected population projection 2026]], 0.05), "")</f>
        <v>0.25</v>
      </c>
      <c r="AI51" s="325">
        <f>IFERROR(LARGE(tblPiNAnalysis[[#This Row],[CCCM]:[WASH]], 1), "")</f>
        <v>233351.6448103383</v>
      </c>
      <c r="AJ51" s="326" t="str" cm="1">
        <f t="array" ref="AJ51">IF(tblPiNAnalysis[[#This Row],[Highest PiN]]="", "", _xlfn.TEXTJOIN(CHAR(10), TRUE, IF(tblPiNAnalysis[[#This Row],[Highest PiN]]=tblPiNAnalysis[[#This Row],[CCCM]:[WASH]], tblPiNAnalysis[[#Headers],[CCCM]:[WASH]], "")))</f>
        <v>CCCM</v>
      </c>
      <c r="AK51" s="327">
        <f>IF(tblPiNAnalysis[[#This Row],[Highest PiN]]="", "", tblPiNAnalysis[[#This Row],[Highest PiN]]/tblPiNAnalysis[[#This Row],[Affected population projection 2026]])</f>
        <v>1</v>
      </c>
      <c r="AL51" s="328" t="str">
        <f>IF(SUM(tblPiNAnalysis[[#This Row],[CCCM]:[WASH]])=0, "",IF(COUNTIF(tblPiNAnalysis[[#This Row],[CCCM]:[WASH]],"=0")+COUNTIF(tblPiNAnalysis[[#This Row],[CCCM]:[WASH]],"")&gt;=zero_pin_thresh, "Flagged", ""))</f>
        <v/>
      </c>
      <c r="AM51" s="329" t="str">
        <f>IFERROR(IF(tblPiNAnalysis[[#This Row],[Highest PiN]]="", "", IF(tblPiNAnalysis[[#This Row],[Highest sector(s'') PiN %]]&gt;=flag_pin_perc, "Flagged", "")), "")</f>
        <v>Flagged</v>
      </c>
      <c r="AN51" s="330" t="str" cm="1">
        <f t="array" ref="AN51">IF(tblPiNAnalysis[[#This Row],[Highest PiN]]=0, "",  IF(OR(COUNTIF(tblPiNAnalysis[[#This Row],[Highest sector(s)]],tblSubSectorPopulation[Sector])), "Flagged", ""))</f>
        <v/>
      </c>
      <c r="AO51" s="46" cm="1">
        <f t="array" ref="AO5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193493.98589746177</v>
      </c>
      <c r="AP51" s="331" t="str" cm="1">
        <f t="array" ref="AP51">IF(tblPiNAnalysis[[#This Row],[2nd Highest PiN]]="", "", _xlfn.TEXTJOIN(CHAR(10), TRUE, IF(tblPiNAnalysis[[#This Row],[2nd Highest PiN]]=tblPiNAnalysis[[#This Row],[CCCM]:[WASH]], tblPiNAnalysis[[#Headers],[CCCM]:[WASH]], "")))</f>
        <v>Food Security</v>
      </c>
      <c r="AQ51" s="36">
        <f>IFERROR(tblPiNAnalysis[[#This Row],[2nd Highest PiN]]/tblPiNAnalysis[[#This Row],[Affected population projection 2026]], "")</f>
        <v>0.82919486620601401</v>
      </c>
      <c r="AR51" s="46">
        <f>IFERROR(tblPiNAnalysis[[#This Row],[Highest PiN]]-tblPiNAnalysis[[#This Row],[2nd Highest PiN]], "")</f>
        <v>39857.658912876534</v>
      </c>
      <c r="AS51" s="39">
        <f>IFERROR(((tblPiNAnalysis[[#This Row],[Highest PiN]]-tblPiNAnalysis[[#This Row],[2nd Highest PiN]])/tblPiNAnalysis[[#This Row],[2nd Highest PiN]]),"")</f>
        <v>0.20598913567266269</v>
      </c>
      <c r="AT51" s="39" t="str" cm="1">
        <f t="array" ref="AT5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1" s="332" cm="1">
        <f t="array" ref="AU5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162104</v>
      </c>
      <c r="AV51" s="190" t="str" cm="1">
        <f t="array" ref="AV51">IF(tblPiNAnalysis[[#This Row],[3rd Highest PiN]]="", "", _xlfn.TEXTJOIN(CHAR(10), TRUE, IF(tblPiNAnalysis[[#This Row],[3rd Highest PiN]]=tblPiNAnalysis[[#This Row],[CCCM]:[WASH]], tblPiNAnalysis[[#Headers],[CCCM]:[WASH]], "")))</f>
        <v>Overarching Protection</v>
      </c>
      <c r="AW51" s="190">
        <f>IFERROR(tblPiNAnalysis[[#This Row],[3rd Highest PiN]]/tblPiNAnalysis[[#This Row],[Affected population projection 2026]], "")</f>
        <v>0.69467691188443781</v>
      </c>
      <c r="AX51" s="45">
        <f>IFERROR(tblPiNAnalysis[[#This Row],[Highest PiN]]-tblPiNAnalysis[[#This Row],[3rd Highest PiN]],"")</f>
        <v>71247.644810338301</v>
      </c>
      <c r="AY51" s="39">
        <f>IFERROR(tblPiNAnalysis[[#This Row],[Difference of PiN between Highest and 3rd Highest]]/tblPiNAnalysis[[#This Row],[3rd Highest PiN]], "")</f>
        <v>0.43951811682832193</v>
      </c>
      <c r="AZ51" s="330" t="str" cm="1">
        <f t="array" ref="AZ5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1" s="300" t="str" cm="1">
        <f t="array" ref="BA51">IFERROR(IF(tblPiNAnalysis[[#This Row],[ID]]="", "", INDEX(tblPiNHistorical[[CCCM]:[WASH]], MATCH(tblPiNAnalysis[[#This Row],[ID]],tblPiNHistorical[ID], 0),MATCH(_xlfn._xlws.FILTER(tblPiNAnalysis[[#Headers],[CCCM]:[WASH]], tblPiNAnalysis[[#This Row],[Highest PiN]]=tblPiNAnalysis[[#This Row],[CCCM]:[WASH]]), tblPiNHistorical[[#Headers],[CCCM]:[WASH]], 0))), "")</f>
        <v/>
      </c>
      <c r="BB51" s="333" t="str" cm="1">
        <f t="array" ref="BB5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1" s="276" t="str" cm="1">
        <f t="array" ref="BC51">IFERROR(IF(tblPiNAnalysis[[#This Row],[ID]]="", "", INDEX(tblPiNHistorical[[CCCM]:[WASH]], MATCH(tblPiNAnalysis[[#This Row],[ID]],tblPiNHistorical[ID], 0),MATCH(_xlfn._xlws.FILTER(tblPiNAnalysis[[#Headers],[CCCM]:[WASH]], tblPiNAnalysis[[#This Row],[2nd Highest PiN]]=tblPiNAnalysis[[#This Row],[CCCM]:[WASH]]), tblPiNHistorical[[#Headers],[CCCM]:[WASH]], 0))), "")</f>
        <v/>
      </c>
      <c r="BD51" s="334" t="str" cm="1">
        <f t="array" ref="BD5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1" s="276">
        <f>INDEX(tblSeverityAnalysis[Final Severity], MATCH(tblPiNAnalysis[[#This Row],[ID]],tblSeverityAnalysis[ID], 0))</f>
        <v>4</v>
      </c>
      <c r="BF51" s="61">
        <f>IF(tblPiNAnalysis[[#This Row],[Severity]]&gt;2,tblPiNAnalysis[[#This Row],[Highest PiN]],)</f>
        <v>233351.6448103383</v>
      </c>
      <c r="BG51" s="191"/>
      <c r="BH51" s="192"/>
      <c r="BI51" s="193">
        <f>COUNTIFS(tblPiNAnalysis[[#This Row],[Number of missing / zero PiNs greater than threshold - Data quality]:[Manual Flag]],"Flagged")</f>
        <v>1</v>
      </c>
      <c r="BJ51" s="96" t="str">
        <f>IF(tblPiNAnalysis[[#This Row],['# Flags]]&gt;0, "Flagged", "")</f>
        <v>Flagged</v>
      </c>
      <c r="BK51" s="326">
        <f>tblPiNAnalysis[[#This Row],[Preliminary PiN]]</f>
        <v>233351.6448103383</v>
      </c>
      <c r="BL51" s="331"/>
    </row>
    <row r="52" spans="1:64" x14ac:dyDescent="0.55000000000000004">
      <c r="A5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SS0701</v>
      </c>
      <c r="B52" s="316" t="s">
        <v>342</v>
      </c>
      <c r="C52" s="317" t="s">
        <v>343</v>
      </c>
      <c r="D52" s="317" t="s">
        <v>344</v>
      </c>
      <c r="E52" s="105" t="s">
        <v>345</v>
      </c>
      <c r="F52" s="100"/>
      <c r="G52" s="34"/>
      <c r="H52" s="34"/>
      <c r="I52" s="97">
        <v>6074.719927136859</v>
      </c>
      <c r="J52" s="97" t="s">
        <v>412</v>
      </c>
      <c r="K52" s="318">
        <v>740</v>
      </c>
      <c r="L52" s="319">
        <v>486.8037560810393</v>
      </c>
      <c r="M52" s="319">
        <v>3347.4854039009592</v>
      </c>
      <c r="N52" s="319">
        <v>4897.2706090857473</v>
      </c>
      <c r="O52" s="319">
        <v>3001.1641404185989</v>
      </c>
      <c r="P52" s="319">
        <v>1215</v>
      </c>
      <c r="Q52" s="320">
        <v>3037.3599635684295</v>
      </c>
      <c r="R52" s="319">
        <v>5455.9984530766233</v>
      </c>
      <c r="S52" s="319">
        <v>981</v>
      </c>
      <c r="T52" s="319">
        <v>927</v>
      </c>
      <c r="U52" s="319">
        <v>493</v>
      </c>
      <c r="V52" s="319">
        <v>496</v>
      </c>
      <c r="W52" s="321">
        <f>IFERROR(IF(tblPiNAnalysis[[#This Row],[CCCM]]="", "", MROUND(tblPiNAnalysis[[#This Row],[CCCM]]/tblPiNAnalysis[[#This Row],[Affected population projection 2026]], 0.05)), "")</f>
        <v>0.1</v>
      </c>
      <c r="X52" s="322">
        <f>IFERROR(IF(tblPiNAnalysis[[#This Row],[Education]]="", "", MROUND(tblPiNAnalysis[[#This Row],[Education]]/tblPiNAnalysis[[#This Row],[Affected population projection 2026]], 0.05)), "")</f>
        <v>0.1</v>
      </c>
      <c r="Y52" s="322">
        <f>IFERROR(IF(tblPiNAnalysis[[#This Row],[Nutrition]]="", "", MROUND(tblPiNAnalysis[[#This Row],[Nutrition]]/tblPiNAnalysis[[#This Row],[Affected population projection 2026]], 0.05)), "")</f>
        <v>0.55000000000000004</v>
      </c>
      <c r="Z52" s="322">
        <f>IFERROR(IF(tblPiNAnalysis[[#This Row],[Food Security]]="", "", MROUND(tblPiNAnalysis[[#This Row],[Food Security]]/tblPiNAnalysis[[#This Row],[Affected population projection 2026]], 0.05)), "")</f>
        <v>0.8</v>
      </c>
      <c r="AA52" s="322">
        <f>IFERROR(IF(tblPiNAnalysis[[#This Row],[Health]]="", "", MROUND(tblPiNAnalysis[[#This Row],[Health]]/tblPiNAnalysis[[#This Row],[Affected population projection 2026]], 0.05)), "")</f>
        <v>0.5</v>
      </c>
      <c r="AB52" s="323">
        <f>IFERROR(IF(tblPiNAnalysis[[#This Row],[Overarching Protection]]="", "", MROUND(tblPiNAnalysis[[#This Row],[Overarching Protection]]/tblPiNAnalysis[[#This Row],[Affected population projection 2026]], 0.05)), "")</f>
        <v>0.2</v>
      </c>
      <c r="AC52" s="323">
        <f>IFERROR(IF(tblPiNAnalysis[[#This Row],[Shelter]]="", "", MROUND(tblPiNAnalysis[[#This Row],[Shelter]]/tblPiNAnalysis[[#This Row],[Affected population projection 2026]], 0.05)), "")</f>
        <v>0.5</v>
      </c>
      <c r="AD52" s="324">
        <f>IFERROR(IF(tblPiNAnalysis[[#This Row],[WASH]]="", "", MROUND(tblPiNAnalysis[[#This Row],[WASH]]/tblPiNAnalysis[[#This Row],[Affected population projection 2026]], 0.05)), "")</f>
        <v>0.9</v>
      </c>
      <c r="AE52" s="322">
        <f>IFERROR(MROUND(tblPiNAnalysis[[#This Row],[CP]]/tblPiNAnalysis[[#This Row],[Affected population projection 2026]], 0.05), "")</f>
        <v>0.15000000000000002</v>
      </c>
      <c r="AF52" s="322">
        <f>IFERROR(MROUND(tblPiNAnalysis[[#This Row],[GBV]]/tblPiNAnalysis[[#This Row],[Affected population projection 2026]], 0.05), "")</f>
        <v>0.15000000000000002</v>
      </c>
      <c r="AG52" s="322">
        <f>IFERROR(MROUND(tblPiNAnalysis[[#This Row],[Mine Action]]/tblPiNAnalysis[[#This Row],[Affected population projection 2026]], 0.05), "")</f>
        <v>0.1</v>
      </c>
      <c r="AH52" s="322">
        <f>IFERROR(MROUND(tblPiNAnalysis[[#This Row],[HLP]]/tblPiNAnalysis[[#This Row],[Affected population projection 2026]], 0.05), "")</f>
        <v>0.1</v>
      </c>
      <c r="AI52" s="325">
        <f>IFERROR(LARGE(tblPiNAnalysis[[#This Row],[CCCM]:[WASH]], 1), "")</f>
        <v>5455.9984530766233</v>
      </c>
      <c r="AJ52" s="326" t="str" cm="1">
        <f t="array" ref="AJ52">IF(tblPiNAnalysis[[#This Row],[Highest PiN]]="", "", _xlfn.TEXTJOIN(CHAR(10), TRUE, IF(tblPiNAnalysis[[#This Row],[Highest PiN]]=tblPiNAnalysis[[#This Row],[CCCM]:[WASH]], tblPiNAnalysis[[#Headers],[CCCM]:[WASH]], "")))</f>
        <v>WASH</v>
      </c>
      <c r="AK52" s="327">
        <f>IF(tblPiNAnalysis[[#This Row],[Highest PiN]]="", "", tblPiNAnalysis[[#This Row],[Highest PiN]]/tblPiNAnalysis[[#This Row],[Affected population projection 2026]])</f>
        <v>0.89814814814814814</v>
      </c>
      <c r="AL52" s="328" t="str">
        <f>IF(SUM(tblPiNAnalysis[[#This Row],[CCCM]:[WASH]])=0, "",IF(COUNTIF(tblPiNAnalysis[[#This Row],[CCCM]:[WASH]],"=0")+COUNTIF(tblPiNAnalysis[[#This Row],[CCCM]:[WASH]],"")&gt;=zero_pin_thresh, "Flagged", ""))</f>
        <v/>
      </c>
      <c r="AM52" s="329" t="str">
        <f>IFERROR(IF(tblPiNAnalysis[[#This Row],[Highest PiN]]="", "", IF(tblPiNAnalysis[[#This Row],[Highest sector(s'') PiN %]]&gt;=flag_pin_perc, "Flagged", "")), "")</f>
        <v/>
      </c>
      <c r="AN52" s="330" t="str" cm="1">
        <f t="array" ref="AN52">IF(tblPiNAnalysis[[#This Row],[Highest PiN]]=0, "",  IF(OR(COUNTIF(tblPiNAnalysis[[#This Row],[Highest sector(s)]],tblSubSectorPopulation[Sector])), "Flagged", ""))</f>
        <v/>
      </c>
      <c r="AO52" s="46" cm="1">
        <f t="array" ref="AO5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4897.2706090857473</v>
      </c>
      <c r="AP52" s="331" t="str" cm="1">
        <f t="array" ref="AP52">IF(tblPiNAnalysis[[#This Row],[2nd Highest PiN]]="", "", _xlfn.TEXTJOIN(CHAR(10), TRUE, IF(tblPiNAnalysis[[#This Row],[2nd Highest PiN]]=tblPiNAnalysis[[#This Row],[CCCM]:[WASH]], tblPiNAnalysis[[#Headers],[CCCM]:[WASH]], "")))</f>
        <v>Food Security</v>
      </c>
      <c r="AQ52" s="36">
        <f>IFERROR(tblPiNAnalysis[[#This Row],[2nd Highest PiN]]/tblPiNAnalysis[[#This Row],[Affected population projection 2026]], "")</f>
        <v>0.80617224626418815</v>
      </c>
      <c r="AR52" s="46">
        <f>IFERROR(tblPiNAnalysis[[#This Row],[Highest PiN]]-tblPiNAnalysis[[#This Row],[2nd Highest PiN]], "")</f>
        <v>558.72784399087595</v>
      </c>
      <c r="AS52" s="39">
        <f>IFERROR(((tblPiNAnalysis[[#This Row],[Highest PiN]]-tblPiNAnalysis[[#This Row],[2nd Highest PiN]])/tblPiNAnalysis[[#This Row],[2nd Highest PiN]]),"")</f>
        <v>0.11408964065703993</v>
      </c>
      <c r="AT52" s="39" t="str" cm="1">
        <f t="array" ref="AT5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2" s="332" cm="1">
        <f t="array" ref="AU5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3347.4854039009592</v>
      </c>
      <c r="AV52" s="190" t="str" cm="1">
        <f t="array" ref="AV52">IF(tblPiNAnalysis[[#This Row],[3rd Highest PiN]]="", "", _xlfn.TEXTJOIN(CHAR(10), TRUE, IF(tblPiNAnalysis[[#This Row],[3rd Highest PiN]]=tblPiNAnalysis[[#This Row],[CCCM]:[WASH]], tblPiNAnalysis[[#Headers],[CCCM]:[WASH]], "")))</f>
        <v>Nutrition</v>
      </c>
      <c r="AW52" s="190">
        <f>IFERROR(tblPiNAnalysis[[#This Row],[3rd Highest PiN]]/tblPiNAnalysis[[#This Row],[Affected population projection 2026]], "")</f>
        <v>0.55105180881626226</v>
      </c>
      <c r="AX52" s="45">
        <f>IFERROR(tblPiNAnalysis[[#This Row],[Highest PiN]]-tblPiNAnalysis[[#This Row],[3rd Highest PiN]],"")</f>
        <v>2108.513049175664</v>
      </c>
      <c r="AY52" s="39">
        <f>IFERROR(tblPiNAnalysis[[#This Row],[Difference of PiN between Highest and 3rd Highest]]/tblPiNAnalysis[[#This Row],[3rd Highest PiN]], "")</f>
        <v>0.62987968423059559</v>
      </c>
      <c r="AZ52" s="330" t="str" cm="1">
        <f t="array" ref="AZ5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2" s="300" t="str" cm="1">
        <f t="array" ref="BA52">IFERROR(IF(tblPiNAnalysis[[#This Row],[ID]]="", "", INDEX(tblPiNHistorical[[CCCM]:[WASH]], MATCH(tblPiNAnalysis[[#This Row],[ID]],tblPiNHistorical[ID], 0),MATCH(_xlfn._xlws.FILTER(tblPiNAnalysis[[#Headers],[CCCM]:[WASH]], tblPiNAnalysis[[#This Row],[Highest PiN]]=tblPiNAnalysis[[#This Row],[CCCM]:[WASH]]), tblPiNHistorical[[#Headers],[CCCM]:[WASH]], 0))), "")</f>
        <v/>
      </c>
      <c r="BB52" s="333" t="str" cm="1">
        <f t="array" ref="BB5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2" s="276" t="str" cm="1">
        <f t="array" ref="BC52">IFERROR(IF(tblPiNAnalysis[[#This Row],[ID]]="", "", INDEX(tblPiNHistorical[[CCCM]:[WASH]], MATCH(tblPiNAnalysis[[#This Row],[ID]],tblPiNHistorical[ID], 0),MATCH(_xlfn._xlws.FILTER(tblPiNAnalysis[[#Headers],[CCCM]:[WASH]], tblPiNAnalysis[[#This Row],[2nd Highest PiN]]=tblPiNAnalysis[[#This Row],[CCCM]:[WASH]]), tblPiNHistorical[[#Headers],[CCCM]:[WASH]], 0))), "")</f>
        <v/>
      </c>
      <c r="BD52" s="334" t="str" cm="1">
        <f t="array" ref="BD5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2" s="276">
        <f>INDEX(tblSeverityAnalysis[Final Severity], MATCH(tblPiNAnalysis[[#This Row],[ID]],tblSeverityAnalysis[ID], 0))</f>
        <v>4</v>
      </c>
      <c r="BF52" s="61">
        <f>IF(tblPiNAnalysis[[#This Row],[Severity]]&gt;2,tblPiNAnalysis[[#This Row],[Highest PiN]],)</f>
        <v>5455.9984530766233</v>
      </c>
      <c r="BG52" s="191"/>
      <c r="BH52" s="192"/>
      <c r="BI52" s="193">
        <f>COUNTIFS(tblPiNAnalysis[[#This Row],[Number of missing / zero PiNs greater than threshold - Data quality]:[Manual Flag]],"Flagged")</f>
        <v>1</v>
      </c>
      <c r="BJ52" s="96" t="str">
        <f>IF(tblPiNAnalysis[[#This Row],['# Flags]]&gt;0, "Flagged", "")</f>
        <v>Flagged</v>
      </c>
      <c r="BK52" s="326">
        <f>tblPiNAnalysis[[#This Row],[Preliminary PiN]]</f>
        <v>5455.9984530766233</v>
      </c>
      <c r="BL52" s="331"/>
    </row>
    <row r="53" spans="1:64" x14ac:dyDescent="0.55000000000000004">
      <c r="A5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SS0702</v>
      </c>
      <c r="B53" s="316" t="s">
        <v>342</v>
      </c>
      <c r="C53" s="317" t="s">
        <v>343</v>
      </c>
      <c r="D53" s="317" t="s">
        <v>346</v>
      </c>
      <c r="E53" s="105" t="s">
        <v>347</v>
      </c>
      <c r="F53" s="100"/>
      <c r="G53" s="34"/>
      <c r="H53" s="34"/>
      <c r="I53" s="97">
        <v>30713.015967447398</v>
      </c>
      <c r="J53" s="97" t="s">
        <v>412</v>
      </c>
      <c r="K53" s="318">
        <v>19468.75</v>
      </c>
      <c r="L53" s="319">
        <v>10474.612669666001</v>
      </c>
      <c r="M53" s="319">
        <v>9891.9663615882655</v>
      </c>
      <c r="N53" s="319">
        <v>21266.865942258526</v>
      </c>
      <c r="O53" s="319">
        <v>13521.010083917387</v>
      </c>
      <c r="P53" s="319">
        <v>24497</v>
      </c>
      <c r="Q53" s="320">
        <v>24570.41277395792</v>
      </c>
      <c r="R53" s="319">
        <v>29304.162023986508</v>
      </c>
      <c r="S53" s="319">
        <v>10955</v>
      </c>
      <c r="T53" s="319">
        <v>16220</v>
      </c>
      <c r="U53" s="319">
        <v>16201</v>
      </c>
      <c r="V53" s="319">
        <v>10867</v>
      </c>
      <c r="W53" s="321">
        <f>IFERROR(IF(tblPiNAnalysis[[#This Row],[CCCM]]="", "", MROUND(tblPiNAnalysis[[#This Row],[CCCM]]/tblPiNAnalysis[[#This Row],[Affected population projection 2026]], 0.05)), "")</f>
        <v>0.65</v>
      </c>
      <c r="X53" s="322">
        <f>IFERROR(IF(tblPiNAnalysis[[#This Row],[Education]]="", "", MROUND(tblPiNAnalysis[[#This Row],[Education]]/tblPiNAnalysis[[#This Row],[Affected population projection 2026]], 0.05)), "")</f>
        <v>0.35000000000000003</v>
      </c>
      <c r="Y53" s="322">
        <f>IFERROR(IF(tblPiNAnalysis[[#This Row],[Nutrition]]="", "", MROUND(tblPiNAnalysis[[#This Row],[Nutrition]]/tblPiNAnalysis[[#This Row],[Affected population projection 2026]], 0.05)), "")</f>
        <v>0.30000000000000004</v>
      </c>
      <c r="Z53" s="322">
        <f>IFERROR(IF(tblPiNAnalysis[[#This Row],[Food Security]]="", "", MROUND(tblPiNAnalysis[[#This Row],[Food Security]]/tblPiNAnalysis[[#This Row],[Affected population projection 2026]], 0.05)), "")</f>
        <v>0.70000000000000007</v>
      </c>
      <c r="AA53" s="322">
        <f>IFERROR(IF(tblPiNAnalysis[[#This Row],[Health]]="", "", MROUND(tblPiNAnalysis[[#This Row],[Health]]/tblPiNAnalysis[[#This Row],[Affected population projection 2026]], 0.05)), "")</f>
        <v>0.45</v>
      </c>
      <c r="AB53" s="323">
        <f>IFERROR(IF(tblPiNAnalysis[[#This Row],[Overarching Protection]]="", "", MROUND(tblPiNAnalysis[[#This Row],[Overarching Protection]]/tblPiNAnalysis[[#This Row],[Affected population projection 2026]], 0.05)), "")</f>
        <v>0.8</v>
      </c>
      <c r="AC53" s="323">
        <f>IFERROR(IF(tblPiNAnalysis[[#This Row],[Shelter]]="", "", MROUND(tblPiNAnalysis[[#This Row],[Shelter]]/tblPiNAnalysis[[#This Row],[Affected population projection 2026]], 0.05)), "")</f>
        <v>0.8</v>
      </c>
      <c r="AD53" s="324">
        <f>IFERROR(IF(tblPiNAnalysis[[#This Row],[WASH]]="", "", MROUND(tblPiNAnalysis[[#This Row],[WASH]]/tblPiNAnalysis[[#This Row],[Affected population projection 2026]], 0.05)), "")</f>
        <v>0.95000000000000007</v>
      </c>
      <c r="AE53" s="322">
        <f>IFERROR(MROUND(tblPiNAnalysis[[#This Row],[CP]]/tblPiNAnalysis[[#This Row],[Affected population projection 2026]], 0.05), "")</f>
        <v>0.35000000000000003</v>
      </c>
      <c r="AF53" s="322">
        <f>IFERROR(MROUND(tblPiNAnalysis[[#This Row],[GBV]]/tblPiNAnalysis[[#This Row],[Affected population projection 2026]], 0.05), "")</f>
        <v>0.55000000000000004</v>
      </c>
      <c r="AG53" s="322">
        <f>IFERROR(MROUND(tblPiNAnalysis[[#This Row],[Mine Action]]/tblPiNAnalysis[[#This Row],[Affected population projection 2026]], 0.05), "")</f>
        <v>0.55000000000000004</v>
      </c>
      <c r="AH53" s="322">
        <f>IFERROR(MROUND(tblPiNAnalysis[[#This Row],[HLP]]/tblPiNAnalysis[[#This Row],[Affected population projection 2026]], 0.05), "")</f>
        <v>0.35000000000000003</v>
      </c>
      <c r="AI53" s="325">
        <f>IFERROR(LARGE(tblPiNAnalysis[[#This Row],[CCCM]:[WASH]], 1), "")</f>
        <v>29304.162023986508</v>
      </c>
      <c r="AJ53" s="326" t="str" cm="1">
        <f t="array" ref="AJ53">IF(tblPiNAnalysis[[#This Row],[Highest PiN]]="", "", _xlfn.TEXTJOIN(CHAR(10), TRUE, IF(tblPiNAnalysis[[#This Row],[Highest PiN]]=tblPiNAnalysis[[#This Row],[CCCM]:[WASH]], tblPiNAnalysis[[#Headers],[CCCM]:[WASH]], "")))</f>
        <v>WASH</v>
      </c>
      <c r="AK53" s="327">
        <f>IF(tblPiNAnalysis[[#This Row],[Highest PiN]]="", "", tblPiNAnalysis[[#This Row],[Highest PiN]]/tblPiNAnalysis[[#This Row],[Affected population projection 2026]])</f>
        <v>0.95412844036697242</v>
      </c>
      <c r="AL53" s="328" t="str">
        <f>IF(SUM(tblPiNAnalysis[[#This Row],[CCCM]:[WASH]])=0, "",IF(COUNTIF(tblPiNAnalysis[[#This Row],[CCCM]:[WASH]],"=0")+COUNTIF(tblPiNAnalysis[[#This Row],[CCCM]:[WASH]],"")&gt;=zero_pin_thresh, "Flagged", ""))</f>
        <v/>
      </c>
      <c r="AM53" s="329" t="str">
        <f>IFERROR(IF(tblPiNAnalysis[[#This Row],[Highest PiN]]="", "", IF(tblPiNAnalysis[[#This Row],[Highest sector(s'') PiN %]]&gt;=flag_pin_perc, "Flagged", "")), "")</f>
        <v>Flagged</v>
      </c>
      <c r="AN53" s="330" t="str" cm="1">
        <f t="array" ref="AN53">IF(tblPiNAnalysis[[#This Row],[Highest PiN]]=0, "",  IF(OR(COUNTIF(tblPiNAnalysis[[#This Row],[Highest sector(s)]],tblSubSectorPopulation[Sector])), "Flagged", ""))</f>
        <v/>
      </c>
      <c r="AO53" s="46" cm="1">
        <f t="array" ref="AO5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24570.41277395792</v>
      </c>
      <c r="AP53" s="331" t="str" cm="1">
        <f t="array" ref="AP53">IF(tblPiNAnalysis[[#This Row],[2nd Highest PiN]]="", "", _xlfn.TEXTJOIN(CHAR(10), TRUE, IF(tblPiNAnalysis[[#This Row],[2nd Highest PiN]]=tblPiNAnalysis[[#This Row],[CCCM]:[WASH]], tblPiNAnalysis[[#Headers],[CCCM]:[WASH]], "")))</f>
        <v>Shelter</v>
      </c>
      <c r="AQ53" s="36">
        <f>IFERROR(tblPiNAnalysis[[#This Row],[2nd Highest PiN]]/tblPiNAnalysis[[#This Row],[Affected population projection 2026]], "")</f>
        <v>0.8</v>
      </c>
      <c r="AR53" s="46">
        <f>IFERROR(tblPiNAnalysis[[#This Row],[Highest PiN]]-tblPiNAnalysis[[#This Row],[2nd Highest PiN]], "")</f>
        <v>4733.749250028588</v>
      </c>
      <c r="AS53" s="39">
        <f>IFERROR(((tblPiNAnalysis[[#This Row],[Highest PiN]]-tblPiNAnalysis[[#This Row],[2nd Highest PiN]])/tblPiNAnalysis[[#This Row],[2nd Highest PiN]]),"")</f>
        <v>0.19266055045871552</v>
      </c>
      <c r="AT53" s="39" t="str" cm="1">
        <f t="array" ref="AT5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3" s="332" cm="1">
        <f t="array" ref="AU5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24497</v>
      </c>
      <c r="AV53" s="190" t="str" cm="1">
        <f t="array" ref="AV53">IF(tblPiNAnalysis[[#This Row],[3rd Highest PiN]]="", "", _xlfn.TEXTJOIN(CHAR(10), TRUE, IF(tblPiNAnalysis[[#This Row],[3rd Highest PiN]]=tblPiNAnalysis[[#This Row],[CCCM]:[WASH]], tblPiNAnalysis[[#Headers],[CCCM]:[WASH]], "")))</f>
        <v>Overarching Protection</v>
      </c>
      <c r="AW53" s="190">
        <f>IFERROR(tblPiNAnalysis[[#This Row],[3rd Highest PiN]]/tblPiNAnalysis[[#This Row],[Affected population projection 2026]], "")</f>
        <v>0.79760971784614942</v>
      </c>
      <c r="AX53" s="45">
        <f>IFERROR(tblPiNAnalysis[[#This Row],[Highest PiN]]-tblPiNAnalysis[[#This Row],[3rd Highest PiN]],"")</f>
        <v>4807.1620239865078</v>
      </c>
      <c r="AY53" s="39">
        <f>IFERROR(tblPiNAnalysis[[#This Row],[Difference of PiN between Highest and 3rd Highest]]/tblPiNAnalysis[[#This Row],[3rd Highest PiN]], "")</f>
        <v>0.19623472359825725</v>
      </c>
      <c r="AZ53" s="330" t="str" cm="1">
        <f t="array" ref="AZ5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3" s="300" t="str" cm="1">
        <f t="array" ref="BA53">IFERROR(IF(tblPiNAnalysis[[#This Row],[ID]]="", "", INDEX(tblPiNHistorical[[CCCM]:[WASH]], MATCH(tblPiNAnalysis[[#This Row],[ID]],tblPiNHistorical[ID], 0),MATCH(_xlfn._xlws.FILTER(tblPiNAnalysis[[#Headers],[CCCM]:[WASH]], tblPiNAnalysis[[#This Row],[Highest PiN]]=tblPiNAnalysis[[#This Row],[CCCM]:[WASH]]), tblPiNHistorical[[#Headers],[CCCM]:[WASH]], 0))), "")</f>
        <v/>
      </c>
      <c r="BB53" s="333" t="str" cm="1">
        <f t="array" ref="BB5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3" s="276" t="str" cm="1">
        <f t="array" ref="BC53">IFERROR(IF(tblPiNAnalysis[[#This Row],[ID]]="", "", INDEX(tblPiNHistorical[[CCCM]:[WASH]], MATCH(tblPiNAnalysis[[#This Row],[ID]],tblPiNHistorical[ID], 0),MATCH(_xlfn._xlws.FILTER(tblPiNAnalysis[[#Headers],[CCCM]:[WASH]], tblPiNAnalysis[[#This Row],[2nd Highest PiN]]=tblPiNAnalysis[[#This Row],[CCCM]:[WASH]]), tblPiNHistorical[[#Headers],[CCCM]:[WASH]], 0))), "")</f>
        <v/>
      </c>
      <c r="BD53" s="334" t="str" cm="1">
        <f t="array" ref="BD5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3" s="276">
        <f>INDEX(tblSeverityAnalysis[Final Severity], MATCH(tblPiNAnalysis[[#This Row],[ID]],tblSeverityAnalysis[ID], 0))</f>
        <v>4</v>
      </c>
      <c r="BF53" s="61">
        <f>IF(tblPiNAnalysis[[#This Row],[Severity]]&gt;2,tblPiNAnalysis[[#This Row],[Highest PiN]],)</f>
        <v>29304.162023986508</v>
      </c>
      <c r="BG53" s="191"/>
      <c r="BH53" s="192"/>
      <c r="BI53" s="193">
        <f>COUNTIFS(tblPiNAnalysis[[#This Row],[Number of missing / zero PiNs greater than threshold - Data quality]:[Manual Flag]],"Flagged")</f>
        <v>1</v>
      </c>
      <c r="BJ53" s="96" t="str">
        <f>IF(tblPiNAnalysis[[#This Row],['# Flags]]&gt;0, "Flagged", "")</f>
        <v>Flagged</v>
      </c>
      <c r="BK53" s="326">
        <f>tblPiNAnalysis[[#This Row],[Preliminary PiN]]</f>
        <v>29304.162023986508</v>
      </c>
      <c r="BL53" s="331"/>
    </row>
    <row r="54" spans="1:64" x14ac:dyDescent="0.55000000000000004">
      <c r="A5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SS0703</v>
      </c>
      <c r="B54" s="316" t="s">
        <v>342</v>
      </c>
      <c r="C54" s="317" t="s">
        <v>343</v>
      </c>
      <c r="D54" s="317" t="s">
        <v>348</v>
      </c>
      <c r="E54" s="105" t="s">
        <v>349</v>
      </c>
      <c r="F54" s="100"/>
      <c r="G54" s="34"/>
      <c r="H54" s="34"/>
      <c r="I54" s="97">
        <v>4270.8268474169781</v>
      </c>
      <c r="J54" s="97" t="s">
        <v>412</v>
      </c>
      <c r="K54" s="318">
        <v>0</v>
      </c>
      <c r="L54" s="319">
        <v>1471.4770882493167</v>
      </c>
      <c r="M54" s="319">
        <v>1455.4663953559398</v>
      </c>
      <c r="N54" s="319">
        <v>3884.6441218386626</v>
      </c>
      <c r="O54" s="319">
        <v>1854.771206867475</v>
      </c>
      <c r="P54" s="319">
        <v>3417</v>
      </c>
      <c r="Q54" s="320">
        <v>4270.8268474169781</v>
      </c>
      <c r="R54" s="319">
        <v>1449.7302142608091</v>
      </c>
      <c r="S54" s="319">
        <v>1834</v>
      </c>
      <c r="T54" s="319">
        <v>1940</v>
      </c>
      <c r="U54" s="319">
        <v>356</v>
      </c>
      <c r="V54" s="319">
        <v>1152</v>
      </c>
      <c r="W54" s="321">
        <f>IFERROR(IF(tblPiNAnalysis[[#This Row],[CCCM]]="", "", MROUND(tblPiNAnalysis[[#This Row],[CCCM]]/tblPiNAnalysis[[#This Row],[Affected population projection 2026]], 0.05)), "")</f>
        <v>0</v>
      </c>
      <c r="X54" s="322">
        <f>IFERROR(IF(tblPiNAnalysis[[#This Row],[Education]]="", "", MROUND(tblPiNAnalysis[[#This Row],[Education]]/tblPiNAnalysis[[#This Row],[Affected population projection 2026]], 0.05)), "")</f>
        <v>0.35000000000000003</v>
      </c>
      <c r="Y54" s="322">
        <f>IFERROR(IF(tblPiNAnalysis[[#This Row],[Nutrition]]="", "", MROUND(tblPiNAnalysis[[#This Row],[Nutrition]]/tblPiNAnalysis[[#This Row],[Affected population projection 2026]], 0.05)), "")</f>
        <v>0.35000000000000003</v>
      </c>
      <c r="Z54" s="322">
        <f>IFERROR(IF(tblPiNAnalysis[[#This Row],[Food Security]]="", "", MROUND(tblPiNAnalysis[[#This Row],[Food Security]]/tblPiNAnalysis[[#This Row],[Affected population projection 2026]], 0.05)), "")</f>
        <v>0.9</v>
      </c>
      <c r="AA54" s="322">
        <f>IFERROR(IF(tblPiNAnalysis[[#This Row],[Health]]="", "", MROUND(tblPiNAnalysis[[#This Row],[Health]]/tblPiNAnalysis[[#This Row],[Affected population projection 2026]], 0.05)), "")</f>
        <v>0.45</v>
      </c>
      <c r="AB54" s="323">
        <f>IFERROR(IF(tblPiNAnalysis[[#This Row],[Overarching Protection]]="", "", MROUND(tblPiNAnalysis[[#This Row],[Overarching Protection]]/tblPiNAnalysis[[#This Row],[Affected population projection 2026]], 0.05)), "")</f>
        <v>0.8</v>
      </c>
      <c r="AC54" s="323">
        <f>IFERROR(IF(tblPiNAnalysis[[#This Row],[Shelter]]="", "", MROUND(tblPiNAnalysis[[#This Row],[Shelter]]/tblPiNAnalysis[[#This Row],[Affected population projection 2026]], 0.05)), "")</f>
        <v>1</v>
      </c>
      <c r="AD54" s="324">
        <f>IFERROR(IF(tblPiNAnalysis[[#This Row],[WASH]]="", "", MROUND(tblPiNAnalysis[[#This Row],[WASH]]/tblPiNAnalysis[[#This Row],[Affected population projection 2026]], 0.05)), "")</f>
        <v>0.35000000000000003</v>
      </c>
      <c r="AE54" s="322">
        <f>IFERROR(MROUND(tblPiNAnalysis[[#This Row],[CP]]/tblPiNAnalysis[[#This Row],[Affected population projection 2026]], 0.05), "")</f>
        <v>0.45</v>
      </c>
      <c r="AF54" s="322">
        <f>IFERROR(MROUND(tblPiNAnalysis[[#This Row],[GBV]]/tblPiNAnalysis[[#This Row],[Affected population projection 2026]], 0.05), "")</f>
        <v>0.45</v>
      </c>
      <c r="AG54" s="322">
        <f>IFERROR(MROUND(tblPiNAnalysis[[#This Row],[Mine Action]]/tblPiNAnalysis[[#This Row],[Affected population projection 2026]], 0.05), "")</f>
        <v>0.1</v>
      </c>
      <c r="AH54" s="322">
        <f>IFERROR(MROUND(tblPiNAnalysis[[#This Row],[HLP]]/tblPiNAnalysis[[#This Row],[Affected population projection 2026]], 0.05), "")</f>
        <v>0.25</v>
      </c>
      <c r="AI54" s="325">
        <f>IFERROR(LARGE(tblPiNAnalysis[[#This Row],[CCCM]:[WASH]], 1), "")</f>
        <v>4270.8268474169781</v>
      </c>
      <c r="AJ54" s="326" t="str" cm="1">
        <f t="array" ref="AJ54">IF(tblPiNAnalysis[[#This Row],[Highest PiN]]="", "", _xlfn.TEXTJOIN(CHAR(10), TRUE, IF(tblPiNAnalysis[[#This Row],[Highest PiN]]=tblPiNAnalysis[[#This Row],[CCCM]:[WASH]], tblPiNAnalysis[[#Headers],[CCCM]:[WASH]], "")))</f>
        <v>Shelter</v>
      </c>
      <c r="AK54" s="327">
        <f>IF(tblPiNAnalysis[[#This Row],[Highest PiN]]="", "", tblPiNAnalysis[[#This Row],[Highest PiN]]/tblPiNAnalysis[[#This Row],[Affected population projection 2026]])</f>
        <v>1</v>
      </c>
      <c r="AL54" s="328" t="str">
        <f>IF(SUM(tblPiNAnalysis[[#This Row],[CCCM]:[WASH]])=0, "",IF(COUNTIF(tblPiNAnalysis[[#This Row],[CCCM]:[WASH]],"=0")+COUNTIF(tblPiNAnalysis[[#This Row],[CCCM]:[WASH]],"")&gt;=zero_pin_thresh, "Flagged", ""))</f>
        <v/>
      </c>
      <c r="AM54" s="329" t="str">
        <f>IFERROR(IF(tblPiNAnalysis[[#This Row],[Highest PiN]]="", "", IF(tblPiNAnalysis[[#This Row],[Highest sector(s'') PiN %]]&gt;=flag_pin_perc, "Flagged", "")), "")</f>
        <v>Flagged</v>
      </c>
      <c r="AN54" s="330" t="str" cm="1">
        <f t="array" ref="AN54">IF(tblPiNAnalysis[[#This Row],[Highest PiN]]=0, "",  IF(OR(COUNTIF(tblPiNAnalysis[[#This Row],[Highest sector(s)]],tblSubSectorPopulation[Sector])), "Flagged", ""))</f>
        <v/>
      </c>
      <c r="AO54" s="46" cm="1">
        <f t="array" ref="AO5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3884.6441218386626</v>
      </c>
      <c r="AP54" s="331" t="str" cm="1">
        <f t="array" ref="AP54">IF(tblPiNAnalysis[[#This Row],[2nd Highest PiN]]="", "", _xlfn.TEXTJOIN(CHAR(10), TRUE, IF(tblPiNAnalysis[[#This Row],[2nd Highest PiN]]=tblPiNAnalysis[[#This Row],[CCCM]:[WASH]], tblPiNAnalysis[[#Headers],[CCCM]:[WASH]], "")))</f>
        <v>Food Security</v>
      </c>
      <c r="AQ54" s="36">
        <f>IFERROR(tblPiNAnalysis[[#This Row],[2nd Highest PiN]]/tblPiNAnalysis[[#This Row],[Affected population projection 2026]], "")</f>
        <v>0.90957659034763227</v>
      </c>
      <c r="AR54" s="46">
        <f>IFERROR(tblPiNAnalysis[[#This Row],[Highest PiN]]-tblPiNAnalysis[[#This Row],[2nd Highest PiN]], "")</f>
        <v>386.18272557831551</v>
      </c>
      <c r="AS54" s="39">
        <f>IFERROR(((tblPiNAnalysis[[#This Row],[Highest PiN]]-tblPiNAnalysis[[#This Row],[2nd Highest PiN]])/tblPiNAnalysis[[#This Row],[2nd Highest PiN]]),"")</f>
        <v>9.9412639476361919E-2</v>
      </c>
      <c r="AT54" s="39" t="str" cm="1">
        <f t="array" ref="AT5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4" s="332" cm="1">
        <f t="array" ref="AU5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3417</v>
      </c>
      <c r="AV54" s="190" t="str" cm="1">
        <f t="array" ref="AV54">IF(tblPiNAnalysis[[#This Row],[3rd Highest PiN]]="", "", _xlfn.TEXTJOIN(CHAR(10), TRUE, IF(tblPiNAnalysis[[#This Row],[3rd Highest PiN]]=tblPiNAnalysis[[#This Row],[CCCM]:[WASH]], tblPiNAnalysis[[#Headers],[CCCM]:[WASH]], "")))</f>
        <v>Overarching Protection</v>
      </c>
      <c r="AW54" s="190">
        <f>IFERROR(tblPiNAnalysis[[#This Row],[3rd Highest PiN]]/tblPiNAnalysis[[#This Row],[Affected population projection 2026]], "")</f>
        <v>0.80007926382373062</v>
      </c>
      <c r="AX54" s="45">
        <f>IFERROR(tblPiNAnalysis[[#This Row],[Highest PiN]]-tblPiNAnalysis[[#This Row],[3rd Highest PiN]],"")</f>
        <v>853.82684741697813</v>
      </c>
      <c r="AY54" s="39">
        <f>IFERROR(tblPiNAnalysis[[#This Row],[Difference of PiN between Highest and 3rd Highest]]/tblPiNAnalysis[[#This Row],[3rd Highest PiN]], "")</f>
        <v>0.2498761625452087</v>
      </c>
      <c r="AZ54" s="330" t="str" cm="1">
        <f t="array" ref="AZ5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4" s="300" t="str" cm="1">
        <f t="array" ref="BA54">IFERROR(IF(tblPiNAnalysis[[#This Row],[ID]]="", "", INDEX(tblPiNHistorical[[CCCM]:[WASH]], MATCH(tblPiNAnalysis[[#This Row],[ID]],tblPiNHistorical[ID], 0),MATCH(_xlfn._xlws.FILTER(tblPiNAnalysis[[#Headers],[CCCM]:[WASH]], tblPiNAnalysis[[#This Row],[Highest PiN]]=tblPiNAnalysis[[#This Row],[CCCM]:[WASH]]), tblPiNHistorical[[#Headers],[CCCM]:[WASH]], 0))), "")</f>
        <v/>
      </c>
      <c r="BB54" s="333" t="str" cm="1">
        <f t="array" ref="BB5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4" s="276" t="str" cm="1">
        <f t="array" ref="BC54">IFERROR(IF(tblPiNAnalysis[[#This Row],[ID]]="", "", INDEX(tblPiNHistorical[[CCCM]:[WASH]], MATCH(tblPiNAnalysis[[#This Row],[ID]],tblPiNHistorical[ID], 0),MATCH(_xlfn._xlws.FILTER(tblPiNAnalysis[[#Headers],[CCCM]:[WASH]], tblPiNAnalysis[[#This Row],[2nd Highest PiN]]=tblPiNAnalysis[[#This Row],[CCCM]:[WASH]]), tblPiNHistorical[[#Headers],[CCCM]:[WASH]], 0))), "")</f>
        <v/>
      </c>
      <c r="BD54" s="334" t="str" cm="1">
        <f t="array" ref="BD5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4" s="276">
        <f>INDEX(tblSeverityAnalysis[Final Severity], MATCH(tblPiNAnalysis[[#This Row],[ID]],tblSeverityAnalysis[ID], 0))</f>
        <v>4</v>
      </c>
      <c r="BF54" s="61">
        <f>IF(tblPiNAnalysis[[#This Row],[Severity]]&gt;2,tblPiNAnalysis[[#This Row],[Highest PiN]],)</f>
        <v>4270.8268474169781</v>
      </c>
      <c r="BG54" s="191"/>
      <c r="BH54" s="192"/>
      <c r="BI54" s="193">
        <f>COUNTIFS(tblPiNAnalysis[[#This Row],[Number of missing / zero PiNs greater than threshold - Data quality]:[Manual Flag]],"Flagged")</f>
        <v>1</v>
      </c>
      <c r="BJ54" s="96" t="str">
        <f>IF(tblPiNAnalysis[[#This Row],['# Flags]]&gt;0, "Flagged", "")</f>
        <v>Flagged</v>
      </c>
      <c r="BK54" s="326">
        <f>tblPiNAnalysis[[#This Row],[Preliminary PiN]]</f>
        <v>4270.8268474169781</v>
      </c>
      <c r="BL54" s="331"/>
    </row>
    <row r="55" spans="1:64" x14ac:dyDescent="0.55000000000000004">
      <c r="A5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SS0704</v>
      </c>
      <c r="B55" s="316" t="s">
        <v>342</v>
      </c>
      <c r="C55" s="317" t="s">
        <v>343</v>
      </c>
      <c r="D55" s="317" t="s">
        <v>350</v>
      </c>
      <c r="E55" s="105" t="s">
        <v>351</v>
      </c>
      <c r="F55" s="100"/>
      <c r="G55" s="34"/>
      <c r="H55" s="34"/>
      <c r="I55" s="97">
        <v>17587.64076058444</v>
      </c>
      <c r="J55" s="97" t="s">
        <v>412</v>
      </c>
      <c r="K55" s="318">
        <v>15476.25</v>
      </c>
      <c r="L55" s="319">
        <v>0</v>
      </c>
      <c r="M55" s="319">
        <v>6587.4605130774107</v>
      </c>
      <c r="N55" s="319">
        <v>15813.857369323312</v>
      </c>
      <c r="O55" s="319">
        <v>10860.326796665742</v>
      </c>
      <c r="P55" s="319">
        <v>14010</v>
      </c>
      <c r="Q55" s="320">
        <v>10992.275475365275</v>
      </c>
      <c r="R55" s="319">
        <v>13190.730570438327</v>
      </c>
      <c r="S55" s="319">
        <v>7213</v>
      </c>
      <c r="T55" s="319">
        <v>7958</v>
      </c>
      <c r="U55" s="319">
        <v>8330</v>
      </c>
      <c r="V55" s="319">
        <v>5228</v>
      </c>
      <c r="W55" s="321">
        <f>IFERROR(IF(tblPiNAnalysis[[#This Row],[CCCM]]="", "", MROUND(tblPiNAnalysis[[#This Row],[CCCM]]/tblPiNAnalysis[[#This Row],[Affected population projection 2026]], 0.05)), "")</f>
        <v>0.9</v>
      </c>
      <c r="X55" s="322">
        <f>IFERROR(IF(tblPiNAnalysis[[#This Row],[Education]]="", "", MROUND(tblPiNAnalysis[[#This Row],[Education]]/tblPiNAnalysis[[#This Row],[Affected population projection 2026]], 0.05)), "")</f>
        <v>0</v>
      </c>
      <c r="Y55" s="322">
        <f>IFERROR(IF(tblPiNAnalysis[[#This Row],[Nutrition]]="", "", MROUND(tblPiNAnalysis[[#This Row],[Nutrition]]/tblPiNAnalysis[[#This Row],[Affected population projection 2026]], 0.05)), "")</f>
        <v>0.35000000000000003</v>
      </c>
      <c r="Z55" s="322">
        <f>IFERROR(IF(tblPiNAnalysis[[#This Row],[Food Security]]="", "", MROUND(tblPiNAnalysis[[#This Row],[Food Security]]/tblPiNAnalysis[[#This Row],[Affected population projection 2026]], 0.05)), "")</f>
        <v>0.9</v>
      </c>
      <c r="AA55" s="322">
        <f>IFERROR(IF(tblPiNAnalysis[[#This Row],[Health]]="", "", MROUND(tblPiNAnalysis[[#This Row],[Health]]/tblPiNAnalysis[[#This Row],[Affected population projection 2026]], 0.05)), "")</f>
        <v>0.60000000000000009</v>
      </c>
      <c r="AB55" s="323">
        <f>IFERROR(IF(tblPiNAnalysis[[#This Row],[Overarching Protection]]="", "", MROUND(tblPiNAnalysis[[#This Row],[Overarching Protection]]/tblPiNAnalysis[[#This Row],[Affected population projection 2026]], 0.05)), "")</f>
        <v>0.8</v>
      </c>
      <c r="AC55" s="323">
        <f>IFERROR(IF(tblPiNAnalysis[[#This Row],[Shelter]]="", "", MROUND(tblPiNAnalysis[[#This Row],[Shelter]]/tblPiNAnalysis[[#This Row],[Affected population projection 2026]], 0.05)), "")</f>
        <v>0.65</v>
      </c>
      <c r="AD55" s="324">
        <f>IFERROR(IF(tblPiNAnalysis[[#This Row],[WASH]]="", "", MROUND(tblPiNAnalysis[[#This Row],[WASH]]/tblPiNAnalysis[[#This Row],[Affected population projection 2026]], 0.05)), "")</f>
        <v>0.75</v>
      </c>
      <c r="AE55" s="322">
        <f>IFERROR(MROUND(tblPiNAnalysis[[#This Row],[CP]]/tblPiNAnalysis[[#This Row],[Affected population projection 2026]], 0.05), "")</f>
        <v>0.4</v>
      </c>
      <c r="AF55" s="322">
        <f>IFERROR(MROUND(tblPiNAnalysis[[#This Row],[GBV]]/tblPiNAnalysis[[#This Row],[Affected population projection 2026]], 0.05), "")</f>
        <v>0.45</v>
      </c>
      <c r="AG55" s="322">
        <f>IFERROR(MROUND(tblPiNAnalysis[[#This Row],[Mine Action]]/tblPiNAnalysis[[#This Row],[Affected population projection 2026]], 0.05), "")</f>
        <v>0.45</v>
      </c>
      <c r="AH55" s="322">
        <f>IFERROR(MROUND(tblPiNAnalysis[[#This Row],[HLP]]/tblPiNAnalysis[[#This Row],[Affected population projection 2026]], 0.05), "")</f>
        <v>0.30000000000000004</v>
      </c>
      <c r="AI55" s="325">
        <f>IFERROR(LARGE(tblPiNAnalysis[[#This Row],[CCCM]:[WASH]], 1), "")</f>
        <v>15813.857369323312</v>
      </c>
      <c r="AJ55" s="326" t="str" cm="1">
        <f t="array" ref="AJ55">IF(tblPiNAnalysis[[#This Row],[Highest PiN]]="", "", _xlfn.TEXTJOIN(CHAR(10), TRUE, IF(tblPiNAnalysis[[#This Row],[Highest PiN]]=tblPiNAnalysis[[#This Row],[CCCM]:[WASH]], tblPiNAnalysis[[#Headers],[CCCM]:[WASH]], "")))</f>
        <v>Food Security</v>
      </c>
      <c r="AK55" s="327">
        <f>IF(tblPiNAnalysis[[#This Row],[Highest PiN]]="", "", tblPiNAnalysis[[#This Row],[Highest PiN]]/tblPiNAnalysis[[#This Row],[Affected population projection 2026]])</f>
        <v>0.89914603013518768</v>
      </c>
      <c r="AL55" s="328" t="str">
        <f>IF(SUM(tblPiNAnalysis[[#This Row],[CCCM]:[WASH]])=0, "",IF(COUNTIF(tblPiNAnalysis[[#This Row],[CCCM]:[WASH]],"=0")+COUNTIF(tblPiNAnalysis[[#This Row],[CCCM]:[WASH]],"")&gt;=zero_pin_thresh, "Flagged", ""))</f>
        <v/>
      </c>
      <c r="AM55" s="329" t="str">
        <f>IFERROR(IF(tblPiNAnalysis[[#This Row],[Highest PiN]]="", "", IF(tblPiNAnalysis[[#This Row],[Highest sector(s'') PiN %]]&gt;=flag_pin_perc, "Flagged", "")), "")</f>
        <v/>
      </c>
      <c r="AN55" s="330" t="str" cm="1">
        <f t="array" ref="AN55">IF(tblPiNAnalysis[[#This Row],[Highest PiN]]=0, "",  IF(OR(COUNTIF(tblPiNAnalysis[[#This Row],[Highest sector(s)]],tblSubSectorPopulation[Sector])), "Flagged", ""))</f>
        <v/>
      </c>
      <c r="AO55" s="46" cm="1">
        <f t="array" ref="AO5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15476.25</v>
      </c>
      <c r="AP55" s="331" t="str" cm="1">
        <f t="array" ref="AP55">IF(tblPiNAnalysis[[#This Row],[2nd Highest PiN]]="", "", _xlfn.TEXTJOIN(CHAR(10), TRUE, IF(tblPiNAnalysis[[#This Row],[2nd Highest PiN]]=tblPiNAnalysis[[#This Row],[CCCM]:[WASH]], tblPiNAnalysis[[#Headers],[CCCM]:[WASH]], "")))</f>
        <v>CCCM</v>
      </c>
      <c r="AQ55" s="36">
        <f>IFERROR(tblPiNAnalysis[[#This Row],[2nd Highest PiN]]/tblPiNAnalysis[[#This Row],[Affected population projection 2026]], "")</f>
        <v>0.87995031344304775</v>
      </c>
      <c r="AR55" s="46">
        <f>IFERROR(tblPiNAnalysis[[#This Row],[Highest PiN]]-tblPiNAnalysis[[#This Row],[2nd Highest PiN]], "")</f>
        <v>337.60736932331201</v>
      </c>
      <c r="AS55" s="39">
        <f>IFERROR(((tblPiNAnalysis[[#This Row],[Highest PiN]]-tblPiNAnalysis[[#This Row],[2nd Highest PiN]])/tblPiNAnalysis[[#This Row],[2nd Highest PiN]]),"")</f>
        <v>2.1814546115713561E-2</v>
      </c>
      <c r="AT55" s="39" t="str" cm="1">
        <f t="array" ref="AT5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5" s="332" cm="1">
        <f t="array" ref="AU5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14010</v>
      </c>
      <c r="AV55" s="190" t="str" cm="1">
        <f t="array" ref="AV55">IF(tblPiNAnalysis[[#This Row],[3rd Highest PiN]]="", "", _xlfn.TEXTJOIN(CHAR(10), TRUE, IF(tblPiNAnalysis[[#This Row],[3rd Highest PiN]]=tblPiNAnalysis[[#This Row],[CCCM]:[WASH]], tblPiNAnalysis[[#Headers],[CCCM]:[WASH]], "")))</f>
        <v>Overarching Protection</v>
      </c>
      <c r="AW55" s="190">
        <f>IFERROR(tblPiNAnalysis[[#This Row],[3rd Highest PiN]]/tblPiNAnalysis[[#This Row],[Affected population projection 2026]], "")</f>
        <v>0.79658211073981733</v>
      </c>
      <c r="AX55" s="45">
        <f>IFERROR(tblPiNAnalysis[[#This Row],[Highest PiN]]-tblPiNAnalysis[[#This Row],[3rd Highest PiN]],"")</f>
        <v>1803.857369323312</v>
      </c>
      <c r="AY55" s="39">
        <f>IFERROR(tblPiNAnalysis[[#This Row],[Difference of PiN between Highest and 3rd Highest]]/tblPiNAnalysis[[#This Row],[3rd Highest PiN]], "")</f>
        <v>0.1287549871037339</v>
      </c>
      <c r="AZ55" s="330" t="str" cm="1">
        <f t="array" ref="AZ5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5" s="300" t="str" cm="1">
        <f t="array" ref="BA55">IFERROR(IF(tblPiNAnalysis[[#This Row],[ID]]="", "", INDEX(tblPiNHistorical[[CCCM]:[WASH]], MATCH(tblPiNAnalysis[[#This Row],[ID]],tblPiNHistorical[ID], 0),MATCH(_xlfn._xlws.FILTER(tblPiNAnalysis[[#Headers],[CCCM]:[WASH]], tblPiNAnalysis[[#This Row],[Highest PiN]]=tblPiNAnalysis[[#This Row],[CCCM]:[WASH]]), tblPiNHistorical[[#Headers],[CCCM]:[WASH]], 0))), "")</f>
        <v/>
      </c>
      <c r="BB55" s="333" t="str" cm="1">
        <f t="array" ref="BB5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5" s="276" t="str" cm="1">
        <f t="array" ref="BC55">IFERROR(IF(tblPiNAnalysis[[#This Row],[ID]]="", "", INDEX(tblPiNHistorical[[CCCM]:[WASH]], MATCH(tblPiNAnalysis[[#This Row],[ID]],tblPiNHistorical[ID], 0),MATCH(_xlfn._xlws.FILTER(tblPiNAnalysis[[#Headers],[CCCM]:[WASH]], tblPiNAnalysis[[#This Row],[2nd Highest PiN]]=tblPiNAnalysis[[#This Row],[CCCM]:[WASH]]), tblPiNHistorical[[#Headers],[CCCM]:[WASH]], 0))), "")</f>
        <v/>
      </c>
      <c r="BD55" s="334" t="str" cm="1">
        <f t="array" ref="BD5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5" s="276">
        <f>INDEX(tblSeverityAnalysis[Final Severity], MATCH(tblPiNAnalysis[[#This Row],[ID]],tblSeverityAnalysis[ID], 0))</f>
        <v>5</v>
      </c>
      <c r="BF55" s="61">
        <f>IF(tblPiNAnalysis[[#This Row],[Severity]]&gt;2,tblPiNAnalysis[[#This Row],[Highest PiN]],)</f>
        <v>15813.857369323312</v>
      </c>
      <c r="BG55" s="191"/>
      <c r="BH55" s="192"/>
      <c r="BI55" s="193">
        <f>COUNTIFS(tblPiNAnalysis[[#This Row],[Number of missing / zero PiNs greater than threshold - Data quality]:[Manual Flag]],"Flagged")</f>
        <v>0</v>
      </c>
      <c r="BJ55" s="96" t="str">
        <f>IF(tblPiNAnalysis[[#This Row],['# Flags]]&gt;0, "Flagged", "")</f>
        <v/>
      </c>
      <c r="BK55" s="326">
        <f>tblPiNAnalysis[[#This Row],[Preliminary PiN]]</f>
        <v>15813.857369323312</v>
      </c>
      <c r="BL55" s="331"/>
    </row>
    <row r="56" spans="1:64" x14ac:dyDescent="0.55000000000000004">
      <c r="A5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SS0705</v>
      </c>
      <c r="B56" s="316" t="s">
        <v>342</v>
      </c>
      <c r="C56" s="317" t="s">
        <v>343</v>
      </c>
      <c r="D56" s="317" t="s">
        <v>352</v>
      </c>
      <c r="E56" s="105" t="s">
        <v>353</v>
      </c>
      <c r="F56" s="100"/>
      <c r="G56" s="34"/>
      <c r="H56" s="34"/>
      <c r="I56" s="97">
        <v>10736.997624544605</v>
      </c>
      <c r="J56" s="97" t="s">
        <v>412</v>
      </c>
      <c r="K56" s="318">
        <v>7217.5</v>
      </c>
      <c r="L56" s="319">
        <v>3698.0957753325883</v>
      </c>
      <c r="M56" s="319">
        <v>3331.5582463381697</v>
      </c>
      <c r="N56" s="319">
        <v>6994.220324453735</v>
      </c>
      <c r="O56" s="319">
        <v>6107.5659290461826</v>
      </c>
      <c r="P56" s="319">
        <v>7487</v>
      </c>
      <c r="Q56" s="320">
        <v>10736.997624544605</v>
      </c>
      <c r="R56" s="319">
        <v>5368.4988122723025</v>
      </c>
      <c r="S56" s="319">
        <v>4631</v>
      </c>
      <c r="T56" s="319">
        <v>4533</v>
      </c>
      <c r="U56" s="319">
        <v>6173</v>
      </c>
      <c r="V56" s="319">
        <v>2775</v>
      </c>
      <c r="W56" s="321">
        <f>IFERROR(IF(tblPiNAnalysis[[#This Row],[CCCM]]="", "", MROUND(tblPiNAnalysis[[#This Row],[CCCM]]/tblPiNAnalysis[[#This Row],[Affected population projection 2026]], 0.05)), "")</f>
        <v>0.65</v>
      </c>
      <c r="X56" s="322">
        <f>IFERROR(IF(tblPiNAnalysis[[#This Row],[Education]]="", "", MROUND(tblPiNAnalysis[[#This Row],[Education]]/tblPiNAnalysis[[#This Row],[Affected population projection 2026]], 0.05)), "")</f>
        <v>0.35000000000000003</v>
      </c>
      <c r="Y56" s="322">
        <f>IFERROR(IF(tblPiNAnalysis[[#This Row],[Nutrition]]="", "", MROUND(tblPiNAnalysis[[#This Row],[Nutrition]]/tblPiNAnalysis[[#This Row],[Affected population projection 2026]], 0.05)), "")</f>
        <v>0.30000000000000004</v>
      </c>
      <c r="Z56" s="322">
        <f>IFERROR(IF(tblPiNAnalysis[[#This Row],[Food Security]]="", "", MROUND(tblPiNAnalysis[[#This Row],[Food Security]]/tblPiNAnalysis[[#This Row],[Affected population projection 2026]], 0.05)), "")</f>
        <v>0.65</v>
      </c>
      <c r="AA56" s="322">
        <f>IFERROR(IF(tblPiNAnalysis[[#This Row],[Health]]="", "", MROUND(tblPiNAnalysis[[#This Row],[Health]]/tblPiNAnalysis[[#This Row],[Affected population projection 2026]], 0.05)), "")</f>
        <v>0.55000000000000004</v>
      </c>
      <c r="AB56" s="323">
        <f>IFERROR(IF(tblPiNAnalysis[[#This Row],[Overarching Protection]]="", "", MROUND(tblPiNAnalysis[[#This Row],[Overarching Protection]]/tblPiNAnalysis[[#This Row],[Affected population projection 2026]], 0.05)), "")</f>
        <v>0.70000000000000007</v>
      </c>
      <c r="AC56" s="323">
        <f>IFERROR(IF(tblPiNAnalysis[[#This Row],[Shelter]]="", "", MROUND(tblPiNAnalysis[[#This Row],[Shelter]]/tblPiNAnalysis[[#This Row],[Affected population projection 2026]], 0.05)), "")</f>
        <v>1</v>
      </c>
      <c r="AD56" s="324">
        <f>IFERROR(IF(tblPiNAnalysis[[#This Row],[WASH]]="", "", MROUND(tblPiNAnalysis[[#This Row],[WASH]]/tblPiNAnalysis[[#This Row],[Affected population projection 2026]], 0.05)), "")</f>
        <v>0.5</v>
      </c>
      <c r="AE56" s="322">
        <f>IFERROR(MROUND(tblPiNAnalysis[[#This Row],[CP]]/tblPiNAnalysis[[#This Row],[Affected population projection 2026]], 0.05), "")</f>
        <v>0.45</v>
      </c>
      <c r="AF56" s="322">
        <f>IFERROR(MROUND(tblPiNAnalysis[[#This Row],[GBV]]/tblPiNAnalysis[[#This Row],[Affected population projection 2026]], 0.05), "")</f>
        <v>0.4</v>
      </c>
      <c r="AG56" s="322">
        <f>IFERROR(MROUND(tblPiNAnalysis[[#This Row],[Mine Action]]/tblPiNAnalysis[[#This Row],[Affected population projection 2026]], 0.05), "")</f>
        <v>0.55000000000000004</v>
      </c>
      <c r="AH56" s="322">
        <f>IFERROR(MROUND(tblPiNAnalysis[[#This Row],[HLP]]/tblPiNAnalysis[[#This Row],[Affected population projection 2026]], 0.05), "")</f>
        <v>0.25</v>
      </c>
      <c r="AI56" s="325">
        <f>IFERROR(LARGE(tblPiNAnalysis[[#This Row],[CCCM]:[WASH]], 1), "")</f>
        <v>10736.997624544605</v>
      </c>
      <c r="AJ56" s="326" t="str" cm="1">
        <f t="array" ref="AJ56">IF(tblPiNAnalysis[[#This Row],[Highest PiN]]="", "", _xlfn.TEXTJOIN(CHAR(10), TRUE, IF(tblPiNAnalysis[[#This Row],[Highest PiN]]=tblPiNAnalysis[[#This Row],[CCCM]:[WASH]], tblPiNAnalysis[[#Headers],[CCCM]:[WASH]], "")))</f>
        <v>Shelter</v>
      </c>
      <c r="AK56" s="327">
        <f>IF(tblPiNAnalysis[[#This Row],[Highest PiN]]="", "", tblPiNAnalysis[[#This Row],[Highest PiN]]/tblPiNAnalysis[[#This Row],[Affected population projection 2026]])</f>
        <v>1</v>
      </c>
      <c r="AL56" s="328" t="str">
        <f>IF(SUM(tblPiNAnalysis[[#This Row],[CCCM]:[WASH]])=0, "",IF(COUNTIF(tblPiNAnalysis[[#This Row],[CCCM]:[WASH]],"=0")+COUNTIF(tblPiNAnalysis[[#This Row],[CCCM]:[WASH]],"")&gt;=zero_pin_thresh, "Flagged", ""))</f>
        <v/>
      </c>
      <c r="AM56" s="329" t="str">
        <f>IFERROR(IF(tblPiNAnalysis[[#This Row],[Highest PiN]]="", "", IF(tblPiNAnalysis[[#This Row],[Highest sector(s'') PiN %]]&gt;=flag_pin_perc, "Flagged", "")), "")</f>
        <v>Flagged</v>
      </c>
      <c r="AN56" s="330" t="str" cm="1">
        <f t="array" ref="AN56">IF(tblPiNAnalysis[[#This Row],[Highest PiN]]=0, "",  IF(OR(COUNTIF(tblPiNAnalysis[[#This Row],[Highest sector(s)]],tblSubSectorPopulation[Sector])), "Flagged", ""))</f>
        <v/>
      </c>
      <c r="AO56" s="46" cm="1">
        <f t="array" ref="AO5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7487</v>
      </c>
      <c r="AP56" s="331" t="str" cm="1">
        <f t="array" ref="AP56">IF(tblPiNAnalysis[[#This Row],[2nd Highest PiN]]="", "", _xlfn.TEXTJOIN(CHAR(10), TRUE, IF(tblPiNAnalysis[[#This Row],[2nd Highest PiN]]=tblPiNAnalysis[[#This Row],[CCCM]:[WASH]], tblPiNAnalysis[[#Headers],[CCCM]:[WASH]], "")))</f>
        <v>Overarching Protection</v>
      </c>
      <c r="AQ56" s="36">
        <f>IFERROR(tblPiNAnalysis[[#This Row],[2nd Highest PiN]]/tblPiNAnalysis[[#This Row],[Affected population projection 2026]], "")</f>
        <v>0.69730852718872149</v>
      </c>
      <c r="AR56" s="46">
        <f>IFERROR(tblPiNAnalysis[[#This Row],[Highest PiN]]-tblPiNAnalysis[[#This Row],[2nd Highest PiN]], "")</f>
        <v>3249.9976245446051</v>
      </c>
      <c r="AS56" s="39">
        <f>IFERROR(((tblPiNAnalysis[[#This Row],[Highest PiN]]-tblPiNAnalysis[[#This Row],[2nd Highest PiN]])/tblPiNAnalysis[[#This Row],[2nd Highest PiN]]),"")</f>
        <v>0.43408543135362698</v>
      </c>
      <c r="AT56" s="39" t="str" cm="1">
        <f t="array" ref="AT5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6" s="332" cm="1">
        <f t="array" ref="AU5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7217.5</v>
      </c>
      <c r="AV56" s="190" t="str" cm="1">
        <f t="array" ref="AV56">IF(tblPiNAnalysis[[#This Row],[3rd Highest PiN]]="", "", _xlfn.TEXTJOIN(CHAR(10), TRUE, IF(tblPiNAnalysis[[#This Row],[3rd Highest PiN]]=tblPiNAnalysis[[#This Row],[CCCM]:[WASH]], tblPiNAnalysis[[#Headers],[CCCM]:[WASH]], "")))</f>
        <v>CCCM</v>
      </c>
      <c r="AW56" s="190">
        <f>IFERROR(tblPiNAnalysis[[#This Row],[3rd Highest PiN]]/tblPiNAnalysis[[#This Row],[Affected population projection 2026]], "")</f>
        <v>0.67220840055891506</v>
      </c>
      <c r="AX56" s="45">
        <f>IFERROR(tblPiNAnalysis[[#This Row],[Highest PiN]]-tblPiNAnalysis[[#This Row],[3rd Highest PiN]],"")</f>
        <v>3519.4976245446051</v>
      </c>
      <c r="AY56" s="39">
        <f>IFERROR(tblPiNAnalysis[[#This Row],[Difference of PiN between Highest and 3rd Highest]]/tblPiNAnalysis[[#This Row],[3rd Highest PiN]], "")</f>
        <v>0.48763389325176376</v>
      </c>
      <c r="AZ56" s="330" t="str" cm="1">
        <f t="array" ref="AZ5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6" s="300" t="str" cm="1">
        <f t="array" ref="BA56">IFERROR(IF(tblPiNAnalysis[[#This Row],[ID]]="", "", INDEX(tblPiNHistorical[[CCCM]:[WASH]], MATCH(tblPiNAnalysis[[#This Row],[ID]],tblPiNHistorical[ID], 0),MATCH(_xlfn._xlws.FILTER(tblPiNAnalysis[[#Headers],[CCCM]:[WASH]], tblPiNAnalysis[[#This Row],[Highest PiN]]=tblPiNAnalysis[[#This Row],[CCCM]:[WASH]]), tblPiNHistorical[[#Headers],[CCCM]:[WASH]], 0))), "")</f>
        <v/>
      </c>
      <c r="BB56" s="333" t="str" cm="1">
        <f t="array" ref="BB5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6" s="276" t="str" cm="1">
        <f t="array" ref="BC56">IFERROR(IF(tblPiNAnalysis[[#This Row],[ID]]="", "", INDEX(tblPiNHistorical[[CCCM]:[WASH]], MATCH(tblPiNAnalysis[[#This Row],[ID]],tblPiNHistorical[ID], 0),MATCH(_xlfn._xlws.FILTER(tblPiNAnalysis[[#Headers],[CCCM]:[WASH]], tblPiNAnalysis[[#This Row],[2nd Highest PiN]]=tblPiNAnalysis[[#This Row],[CCCM]:[WASH]]), tblPiNHistorical[[#Headers],[CCCM]:[WASH]], 0))), "")</f>
        <v/>
      </c>
      <c r="BD56" s="334" t="str" cm="1">
        <f t="array" ref="BD5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6" s="276">
        <f>INDEX(tblSeverityAnalysis[Final Severity], MATCH(tblPiNAnalysis[[#This Row],[ID]],tblSeverityAnalysis[ID], 0))</f>
        <v>4</v>
      </c>
      <c r="BF56" s="61">
        <f>IF(tblPiNAnalysis[[#This Row],[Severity]]&gt;2,tblPiNAnalysis[[#This Row],[Highest PiN]],)</f>
        <v>10736.997624544605</v>
      </c>
      <c r="BG56" s="191"/>
      <c r="BH56" s="192"/>
      <c r="BI56" s="193">
        <f>COUNTIFS(tblPiNAnalysis[[#This Row],[Number of missing / zero PiNs greater than threshold - Data quality]:[Manual Flag]],"Flagged")</f>
        <v>2</v>
      </c>
      <c r="BJ56" s="96" t="str">
        <f>IF(tblPiNAnalysis[[#This Row],['# Flags]]&gt;0, "Flagged", "")</f>
        <v>Flagged</v>
      </c>
      <c r="BK56" s="326">
        <f>tblPiNAnalysis[[#This Row],[Preliminary PiN]]</f>
        <v>10736.997624544605</v>
      </c>
      <c r="BL56" s="331"/>
    </row>
    <row r="57" spans="1:64" x14ac:dyDescent="0.55000000000000004">
      <c r="A5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SS0706</v>
      </c>
      <c r="B57" s="316" t="s">
        <v>342</v>
      </c>
      <c r="C57" s="317" t="s">
        <v>343</v>
      </c>
      <c r="D57" s="317" t="s">
        <v>354</v>
      </c>
      <c r="E57" s="105" t="s">
        <v>355</v>
      </c>
      <c r="F57" s="100"/>
      <c r="G57" s="34"/>
      <c r="H57" s="34"/>
      <c r="I57" s="97">
        <v>541.05925656197849</v>
      </c>
      <c r="J57" s="97" t="s">
        <v>412</v>
      </c>
      <c r="K57" s="318">
        <v>0</v>
      </c>
      <c r="L57" s="319">
        <v>101.68949018639236</v>
      </c>
      <c r="M57" s="319">
        <v>172.35776823736074</v>
      </c>
      <c r="N57" s="319">
        <v>323.57340367304914</v>
      </c>
      <c r="O57" s="319">
        <v>237.26650978335931</v>
      </c>
      <c r="P57" s="319">
        <v>379</v>
      </c>
      <c r="Q57" s="320">
        <v>0</v>
      </c>
      <c r="R57" s="319">
        <v>435.8532900082605</v>
      </c>
      <c r="S57" s="319">
        <v>137</v>
      </c>
      <c r="T57" s="319">
        <v>218</v>
      </c>
      <c r="U57" s="319">
        <v>304</v>
      </c>
      <c r="V57" s="319">
        <v>68</v>
      </c>
      <c r="W57" s="321">
        <f>IFERROR(IF(tblPiNAnalysis[[#This Row],[CCCM]]="", "", MROUND(tblPiNAnalysis[[#This Row],[CCCM]]/tblPiNAnalysis[[#This Row],[Affected population projection 2026]], 0.05)), "")</f>
        <v>0</v>
      </c>
      <c r="X57" s="322">
        <f>IFERROR(IF(tblPiNAnalysis[[#This Row],[Education]]="", "", MROUND(tblPiNAnalysis[[#This Row],[Education]]/tblPiNAnalysis[[#This Row],[Affected population projection 2026]], 0.05)), "")</f>
        <v>0.2</v>
      </c>
      <c r="Y57" s="322">
        <f>IFERROR(IF(tblPiNAnalysis[[#This Row],[Nutrition]]="", "", MROUND(tblPiNAnalysis[[#This Row],[Nutrition]]/tblPiNAnalysis[[#This Row],[Affected population projection 2026]], 0.05)), "")</f>
        <v>0.30000000000000004</v>
      </c>
      <c r="Z57" s="322">
        <f>IFERROR(IF(tblPiNAnalysis[[#This Row],[Food Security]]="", "", MROUND(tblPiNAnalysis[[#This Row],[Food Security]]/tblPiNAnalysis[[#This Row],[Affected population projection 2026]], 0.05)), "")</f>
        <v>0.60000000000000009</v>
      </c>
      <c r="AA57" s="322">
        <f>IFERROR(IF(tblPiNAnalysis[[#This Row],[Health]]="", "", MROUND(tblPiNAnalysis[[#This Row],[Health]]/tblPiNAnalysis[[#This Row],[Affected population projection 2026]], 0.05)), "")</f>
        <v>0.45</v>
      </c>
      <c r="AB57" s="323">
        <f>IFERROR(IF(tblPiNAnalysis[[#This Row],[Overarching Protection]]="", "", MROUND(tblPiNAnalysis[[#This Row],[Overarching Protection]]/tblPiNAnalysis[[#This Row],[Affected population projection 2026]], 0.05)), "")</f>
        <v>0.70000000000000007</v>
      </c>
      <c r="AC57" s="323">
        <f>IFERROR(IF(tblPiNAnalysis[[#This Row],[Shelter]]="", "", MROUND(tblPiNAnalysis[[#This Row],[Shelter]]/tblPiNAnalysis[[#This Row],[Affected population projection 2026]], 0.05)), "")</f>
        <v>0</v>
      </c>
      <c r="AD57" s="324">
        <f>IFERROR(IF(tblPiNAnalysis[[#This Row],[WASH]]="", "", MROUND(tblPiNAnalysis[[#This Row],[WASH]]/tblPiNAnalysis[[#This Row],[Affected population projection 2026]], 0.05)), "")</f>
        <v>0.8</v>
      </c>
      <c r="AE57" s="322">
        <f>IFERROR(MROUND(tblPiNAnalysis[[#This Row],[CP]]/tblPiNAnalysis[[#This Row],[Affected population projection 2026]], 0.05), "")</f>
        <v>0.25</v>
      </c>
      <c r="AF57" s="322">
        <f>IFERROR(MROUND(tblPiNAnalysis[[#This Row],[GBV]]/tblPiNAnalysis[[#This Row],[Affected population projection 2026]], 0.05), "")</f>
        <v>0.4</v>
      </c>
      <c r="AG57" s="322">
        <f>IFERROR(MROUND(tblPiNAnalysis[[#This Row],[Mine Action]]/tblPiNAnalysis[[#This Row],[Affected population projection 2026]], 0.05), "")</f>
        <v>0.55000000000000004</v>
      </c>
      <c r="AH57" s="322">
        <f>IFERROR(MROUND(tblPiNAnalysis[[#This Row],[HLP]]/tblPiNAnalysis[[#This Row],[Affected population projection 2026]], 0.05), "")</f>
        <v>0.15000000000000002</v>
      </c>
      <c r="AI57" s="325">
        <f>IFERROR(LARGE(tblPiNAnalysis[[#This Row],[CCCM]:[WASH]], 1), "")</f>
        <v>435.8532900082605</v>
      </c>
      <c r="AJ57" s="326" t="str" cm="1">
        <f t="array" ref="AJ57">IF(tblPiNAnalysis[[#This Row],[Highest PiN]]="", "", _xlfn.TEXTJOIN(CHAR(10), TRUE, IF(tblPiNAnalysis[[#This Row],[Highest PiN]]=tblPiNAnalysis[[#This Row],[CCCM]:[WASH]], tblPiNAnalysis[[#Headers],[CCCM]:[WASH]], "")))</f>
        <v>WASH</v>
      </c>
      <c r="AK57" s="327">
        <f>IF(tblPiNAnalysis[[#This Row],[Highest PiN]]="", "", tblPiNAnalysis[[#This Row],[Highest PiN]]/tblPiNAnalysis[[#This Row],[Affected population projection 2026]])</f>
        <v>0.80555555555555569</v>
      </c>
      <c r="AL57" s="328" t="str">
        <f>IF(SUM(tblPiNAnalysis[[#This Row],[CCCM]:[WASH]])=0, "",IF(COUNTIF(tblPiNAnalysis[[#This Row],[CCCM]:[WASH]],"=0")+COUNTIF(tblPiNAnalysis[[#This Row],[CCCM]:[WASH]],"")&gt;=zero_pin_thresh, "Flagged", ""))</f>
        <v>Flagged</v>
      </c>
      <c r="AM57" s="329" t="str">
        <f>IFERROR(IF(tblPiNAnalysis[[#This Row],[Highest PiN]]="", "", IF(tblPiNAnalysis[[#This Row],[Highest sector(s'') PiN %]]&gt;=flag_pin_perc, "Flagged", "")), "")</f>
        <v/>
      </c>
      <c r="AN57" s="330" t="str" cm="1">
        <f t="array" ref="AN57">IF(tblPiNAnalysis[[#This Row],[Highest PiN]]=0, "",  IF(OR(COUNTIF(tblPiNAnalysis[[#This Row],[Highest sector(s)]],tblSubSectorPopulation[Sector])), "Flagged", ""))</f>
        <v/>
      </c>
      <c r="AO57" s="46" cm="1">
        <f t="array" ref="AO5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379</v>
      </c>
      <c r="AP57" s="331" t="str" cm="1">
        <f t="array" ref="AP57">IF(tblPiNAnalysis[[#This Row],[2nd Highest PiN]]="", "", _xlfn.TEXTJOIN(CHAR(10), TRUE, IF(tblPiNAnalysis[[#This Row],[2nd Highest PiN]]=tblPiNAnalysis[[#This Row],[CCCM]:[WASH]], tblPiNAnalysis[[#Headers],[CCCM]:[WASH]], "")))</f>
        <v>Overarching Protection</v>
      </c>
      <c r="AQ57" s="36">
        <f>IFERROR(tblPiNAnalysis[[#This Row],[2nd Highest PiN]]/tblPiNAnalysis[[#This Row],[Affected population projection 2026]], "")</f>
        <v>0.70047780423951667</v>
      </c>
      <c r="AR57" s="46">
        <f>IFERROR(tblPiNAnalysis[[#This Row],[Highest PiN]]-tblPiNAnalysis[[#This Row],[2nd Highest PiN]], "")</f>
        <v>56.853290008260501</v>
      </c>
      <c r="AS57" s="39">
        <f>IFERROR(((tblPiNAnalysis[[#This Row],[Highest PiN]]-tblPiNAnalysis[[#This Row],[2nd Highest PiN]])/tblPiNAnalysis[[#This Row],[2nd Highest PiN]]),"")</f>
        <v>0.1500086807605818</v>
      </c>
      <c r="AT57" s="39" t="str" cm="1">
        <f t="array" ref="AT5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7" s="332" cm="1">
        <f t="array" ref="AU5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323.57340367304914</v>
      </c>
      <c r="AV57" s="190" t="str" cm="1">
        <f t="array" ref="AV57">IF(tblPiNAnalysis[[#This Row],[3rd Highest PiN]]="", "", _xlfn.TEXTJOIN(CHAR(10), TRUE, IF(tblPiNAnalysis[[#This Row],[3rd Highest PiN]]=tblPiNAnalysis[[#This Row],[CCCM]:[WASH]], tblPiNAnalysis[[#Headers],[CCCM]:[WASH]], "")))</f>
        <v>Food Security</v>
      </c>
      <c r="AW57" s="190">
        <f>IFERROR(tblPiNAnalysis[[#This Row],[3rd Highest PiN]]/tblPiNAnalysis[[#This Row],[Affected population projection 2026]], "")</f>
        <v>0.59803690584486602</v>
      </c>
      <c r="AX57" s="45">
        <f>IFERROR(tblPiNAnalysis[[#This Row],[Highest PiN]]-tblPiNAnalysis[[#This Row],[3rd Highest PiN]],"")</f>
        <v>112.27988633521136</v>
      </c>
      <c r="AY57" s="39">
        <f>IFERROR(tblPiNAnalysis[[#This Row],[Difference of PiN between Highest and 3rd Highest]]/tblPiNAnalysis[[#This Row],[3rd Highest PiN]], "")</f>
        <v>0.34699973811402379</v>
      </c>
      <c r="AZ57" s="330" t="str" cm="1">
        <f t="array" ref="AZ5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7" s="300" t="str" cm="1">
        <f t="array" ref="BA57">IFERROR(IF(tblPiNAnalysis[[#This Row],[ID]]="", "", INDEX(tblPiNHistorical[[CCCM]:[WASH]], MATCH(tblPiNAnalysis[[#This Row],[ID]],tblPiNHistorical[ID], 0),MATCH(_xlfn._xlws.FILTER(tblPiNAnalysis[[#Headers],[CCCM]:[WASH]], tblPiNAnalysis[[#This Row],[Highest PiN]]=tblPiNAnalysis[[#This Row],[CCCM]:[WASH]]), tblPiNHistorical[[#Headers],[CCCM]:[WASH]], 0))), "")</f>
        <v/>
      </c>
      <c r="BB57" s="333" t="str" cm="1">
        <f t="array" ref="BB5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7" s="276" t="str" cm="1">
        <f t="array" ref="BC57">IFERROR(IF(tblPiNAnalysis[[#This Row],[ID]]="", "", INDEX(tblPiNHistorical[[CCCM]:[WASH]], MATCH(tblPiNAnalysis[[#This Row],[ID]],tblPiNHistorical[ID], 0),MATCH(_xlfn._xlws.FILTER(tblPiNAnalysis[[#Headers],[CCCM]:[WASH]], tblPiNAnalysis[[#This Row],[2nd Highest PiN]]=tblPiNAnalysis[[#This Row],[CCCM]:[WASH]]), tblPiNHistorical[[#Headers],[CCCM]:[WASH]], 0))), "")</f>
        <v/>
      </c>
      <c r="BD57" s="334" t="str" cm="1">
        <f t="array" ref="BD5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7" s="276">
        <f>INDEX(tblSeverityAnalysis[Final Severity], MATCH(tblPiNAnalysis[[#This Row],[ID]],tblSeverityAnalysis[ID], 0))</f>
        <v>3</v>
      </c>
      <c r="BF57" s="61">
        <f>IF(tblPiNAnalysis[[#This Row],[Severity]]&gt;2,tblPiNAnalysis[[#This Row],[Highest PiN]],)</f>
        <v>435.8532900082605</v>
      </c>
      <c r="BG57" s="191"/>
      <c r="BH57" s="192"/>
      <c r="BI57" s="193">
        <f>COUNTIFS(tblPiNAnalysis[[#This Row],[Number of missing / zero PiNs greater than threshold - Data quality]:[Manual Flag]],"Flagged")</f>
        <v>1</v>
      </c>
      <c r="BJ57" s="96" t="str">
        <f>IF(tblPiNAnalysis[[#This Row],['# Flags]]&gt;0, "Flagged", "")</f>
        <v>Flagged</v>
      </c>
      <c r="BK57" s="326">
        <f>tblPiNAnalysis[[#This Row],[Preliminary PiN]]</f>
        <v>435.8532900082605</v>
      </c>
      <c r="BL57" s="331"/>
    </row>
    <row r="58" spans="1:64" x14ac:dyDescent="0.55000000000000004">
      <c r="A5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SS0707</v>
      </c>
      <c r="B58" s="316" t="s">
        <v>342</v>
      </c>
      <c r="C58" s="317" t="s">
        <v>343</v>
      </c>
      <c r="D58" s="317" t="s">
        <v>356</v>
      </c>
      <c r="E58" s="105" t="s">
        <v>357</v>
      </c>
      <c r="F58" s="100"/>
      <c r="G58" s="34"/>
      <c r="H58" s="34"/>
      <c r="I58" s="97">
        <v>107560.86765914821</v>
      </c>
      <c r="J58" s="97" t="s">
        <v>412</v>
      </c>
      <c r="K58" s="318">
        <v>74185</v>
      </c>
      <c r="L58" s="319">
        <v>3013.7694631152058</v>
      </c>
      <c r="M58" s="319">
        <v>39329.93079403638</v>
      </c>
      <c r="N58" s="319">
        <v>87059.249524592815</v>
      </c>
      <c r="O58" s="319">
        <v>72678.61042533537</v>
      </c>
      <c r="P58" s="319">
        <v>75082</v>
      </c>
      <c r="Q58" s="320">
        <v>85703.579043920239</v>
      </c>
      <c r="R58" s="319">
        <v>85273.480666712072</v>
      </c>
      <c r="S58" s="319">
        <v>44972</v>
      </c>
      <c r="T58" s="319">
        <v>15480</v>
      </c>
      <c r="U58" s="319">
        <v>20935</v>
      </c>
      <c r="V58" s="319">
        <v>28261</v>
      </c>
      <c r="W58" s="321">
        <f>IFERROR(IF(tblPiNAnalysis[[#This Row],[CCCM]]="", "", MROUND(tblPiNAnalysis[[#This Row],[CCCM]]/tblPiNAnalysis[[#This Row],[Affected population projection 2026]], 0.05)), "")</f>
        <v>0.70000000000000007</v>
      </c>
      <c r="X58" s="322">
        <f>IFERROR(IF(tblPiNAnalysis[[#This Row],[Education]]="", "", MROUND(tblPiNAnalysis[[#This Row],[Education]]/tblPiNAnalysis[[#This Row],[Affected population projection 2026]], 0.05)), "")</f>
        <v>0.05</v>
      </c>
      <c r="Y58" s="322">
        <f>IFERROR(IF(tblPiNAnalysis[[#This Row],[Nutrition]]="", "", MROUND(tblPiNAnalysis[[#This Row],[Nutrition]]/tblPiNAnalysis[[#This Row],[Affected population projection 2026]], 0.05)), "")</f>
        <v>0.35000000000000003</v>
      </c>
      <c r="Z58" s="322">
        <f>IFERROR(IF(tblPiNAnalysis[[#This Row],[Food Security]]="", "", MROUND(tblPiNAnalysis[[#This Row],[Food Security]]/tblPiNAnalysis[[#This Row],[Affected population projection 2026]], 0.05)), "")</f>
        <v>0.8</v>
      </c>
      <c r="AA58" s="322">
        <f>IFERROR(IF(tblPiNAnalysis[[#This Row],[Health]]="", "", MROUND(tblPiNAnalysis[[#This Row],[Health]]/tblPiNAnalysis[[#This Row],[Affected population projection 2026]], 0.05)), "")</f>
        <v>0.70000000000000007</v>
      </c>
      <c r="AB58" s="323">
        <f>IFERROR(IF(tblPiNAnalysis[[#This Row],[Overarching Protection]]="", "", MROUND(tblPiNAnalysis[[#This Row],[Overarching Protection]]/tblPiNAnalysis[[#This Row],[Affected population projection 2026]], 0.05)), "")</f>
        <v>0.70000000000000007</v>
      </c>
      <c r="AC58" s="323">
        <f>IFERROR(IF(tblPiNAnalysis[[#This Row],[Shelter]]="", "", MROUND(tblPiNAnalysis[[#This Row],[Shelter]]/tblPiNAnalysis[[#This Row],[Affected population projection 2026]], 0.05)), "")</f>
        <v>0.8</v>
      </c>
      <c r="AD58" s="324">
        <f>IFERROR(IF(tblPiNAnalysis[[#This Row],[WASH]]="", "", MROUND(tblPiNAnalysis[[#This Row],[WASH]]/tblPiNAnalysis[[#This Row],[Affected population projection 2026]], 0.05)), "")</f>
        <v>0.8</v>
      </c>
      <c r="AE58" s="322">
        <f>IFERROR(MROUND(tblPiNAnalysis[[#This Row],[CP]]/tblPiNAnalysis[[#This Row],[Affected population projection 2026]], 0.05), "")</f>
        <v>0.4</v>
      </c>
      <c r="AF58" s="322">
        <f>IFERROR(MROUND(tblPiNAnalysis[[#This Row],[GBV]]/tblPiNAnalysis[[#This Row],[Affected population projection 2026]], 0.05), "")</f>
        <v>0.15000000000000002</v>
      </c>
      <c r="AG58" s="322">
        <f>IFERROR(MROUND(tblPiNAnalysis[[#This Row],[Mine Action]]/tblPiNAnalysis[[#This Row],[Affected population projection 2026]], 0.05), "")</f>
        <v>0.2</v>
      </c>
      <c r="AH58" s="322">
        <f>IFERROR(MROUND(tblPiNAnalysis[[#This Row],[HLP]]/tblPiNAnalysis[[#This Row],[Affected population projection 2026]], 0.05), "")</f>
        <v>0.25</v>
      </c>
      <c r="AI58" s="325">
        <f>IFERROR(LARGE(tblPiNAnalysis[[#This Row],[CCCM]:[WASH]], 1), "")</f>
        <v>87059.249524592815</v>
      </c>
      <c r="AJ58" s="326" t="str" cm="1">
        <f t="array" ref="AJ58">IF(tblPiNAnalysis[[#This Row],[Highest PiN]]="", "", _xlfn.TEXTJOIN(CHAR(10), TRUE, IF(tblPiNAnalysis[[#This Row],[Highest PiN]]=tblPiNAnalysis[[#This Row],[CCCM]:[WASH]], tblPiNAnalysis[[#Headers],[CCCM]:[WASH]], "")))</f>
        <v>Food Security</v>
      </c>
      <c r="AK58" s="327">
        <f>IF(tblPiNAnalysis[[#This Row],[Highest PiN]]="", "", tblPiNAnalysis[[#This Row],[Highest PiN]]/tblPiNAnalysis[[#This Row],[Affected population projection 2026]])</f>
        <v>0.80939519566239104</v>
      </c>
      <c r="AL58" s="328" t="str">
        <f>IF(SUM(tblPiNAnalysis[[#This Row],[CCCM]:[WASH]])=0, "",IF(COUNTIF(tblPiNAnalysis[[#This Row],[CCCM]:[WASH]],"=0")+COUNTIF(tblPiNAnalysis[[#This Row],[CCCM]:[WASH]],"")&gt;=zero_pin_thresh, "Flagged", ""))</f>
        <v/>
      </c>
      <c r="AM58" s="329" t="str">
        <f>IFERROR(IF(tblPiNAnalysis[[#This Row],[Highest PiN]]="", "", IF(tblPiNAnalysis[[#This Row],[Highest sector(s'') PiN %]]&gt;=flag_pin_perc, "Flagged", "")), "")</f>
        <v/>
      </c>
      <c r="AN58" s="330" t="str" cm="1">
        <f t="array" ref="AN58">IF(tblPiNAnalysis[[#This Row],[Highest PiN]]=0, "",  IF(OR(COUNTIF(tblPiNAnalysis[[#This Row],[Highest sector(s)]],tblSubSectorPopulation[Sector])), "Flagged", ""))</f>
        <v/>
      </c>
      <c r="AO58" s="46" cm="1">
        <f t="array" ref="AO5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85703.579043920239</v>
      </c>
      <c r="AP58" s="331" t="str" cm="1">
        <f t="array" ref="AP58">IF(tblPiNAnalysis[[#This Row],[2nd Highest PiN]]="", "", _xlfn.TEXTJOIN(CHAR(10), TRUE, IF(tblPiNAnalysis[[#This Row],[2nd Highest PiN]]=tblPiNAnalysis[[#This Row],[CCCM]:[WASH]], tblPiNAnalysis[[#Headers],[CCCM]:[WASH]], "")))</f>
        <v>Shelter</v>
      </c>
      <c r="AQ58" s="36">
        <f>IFERROR(tblPiNAnalysis[[#This Row],[2nd Highest PiN]]/tblPiNAnalysis[[#This Row],[Affected population projection 2026]], "")</f>
        <v>0.79679144385026746</v>
      </c>
      <c r="AR58" s="46">
        <f>IFERROR(tblPiNAnalysis[[#This Row],[Highest PiN]]-tblPiNAnalysis[[#This Row],[2nd Highest PiN]], "")</f>
        <v>1355.6704806725756</v>
      </c>
      <c r="AS58" s="39">
        <f>IFERROR(((tblPiNAnalysis[[#This Row],[Highest PiN]]-tblPiNAnalysis[[#This Row],[2nd Highest PiN]])/tblPiNAnalysis[[#This Row],[2nd Highest PiN]]),"")</f>
        <v>1.5818131468906795E-2</v>
      </c>
      <c r="AT58" s="39" t="str" cm="1">
        <f t="array" ref="AT5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8" s="332" cm="1">
        <f t="array" ref="AU5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85273.480666712072</v>
      </c>
      <c r="AV58" s="190" t="str" cm="1">
        <f t="array" ref="AV58">IF(tblPiNAnalysis[[#This Row],[3rd Highest PiN]]="", "", _xlfn.TEXTJOIN(CHAR(10), TRUE, IF(tblPiNAnalysis[[#This Row],[3rd Highest PiN]]=tblPiNAnalysis[[#This Row],[CCCM]:[WASH]], tblPiNAnalysis[[#Headers],[CCCM]:[WASH]], "")))</f>
        <v>WASH</v>
      </c>
      <c r="AW58" s="190">
        <f>IFERROR(tblPiNAnalysis[[#This Row],[3rd Highest PiN]]/tblPiNAnalysis[[#This Row],[Affected population projection 2026]], "")</f>
        <v>0.79279279279279258</v>
      </c>
      <c r="AX58" s="45">
        <f>IFERROR(tblPiNAnalysis[[#This Row],[Highest PiN]]-tblPiNAnalysis[[#This Row],[3rd Highest PiN]],"")</f>
        <v>1785.7688578807429</v>
      </c>
      <c r="AY58" s="39">
        <f>IFERROR(tblPiNAnalysis[[#This Row],[Difference of PiN between Highest and 3rd Highest]]/tblPiNAnalysis[[#This Row],[3rd Highest PiN]], "")</f>
        <v>2.0941667255970794E-2</v>
      </c>
      <c r="AZ58" s="330" t="str" cm="1">
        <f t="array" ref="AZ5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8" s="300" t="str" cm="1">
        <f t="array" ref="BA58">IFERROR(IF(tblPiNAnalysis[[#This Row],[ID]]="", "", INDEX(tblPiNHistorical[[CCCM]:[WASH]], MATCH(tblPiNAnalysis[[#This Row],[ID]],tblPiNHistorical[ID], 0),MATCH(_xlfn._xlws.FILTER(tblPiNAnalysis[[#Headers],[CCCM]:[WASH]], tblPiNAnalysis[[#This Row],[Highest PiN]]=tblPiNAnalysis[[#This Row],[CCCM]:[WASH]]), tblPiNHistorical[[#Headers],[CCCM]:[WASH]], 0))), "")</f>
        <v/>
      </c>
      <c r="BB58" s="333" t="str" cm="1">
        <f t="array" ref="BB5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8" s="276" t="str" cm="1">
        <f t="array" ref="BC58">IFERROR(IF(tblPiNAnalysis[[#This Row],[ID]]="", "", INDEX(tblPiNHistorical[[CCCM]:[WASH]], MATCH(tblPiNAnalysis[[#This Row],[ID]],tblPiNHistorical[ID], 0),MATCH(_xlfn._xlws.FILTER(tblPiNAnalysis[[#Headers],[CCCM]:[WASH]], tblPiNAnalysis[[#This Row],[2nd Highest PiN]]=tblPiNAnalysis[[#This Row],[CCCM]:[WASH]]), tblPiNHistorical[[#Headers],[CCCM]:[WASH]], 0))), "")</f>
        <v/>
      </c>
      <c r="BD58" s="334" t="str" cm="1">
        <f t="array" ref="BD5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8" s="276">
        <f>INDEX(tblSeverityAnalysis[Final Severity], MATCH(tblPiNAnalysis[[#This Row],[ID]],tblSeverityAnalysis[ID], 0))</f>
        <v>4</v>
      </c>
      <c r="BF58" s="61">
        <f>IF(tblPiNAnalysis[[#This Row],[Severity]]&gt;2,tblPiNAnalysis[[#This Row],[Highest PiN]],)</f>
        <v>87059.249524592815</v>
      </c>
      <c r="BG58" s="191"/>
      <c r="BH58" s="192"/>
      <c r="BI58" s="193">
        <f>COUNTIFS(tblPiNAnalysis[[#This Row],[Number of missing / zero PiNs greater than threshold - Data quality]:[Manual Flag]],"Flagged")</f>
        <v>0</v>
      </c>
      <c r="BJ58" s="96" t="str">
        <f>IF(tblPiNAnalysis[[#This Row],['# Flags]]&gt;0, "Flagged", "")</f>
        <v/>
      </c>
      <c r="BK58" s="326">
        <f>tblPiNAnalysis[[#This Row],[Preliminary PiN]]</f>
        <v>87059.249524592815</v>
      </c>
      <c r="BL58" s="331"/>
    </row>
    <row r="59" spans="1:64" x14ac:dyDescent="0.55000000000000004">
      <c r="A5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SS0708</v>
      </c>
      <c r="B59" s="316" t="s">
        <v>342</v>
      </c>
      <c r="C59" s="317" t="s">
        <v>343</v>
      </c>
      <c r="D59" s="317" t="s">
        <v>358</v>
      </c>
      <c r="E59" s="105" t="s">
        <v>359</v>
      </c>
      <c r="F59" s="100"/>
      <c r="G59" s="34"/>
      <c r="H59" s="34"/>
      <c r="I59" s="97">
        <v>19743.531183340554</v>
      </c>
      <c r="J59" s="97" t="s">
        <v>412</v>
      </c>
      <c r="K59" s="318">
        <v>0</v>
      </c>
      <c r="L59" s="319">
        <v>2123.7721623295765</v>
      </c>
      <c r="M59" s="319">
        <v>7457.1688528865989</v>
      </c>
      <c r="N59" s="319">
        <v>13885.140815532421</v>
      </c>
      <c r="O59" s="319">
        <v>9737.7592085402703</v>
      </c>
      <c r="P59" s="319">
        <v>13821</v>
      </c>
      <c r="Q59" s="320">
        <v>11957.349871600618</v>
      </c>
      <c r="R59" s="319">
        <v>16635.753126703614</v>
      </c>
      <c r="S59" s="319">
        <v>8183</v>
      </c>
      <c r="T59" s="319">
        <v>7019</v>
      </c>
      <c r="U59" s="319">
        <v>8837</v>
      </c>
      <c r="V59" s="319">
        <v>5266</v>
      </c>
      <c r="W59" s="321">
        <f>IFERROR(IF(tblPiNAnalysis[[#This Row],[CCCM]]="", "", MROUND(tblPiNAnalysis[[#This Row],[CCCM]]/tblPiNAnalysis[[#This Row],[Affected population projection 2026]], 0.05)), "")</f>
        <v>0</v>
      </c>
      <c r="X59" s="322">
        <f>IFERROR(IF(tblPiNAnalysis[[#This Row],[Education]]="", "", MROUND(tblPiNAnalysis[[#This Row],[Education]]/tblPiNAnalysis[[#This Row],[Affected population projection 2026]], 0.05)), "")</f>
        <v>0.1</v>
      </c>
      <c r="Y59" s="322">
        <f>IFERROR(IF(tblPiNAnalysis[[#This Row],[Nutrition]]="", "", MROUND(tblPiNAnalysis[[#This Row],[Nutrition]]/tblPiNAnalysis[[#This Row],[Affected population projection 2026]], 0.05)), "")</f>
        <v>0.4</v>
      </c>
      <c r="Z59" s="322">
        <f>IFERROR(IF(tblPiNAnalysis[[#This Row],[Food Security]]="", "", MROUND(tblPiNAnalysis[[#This Row],[Food Security]]/tblPiNAnalysis[[#This Row],[Affected population projection 2026]], 0.05)), "")</f>
        <v>0.70000000000000007</v>
      </c>
      <c r="AA59" s="322">
        <f>IFERROR(IF(tblPiNAnalysis[[#This Row],[Health]]="", "", MROUND(tblPiNAnalysis[[#This Row],[Health]]/tblPiNAnalysis[[#This Row],[Affected population projection 2026]], 0.05)), "")</f>
        <v>0.5</v>
      </c>
      <c r="AB59" s="323">
        <f>IFERROR(IF(tblPiNAnalysis[[#This Row],[Overarching Protection]]="", "", MROUND(tblPiNAnalysis[[#This Row],[Overarching Protection]]/tblPiNAnalysis[[#This Row],[Affected population projection 2026]], 0.05)), "")</f>
        <v>0.70000000000000007</v>
      </c>
      <c r="AC59" s="323">
        <f>IFERROR(IF(tblPiNAnalysis[[#This Row],[Shelter]]="", "", MROUND(tblPiNAnalysis[[#This Row],[Shelter]]/tblPiNAnalysis[[#This Row],[Affected population projection 2026]], 0.05)), "")</f>
        <v>0.60000000000000009</v>
      </c>
      <c r="AD59" s="324">
        <f>IFERROR(IF(tblPiNAnalysis[[#This Row],[WASH]]="", "", MROUND(tblPiNAnalysis[[#This Row],[WASH]]/tblPiNAnalysis[[#This Row],[Affected population projection 2026]], 0.05)), "")</f>
        <v>0.85000000000000009</v>
      </c>
      <c r="AE59" s="322">
        <f>IFERROR(MROUND(tblPiNAnalysis[[#This Row],[CP]]/tblPiNAnalysis[[#This Row],[Affected population projection 2026]], 0.05), "")</f>
        <v>0.4</v>
      </c>
      <c r="AF59" s="322">
        <f>IFERROR(MROUND(tblPiNAnalysis[[#This Row],[GBV]]/tblPiNAnalysis[[#This Row],[Affected population projection 2026]], 0.05), "")</f>
        <v>0.35000000000000003</v>
      </c>
      <c r="AG59" s="322">
        <f>IFERROR(MROUND(tblPiNAnalysis[[#This Row],[Mine Action]]/tblPiNAnalysis[[#This Row],[Affected population projection 2026]], 0.05), "")</f>
        <v>0.45</v>
      </c>
      <c r="AH59" s="322">
        <f>IFERROR(MROUND(tblPiNAnalysis[[#This Row],[HLP]]/tblPiNAnalysis[[#This Row],[Affected population projection 2026]], 0.05), "")</f>
        <v>0.25</v>
      </c>
      <c r="AI59" s="325">
        <f>IFERROR(LARGE(tblPiNAnalysis[[#This Row],[CCCM]:[WASH]], 1), "")</f>
        <v>16635.753126703614</v>
      </c>
      <c r="AJ59" s="326" t="str" cm="1">
        <f t="array" ref="AJ59">IF(tblPiNAnalysis[[#This Row],[Highest PiN]]="", "", _xlfn.TEXTJOIN(CHAR(10), TRUE, IF(tblPiNAnalysis[[#This Row],[Highest PiN]]=tblPiNAnalysis[[#This Row],[CCCM]:[WASH]], tblPiNAnalysis[[#Headers],[CCCM]:[WASH]], "")))</f>
        <v>WASH</v>
      </c>
      <c r="AK59" s="327">
        <f>IF(tblPiNAnalysis[[#This Row],[Highest PiN]]="", "", tblPiNAnalysis[[#This Row],[Highest PiN]]/tblPiNAnalysis[[#This Row],[Affected population projection 2026]])</f>
        <v>0.84259259259259256</v>
      </c>
      <c r="AL59" s="328" t="str">
        <f>IF(SUM(tblPiNAnalysis[[#This Row],[CCCM]:[WASH]])=0, "",IF(COUNTIF(tblPiNAnalysis[[#This Row],[CCCM]:[WASH]],"=0")+COUNTIF(tblPiNAnalysis[[#This Row],[CCCM]:[WASH]],"")&gt;=zero_pin_thresh, "Flagged", ""))</f>
        <v/>
      </c>
      <c r="AM59" s="329" t="str">
        <f>IFERROR(IF(tblPiNAnalysis[[#This Row],[Highest PiN]]="", "", IF(tblPiNAnalysis[[#This Row],[Highest sector(s'') PiN %]]&gt;=flag_pin_perc, "Flagged", "")), "")</f>
        <v/>
      </c>
      <c r="AN59" s="330" t="str" cm="1">
        <f t="array" ref="AN59">IF(tblPiNAnalysis[[#This Row],[Highest PiN]]=0, "",  IF(OR(COUNTIF(tblPiNAnalysis[[#This Row],[Highest sector(s)]],tblSubSectorPopulation[Sector])), "Flagged", ""))</f>
        <v/>
      </c>
      <c r="AO59" s="46" cm="1">
        <f t="array" ref="AO5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13885.140815532421</v>
      </c>
      <c r="AP59" s="331" t="str" cm="1">
        <f t="array" ref="AP59">IF(tblPiNAnalysis[[#This Row],[2nd Highest PiN]]="", "", _xlfn.TEXTJOIN(CHAR(10), TRUE, IF(tblPiNAnalysis[[#This Row],[2nd Highest PiN]]=tblPiNAnalysis[[#This Row],[CCCM]:[WASH]], tblPiNAnalysis[[#Headers],[CCCM]:[WASH]], "")))</f>
        <v>Food Security</v>
      </c>
      <c r="AQ59" s="36">
        <f>IFERROR(tblPiNAnalysis[[#This Row],[2nd Highest PiN]]/tblPiNAnalysis[[#This Row],[Affected population projection 2026]], "")</f>
        <v>0.70327545192364571</v>
      </c>
      <c r="AR59" s="46">
        <f>IFERROR(tblPiNAnalysis[[#This Row],[Highest PiN]]-tblPiNAnalysis[[#This Row],[2nd Highest PiN]], "")</f>
        <v>2750.6123111711931</v>
      </c>
      <c r="AS59" s="39">
        <f>IFERROR(((tblPiNAnalysis[[#This Row],[Highest PiN]]-tblPiNAnalysis[[#This Row],[2nd Highest PiN]])/tblPiNAnalysis[[#This Row],[2nd Highest PiN]]),"")</f>
        <v>0.19809754526178508</v>
      </c>
      <c r="AT59" s="39" t="str" cm="1">
        <f t="array" ref="AT5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9" s="332" cm="1">
        <f t="array" ref="AU5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13821</v>
      </c>
      <c r="AV59" s="190" t="str" cm="1">
        <f t="array" ref="AV59">IF(tblPiNAnalysis[[#This Row],[3rd Highest PiN]]="", "", _xlfn.TEXTJOIN(CHAR(10), TRUE, IF(tblPiNAnalysis[[#This Row],[3rd Highest PiN]]=tblPiNAnalysis[[#This Row],[CCCM]:[WASH]], tblPiNAnalysis[[#Headers],[CCCM]:[WASH]], "")))</f>
        <v>Overarching Protection</v>
      </c>
      <c r="AW59" s="190">
        <f>IFERROR(tblPiNAnalysis[[#This Row],[3rd Highest PiN]]/tblPiNAnalysis[[#This Row],[Affected population projection 2026]], "")</f>
        <v>0.70002675163103845</v>
      </c>
      <c r="AX59" s="45">
        <f>IFERROR(tblPiNAnalysis[[#This Row],[Highest PiN]]-tblPiNAnalysis[[#This Row],[3rd Highest PiN]],"")</f>
        <v>2814.7531267036138</v>
      </c>
      <c r="AY59" s="39">
        <f>IFERROR(tblPiNAnalysis[[#This Row],[Difference of PiN between Highest and 3rd Highest]]/tblPiNAnalysis[[#This Row],[3rd Highest PiN]], "")</f>
        <v>0.20365770397971303</v>
      </c>
      <c r="AZ59" s="330" t="str" cm="1">
        <f t="array" ref="AZ5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9" s="300" t="str" cm="1">
        <f t="array" ref="BA59">IFERROR(IF(tblPiNAnalysis[[#This Row],[ID]]="", "", INDEX(tblPiNHistorical[[CCCM]:[WASH]], MATCH(tblPiNAnalysis[[#This Row],[ID]],tblPiNHistorical[ID], 0),MATCH(_xlfn._xlws.FILTER(tblPiNAnalysis[[#Headers],[CCCM]:[WASH]], tblPiNAnalysis[[#This Row],[Highest PiN]]=tblPiNAnalysis[[#This Row],[CCCM]:[WASH]]), tblPiNHistorical[[#Headers],[CCCM]:[WASH]], 0))), "")</f>
        <v/>
      </c>
      <c r="BB59" s="333" t="str" cm="1">
        <f t="array" ref="BB5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9" s="276" t="str" cm="1">
        <f t="array" ref="BC59">IFERROR(IF(tblPiNAnalysis[[#This Row],[ID]]="", "", INDEX(tblPiNHistorical[[CCCM]:[WASH]], MATCH(tblPiNAnalysis[[#This Row],[ID]],tblPiNHistorical[ID], 0),MATCH(_xlfn._xlws.FILTER(tblPiNAnalysis[[#Headers],[CCCM]:[WASH]], tblPiNAnalysis[[#This Row],[2nd Highest PiN]]=tblPiNAnalysis[[#This Row],[CCCM]:[WASH]]), tblPiNHistorical[[#Headers],[CCCM]:[WASH]], 0))), "")</f>
        <v/>
      </c>
      <c r="BD59" s="334" t="str" cm="1">
        <f t="array" ref="BD5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9" s="276">
        <f>INDEX(tblSeverityAnalysis[Final Severity], MATCH(tblPiNAnalysis[[#This Row],[ID]],tblSeverityAnalysis[ID], 0))</f>
        <v>3</v>
      </c>
      <c r="BF59" s="61">
        <f>IF(tblPiNAnalysis[[#This Row],[Severity]]&gt;2,tblPiNAnalysis[[#This Row],[Highest PiN]],)</f>
        <v>16635.753126703614</v>
      </c>
      <c r="BG59" s="191"/>
      <c r="BH59" s="192"/>
      <c r="BI59" s="193">
        <f>COUNTIFS(tblPiNAnalysis[[#This Row],[Number of missing / zero PiNs greater than threshold - Data quality]:[Manual Flag]],"Flagged")</f>
        <v>0</v>
      </c>
      <c r="BJ59" s="96" t="str">
        <f>IF(tblPiNAnalysis[[#This Row],['# Flags]]&gt;0, "Flagged", "")</f>
        <v/>
      </c>
      <c r="BK59" s="326">
        <f>tblPiNAnalysis[[#This Row],[Preliminary PiN]]</f>
        <v>16635.753126703614</v>
      </c>
      <c r="BL59" s="331"/>
    </row>
    <row r="60" spans="1:64" x14ac:dyDescent="0.55000000000000004">
      <c r="A6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SS0709</v>
      </c>
      <c r="B60" s="316" t="s">
        <v>342</v>
      </c>
      <c r="C60" s="317" t="s">
        <v>343</v>
      </c>
      <c r="D60" s="317" t="s">
        <v>360</v>
      </c>
      <c r="E60" s="105" t="s">
        <v>361</v>
      </c>
      <c r="F60" s="100"/>
      <c r="G60" s="34"/>
      <c r="H60" s="34"/>
      <c r="I60" s="97">
        <v>33846.254411291047</v>
      </c>
      <c r="J60" s="97" t="s">
        <v>412</v>
      </c>
      <c r="K60" s="318">
        <v>27668.75</v>
      </c>
      <c r="L60" s="319">
        <v>7214.4408204062447</v>
      </c>
      <c r="M60" s="319">
        <v>12061.434048358844</v>
      </c>
      <c r="N60" s="319">
        <v>22661.952052378263</v>
      </c>
      <c r="O60" s="319">
        <v>16478.699802361254</v>
      </c>
      <c r="P60" s="319">
        <v>21793</v>
      </c>
      <c r="Q60" s="320">
        <v>0</v>
      </c>
      <c r="R60" s="319">
        <v>3133.912445489912</v>
      </c>
      <c r="S60" s="319">
        <v>5344</v>
      </c>
      <c r="T60" s="319">
        <v>13013</v>
      </c>
      <c r="U60" s="319">
        <v>5922</v>
      </c>
      <c r="V60" s="319">
        <v>2394</v>
      </c>
      <c r="W60" s="321">
        <f>IFERROR(IF(tblPiNAnalysis[[#This Row],[CCCM]]="", "", MROUND(tblPiNAnalysis[[#This Row],[CCCM]]/tblPiNAnalysis[[#This Row],[Affected population projection 2026]], 0.05)), "")</f>
        <v>0.8</v>
      </c>
      <c r="X60" s="322">
        <f>IFERROR(IF(tblPiNAnalysis[[#This Row],[Education]]="", "", MROUND(tblPiNAnalysis[[#This Row],[Education]]/tblPiNAnalysis[[#This Row],[Affected population projection 2026]], 0.05)), "")</f>
        <v>0.2</v>
      </c>
      <c r="Y60" s="322">
        <f>IFERROR(IF(tblPiNAnalysis[[#This Row],[Nutrition]]="", "", MROUND(tblPiNAnalysis[[#This Row],[Nutrition]]/tblPiNAnalysis[[#This Row],[Affected population projection 2026]], 0.05)), "")</f>
        <v>0.35000000000000003</v>
      </c>
      <c r="Z60" s="322">
        <f>IFERROR(IF(tblPiNAnalysis[[#This Row],[Food Security]]="", "", MROUND(tblPiNAnalysis[[#This Row],[Food Security]]/tblPiNAnalysis[[#This Row],[Affected population projection 2026]], 0.05)), "")</f>
        <v>0.65</v>
      </c>
      <c r="AA60" s="322">
        <f>IFERROR(IF(tblPiNAnalysis[[#This Row],[Health]]="", "", MROUND(tblPiNAnalysis[[#This Row],[Health]]/tblPiNAnalysis[[#This Row],[Affected population projection 2026]], 0.05)), "")</f>
        <v>0.5</v>
      </c>
      <c r="AB60" s="323">
        <f>IFERROR(IF(tblPiNAnalysis[[#This Row],[Overarching Protection]]="", "", MROUND(tblPiNAnalysis[[#This Row],[Overarching Protection]]/tblPiNAnalysis[[#This Row],[Affected population projection 2026]], 0.05)), "")</f>
        <v>0.65</v>
      </c>
      <c r="AC60" s="323">
        <f>IFERROR(IF(tblPiNAnalysis[[#This Row],[Shelter]]="", "", MROUND(tblPiNAnalysis[[#This Row],[Shelter]]/tblPiNAnalysis[[#This Row],[Affected population projection 2026]], 0.05)), "")</f>
        <v>0</v>
      </c>
      <c r="AD60" s="324">
        <f>IFERROR(IF(tblPiNAnalysis[[#This Row],[WASH]]="", "", MROUND(tblPiNAnalysis[[#This Row],[WASH]]/tblPiNAnalysis[[#This Row],[Affected population projection 2026]], 0.05)), "")</f>
        <v>0.1</v>
      </c>
      <c r="AE60" s="322">
        <f>IFERROR(MROUND(tblPiNAnalysis[[#This Row],[CP]]/tblPiNAnalysis[[#This Row],[Affected population projection 2026]], 0.05), "")</f>
        <v>0.15000000000000002</v>
      </c>
      <c r="AF60" s="322">
        <f>IFERROR(MROUND(tblPiNAnalysis[[#This Row],[GBV]]/tblPiNAnalysis[[#This Row],[Affected population projection 2026]], 0.05), "")</f>
        <v>0.4</v>
      </c>
      <c r="AG60" s="322">
        <f>IFERROR(MROUND(tblPiNAnalysis[[#This Row],[Mine Action]]/tblPiNAnalysis[[#This Row],[Affected population projection 2026]], 0.05), "")</f>
        <v>0.15000000000000002</v>
      </c>
      <c r="AH60" s="322">
        <f>IFERROR(MROUND(tblPiNAnalysis[[#This Row],[HLP]]/tblPiNAnalysis[[#This Row],[Affected population projection 2026]], 0.05), "")</f>
        <v>0.05</v>
      </c>
      <c r="AI60" s="325">
        <f>IFERROR(LARGE(tblPiNAnalysis[[#This Row],[CCCM]:[WASH]], 1), "")</f>
        <v>27668.75</v>
      </c>
      <c r="AJ60" s="326" t="str" cm="1">
        <f t="array" ref="AJ60">IF(tblPiNAnalysis[[#This Row],[Highest PiN]]="", "", _xlfn.TEXTJOIN(CHAR(10), TRUE, IF(tblPiNAnalysis[[#This Row],[Highest PiN]]=tblPiNAnalysis[[#This Row],[CCCM]:[WASH]], tblPiNAnalysis[[#Headers],[CCCM]:[WASH]], "")))</f>
        <v>CCCM</v>
      </c>
      <c r="AK60" s="327">
        <f>IF(tblPiNAnalysis[[#This Row],[Highest PiN]]="", "", tblPiNAnalysis[[#This Row],[Highest PiN]]/tblPiNAnalysis[[#This Row],[Affected population projection 2026]])</f>
        <v>0.81748336651306852</v>
      </c>
      <c r="AL60" s="328" t="str">
        <f>IF(SUM(tblPiNAnalysis[[#This Row],[CCCM]:[WASH]])=0, "",IF(COUNTIF(tblPiNAnalysis[[#This Row],[CCCM]:[WASH]],"=0")+COUNTIF(tblPiNAnalysis[[#This Row],[CCCM]:[WASH]],"")&gt;=zero_pin_thresh, "Flagged", ""))</f>
        <v/>
      </c>
      <c r="AM60" s="329" t="str">
        <f>IFERROR(IF(tblPiNAnalysis[[#This Row],[Highest PiN]]="", "", IF(tblPiNAnalysis[[#This Row],[Highest sector(s'') PiN %]]&gt;=flag_pin_perc, "Flagged", "")), "")</f>
        <v/>
      </c>
      <c r="AN60" s="330" t="str" cm="1">
        <f t="array" ref="AN60">IF(tblPiNAnalysis[[#This Row],[Highest PiN]]=0, "",  IF(OR(COUNTIF(tblPiNAnalysis[[#This Row],[Highest sector(s)]],tblSubSectorPopulation[Sector])), "Flagged", ""))</f>
        <v/>
      </c>
      <c r="AO60" s="46" cm="1">
        <f t="array" ref="AO6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22661.952052378263</v>
      </c>
      <c r="AP60" s="331" t="str" cm="1">
        <f t="array" ref="AP60">IF(tblPiNAnalysis[[#This Row],[2nd Highest PiN]]="", "", _xlfn.TEXTJOIN(CHAR(10), TRUE, IF(tblPiNAnalysis[[#This Row],[2nd Highest PiN]]=tblPiNAnalysis[[#This Row],[CCCM]:[WASH]], tblPiNAnalysis[[#Headers],[CCCM]:[WASH]], "")))</f>
        <v>Food Security</v>
      </c>
      <c r="AQ60" s="36">
        <f>IFERROR(tblPiNAnalysis[[#This Row],[2nd Highest PiN]]/tblPiNAnalysis[[#This Row],[Affected population projection 2026]], "")</f>
        <v>0.66955568486237815</v>
      </c>
      <c r="AR60" s="46">
        <f>IFERROR(tblPiNAnalysis[[#This Row],[Highest PiN]]-tblPiNAnalysis[[#This Row],[2nd Highest PiN]], "")</f>
        <v>5006.797947621737</v>
      </c>
      <c r="AS60" s="39">
        <f>IFERROR(((tblPiNAnalysis[[#This Row],[Highest PiN]]-tblPiNAnalysis[[#This Row],[2nd Highest PiN]])/tblPiNAnalysis[[#This Row],[2nd Highest PiN]]),"")</f>
        <v>0.22093409852997625</v>
      </c>
      <c r="AT60" s="39" t="str" cm="1">
        <f t="array" ref="AT6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0" s="332" cm="1">
        <f t="array" ref="AU6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21793</v>
      </c>
      <c r="AV60" s="190" t="str" cm="1">
        <f t="array" ref="AV60">IF(tblPiNAnalysis[[#This Row],[3rd Highest PiN]]="", "", _xlfn.TEXTJOIN(CHAR(10), TRUE, IF(tblPiNAnalysis[[#This Row],[3rd Highest PiN]]=tblPiNAnalysis[[#This Row],[CCCM]:[WASH]], tblPiNAnalysis[[#Headers],[CCCM]:[WASH]], "")))</f>
        <v>Overarching Protection</v>
      </c>
      <c r="AW60" s="190">
        <f>IFERROR(tblPiNAnalysis[[#This Row],[3rd Highest PiN]]/tblPiNAnalysis[[#This Row],[Affected population projection 2026]], "")</f>
        <v>0.64388217777887691</v>
      </c>
      <c r="AX60" s="45">
        <f>IFERROR(tblPiNAnalysis[[#This Row],[Highest PiN]]-tblPiNAnalysis[[#This Row],[3rd Highest PiN]],"")</f>
        <v>5875.75</v>
      </c>
      <c r="AY60" s="39">
        <f>IFERROR(tblPiNAnalysis[[#This Row],[Difference of PiN between Highest and 3rd Highest]]/tblPiNAnalysis[[#This Row],[3rd Highest PiN]], "")</f>
        <v>0.2696163905841325</v>
      </c>
      <c r="AZ60" s="330" t="str" cm="1">
        <f t="array" ref="AZ6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0" s="300" t="str" cm="1">
        <f t="array" ref="BA60">IFERROR(IF(tblPiNAnalysis[[#This Row],[ID]]="", "", INDEX(tblPiNHistorical[[CCCM]:[WASH]], MATCH(tblPiNAnalysis[[#This Row],[ID]],tblPiNHistorical[ID], 0),MATCH(_xlfn._xlws.FILTER(tblPiNAnalysis[[#Headers],[CCCM]:[WASH]], tblPiNAnalysis[[#This Row],[Highest PiN]]=tblPiNAnalysis[[#This Row],[CCCM]:[WASH]]), tblPiNHistorical[[#Headers],[CCCM]:[WASH]], 0))), "")</f>
        <v/>
      </c>
      <c r="BB60" s="333" t="str" cm="1">
        <f t="array" ref="BB6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0" s="276" t="str" cm="1">
        <f t="array" ref="BC60">IFERROR(IF(tblPiNAnalysis[[#This Row],[ID]]="", "", INDEX(tblPiNHistorical[[CCCM]:[WASH]], MATCH(tblPiNAnalysis[[#This Row],[ID]],tblPiNHistorical[ID], 0),MATCH(_xlfn._xlws.FILTER(tblPiNAnalysis[[#Headers],[CCCM]:[WASH]], tblPiNAnalysis[[#This Row],[2nd Highest PiN]]=tblPiNAnalysis[[#This Row],[CCCM]:[WASH]]), tblPiNHistorical[[#Headers],[CCCM]:[WASH]], 0))), "")</f>
        <v/>
      </c>
      <c r="BD60" s="334" t="str" cm="1">
        <f t="array" ref="BD6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0" s="276">
        <f>INDEX(tblSeverityAnalysis[Final Severity], MATCH(tblPiNAnalysis[[#This Row],[ID]],tblSeverityAnalysis[ID], 0))</f>
        <v>3</v>
      </c>
      <c r="BF60" s="61">
        <f>IF(tblPiNAnalysis[[#This Row],[Severity]]&gt;2,tblPiNAnalysis[[#This Row],[Highest PiN]],)</f>
        <v>27668.75</v>
      </c>
      <c r="BG60" s="191"/>
      <c r="BH60" s="192"/>
      <c r="BI60" s="193">
        <f>COUNTIFS(tblPiNAnalysis[[#This Row],[Number of missing / zero PiNs greater than threshold - Data quality]:[Manual Flag]],"Flagged")</f>
        <v>0</v>
      </c>
      <c r="BJ60" s="96" t="str">
        <f>IF(tblPiNAnalysis[[#This Row],['# Flags]]&gt;0, "Flagged", "")</f>
        <v/>
      </c>
      <c r="BK60" s="326">
        <f>tblPiNAnalysis[[#This Row],[Preliminary PiN]]</f>
        <v>27668.75</v>
      </c>
      <c r="BL60" s="331"/>
    </row>
    <row r="61" spans="1:64" x14ac:dyDescent="0.55000000000000004">
      <c r="A6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SS0710</v>
      </c>
      <c r="B61" s="316" t="s">
        <v>342</v>
      </c>
      <c r="C61" s="317" t="s">
        <v>343</v>
      </c>
      <c r="D61" s="317" t="s">
        <v>362</v>
      </c>
      <c r="E61" s="105" t="s">
        <v>363</v>
      </c>
      <c r="F61" s="100"/>
      <c r="G61" s="34"/>
      <c r="H61" s="34"/>
      <c r="I61" s="97">
        <v>17038.14092740557</v>
      </c>
      <c r="J61" s="97" t="s">
        <v>412</v>
      </c>
      <c r="K61" s="318">
        <v>2480</v>
      </c>
      <c r="L61" s="319">
        <v>1409.2553047593842</v>
      </c>
      <c r="M61" s="319">
        <v>8248.3502247827291</v>
      </c>
      <c r="N61" s="319">
        <v>14303.487592208576</v>
      </c>
      <c r="O61" s="319">
        <v>10357.715611792308</v>
      </c>
      <c r="P61" s="319">
        <v>13630</v>
      </c>
      <c r="Q61" s="320">
        <v>14074.985983508948</v>
      </c>
      <c r="R61" s="319">
        <v>16263.67997615986</v>
      </c>
      <c r="S61" s="319">
        <v>7190</v>
      </c>
      <c r="T61" s="319">
        <v>6871</v>
      </c>
      <c r="U61" s="319">
        <v>3514</v>
      </c>
      <c r="V61" s="319">
        <v>4922</v>
      </c>
      <c r="W61" s="321">
        <f>IFERROR(IF(tblPiNAnalysis[[#This Row],[CCCM]]="", "", MROUND(tblPiNAnalysis[[#This Row],[CCCM]]/tblPiNAnalysis[[#This Row],[Affected population projection 2026]], 0.05)), "")</f>
        <v>0.15000000000000002</v>
      </c>
      <c r="X61" s="322">
        <f>IFERROR(IF(tblPiNAnalysis[[#This Row],[Education]]="", "", MROUND(tblPiNAnalysis[[#This Row],[Education]]/tblPiNAnalysis[[#This Row],[Affected population projection 2026]], 0.05)), "")</f>
        <v>0.1</v>
      </c>
      <c r="Y61" s="322">
        <f>IFERROR(IF(tblPiNAnalysis[[#This Row],[Nutrition]]="", "", MROUND(tblPiNAnalysis[[#This Row],[Nutrition]]/tblPiNAnalysis[[#This Row],[Affected population projection 2026]], 0.05)), "")</f>
        <v>0.5</v>
      </c>
      <c r="Z61" s="322">
        <f>IFERROR(IF(tblPiNAnalysis[[#This Row],[Food Security]]="", "", MROUND(tblPiNAnalysis[[#This Row],[Food Security]]/tblPiNAnalysis[[#This Row],[Affected population projection 2026]], 0.05)), "")</f>
        <v>0.85000000000000009</v>
      </c>
      <c r="AA61" s="322">
        <f>IFERROR(IF(tblPiNAnalysis[[#This Row],[Health]]="", "", MROUND(tblPiNAnalysis[[#This Row],[Health]]/tblPiNAnalysis[[#This Row],[Affected population projection 2026]], 0.05)), "")</f>
        <v>0.60000000000000009</v>
      </c>
      <c r="AB61" s="323">
        <f>IFERROR(IF(tblPiNAnalysis[[#This Row],[Overarching Protection]]="", "", MROUND(tblPiNAnalysis[[#This Row],[Overarching Protection]]/tblPiNAnalysis[[#This Row],[Affected population projection 2026]], 0.05)), "")</f>
        <v>0.8</v>
      </c>
      <c r="AC61" s="323">
        <f>IFERROR(IF(tblPiNAnalysis[[#This Row],[Shelter]]="", "", MROUND(tblPiNAnalysis[[#This Row],[Shelter]]/tblPiNAnalysis[[#This Row],[Affected population projection 2026]], 0.05)), "")</f>
        <v>0.85000000000000009</v>
      </c>
      <c r="AD61" s="324">
        <f>IFERROR(IF(tblPiNAnalysis[[#This Row],[WASH]]="", "", MROUND(tblPiNAnalysis[[#This Row],[WASH]]/tblPiNAnalysis[[#This Row],[Affected population projection 2026]], 0.05)), "")</f>
        <v>0.95000000000000007</v>
      </c>
      <c r="AE61" s="322">
        <f>IFERROR(MROUND(tblPiNAnalysis[[#This Row],[CP]]/tblPiNAnalysis[[#This Row],[Affected population projection 2026]], 0.05), "")</f>
        <v>0.4</v>
      </c>
      <c r="AF61" s="322">
        <f>IFERROR(MROUND(tblPiNAnalysis[[#This Row],[GBV]]/tblPiNAnalysis[[#This Row],[Affected population projection 2026]], 0.05), "")</f>
        <v>0.4</v>
      </c>
      <c r="AG61" s="322">
        <f>IFERROR(MROUND(tblPiNAnalysis[[#This Row],[Mine Action]]/tblPiNAnalysis[[#This Row],[Affected population projection 2026]], 0.05), "")</f>
        <v>0.2</v>
      </c>
      <c r="AH61" s="322">
        <f>IFERROR(MROUND(tblPiNAnalysis[[#This Row],[HLP]]/tblPiNAnalysis[[#This Row],[Affected population projection 2026]], 0.05), "")</f>
        <v>0.30000000000000004</v>
      </c>
      <c r="AI61" s="325">
        <f>IFERROR(LARGE(tblPiNAnalysis[[#This Row],[CCCM]:[WASH]], 1), "")</f>
        <v>16263.67997615986</v>
      </c>
      <c r="AJ61" s="326" t="str" cm="1">
        <f t="array" ref="AJ61">IF(tblPiNAnalysis[[#This Row],[Highest PiN]]="", "", _xlfn.TEXTJOIN(CHAR(10), TRUE, IF(tblPiNAnalysis[[#This Row],[Highest PiN]]=tblPiNAnalysis[[#This Row],[CCCM]:[WASH]], tblPiNAnalysis[[#Headers],[CCCM]:[WASH]], "")))</f>
        <v>WASH</v>
      </c>
      <c r="AK61" s="327">
        <f>IF(tblPiNAnalysis[[#This Row],[Highest PiN]]="", "", tblPiNAnalysis[[#This Row],[Highest PiN]]/tblPiNAnalysis[[#This Row],[Affected population projection 2026]])</f>
        <v>0.95454545454545436</v>
      </c>
      <c r="AL61" s="328" t="str">
        <f>IF(SUM(tblPiNAnalysis[[#This Row],[CCCM]:[WASH]])=0, "",IF(COUNTIF(tblPiNAnalysis[[#This Row],[CCCM]:[WASH]],"=0")+COUNTIF(tblPiNAnalysis[[#This Row],[CCCM]:[WASH]],"")&gt;=zero_pin_thresh, "Flagged", ""))</f>
        <v/>
      </c>
      <c r="AM61" s="329" t="str">
        <f>IFERROR(IF(tblPiNAnalysis[[#This Row],[Highest PiN]]="", "", IF(tblPiNAnalysis[[#This Row],[Highest sector(s'') PiN %]]&gt;=flag_pin_perc, "Flagged", "")), "")</f>
        <v>Flagged</v>
      </c>
      <c r="AN61" s="330" t="str" cm="1">
        <f t="array" ref="AN61">IF(tblPiNAnalysis[[#This Row],[Highest PiN]]=0, "",  IF(OR(COUNTIF(tblPiNAnalysis[[#This Row],[Highest sector(s)]],tblSubSectorPopulation[Sector])), "Flagged", ""))</f>
        <v/>
      </c>
      <c r="AO61" s="46" cm="1">
        <f t="array" ref="AO6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14303.487592208576</v>
      </c>
      <c r="AP61" s="331" t="str" cm="1">
        <f t="array" ref="AP61">IF(tblPiNAnalysis[[#This Row],[2nd Highest PiN]]="", "", _xlfn.TEXTJOIN(CHAR(10), TRUE, IF(tblPiNAnalysis[[#This Row],[2nd Highest PiN]]=tblPiNAnalysis[[#This Row],[CCCM]:[WASH]], tblPiNAnalysis[[#Headers],[CCCM]:[WASH]], "")))</f>
        <v>Food Security</v>
      </c>
      <c r="AQ61" s="36">
        <f>IFERROR(tblPiNAnalysis[[#This Row],[2nd Highest PiN]]/tblPiNAnalysis[[#This Row],[Affected population projection 2026]], "")</f>
        <v>0.83949813850885879</v>
      </c>
      <c r="AR61" s="46">
        <f>IFERROR(tblPiNAnalysis[[#This Row],[Highest PiN]]-tblPiNAnalysis[[#This Row],[2nd Highest PiN]], "")</f>
        <v>1960.1923839512838</v>
      </c>
      <c r="AS61" s="39">
        <f>IFERROR(((tblPiNAnalysis[[#This Row],[Highest PiN]]-tblPiNAnalysis[[#This Row],[2nd Highest PiN]])/tblPiNAnalysis[[#This Row],[2nd Highest PiN]]),"")</f>
        <v>0.13704296741020305</v>
      </c>
      <c r="AT61" s="39" t="str" cm="1">
        <f t="array" ref="AT6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1" s="332" cm="1">
        <f t="array" ref="AU6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14074.985983508948</v>
      </c>
      <c r="AV61" s="190" t="str" cm="1">
        <f t="array" ref="AV61">IF(tblPiNAnalysis[[#This Row],[3rd Highest PiN]]="", "", _xlfn.TEXTJOIN(CHAR(10), TRUE, IF(tblPiNAnalysis[[#This Row],[3rd Highest PiN]]=tblPiNAnalysis[[#This Row],[CCCM]:[WASH]], tblPiNAnalysis[[#Headers],[CCCM]:[WASH]], "")))</f>
        <v>Shelter</v>
      </c>
      <c r="AW61" s="190">
        <f>IFERROR(tblPiNAnalysis[[#This Row],[3rd Highest PiN]]/tblPiNAnalysis[[#This Row],[Affected population projection 2026]], "")</f>
        <v>0.82608695652173914</v>
      </c>
      <c r="AX61" s="45">
        <f>IFERROR(tblPiNAnalysis[[#This Row],[Highest PiN]]-tblPiNAnalysis[[#This Row],[3rd Highest PiN]],"")</f>
        <v>2188.6939926509112</v>
      </c>
      <c r="AY61" s="39">
        <f>IFERROR(tblPiNAnalysis[[#This Row],[Difference of PiN between Highest and 3rd Highest]]/tblPiNAnalysis[[#This Row],[3rd Highest PiN]], "")</f>
        <v>0.15550239234449748</v>
      </c>
      <c r="AZ61" s="330" t="str" cm="1">
        <f t="array" ref="AZ6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1" s="300" t="str" cm="1">
        <f t="array" ref="BA61">IFERROR(IF(tblPiNAnalysis[[#This Row],[ID]]="", "", INDEX(tblPiNHistorical[[CCCM]:[WASH]], MATCH(tblPiNAnalysis[[#This Row],[ID]],tblPiNHistorical[ID], 0),MATCH(_xlfn._xlws.FILTER(tblPiNAnalysis[[#Headers],[CCCM]:[WASH]], tblPiNAnalysis[[#This Row],[Highest PiN]]=tblPiNAnalysis[[#This Row],[CCCM]:[WASH]]), tblPiNHistorical[[#Headers],[CCCM]:[WASH]], 0))), "")</f>
        <v/>
      </c>
      <c r="BB61" s="333" t="str" cm="1">
        <f t="array" ref="BB6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1" s="276" t="str" cm="1">
        <f t="array" ref="BC61">IFERROR(IF(tblPiNAnalysis[[#This Row],[ID]]="", "", INDEX(tblPiNHistorical[[CCCM]:[WASH]], MATCH(tblPiNAnalysis[[#This Row],[ID]],tblPiNHistorical[ID], 0),MATCH(_xlfn._xlws.FILTER(tblPiNAnalysis[[#Headers],[CCCM]:[WASH]], tblPiNAnalysis[[#This Row],[2nd Highest PiN]]=tblPiNAnalysis[[#This Row],[CCCM]:[WASH]]), tblPiNHistorical[[#Headers],[CCCM]:[WASH]], 0))), "")</f>
        <v/>
      </c>
      <c r="BD61" s="334" t="str" cm="1">
        <f t="array" ref="BD6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1" s="276">
        <f>INDEX(tblSeverityAnalysis[Final Severity], MATCH(tblPiNAnalysis[[#This Row],[ID]],tblSeverityAnalysis[ID], 0))</f>
        <v>4</v>
      </c>
      <c r="BF61" s="61">
        <f>IF(tblPiNAnalysis[[#This Row],[Severity]]&gt;2,tblPiNAnalysis[[#This Row],[Highest PiN]],)</f>
        <v>16263.67997615986</v>
      </c>
      <c r="BG61" s="191"/>
      <c r="BH61" s="192"/>
      <c r="BI61" s="193">
        <f>COUNTIFS(tblPiNAnalysis[[#This Row],[Number of missing / zero PiNs greater than threshold - Data quality]:[Manual Flag]],"Flagged")</f>
        <v>1</v>
      </c>
      <c r="BJ61" s="96" t="str">
        <f>IF(tblPiNAnalysis[[#This Row],['# Flags]]&gt;0, "Flagged", "")</f>
        <v>Flagged</v>
      </c>
      <c r="BK61" s="326">
        <f>tblPiNAnalysis[[#This Row],[Preliminary PiN]]</f>
        <v>16263.67997615986</v>
      </c>
      <c r="BL61" s="331"/>
    </row>
    <row r="62" spans="1:64" x14ac:dyDescent="0.55000000000000004">
      <c r="A6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SS0711</v>
      </c>
      <c r="B62" s="316" t="s">
        <v>342</v>
      </c>
      <c r="C62" s="317" t="s">
        <v>343</v>
      </c>
      <c r="D62" s="317" t="s">
        <v>364</v>
      </c>
      <c r="E62" s="105" t="s">
        <v>365</v>
      </c>
      <c r="F62" s="100"/>
      <c r="G62" s="34"/>
      <c r="H62" s="34"/>
      <c r="I62" s="97">
        <v>119449.90934019189</v>
      </c>
      <c r="J62" s="97" t="s">
        <v>412</v>
      </c>
      <c r="K62" s="318">
        <v>14442.5</v>
      </c>
      <c r="L62" s="319">
        <v>21877.250895656147</v>
      </c>
      <c r="M62" s="319">
        <v>35482.086558697258</v>
      </c>
      <c r="N62" s="319">
        <v>79879.706711881663</v>
      </c>
      <c r="O62" s="319">
        <v>50475.166102858719</v>
      </c>
      <c r="P62" s="319">
        <v>83615</v>
      </c>
      <c r="Q62" s="320">
        <v>39816.636446730634</v>
      </c>
      <c r="R62" s="319">
        <v>57512.919311944243</v>
      </c>
      <c r="S62" s="319">
        <v>51784</v>
      </c>
      <c r="T62" s="319">
        <v>18126</v>
      </c>
      <c r="U62" s="319">
        <v>9834</v>
      </c>
      <c r="V62" s="319">
        <v>29585</v>
      </c>
      <c r="W62" s="321">
        <f>IFERROR(IF(tblPiNAnalysis[[#This Row],[CCCM]]="", "", MROUND(tblPiNAnalysis[[#This Row],[CCCM]]/tblPiNAnalysis[[#This Row],[Affected population projection 2026]], 0.05)), "")</f>
        <v>0.1</v>
      </c>
      <c r="X62" s="322">
        <f>IFERROR(IF(tblPiNAnalysis[[#This Row],[Education]]="", "", MROUND(tblPiNAnalysis[[#This Row],[Education]]/tblPiNAnalysis[[#This Row],[Affected population projection 2026]], 0.05)), "")</f>
        <v>0.2</v>
      </c>
      <c r="Y62" s="322">
        <f>IFERROR(IF(tblPiNAnalysis[[#This Row],[Nutrition]]="", "", MROUND(tblPiNAnalysis[[#This Row],[Nutrition]]/tblPiNAnalysis[[#This Row],[Affected population projection 2026]], 0.05)), "")</f>
        <v>0.30000000000000004</v>
      </c>
      <c r="Z62" s="322">
        <f>IFERROR(IF(tblPiNAnalysis[[#This Row],[Food Security]]="", "", MROUND(tblPiNAnalysis[[#This Row],[Food Security]]/tblPiNAnalysis[[#This Row],[Affected population projection 2026]], 0.05)), "")</f>
        <v>0.65</v>
      </c>
      <c r="AA62" s="322">
        <f>IFERROR(IF(tblPiNAnalysis[[#This Row],[Health]]="", "", MROUND(tblPiNAnalysis[[#This Row],[Health]]/tblPiNAnalysis[[#This Row],[Affected population projection 2026]], 0.05)), "")</f>
        <v>0.4</v>
      </c>
      <c r="AB62" s="323">
        <f>IFERROR(IF(tblPiNAnalysis[[#This Row],[Overarching Protection]]="", "", MROUND(tblPiNAnalysis[[#This Row],[Overarching Protection]]/tblPiNAnalysis[[#This Row],[Affected population projection 2026]], 0.05)), "")</f>
        <v>0.70000000000000007</v>
      </c>
      <c r="AC62" s="323">
        <f>IFERROR(IF(tblPiNAnalysis[[#This Row],[Shelter]]="", "", MROUND(tblPiNAnalysis[[#This Row],[Shelter]]/tblPiNAnalysis[[#This Row],[Affected population projection 2026]], 0.05)), "")</f>
        <v>0.35000000000000003</v>
      </c>
      <c r="AD62" s="324">
        <f>IFERROR(IF(tblPiNAnalysis[[#This Row],[WASH]]="", "", MROUND(tblPiNAnalysis[[#This Row],[WASH]]/tblPiNAnalysis[[#This Row],[Affected population projection 2026]], 0.05)), "")</f>
        <v>0.5</v>
      </c>
      <c r="AE62" s="322">
        <f>IFERROR(MROUND(tblPiNAnalysis[[#This Row],[CP]]/tblPiNAnalysis[[#This Row],[Affected population projection 2026]], 0.05), "")</f>
        <v>0.45</v>
      </c>
      <c r="AF62" s="322">
        <f>IFERROR(MROUND(tblPiNAnalysis[[#This Row],[GBV]]/tblPiNAnalysis[[#This Row],[Affected population projection 2026]], 0.05), "")</f>
        <v>0.15000000000000002</v>
      </c>
      <c r="AG62" s="322">
        <f>IFERROR(MROUND(tblPiNAnalysis[[#This Row],[Mine Action]]/tblPiNAnalysis[[#This Row],[Affected population projection 2026]], 0.05), "")</f>
        <v>0.1</v>
      </c>
      <c r="AH62" s="322">
        <f>IFERROR(MROUND(tblPiNAnalysis[[#This Row],[HLP]]/tblPiNAnalysis[[#This Row],[Affected population projection 2026]], 0.05), "")</f>
        <v>0.25</v>
      </c>
      <c r="AI62" s="325">
        <f>IFERROR(LARGE(tblPiNAnalysis[[#This Row],[CCCM]:[WASH]], 1), "")</f>
        <v>83615</v>
      </c>
      <c r="AJ62" s="326" t="str" cm="1">
        <f t="array" ref="AJ62">IF(tblPiNAnalysis[[#This Row],[Highest PiN]]="", "", _xlfn.TEXTJOIN(CHAR(10), TRUE, IF(tblPiNAnalysis[[#This Row],[Highest PiN]]=tblPiNAnalysis[[#This Row],[CCCM]:[WASH]], tblPiNAnalysis[[#Headers],[CCCM]:[WASH]], "")))</f>
        <v>Overarching Protection</v>
      </c>
      <c r="AK62" s="327">
        <f>IF(tblPiNAnalysis[[#This Row],[Highest PiN]]="", "", tblPiNAnalysis[[#This Row],[Highest PiN]]/tblPiNAnalysis[[#This Row],[Affected population projection 2026]])</f>
        <v>0.70000053128433515</v>
      </c>
      <c r="AL62" s="328" t="str">
        <f>IF(SUM(tblPiNAnalysis[[#This Row],[CCCM]:[WASH]])=0, "",IF(COUNTIF(tblPiNAnalysis[[#This Row],[CCCM]:[WASH]],"=0")+COUNTIF(tblPiNAnalysis[[#This Row],[CCCM]:[WASH]],"")&gt;=zero_pin_thresh, "Flagged", ""))</f>
        <v/>
      </c>
      <c r="AM62" s="329" t="str">
        <f>IFERROR(IF(tblPiNAnalysis[[#This Row],[Highest PiN]]="", "", IF(tblPiNAnalysis[[#This Row],[Highest sector(s'') PiN %]]&gt;=flag_pin_perc, "Flagged", "")), "")</f>
        <v/>
      </c>
      <c r="AN62" s="330" t="str" cm="1">
        <f t="array" ref="AN62">IF(tblPiNAnalysis[[#This Row],[Highest PiN]]=0, "",  IF(OR(COUNTIF(tblPiNAnalysis[[#This Row],[Highest sector(s)]],tblSubSectorPopulation[Sector])), "Flagged", ""))</f>
        <v/>
      </c>
      <c r="AO62" s="46" cm="1">
        <f t="array" ref="AO6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79879.706711881663</v>
      </c>
      <c r="AP62" s="331" t="str" cm="1">
        <f t="array" ref="AP62">IF(tblPiNAnalysis[[#This Row],[2nd Highest PiN]]="", "", _xlfn.TEXTJOIN(CHAR(10), TRUE, IF(tblPiNAnalysis[[#This Row],[2nd Highest PiN]]=tblPiNAnalysis[[#This Row],[CCCM]:[WASH]], tblPiNAnalysis[[#Headers],[CCCM]:[WASH]], "")))</f>
        <v>Food Security</v>
      </c>
      <c r="AQ62" s="36">
        <f>IFERROR(tblPiNAnalysis[[#This Row],[2nd Highest PiN]]/tblPiNAnalysis[[#This Row],[Affected population projection 2026]], "")</f>
        <v>0.66872973912759726</v>
      </c>
      <c r="AR62" s="46">
        <f>IFERROR(tblPiNAnalysis[[#This Row],[Highest PiN]]-tblPiNAnalysis[[#This Row],[2nd Highest PiN]], "")</f>
        <v>3735.2932881183369</v>
      </c>
      <c r="AS62" s="39">
        <f>IFERROR(((tblPiNAnalysis[[#This Row],[Highest PiN]]-tblPiNAnalysis[[#This Row],[2nd Highest PiN]])/tblPiNAnalysis[[#This Row],[2nd Highest PiN]]),"")</f>
        <v>4.6761479753439465E-2</v>
      </c>
      <c r="AT62" s="39" t="str" cm="1">
        <f t="array" ref="AT6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2" s="332" cm="1">
        <f t="array" ref="AU6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57512.919311944243</v>
      </c>
      <c r="AV62" s="190" t="str" cm="1">
        <f t="array" ref="AV62">IF(tblPiNAnalysis[[#This Row],[3rd Highest PiN]]="", "", _xlfn.TEXTJOIN(CHAR(10), TRUE, IF(tblPiNAnalysis[[#This Row],[3rd Highest PiN]]=tblPiNAnalysis[[#This Row],[CCCM]:[WASH]], tblPiNAnalysis[[#Headers],[CCCM]:[WASH]], "")))</f>
        <v>WASH</v>
      </c>
      <c r="AW62" s="190">
        <f>IFERROR(tblPiNAnalysis[[#This Row],[3rd Highest PiN]]/tblPiNAnalysis[[#This Row],[Affected population projection 2026]], "")</f>
        <v>0.48148148148148145</v>
      </c>
      <c r="AX62" s="45">
        <f>IFERROR(tblPiNAnalysis[[#This Row],[Highest PiN]]-tblPiNAnalysis[[#This Row],[3rd Highest PiN]],"")</f>
        <v>26102.080688055757</v>
      </c>
      <c r="AY62" s="39">
        <f>IFERROR(tblPiNAnalysis[[#This Row],[Difference of PiN between Highest and 3rd Highest]]/tblPiNAnalysis[[#This Row],[3rd Highest PiN]], "")</f>
        <v>0.45384725728285014</v>
      </c>
      <c r="AZ62" s="330" t="str" cm="1">
        <f t="array" ref="AZ6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2" s="300" t="str" cm="1">
        <f t="array" ref="BA62">IFERROR(IF(tblPiNAnalysis[[#This Row],[ID]]="", "", INDEX(tblPiNHistorical[[CCCM]:[WASH]], MATCH(tblPiNAnalysis[[#This Row],[ID]],tblPiNHistorical[ID], 0),MATCH(_xlfn._xlws.FILTER(tblPiNAnalysis[[#Headers],[CCCM]:[WASH]], tblPiNAnalysis[[#This Row],[Highest PiN]]=tblPiNAnalysis[[#This Row],[CCCM]:[WASH]]), tblPiNHistorical[[#Headers],[CCCM]:[WASH]], 0))), "")</f>
        <v/>
      </c>
      <c r="BB62" s="333" t="str" cm="1">
        <f t="array" ref="BB6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2" s="276" t="str" cm="1">
        <f t="array" ref="BC62">IFERROR(IF(tblPiNAnalysis[[#This Row],[ID]]="", "", INDEX(tblPiNHistorical[[CCCM]:[WASH]], MATCH(tblPiNAnalysis[[#This Row],[ID]],tblPiNHistorical[ID], 0),MATCH(_xlfn._xlws.FILTER(tblPiNAnalysis[[#Headers],[CCCM]:[WASH]], tblPiNAnalysis[[#This Row],[2nd Highest PiN]]=tblPiNAnalysis[[#This Row],[CCCM]:[WASH]]), tblPiNHistorical[[#Headers],[CCCM]:[WASH]], 0))), "")</f>
        <v/>
      </c>
      <c r="BD62" s="334" t="str" cm="1">
        <f t="array" ref="BD6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2" s="276">
        <f>INDEX(tblSeverityAnalysis[Final Severity], MATCH(tblPiNAnalysis[[#This Row],[ID]],tblSeverityAnalysis[ID], 0))</f>
        <v>4</v>
      </c>
      <c r="BF62" s="61">
        <f>IF(tblPiNAnalysis[[#This Row],[Severity]]&gt;2,tblPiNAnalysis[[#This Row],[Highest PiN]],)</f>
        <v>83615</v>
      </c>
      <c r="BG62" s="191"/>
      <c r="BH62" s="192"/>
      <c r="BI62" s="193">
        <f>COUNTIFS(tblPiNAnalysis[[#This Row],[Number of missing / zero PiNs greater than threshold - Data quality]:[Manual Flag]],"Flagged")</f>
        <v>0</v>
      </c>
      <c r="BJ62" s="96" t="str">
        <f>IF(tblPiNAnalysis[[#This Row],['# Flags]]&gt;0, "Flagged", "")</f>
        <v/>
      </c>
      <c r="BK62" s="326">
        <f>tblPiNAnalysis[[#This Row],[Preliminary PiN]]</f>
        <v>83615</v>
      </c>
      <c r="BL62" s="331"/>
    </row>
    <row r="63" spans="1:64" x14ac:dyDescent="0.55000000000000004">
      <c r="A6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SS0712</v>
      </c>
      <c r="B63" s="316" t="s">
        <v>342</v>
      </c>
      <c r="C63" s="317" t="s">
        <v>343</v>
      </c>
      <c r="D63" s="317" t="s">
        <v>366</v>
      </c>
      <c r="E63" s="105" t="s">
        <v>367</v>
      </c>
      <c r="F63" s="100"/>
      <c r="G63" s="34"/>
      <c r="H63" s="34"/>
      <c r="I63" s="97">
        <v>18966</v>
      </c>
      <c r="J63" s="97" t="s">
        <v>412</v>
      </c>
      <c r="K63" s="318">
        <v>18966</v>
      </c>
      <c r="L63" s="319">
        <v>6161.2947599999998</v>
      </c>
      <c r="M63" s="319">
        <v>6832.5707043785615</v>
      </c>
      <c r="N63" s="319">
        <v>16512.268942576724</v>
      </c>
      <c r="O63" s="319">
        <v>12227.112267970875</v>
      </c>
      <c r="P63" s="319">
        <v>15173</v>
      </c>
      <c r="Q63" s="320">
        <v>12644</v>
      </c>
      <c r="R63" s="319">
        <v>14224.500000000002</v>
      </c>
      <c r="S63" s="319">
        <v>7687</v>
      </c>
      <c r="T63" s="319">
        <v>7114</v>
      </c>
      <c r="U63" s="319">
        <v>1515</v>
      </c>
      <c r="V63" s="319">
        <v>5640</v>
      </c>
      <c r="W63" s="321">
        <f>IFERROR(IF(tblPiNAnalysis[[#This Row],[CCCM]]="", "", MROUND(tblPiNAnalysis[[#This Row],[CCCM]]/tblPiNAnalysis[[#This Row],[Affected population projection 2026]], 0.05)), "")</f>
        <v>1</v>
      </c>
      <c r="X63" s="322">
        <f>IFERROR(IF(tblPiNAnalysis[[#This Row],[Education]]="", "", MROUND(tblPiNAnalysis[[#This Row],[Education]]/tblPiNAnalysis[[#This Row],[Affected population projection 2026]], 0.05)), "")</f>
        <v>0.30000000000000004</v>
      </c>
      <c r="Y63" s="322">
        <f>IFERROR(IF(tblPiNAnalysis[[#This Row],[Nutrition]]="", "", MROUND(tblPiNAnalysis[[#This Row],[Nutrition]]/tblPiNAnalysis[[#This Row],[Affected population projection 2026]], 0.05)), "")</f>
        <v>0.35000000000000003</v>
      </c>
      <c r="Z63" s="322">
        <f>IFERROR(IF(tblPiNAnalysis[[#This Row],[Food Security]]="", "", MROUND(tblPiNAnalysis[[#This Row],[Food Security]]/tblPiNAnalysis[[#This Row],[Affected population projection 2026]], 0.05)), "")</f>
        <v>0.85000000000000009</v>
      </c>
      <c r="AA63" s="322">
        <f>IFERROR(IF(tblPiNAnalysis[[#This Row],[Health]]="", "", MROUND(tblPiNAnalysis[[#This Row],[Health]]/tblPiNAnalysis[[#This Row],[Affected population projection 2026]], 0.05)), "")</f>
        <v>0.65</v>
      </c>
      <c r="AB63" s="323">
        <f>IFERROR(IF(tblPiNAnalysis[[#This Row],[Overarching Protection]]="", "", MROUND(tblPiNAnalysis[[#This Row],[Overarching Protection]]/tblPiNAnalysis[[#This Row],[Affected population projection 2026]], 0.05)), "")</f>
        <v>0.8</v>
      </c>
      <c r="AC63" s="323">
        <f>IFERROR(IF(tblPiNAnalysis[[#This Row],[Shelter]]="", "", MROUND(tblPiNAnalysis[[#This Row],[Shelter]]/tblPiNAnalysis[[#This Row],[Affected population projection 2026]], 0.05)), "")</f>
        <v>0.65</v>
      </c>
      <c r="AD63" s="324">
        <f>IFERROR(IF(tblPiNAnalysis[[#This Row],[WASH]]="", "", MROUND(tblPiNAnalysis[[#This Row],[WASH]]/tblPiNAnalysis[[#This Row],[Affected population projection 2026]], 0.05)), "")</f>
        <v>0.75</v>
      </c>
      <c r="AE63" s="322">
        <f>IFERROR(MROUND(tblPiNAnalysis[[#This Row],[CP]]/tblPiNAnalysis[[#This Row],[Affected population projection 2026]], 0.05), "")</f>
        <v>0.4</v>
      </c>
      <c r="AF63" s="322">
        <f>IFERROR(MROUND(tblPiNAnalysis[[#This Row],[GBV]]/tblPiNAnalysis[[#This Row],[Affected population projection 2026]], 0.05), "")</f>
        <v>0.4</v>
      </c>
      <c r="AG63" s="322">
        <f>IFERROR(MROUND(tblPiNAnalysis[[#This Row],[Mine Action]]/tblPiNAnalysis[[#This Row],[Affected population projection 2026]], 0.05), "")</f>
        <v>0.1</v>
      </c>
      <c r="AH63" s="322">
        <f>IFERROR(MROUND(tblPiNAnalysis[[#This Row],[HLP]]/tblPiNAnalysis[[#This Row],[Affected population projection 2026]], 0.05), "")</f>
        <v>0.30000000000000004</v>
      </c>
      <c r="AI63" s="325">
        <f>IFERROR(LARGE(tblPiNAnalysis[[#This Row],[CCCM]:[WASH]], 1), "")</f>
        <v>18966</v>
      </c>
      <c r="AJ63" s="326" t="str" cm="1">
        <f t="array" ref="AJ63">IF(tblPiNAnalysis[[#This Row],[Highest PiN]]="", "", _xlfn.TEXTJOIN(CHAR(10), TRUE, IF(tblPiNAnalysis[[#This Row],[Highest PiN]]=tblPiNAnalysis[[#This Row],[CCCM]:[WASH]], tblPiNAnalysis[[#Headers],[CCCM]:[WASH]], "")))</f>
        <v>CCCM</v>
      </c>
      <c r="AK63" s="327">
        <f>IF(tblPiNAnalysis[[#This Row],[Highest PiN]]="", "", tblPiNAnalysis[[#This Row],[Highest PiN]]/tblPiNAnalysis[[#This Row],[Affected population projection 2026]])</f>
        <v>1</v>
      </c>
      <c r="AL63" s="328" t="str">
        <f>IF(SUM(tblPiNAnalysis[[#This Row],[CCCM]:[WASH]])=0, "",IF(COUNTIF(tblPiNAnalysis[[#This Row],[CCCM]:[WASH]],"=0")+COUNTIF(tblPiNAnalysis[[#This Row],[CCCM]:[WASH]],"")&gt;=zero_pin_thresh, "Flagged", ""))</f>
        <v/>
      </c>
      <c r="AM63" s="329" t="str">
        <f>IFERROR(IF(tblPiNAnalysis[[#This Row],[Highest PiN]]="", "", IF(tblPiNAnalysis[[#This Row],[Highest sector(s'') PiN %]]&gt;=flag_pin_perc, "Flagged", "")), "")</f>
        <v>Flagged</v>
      </c>
      <c r="AN63" s="330" t="str" cm="1">
        <f t="array" ref="AN63">IF(tblPiNAnalysis[[#This Row],[Highest PiN]]=0, "",  IF(OR(COUNTIF(tblPiNAnalysis[[#This Row],[Highest sector(s)]],tblSubSectorPopulation[Sector])), "Flagged", ""))</f>
        <v/>
      </c>
      <c r="AO63" s="46" cm="1">
        <f t="array" ref="AO6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16512.268942576724</v>
      </c>
      <c r="AP63" s="331" t="str" cm="1">
        <f t="array" ref="AP63">IF(tblPiNAnalysis[[#This Row],[2nd Highest PiN]]="", "", _xlfn.TEXTJOIN(CHAR(10), TRUE, IF(tblPiNAnalysis[[#This Row],[2nd Highest PiN]]=tblPiNAnalysis[[#This Row],[CCCM]:[WASH]], tblPiNAnalysis[[#Headers],[CCCM]:[WASH]], "")))</f>
        <v>Food Security</v>
      </c>
      <c r="AQ63" s="36">
        <f>IFERROR(tblPiNAnalysis[[#This Row],[2nd Highest PiN]]/tblPiNAnalysis[[#This Row],[Affected population projection 2026]], "")</f>
        <v>0.87062474652413391</v>
      </c>
      <c r="AR63" s="46">
        <f>IFERROR(tblPiNAnalysis[[#This Row],[Highest PiN]]-tblPiNAnalysis[[#This Row],[2nd Highest PiN]], "")</f>
        <v>2453.7310574232761</v>
      </c>
      <c r="AS63" s="39">
        <f>IFERROR(((tblPiNAnalysis[[#This Row],[Highest PiN]]-tblPiNAnalysis[[#This Row],[2nd Highest PiN]])/tblPiNAnalysis[[#This Row],[2nd Highest PiN]]),"")</f>
        <v>0.14860047798133633</v>
      </c>
      <c r="AT63" s="39" t="str" cm="1">
        <f t="array" ref="AT6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3" s="332" cm="1">
        <f t="array" ref="AU6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15173</v>
      </c>
      <c r="AV63" s="190" t="str" cm="1">
        <f t="array" ref="AV63">IF(tblPiNAnalysis[[#This Row],[3rd Highest PiN]]="", "", _xlfn.TEXTJOIN(CHAR(10), TRUE, IF(tblPiNAnalysis[[#This Row],[3rd Highest PiN]]=tblPiNAnalysis[[#This Row],[CCCM]:[WASH]], tblPiNAnalysis[[#Headers],[CCCM]:[WASH]], "")))</f>
        <v>Overarching Protection</v>
      </c>
      <c r="AW63" s="190">
        <f>IFERROR(tblPiNAnalysis[[#This Row],[3rd Highest PiN]]/tblPiNAnalysis[[#This Row],[Affected population projection 2026]], "")</f>
        <v>0.80001054518612258</v>
      </c>
      <c r="AX63" s="45">
        <f>IFERROR(tblPiNAnalysis[[#This Row],[Highest PiN]]-tblPiNAnalysis[[#This Row],[3rd Highest PiN]],"")</f>
        <v>3793</v>
      </c>
      <c r="AY63" s="39">
        <f>IFERROR(tblPiNAnalysis[[#This Row],[Difference of PiN between Highest and 3rd Highest]]/tblPiNAnalysis[[#This Row],[3rd Highest PiN]], "")</f>
        <v>0.24998352336387003</v>
      </c>
      <c r="AZ63" s="330" t="str" cm="1">
        <f t="array" ref="AZ6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3" s="300" t="str" cm="1">
        <f t="array" ref="BA63">IFERROR(IF(tblPiNAnalysis[[#This Row],[ID]]="", "", INDEX(tblPiNHistorical[[CCCM]:[WASH]], MATCH(tblPiNAnalysis[[#This Row],[ID]],tblPiNHistorical[ID], 0),MATCH(_xlfn._xlws.FILTER(tblPiNAnalysis[[#Headers],[CCCM]:[WASH]], tblPiNAnalysis[[#This Row],[Highest PiN]]=tblPiNAnalysis[[#This Row],[CCCM]:[WASH]]), tblPiNHistorical[[#Headers],[CCCM]:[WASH]], 0))), "")</f>
        <v/>
      </c>
      <c r="BB63" s="333" t="str" cm="1">
        <f t="array" ref="BB6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3" s="276" t="str" cm="1">
        <f t="array" ref="BC63">IFERROR(IF(tblPiNAnalysis[[#This Row],[ID]]="", "", INDEX(tblPiNHistorical[[CCCM]:[WASH]], MATCH(tblPiNAnalysis[[#This Row],[ID]],tblPiNHistorical[ID], 0),MATCH(_xlfn._xlws.FILTER(tblPiNAnalysis[[#Headers],[CCCM]:[WASH]], tblPiNAnalysis[[#This Row],[2nd Highest PiN]]=tblPiNAnalysis[[#This Row],[CCCM]:[WASH]]), tblPiNHistorical[[#Headers],[CCCM]:[WASH]], 0))), "")</f>
        <v/>
      </c>
      <c r="BD63" s="334" t="str" cm="1">
        <f t="array" ref="BD6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3" s="276">
        <f>INDEX(tblSeverityAnalysis[Final Severity], MATCH(tblPiNAnalysis[[#This Row],[ID]],tblSeverityAnalysis[ID], 0))</f>
        <v>5</v>
      </c>
      <c r="BF63" s="61">
        <f>IF(tblPiNAnalysis[[#This Row],[Severity]]&gt;2,tblPiNAnalysis[[#This Row],[Highest PiN]],)</f>
        <v>18966</v>
      </c>
      <c r="BG63" s="191"/>
      <c r="BH63" s="192"/>
      <c r="BI63" s="193">
        <f>COUNTIFS(tblPiNAnalysis[[#This Row],[Number of missing / zero PiNs greater than threshold - Data quality]:[Manual Flag]],"Flagged")</f>
        <v>1</v>
      </c>
      <c r="BJ63" s="96" t="str">
        <f>IF(tblPiNAnalysis[[#This Row],['# Flags]]&gt;0, "Flagged", "")</f>
        <v>Flagged</v>
      </c>
      <c r="BK63" s="326">
        <f>tblPiNAnalysis[[#This Row],[Preliminary PiN]]</f>
        <v>18966</v>
      </c>
      <c r="BL63" s="331"/>
    </row>
    <row r="64" spans="1:64" x14ac:dyDescent="0.55000000000000004">
      <c r="A6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SS0801</v>
      </c>
      <c r="B64" s="316" t="s">
        <v>368</v>
      </c>
      <c r="C64" s="317" t="s">
        <v>369</v>
      </c>
      <c r="D64" s="317" t="s">
        <v>370</v>
      </c>
      <c r="E64" s="105" t="s">
        <v>371</v>
      </c>
      <c r="F64" s="100"/>
      <c r="G64" s="34"/>
      <c r="H64" s="34"/>
      <c r="I64" s="97">
        <v>18326.432795999659</v>
      </c>
      <c r="J64" s="97" t="s">
        <v>412</v>
      </c>
      <c r="K64" s="318">
        <v>0</v>
      </c>
      <c r="L64" s="319">
        <v>6898.0693044142718</v>
      </c>
      <c r="M64" s="319">
        <v>6544.1632097958354</v>
      </c>
      <c r="N64" s="319">
        <v>10733.781411342512</v>
      </c>
      <c r="O64" s="319">
        <v>8819.012139698023</v>
      </c>
      <c r="P64" s="319">
        <v>12072</v>
      </c>
      <c r="Q64" s="320">
        <v>14399.340053999733</v>
      </c>
      <c r="R64" s="319">
        <v>6108.8109319998857</v>
      </c>
      <c r="S64" s="319">
        <v>7478</v>
      </c>
      <c r="T64" s="319">
        <v>7587</v>
      </c>
      <c r="U64" s="319">
        <v>1489</v>
      </c>
      <c r="V64" s="319">
        <v>4513</v>
      </c>
      <c r="W64" s="321">
        <f>IFERROR(IF(tblPiNAnalysis[[#This Row],[CCCM]]="", "", MROUND(tblPiNAnalysis[[#This Row],[CCCM]]/tblPiNAnalysis[[#This Row],[Affected population projection 2026]], 0.05)), "")</f>
        <v>0</v>
      </c>
      <c r="X64" s="322">
        <f>IFERROR(IF(tblPiNAnalysis[[#This Row],[Education]]="", "", MROUND(tblPiNAnalysis[[#This Row],[Education]]/tblPiNAnalysis[[#This Row],[Affected population projection 2026]], 0.05)), "")</f>
        <v>0.4</v>
      </c>
      <c r="Y64" s="322">
        <f>IFERROR(IF(tblPiNAnalysis[[#This Row],[Nutrition]]="", "", MROUND(tblPiNAnalysis[[#This Row],[Nutrition]]/tblPiNAnalysis[[#This Row],[Affected population projection 2026]], 0.05)), "")</f>
        <v>0.35000000000000003</v>
      </c>
      <c r="Z64" s="322">
        <f>IFERROR(IF(tblPiNAnalysis[[#This Row],[Food Security]]="", "", MROUND(tblPiNAnalysis[[#This Row],[Food Security]]/tblPiNAnalysis[[#This Row],[Affected population projection 2026]], 0.05)), "")</f>
        <v>0.60000000000000009</v>
      </c>
      <c r="AA64" s="322">
        <f>IFERROR(IF(tblPiNAnalysis[[#This Row],[Health]]="", "", MROUND(tblPiNAnalysis[[#This Row],[Health]]/tblPiNAnalysis[[#This Row],[Affected population projection 2026]], 0.05)), "")</f>
        <v>0.5</v>
      </c>
      <c r="AB64" s="323">
        <f>IFERROR(IF(tblPiNAnalysis[[#This Row],[Overarching Protection]]="", "", MROUND(tblPiNAnalysis[[#This Row],[Overarching Protection]]/tblPiNAnalysis[[#This Row],[Affected population projection 2026]], 0.05)), "")</f>
        <v>0.65</v>
      </c>
      <c r="AC64" s="323">
        <f>IFERROR(IF(tblPiNAnalysis[[#This Row],[Shelter]]="", "", MROUND(tblPiNAnalysis[[#This Row],[Shelter]]/tblPiNAnalysis[[#This Row],[Affected population projection 2026]], 0.05)), "")</f>
        <v>0.8</v>
      </c>
      <c r="AD64" s="324">
        <f>IFERROR(IF(tblPiNAnalysis[[#This Row],[WASH]]="", "", MROUND(tblPiNAnalysis[[#This Row],[WASH]]/tblPiNAnalysis[[#This Row],[Affected population projection 2026]], 0.05)), "")</f>
        <v>0.35000000000000003</v>
      </c>
      <c r="AE64" s="322">
        <f>IFERROR(MROUND(tblPiNAnalysis[[#This Row],[CP]]/tblPiNAnalysis[[#This Row],[Affected population projection 2026]], 0.05), "")</f>
        <v>0.4</v>
      </c>
      <c r="AF64" s="322">
        <f>IFERROR(MROUND(tblPiNAnalysis[[#This Row],[GBV]]/tblPiNAnalysis[[#This Row],[Affected population projection 2026]], 0.05), "")</f>
        <v>0.4</v>
      </c>
      <c r="AG64" s="322">
        <f>IFERROR(MROUND(tblPiNAnalysis[[#This Row],[Mine Action]]/tblPiNAnalysis[[#This Row],[Affected population projection 2026]], 0.05), "")</f>
        <v>0.1</v>
      </c>
      <c r="AH64" s="322">
        <f>IFERROR(MROUND(tblPiNAnalysis[[#This Row],[HLP]]/tblPiNAnalysis[[#This Row],[Affected population projection 2026]], 0.05), "")</f>
        <v>0.25</v>
      </c>
      <c r="AI64" s="325">
        <f>IFERROR(LARGE(tblPiNAnalysis[[#This Row],[CCCM]:[WASH]], 1), "")</f>
        <v>14399.340053999733</v>
      </c>
      <c r="AJ64" s="326" t="str" cm="1">
        <f t="array" ref="AJ64">IF(tblPiNAnalysis[[#This Row],[Highest PiN]]="", "", _xlfn.TEXTJOIN(CHAR(10), TRUE, IF(tblPiNAnalysis[[#This Row],[Highest PiN]]=tblPiNAnalysis[[#This Row],[CCCM]:[WASH]], tblPiNAnalysis[[#Headers],[CCCM]:[WASH]], "")))</f>
        <v>Shelter</v>
      </c>
      <c r="AK64" s="327">
        <f>IF(tblPiNAnalysis[[#This Row],[Highest PiN]]="", "", tblPiNAnalysis[[#This Row],[Highest PiN]]/tblPiNAnalysis[[#This Row],[Affected population projection 2026]])</f>
        <v>0.78571428571428581</v>
      </c>
      <c r="AL64" s="328" t="str">
        <f>IF(SUM(tblPiNAnalysis[[#This Row],[CCCM]:[WASH]])=0, "",IF(COUNTIF(tblPiNAnalysis[[#This Row],[CCCM]:[WASH]],"=0")+COUNTIF(tblPiNAnalysis[[#This Row],[CCCM]:[WASH]],"")&gt;=zero_pin_thresh, "Flagged", ""))</f>
        <v/>
      </c>
      <c r="AM64" s="329" t="str">
        <f>IFERROR(IF(tblPiNAnalysis[[#This Row],[Highest PiN]]="", "", IF(tblPiNAnalysis[[#This Row],[Highest sector(s'') PiN %]]&gt;=flag_pin_perc, "Flagged", "")), "")</f>
        <v/>
      </c>
      <c r="AN64" s="330" t="str" cm="1">
        <f t="array" ref="AN64">IF(tblPiNAnalysis[[#This Row],[Highest PiN]]=0, "",  IF(OR(COUNTIF(tblPiNAnalysis[[#This Row],[Highest sector(s)]],tblSubSectorPopulation[Sector])), "Flagged", ""))</f>
        <v/>
      </c>
      <c r="AO64" s="46" cm="1">
        <f t="array" ref="AO6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12072</v>
      </c>
      <c r="AP64" s="331" t="str" cm="1">
        <f t="array" ref="AP64">IF(tblPiNAnalysis[[#This Row],[2nd Highest PiN]]="", "", _xlfn.TEXTJOIN(CHAR(10), TRUE, IF(tblPiNAnalysis[[#This Row],[2nd Highest PiN]]=tblPiNAnalysis[[#This Row],[CCCM]:[WASH]], tblPiNAnalysis[[#Headers],[CCCM]:[WASH]], "")))</f>
        <v>Overarching Protection</v>
      </c>
      <c r="AQ64" s="36">
        <f>IFERROR(tblPiNAnalysis[[#This Row],[2nd Highest PiN]]/tblPiNAnalysis[[#This Row],[Affected population projection 2026]], "")</f>
        <v>0.65872066508410232</v>
      </c>
      <c r="AR64" s="46">
        <f>IFERROR(tblPiNAnalysis[[#This Row],[Highest PiN]]-tblPiNAnalysis[[#This Row],[2nd Highest PiN]], "")</f>
        <v>2327.3400539997328</v>
      </c>
      <c r="AS64" s="39">
        <f>IFERROR(((tblPiNAnalysis[[#This Row],[Highest PiN]]-tblPiNAnalysis[[#This Row],[2nd Highest PiN]])/tblPiNAnalysis[[#This Row],[2nd Highest PiN]]),"")</f>
        <v>0.19278827485087249</v>
      </c>
      <c r="AT64" s="39" t="str" cm="1">
        <f t="array" ref="AT6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4" s="332" cm="1">
        <f t="array" ref="AU6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10733.781411342512</v>
      </c>
      <c r="AV64" s="190" t="str" cm="1">
        <f t="array" ref="AV64">IF(tblPiNAnalysis[[#This Row],[3rd Highest PiN]]="", "", _xlfn.TEXTJOIN(CHAR(10), TRUE, IF(tblPiNAnalysis[[#This Row],[3rd Highest PiN]]=tblPiNAnalysis[[#This Row],[CCCM]:[WASH]], tblPiNAnalysis[[#Headers],[CCCM]:[WASH]], "")))</f>
        <v>Food Security</v>
      </c>
      <c r="AW64" s="190">
        <f>IFERROR(tblPiNAnalysis[[#This Row],[3rd Highest PiN]]/tblPiNAnalysis[[#This Row],[Affected population projection 2026]], "")</f>
        <v>0.58569943921031431</v>
      </c>
      <c r="AX64" s="45">
        <f>IFERROR(tblPiNAnalysis[[#This Row],[Highest PiN]]-tblPiNAnalysis[[#This Row],[3rd Highest PiN]],"")</f>
        <v>3665.5586426572208</v>
      </c>
      <c r="AY64" s="39">
        <f>IFERROR(tblPiNAnalysis[[#This Row],[Difference of PiN between Highest and 3rd Highest]]/tblPiNAnalysis[[#This Row],[3rd Highest PiN]], "")</f>
        <v>0.34149741849445364</v>
      </c>
      <c r="AZ64" s="330" t="str" cm="1">
        <f t="array" ref="AZ6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4" s="300" t="str" cm="1">
        <f t="array" ref="BA64">IFERROR(IF(tblPiNAnalysis[[#This Row],[ID]]="", "", INDEX(tblPiNHistorical[[CCCM]:[WASH]], MATCH(tblPiNAnalysis[[#This Row],[ID]],tblPiNHistorical[ID], 0),MATCH(_xlfn._xlws.FILTER(tblPiNAnalysis[[#Headers],[CCCM]:[WASH]], tblPiNAnalysis[[#This Row],[Highest PiN]]=tblPiNAnalysis[[#This Row],[CCCM]:[WASH]]), tblPiNHistorical[[#Headers],[CCCM]:[WASH]], 0))), "")</f>
        <v/>
      </c>
      <c r="BB64" s="333" t="str" cm="1">
        <f t="array" ref="BB6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4" s="276" t="str" cm="1">
        <f t="array" ref="BC64">IFERROR(IF(tblPiNAnalysis[[#This Row],[ID]]="", "", INDEX(tblPiNHistorical[[CCCM]:[WASH]], MATCH(tblPiNAnalysis[[#This Row],[ID]],tblPiNHistorical[ID], 0),MATCH(_xlfn._xlws.FILTER(tblPiNAnalysis[[#Headers],[CCCM]:[WASH]], tblPiNAnalysis[[#This Row],[2nd Highest PiN]]=tblPiNAnalysis[[#This Row],[CCCM]:[WASH]]), tblPiNHistorical[[#Headers],[CCCM]:[WASH]], 0))), "")</f>
        <v/>
      </c>
      <c r="BD64" s="334" t="str" cm="1">
        <f t="array" ref="BD6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4" s="276">
        <f>INDEX(tblSeverityAnalysis[Final Severity], MATCH(tblPiNAnalysis[[#This Row],[ID]],tblSeverityAnalysis[ID], 0))</f>
        <v>3</v>
      </c>
      <c r="BF64" s="61">
        <f>IF(tblPiNAnalysis[[#This Row],[Severity]]&gt;2,tblPiNAnalysis[[#This Row],[Highest PiN]],)</f>
        <v>14399.340053999733</v>
      </c>
      <c r="BG64" s="191"/>
      <c r="BH64" s="192"/>
      <c r="BI64" s="193">
        <f>COUNTIFS(tblPiNAnalysis[[#This Row],[Number of missing / zero PiNs greater than threshold - Data quality]:[Manual Flag]],"Flagged")</f>
        <v>0</v>
      </c>
      <c r="BJ64" s="96" t="str">
        <f>IF(tblPiNAnalysis[[#This Row],['# Flags]]&gt;0, "Flagged", "")</f>
        <v/>
      </c>
      <c r="BK64" s="326">
        <f>tblPiNAnalysis[[#This Row],[Preliminary PiN]]</f>
        <v>14399.340053999733</v>
      </c>
      <c r="BL64" s="331"/>
    </row>
    <row r="65" spans="1:64" x14ac:dyDescent="0.55000000000000004">
      <c r="A6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SS0802</v>
      </c>
      <c r="B65" s="316" t="s">
        <v>368</v>
      </c>
      <c r="C65" s="317" t="s">
        <v>369</v>
      </c>
      <c r="D65" s="317" t="s">
        <v>372</v>
      </c>
      <c r="E65" s="105" t="s">
        <v>373</v>
      </c>
      <c r="F65" s="100"/>
      <c r="G65" s="34"/>
      <c r="H65" s="34"/>
      <c r="I65" s="97">
        <v>24686.538616861621</v>
      </c>
      <c r="J65" s="97" t="s">
        <v>412</v>
      </c>
      <c r="K65" s="318">
        <v>2611.25</v>
      </c>
      <c r="L65" s="319">
        <v>5617.8884378467201</v>
      </c>
      <c r="M65" s="319">
        <v>8915.6976319139521</v>
      </c>
      <c r="N65" s="319">
        <v>13123.758275597456</v>
      </c>
      <c r="O65" s="319">
        <v>12514.74824793882</v>
      </c>
      <c r="P65" s="319">
        <v>17195</v>
      </c>
      <c r="Q65" s="320">
        <v>15709.615483457397</v>
      </c>
      <c r="R65" s="319">
        <v>12343.26930843081</v>
      </c>
      <c r="S65" s="319">
        <v>10319</v>
      </c>
      <c r="T65" s="319">
        <v>11713</v>
      </c>
      <c r="U65" s="319">
        <v>2036</v>
      </c>
      <c r="V65" s="319">
        <v>6715</v>
      </c>
      <c r="W65" s="321">
        <f>IFERROR(IF(tblPiNAnalysis[[#This Row],[CCCM]]="", "", MROUND(tblPiNAnalysis[[#This Row],[CCCM]]/tblPiNAnalysis[[#This Row],[Affected population projection 2026]], 0.05)), "")</f>
        <v>0.1</v>
      </c>
      <c r="X65" s="322">
        <f>IFERROR(IF(tblPiNAnalysis[[#This Row],[Education]]="", "", MROUND(tblPiNAnalysis[[#This Row],[Education]]/tblPiNAnalysis[[#This Row],[Affected population projection 2026]], 0.05)), "")</f>
        <v>0.25</v>
      </c>
      <c r="Y65" s="322">
        <f>IFERROR(IF(tblPiNAnalysis[[#This Row],[Nutrition]]="", "", MROUND(tblPiNAnalysis[[#This Row],[Nutrition]]/tblPiNAnalysis[[#This Row],[Affected population projection 2026]], 0.05)), "")</f>
        <v>0.35000000000000003</v>
      </c>
      <c r="Z65" s="322">
        <f>IFERROR(IF(tblPiNAnalysis[[#This Row],[Food Security]]="", "", MROUND(tblPiNAnalysis[[#This Row],[Food Security]]/tblPiNAnalysis[[#This Row],[Affected population projection 2026]], 0.05)), "")</f>
        <v>0.55000000000000004</v>
      </c>
      <c r="AA65" s="322">
        <f>IFERROR(IF(tblPiNAnalysis[[#This Row],[Health]]="", "", MROUND(tblPiNAnalysis[[#This Row],[Health]]/tblPiNAnalysis[[#This Row],[Affected population projection 2026]], 0.05)), "")</f>
        <v>0.5</v>
      </c>
      <c r="AB65" s="323">
        <f>IFERROR(IF(tblPiNAnalysis[[#This Row],[Overarching Protection]]="", "", MROUND(tblPiNAnalysis[[#This Row],[Overarching Protection]]/tblPiNAnalysis[[#This Row],[Affected population projection 2026]], 0.05)), "")</f>
        <v>0.70000000000000007</v>
      </c>
      <c r="AC65" s="323">
        <f>IFERROR(IF(tblPiNAnalysis[[#This Row],[Shelter]]="", "", MROUND(tblPiNAnalysis[[#This Row],[Shelter]]/tblPiNAnalysis[[#This Row],[Affected population projection 2026]], 0.05)), "")</f>
        <v>0.65</v>
      </c>
      <c r="AD65" s="324">
        <f>IFERROR(IF(tblPiNAnalysis[[#This Row],[WASH]]="", "", MROUND(tblPiNAnalysis[[#This Row],[WASH]]/tblPiNAnalysis[[#This Row],[Affected population projection 2026]], 0.05)), "")</f>
        <v>0.5</v>
      </c>
      <c r="AE65" s="322">
        <f>IFERROR(MROUND(tblPiNAnalysis[[#This Row],[CP]]/tblPiNAnalysis[[#This Row],[Affected population projection 2026]], 0.05), "")</f>
        <v>0.4</v>
      </c>
      <c r="AF65" s="322">
        <f>IFERROR(MROUND(tblPiNAnalysis[[#This Row],[GBV]]/tblPiNAnalysis[[#This Row],[Affected population projection 2026]], 0.05), "")</f>
        <v>0.45</v>
      </c>
      <c r="AG65" s="322">
        <f>IFERROR(MROUND(tblPiNAnalysis[[#This Row],[Mine Action]]/tblPiNAnalysis[[#This Row],[Affected population projection 2026]], 0.05), "")</f>
        <v>0.1</v>
      </c>
      <c r="AH65" s="322">
        <f>IFERROR(MROUND(tblPiNAnalysis[[#This Row],[HLP]]/tblPiNAnalysis[[#This Row],[Affected population projection 2026]], 0.05), "")</f>
        <v>0.25</v>
      </c>
      <c r="AI65" s="325">
        <f>IFERROR(LARGE(tblPiNAnalysis[[#This Row],[CCCM]:[WASH]], 1), "")</f>
        <v>17195</v>
      </c>
      <c r="AJ65" s="326" t="str" cm="1">
        <f t="array" ref="AJ65">IF(tblPiNAnalysis[[#This Row],[Highest PiN]]="", "", _xlfn.TEXTJOIN(CHAR(10), TRUE, IF(tblPiNAnalysis[[#This Row],[Highest PiN]]=tblPiNAnalysis[[#This Row],[CCCM]:[WASH]], tblPiNAnalysis[[#Headers],[CCCM]:[WASH]], "")))</f>
        <v>Overarching Protection</v>
      </c>
      <c r="AK65" s="327">
        <f>IF(tblPiNAnalysis[[#This Row],[Highest PiN]]="", "", tblPiNAnalysis[[#This Row],[Highest PiN]]/tblPiNAnalysis[[#This Row],[Affected population projection 2026]])</f>
        <v>0.69653345359058627</v>
      </c>
      <c r="AL65" s="328" t="str">
        <f>IF(SUM(tblPiNAnalysis[[#This Row],[CCCM]:[WASH]])=0, "",IF(COUNTIF(tblPiNAnalysis[[#This Row],[CCCM]:[WASH]],"=0")+COUNTIF(tblPiNAnalysis[[#This Row],[CCCM]:[WASH]],"")&gt;=zero_pin_thresh, "Flagged", ""))</f>
        <v/>
      </c>
      <c r="AM65" s="329" t="str">
        <f>IFERROR(IF(tblPiNAnalysis[[#This Row],[Highest PiN]]="", "", IF(tblPiNAnalysis[[#This Row],[Highest sector(s'') PiN %]]&gt;=flag_pin_perc, "Flagged", "")), "")</f>
        <v/>
      </c>
      <c r="AN65" s="330" t="str" cm="1">
        <f t="array" ref="AN65">IF(tblPiNAnalysis[[#This Row],[Highest PiN]]=0, "",  IF(OR(COUNTIF(tblPiNAnalysis[[#This Row],[Highest sector(s)]],tblSubSectorPopulation[Sector])), "Flagged", ""))</f>
        <v/>
      </c>
      <c r="AO65" s="46" cm="1">
        <f t="array" ref="AO6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15709.615483457397</v>
      </c>
      <c r="AP65" s="331" t="str" cm="1">
        <f t="array" ref="AP65">IF(tblPiNAnalysis[[#This Row],[2nd Highest PiN]]="", "", _xlfn.TEXTJOIN(CHAR(10), TRUE, IF(tblPiNAnalysis[[#This Row],[2nd Highest PiN]]=tblPiNAnalysis[[#This Row],[CCCM]:[WASH]], tblPiNAnalysis[[#Headers],[CCCM]:[WASH]], "")))</f>
        <v>Shelter</v>
      </c>
      <c r="AQ65" s="36">
        <f>IFERROR(tblPiNAnalysis[[#This Row],[2nd Highest PiN]]/tblPiNAnalysis[[#This Row],[Affected population projection 2026]], "")</f>
        <v>0.63636363636363646</v>
      </c>
      <c r="AR65" s="46">
        <f>IFERROR(tblPiNAnalysis[[#This Row],[Highest PiN]]-tblPiNAnalysis[[#This Row],[2nd Highest PiN]], "")</f>
        <v>1485.3845165426028</v>
      </c>
      <c r="AS65" s="39">
        <f>IFERROR(((tblPiNAnalysis[[#This Row],[Highest PiN]]-tblPiNAnalysis[[#This Row],[2nd Highest PiN]])/tblPiNAnalysis[[#This Row],[2nd Highest PiN]]),"")</f>
        <v>9.4552569928064018E-2</v>
      </c>
      <c r="AT65" s="39" t="str" cm="1">
        <f t="array" ref="AT6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5" s="332" cm="1">
        <f t="array" ref="AU6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13123.758275597456</v>
      </c>
      <c r="AV65" s="190" t="str" cm="1">
        <f t="array" ref="AV65">IF(tblPiNAnalysis[[#This Row],[3rd Highest PiN]]="", "", _xlfn.TEXTJOIN(CHAR(10), TRUE, IF(tblPiNAnalysis[[#This Row],[3rd Highest PiN]]=tblPiNAnalysis[[#This Row],[CCCM]:[WASH]], tblPiNAnalysis[[#Headers],[CCCM]:[WASH]], "")))</f>
        <v>Food Security</v>
      </c>
      <c r="AW65" s="190">
        <f>IFERROR(tblPiNAnalysis[[#This Row],[3rd Highest PiN]]/tblPiNAnalysis[[#This Row],[Affected population projection 2026]], "")</f>
        <v>0.53161597416632356</v>
      </c>
      <c r="AX65" s="45">
        <f>IFERROR(tblPiNAnalysis[[#This Row],[Highest PiN]]-tblPiNAnalysis[[#This Row],[3rd Highest PiN]],"")</f>
        <v>4071.2417244025437</v>
      </c>
      <c r="AY65" s="39">
        <f>IFERROR(tblPiNAnalysis[[#This Row],[Difference of PiN between Highest and 3rd Highest]]/tblPiNAnalysis[[#This Row],[3rd Highest PiN]], "")</f>
        <v>0.31021919475404247</v>
      </c>
      <c r="AZ65" s="330" t="str" cm="1">
        <f t="array" ref="AZ6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5" s="300" t="str" cm="1">
        <f t="array" ref="BA65">IFERROR(IF(tblPiNAnalysis[[#This Row],[ID]]="", "", INDEX(tblPiNHistorical[[CCCM]:[WASH]], MATCH(tblPiNAnalysis[[#This Row],[ID]],tblPiNHistorical[ID], 0),MATCH(_xlfn._xlws.FILTER(tblPiNAnalysis[[#Headers],[CCCM]:[WASH]], tblPiNAnalysis[[#This Row],[Highest PiN]]=tblPiNAnalysis[[#This Row],[CCCM]:[WASH]]), tblPiNHistorical[[#Headers],[CCCM]:[WASH]], 0))), "")</f>
        <v/>
      </c>
      <c r="BB65" s="333" t="str" cm="1">
        <f t="array" ref="BB6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5" s="276" t="str" cm="1">
        <f t="array" ref="BC65">IFERROR(IF(tblPiNAnalysis[[#This Row],[ID]]="", "", INDEX(tblPiNHistorical[[CCCM]:[WASH]], MATCH(tblPiNAnalysis[[#This Row],[ID]],tblPiNHistorical[ID], 0),MATCH(_xlfn._xlws.FILTER(tblPiNAnalysis[[#Headers],[CCCM]:[WASH]], tblPiNAnalysis[[#This Row],[2nd Highest PiN]]=tblPiNAnalysis[[#This Row],[CCCM]:[WASH]]), tblPiNHistorical[[#Headers],[CCCM]:[WASH]], 0))), "")</f>
        <v/>
      </c>
      <c r="BD65" s="334" t="str" cm="1">
        <f t="array" ref="BD6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5" s="276">
        <f>INDEX(tblSeverityAnalysis[Final Severity], MATCH(tblPiNAnalysis[[#This Row],[ID]],tblSeverityAnalysis[ID], 0))</f>
        <v>3</v>
      </c>
      <c r="BF65" s="61">
        <f>IF(tblPiNAnalysis[[#This Row],[Severity]]&gt;2,tblPiNAnalysis[[#This Row],[Highest PiN]],)</f>
        <v>17195</v>
      </c>
      <c r="BG65" s="191"/>
      <c r="BH65" s="192"/>
      <c r="BI65" s="193">
        <f>COUNTIFS(tblPiNAnalysis[[#This Row],[Number of missing / zero PiNs greater than threshold - Data quality]:[Manual Flag]],"Flagged")</f>
        <v>0</v>
      </c>
      <c r="BJ65" s="96" t="str">
        <f>IF(tblPiNAnalysis[[#This Row],['# Flags]]&gt;0, "Flagged", "")</f>
        <v/>
      </c>
      <c r="BK65" s="326">
        <f>tblPiNAnalysis[[#This Row],[Preliminary PiN]]</f>
        <v>17195</v>
      </c>
      <c r="BL65" s="331"/>
    </row>
    <row r="66" spans="1:64" x14ac:dyDescent="0.55000000000000004">
      <c r="A6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SS0803</v>
      </c>
      <c r="B66" s="316" t="s">
        <v>368</v>
      </c>
      <c r="C66" s="317" t="s">
        <v>369</v>
      </c>
      <c r="D66" s="317" t="s">
        <v>374</v>
      </c>
      <c r="E66" s="105" t="s">
        <v>375</v>
      </c>
      <c r="F66" s="100"/>
      <c r="G66" s="34"/>
      <c r="H66" s="34"/>
      <c r="I66" s="97">
        <v>23538.621025019514</v>
      </c>
      <c r="J66" s="97" t="s">
        <v>412</v>
      </c>
      <c r="K66" s="318">
        <v>240</v>
      </c>
      <c r="L66" s="319">
        <v>7700.4762670911396</v>
      </c>
      <c r="M66" s="319">
        <v>10047.548765193676</v>
      </c>
      <c r="N66" s="319">
        <v>17357.362182742232</v>
      </c>
      <c r="O66" s="319">
        <v>10068.816557931883</v>
      </c>
      <c r="P66" s="319">
        <v>18831</v>
      </c>
      <c r="Q66" s="320">
        <v>23538.621025019514</v>
      </c>
      <c r="R66" s="319">
        <v>11551.360317833653</v>
      </c>
      <c r="S66" s="319">
        <v>10552</v>
      </c>
      <c r="T66" s="319">
        <v>10734</v>
      </c>
      <c r="U66" s="319">
        <v>1899</v>
      </c>
      <c r="V66" s="319">
        <v>5840</v>
      </c>
      <c r="W66" s="321">
        <f>IFERROR(IF(tblPiNAnalysis[[#This Row],[CCCM]]="", "", MROUND(tblPiNAnalysis[[#This Row],[CCCM]]/tblPiNAnalysis[[#This Row],[Affected population projection 2026]], 0.05)), "")</f>
        <v>0</v>
      </c>
      <c r="X66" s="322">
        <f>IFERROR(IF(tblPiNAnalysis[[#This Row],[Education]]="", "", MROUND(tblPiNAnalysis[[#This Row],[Education]]/tblPiNAnalysis[[#This Row],[Affected population projection 2026]], 0.05)), "")</f>
        <v>0.35000000000000003</v>
      </c>
      <c r="Y66" s="322">
        <f>IFERROR(IF(tblPiNAnalysis[[#This Row],[Nutrition]]="", "", MROUND(tblPiNAnalysis[[#This Row],[Nutrition]]/tblPiNAnalysis[[#This Row],[Affected population projection 2026]], 0.05)), "")</f>
        <v>0.45</v>
      </c>
      <c r="Z66" s="322">
        <f>IFERROR(IF(tblPiNAnalysis[[#This Row],[Food Security]]="", "", MROUND(tblPiNAnalysis[[#This Row],[Food Security]]/tblPiNAnalysis[[#This Row],[Affected population projection 2026]], 0.05)), "")</f>
        <v>0.75</v>
      </c>
      <c r="AA66" s="322">
        <f>IFERROR(IF(tblPiNAnalysis[[#This Row],[Health]]="", "", MROUND(tblPiNAnalysis[[#This Row],[Health]]/tblPiNAnalysis[[#This Row],[Affected population projection 2026]], 0.05)), "")</f>
        <v>0.45</v>
      </c>
      <c r="AB66" s="323">
        <f>IFERROR(IF(tblPiNAnalysis[[#This Row],[Overarching Protection]]="", "", MROUND(tblPiNAnalysis[[#This Row],[Overarching Protection]]/tblPiNAnalysis[[#This Row],[Affected population projection 2026]], 0.05)), "")</f>
        <v>0.8</v>
      </c>
      <c r="AC66" s="323">
        <f>IFERROR(IF(tblPiNAnalysis[[#This Row],[Shelter]]="", "", MROUND(tblPiNAnalysis[[#This Row],[Shelter]]/tblPiNAnalysis[[#This Row],[Affected population projection 2026]], 0.05)), "")</f>
        <v>1</v>
      </c>
      <c r="AD66" s="324">
        <f>IFERROR(IF(tblPiNAnalysis[[#This Row],[WASH]]="", "", MROUND(tblPiNAnalysis[[#This Row],[WASH]]/tblPiNAnalysis[[#This Row],[Affected population projection 2026]], 0.05)), "")</f>
        <v>0.5</v>
      </c>
      <c r="AE66" s="322">
        <f>IFERROR(MROUND(tblPiNAnalysis[[#This Row],[CP]]/tblPiNAnalysis[[#This Row],[Affected population projection 2026]], 0.05), "")</f>
        <v>0.45</v>
      </c>
      <c r="AF66" s="322">
        <f>IFERROR(MROUND(tblPiNAnalysis[[#This Row],[GBV]]/tblPiNAnalysis[[#This Row],[Affected population projection 2026]], 0.05), "")</f>
        <v>0.45</v>
      </c>
      <c r="AG66" s="322">
        <f>IFERROR(MROUND(tblPiNAnalysis[[#This Row],[Mine Action]]/tblPiNAnalysis[[#This Row],[Affected population projection 2026]], 0.05), "")</f>
        <v>0.1</v>
      </c>
      <c r="AH66" s="322">
        <f>IFERROR(MROUND(tblPiNAnalysis[[#This Row],[HLP]]/tblPiNAnalysis[[#This Row],[Affected population projection 2026]], 0.05), "")</f>
        <v>0.25</v>
      </c>
      <c r="AI66" s="325">
        <f>IFERROR(LARGE(tblPiNAnalysis[[#This Row],[CCCM]:[WASH]], 1), "")</f>
        <v>23538.621025019514</v>
      </c>
      <c r="AJ66" s="326" t="str" cm="1">
        <f t="array" ref="AJ66">IF(tblPiNAnalysis[[#This Row],[Highest PiN]]="", "", _xlfn.TEXTJOIN(CHAR(10), TRUE, IF(tblPiNAnalysis[[#This Row],[Highest PiN]]=tblPiNAnalysis[[#This Row],[CCCM]:[WASH]], tblPiNAnalysis[[#Headers],[CCCM]:[WASH]], "")))</f>
        <v>Shelter</v>
      </c>
      <c r="AK66" s="327">
        <f>IF(tblPiNAnalysis[[#This Row],[Highest PiN]]="", "", tblPiNAnalysis[[#This Row],[Highest PiN]]/tblPiNAnalysis[[#This Row],[Affected population projection 2026]])</f>
        <v>1</v>
      </c>
      <c r="AL66" s="328" t="str">
        <f>IF(SUM(tblPiNAnalysis[[#This Row],[CCCM]:[WASH]])=0, "",IF(COUNTIF(tblPiNAnalysis[[#This Row],[CCCM]:[WASH]],"=0")+COUNTIF(tblPiNAnalysis[[#This Row],[CCCM]:[WASH]],"")&gt;=zero_pin_thresh, "Flagged", ""))</f>
        <v/>
      </c>
      <c r="AM66" s="329" t="str">
        <f>IFERROR(IF(tblPiNAnalysis[[#This Row],[Highest PiN]]="", "", IF(tblPiNAnalysis[[#This Row],[Highest sector(s'') PiN %]]&gt;=flag_pin_perc, "Flagged", "")), "")</f>
        <v>Flagged</v>
      </c>
      <c r="AN66" s="330" t="str" cm="1">
        <f t="array" ref="AN66">IF(tblPiNAnalysis[[#This Row],[Highest PiN]]=0, "",  IF(OR(COUNTIF(tblPiNAnalysis[[#This Row],[Highest sector(s)]],tblSubSectorPopulation[Sector])), "Flagged", ""))</f>
        <v/>
      </c>
      <c r="AO66" s="46" cm="1">
        <f t="array" ref="AO6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18831</v>
      </c>
      <c r="AP66" s="331" t="str" cm="1">
        <f t="array" ref="AP66">IF(tblPiNAnalysis[[#This Row],[2nd Highest PiN]]="", "", _xlfn.TEXTJOIN(CHAR(10), TRUE, IF(tblPiNAnalysis[[#This Row],[2nd Highest PiN]]=tblPiNAnalysis[[#This Row],[CCCM]:[WASH]], tblPiNAnalysis[[#Headers],[CCCM]:[WASH]], "")))</f>
        <v>Overarching Protection</v>
      </c>
      <c r="AQ66" s="36">
        <f>IFERROR(tblPiNAnalysis[[#This Row],[2nd Highest PiN]]/tblPiNAnalysis[[#This Row],[Affected population projection 2026]], "")</f>
        <v>0.80000438343368874</v>
      </c>
      <c r="AR66" s="46">
        <f>IFERROR(tblPiNAnalysis[[#This Row],[Highest PiN]]-tblPiNAnalysis[[#This Row],[2nd Highest PiN]], "")</f>
        <v>4707.6210250195145</v>
      </c>
      <c r="AS66" s="39">
        <f>IFERROR(((tblPiNAnalysis[[#This Row],[Highest PiN]]-tblPiNAnalysis[[#This Row],[2nd Highest PiN]])/tblPiNAnalysis[[#This Row],[2nd Highest PiN]]),"")</f>
        <v>0.24999315092238938</v>
      </c>
      <c r="AT66" s="39" t="str" cm="1">
        <f t="array" ref="AT6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6" s="332" cm="1">
        <f t="array" ref="AU6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17357.362182742232</v>
      </c>
      <c r="AV66" s="190" t="str" cm="1">
        <f t="array" ref="AV66">IF(tblPiNAnalysis[[#This Row],[3rd Highest PiN]]="", "", _xlfn.TEXTJOIN(CHAR(10), TRUE, IF(tblPiNAnalysis[[#This Row],[3rd Highest PiN]]=tblPiNAnalysis[[#This Row],[CCCM]:[WASH]], tblPiNAnalysis[[#Headers],[CCCM]:[WASH]], "")))</f>
        <v>Food Security</v>
      </c>
      <c r="AW66" s="190">
        <f>IFERROR(tblPiNAnalysis[[#This Row],[3rd Highest PiN]]/tblPiNAnalysis[[#This Row],[Affected population projection 2026]], "")</f>
        <v>0.7373992794349703</v>
      </c>
      <c r="AX66" s="45">
        <f>IFERROR(tblPiNAnalysis[[#This Row],[Highest PiN]]-tblPiNAnalysis[[#This Row],[3rd Highest PiN]],"")</f>
        <v>6181.2588422772824</v>
      </c>
      <c r="AY66" s="39">
        <f>IFERROR(tblPiNAnalysis[[#This Row],[Difference of PiN between Highest and 3rd Highest]]/tblPiNAnalysis[[#This Row],[3rd Highest PiN]], "")</f>
        <v>0.35611740869376302</v>
      </c>
      <c r="AZ66" s="330" t="str" cm="1">
        <f t="array" ref="AZ6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6" s="300" t="str" cm="1">
        <f t="array" ref="BA66">IFERROR(IF(tblPiNAnalysis[[#This Row],[ID]]="", "", INDEX(tblPiNHistorical[[CCCM]:[WASH]], MATCH(tblPiNAnalysis[[#This Row],[ID]],tblPiNHistorical[ID], 0),MATCH(_xlfn._xlws.FILTER(tblPiNAnalysis[[#Headers],[CCCM]:[WASH]], tblPiNAnalysis[[#This Row],[Highest PiN]]=tblPiNAnalysis[[#This Row],[CCCM]:[WASH]]), tblPiNHistorical[[#Headers],[CCCM]:[WASH]], 0))), "")</f>
        <v/>
      </c>
      <c r="BB66" s="333" t="str" cm="1">
        <f t="array" ref="BB6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6" s="276" t="str" cm="1">
        <f t="array" ref="BC66">IFERROR(IF(tblPiNAnalysis[[#This Row],[ID]]="", "", INDEX(tblPiNHistorical[[CCCM]:[WASH]], MATCH(tblPiNAnalysis[[#This Row],[ID]],tblPiNHistorical[ID], 0),MATCH(_xlfn._xlws.FILTER(tblPiNAnalysis[[#Headers],[CCCM]:[WASH]], tblPiNAnalysis[[#This Row],[2nd Highest PiN]]=tblPiNAnalysis[[#This Row],[CCCM]:[WASH]]), tblPiNHistorical[[#Headers],[CCCM]:[WASH]], 0))), "")</f>
        <v/>
      </c>
      <c r="BD66" s="334" t="str" cm="1">
        <f t="array" ref="BD6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6" s="276">
        <f>INDEX(tblSeverityAnalysis[Final Severity], MATCH(tblPiNAnalysis[[#This Row],[ID]],tblSeverityAnalysis[ID], 0))</f>
        <v>4</v>
      </c>
      <c r="BF66" s="61">
        <f>IF(tblPiNAnalysis[[#This Row],[Severity]]&gt;2,tblPiNAnalysis[[#This Row],[Highest PiN]],)</f>
        <v>23538.621025019514</v>
      </c>
      <c r="BG66" s="191"/>
      <c r="BH66" s="192"/>
      <c r="BI66" s="193">
        <f>COUNTIFS(tblPiNAnalysis[[#This Row],[Number of missing / zero PiNs greater than threshold - Data quality]:[Manual Flag]],"Flagged")</f>
        <v>1</v>
      </c>
      <c r="BJ66" s="96" t="str">
        <f>IF(tblPiNAnalysis[[#This Row],['# Flags]]&gt;0, "Flagged", "")</f>
        <v>Flagged</v>
      </c>
      <c r="BK66" s="326">
        <f>tblPiNAnalysis[[#This Row],[Preliminary PiN]]</f>
        <v>23538.621025019514</v>
      </c>
      <c r="BL66" s="331"/>
    </row>
    <row r="67" spans="1:64" x14ac:dyDescent="0.55000000000000004">
      <c r="A6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SS0804</v>
      </c>
      <c r="B67" s="316" t="s">
        <v>368</v>
      </c>
      <c r="C67" s="317" t="s">
        <v>369</v>
      </c>
      <c r="D67" s="317" t="s">
        <v>376</v>
      </c>
      <c r="E67" s="105" t="s">
        <v>377</v>
      </c>
      <c r="F67" s="100"/>
      <c r="G67" s="34"/>
      <c r="H67" s="34"/>
      <c r="I67" s="97">
        <v>35756.212335130236</v>
      </c>
      <c r="J67" s="97" t="s">
        <v>412</v>
      </c>
      <c r="K67" s="318">
        <v>0</v>
      </c>
      <c r="L67" s="319">
        <v>9480.6166758104409</v>
      </c>
      <c r="M67" s="319">
        <v>13420.801446190691</v>
      </c>
      <c r="N67" s="319">
        <v>22205.011671083026</v>
      </c>
      <c r="O67" s="319">
        <v>16120.24674715752</v>
      </c>
      <c r="P67" s="319">
        <v>25029</v>
      </c>
      <c r="Q67" s="320">
        <v>17878.106167565114</v>
      </c>
      <c r="R67" s="319">
        <v>21519.942609106154</v>
      </c>
      <c r="S67" s="319">
        <v>14365</v>
      </c>
      <c r="T67" s="319">
        <v>14340</v>
      </c>
      <c r="U67" s="319">
        <v>2783</v>
      </c>
      <c r="V67" s="319">
        <v>10649</v>
      </c>
      <c r="W67" s="321">
        <f>IFERROR(IF(tblPiNAnalysis[[#This Row],[CCCM]]="", "", MROUND(tblPiNAnalysis[[#This Row],[CCCM]]/tblPiNAnalysis[[#This Row],[Affected population projection 2026]], 0.05)), "")</f>
        <v>0</v>
      </c>
      <c r="X67" s="322">
        <f>IFERROR(IF(tblPiNAnalysis[[#This Row],[Education]]="", "", MROUND(tblPiNAnalysis[[#This Row],[Education]]/tblPiNAnalysis[[#This Row],[Affected population projection 2026]], 0.05)), "")</f>
        <v>0.25</v>
      </c>
      <c r="Y67" s="322">
        <f>IFERROR(IF(tblPiNAnalysis[[#This Row],[Nutrition]]="", "", MROUND(tblPiNAnalysis[[#This Row],[Nutrition]]/tblPiNAnalysis[[#This Row],[Affected population projection 2026]], 0.05)), "")</f>
        <v>0.4</v>
      </c>
      <c r="Z67" s="322">
        <f>IFERROR(IF(tblPiNAnalysis[[#This Row],[Food Security]]="", "", MROUND(tblPiNAnalysis[[#This Row],[Food Security]]/tblPiNAnalysis[[#This Row],[Affected population projection 2026]], 0.05)), "")</f>
        <v>0.60000000000000009</v>
      </c>
      <c r="AA67" s="322">
        <f>IFERROR(IF(tblPiNAnalysis[[#This Row],[Health]]="", "", MROUND(tblPiNAnalysis[[#This Row],[Health]]/tblPiNAnalysis[[#This Row],[Affected population projection 2026]], 0.05)), "")</f>
        <v>0.45</v>
      </c>
      <c r="AB67" s="323">
        <f>IFERROR(IF(tblPiNAnalysis[[#This Row],[Overarching Protection]]="", "", MROUND(tblPiNAnalysis[[#This Row],[Overarching Protection]]/tblPiNAnalysis[[#This Row],[Affected population projection 2026]], 0.05)), "")</f>
        <v>0.70000000000000007</v>
      </c>
      <c r="AC67" s="323">
        <f>IFERROR(IF(tblPiNAnalysis[[#This Row],[Shelter]]="", "", MROUND(tblPiNAnalysis[[#This Row],[Shelter]]/tblPiNAnalysis[[#This Row],[Affected population projection 2026]], 0.05)), "")</f>
        <v>0.5</v>
      </c>
      <c r="AD67" s="324">
        <f>IFERROR(IF(tblPiNAnalysis[[#This Row],[WASH]]="", "", MROUND(tblPiNAnalysis[[#This Row],[WASH]]/tblPiNAnalysis[[#This Row],[Affected population projection 2026]], 0.05)), "")</f>
        <v>0.60000000000000009</v>
      </c>
      <c r="AE67" s="322">
        <f>IFERROR(MROUND(tblPiNAnalysis[[#This Row],[CP]]/tblPiNAnalysis[[#This Row],[Affected population projection 2026]], 0.05), "")</f>
        <v>0.4</v>
      </c>
      <c r="AF67" s="322">
        <f>IFERROR(MROUND(tblPiNAnalysis[[#This Row],[GBV]]/tblPiNAnalysis[[#This Row],[Affected population projection 2026]], 0.05), "")</f>
        <v>0.4</v>
      </c>
      <c r="AG67" s="322">
        <f>IFERROR(MROUND(tblPiNAnalysis[[#This Row],[Mine Action]]/tblPiNAnalysis[[#This Row],[Affected population projection 2026]], 0.05), "")</f>
        <v>0.1</v>
      </c>
      <c r="AH67" s="322">
        <f>IFERROR(MROUND(tblPiNAnalysis[[#This Row],[HLP]]/tblPiNAnalysis[[#This Row],[Affected population projection 2026]], 0.05), "")</f>
        <v>0.30000000000000004</v>
      </c>
      <c r="AI67" s="325">
        <f>IFERROR(LARGE(tblPiNAnalysis[[#This Row],[CCCM]:[WASH]], 1), "")</f>
        <v>25029</v>
      </c>
      <c r="AJ67" s="326" t="str" cm="1">
        <f t="array" ref="AJ67">IF(tblPiNAnalysis[[#This Row],[Highest PiN]]="", "", _xlfn.TEXTJOIN(CHAR(10), TRUE, IF(tblPiNAnalysis[[#This Row],[Highest PiN]]=tblPiNAnalysis[[#This Row],[CCCM]:[WASH]], tblPiNAnalysis[[#Headers],[CCCM]:[WASH]], "")))</f>
        <v>Overarching Protection</v>
      </c>
      <c r="AK67" s="327">
        <f>IF(tblPiNAnalysis[[#This Row],[Highest PiN]]="", "", tblPiNAnalysis[[#This Row],[Highest PiN]]/tblPiNAnalysis[[#This Row],[Affected population projection 2026]])</f>
        <v>0.69999024967779311</v>
      </c>
      <c r="AL67" s="328" t="str">
        <f>IF(SUM(tblPiNAnalysis[[#This Row],[CCCM]:[WASH]])=0, "",IF(COUNTIF(tblPiNAnalysis[[#This Row],[CCCM]:[WASH]],"=0")+COUNTIF(tblPiNAnalysis[[#This Row],[CCCM]:[WASH]],"")&gt;=zero_pin_thresh, "Flagged", ""))</f>
        <v/>
      </c>
      <c r="AM67" s="329" t="str">
        <f>IFERROR(IF(tblPiNAnalysis[[#This Row],[Highest PiN]]="", "", IF(tblPiNAnalysis[[#This Row],[Highest sector(s'') PiN %]]&gt;=flag_pin_perc, "Flagged", "")), "")</f>
        <v/>
      </c>
      <c r="AN67" s="330" t="str" cm="1">
        <f t="array" ref="AN67">IF(tblPiNAnalysis[[#This Row],[Highest PiN]]=0, "",  IF(OR(COUNTIF(tblPiNAnalysis[[#This Row],[Highest sector(s)]],tblSubSectorPopulation[Sector])), "Flagged", ""))</f>
        <v/>
      </c>
      <c r="AO67" s="46" cm="1">
        <f t="array" ref="AO6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22205.011671083026</v>
      </c>
      <c r="AP67" s="331" t="str" cm="1">
        <f t="array" ref="AP67">IF(tblPiNAnalysis[[#This Row],[2nd Highest PiN]]="", "", _xlfn.TEXTJOIN(CHAR(10), TRUE, IF(tblPiNAnalysis[[#This Row],[2nd Highest PiN]]=tblPiNAnalysis[[#This Row],[CCCM]:[WASH]], tblPiNAnalysis[[#Headers],[CCCM]:[WASH]], "")))</f>
        <v>Food Security</v>
      </c>
      <c r="AQ67" s="36">
        <f>IFERROR(tblPiNAnalysis[[#This Row],[2nd Highest PiN]]/tblPiNAnalysis[[#This Row],[Affected population projection 2026]], "")</f>
        <v>0.6210112934491876</v>
      </c>
      <c r="AR67" s="46">
        <f>IFERROR(tblPiNAnalysis[[#This Row],[Highest PiN]]-tblPiNAnalysis[[#This Row],[2nd Highest PiN]], "")</f>
        <v>2823.9883289169738</v>
      </c>
      <c r="AS67" s="39">
        <f>IFERROR(((tblPiNAnalysis[[#This Row],[Highest PiN]]-tblPiNAnalysis[[#This Row],[2nd Highest PiN]])/tblPiNAnalysis[[#This Row],[2nd Highest PiN]]),"")</f>
        <v>0.12717797093502886</v>
      </c>
      <c r="AT67" s="39" t="str" cm="1">
        <f t="array" ref="AT6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7" s="332" cm="1">
        <f t="array" ref="AU6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21519.942609106154</v>
      </c>
      <c r="AV67" s="190" t="str" cm="1">
        <f t="array" ref="AV67">IF(tblPiNAnalysis[[#This Row],[3rd Highest PiN]]="", "", _xlfn.TEXTJOIN(CHAR(10), TRUE, IF(tblPiNAnalysis[[#This Row],[3rd Highest PiN]]=tblPiNAnalysis[[#This Row],[CCCM]:[WASH]], tblPiNAnalysis[[#Headers],[CCCM]:[WASH]], "")))</f>
        <v>WASH</v>
      </c>
      <c r="AW67" s="190">
        <f>IFERROR(tblPiNAnalysis[[#This Row],[3rd Highest PiN]]/tblPiNAnalysis[[#This Row],[Affected population projection 2026]], "")</f>
        <v>0.60185185185185164</v>
      </c>
      <c r="AX67" s="45">
        <f>IFERROR(tblPiNAnalysis[[#This Row],[Highest PiN]]-tblPiNAnalysis[[#This Row],[3rd Highest PiN]],"")</f>
        <v>3509.0573908938459</v>
      </c>
      <c r="AY67" s="39">
        <f>IFERROR(tblPiNAnalysis[[#This Row],[Difference of PiN between Highest and 3rd Highest]]/tblPiNAnalysis[[#This Row],[3rd Highest PiN]], "")</f>
        <v>0.16306072254156428</v>
      </c>
      <c r="AZ67" s="330" t="str" cm="1">
        <f t="array" ref="AZ6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7" s="300" t="str" cm="1">
        <f t="array" ref="BA67">IFERROR(IF(tblPiNAnalysis[[#This Row],[ID]]="", "", INDEX(tblPiNHistorical[[CCCM]:[WASH]], MATCH(tblPiNAnalysis[[#This Row],[ID]],tblPiNHistorical[ID], 0),MATCH(_xlfn._xlws.FILTER(tblPiNAnalysis[[#Headers],[CCCM]:[WASH]], tblPiNAnalysis[[#This Row],[Highest PiN]]=tblPiNAnalysis[[#This Row],[CCCM]:[WASH]]), tblPiNHistorical[[#Headers],[CCCM]:[WASH]], 0))), "")</f>
        <v/>
      </c>
      <c r="BB67" s="333" t="str" cm="1">
        <f t="array" ref="BB6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7" s="276" t="str" cm="1">
        <f t="array" ref="BC67">IFERROR(IF(tblPiNAnalysis[[#This Row],[ID]]="", "", INDEX(tblPiNHistorical[[CCCM]:[WASH]], MATCH(tblPiNAnalysis[[#This Row],[ID]],tblPiNHistorical[ID], 0),MATCH(_xlfn._xlws.FILTER(tblPiNAnalysis[[#Headers],[CCCM]:[WASH]], tblPiNAnalysis[[#This Row],[2nd Highest PiN]]=tblPiNAnalysis[[#This Row],[CCCM]:[WASH]]), tblPiNHistorical[[#Headers],[CCCM]:[WASH]], 0))), "")</f>
        <v/>
      </c>
      <c r="BD67" s="334" t="str" cm="1">
        <f t="array" ref="BD6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7" s="276">
        <f>INDEX(tblSeverityAnalysis[Final Severity], MATCH(tblPiNAnalysis[[#This Row],[ID]],tblSeverityAnalysis[ID], 0))</f>
        <v>3</v>
      </c>
      <c r="BF67" s="61">
        <f>IF(tblPiNAnalysis[[#This Row],[Severity]]&gt;2,tblPiNAnalysis[[#This Row],[Highest PiN]],)</f>
        <v>25029</v>
      </c>
      <c r="BG67" s="191"/>
      <c r="BH67" s="192"/>
      <c r="BI67" s="193">
        <f>COUNTIFS(tblPiNAnalysis[[#This Row],[Number of missing / zero PiNs greater than threshold - Data quality]:[Manual Flag]],"Flagged")</f>
        <v>0</v>
      </c>
      <c r="BJ67" s="96" t="str">
        <f>IF(tblPiNAnalysis[[#This Row],['# Flags]]&gt;0, "Flagged", "")</f>
        <v/>
      </c>
      <c r="BK67" s="326">
        <f>tblPiNAnalysis[[#This Row],[Preliminary PiN]]</f>
        <v>25029</v>
      </c>
      <c r="BL67" s="331"/>
    </row>
    <row r="68" spans="1:64" x14ac:dyDescent="0.55000000000000004">
      <c r="A6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SS0805</v>
      </c>
      <c r="B68" s="316" t="s">
        <v>368</v>
      </c>
      <c r="C68" s="317" t="s">
        <v>369</v>
      </c>
      <c r="D68" s="317" t="s">
        <v>378</v>
      </c>
      <c r="E68" s="105" t="s">
        <v>379</v>
      </c>
      <c r="F68" s="100"/>
      <c r="G68" s="34"/>
      <c r="H68" s="34"/>
      <c r="I68" s="97">
        <v>7457.5791677040434</v>
      </c>
      <c r="J68" s="97" t="s">
        <v>412</v>
      </c>
      <c r="K68" s="318">
        <v>0</v>
      </c>
      <c r="L68" s="319">
        <v>1158.2925523798729</v>
      </c>
      <c r="M68" s="319">
        <v>3325.3650088040599</v>
      </c>
      <c r="N68" s="319">
        <v>4228.2661319429981</v>
      </c>
      <c r="O68" s="319">
        <v>4251.9555195741968</v>
      </c>
      <c r="P68" s="319">
        <v>5221</v>
      </c>
      <c r="Q68" s="320">
        <v>4971.7194451360283</v>
      </c>
      <c r="R68" s="319">
        <v>5731.2876936984776</v>
      </c>
      <c r="S68" s="319">
        <v>2973</v>
      </c>
      <c r="T68" s="319">
        <v>1171</v>
      </c>
      <c r="U68" s="319">
        <v>3707</v>
      </c>
      <c r="V68" s="319">
        <v>2370</v>
      </c>
      <c r="W68" s="321">
        <f>IFERROR(IF(tblPiNAnalysis[[#This Row],[CCCM]]="", "", MROUND(tblPiNAnalysis[[#This Row],[CCCM]]/tblPiNAnalysis[[#This Row],[Affected population projection 2026]], 0.05)), "")</f>
        <v>0</v>
      </c>
      <c r="X68" s="322">
        <f>IFERROR(IF(tblPiNAnalysis[[#This Row],[Education]]="", "", MROUND(tblPiNAnalysis[[#This Row],[Education]]/tblPiNAnalysis[[#This Row],[Affected population projection 2026]], 0.05)), "")</f>
        <v>0.15000000000000002</v>
      </c>
      <c r="Y68" s="322">
        <f>IFERROR(IF(tblPiNAnalysis[[#This Row],[Nutrition]]="", "", MROUND(tblPiNAnalysis[[#This Row],[Nutrition]]/tblPiNAnalysis[[#This Row],[Affected population projection 2026]], 0.05)), "")</f>
        <v>0.45</v>
      </c>
      <c r="Z68" s="322">
        <f>IFERROR(IF(tblPiNAnalysis[[#This Row],[Food Security]]="", "", MROUND(tblPiNAnalysis[[#This Row],[Food Security]]/tblPiNAnalysis[[#This Row],[Affected population projection 2026]], 0.05)), "")</f>
        <v>0.55000000000000004</v>
      </c>
      <c r="AA68" s="322">
        <f>IFERROR(IF(tblPiNAnalysis[[#This Row],[Health]]="", "", MROUND(tblPiNAnalysis[[#This Row],[Health]]/tblPiNAnalysis[[#This Row],[Affected population projection 2026]], 0.05)), "")</f>
        <v>0.55000000000000004</v>
      </c>
      <c r="AB68" s="323">
        <f>IFERROR(IF(tblPiNAnalysis[[#This Row],[Overarching Protection]]="", "", MROUND(tblPiNAnalysis[[#This Row],[Overarching Protection]]/tblPiNAnalysis[[#This Row],[Affected population projection 2026]], 0.05)), "")</f>
        <v>0.70000000000000007</v>
      </c>
      <c r="AC68" s="323">
        <f>IFERROR(IF(tblPiNAnalysis[[#This Row],[Shelter]]="", "", MROUND(tblPiNAnalysis[[#This Row],[Shelter]]/tblPiNAnalysis[[#This Row],[Affected population projection 2026]], 0.05)), "")</f>
        <v>0.65</v>
      </c>
      <c r="AD68" s="324">
        <f>IFERROR(IF(tblPiNAnalysis[[#This Row],[WASH]]="", "", MROUND(tblPiNAnalysis[[#This Row],[WASH]]/tblPiNAnalysis[[#This Row],[Affected population projection 2026]], 0.05)), "")</f>
        <v>0.75</v>
      </c>
      <c r="AE68" s="322">
        <f>IFERROR(MROUND(tblPiNAnalysis[[#This Row],[CP]]/tblPiNAnalysis[[#This Row],[Affected population projection 2026]], 0.05), "")</f>
        <v>0.4</v>
      </c>
      <c r="AF68" s="322">
        <f>IFERROR(MROUND(tblPiNAnalysis[[#This Row],[GBV]]/tblPiNAnalysis[[#This Row],[Affected population projection 2026]], 0.05), "")</f>
        <v>0.15000000000000002</v>
      </c>
      <c r="AG68" s="322">
        <f>IFERROR(MROUND(tblPiNAnalysis[[#This Row],[Mine Action]]/tblPiNAnalysis[[#This Row],[Affected population projection 2026]], 0.05), "")</f>
        <v>0.5</v>
      </c>
      <c r="AH68" s="322">
        <f>IFERROR(MROUND(tblPiNAnalysis[[#This Row],[HLP]]/tblPiNAnalysis[[#This Row],[Affected population projection 2026]], 0.05), "")</f>
        <v>0.30000000000000004</v>
      </c>
      <c r="AI68" s="325">
        <f>IFERROR(LARGE(tblPiNAnalysis[[#This Row],[CCCM]:[WASH]], 1), "")</f>
        <v>5731.2876936984776</v>
      </c>
      <c r="AJ68" s="326" t="str" cm="1">
        <f t="array" ref="AJ68">IF(tblPiNAnalysis[[#This Row],[Highest PiN]]="", "", _xlfn.TEXTJOIN(CHAR(10), TRUE, IF(tblPiNAnalysis[[#This Row],[Highest PiN]]=tblPiNAnalysis[[#This Row],[CCCM]:[WASH]], tblPiNAnalysis[[#Headers],[CCCM]:[WASH]], "")))</f>
        <v>WASH</v>
      </c>
      <c r="AK68" s="327">
        <f>IF(tblPiNAnalysis[[#This Row],[Highest PiN]]="", "", tblPiNAnalysis[[#This Row],[Highest PiN]]/tblPiNAnalysis[[#This Row],[Affected population projection 2026]])</f>
        <v>0.76851851851851849</v>
      </c>
      <c r="AL68" s="328" t="str">
        <f>IF(SUM(tblPiNAnalysis[[#This Row],[CCCM]:[WASH]])=0, "",IF(COUNTIF(tblPiNAnalysis[[#This Row],[CCCM]:[WASH]],"=0")+COUNTIF(tblPiNAnalysis[[#This Row],[CCCM]:[WASH]],"")&gt;=zero_pin_thresh, "Flagged", ""))</f>
        <v/>
      </c>
      <c r="AM68" s="329" t="str">
        <f>IFERROR(IF(tblPiNAnalysis[[#This Row],[Highest PiN]]="", "", IF(tblPiNAnalysis[[#This Row],[Highest sector(s'') PiN %]]&gt;=flag_pin_perc, "Flagged", "")), "")</f>
        <v/>
      </c>
      <c r="AN68" s="330" t="str" cm="1">
        <f t="array" ref="AN68">IF(tblPiNAnalysis[[#This Row],[Highest PiN]]=0, "",  IF(OR(COUNTIF(tblPiNAnalysis[[#This Row],[Highest sector(s)]],tblSubSectorPopulation[Sector])), "Flagged", ""))</f>
        <v/>
      </c>
      <c r="AO68" s="46" cm="1">
        <f t="array" ref="AO6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5221</v>
      </c>
      <c r="AP68" s="331" t="str" cm="1">
        <f t="array" ref="AP68">IF(tblPiNAnalysis[[#This Row],[2nd Highest PiN]]="", "", _xlfn.TEXTJOIN(CHAR(10), TRUE, IF(tblPiNAnalysis[[#This Row],[2nd Highest PiN]]=tblPiNAnalysis[[#This Row],[CCCM]:[WASH]], tblPiNAnalysis[[#Headers],[CCCM]:[WASH]], "")))</f>
        <v>Overarching Protection</v>
      </c>
      <c r="AQ68" s="36">
        <f>IFERROR(tblPiNAnalysis[[#This Row],[2nd Highest PiN]]/tblPiNAnalysis[[#This Row],[Affected population projection 2026]], "")</f>
        <v>0.70009313781209026</v>
      </c>
      <c r="AR68" s="46">
        <f>IFERROR(tblPiNAnalysis[[#This Row],[Highest PiN]]-tblPiNAnalysis[[#This Row],[2nd Highest PiN]], "")</f>
        <v>510.2876936984776</v>
      </c>
      <c r="AS68" s="39">
        <f>IFERROR(((tblPiNAnalysis[[#This Row],[Highest PiN]]-tblPiNAnalysis[[#This Row],[2nd Highest PiN]])/tblPiNAnalysis[[#This Row],[2nd Highest PiN]]),"")</f>
        <v>9.7737539494058154E-2</v>
      </c>
      <c r="AT68" s="39" t="str" cm="1">
        <f t="array" ref="AT6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8" s="332" cm="1">
        <f t="array" ref="AU6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4971.7194451360283</v>
      </c>
      <c r="AV68" s="190" t="str" cm="1">
        <f t="array" ref="AV68">IF(tblPiNAnalysis[[#This Row],[3rd Highest PiN]]="", "", _xlfn.TEXTJOIN(CHAR(10), TRUE, IF(tblPiNAnalysis[[#This Row],[3rd Highest PiN]]=tblPiNAnalysis[[#This Row],[CCCM]:[WASH]], tblPiNAnalysis[[#Headers],[CCCM]:[WASH]], "")))</f>
        <v>Shelter</v>
      </c>
      <c r="AW68" s="190">
        <f>IFERROR(tblPiNAnalysis[[#This Row],[3rd Highest PiN]]/tblPiNAnalysis[[#This Row],[Affected population projection 2026]], "")</f>
        <v>0.66666666666666663</v>
      </c>
      <c r="AX68" s="45">
        <f>IFERROR(tblPiNAnalysis[[#This Row],[Highest PiN]]-tblPiNAnalysis[[#This Row],[3rd Highest PiN]],"")</f>
        <v>759.5682485624493</v>
      </c>
      <c r="AY68" s="39">
        <f>IFERROR(tblPiNAnalysis[[#This Row],[Difference of PiN between Highest and 3rd Highest]]/tblPiNAnalysis[[#This Row],[3rd Highest PiN]], "")</f>
        <v>0.15277777777777787</v>
      </c>
      <c r="AZ68" s="330" t="str" cm="1">
        <f t="array" ref="AZ6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8" s="300" t="str" cm="1">
        <f t="array" ref="BA68">IFERROR(IF(tblPiNAnalysis[[#This Row],[ID]]="", "", INDEX(tblPiNHistorical[[CCCM]:[WASH]], MATCH(tblPiNAnalysis[[#This Row],[ID]],tblPiNHistorical[ID], 0),MATCH(_xlfn._xlws.FILTER(tblPiNAnalysis[[#Headers],[CCCM]:[WASH]], tblPiNAnalysis[[#This Row],[Highest PiN]]=tblPiNAnalysis[[#This Row],[CCCM]:[WASH]]), tblPiNHistorical[[#Headers],[CCCM]:[WASH]], 0))), "")</f>
        <v/>
      </c>
      <c r="BB68" s="333" t="str" cm="1">
        <f t="array" ref="BB6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8" s="276" t="str" cm="1">
        <f t="array" ref="BC68">IFERROR(IF(tblPiNAnalysis[[#This Row],[ID]]="", "", INDEX(tblPiNHistorical[[CCCM]:[WASH]], MATCH(tblPiNAnalysis[[#This Row],[ID]],tblPiNHistorical[ID], 0),MATCH(_xlfn._xlws.FILTER(tblPiNAnalysis[[#Headers],[CCCM]:[WASH]], tblPiNAnalysis[[#This Row],[2nd Highest PiN]]=tblPiNAnalysis[[#This Row],[CCCM]:[WASH]]), tblPiNHistorical[[#Headers],[CCCM]:[WASH]], 0))), "")</f>
        <v/>
      </c>
      <c r="BD68" s="334" t="str" cm="1">
        <f t="array" ref="BD6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8" s="276">
        <f>INDEX(tblSeverityAnalysis[Final Severity], MATCH(tblPiNAnalysis[[#This Row],[ID]],tblSeverityAnalysis[ID], 0))</f>
        <v>3</v>
      </c>
      <c r="BF68" s="61">
        <f>IF(tblPiNAnalysis[[#This Row],[Severity]]&gt;2,tblPiNAnalysis[[#This Row],[Highest PiN]],)</f>
        <v>5731.2876936984776</v>
      </c>
      <c r="BG68" s="191"/>
      <c r="BH68" s="192"/>
      <c r="BI68" s="193">
        <f>COUNTIFS(tblPiNAnalysis[[#This Row],[Number of missing / zero PiNs greater than threshold - Data quality]:[Manual Flag]],"Flagged")</f>
        <v>0</v>
      </c>
      <c r="BJ68" s="96" t="str">
        <f>IF(tblPiNAnalysis[[#This Row],['# Flags]]&gt;0, "Flagged", "")</f>
        <v/>
      </c>
      <c r="BK68" s="326">
        <f>tblPiNAnalysis[[#This Row],[Preliminary PiN]]</f>
        <v>5731.2876936984776</v>
      </c>
      <c r="BL68" s="331"/>
    </row>
    <row r="69" spans="1:64" x14ac:dyDescent="0.55000000000000004">
      <c r="A6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SS0806</v>
      </c>
      <c r="B69" s="316" t="s">
        <v>368</v>
      </c>
      <c r="C69" s="317" t="s">
        <v>369</v>
      </c>
      <c r="D69" s="317" t="s">
        <v>380</v>
      </c>
      <c r="E69" s="105" t="s">
        <v>381</v>
      </c>
      <c r="F69" s="100"/>
      <c r="G69" s="34"/>
      <c r="H69" s="34"/>
      <c r="I69" s="97">
        <v>150879.3340223525</v>
      </c>
      <c r="J69" s="97" t="s">
        <v>412</v>
      </c>
      <c r="K69" s="318">
        <v>84325</v>
      </c>
      <c r="L69" s="319">
        <v>18528.283976612929</v>
      </c>
      <c r="M69" s="319">
        <v>62421.428794820094</v>
      </c>
      <c r="N69" s="319">
        <v>88035.172558781574</v>
      </c>
      <c r="O69" s="319">
        <v>91148.735693234499</v>
      </c>
      <c r="P69" s="319">
        <v>116376</v>
      </c>
      <c r="Q69" s="320">
        <v>85279.623577851424</v>
      </c>
      <c r="R69" s="319">
        <v>68454.512658289575</v>
      </c>
      <c r="S69" s="319">
        <v>61907</v>
      </c>
      <c r="T69" s="319">
        <v>67106</v>
      </c>
      <c r="U69" s="319">
        <v>12205</v>
      </c>
      <c r="V69" s="319">
        <v>40457</v>
      </c>
      <c r="W69" s="321">
        <f>IFERROR(IF(tblPiNAnalysis[[#This Row],[CCCM]]="", "", MROUND(tblPiNAnalysis[[#This Row],[CCCM]]/tblPiNAnalysis[[#This Row],[Affected population projection 2026]], 0.05)), "")</f>
        <v>0.55000000000000004</v>
      </c>
      <c r="X69" s="322">
        <f>IFERROR(IF(tblPiNAnalysis[[#This Row],[Education]]="", "", MROUND(tblPiNAnalysis[[#This Row],[Education]]/tblPiNAnalysis[[#This Row],[Affected population projection 2026]], 0.05)), "")</f>
        <v>0.1</v>
      </c>
      <c r="Y69" s="322">
        <f>IFERROR(IF(tblPiNAnalysis[[#This Row],[Nutrition]]="", "", MROUND(tblPiNAnalysis[[#This Row],[Nutrition]]/tblPiNAnalysis[[#This Row],[Affected population projection 2026]], 0.05)), "")</f>
        <v>0.4</v>
      </c>
      <c r="Z69" s="322">
        <f>IFERROR(IF(tblPiNAnalysis[[#This Row],[Food Security]]="", "", MROUND(tblPiNAnalysis[[#This Row],[Food Security]]/tblPiNAnalysis[[#This Row],[Affected population projection 2026]], 0.05)), "")</f>
        <v>0.60000000000000009</v>
      </c>
      <c r="AA69" s="322">
        <f>IFERROR(IF(tblPiNAnalysis[[#This Row],[Health]]="", "", MROUND(tblPiNAnalysis[[#This Row],[Health]]/tblPiNAnalysis[[#This Row],[Affected population projection 2026]], 0.05)), "")</f>
        <v>0.60000000000000009</v>
      </c>
      <c r="AB69" s="323">
        <f>IFERROR(IF(tblPiNAnalysis[[#This Row],[Overarching Protection]]="", "", MROUND(tblPiNAnalysis[[#This Row],[Overarching Protection]]/tblPiNAnalysis[[#This Row],[Affected population projection 2026]], 0.05)), "")</f>
        <v>0.75</v>
      </c>
      <c r="AC69" s="323">
        <f>IFERROR(IF(tblPiNAnalysis[[#This Row],[Shelter]]="", "", MROUND(tblPiNAnalysis[[#This Row],[Shelter]]/tblPiNAnalysis[[#This Row],[Affected population projection 2026]], 0.05)), "")</f>
        <v>0.55000000000000004</v>
      </c>
      <c r="AD69" s="324">
        <f>IFERROR(IF(tblPiNAnalysis[[#This Row],[WASH]]="", "", MROUND(tblPiNAnalysis[[#This Row],[WASH]]/tblPiNAnalysis[[#This Row],[Affected population projection 2026]], 0.05)), "")</f>
        <v>0.45</v>
      </c>
      <c r="AE69" s="322">
        <f>IFERROR(MROUND(tblPiNAnalysis[[#This Row],[CP]]/tblPiNAnalysis[[#This Row],[Affected population projection 2026]], 0.05), "")</f>
        <v>0.4</v>
      </c>
      <c r="AF69" s="322">
        <f>IFERROR(MROUND(tblPiNAnalysis[[#This Row],[GBV]]/tblPiNAnalysis[[#This Row],[Affected population projection 2026]], 0.05), "")</f>
        <v>0.45</v>
      </c>
      <c r="AG69" s="322">
        <f>IFERROR(MROUND(tblPiNAnalysis[[#This Row],[Mine Action]]/tblPiNAnalysis[[#This Row],[Affected population projection 2026]], 0.05), "")</f>
        <v>0.1</v>
      </c>
      <c r="AH69" s="322">
        <f>IFERROR(MROUND(tblPiNAnalysis[[#This Row],[HLP]]/tblPiNAnalysis[[#This Row],[Affected population projection 2026]], 0.05), "")</f>
        <v>0.25</v>
      </c>
      <c r="AI69" s="325">
        <f>IFERROR(LARGE(tblPiNAnalysis[[#This Row],[CCCM]:[WASH]], 1), "")</f>
        <v>116376</v>
      </c>
      <c r="AJ69" s="326" t="str" cm="1">
        <f t="array" ref="AJ69">IF(tblPiNAnalysis[[#This Row],[Highest PiN]]="", "", _xlfn.TEXTJOIN(CHAR(10), TRUE, IF(tblPiNAnalysis[[#This Row],[Highest PiN]]=tblPiNAnalysis[[#This Row],[CCCM]:[WASH]], tblPiNAnalysis[[#Headers],[CCCM]:[WASH]], "")))</f>
        <v>Overarching Protection</v>
      </c>
      <c r="AK69" s="327">
        <f>IF(tblPiNAnalysis[[#This Row],[Highest PiN]]="", "", tblPiNAnalysis[[#This Row],[Highest PiN]]/tblPiNAnalysis[[#This Row],[Affected population projection 2026]])</f>
        <v>0.77131835684507399</v>
      </c>
      <c r="AL69" s="328" t="str">
        <f>IF(SUM(tblPiNAnalysis[[#This Row],[CCCM]:[WASH]])=0, "",IF(COUNTIF(tblPiNAnalysis[[#This Row],[CCCM]:[WASH]],"=0")+COUNTIF(tblPiNAnalysis[[#This Row],[CCCM]:[WASH]],"")&gt;=zero_pin_thresh, "Flagged", ""))</f>
        <v/>
      </c>
      <c r="AM69" s="329" t="str">
        <f>IFERROR(IF(tblPiNAnalysis[[#This Row],[Highest PiN]]="", "", IF(tblPiNAnalysis[[#This Row],[Highest sector(s'') PiN %]]&gt;=flag_pin_perc, "Flagged", "")), "")</f>
        <v/>
      </c>
      <c r="AN69" s="330" t="str" cm="1">
        <f t="array" ref="AN69">IF(tblPiNAnalysis[[#This Row],[Highest PiN]]=0, "",  IF(OR(COUNTIF(tblPiNAnalysis[[#This Row],[Highest sector(s)]],tblSubSectorPopulation[Sector])), "Flagged", ""))</f>
        <v/>
      </c>
      <c r="AO69" s="46" cm="1">
        <f t="array" ref="AO6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91148.735693234499</v>
      </c>
      <c r="AP69" s="331" t="str" cm="1">
        <f t="array" ref="AP69">IF(tblPiNAnalysis[[#This Row],[2nd Highest PiN]]="", "", _xlfn.TEXTJOIN(CHAR(10), TRUE, IF(tblPiNAnalysis[[#This Row],[2nd Highest PiN]]=tblPiNAnalysis[[#This Row],[CCCM]:[WASH]], tblPiNAnalysis[[#Headers],[CCCM]:[WASH]], "")))</f>
        <v>Health</v>
      </c>
      <c r="AQ69" s="36">
        <f>IFERROR(tblPiNAnalysis[[#This Row],[2nd Highest PiN]]/tblPiNAnalysis[[#This Row],[Affected population projection 2026]], "")</f>
        <v>0.60411676843517204</v>
      </c>
      <c r="AR69" s="46">
        <f>IFERROR(tblPiNAnalysis[[#This Row],[Highest PiN]]-tblPiNAnalysis[[#This Row],[2nd Highest PiN]], "")</f>
        <v>25227.264306765501</v>
      </c>
      <c r="AS69" s="39">
        <f>IFERROR(((tblPiNAnalysis[[#This Row],[Highest PiN]]-tblPiNAnalysis[[#This Row],[2nd Highest PiN]])/tblPiNAnalysis[[#This Row],[2nd Highest PiN]]),"")</f>
        <v>0.27677031518757522</v>
      </c>
      <c r="AT69" s="39" t="str" cm="1">
        <f t="array" ref="AT6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9" s="332" cm="1">
        <f t="array" ref="AU6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88035.172558781574</v>
      </c>
      <c r="AV69" s="190" t="str" cm="1">
        <f t="array" ref="AV69">IF(tblPiNAnalysis[[#This Row],[3rd Highest PiN]]="", "", _xlfn.TEXTJOIN(CHAR(10), TRUE, IF(tblPiNAnalysis[[#This Row],[3rd Highest PiN]]=tblPiNAnalysis[[#This Row],[CCCM]:[WASH]], tblPiNAnalysis[[#Headers],[CCCM]:[WASH]], "")))</f>
        <v>Food Security</v>
      </c>
      <c r="AW69" s="190">
        <f>IFERROR(tblPiNAnalysis[[#This Row],[3rd Highest PiN]]/tblPiNAnalysis[[#This Row],[Affected population projection 2026]], "")</f>
        <v>0.58348065445291086</v>
      </c>
      <c r="AX69" s="45">
        <f>IFERROR(tblPiNAnalysis[[#This Row],[Highest PiN]]-tblPiNAnalysis[[#This Row],[3rd Highest PiN]],"")</f>
        <v>28340.827441218426</v>
      </c>
      <c r="AY69" s="39">
        <f>IFERROR(tblPiNAnalysis[[#This Row],[Difference of PiN between Highest and 3rd Highest]]/tblPiNAnalysis[[#This Row],[3rd Highest PiN]], "")</f>
        <v>0.32192618719858929</v>
      </c>
      <c r="AZ69" s="330" t="str" cm="1">
        <f t="array" ref="AZ6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9" s="300" t="str" cm="1">
        <f t="array" ref="BA69">IFERROR(IF(tblPiNAnalysis[[#This Row],[ID]]="", "", INDEX(tblPiNHistorical[[CCCM]:[WASH]], MATCH(tblPiNAnalysis[[#This Row],[ID]],tblPiNHistorical[ID], 0),MATCH(_xlfn._xlws.FILTER(tblPiNAnalysis[[#Headers],[CCCM]:[WASH]], tblPiNAnalysis[[#This Row],[Highest PiN]]=tblPiNAnalysis[[#This Row],[CCCM]:[WASH]]), tblPiNHistorical[[#Headers],[CCCM]:[WASH]], 0))), "")</f>
        <v/>
      </c>
      <c r="BB69" s="333" t="str" cm="1">
        <f t="array" ref="BB6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9" s="276" t="str" cm="1">
        <f t="array" ref="BC69">IFERROR(IF(tblPiNAnalysis[[#This Row],[ID]]="", "", INDEX(tblPiNHistorical[[CCCM]:[WASH]], MATCH(tblPiNAnalysis[[#This Row],[ID]],tblPiNHistorical[ID], 0),MATCH(_xlfn._xlws.FILTER(tblPiNAnalysis[[#Headers],[CCCM]:[WASH]], tblPiNAnalysis[[#This Row],[2nd Highest PiN]]=tblPiNAnalysis[[#This Row],[CCCM]:[WASH]]), tblPiNHistorical[[#Headers],[CCCM]:[WASH]], 0))), "")</f>
        <v/>
      </c>
      <c r="BD69" s="334" t="str" cm="1">
        <f t="array" ref="BD6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9" s="276">
        <f>INDEX(tblSeverityAnalysis[Final Severity], MATCH(tblPiNAnalysis[[#This Row],[ID]],tblSeverityAnalysis[ID], 0))</f>
        <v>4</v>
      </c>
      <c r="BF69" s="61">
        <f>IF(tblPiNAnalysis[[#This Row],[Severity]]&gt;2,tblPiNAnalysis[[#This Row],[Highest PiN]],)</f>
        <v>116376</v>
      </c>
      <c r="BG69" s="191"/>
      <c r="BH69" s="192"/>
      <c r="BI69" s="193">
        <f>COUNTIFS(tblPiNAnalysis[[#This Row],[Number of missing / zero PiNs greater than threshold - Data quality]:[Manual Flag]],"Flagged")</f>
        <v>0</v>
      </c>
      <c r="BJ69" s="96" t="str">
        <f>IF(tblPiNAnalysis[[#This Row],['# Flags]]&gt;0, "Flagged", "")</f>
        <v/>
      </c>
      <c r="BK69" s="326">
        <f>tblPiNAnalysis[[#This Row],[Preliminary PiN]]</f>
        <v>116376</v>
      </c>
      <c r="BL69" s="331"/>
    </row>
    <row r="70" spans="1:64" ht="24.6" x14ac:dyDescent="0.55000000000000004">
      <c r="A7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SS0901</v>
      </c>
      <c r="B70" s="316" t="s">
        <v>382</v>
      </c>
      <c r="C70" s="317" t="s">
        <v>383</v>
      </c>
      <c r="D70" s="317" t="s">
        <v>384</v>
      </c>
      <c r="E70" s="105" t="s">
        <v>385</v>
      </c>
      <c r="F70" s="100"/>
      <c r="G70" s="34"/>
      <c r="H70" s="34"/>
      <c r="I70" s="97">
        <v>47398.331065600592</v>
      </c>
      <c r="J70" s="97" t="s">
        <v>412</v>
      </c>
      <c r="K70" s="318">
        <v>29770</v>
      </c>
      <c r="L70" s="319">
        <v>9690.8068186849396</v>
      </c>
      <c r="M70" s="319">
        <v>14544.814203475513</v>
      </c>
      <c r="N70" s="319">
        <v>14505.466379567835</v>
      </c>
      <c r="O70" s="319">
        <v>24636.291496195918</v>
      </c>
      <c r="P70" s="319">
        <v>33053</v>
      </c>
      <c r="Q70" s="320">
        <v>22751.198911488282</v>
      </c>
      <c r="R70" s="319">
        <v>33793.25455603005</v>
      </c>
      <c r="S70" s="319">
        <v>18751</v>
      </c>
      <c r="T70" s="319">
        <v>18071</v>
      </c>
      <c r="U70" s="319">
        <v>9919</v>
      </c>
      <c r="V70" s="319">
        <v>13110</v>
      </c>
      <c r="W70" s="321">
        <f>IFERROR(IF(tblPiNAnalysis[[#This Row],[CCCM]]="", "", MROUND(tblPiNAnalysis[[#This Row],[CCCM]]/tblPiNAnalysis[[#This Row],[Affected population projection 2026]], 0.05)), "")</f>
        <v>0.65</v>
      </c>
      <c r="X70" s="322">
        <f>IFERROR(IF(tblPiNAnalysis[[#This Row],[Education]]="", "", MROUND(tblPiNAnalysis[[#This Row],[Education]]/tblPiNAnalysis[[#This Row],[Affected population projection 2026]], 0.05)), "")</f>
        <v>0.2</v>
      </c>
      <c r="Y70" s="322">
        <f>IFERROR(IF(tblPiNAnalysis[[#This Row],[Nutrition]]="", "", MROUND(tblPiNAnalysis[[#This Row],[Nutrition]]/tblPiNAnalysis[[#This Row],[Affected population projection 2026]], 0.05)), "")</f>
        <v>0.30000000000000004</v>
      </c>
      <c r="Z70" s="322">
        <f>IFERROR(IF(tblPiNAnalysis[[#This Row],[Food Security]]="", "", MROUND(tblPiNAnalysis[[#This Row],[Food Security]]/tblPiNAnalysis[[#This Row],[Affected population projection 2026]], 0.05)), "")</f>
        <v>0.30000000000000004</v>
      </c>
      <c r="AA70" s="322">
        <f>IFERROR(IF(tblPiNAnalysis[[#This Row],[Health]]="", "", MROUND(tblPiNAnalysis[[#This Row],[Health]]/tblPiNAnalysis[[#This Row],[Affected population projection 2026]], 0.05)), "")</f>
        <v>0.5</v>
      </c>
      <c r="AB70" s="323">
        <f>IFERROR(IF(tblPiNAnalysis[[#This Row],[Overarching Protection]]="", "", MROUND(tblPiNAnalysis[[#This Row],[Overarching Protection]]/tblPiNAnalysis[[#This Row],[Affected population projection 2026]], 0.05)), "")</f>
        <v>0.70000000000000007</v>
      </c>
      <c r="AC70" s="323">
        <f>IFERROR(IF(tblPiNAnalysis[[#This Row],[Shelter]]="", "", MROUND(tblPiNAnalysis[[#This Row],[Shelter]]/tblPiNAnalysis[[#This Row],[Affected population projection 2026]], 0.05)), "")</f>
        <v>0.5</v>
      </c>
      <c r="AD70" s="324">
        <f>IFERROR(IF(tblPiNAnalysis[[#This Row],[WASH]]="", "", MROUND(tblPiNAnalysis[[#This Row],[WASH]]/tblPiNAnalysis[[#This Row],[Affected population projection 2026]], 0.05)), "")</f>
        <v>0.70000000000000007</v>
      </c>
      <c r="AE70" s="322">
        <f>IFERROR(MROUND(tblPiNAnalysis[[#This Row],[CP]]/tblPiNAnalysis[[#This Row],[Affected population projection 2026]], 0.05), "")</f>
        <v>0.4</v>
      </c>
      <c r="AF70" s="322">
        <f>IFERROR(MROUND(tblPiNAnalysis[[#This Row],[GBV]]/tblPiNAnalysis[[#This Row],[Affected population projection 2026]], 0.05), "")</f>
        <v>0.4</v>
      </c>
      <c r="AG70" s="322">
        <f>IFERROR(MROUND(tblPiNAnalysis[[#This Row],[Mine Action]]/tblPiNAnalysis[[#This Row],[Affected population projection 2026]], 0.05), "")</f>
        <v>0.2</v>
      </c>
      <c r="AH70" s="322">
        <f>IFERROR(MROUND(tblPiNAnalysis[[#This Row],[HLP]]/tblPiNAnalysis[[#This Row],[Affected population projection 2026]], 0.05), "")</f>
        <v>0.30000000000000004</v>
      </c>
      <c r="AI70" s="325">
        <f>IFERROR(LARGE(tblPiNAnalysis[[#This Row],[CCCM]:[WASH]], 1), "")</f>
        <v>33793.25455603005</v>
      </c>
      <c r="AJ70" s="326" t="str" cm="1">
        <f t="array" ref="AJ70">IF(tblPiNAnalysis[[#This Row],[Highest PiN]]="", "", _xlfn.TEXTJOIN(CHAR(10), TRUE, IF(tblPiNAnalysis[[#This Row],[Highest PiN]]=tblPiNAnalysis[[#This Row],[CCCM]:[WASH]], tblPiNAnalysis[[#Headers],[CCCM]:[WASH]], "")))</f>
        <v>WASH</v>
      </c>
      <c r="AK70" s="327">
        <f>IF(tblPiNAnalysis[[#This Row],[Highest PiN]]="", "", tblPiNAnalysis[[#This Row],[Highest PiN]]/tblPiNAnalysis[[#This Row],[Affected population projection 2026]])</f>
        <v>0.71296296296296291</v>
      </c>
      <c r="AL70" s="328" t="str">
        <f>IF(SUM(tblPiNAnalysis[[#This Row],[CCCM]:[WASH]])=0, "",IF(COUNTIF(tblPiNAnalysis[[#This Row],[CCCM]:[WASH]],"=0")+COUNTIF(tblPiNAnalysis[[#This Row],[CCCM]:[WASH]],"")&gt;=zero_pin_thresh, "Flagged", ""))</f>
        <v/>
      </c>
      <c r="AM70" s="329" t="str">
        <f>IFERROR(IF(tblPiNAnalysis[[#This Row],[Highest PiN]]="", "", IF(tblPiNAnalysis[[#This Row],[Highest sector(s'') PiN %]]&gt;=flag_pin_perc, "Flagged", "")), "")</f>
        <v/>
      </c>
      <c r="AN70" s="330" t="str" cm="1">
        <f t="array" ref="AN70">IF(tblPiNAnalysis[[#This Row],[Highest PiN]]=0, "",  IF(OR(COUNTIF(tblPiNAnalysis[[#This Row],[Highest sector(s)]],tblSubSectorPopulation[Sector])), "Flagged", ""))</f>
        <v/>
      </c>
      <c r="AO70" s="46" cm="1">
        <f t="array" ref="AO7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33053</v>
      </c>
      <c r="AP70" s="331" t="str" cm="1">
        <f t="array" ref="AP70">IF(tblPiNAnalysis[[#This Row],[2nd Highest PiN]]="", "", _xlfn.TEXTJOIN(CHAR(10), TRUE, IF(tblPiNAnalysis[[#This Row],[2nd Highest PiN]]=tblPiNAnalysis[[#This Row],[CCCM]:[WASH]], tblPiNAnalysis[[#Headers],[CCCM]:[WASH]], "")))</f>
        <v>Overarching Protection</v>
      </c>
      <c r="AQ70" s="36">
        <f>IFERROR(tblPiNAnalysis[[#This Row],[2nd Highest PiN]]/tblPiNAnalysis[[#This Row],[Affected population projection 2026]], "")</f>
        <v>0.6973452283426127</v>
      </c>
      <c r="AR70" s="46">
        <f>IFERROR(tblPiNAnalysis[[#This Row],[Highest PiN]]-tblPiNAnalysis[[#This Row],[2nd Highest PiN]], "")</f>
        <v>740.25455603004957</v>
      </c>
      <c r="AS70" s="39">
        <f>IFERROR(((tblPiNAnalysis[[#This Row],[Highest PiN]]-tblPiNAnalysis[[#This Row],[2nd Highest PiN]])/tblPiNAnalysis[[#This Row],[2nd Highest PiN]]),"")</f>
        <v>2.2395986930991124E-2</v>
      </c>
      <c r="AT70" s="39" t="str" cm="1">
        <f t="array" ref="AT7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0" s="332" cm="1">
        <f t="array" ref="AU7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29770</v>
      </c>
      <c r="AV70" s="190" t="str" cm="1">
        <f t="array" ref="AV70">IF(tblPiNAnalysis[[#This Row],[3rd Highest PiN]]="", "", _xlfn.TEXTJOIN(CHAR(10), TRUE, IF(tblPiNAnalysis[[#This Row],[3rd Highest PiN]]=tblPiNAnalysis[[#This Row],[CCCM]:[WASH]], tblPiNAnalysis[[#Headers],[CCCM]:[WASH]], "")))</f>
        <v>CCCM</v>
      </c>
      <c r="AW70" s="190">
        <f>IFERROR(tblPiNAnalysis[[#This Row],[3rd Highest PiN]]/tblPiNAnalysis[[#This Row],[Affected population projection 2026]], "")</f>
        <v>0.62808118620880349</v>
      </c>
      <c r="AX70" s="45">
        <f>IFERROR(tblPiNAnalysis[[#This Row],[Highest PiN]]-tblPiNAnalysis[[#This Row],[3rd Highest PiN]],"")</f>
        <v>4023.2545560300496</v>
      </c>
      <c r="AY70" s="39">
        <f>IFERROR(tblPiNAnalysis[[#This Row],[Difference of PiN between Highest and 3rd Highest]]/tblPiNAnalysis[[#This Row],[3rd Highest PiN]], "")</f>
        <v>0.13514459375310883</v>
      </c>
      <c r="AZ70" s="330" t="str" cm="1">
        <f t="array" ref="AZ7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0" s="300" t="str" cm="1">
        <f t="array" ref="BA70">IFERROR(IF(tblPiNAnalysis[[#This Row],[ID]]="", "", INDEX(tblPiNHistorical[[CCCM]:[WASH]], MATCH(tblPiNAnalysis[[#This Row],[ID]],tblPiNHistorical[ID], 0),MATCH(_xlfn._xlws.FILTER(tblPiNAnalysis[[#Headers],[CCCM]:[WASH]], tblPiNAnalysis[[#This Row],[Highest PiN]]=tblPiNAnalysis[[#This Row],[CCCM]:[WASH]]), tblPiNHistorical[[#Headers],[CCCM]:[WASH]], 0))), "")</f>
        <v/>
      </c>
      <c r="BB70" s="333" t="str" cm="1">
        <f t="array" ref="BB7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0" s="276" t="str" cm="1">
        <f t="array" ref="BC70">IFERROR(IF(tblPiNAnalysis[[#This Row],[ID]]="", "", INDEX(tblPiNHistorical[[CCCM]:[WASH]], MATCH(tblPiNAnalysis[[#This Row],[ID]],tblPiNHistorical[ID], 0),MATCH(_xlfn._xlws.FILTER(tblPiNAnalysis[[#Headers],[CCCM]:[WASH]], tblPiNAnalysis[[#This Row],[2nd Highest PiN]]=tblPiNAnalysis[[#This Row],[CCCM]:[WASH]]), tblPiNHistorical[[#Headers],[CCCM]:[WASH]], 0))), "")</f>
        <v/>
      </c>
      <c r="BD70" s="334" t="str" cm="1">
        <f t="array" ref="BD7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0" s="276">
        <f>INDEX(tblSeverityAnalysis[Final Severity], MATCH(tblPiNAnalysis[[#This Row],[ID]],tblSeverityAnalysis[ID], 0))</f>
        <v>3</v>
      </c>
      <c r="BF70" s="61">
        <f>IF(tblPiNAnalysis[[#This Row],[Severity]]&gt;2,tblPiNAnalysis[[#This Row],[Highest PiN]],)</f>
        <v>33793.25455603005</v>
      </c>
      <c r="BG70" s="191"/>
      <c r="BH70" s="192"/>
      <c r="BI70" s="193">
        <f>COUNTIFS(tblPiNAnalysis[[#This Row],[Number of missing / zero PiNs greater than threshold - Data quality]:[Manual Flag]],"Flagged")</f>
        <v>0</v>
      </c>
      <c r="BJ70" s="96" t="str">
        <f>IF(tblPiNAnalysis[[#This Row],['# Flags]]&gt;0, "Flagged", "")</f>
        <v/>
      </c>
      <c r="BK70" s="326">
        <f>tblPiNAnalysis[[#This Row],[Preliminary PiN]]</f>
        <v>33793.25455603005</v>
      </c>
      <c r="BL70" s="331"/>
    </row>
    <row r="71" spans="1:64" ht="24.6" x14ac:dyDescent="0.55000000000000004">
      <c r="A7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SS0902</v>
      </c>
      <c r="B71" s="316" t="s">
        <v>382</v>
      </c>
      <c r="C71" s="317" t="s">
        <v>383</v>
      </c>
      <c r="D71" s="317" t="s">
        <v>386</v>
      </c>
      <c r="E71" s="105" t="s">
        <v>387</v>
      </c>
      <c r="F71" s="100"/>
      <c r="G71" s="34"/>
      <c r="H71" s="34"/>
      <c r="I71" s="97">
        <v>7607.0241213008612</v>
      </c>
      <c r="J71" s="97" t="s">
        <v>412</v>
      </c>
      <c r="K71" s="318">
        <v>5708.75</v>
      </c>
      <c r="L71" s="319">
        <v>2002.2181943831749</v>
      </c>
      <c r="M71" s="319">
        <v>2396.4767092317202</v>
      </c>
      <c r="N71" s="319">
        <v>3957.0969391456388</v>
      </c>
      <c r="O71" s="319">
        <v>3945.0872702433403</v>
      </c>
      <c r="P71" s="319">
        <v>5112</v>
      </c>
      <c r="Q71" s="320">
        <v>6684.9605914462118</v>
      </c>
      <c r="R71" s="319">
        <v>1972.1914388557791</v>
      </c>
      <c r="S71" s="319">
        <v>2984</v>
      </c>
      <c r="T71" s="319">
        <v>3074</v>
      </c>
      <c r="U71" s="319">
        <v>1548</v>
      </c>
      <c r="V71" s="319">
        <v>2037</v>
      </c>
      <c r="W71" s="321">
        <f>IFERROR(IF(tblPiNAnalysis[[#This Row],[CCCM]]="", "", MROUND(tblPiNAnalysis[[#This Row],[CCCM]]/tblPiNAnalysis[[#This Row],[Affected population projection 2026]], 0.05)), "")</f>
        <v>0.75</v>
      </c>
      <c r="X71" s="322">
        <f>IFERROR(IF(tblPiNAnalysis[[#This Row],[Education]]="", "", MROUND(tblPiNAnalysis[[#This Row],[Education]]/tblPiNAnalysis[[#This Row],[Affected population projection 2026]], 0.05)), "")</f>
        <v>0.25</v>
      </c>
      <c r="Y71" s="322">
        <f>IFERROR(IF(tblPiNAnalysis[[#This Row],[Nutrition]]="", "", MROUND(tblPiNAnalysis[[#This Row],[Nutrition]]/tblPiNAnalysis[[#This Row],[Affected population projection 2026]], 0.05)), "")</f>
        <v>0.30000000000000004</v>
      </c>
      <c r="Z71" s="322">
        <f>IFERROR(IF(tblPiNAnalysis[[#This Row],[Food Security]]="", "", MROUND(tblPiNAnalysis[[#This Row],[Food Security]]/tblPiNAnalysis[[#This Row],[Affected population projection 2026]], 0.05)), "")</f>
        <v>0.5</v>
      </c>
      <c r="AA71" s="322">
        <f>IFERROR(IF(tblPiNAnalysis[[#This Row],[Health]]="", "", MROUND(tblPiNAnalysis[[#This Row],[Health]]/tblPiNAnalysis[[#This Row],[Affected population projection 2026]], 0.05)), "")</f>
        <v>0.5</v>
      </c>
      <c r="AB71" s="323">
        <f>IFERROR(IF(tblPiNAnalysis[[#This Row],[Overarching Protection]]="", "", MROUND(tblPiNAnalysis[[#This Row],[Overarching Protection]]/tblPiNAnalysis[[#This Row],[Affected population projection 2026]], 0.05)), "")</f>
        <v>0.65</v>
      </c>
      <c r="AC71" s="323">
        <f>IFERROR(IF(tblPiNAnalysis[[#This Row],[Shelter]]="", "", MROUND(tblPiNAnalysis[[#This Row],[Shelter]]/tblPiNAnalysis[[#This Row],[Affected population projection 2026]], 0.05)), "")</f>
        <v>0.9</v>
      </c>
      <c r="AD71" s="324">
        <f>IFERROR(IF(tblPiNAnalysis[[#This Row],[WASH]]="", "", MROUND(tblPiNAnalysis[[#This Row],[WASH]]/tblPiNAnalysis[[#This Row],[Affected population projection 2026]], 0.05)), "")</f>
        <v>0.25</v>
      </c>
      <c r="AE71" s="322">
        <f>IFERROR(MROUND(tblPiNAnalysis[[#This Row],[CP]]/tblPiNAnalysis[[#This Row],[Affected population projection 2026]], 0.05), "")</f>
        <v>0.4</v>
      </c>
      <c r="AF71" s="322">
        <f>IFERROR(MROUND(tblPiNAnalysis[[#This Row],[GBV]]/tblPiNAnalysis[[#This Row],[Affected population projection 2026]], 0.05), "")</f>
        <v>0.4</v>
      </c>
      <c r="AG71" s="322">
        <f>IFERROR(MROUND(tblPiNAnalysis[[#This Row],[Mine Action]]/tblPiNAnalysis[[#This Row],[Affected population projection 2026]], 0.05), "")</f>
        <v>0.2</v>
      </c>
      <c r="AH71" s="322">
        <f>IFERROR(MROUND(tblPiNAnalysis[[#This Row],[HLP]]/tblPiNAnalysis[[#This Row],[Affected population projection 2026]], 0.05), "")</f>
        <v>0.25</v>
      </c>
      <c r="AI71" s="325">
        <f>IFERROR(LARGE(tblPiNAnalysis[[#This Row],[CCCM]:[WASH]], 1), "")</f>
        <v>6684.9605914462118</v>
      </c>
      <c r="AJ71" s="326" t="str" cm="1">
        <f t="array" ref="AJ71">IF(tblPiNAnalysis[[#This Row],[Highest PiN]]="", "", _xlfn.TEXTJOIN(CHAR(10), TRUE, IF(tblPiNAnalysis[[#This Row],[Highest PiN]]=tblPiNAnalysis[[#This Row],[CCCM]:[WASH]], tblPiNAnalysis[[#Headers],[CCCM]:[WASH]], "")))</f>
        <v>Shelter</v>
      </c>
      <c r="AK71" s="327">
        <f>IF(tblPiNAnalysis[[#This Row],[Highest PiN]]="", "", tblPiNAnalysis[[#This Row],[Highest PiN]]/tblPiNAnalysis[[#This Row],[Affected population projection 2026]])</f>
        <v>0.87878787878787878</v>
      </c>
      <c r="AL71" s="328" t="str">
        <f>IF(SUM(tblPiNAnalysis[[#This Row],[CCCM]:[WASH]])=0, "",IF(COUNTIF(tblPiNAnalysis[[#This Row],[CCCM]:[WASH]],"=0")+COUNTIF(tblPiNAnalysis[[#This Row],[CCCM]:[WASH]],"")&gt;=zero_pin_thresh, "Flagged", ""))</f>
        <v/>
      </c>
      <c r="AM71" s="329" t="str">
        <f>IFERROR(IF(tblPiNAnalysis[[#This Row],[Highest PiN]]="", "", IF(tblPiNAnalysis[[#This Row],[Highest sector(s'') PiN %]]&gt;=flag_pin_perc, "Flagged", "")), "")</f>
        <v/>
      </c>
      <c r="AN71" s="330" t="str" cm="1">
        <f t="array" ref="AN71">IF(tblPiNAnalysis[[#This Row],[Highest PiN]]=0, "",  IF(OR(COUNTIF(tblPiNAnalysis[[#This Row],[Highest sector(s)]],tblSubSectorPopulation[Sector])), "Flagged", ""))</f>
        <v/>
      </c>
      <c r="AO71" s="46" cm="1">
        <f t="array" ref="AO7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5708.75</v>
      </c>
      <c r="AP71" s="331" t="str" cm="1">
        <f t="array" ref="AP71">IF(tblPiNAnalysis[[#This Row],[2nd Highest PiN]]="", "", _xlfn.TEXTJOIN(CHAR(10), TRUE, IF(tblPiNAnalysis[[#This Row],[2nd Highest PiN]]=tblPiNAnalysis[[#This Row],[CCCM]:[WASH]], tblPiNAnalysis[[#Headers],[CCCM]:[WASH]], "")))</f>
        <v>CCCM</v>
      </c>
      <c r="AQ71" s="36">
        <f>IFERROR(tblPiNAnalysis[[#This Row],[2nd Highest PiN]]/tblPiNAnalysis[[#This Row],[Affected population projection 2026]], "")</f>
        <v>0.75045772288464341</v>
      </c>
      <c r="AR71" s="46">
        <f>IFERROR(tblPiNAnalysis[[#This Row],[Highest PiN]]-tblPiNAnalysis[[#This Row],[2nd Highest PiN]], "")</f>
        <v>976.21059144621177</v>
      </c>
      <c r="AS71" s="39">
        <f>IFERROR(((tblPiNAnalysis[[#This Row],[Highest PiN]]-tblPiNAnalysis[[#This Row],[2nd Highest PiN]])/tblPiNAnalysis[[#This Row],[2nd Highest PiN]]),"")</f>
        <v>0.17100251218676799</v>
      </c>
      <c r="AT71" s="39" t="str" cm="1">
        <f t="array" ref="AT7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1" s="332" cm="1">
        <f t="array" ref="AU7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5112</v>
      </c>
      <c r="AV71" s="190" t="str" cm="1">
        <f t="array" ref="AV71">IF(tblPiNAnalysis[[#This Row],[3rd Highest PiN]]="", "", _xlfn.TEXTJOIN(CHAR(10), TRUE, IF(tblPiNAnalysis[[#This Row],[3rd Highest PiN]]=tblPiNAnalysis[[#This Row],[CCCM]:[WASH]], tblPiNAnalysis[[#Headers],[CCCM]:[WASH]], "")))</f>
        <v>Overarching Protection</v>
      </c>
      <c r="AW71" s="190">
        <f>IFERROR(tblPiNAnalysis[[#This Row],[3rd Highest PiN]]/tblPiNAnalysis[[#This Row],[Affected population projection 2026]], "")</f>
        <v>0.67201048905387295</v>
      </c>
      <c r="AX71" s="45">
        <f>IFERROR(tblPiNAnalysis[[#This Row],[Highest PiN]]-tblPiNAnalysis[[#This Row],[3rd Highest PiN]],"")</f>
        <v>1572.9605914462118</v>
      </c>
      <c r="AY71" s="39">
        <f>IFERROR(tblPiNAnalysis[[#This Row],[Difference of PiN between Highest and 3rd Highest]]/tblPiNAnalysis[[#This Row],[3rd Highest PiN]], "")</f>
        <v>0.30769964621404766</v>
      </c>
      <c r="AZ71" s="330" t="str" cm="1">
        <f t="array" ref="AZ7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1" s="300" t="str" cm="1">
        <f t="array" ref="BA71">IFERROR(IF(tblPiNAnalysis[[#This Row],[ID]]="", "", INDEX(tblPiNHistorical[[CCCM]:[WASH]], MATCH(tblPiNAnalysis[[#This Row],[ID]],tblPiNHistorical[ID], 0),MATCH(_xlfn._xlws.FILTER(tblPiNAnalysis[[#Headers],[CCCM]:[WASH]], tblPiNAnalysis[[#This Row],[Highest PiN]]=tblPiNAnalysis[[#This Row],[CCCM]:[WASH]]), tblPiNHistorical[[#Headers],[CCCM]:[WASH]], 0))), "")</f>
        <v/>
      </c>
      <c r="BB71" s="333" t="str" cm="1">
        <f t="array" ref="BB7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1" s="276" t="str" cm="1">
        <f t="array" ref="BC71">IFERROR(IF(tblPiNAnalysis[[#This Row],[ID]]="", "", INDEX(tblPiNHistorical[[CCCM]:[WASH]], MATCH(tblPiNAnalysis[[#This Row],[ID]],tblPiNHistorical[ID], 0),MATCH(_xlfn._xlws.FILTER(tblPiNAnalysis[[#Headers],[CCCM]:[WASH]], tblPiNAnalysis[[#This Row],[2nd Highest PiN]]=tblPiNAnalysis[[#This Row],[CCCM]:[WASH]]), tblPiNHistorical[[#Headers],[CCCM]:[WASH]], 0))), "")</f>
        <v/>
      </c>
      <c r="BD71" s="334" t="str" cm="1">
        <f t="array" ref="BD7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1" s="276">
        <f>INDEX(tblSeverityAnalysis[Final Severity], MATCH(tblPiNAnalysis[[#This Row],[ID]],tblSeverityAnalysis[ID], 0))</f>
        <v>3</v>
      </c>
      <c r="BF71" s="61">
        <f>IF(tblPiNAnalysis[[#This Row],[Severity]]&gt;2,tblPiNAnalysis[[#This Row],[Highest PiN]],)</f>
        <v>6684.9605914462118</v>
      </c>
      <c r="BG71" s="191"/>
      <c r="BH71" s="192"/>
      <c r="BI71" s="193">
        <f>COUNTIFS(tblPiNAnalysis[[#This Row],[Number of missing / zero PiNs greater than threshold - Data quality]:[Manual Flag]],"Flagged")</f>
        <v>0</v>
      </c>
      <c r="BJ71" s="96" t="str">
        <f>IF(tblPiNAnalysis[[#This Row],['# Flags]]&gt;0, "Flagged", "")</f>
        <v/>
      </c>
      <c r="BK71" s="326">
        <f>tblPiNAnalysis[[#This Row],[Preliminary PiN]]</f>
        <v>6684.9605914462118</v>
      </c>
      <c r="BL71" s="331"/>
    </row>
    <row r="72" spans="1:64" ht="24.6" x14ac:dyDescent="0.55000000000000004">
      <c r="A7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SS0903</v>
      </c>
      <c r="B72" s="316" t="s">
        <v>382</v>
      </c>
      <c r="C72" s="317" t="s">
        <v>383</v>
      </c>
      <c r="D72" s="317" t="s">
        <v>388</v>
      </c>
      <c r="E72" s="105" t="s">
        <v>389</v>
      </c>
      <c r="F72" s="100"/>
      <c r="G72" s="34"/>
      <c r="H72" s="34"/>
      <c r="I72" s="97">
        <v>17868.652727011824</v>
      </c>
      <c r="J72" s="97" t="s">
        <v>412</v>
      </c>
      <c r="K72" s="318">
        <v>12495</v>
      </c>
      <c r="L72" s="319">
        <v>2435.5974311469831</v>
      </c>
      <c r="M72" s="319">
        <v>5600.7481603773604</v>
      </c>
      <c r="N72" s="319">
        <v>8857.7260476905867</v>
      </c>
      <c r="O72" s="319">
        <v>8138.121867898999</v>
      </c>
      <c r="P72" s="319">
        <v>12461</v>
      </c>
      <c r="Q72" s="320">
        <v>11809.741744864135</v>
      </c>
      <c r="R72" s="319">
        <v>7776.1729460144043</v>
      </c>
      <c r="S72" s="319">
        <v>7452</v>
      </c>
      <c r="T72" s="319">
        <v>2704</v>
      </c>
      <c r="U72" s="319">
        <v>1381</v>
      </c>
      <c r="V72" s="319">
        <v>4924</v>
      </c>
      <c r="W72" s="321">
        <f>IFERROR(IF(tblPiNAnalysis[[#This Row],[CCCM]]="", "", MROUND(tblPiNAnalysis[[#This Row],[CCCM]]/tblPiNAnalysis[[#This Row],[Affected population projection 2026]], 0.05)), "")</f>
        <v>0.70000000000000007</v>
      </c>
      <c r="X72" s="322">
        <f>IFERROR(IF(tblPiNAnalysis[[#This Row],[Education]]="", "", MROUND(tblPiNAnalysis[[#This Row],[Education]]/tblPiNAnalysis[[#This Row],[Affected population projection 2026]], 0.05)), "")</f>
        <v>0.15000000000000002</v>
      </c>
      <c r="Y72" s="322">
        <f>IFERROR(IF(tblPiNAnalysis[[#This Row],[Nutrition]]="", "", MROUND(tblPiNAnalysis[[#This Row],[Nutrition]]/tblPiNAnalysis[[#This Row],[Affected population projection 2026]], 0.05)), "")</f>
        <v>0.30000000000000004</v>
      </c>
      <c r="Z72" s="322">
        <f>IFERROR(IF(tblPiNAnalysis[[#This Row],[Food Security]]="", "", MROUND(tblPiNAnalysis[[#This Row],[Food Security]]/tblPiNAnalysis[[#This Row],[Affected population projection 2026]], 0.05)), "")</f>
        <v>0.5</v>
      </c>
      <c r="AA72" s="322">
        <f>IFERROR(IF(tblPiNAnalysis[[#This Row],[Health]]="", "", MROUND(tblPiNAnalysis[[#This Row],[Health]]/tblPiNAnalysis[[#This Row],[Affected population projection 2026]], 0.05)), "")</f>
        <v>0.45</v>
      </c>
      <c r="AB72" s="323">
        <f>IFERROR(IF(tblPiNAnalysis[[#This Row],[Overarching Protection]]="", "", MROUND(tblPiNAnalysis[[#This Row],[Overarching Protection]]/tblPiNAnalysis[[#This Row],[Affected population projection 2026]], 0.05)), "")</f>
        <v>0.70000000000000007</v>
      </c>
      <c r="AC72" s="323">
        <f>IFERROR(IF(tblPiNAnalysis[[#This Row],[Shelter]]="", "", MROUND(tblPiNAnalysis[[#This Row],[Shelter]]/tblPiNAnalysis[[#This Row],[Affected population projection 2026]], 0.05)), "")</f>
        <v>0.65</v>
      </c>
      <c r="AD72" s="324">
        <f>IFERROR(IF(tblPiNAnalysis[[#This Row],[WASH]]="", "", MROUND(tblPiNAnalysis[[#This Row],[WASH]]/tblPiNAnalysis[[#This Row],[Affected population projection 2026]], 0.05)), "")</f>
        <v>0.45</v>
      </c>
      <c r="AE72" s="322">
        <f>IFERROR(MROUND(tblPiNAnalysis[[#This Row],[CP]]/tblPiNAnalysis[[#This Row],[Affected population projection 2026]], 0.05), "")</f>
        <v>0.4</v>
      </c>
      <c r="AF72" s="322">
        <f>IFERROR(MROUND(tblPiNAnalysis[[#This Row],[GBV]]/tblPiNAnalysis[[#This Row],[Affected population projection 2026]], 0.05), "")</f>
        <v>0.15000000000000002</v>
      </c>
      <c r="AG72" s="322">
        <f>IFERROR(MROUND(tblPiNAnalysis[[#This Row],[Mine Action]]/tblPiNAnalysis[[#This Row],[Affected population projection 2026]], 0.05), "")</f>
        <v>0.1</v>
      </c>
      <c r="AH72" s="322">
        <f>IFERROR(MROUND(tblPiNAnalysis[[#This Row],[HLP]]/tblPiNAnalysis[[#This Row],[Affected population projection 2026]], 0.05), "")</f>
        <v>0.30000000000000004</v>
      </c>
      <c r="AI72" s="325">
        <f>IFERROR(LARGE(tblPiNAnalysis[[#This Row],[CCCM]:[WASH]], 1), "")</f>
        <v>12495</v>
      </c>
      <c r="AJ72" s="326" t="str" cm="1">
        <f t="array" ref="AJ72">IF(tblPiNAnalysis[[#This Row],[Highest PiN]]="", "", _xlfn.TEXTJOIN(CHAR(10), TRUE, IF(tblPiNAnalysis[[#This Row],[Highest PiN]]=tblPiNAnalysis[[#This Row],[CCCM]:[WASH]], tblPiNAnalysis[[#Headers],[CCCM]:[WASH]], "")))</f>
        <v>CCCM</v>
      </c>
      <c r="AK72" s="327">
        <f>IF(tblPiNAnalysis[[#This Row],[Highest PiN]]="", "", tblPiNAnalysis[[#This Row],[Highest PiN]]/tblPiNAnalysis[[#This Row],[Affected population projection 2026]])</f>
        <v>0.69926928408606104</v>
      </c>
      <c r="AL72" s="328" t="str">
        <f>IF(SUM(tblPiNAnalysis[[#This Row],[CCCM]:[WASH]])=0, "",IF(COUNTIF(tblPiNAnalysis[[#This Row],[CCCM]:[WASH]],"=0")+COUNTIF(tblPiNAnalysis[[#This Row],[CCCM]:[WASH]],"")&gt;=zero_pin_thresh, "Flagged", ""))</f>
        <v/>
      </c>
      <c r="AM72" s="329" t="str">
        <f>IFERROR(IF(tblPiNAnalysis[[#This Row],[Highest PiN]]="", "", IF(tblPiNAnalysis[[#This Row],[Highest sector(s'') PiN %]]&gt;=flag_pin_perc, "Flagged", "")), "")</f>
        <v/>
      </c>
      <c r="AN72" s="330" t="str" cm="1">
        <f t="array" ref="AN72">IF(tblPiNAnalysis[[#This Row],[Highest PiN]]=0, "",  IF(OR(COUNTIF(tblPiNAnalysis[[#This Row],[Highest sector(s)]],tblSubSectorPopulation[Sector])), "Flagged", ""))</f>
        <v/>
      </c>
      <c r="AO72" s="46" cm="1">
        <f t="array" ref="AO7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12461</v>
      </c>
      <c r="AP72" s="331" t="str" cm="1">
        <f t="array" ref="AP72">IF(tblPiNAnalysis[[#This Row],[2nd Highest PiN]]="", "", _xlfn.TEXTJOIN(CHAR(10), TRUE, IF(tblPiNAnalysis[[#This Row],[2nd Highest PiN]]=tblPiNAnalysis[[#This Row],[CCCM]:[WASH]], tblPiNAnalysis[[#Headers],[CCCM]:[WASH]], "")))</f>
        <v>Overarching Protection</v>
      </c>
      <c r="AQ72" s="36">
        <f>IFERROR(tblPiNAnalysis[[#This Row],[2nd Highest PiN]]/tblPiNAnalysis[[#This Row],[Affected population projection 2026]], "")</f>
        <v>0.69736651052392207</v>
      </c>
      <c r="AR72" s="46">
        <f>IFERROR(tblPiNAnalysis[[#This Row],[Highest PiN]]-tblPiNAnalysis[[#This Row],[2nd Highest PiN]], "")</f>
        <v>34</v>
      </c>
      <c r="AS72" s="39">
        <f>IFERROR(((tblPiNAnalysis[[#This Row],[Highest PiN]]-tblPiNAnalysis[[#This Row],[2nd Highest PiN]])/tblPiNAnalysis[[#This Row],[2nd Highest PiN]]),"")</f>
        <v>2.7285129604365621E-3</v>
      </c>
      <c r="AT72" s="39" t="str" cm="1">
        <f t="array" ref="AT7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2" s="332" cm="1">
        <f t="array" ref="AU7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11809.741744864135</v>
      </c>
      <c r="AV72" s="190" t="str" cm="1">
        <f t="array" ref="AV72">IF(tblPiNAnalysis[[#This Row],[3rd Highest PiN]]="", "", _xlfn.TEXTJOIN(CHAR(10), TRUE, IF(tblPiNAnalysis[[#This Row],[3rd Highest PiN]]=tblPiNAnalysis[[#This Row],[CCCM]:[WASH]], tblPiNAnalysis[[#Headers],[CCCM]:[WASH]], "")))</f>
        <v>Shelter</v>
      </c>
      <c r="AW72" s="190">
        <f>IFERROR(tblPiNAnalysis[[#This Row],[3rd Highest PiN]]/tblPiNAnalysis[[#This Row],[Affected population projection 2026]], "")</f>
        <v>0.66091954022988497</v>
      </c>
      <c r="AX72" s="45">
        <f>IFERROR(tblPiNAnalysis[[#This Row],[Highest PiN]]-tblPiNAnalysis[[#This Row],[3rd Highest PiN]],"")</f>
        <v>685.2582551358646</v>
      </c>
      <c r="AY72" s="39">
        <f>IFERROR(tblPiNAnalysis[[#This Row],[Difference of PiN between Highest and 3rd Highest]]/tblPiNAnalysis[[#This Row],[3rd Highest PiN]], "")</f>
        <v>5.8024829834561982E-2</v>
      </c>
      <c r="AZ72" s="330" t="str" cm="1">
        <f t="array" ref="AZ7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2" s="300" t="str" cm="1">
        <f t="array" ref="BA72">IFERROR(IF(tblPiNAnalysis[[#This Row],[ID]]="", "", INDEX(tblPiNHistorical[[CCCM]:[WASH]], MATCH(tblPiNAnalysis[[#This Row],[ID]],tblPiNHistorical[ID], 0),MATCH(_xlfn._xlws.FILTER(tblPiNAnalysis[[#Headers],[CCCM]:[WASH]], tblPiNAnalysis[[#This Row],[Highest PiN]]=tblPiNAnalysis[[#This Row],[CCCM]:[WASH]]), tblPiNHistorical[[#Headers],[CCCM]:[WASH]], 0))), "")</f>
        <v/>
      </c>
      <c r="BB72" s="333" t="str" cm="1">
        <f t="array" ref="BB7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2" s="276" t="str" cm="1">
        <f t="array" ref="BC72">IFERROR(IF(tblPiNAnalysis[[#This Row],[ID]]="", "", INDEX(tblPiNHistorical[[CCCM]:[WASH]], MATCH(tblPiNAnalysis[[#This Row],[ID]],tblPiNHistorical[ID], 0),MATCH(_xlfn._xlws.FILTER(tblPiNAnalysis[[#Headers],[CCCM]:[WASH]], tblPiNAnalysis[[#This Row],[2nd Highest PiN]]=tblPiNAnalysis[[#This Row],[CCCM]:[WASH]]), tblPiNHistorical[[#Headers],[CCCM]:[WASH]], 0))), "")</f>
        <v/>
      </c>
      <c r="BD72" s="334" t="str" cm="1">
        <f t="array" ref="BD7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2" s="276">
        <f>INDEX(tblSeverityAnalysis[Final Severity], MATCH(tblPiNAnalysis[[#This Row],[ID]],tblSeverityAnalysis[ID], 0))</f>
        <v>3</v>
      </c>
      <c r="BF72" s="61">
        <f>IF(tblPiNAnalysis[[#This Row],[Severity]]&gt;2,tblPiNAnalysis[[#This Row],[Highest PiN]],)</f>
        <v>12495</v>
      </c>
      <c r="BG72" s="191"/>
      <c r="BH72" s="192"/>
      <c r="BI72" s="193">
        <f>COUNTIFS(tblPiNAnalysis[[#This Row],[Number of missing / zero PiNs greater than threshold - Data quality]:[Manual Flag]],"Flagged")</f>
        <v>0</v>
      </c>
      <c r="BJ72" s="96" t="str">
        <f>IF(tblPiNAnalysis[[#This Row],['# Flags]]&gt;0, "Flagged", "")</f>
        <v/>
      </c>
      <c r="BK72" s="326">
        <f>tblPiNAnalysis[[#This Row],[Preliminary PiN]]</f>
        <v>12495</v>
      </c>
      <c r="BL72" s="331"/>
    </row>
    <row r="73" spans="1:64" ht="24.6" x14ac:dyDescent="0.55000000000000004">
      <c r="A7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SS1001</v>
      </c>
      <c r="B73" s="316" t="s">
        <v>390</v>
      </c>
      <c r="C73" s="317" t="s">
        <v>391</v>
      </c>
      <c r="D73" s="317" t="s">
        <v>392</v>
      </c>
      <c r="E73" s="105" t="s">
        <v>393</v>
      </c>
      <c r="F73" s="100"/>
      <c r="G73" s="34"/>
      <c r="H73" s="34"/>
      <c r="I73" s="97">
        <v>41205.344743342968</v>
      </c>
      <c r="J73" s="97" t="s">
        <v>412</v>
      </c>
      <c r="K73" s="318">
        <v>28443.75</v>
      </c>
      <c r="L73" s="319">
        <v>9063.5482324180903</v>
      </c>
      <c r="M73" s="319">
        <v>15443.460454234011</v>
      </c>
      <c r="N73" s="319">
        <v>7366.4824054815472</v>
      </c>
      <c r="O73" s="319">
        <v>20365.728284970235</v>
      </c>
      <c r="P73" s="319">
        <v>27390</v>
      </c>
      <c r="Q73" s="320">
        <v>32680.101003340977</v>
      </c>
      <c r="R73" s="319">
        <v>30522.477587661459</v>
      </c>
      <c r="S73" s="319">
        <v>6382</v>
      </c>
      <c r="T73" s="319">
        <v>6374</v>
      </c>
      <c r="U73" s="319">
        <v>3351</v>
      </c>
      <c r="V73" s="319">
        <v>10152</v>
      </c>
      <c r="W73" s="321">
        <f>IFERROR(IF(tblPiNAnalysis[[#This Row],[CCCM]]="", "", MROUND(tblPiNAnalysis[[#This Row],[CCCM]]/tblPiNAnalysis[[#This Row],[Affected population projection 2026]], 0.05)), "")</f>
        <v>0.70000000000000007</v>
      </c>
      <c r="X73" s="322">
        <f>IFERROR(IF(tblPiNAnalysis[[#This Row],[Education]]="", "", MROUND(tblPiNAnalysis[[#This Row],[Education]]/tblPiNAnalysis[[#This Row],[Affected population projection 2026]], 0.05)), "")</f>
        <v>0.2</v>
      </c>
      <c r="Y73" s="322">
        <f>IFERROR(IF(tblPiNAnalysis[[#This Row],[Nutrition]]="", "", MROUND(tblPiNAnalysis[[#This Row],[Nutrition]]/tblPiNAnalysis[[#This Row],[Affected population projection 2026]], 0.05)), "")</f>
        <v>0.35000000000000003</v>
      </c>
      <c r="Z73" s="322">
        <f>IFERROR(IF(tblPiNAnalysis[[#This Row],[Food Security]]="", "", MROUND(tblPiNAnalysis[[#This Row],[Food Security]]/tblPiNAnalysis[[#This Row],[Affected population projection 2026]], 0.05)), "")</f>
        <v>0.2</v>
      </c>
      <c r="AA73" s="322">
        <f>IFERROR(IF(tblPiNAnalysis[[#This Row],[Health]]="", "", MROUND(tblPiNAnalysis[[#This Row],[Health]]/tblPiNAnalysis[[#This Row],[Affected population projection 2026]], 0.05)), "")</f>
        <v>0.5</v>
      </c>
      <c r="AB73" s="323">
        <f>IFERROR(IF(tblPiNAnalysis[[#This Row],[Overarching Protection]]="", "", MROUND(tblPiNAnalysis[[#This Row],[Overarching Protection]]/tblPiNAnalysis[[#This Row],[Affected population projection 2026]], 0.05)), "")</f>
        <v>0.65</v>
      </c>
      <c r="AC73" s="323">
        <f>IFERROR(IF(tblPiNAnalysis[[#This Row],[Shelter]]="", "", MROUND(tblPiNAnalysis[[#This Row],[Shelter]]/tblPiNAnalysis[[#This Row],[Affected population projection 2026]], 0.05)), "")</f>
        <v>0.8</v>
      </c>
      <c r="AD73" s="324">
        <f>IFERROR(IF(tblPiNAnalysis[[#This Row],[WASH]]="", "", MROUND(tblPiNAnalysis[[#This Row],[WASH]]/tblPiNAnalysis[[#This Row],[Affected population projection 2026]], 0.05)), "")</f>
        <v>0.75</v>
      </c>
      <c r="AE73" s="322">
        <f>IFERROR(MROUND(tblPiNAnalysis[[#This Row],[CP]]/tblPiNAnalysis[[#This Row],[Affected population projection 2026]], 0.05), "")</f>
        <v>0.15000000000000002</v>
      </c>
      <c r="AF73" s="322">
        <f>IFERROR(MROUND(tblPiNAnalysis[[#This Row],[GBV]]/tblPiNAnalysis[[#This Row],[Affected population projection 2026]], 0.05), "")</f>
        <v>0.15000000000000002</v>
      </c>
      <c r="AG73" s="322">
        <f>IFERROR(MROUND(tblPiNAnalysis[[#This Row],[Mine Action]]/tblPiNAnalysis[[#This Row],[Affected population projection 2026]], 0.05), "")</f>
        <v>0.1</v>
      </c>
      <c r="AH73" s="322">
        <f>IFERROR(MROUND(tblPiNAnalysis[[#This Row],[HLP]]/tblPiNAnalysis[[#This Row],[Affected population projection 2026]], 0.05), "")</f>
        <v>0.25</v>
      </c>
      <c r="AI73" s="325">
        <f>IFERROR(LARGE(tblPiNAnalysis[[#This Row],[CCCM]:[WASH]], 1), "")</f>
        <v>32680.101003340977</v>
      </c>
      <c r="AJ73" s="326" t="str" cm="1">
        <f t="array" ref="AJ73">IF(tblPiNAnalysis[[#This Row],[Highest PiN]]="", "", _xlfn.TEXTJOIN(CHAR(10), TRUE, IF(tblPiNAnalysis[[#This Row],[Highest PiN]]=tblPiNAnalysis[[#This Row],[CCCM]:[WASH]], tblPiNAnalysis[[#Headers],[CCCM]:[WASH]], "")))</f>
        <v>Shelter</v>
      </c>
      <c r="AK73" s="327">
        <f>IF(tblPiNAnalysis[[#This Row],[Highest PiN]]="", "", tblPiNAnalysis[[#This Row],[Highest PiN]]/tblPiNAnalysis[[#This Row],[Affected population projection 2026]])</f>
        <v>0.7931034482758621</v>
      </c>
      <c r="AL73" s="328" t="str">
        <f>IF(SUM(tblPiNAnalysis[[#This Row],[CCCM]:[WASH]])=0, "",IF(COUNTIF(tblPiNAnalysis[[#This Row],[CCCM]:[WASH]],"=0")+COUNTIF(tblPiNAnalysis[[#This Row],[CCCM]:[WASH]],"")&gt;=zero_pin_thresh, "Flagged", ""))</f>
        <v/>
      </c>
      <c r="AM73" s="329" t="str">
        <f>IFERROR(IF(tblPiNAnalysis[[#This Row],[Highest PiN]]="", "", IF(tblPiNAnalysis[[#This Row],[Highest sector(s'') PiN %]]&gt;=flag_pin_perc, "Flagged", "")), "")</f>
        <v/>
      </c>
      <c r="AN73" s="330" t="str" cm="1">
        <f t="array" ref="AN73">IF(tblPiNAnalysis[[#This Row],[Highest PiN]]=0, "",  IF(OR(COUNTIF(tblPiNAnalysis[[#This Row],[Highest sector(s)]],tblSubSectorPopulation[Sector])), "Flagged", ""))</f>
        <v/>
      </c>
      <c r="AO73" s="46" cm="1">
        <f t="array" ref="AO7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30522.477587661459</v>
      </c>
      <c r="AP73" s="331" t="str" cm="1">
        <f t="array" ref="AP73">IF(tblPiNAnalysis[[#This Row],[2nd Highest PiN]]="", "", _xlfn.TEXTJOIN(CHAR(10), TRUE, IF(tblPiNAnalysis[[#This Row],[2nd Highest PiN]]=tblPiNAnalysis[[#This Row],[CCCM]:[WASH]], tblPiNAnalysis[[#Headers],[CCCM]:[WASH]], "")))</f>
        <v>WASH</v>
      </c>
      <c r="AQ73" s="36">
        <f>IFERROR(tblPiNAnalysis[[#This Row],[2nd Highest PiN]]/tblPiNAnalysis[[#This Row],[Affected population projection 2026]], "")</f>
        <v>0.7407407407407407</v>
      </c>
      <c r="AR73" s="46">
        <f>IFERROR(tblPiNAnalysis[[#This Row],[Highest PiN]]-tblPiNAnalysis[[#This Row],[2nd Highest PiN]], "")</f>
        <v>2157.6234156795181</v>
      </c>
      <c r="AS73" s="39">
        <f>IFERROR(((tblPiNAnalysis[[#This Row],[Highest PiN]]-tblPiNAnalysis[[#This Row],[2nd Highest PiN]])/tblPiNAnalysis[[#This Row],[2nd Highest PiN]]),"")</f>
        <v>7.0689655172413837E-2</v>
      </c>
      <c r="AT73" s="39" t="str" cm="1">
        <f t="array" ref="AT7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3" s="332" cm="1">
        <f t="array" ref="AU7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28443.75</v>
      </c>
      <c r="AV73" s="190" t="str" cm="1">
        <f t="array" ref="AV73">IF(tblPiNAnalysis[[#This Row],[3rd Highest PiN]]="", "", _xlfn.TEXTJOIN(CHAR(10), TRUE, IF(tblPiNAnalysis[[#This Row],[3rd Highest PiN]]=tblPiNAnalysis[[#This Row],[CCCM]:[WASH]], tblPiNAnalysis[[#Headers],[CCCM]:[WASH]], "")))</f>
        <v>CCCM</v>
      </c>
      <c r="AW73" s="190">
        <f>IFERROR(tblPiNAnalysis[[#This Row],[3rd Highest PiN]]/tblPiNAnalysis[[#This Row],[Affected population projection 2026]], "")</f>
        <v>0.69029273209988862</v>
      </c>
      <c r="AX73" s="45">
        <f>IFERROR(tblPiNAnalysis[[#This Row],[Highest PiN]]-tblPiNAnalysis[[#This Row],[3rd Highest PiN]],"")</f>
        <v>4236.3510033409766</v>
      </c>
      <c r="AY73" s="39">
        <f>IFERROR(tblPiNAnalysis[[#This Row],[Difference of PiN between Highest and 3rd Highest]]/tblPiNAnalysis[[#This Row],[3rd Highest PiN]], "")</f>
        <v>0.14893785113921254</v>
      </c>
      <c r="AZ73" s="330" t="str" cm="1">
        <f t="array" ref="AZ7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3" s="300" t="str" cm="1">
        <f t="array" ref="BA73">IFERROR(IF(tblPiNAnalysis[[#This Row],[ID]]="", "", INDEX(tblPiNHistorical[[CCCM]:[WASH]], MATCH(tblPiNAnalysis[[#This Row],[ID]],tblPiNHistorical[ID], 0),MATCH(_xlfn._xlws.FILTER(tblPiNAnalysis[[#Headers],[CCCM]:[WASH]], tblPiNAnalysis[[#This Row],[Highest PiN]]=tblPiNAnalysis[[#This Row],[CCCM]:[WASH]]), tblPiNHistorical[[#Headers],[CCCM]:[WASH]], 0))), "")</f>
        <v/>
      </c>
      <c r="BB73" s="333" t="str" cm="1">
        <f t="array" ref="BB7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3" s="276" t="str" cm="1">
        <f t="array" ref="BC73">IFERROR(IF(tblPiNAnalysis[[#This Row],[ID]]="", "", INDEX(tblPiNHistorical[[CCCM]:[WASH]], MATCH(tblPiNAnalysis[[#This Row],[ID]],tblPiNHistorical[ID], 0),MATCH(_xlfn._xlws.FILTER(tblPiNAnalysis[[#Headers],[CCCM]:[WASH]], tblPiNAnalysis[[#This Row],[2nd Highest PiN]]=tblPiNAnalysis[[#This Row],[CCCM]:[WASH]]), tblPiNHistorical[[#Headers],[CCCM]:[WASH]], 0))), "")</f>
        <v/>
      </c>
      <c r="BD73" s="334" t="str" cm="1">
        <f t="array" ref="BD7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3" s="276">
        <f>INDEX(tblSeverityAnalysis[Final Severity], MATCH(tblPiNAnalysis[[#This Row],[ID]],tblSeverityAnalysis[ID], 0))</f>
        <v>3</v>
      </c>
      <c r="BF73" s="61">
        <f>IF(tblPiNAnalysis[[#This Row],[Severity]]&gt;2,tblPiNAnalysis[[#This Row],[Highest PiN]],)</f>
        <v>32680.101003340977</v>
      </c>
      <c r="BG73" s="191"/>
      <c r="BH73" s="192"/>
      <c r="BI73" s="193">
        <f>COUNTIFS(tblPiNAnalysis[[#This Row],[Number of missing / zero PiNs greater than threshold - Data quality]:[Manual Flag]],"Flagged")</f>
        <v>0</v>
      </c>
      <c r="BJ73" s="96" t="str">
        <f>IF(tblPiNAnalysis[[#This Row],['# Flags]]&gt;0, "Flagged", "")</f>
        <v/>
      </c>
      <c r="BK73" s="326">
        <f>tblPiNAnalysis[[#This Row],[Preliminary PiN]]</f>
        <v>32680.101003340977</v>
      </c>
      <c r="BL73" s="331"/>
    </row>
    <row r="74" spans="1:64" ht="24.6" x14ac:dyDescent="0.55000000000000004">
      <c r="A7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SS1002</v>
      </c>
      <c r="B74" s="316" t="s">
        <v>390</v>
      </c>
      <c r="C74" s="317" t="s">
        <v>391</v>
      </c>
      <c r="D74" s="317" t="s">
        <v>394</v>
      </c>
      <c r="E74" s="105" t="s">
        <v>395</v>
      </c>
      <c r="F74" s="100"/>
      <c r="G74" s="34"/>
      <c r="H74" s="34"/>
      <c r="I74" s="97">
        <v>7434.8763775539119</v>
      </c>
      <c r="J74" s="97" t="s">
        <v>412</v>
      </c>
      <c r="K74" s="318">
        <v>0</v>
      </c>
      <c r="L74" s="319">
        <v>1065.1352596011284</v>
      </c>
      <c r="M74" s="319">
        <v>2509.5581547841798</v>
      </c>
      <c r="N74" s="319">
        <v>1873.3688115038503</v>
      </c>
      <c r="O74" s="319">
        <v>3232.081327090078</v>
      </c>
      <c r="P74" s="319">
        <v>5205</v>
      </c>
      <c r="Q74" s="320">
        <v>4956.5842517026076</v>
      </c>
      <c r="R74" s="319">
        <v>6333.4132105088875</v>
      </c>
      <c r="S74" s="319">
        <v>1089</v>
      </c>
      <c r="T74" s="319">
        <v>3151</v>
      </c>
      <c r="U74" s="319">
        <v>627</v>
      </c>
      <c r="V74" s="319">
        <v>2305</v>
      </c>
      <c r="W74" s="321">
        <f>IFERROR(IF(tblPiNAnalysis[[#This Row],[CCCM]]="", "", MROUND(tblPiNAnalysis[[#This Row],[CCCM]]/tblPiNAnalysis[[#This Row],[Affected population projection 2026]], 0.05)), "")</f>
        <v>0</v>
      </c>
      <c r="X74" s="322">
        <f>IFERROR(IF(tblPiNAnalysis[[#This Row],[Education]]="", "", MROUND(tblPiNAnalysis[[#This Row],[Education]]/tblPiNAnalysis[[#This Row],[Affected population projection 2026]], 0.05)), "")</f>
        <v>0.15000000000000002</v>
      </c>
      <c r="Y74" s="322">
        <f>IFERROR(IF(tblPiNAnalysis[[#This Row],[Nutrition]]="", "", MROUND(tblPiNAnalysis[[#This Row],[Nutrition]]/tblPiNAnalysis[[#This Row],[Affected population projection 2026]], 0.05)), "")</f>
        <v>0.35000000000000003</v>
      </c>
      <c r="Z74" s="322">
        <f>IFERROR(IF(tblPiNAnalysis[[#This Row],[Food Security]]="", "", MROUND(tblPiNAnalysis[[#This Row],[Food Security]]/tblPiNAnalysis[[#This Row],[Affected population projection 2026]], 0.05)), "")</f>
        <v>0.25</v>
      </c>
      <c r="AA74" s="322">
        <f>IFERROR(IF(tblPiNAnalysis[[#This Row],[Health]]="", "", MROUND(tblPiNAnalysis[[#This Row],[Health]]/tblPiNAnalysis[[#This Row],[Affected population projection 2026]], 0.05)), "")</f>
        <v>0.45</v>
      </c>
      <c r="AB74" s="323">
        <f>IFERROR(IF(tblPiNAnalysis[[#This Row],[Overarching Protection]]="", "", MROUND(tblPiNAnalysis[[#This Row],[Overarching Protection]]/tblPiNAnalysis[[#This Row],[Affected population projection 2026]], 0.05)), "")</f>
        <v>0.70000000000000007</v>
      </c>
      <c r="AC74" s="323">
        <f>IFERROR(IF(tblPiNAnalysis[[#This Row],[Shelter]]="", "", MROUND(tblPiNAnalysis[[#This Row],[Shelter]]/tblPiNAnalysis[[#This Row],[Affected population projection 2026]], 0.05)), "")</f>
        <v>0.65</v>
      </c>
      <c r="AD74" s="324">
        <f>IFERROR(IF(tblPiNAnalysis[[#This Row],[WASH]]="", "", MROUND(tblPiNAnalysis[[#This Row],[WASH]]/tblPiNAnalysis[[#This Row],[Affected population projection 2026]], 0.05)), "")</f>
        <v>0.85000000000000009</v>
      </c>
      <c r="AE74" s="322">
        <f>IFERROR(MROUND(tblPiNAnalysis[[#This Row],[CP]]/tblPiNAnalysis[[#This Row],[Affected population projection 2026]], 0.05), "")</f>
        <v>0.15000000000000002</v>
      </c>
      <c r="AF74" s="322">
        <f>IFERROR(MROUND(tblPiNAnalysis[[#This Row],[GBV]]/tblPiNAnalysis[[#This Row],[Affected population projection 2026]], 0.05), "")</f>
        <v>0.4</v>
      </c>
      <c r="AG74" s="322">
        <f>IFERROR(MROUND(tblPiNAnalysis[[#This Row],[Mine Action]]/tblPiNAnalysis[[#This Row],[Affected population projection 2026]], 0.05), "")</f>
        <v>0.1</v>
      </c>
      <c r="AH74" s="322">
        <f>IFERROR(MROUND(tblPiNAnalysis[[#This Row],[HLP]]/tblPiNAnalysis[[#This Row],[Affected population projection 2026]], 0.05), "")</f>
        <v>0.30000000000000004</v>
      </c>
      <c r="AI74" s="325">
        <f>IFERROR(LARGE(tblPiNAnalysis[[#This Row],[CCCM]:[WASH]], 1), "")</f>
        <v>6333.4132105088875</v>
      </c>
      <c r="AJ74" s="326" t="str" cm="1">
        <f t="array" ref="AJ74">IF(tblPiNAnalysis[[#This Row],[Highest PiN]]="", "", _xlfn.TEXTJOIN(CHAR(10), TRUE, IF(tblPiNAnalysis[[#This Row],[Highest PiN]]=tblPiNAnalysis[[#This Row],[CCCM]:[WASH]], tblPiNAnalysis[[#Headers],[CCCM]:[WASH]], "")))</f>
        <v>WASH</v>
      </c>
      <c r="AK74" s="327">
        <f>IF(tblPiNAnalysis[[#This Row],[Highest PiN]]="", "", tblPiNAnalysis[[#This Row],[Highest PiN]]/tblPiNAnalysis[[#This Row],[Affected population projection 2026]])</f>
        <v>0.85185185185185175</v>
      </c>
      <c r="AL74" s="328" t="str">
        <f>IF(SUM(tblPiNAnalysis[[#This Row],[CCCM]:[WASH]])=0, "",IF(COUNTIF(tblPiNAnalysis[[#This Row],[CCCM]:[WASH]],"=0")+COUNTIF(tblPiNAnalysis[[#This Row],[CCCM]:[WASH]],"")&gt;=zero_pin_thresh, "Flagged", ""))</f>
        <v/>
      </c>
      <c r="AM74" s="329" t="str">
        <f>IFERROR(IF(tblPiNAnalysis[[#This Row],[Highest PiN]]="", "", IF(tblPiNAnalysis[[#This Row],[Highest sector(s'') PiN %]]&gt;=flag_pin_perc, "Flagged", "")), "")</f>
        <v/>
      </c>
      <c r="AN74" s="330" t="str" cm="1">
        <f t="array" ref="AN74">IF(tblPiNAnalysis[[#This Row],[Highest PiN]]=0, "",  IF(OR(COUNTIF(tblPiNAnalysis[[#This Row],[Highest sector(s)]],tblSubSectorPopulation[Sector])), "Flagged", ""))</f>
        <v/>
      </c>
      <c r="AO74" s="46" cm="1">
        <f t="array" ref="AO7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5205</v>
      </c>
      <c r="AP74" s="331" t="str" cm="1">
        <f t="array" ref="AP74">IF(tblPiNAnalysis[[#This Row],[2nd Highest PiN]]="", "", _xlfn.TEXTJOIN(CHAR(10), TRUE, IF(tblPiNAnalysis[[#This Row],[2nd Highest PiN]]=tblPiNAnalysis[[#This Row],[CCCM]:[WASH]], tblPiNAnalysis[[#Headers],[CCCM]:[WASH]], "")))</f>
        <v>Overarching Protection</v>
      </c>
      <c r="AQ74" s="36">
        <f>IFERROR(tblPiNAnalysis[[#This Row],[2nd Highest PiN]]/tblPiNAnalysis[[#This Row],[Affected population projection 2026]], "")</f>
        <v>0.70007888977334343</v>
      </c>
      <c r="AR74" s="46">
        <f>IFERROR(tblPiNAnalysis[[#This Row],[Highest PiN]]-tblPiNAnalysis[[#This Row],[2nd Highest PiN]], "")</f>
        <v>1128.4132105088875</v>
      </c>
      <c r="AS74" s="39">
        <f>IFERROR(((tblPiNAnalysis[[#This Row],[Highest PiN]]-tblPiNAnalysis[[#This Row],[2nd Highest PiN]])/tblPiNAnalysis[[#This Row],[2nd Highest PiN]]),"")</f>
        <v>0.21679408463187078</v>
      </c>
      <c r="AT74" s="39" t="str" cm="1">
        <f t="array" ref="AT7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4" s="332" cm="1">
        <f t="array" ref="AU7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4956.5842517026076</v>
      </c>
      <c r="AV74" s="190" t="str" cm="1">
        <f t="array" ref="AV74">IF(tblPiNAnalysis[[#This Row],[3rd Highest PiN]]="", "", _xlfn.TEXTJOIN(CHAR(10), TRUE, IF(tblPiNAnalysis[[#This Row],[3rd Highest PiN]]=tblPiNAnalysis[[#This Row],[CCCM]:[WASH]], tblPiNAnalysis[[#Headers],[CCCM]:[WASH]], "")))</f>
        <v>Shelter</v>
      </c>
      <c r="AW74" s="190">
        <f>IFERROR(tblPiNAnalysis[[#This Row],[3rd Highest PiN]]/tblPiNAnalysis[[#This Row],[Affected population projection 2026]], "")</f>
        <v>0.66666666666666663</v>
      </c>
      <c r="AX74" s="45">
        <f>IFERROR(tblPiNAnalysis[[#This Row],[Highest PiN]]-tblPiNAnalysis[[#This Row],[3rd Highest PiN]],"")</f>
        <v>1376.8289588062798</v>
      </c>
      <c r="AY74" s="39">
        <f>IFERROR(tblPiNAnalysis[[#This Row],[Difference of PiN between Highest and 3rd Highest]]/tblPiNAnalysis[[#This Row],[3rd Highest PiN]], "")</f>
        <v>0.27777777777777779</v>
      </c>
      <c r="AZ74" s="330" t="str" cm="1">
        <f t="array" ref="AZ7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4" s="300" t="str" cm="1">
        <f t="array" ref="BA74">IFERROR(IF(tblPiNAnalysis[[#This Row],[ID]]="", "", INDEX(tblPiNHistorical[[CCCM]:[WASH]], MATCH(tblPiNAnalysis[[#This Row],[ID]],tblPiNHistorical[ID], 0),MATCH(_xlfn._xlws.FILTER(tblPiNAnalysis[[#Headers],[CCCM]:[WASH]], tblPiNAnalysis[[#This Row],[Highest PiN]]=tblPiNAnalysis[[#This Row],[CCCM]:[WASH]]), tblPiNHistorical[[#Headers],[CCCM]:[WASH]], 0))), "")</f>
        <v/>
      </c>
      <c r="BB74" s="333" t="str" cm="1">
        <f t="array" ref="BB7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4" s="276" t="str" cm="1">
        <f t="array" ref="BC74">IFERROR(IF(tblPiNAnalysis[[#This Row],[ID]]="", "", INDEX(tblPiNHistorical[[CCCM]:[WASH]], MATCH(tblPiNAnalysis[[#This Row],[ID]],tblPiNHistorical[ID], 0),MATCH(_xlfn._xlws.FILTER(tblPiNAnalysis[[#Headers],[CCCM]:[WASH]], tblPiNAnalysis[[#This Row],[2nd Highest PiN]]=tblPiNAnalysis[[#This Row],[CCCM]:[WASH]]), tblPiNHistorical[[#Headers],[CCCM]:[WASH]], 0))), "")</f>
        <v/>
      </c>
      <c r="BD74" s="334" t="str" cm="1">
        <f t="array" ref="BD7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4" s="276">
        <f>INDEX(tblSeverityAnalysis[Final Severity], MATCH(tblPiNAnalysis[[#This Row],[ID]],tblSeverityAnalysis[ID], 0))</f>
        <v>3</v>
      </c>
      <c r="BF74" s="61">
        <f>IF(tblPiNAnalysis[[#This Row],[Severity]]&gt;2,tblPiNAnalysis[[#This Row],[Highest PiN]],)</f>
        <v>6333.4132105088875</v>
      </c>
      <c r="BG74" s="191"/>
      <c r="BH74" s="192"/>
      <c r="BI74" s="193">
        <f>COUNTIFS(tblPiNAnalysis[[#This Row],[Number of missing / zero PiNs greater than threshold - Data quality]:[Manual Flag]],"Flagged")</f>
        <v>0</v>
      </c>
      <c r="BJ74" s="96" t="str">
        <f>IF(tblPiNAnalysis[[#This Row],['# Flags]]&gt;0, "Flagged", "")</f>
        <v/>
      </c>
      <c r="BK74" s="326">
        <f>tblPiNAnalysis[[#This Row],[Preliminary PiN]]</f>
        <v>6333.4132105088875</v>
      </c>
      <c r="BL74" s="331"/>
    </row>
    <row r="75" spans="1:64" ht="24.6" x14ac:dyDescent="0.55000000000000004">
      <c r="A7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SS1003</v>
      </c>
      <c r="B75" s="316" t="s">
        <v>390</v>
      </c>
      <c r="C75" s="317" t="s">
        <v>391</v>
      </c>
      <c r="D75" s="317" t="s">
        <v>396</v>
      </c>
      <c r="E75" s="105" t="s">
        <v>397</v>
      </c>
      <c r="F75" s="100"/>
      <c r="G75" s="34"/>
      <c r="H75" s="34"/>
      <c r="I75" s="97">
        <v>11522.074781291758</v>
      </c>
      <c r="J75" s="97" t="s">
        <v>412</v>
      </c>
      <c r="K75" s="318">
        <v>0</v>
      </c>
      <c r="L75" s="319">
        <v>1799.3171552409522</v>
      </c>
      <c r="M75" s="319">
        <v>5074.6842863832189</v>
      </c>
      <c r="N75" s="319">
        <v>2922.2520778946996</v>
      </c>
      <c r="O75" s="319">
        <v>4525.3940897146904</v>
      </c>
      <c r="P75" s="319">
        <v>7305</v>
      </c>
      <c r="Q75" s="320">
        <v>5761.037390645879</v>
      </c>
      <c r="R75" s="319">
        <v>8321.4984531551581</v>
      </c>
      <c r="S75" s="319">
        <v>4142</v>
      </c>
      <c r="T75" s="319">
        <v>4327</v>
      </c>
      <c r="U75" s="319">
        <v>5365</v>
      </c>
      <c r="V75" s="319">
        <v>3014</v>
      </c>
      <c r="W75" s="321">
        <f>IFERROR(IF(tblPiNAnalysis[[#This Row],[CCCM]]="", "", MROUND(tblPiNAnalysis[[#This Row],[CCCM]]/tblPiNAnalysis[[#This Row],[Affected population projection 2026]], 0.05)), "")</f>
        <v>0</v>
      </c>
      <c r="X75" s="322">
        <f>IFERROR(IF(tblPiNAnalysis[[#This Row],[Education]]="", "", MROUND(tblPiNAnalysis[[#This Row],[Education]]/tblPiNAnalysis[[#This Row],[Affected population projection 2026]], 0.05)), "")</f>
        <v>0.15000000000000002</v>
      </c>
      <c r="Y75" s="322">
        <f>IFERROR(IF(tblPiNAnalysis[[#This Row],[Nutrition]]="", "", MROUND(tblPiNAnalysis[[#This Row],[Nutrition]]/tblPiNAnalysis[[#This Row],[Affected population projection 2026]], 0.05)), "")</f>
        <v>0.45</v>
      </c>
      <c r="Z75" s="322">
        <f>IFERROR(IF(tblPiNAnalysis[[#This Row],[Food Security]]="", "", MROUND(tblPiNAnalysis[[#This Row],[Food Security]]/tblPiNAnalysis[[#This Row],[Affected population projection 2026]], 0.05)), "")</f>
        <v>0.25</v>
      </c>
      <c r="AA75" s="322">
        <f>IFERROR(IF(tblPiNAnalysis[[#This Row],[Health]]="", "", MROUND(tblPiNAnalysis[[#This Row],[Health]]/tblPiNAnalysis[[#This Row],[Affected population projection 2026]], 0.05)), "")</f>
        <v>0.4</v>
      </c>
      <c r="AB75" s="323">
        <f>IFERROR(IF(tblPiNAnalysis[[#This Row],[Overarching Protection]]="", "", MROUND(tblPiNAnalysis[[#This Row],[Overarching Protection]]/tblPiNAnalysis[[#This Row],[Affected population projection 2026]], 0.05)), "")</f>
        <v>0.65</v>
      </c>
      <c r="AC75" s="323">
        <f>IFERROR(IF(tblPiNAnalysis[[#This Row],[Shelter]]="", "", MROUND(tblPiNAnalysis[[#This Row],[Shelter]]/tblPiNAnalysis[[#This Row],[Affected population projection 2026]], 0.05)), "")</f>
        <v>0.5</v>
      </c>
      <c r="AD75" s="324">
        <f>IFERROR(IF(tblPiNAnalysis[[#This Row],[WASH]]="", "", MROUND(tblPiNAnalysis[[#This Row],[WASH]]/tblPiNAnalysis[[#This Row],[Affected population projection 2026]], 0.05)), "")</f>
        <v>0.70000000000000007</v>
      </c>
      <c r="AE75" s="322">
        <f>IFERROR(MROUND(tblPiNAnalysis[[#This Row],[CP]]/tblPiNAnalysis[[#This Row],[Affected population projection 2026]], 0.05), "")</f>
        <v>0.35000000000000003</v>
      </c>
      <c r="AF75" s="322">
        <f>IFERROR(MROUND(tblPiNAnalysis[[#This Row],[GBV]]/tblPiNAnalysis[[#This Row],[Affected population projection 2026]], 0.05), "")</f>
        <v>0.4</v>
      </c>
      <c r="AG75" s="322">
        <f>IFERROR(MROUND(tblPiNAnalysis[[#This Row],[Mine Action]]/tblPiNAnalysis[[#This Row],[Affected population projection 2026]], 0.05), "")</f>
        <v>0.45</v>
      </c>
      <c r="AH75" s="322">
        <f>IFERROR(MROUND(tblPiNAnalysis[[#This Row],[HLP]]/tblPiNAnalysis[[#This Row],[Affected population projection 2026]], 0.05), "")</f>
        <v>0.25</v>
      </c>
      <c r="AI75" s="325">
        <f>IFERROR(LARGE(tblPiNAnalysis[[#This Row],[CCCM]:[WASH]], 1), "")</f>
        <v>8321.4984531551581</v>
      </c>
      <c r="AJ75" s="326" t="str" cm="1">
        <f t="array" ref="AJ75">IF(tblPiNAnalysis[[#This Row],[Highest PiN]]="", "", _xlfn.TEXTJOIN(CHAR(10), TRUE, IF(tblPiNAnalysis[[#This Row],[Highest PiN]]=tblPiNAnalysis[[#This Row],[CCCM]:[WASH]], tblPiNAnalysis[[#Headers],[CCCM]:[WASH]], "")))</f>
        <v>WASH</v>
      </c>
      <c r="AK75" s="327">
        <f>IF(tblPiNAnalysis[[#This Row],[Highest PiN]]="", "", tblPiNAnalysis[[#This Row],[Highest PiN]]/tblPiNAnalysis[[#This Row],[Affected population projection 2026]])</f>
        <v>0.72222222222222221</v>
      </c>
      <c r="AL75" s="328" t="str">
        <f>IF(SUM(tblPiNAnalysis[[#This Row],[CCCM]:[WASH]])=0, "",IF(COUNTIF(tblPiNAnalysis[[#This Row],[CCCM]:[WASH]],"=0")+COUNTIF(tblPiNAnalysis[[#This Row],[CCCM]:[WASH]],"")&gt;=zero_pin_thresh, "Flagged", ""))</f>
        <v/>
      </c>
      <c r="AM75" s="329" t="str">
        <f>IFERROR(IF(tblPiNAnalysis[[#This Row],[Highest PiN]]="", "", IF(tblPiNAnalysis[[#This Row],[Highest sector(s'') PiN %]]&gt;=flag_pin_perc, "Flagged", "")), "")</f>
        <v/>
      </c>
      <c r="AN75" s="330" t="str" cm="1">
        <f t="array" ref="AN75">IF(tblPiNAnalysis[[#This Row],[Highest PiN]]=0, "",  IF(OR(COUNTIF(tblPiNAnalysis[[#This Row],[Highest sector(s)]],tblSubSectorPopulation[Sector])), "Flagged", ""))</f>
        <v/>
      </c>
      <c r="AO75" s="46" cm="1">
        <f t="array" ref="AO7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7305</v>
      </c>
      <c r="AP75" s="331" t="str" cm="1">
        <f t="array" ref="AP75">IF(tblPiNAnalysis[[#This Row],[2nd Highest PiN]]="", "", _xlfn.TEXTJOIN(CHAR(10), TRUE, IF(tblPiNAnalysis[[#This Row],[2nd Highest PiN]]=tblPiNAnalysis[[#This Row],[CCCM]:[WASH]], tblPiNAnalysis[[#Headers],[CCCM]:[WASH]], "")))</f>
        <v>Overarching Protection</v>
      </c>
      <c r="AQ75" s="36">
        <f>IFERROR(tblPiNAnalysis[[#This Row],[2nd Highest PiN]]/tblPiNAnalysis[[#This Row],[Affected population projection 2026]], "")</f>
        <v>0.6340003982495438</v>
      </c>
      <c r="AR75" s="46">
        <f>IFERROR(tblPiNAnalysis[[#This Row],[Highest PiN]]-tblPiNAnalysis[[#This Row],[2nd Highest PiN]], "")</f>
        <v>1016.4984531551581</v>
      </c>
      <c r="AS75" s="39">
        <f>IFERROR(((tblPiNAnalysis[[#This Row],[Highest PiN]]-tblPiNAnalysis[[#This Row],[2nd Highest PiN]])/tblPiNAnalysis[[#This Row],[2nd Highest PiN]]),"")</f>
        <v>0.13915105450447066</v>
      </c>
      <c r="AT75" s="39" t="str" cm="1">
        <f t="array" ref="AT7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5" s="332" cm="1">
        <f t="array" ref="AU7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5761.037390645879</v>
      </c>
      <c r="AV75" s="190" t="str" cm="1">
        <f t="array" ref="AV75">IF(tblPiNAnalysis[[#This Row],[3rd Highest PiN]]="", "", _xlfn.TEXTJOIN(CHAR(10), TRUE, IF(tblPiNAnalysis[[#This Row],[3rd Highest PiN]]=tblPiNAnalysis[[#This Row],[CCCM]:[WASH]], tblPiNAnalysis[[#Headers],[CCCM]:[WASH]], "")))</f>
        <v>Shelter</v>
      </c>
      <c r="AW75" s="190">
        <f>IFERROR(tblPiNAnalysis[[#This Row],[3rd Highest PiN]]/tblPiNAnalysis[[#This Row],[Affected population projection 2026]], "")</f>
        <v>0.5</v>
      </c>
      <c r="AX75" s="45">
        <f>IFERROR(tblPiNAnalysis[[#This Row],[Highest PiN]]-tblPiNAnalysis[[#This Row],[3rd Highest PiN]],"")</f>
        <v>2560.4610625092791</v>
      </c>
      <c r="AY75" s="39">
        <f>IFERROR(tblPiNAnalysis[[#This Row],[Difference of PiN between Highest and 3rd Highest]]/tblPiNAnalysis[[#This Row],[3rd Highest PiN]], "")</f>
        <v>0.44444444444444436</v>
      </c>
      <c r="AZ75" s="330" t="str" cm="1">
        <f t="array" ref="AZ7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5" s="300" t="str" cm="1">
        <f t="array" ref="BA75">IFERROR(IF(tblPiNAnalysis[[#This Row],[ID]]="", "", INDEX(tblPiNHistorical[[CCCM]:[WASH]], MATCH(tblPiNAnalysis[[#This Row],[ID]],tblPiNHistorical[ID], 0),MATCH(_xlfn._xlws.FILTER(tblPiNAnalysis[[#Headers],[CCCM]:[WASH]], tblPiNAnalysis[[#This Row],[Highest PiN]]=tblPiNAnalysis[[#This Row],[CCCM]:[WASH]]), tblPiNHistorical[[#Headers],[CCCM]:[WASH]], 0))), "")</f>
        <v/>
      </c>
      <c r="BB75" s="333" t="str" cm="1">
        <f t="array" ref="BB7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5" s="276" t="str" cm="1">
        <f t="array" ref="BC75">IFERROR(IF(tblPiNAnalysis[[#This Row],[ID]]="", "", INDEX(tblPiNHistorical[[CCCM]:[WASH]], MATCH(tblPiNAnalysis[[#This Row],[ID]],tblPiNHistorical[ID], 0),MATCH(_xlfn._xlws.FILTER(tblPiNAnalysis[[#Headers],[CCCM]:[WASH]], tblPiNAnalysis[[#This Row],[2nd Highest PiN]]=tblPiNAnalysis[[#This Row],[CCCM]:[WASH]]), tblPiNHistorical[[#Headers],[CCCM]:[WASH]], 0))), "")</f>
        <v/>
      </c>
      <c r="BD75" s="334" t="str" cm="1">
        <f t="array" ref="BD7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5" s="276">
        <f>INDEX(tblSeverityAnalysis[Final Severity], MATCH(tblPiNAnalysis[[#This Row],[ID]],tblSeverityAnalysis[ID], 0))</f>
        <v>3</v>
      </c>
      <c r="BF75" s="61">
        <f>IF(tblPiNAnalysis[[#This Row],[Severity]]&gt;2,tblPiNAnalysis[[#This Row],[Highest PiN]],)</f>
        <v>8321.4984531551581</v>
      </c>
      <c r="BG75" s="191"/>
      <c r="BH75" s="192"/>
      <c r="BI75" s="193">
        <f>COUNTIFS(tblPiNAnalysis[[#This Row],[Number of missing / zero PiNs greater than threshold - Data quality]:[Manual Flag]],"Flagged")</f>
        <v>0</v>
      </c>
      <c r="BJ75" s="96" t="str">
        <f>IF(tblPiNAnalysis[[#This Row],['# Flags]]&gt;0, "Flagged", "")</f>
        <v/>
      </c>
      <c r="BK75" s="326">
        <f>tblPiNAnalysis[[#This Row],[Preliminary PiN]]</f>
        <v>8321.4984531551581</v>
      </c>
      <c r="BL75" s="331"/>
    </row>
    <row r="76" spans="1:64" ht="24.6" x14ac:dyDescent="0.55000000000000004">
      <c r="A7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SS1004</v>
      </c>
      <c r="B76" s="316" t="s">
        <v>390</v>
      </c>
      <c r="C76" s="317" t="s">
        <v>391</v>
      </c>
      <c r="D76" s="317" t="s">
        <v>398</v>
      </c>
      <c r="E76" s="105" t="s">
        <v>399</v>
      </c>
      <c r="F76" s="100"/>
      <c r="G76" s="34"/>
      <c r="H76" s="34"/>
      <c r="I76" s="97">
        <v>17357.293062226148</v>
      </c>
      <c r="J76" s="97" t="s">
        <v>412</v>
      </c>
      <c r="K76" s="318">
        <v>0</v>
      </c>
      <c r="L76" s="319">
        <v>272.84276110374532</v>
      </c>
      <c r="M76" s="319">
        <v>7034.7446622852367</v>
      </c>
      <c r="N76" s="319">
        <v>7466.511357740781</v>
      </c>
      <c r="O76" s="319">
        <v>8370.1757209202042</v>
      </c>
      <c r="P76" s="319">
        <v>13014</v>
      </c>
      <c r="Q76" s="320">
        <v>7546.649157489629</v>
      </c>
      <c r="R76" s="319">
        <v>10767.950325640297</v>
      </c>
      <c r="S76" s="319">
        <v>7144</v>
      </c>
      <c r="T76" s="319">
        <v>6110</v>
      </c>
      <c r="U76" s="319">
        <v>7100</v>
      </c>
      <c r="V76" s="319">
        <v>4131</v>
      </c>
      <c r="W76" s="321">
        <f>IFERROR(IF(tblPiNAnalysis[[#This Row],[CCCM]]="", "", MROUND(tblPiNAnalysis[[#This Row],[CCCM]]/tblPiNAnalysis[[#This Row],[Affected population projection 2026]], 0.05)), "")</f>
        <v>0</v>
      </c>
      <c r="X76" s="322">
        <f>IFERROR(IF(tblPiNAnalysis[[#This Row],[Education]]="", "", MROUND(tblPiNAnalysis[[#This Row],[Education]]/tblPiNAnalysis[[#This Row],[Affected population projection 2026]], 0.05)), "")</f>
        <v>0</v>
      </c>
      <c r="Y76" s="322">
        <f>IFERROR(IF(tblPiNAnalysis[[#This Row],[Nutrition]]="", "", MROUND(tblPiNAnalysis[[#This Row],[Nutrition]]/tblPiNAnalysis[[#This Row],[Affected population projection 2026]], 0.05)), "")</f>
        <v>0.4</v>
      </c>
      <c r="Z76" s="322">
        <f>IFERROR(IF(tblPiNAnalysis[[#This Row],[Food Security]]="", "", MROUND(tblPiNAnalysis[[#This Row],[Food Security]]/tblPiNAnalysis[[#This Row],[Affected population projection 2026]], 0.05)), "")</f>
        <v>0.45</v>
      </c>
      <c r="AA76" s="322">
        <f>IFERROR(IF(tblPiNAnalysis[[#This Row],[Health]]="", "", MROUND(tblPiNAnalysis[[#This Row],[Health]]/tblPiNAnalysis[[#This Row],[Affected population projection 2026]], 0.05)), "")</f>
        <v>0.5</v>
      </c>
      <c r="AB76" s="323">
        <f>IFERROR(IF(tblPiNAnalysis[[#This Row],[Overarching Protection]]="", "", MROUND(tblPiNAnalysis[[#This Row],[Overarching Protection]]/tblPiNAnalysis[[#This Row],[Affected population projection 2026]], 0.05)), "")</f>
        <v>0.75</v>
      </c>
      <c r="AC76" s="323">
        <f>IFERROR(IF(tblPiNAnalysis[[#This Row],[Shelter]]="", "", MROUND(tblPiNAnalysis[[#This Row],[Shelter]]/tblPiNAnalysis[[#This Row],[Affected population projection 2026]], 0.05)), "")</f>
        <v>0.45</v>
      </c>
      <c r="AD76" s="324">
        <f>IFERROR(IF(tblPiNAnalysis[[#This Row],[WASH]]="", "", MROUND(tblPiNAnalysis[[#This Row],[WASH]]/tblPiNAnalysis[[#This Row],[Affected population projection 2026]], 0.05)), "")</f>
        <v>0.60000000000000009</v>
      </c>
      <c r="AE76" s="322">
        <f>IFERROR(MROUND(tblPiNAnalysis[[#This Row],[CP]]/tblPiNAnalysis[[#This Row],[Affected population projection 2026]], 0.05), "")</f>
        <v>0.4</v>
      </c>
      <c r="AF76" s="322">
        <f>IFERROR(MROUND(tblPiNAnalysis[[#This Row],[GBV]]/tblPiNAnalysis[[#This Row],[Affected population projection 2026]], 0.05), "")</f>
        <v>0.35000000000000003</v>
      </c>
      <c r="AG76" s="322">
        <f>IFERROR(MROUND(tblPiNAnalysis[[#This Row],[Mine Action]]/tblPiNAnalysis[[#This Row],[Affected population projection 2026]], 0.05), "")</f>
        <v>0.4</v>
      </c>
      <c r="AH76" s="322">
        <f>IFERROR(MROUND(tblPiNAnalysis[[#This Row],[HLP]]/tblPiNAnalysis[[#This Row],[Affected population projection 2026]], 0.05), "")</f>
        <v>0.25</v>
      </c>
      <c r="AI76" s="325">
        <f>IFERROR(LARGE(tblPiNAnalysis[[#This Row],[CCCM]:[WASH]], 1), "")</f>
        <v>13014</v>
      </c>
      <c r="AJ76" s="326" t="str" cm="1">
        <f t="array" ref="AJ76">IF(tblPiNAnalysis[[#This Row],[Highest PiN]]="", "", _xlfn.TEXTJOIN(CHAR(10), TRUE, IF(tblPiNAnalysis[[#This Row],[Highest PiN]]=tblPiNAnalysis[[#This Row],[CCCM]:[WASH]], tblPiNAnalysis[[#Headers],[CCCM]:[WASH]], "")))</f>
        <v>Overarching Protection</v>
      </c>
      <c r="AK76" s="327">
        <f>IF(tblPiNAnalysis[[#This Row],[Highest PiN]]="", "", tblPiNAnalysis[[#This Row],[Highest PiN]]/tblPiNAnalysis[[#This Row],[Affected population projection 2026]])</f>
        <v>0.74977128941388616</v>
      </c>
      <c r="AL76" s="328" t="str">
        <f>IF(SUM(tblPiNAnalysis[[#This Row],[CCCM]:[WASH]])=0, "",IF(COUNTIF(tblPiNAnalysis[[#This Row],[CCCM]:[WASH]],"=0")+COUNTIF(tblPiNAnalysis[[#This Row],[CCCM]:[WASH]],"")&gt;=zero_pin_thresh, "Flagged", ""))</f>
        <v/>
      </c>
      <c r="AM76" s="329" t="str">
        <f>IFERROR(IF(tblPiNAnalysis[[#This Row],[Highest PiN]]="", "", IF(tblPiNAnalysis[[#This Row],[Highest sector(s'') PiN %]]&gt;=flag_pin_perc, "Flagged", "")), "")</f>
        <v/>
      </c>
      <c r="AN76" s="330" t="str" cm="1">
        <f t="array" ref="AN76">IF(tblPiNAnalysis[[#This Row],[Highest PiN]]=0, "",  IF(OR(COUNTIF(tblPiNAnalysis[[#This Row],[Highest sector(s)]],tblSubSectorPopulation[Sector])), "Flagged", ""))</f>
        <v/>
      </c>
      <c r="AO76" s="46" cm="1">
        <f t="array" ref="AO7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10767.950325640297</v>
      </c>
      <c r="AP76" s="331" t="str" cm="1">
        <f t="array" ref="AP76">IF(tblPiNAnalysis[[#This Row],[2nd Highest PiN]]="", "", _xlfn.TEXTJOIN(CHAR(10), TRUE, IF(tblPiNAnalysis[[#This Row],[2nd Highest PiN]]=tblPiNAnalysis[[#This Row],[CCCM]:[WASH]], tblPiNAnalysis[[#Headers],[CCCM]:[WASH]], "")))</f>
        <v>WASH</v>
      </c>
      <c r="AQ76" s="36">
        <f>IFERROR(tblPiNAnalysis[[#This Row],[2nd Highest PiN]]/tblPiNAnalysis[[#This Row],[Affected population projection 2026]], "")</f>
        <v>0.62037037037037046</v>
      </c>
      <c r="AR76" s="46">
        <f>IFERROR(tblPiNAnalysis[[#This Row],[Highest PiN]]-tblPiNAnalysis[[#This Row],[2nd Highest PiN]], "")</f>
        <v>2246.0496743597032</v>
      </c>
      <c r="AS76" s="39">
        <f>IFERROR(((tblPiNAnalysis[[#This Row],[Highest PiN]]-tblPiNAnalysis[[#This Row],[2nd Highest PiN]])/tblPiNAnalysis[[#This Row],[2nd Highest PiN]]),"")</f>
        <v>0.20858655607014476</v>
      </c>
      <c r="AT76" s="39" t="str" cm="1">
        <f t="array" ref="AT7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6" s="332" cm="1">
        <f t="array" ref="AU7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8370.1757209202042</v>
      </c>
      <c r="AV76" s="190" t="str" cm="1">
        <f t="array" ref="AV76">IF(tblPiNAnalysis[[#This Row],[3rd Highest PiN]]="", "", _xlfn.TEXTJOIN(CHAR(10), TRUE, IF(tblPiNAnalysis[[#This Row],[3rd Highest PiN]]=tblPiNAnalysis[[#This Row],[CCCM]:[WASH]], tblPiNAnalysis[[#Headers],[CCCM]:[WASH]], "")))</f>
        <v>Health</v>
      </c>
      <c r="AW76" s="190">
        <f>IFERROR(tblPiNAnalysis[[#This Row],[3rd Highest PiN]]/tblPiNAnalysis[[#This Row],[Affected population projection 2026]], "")</f>
        <v>0.48222817295951637</v>
      </c>
      <c r="AX76" s="45">
        <f>IFERROR(tblPiNAnalysis[[#This Row],[Highest PiN]]-tblPiNAnalysis[[#This Row],[3rd Highest PiN]],"")</f>
        <v>4643.8242790797958</v>
      </c>
      <c r="AY76" s="39">
        <f>IFERROR(tblPiNAnalysis[[#This Row],[Difference of PiN between Highest and 3rd Highest]]/tblPiNAnalysis[[#This Row],[3rd Highest PiN]], "")</f>
        <v>0.55480606786702691</v>
      </c>
      <c r="AZ76" s="330" t="str" cm="1">
        <f t="array" ref="AZ7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6" s="300" t="str" cm="1">
        <f t="array" ref="BA76">IFERROR(IF(tblPiNAnalysis[[#This Row],[ID]]="", "", INDEX(tblPiNHistorical[[CCCM]:[WASH]], MATCH(tblPiNAnalysis[[#This Row],[ID]],tblPiNHistorical[ID], 0),MATCH(_xlfn._xlws.FILTER(tblPiNAnalysis[[#Headers],[CCCM]:[WASH]], tblPiNAnalysis[[#This Row],[Highest PiN]]=tblPiNAnalysis[[#This Row],[CCCM]:[WASH]]), tblPiNHistorical[[#Headers],[CCCM]:[WASH]], 0))), "")</f>
        <v/>
      </c>
      <c r="BB76" s="333" t="str" cm="1">
        <f t="array" ref="BB7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6" s="276" t="str" cm="1">
        <f t="array" ref="BC76">IFERROR(IF(tblPiNAnalysis[[#This Row],[ID]]="", "", INDEX(tblPiNHistorical[[CCCM]:[WASH]], MATCH(tblPiNAnalysis[[#This Row],[ID]],tblPiNHistorical[ID], 0),MATCH(_xlfn._xlws.FILTER(tblPiNAnalysis[[#Headers],[CCCM]:[WASH]], tblPiNAnalysis[[#This Row],[2nd Highest PiN]]=tblPiNAnalysis[[#This Row],[CCCM]:[WASH]]), tblPiNHistorical[[#Headers],[CCCM]:[WASH]], 0))), "")</f>
        <v/>
      </c>
      <c r="BD76" s="334" t="str" cm="1">
        <f t="array" ref="BD7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6" s="276">
        <f>INDEX(tblSeverityAnalysis[Final Severity], MATCH(tblPiNAnalysis[[#This Row],[ID]],tblSeverityAnalysis[ID], 0))</f>
        <v>3</v>
      </c>
      <c r="BF76" s="61">
        <f>IF(tblPiNAnalysis[[#This Row],[Severity]]&gt;2,tblPiNAnalysis[[#This Row],[Highest PiN]],)</f>
        <v>13014</v>
      </c>
      <c r="BG76" s="191"/>
      <c r="BH76" s="192"/>
      <c r="BI76" s="193">
        <f>COUNTIFS(tblPiNAnalysis[[#This Row],[Number of missing / zero PiNs greater than threshold - Data quality]:[Manual Flag]],"Flagged")</f>
        <v>1</v>
      </c>
      <c r="BJ76" s="96" t="str">
        <f>IF(tblPiNAnalysis[[#This Row],['# Flags]]&gt;0, "Flagged", "")</f>
        <v>Flagged</v>
      </c>
      <c r="BK76" s="326">
        <f>tblPiNAnalysis[[#This Row],[Preliminary PiN]]</f>
        <v>13014</v>
      </c>
      <c r="BL76" s="331"/>
    </row>
    <row r="77" spans="1:64" ht="24.6" x14ac:dyDescent="0.55000000000000004">
      <c r="A7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SS1005</v>
      </c>
      <c r="B77" s="316" t="s">
        <v>390</v>
      </c>
      <c r="C77" s="317" t="s">
        <v>391</v>
      </c>
      <c r="D77" s="317" t="s">
        <v>400</v>
      </c>
      <c r="E77" s="105" t="s">
        <v>401</v>
      </c>
      <c r="F77" s="100"/>
      <c r="G77" s="34"/>
      <c r="H77" s="34"/>
      <c r="I77" s="97">
        <v>1326.2143950586142</v>
      </c>
      <c r="J77" s="97" t="s">
        <v>412</v>
      </c>
      <c r="K77" s="318">
        <v>0</v>
      </c>
      <c r="L77" s="319">
        <v>108.99890870107737</v>
      </c>
      <c r="M77" s="319">
        <v>549.3738376210955</v>
      </c>
      <c r="N77" s="319">
        <v>509.88966782520589</v>
      </c>
      <c r="O77" s="319">
        <v>657.96969478899121</v>
      </c>
      <c r="P77" s="319">
        <v>928</v>
      </c>
      <c r="Q77" s="320">
        <v>1326.2143950586142</v>
      </c>
      <c r="R77" s="319">
        <v>502.35393752220233</v>
      </c>
      <c r="S77" s="319">
        <v>564</v>
      </c>
      <c r="T77" s="319">
        <v>203</v>
      </c>
      <c r="U77" s="319">
        <v>592</v>
      </c>
      <c r="V77" s="319">
        <v>364</v>
      </c>
      <c r="W77" s="321">
        <f>IFERROR(IF(tblPiNAnalysis[[#This Row],[CCCM]]="", "", MROUND(tblPiNAnalysis[[#This Row],[CCCM]]/tblPiNAnalysis[[#This Row],[Affected population projection 2026]], 0.05)), "")</f>
        <v>0</v>
      </c>
      <c r="X77" s="322">
        <f>IFERROR(IF(tblPiNAnalysis[[#This Row],[Education]]="", "", MROUND(tblPiNAnalysis[[#This Row],[Education]]/tblPiNAnalysis[[#This Row],[Affected population projection 2026]], 0.05)), "")</f>
        <v>0.1</v>
      </c>
      <c r="Y77" s="322">
        <f>IFERROR(IF(tblPiNAnalysis[[#This Row],[Nutrition]]="", "", MROUND(tblPiNAnalysis[[#This Row],[Nutrition]]/tblPiNAnalysis[[#This Row],[Affected population projection 2026]], 0.05)), "")</f>
        <v>0.4</v>
      </c>
      <c r="Z77" s="322">
        <f>IFERROR(IF(tblPiNAnalysis[[#This Row],[Food Security]]="", "", MROUND(tblPiNAnalysis[[#This Row],[Food Security]]/tblPiNAnalysis[[#This Row],[Affected population projection 2026]], 0.05)), "")</f>
        <v>0.4</v>
      </c>
      <c r="AA77" s="322">
        <f>IFERROR(IF(tblPiNAnalysis[[#This Row],[Health]]="", "", MROUND(tblPiNAnalysis[[#This Row],[Health]]/tblPiNAnalysis[[#This Row],[Affected population projection 2026]], 0.05)), "")</f>
        <v>0.5</v>
      </c>
      <c r="AB77" s="323">
        <f>IFERROR(IF(tblPiNAnalysis[[#This Row],[Overarching Protection]]="", "", MROUND(tblPiNAnalysis[[#This Row],[Overarching Protection]]/tblPiNAnalysis[[#This Row],[Affected population projection 2026]], 0.05)), "")</f>
        <v>0.70000000000000007</v>
      </c>
      <c r="AC77" s="323">
        <f>IFERROR(IF(tblPiNAnalysis[[#This Row],[Shelter]]="", "", MROUND(tblPiNAnalysis[[#This Row],[Shelter]]/tblPiNAnalysis[[#This Row],[Affected population projection 2026]], 0.05)), "")</f>
        <v>1</v>
      </c>
      <c r="AD77" s="324">
        <f>IFERROR(IF(tblPiNAnalysis[[#This Row],[WASH]]="", "", MROUND(tblPiNAnalysis[[#This Row],[WASH]]/tblPiNAnalysis[[#This Row],[Affected population projection 2026]], 0.05)), "")</f>
        <v>0.4</v>
      </c>
      <c r="AE77" s="322">
        <f>IFERROR(MROUND(tblPiNAnalysis[[#This Row],[CP]]/tblPiNAnalysis[[#This Row],[Affected population projection 2026]], 0.05), "")</f>
        <v>0.45</v>
      </c>
      <c r="AF77" s="322">
        <f>IFERROR(MROUND(tblPiNAnalysis[[#This Row],[GBV]]/tblPiNAnalysis[[#This Row],[Affected population projection 2026]], 0.05), "")</f>
        <v>0.15000000000000002</v>
      </c>
      <c r="AG77" s="322">
        <f>IFERROR(MROUND(tblPiNAnalysis[[#This Row],[Mine Action]]/tblPiNAnalysis[[#This Row],[Affected population projection 2026]], 0.05), "")</f>
        <v>0.45</v>
      </c>
      <c r="AH77" s="322">
        <f>IFERROR(MROUND(tblPiNAnalysis[[#This Row],[HLP]]/tblPiNAnalysis[[#This Row],[Affected population projection 2026]], 0.05), "")</f>
        <v>0.25</v>
      </c>
      <c r="AI77" s="325">
        <f>IFERROR(LARGE(tblPiNAnalysis[[#This Row],[CCCM]:[WASH]], 1), "")</f>
        <v>1326.2143950586142</v>
      </c>
      <c r="AJ77" s="326" t="str" cm="1">
        <f t="array" ref="AJ77">IF(tblPiNAnalysis[[#This Row],[Highest PiN]]="", "", _xlfn.TEXTJOIN(CHAR(10), TRUE, IF(tblPiNAnalysis[[#This Row],[Highest PiN]]=tblPiNAnalysis[[#This Row],[CCCM]:[WASH]], tblPiNAnalysis[[#Headers],[CCCM]:[WASH]], "")))</f>
        <v>Shelter</v>
      </c>
      <c r="AK77" s="327">
        <f>IF(tblPiNAnalysis[[#This Row],[Highest PiN]]="", "", tblPiNAnalysis[[#This Row],[Highest PiN]]/tblPiNAnalysis[[#This Row],[Affected population projection 2026]])</f>
        <v>1</v>
      </c>
      <c r="AL77" s="328" t="str">
        <f>IF(SUM(tblPiNAnalysis[[#This Row],[CCCM]:[WASH]])=0, "",IF(COUNTIF(tblPiNAnalysis[[#This Row],[CCCM]:[WASH]],"=0")+COUNTIF(tblPiNAnalysis[[#This Row],[CCCM]:[WASH]],"")&gt;=zero_pin_thresh, "Flagged", ""))</f>
        <v/>
      </c>
      <c r="AM77" s="329" t="str">
        <f>IFERROR(IF(tblPiNAnalysis[[#This Row],[Highest PiN]]="", "", IF(tblPiNAnalysis[[#This Row],[Highest sector(s'') PiN %]]&gt;=flag_pin_perc, "Flagged", "")), "")</f>
        <v>Flagged</v>
      </c>
      <c r="AN77" s="330" t="str" cm="1">
        <f t="array" ref="AN77">IF(tblPiNAnalysis[[#This Row],[Highest PiN]]=0, "",  IF(OR(COUNTIF(tblPiNAnalysis[[#This Row],[Highest sector(s)]],tblSubSectorPopulation[Sector])), "Flagged", ""))</f>
        <v/>
      </c>
      <c r="AO77" s="46" cm="1">
        <f t="array" ref="AO7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928</v>
      </c>
      <c r="AP77" s="331" t="str" cm="1">
        <f t="array" ref="AP77">IF(tblPiNAnalysis[[#This Row],[2nd Highest PiN]]="", "", _xlfn.TEXTJOIN(CHAR(10), TRUE, IF(tblPiNAnalysis[[#This Row],[2nd Highest PiN]]=tblPiNAnalysis[[#This Row],[CCCM]:[WASH]], tblPiNAnalysis[[#Headers],[CCCM]:[WASH]], "")))</f>
        <v>Overarching Protection</v>
      </c>
      <c r="AQ77" s="36">
        <f>IFERROR(tblPiNAnalysis[[#This Row],[2nd Highest PiN]]/tblPiNAnalysis[[#This Row],[Affected population projection 2026]], "")</f>
        <v>0.69973603322182731</v>
      </c>
      <c r="AR77" s="46">
        <f>IFERROR(tblPiNAnalysis[[#This Row],[Highest PiN]]-tblPiNAnalysis[[#This Row],[2nd Highest PiN]], "")</f>
        <v>398.21439505861417</v>
      </c>
      <c r="AS77" s="39">
        <f>IFERROR(((tblPiNAnalysis[[#This Row],[Highest PiN]]-tblPiNAnalysis[[#This Row],[2nd Highest PiN]])/tblPiNAnalysis[[#This Row],[2nd Highest PiN]]),"")</f>
        <v>0.42911033950281702</v>
      </c>
      <c r="AT77" s="39" t="str" cm="1">
        <f t="array" ref="AT7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77" s="332" cm="1">
        <f t="array" ref="AU7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657.96969478899121</v>
      </c>
      <c r="AV77" s="190" t="str" cm="1">
        <f t="array" ref="AV77">IF(tblPiNAnalysis[[#This Row],[3rd Highest PiN]]="", "", _xlfn.TEXTJOIN(CHAR(10), TRUE, IF(tblPiNAnalysis[[#This Row],[3rd Highest PiN]]=tblPiNAnalysis[[#This Row],[CCCM]:[WASH]], tblPiNAnalysis[[#Headers],[CCCM]:[WASH]], "")))</f>
        <v>Health</v>
      </c>
      <c r="AW77" s="190">
        <f>IFERROR(tblPiNAnalysis[[#This Row],[3rd Highest PiN]]/tblPiNAnalysis[[#This Row],[Affected population projection 2026]], "")</f>
        <v>0.49612618988343221</v>
      </c>
      <c r="AX77" s="45">
        <f>IFERROR(tblPiNAnalysis[[#This Row],[Highest PiN]]-tblPiNAnalysis[[#This Row],[3rd Highest PiN]],"")</f>
        <v>668.24470026962297</v>
      </c>
      <c r="AY77" s="39">
        <f>IFERROR(tblPiNAnalysis[[#This Row],[Difference of PiN between Highest and 3rd Highest]]/tblPiNAnalysis[[#This Row],[3rd Highest PiN]], "")</f>
        <v>1.0156162290786461</v>
      </c>
      <c r="AZ77" s="330" t="str" cm="1">
        <f t="array" ref="AZ7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7" s="300" t="str" cm="1">
        <f t="array" ref="BA77">IFERROR(IF(tblPiNAnalysis[[#This Row],[ID]]="", "", INDEX(tblPiNHistorical[[CCCM]:[WASH]], MATCH(tblPiNAnalysis[[#This Row],[ID]],tblPiNHistorical[ID], 0),MATCH(_xlfn._xlws.FILTER(tblPiNAnalysis[[#Headers],[CCCM]:[WASH]], tblPiNAnalysis[[#This Row],[Highest PiN]]=tblPiNAnalysis[[#This Row],[CCCM]:[WASH]]), tblPiNHistorical[[#Headers],[CCCM]:[WASH]], 0))), "")</f>
        <v/>
      </c>
      <c r="BB77" s="333" t="str" cm="1">
        <f t="array" ref="BB7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7" s="276" t="str" cm="1">
        <f t="array" ref="BC77">IFERROR(IF(tblPiNAnalysis[[#This Row],[ID]]="", "", INDEX(tblPiNHistorical[[CCCM]:[WASH]], MATCH(tblPiNAnalysis[[#This Row],[ID]],tblPiNHistorical[ID], 0),MATCH(_xlfn._xlws.FILTER(tblPiNAnalysis[[#Headers],[CCCM]:[WASH]], tblPiNAnalysis[[#This Row],[2nd Highest PiN]]=tblPiNAnalysis[[#This Row],[CCCM]:[WASH]]), tblPiNHistorical[[#Headers],[CCCM]:[WASH]], 0))), "")</f>
        <v/>
      </c>
      <c r="BD77" s="334" t="str" cm="1">
        <f t="array" ref="BD7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7" s="276">
        <f>INDEX(tblSeverityAnalysis[Final Severity], MATCH(tblPiNAnalysis[[#This Row],[ID]],tblSeverityAnalysis[ID], 0))</f>
        <v>3</v>
      </c>
      <c r="BF77" s="61">
        <f>IF(tblPiNAnalysis[[#This Row],[Severity]]&gt;2,tblPiNAnalysis[[#This Row],[Highest PiN]],)</f>
        <v>1326.2143950586142</v>
      </c>
      <c r="BG77" s="191"/>
      <c r="BH77" s="192"/>
      <c r="BI77" s="193">
        <f>COUNTIFS(tblPiNAnalysis[[#This Row],[Number of missing / zero PiNs greater than threshold - Data quality]:[Manual Flag]],"Flagged")</f>
        <v>3</v>
      </c>
      <c r="BJ77" s="96" t="str">
        <f>IF(tblPiNAnalysis[[#This Row],['# Flags]]&gt;0, "Flagged", "")</f>
        <v>Flagged</v>
      </c>
      <c r="BK77" s="326">
        <f>tblPiNAnalysis[[#This Row],[Preliminary PiN]]</f>
        <v>1326.2143950586142</v>
      </c>
      <c r="BL77" s="331"/>
    </row>
    <row r="78" spans="1:64" ht="98.4" x14ac:dyDescent="0.55000000000000004">
      <c r="A7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SS1006</v>
      </c>
      <c r="B78" s="316" t="s">
        <v>390</v>
      </c>
      <c r="C78" s="317" t="s">
        <v>391</v>
      </c>
      <c r="D78" s="317" t="s">
        <v>402</v>
      </c>
      <c r="E78" s="105" t="s">
        <v>403</v>
      </c>
      <c r="F78" s="100"/>
      <c r="G78" s="34"/>
      <c r="H78" s="34"/>
      <c r="I78" s="97">
        <v>0</v>
      </c>
      <c r="J78" s="97" t="s">
        <v>412</v>
      </c>
      <c r="K78" s="318">
        <v>0</v>
      </c>
      <c r="L78" s="319">
        <v>0</v>
      </c>
      <c r="M78" s="319">
        <v>0</v>
      </c>
      <c r="N78" s="319">
        <v>0</v>
      </c>
      <c r="O78" s="319">
        <v>0</v>
      </c>
      <c r="P78" s="319">
        <v>0</v>
      </c>
      <c r="Q78" s="320">
        <v>0</v>
      </c>
      <c r="R78" s="319">
        <v>0</v>
      </c>
      <c r="S78" s="319">
        <v>0</v>
      </c>
      <c r="T78" s="319">
        <v>0</v>
      </c>
      <c r="U78" s="319">
        <v>0</v>
      </c>
      <c r="V78" s="319">
        <v>0</v>
      </c>
      <c r="W78" s="321" t="str">
        <f>IFERROR(IF(tblPiNAnalysis[[#This Row],[CCCM]]="", "", MROUND(tblPiNAnalysis[[#This Row],[CCCM]]/tblPiNAnalysis[[#This Row],[Affected population projection 2026]], 0.05)), "")</f>
        <v/>
      </c>
      <c r="X78" s="322" t="str">
        <f>IFERROR(IF(tblPiNAnalysis[[#This Row],[Education]]="", "", MROUND(tblPiNAnalysis[[#This Row],[Education]]/tblPiNAnalysis[[#This Row],[Affected population projection 2026]], 0.05)), "")</f>
        <v/>
      </c>
      <c r="Y78" s="322" t="str">
        <f>IFERROR(IF(tblPiNAnalysis[[#This Row],[Nutrition]]="", "", MROUND(tblPiNAnalysis[[#This Row],[Nutrition]]/tblPiNAnalysis[[#This Row],[Affected population projection 2026]], 0.05)), "")</f>
        <v/>
      </c>
      <c r="Z78" s="322" t="str">
        <f>IFERROR(IF(tblPiNAnalysis[[#This Row],[Food Security]]="", "", MROUND(tblPiNAnalysis[[#This Row],[Food Security]]/tblPiNAnalysis[[#This Row],[Affected population projection 2026]], 0.05)), "")</f>
        <v/>
      </c>
      <c r="AA78" s="322" t="str">
        <f>IFERROR(IF(tblPiNAnalysis[[#This Row],[Health]]="", "", MROUND(tblPiNAnalysis[[#This Row],[Health]]/tblPiNAnalysis[[#This Row],[Affected population projection 2026]], 0.05)), "")</f>
        <v/>
      </c>
      <c r="AB78" s="323" t="str">
        <f>IFERROR(IF(tblPiNAnalysis[[#This Row],[Overarching Protection]]="", "", MROUND(tblPiNAnalysis[[#This Row],[Overarching Protection]]/tblPiNAnalysis[[#This Row],[Affected population projection 2026]], 0.05)), "")</f>
        <v/>
      </c>
      <c r="AC78" s="323" t="str">
        <f>IFERROR(IF(tblPiNAnalysis[[#This Row],[Shelter]]="", "", MROUND(tblPiNAnalysis[[#This Row],[Shelter]]/tblPiNAnalysis[[#This Row],[Affected population projection 2026]], 0.05)), "")</f>
        <v/>
      </c>
      <c r="AD78" s="324" t="str">
        <f>IFERROR(IF(tblPiNAnalysis[[#This Row],[WASH]]="", "", MROUND(tblPiNAnalysis[[#This Row],[WASH]]/tblPiNAnalysis[[#This Row],[Affected population projection 2026]], 0.05)), "")</f>
        <v/>
      </c>
      <c r="AE78" s="322" t="str">
        <f>IFERROR(MROUND(tblPiNAnalysis[[#This Row],[CP]]/tblPiNAnalysis[[#This Row],[Affected population projection 2026]], 0.05), "")</f>
        <v/>
      </c>
      <c r="AF78" s="322" t="str">
        <f>IFERROR(MROUND(tblPiNAnalysis[[#This Row],[GBV]]/tblPiNAnalysis[[#This Row],[Affected population projection 2026]], 0.05), "")</f>
        <v/>
      </c>
      <c r="AG78" s="322" t="str">
        <f>IFERROR(MROUND(tblPiNAnalysis[[#This Row],[Mine Action]]/tblPiNAnalysis[[#This Row],[Affected population projection 2026]], 0.05), "")</f>
        <v/>
      </c>
      <c r="AH78" s="322" t="str">
        <f>IFERROR(MROUND(tblPiNAnalysis[[#This Row],[HLP]]/tblPiNAnalysis[[#This Row],[Affected population projection 2026]], 0.05), "")</f>
        <v/>
      </c>
      <c r="AI78" s="325">
        <f>IFERROR(LARGE(tblPiNAnalysis[[#This Row],[CCCM]:[WASH]], 1), "")</f>
        <v>0</v>
      </c>
      <c r="AJ78" s="326" t="str" cm="1">
        <f t="array" ref="AJ78">IF(tblPiNAnalysis[[#This Row],[Highest PiN]]="", "", _xlfn.TEXTJOIN(CHAR(10), TRUE, IF(tblPiNAnalysis[[#This Row],[Highest PiN]]=tblPiNAnalysis[[#This Row],[CCCM]:[WASH]], tblPiNAnalysis[[#Headers],[CCCM]:[WASH]], "")))</f>
        <v>CCCM
Education
Nutrition
Food Security
Health
Overarching Protection
Shelter
WASH</v>
      </c>
      <c r="AK78" s="327" t="e">
        <f>IF(tblPiNAnalysis[[#This Row],[Highest PiN]]="", "", tblPiNAnalysis[[#This Row],[Highest PiN]]/tblPiNAnalysis[[#This Row],[Affected population projection 2026]])</f>
        <v>#DIV/0!</v>
      </c>
      <c r="AL78" s="328" t="str">
        <f>IF(SUM(tblPiNAnalysis[[#This Row],[CCCM]:[WASH]])=0, "",IF(COUNTIF(tblPiNAnalysis[[#This Row],[CCCM]:[WASH]],"=0")+COUNTIF(tblPiNAnalysis[[#This Row],[CCCM]:[WASH]],"")&gt;=zero_pin_thresh, "Flagged", ""))</f>
        <v/>
      </c>
      <c r="AM78" s="329" t="str">
        <f>IFERROR(IF(tblPiNAnalysis[[#This Row],[Highest PiN]]="", "", IF(tblPiNAnalysis[[#This Row],[Highest sector(s'') PiN %]]&gt;=flag_pin_perc, "Flagged", "")), "")</f>
        <v/>
      </c>
      <c r="AN78" s="330" t="str" cm="1">
        <f t="array" ref="AN78">IF(tblPiNAnalysis[[#This Row],[Highest PiN]]=0, "",  IF(OR(COUNTIF(tblPiNAnalysis[[#This Row],[Highest sector(s)]],tblSubSectorPopulation[Sector])), "Flagged", ""))</f>
        <v/>
      </c>
      <c r="AO78" s="46" cm="1">
        <f t="array" ref="AO7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0</v>
      </c>
      <c r="AP78" s="331" t="str" cm="1">
        <f t="array" ref="AP78">IF(tblPiNAnalysis[[#This Row],[2nd Highest PiN]]="", "", _xlfn.TEXTJOIN(CHAR(10), TRUE, IF(tblPiNAnalysis[[#This Row],[2nd Highest PiN]]=tblPiNAnalysis[[#This Row],[CCCM]:[WASH]], tblPiNAnalysis[[#Headers],[CCCM]:[WASH]], "")))</f>
        <v>CCCM
Education
Nutrition
Food Security
Health
Overarching Protection
Shelter
WASH</v>
      </c>
      <c r="AQ78" s="36" t="str">
        <f>IFERROR(tblPiNAnalysis[[#This Row],[2nd Highest PiN]]/tblPiNAnalysis[[#This Row],[Affected population projection 2026]], "")</f>
        <v/>
      </c>
      <c r="AR78" s="46">
        <f>IFERROR(tblPiNAnalysis[[#This Row],[Highest PiN]]-tblPiNAnalysis[[#This Row],[2nd Highest PiN]], "")</f>
        <v>0</v>
      </c>
      <c r="AS78" s="39" t="str">
        <f>IFERROR(((tblPiNAnalysis[[#This Row],[Highest PiN]]-tblPiNAnalysis[[#This Row],[2nd Highest PiN]])/tblPiNAnalysis[[#This Row],[2nd Highest PiN]]),"")</f>
        <v/>
      </c>
      <c r="AT78" s="39" t="str" cm="1">
        <f t="array" ref="AT7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8" s="332" cm="1">
        <f t="array" ref="AU7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0</v>
      </c>
      <c r="AV78" s="190" t="str" cm="1">
        <f t="array" ref="AV78">IF(tblPiNAnalysis[[#This Row],[3rd Highest PiN]]="", "", _xlfn.TEXTJOIN(CHAR(10), TRUE, IF(tblPiNAnalysis[[#This Row],[3rd Highest PiN]]=tblPiNAnalysis[[#This Row],[CCCM]:[WASH]], tblPiNAnalysis[[#Headers],[CCCM]:[WASH]], "")))</f>
        <v>CCCM
Education
Nutrition
Food Security
Health
Overarching Protection
Shelter
WASH</v>
      </c>
      <c r="AW78" s="190" t="str">
        <f>IFERROR(tblPiNAnalysis[[#This Row],[3rd Highest PiN]]/tblPiNAnalysis[[#This Row],[Affected population projection 2026]], "")</f>
        <v/>
      </c>
      <c r="AX78" s="45">
        <f>IFERROR(tblPiNAnalysis[[#This Row],[Highest PiN]]-tblPiNAnalysis[[#This Row],[3rd Highest PiN]],"")</f>
        <v>0</v>
      </c>
      <c r="AY78" s="39" t="str">
        <f>IFERROR(tblPiNAnalysis[[#This Row],[Difference of PiN between Highest and 3rd Highest]]/tblPiNAnalysis[[#This Row],[3rd Highest PiN]], "")</f>
        <v/>
      </c>
      <c r="AZ78" s="330" t="str" cm="1">
        <f t="array" ref="AZ7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8" s="300" t="e" cm="1" vm="1">
        <f t="array" aca="1" ref="BA78"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78" s="333" t="str" cm="1">
        <f t="array" ref="BB7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8" s="276" t="e" cm="1" vm="1">
        <f t="array" aca="1" ref="BC78"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78" s="334" t="str" cm="1">
        <f t="array" ref="BD7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8" s="276">
        <f>INDEX(tblSeverityAnalysis[Final Severity], MATCH(tblPiNAnalysis[[#This Row],[ID]],tblSeverityAnalysis[ID], 0))</f>
        <v>3</v>
      </c>
      <c r="BF78" s="61">
        <f>IF(tblPiNAnalysis[[#This Row],[Severity]]&gt;2,tblPiNAnalysis[[#This Row],[Highest PiN]],)</f>
        <v>0</v>
      </c>
      <c r="BG78" s="191"/>
      <c r="BH78" s="192"/>
      <c r="BI78" s="193">
        <f ca="1">COUNTIFS(tblPiNAnalysis[[#This Row],[Number of missing / zero PiNs greater than threshold - Data quality]:[Manual Flag]],"Flagged")</f>
        <v>0</v>
      </c>
      <c r="BJ78" s="96" t="str">
        <f ca="1">IF(tblPiNAnalysis[[#This Row],['# Flags]]&gt;0, "Flagged", "")</f>
        <v/>
      </c>
      <c r="BK78" s="326">
        <f>tblPiNAnalysis[[#This Row],[Preliminary PiN]]</f>
        <v>0</v>
      </c>
      <c r="BL78" s="331"/>
    </row>
    <row r="79" spans="1:64" ht="24.6" x14ac:dyDescent="0.55000000000000004">
      <c r="A7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SS1007</v>
      </c>
      <c r="B79" s="316" t="s">
        <v>390</v>
      </c>
      <c r="C79" s="317" t="s">
        <v>391</v>
      </c>
      <c r="D79" s="317" t="s">
        <v>404</v>
      </c>
      <c r="E79" s="105" t="s">
        <v>405</v>
      </c>
      <c r="F79" s="100"/>
      <c r="G79" s="34"/>
      <c r="H79" s="34"/>
      <c r="I79" s="97">
        <v>36534.526328235108</v>
      </c>
      <c r="J79" s="97" t="s">
        <v>412</v>
      </c>
      <c r="K79" s="318">
        <v>4387.5</v>
      </c>
      <c r="L79" s="319">
        <v>1916.1336092422125</v>
      </c>
      <c r="M79" s="319">
        <v>12211.82251672217</v>
      </c>
      <c r="N79" s="319">
        <v>20297.572470561903</v>
      </c>
      <c r="O79" s="319">
        <v>19755.537132872738</v>
      </c>
      <c r="P79" s="319">
        <v>24688</v>
      </c>
      <c r="Q79" s="320">
        <v>9786.0338379201185</v>
      </c>
      <c r="R79" s="319">
        <v>24356.350885490076</v>
      </c>
      <c r="S79" s="319">
        <v>14123</v>
      </c>
      <c r="T79" s="319">
        <v>14027</v>
      </c>
      <c r="U79" s="319">
        <v>2807</v>
      </c>
      <c r="V79" s="319">
        <v>11442</v>
      </c>
      <c r="W79" s="321">
        <f>IFERROR(IF(tblPiNAnalysis[[#This Row],[CCCM]]="", "", MROUND(tblPiNAnalysis[[#This Row],[CCCM]]/tblPiNAnalysis[[#This Row],[Affected population projection 2026]], 0.05)), "")</f>
        <v>0.1</v>
      </c>
      <c r="X79" s="322">
        <f>IFERROR(IF(tblPiNAnalysis[[#This Row],[Education]]="", "", MROUND(tblPiNAnalysis[[#This Row],[Education]]/tblPiNAnalysis[[#This Row],[Affected population projection 2026]], 0.05)), "")</f>
        <v>0.05</v>
      </c>
      <c r="Y79" s="322">
        <f>IFERROR(IF(tblPiNAnalysis[[#This Row],[Nutrition]]="", "", MROUND(tblPiNAnalysis[[#This Row],[Nutrition]]/tblPiNAnalysis[[#This Row],[Affected population projection 2026]], 0.05)), "")</f>
        <v>0.35000000000000003</v>
      </c>
      <c r="Z79" s="322">
        <f>IFERROR(IF(tblPiNAnalysis[[#This Row],[Food Security]]="", "", MROUND(tblPiNAnalysis[[#This Row],[Food Security]]/tblPiNAnalysis[[#This Row],[Affected population projection 2026]], 0.05)), "")</f>
        <v>0.55000000000000004</v>
      </c>
      <c r="AA79" s="322">
        <f>IFERROR(IF(tblPiNAnalysis[[#This Row],[Health]]="", "", MROUND(tblPiNAnalysis[[#This Row],[Health]]/tblPiNAnalysis[[#This Row],[Affected population projection 2026]], 0.05)), "")</f>
        <v>0.55000000000000004</v>
      </c>
      <c r="AB79" s="323">
        <f>IFERROR(IF(tblPiNAnalysis[[#This Row],[Overarching Protection]]="", "", MROUND(tblPiNAnalysis[[#This Row],[Overarching Protection]]/tblPiNAnalysis[[#This Row],[Affected population projection 2026]], 0.05)), "")</f>
        <v>0.70000000000000007</v>
      </c>
      <c r="AC79" s="323">
        <f>IFERROR(IF(tblPiNAnalysis[[#This Row],[Shelter]]="", "", MROUND(tblPiNAnalysis[[#This Row],[Shelter]]/tblPiNAnalysis[[#This Row],[Affected population projection 2026]], 0.05)), "")</f>
        <v>0.25</v>
      </c>
      <c r="AD79" s="324">
        <f>IFERROR(IF(tblPiNAnalysis[[#This Row],[WASH]]="", "", MROUND(tblPiNAnalysis[[#This Row],[WASH]]/tblPiNAnalysis[[#This Row],[Affected population projection 2026]], 0.05)), "")</f>
        <v>0.65</v>
      </c>
      <c r="AE79" s="322">
        <f>IFERROR(MROUND(tblPiNAnalysis[[#This Row],[CP]]/tblPiNAnalysis[[#This Row],[Affected population projection 2026]], 0.05), "")</f>
        <v>0.4</v>
      </c>
      <c r="AF79" s="322">
        <f>IFERROR(MROUND(tblPiNAnalysis[[#This Row],[GBV]]/tblPiNAnalysis[[#This Row],[Affected population projection 2026]], 0.05), "")</f>
        <v>0.4</v>
      </c>
      <c r="AG79" s="322">
        <f>IFERROR(MROUND(tblPiNAnalysis[[#This Row],[Mine Action]]/tblPiNAnalysis[[#This Row],[Affected population projection 2026]], 0.05), "")</f>
        <v>0.1</v>
      </c>
      <c r="AH79" s="322">
        <f>IFERROR(MROUND(tblPiNAnalysis[[#This Row],[HLP]]/tblPiNAnalysis[[#This Row],[Affected population projection 2026]], 0.05), "")</f>
        <v>0.30000000000000004</v>
      </c>
      <c r="AI79" s="325">
        <f>IFERROR(LARGE(tblPiNAnalysis[[#This Row],[CCCM]:[WASH]], 1), "")</f>
        <v>24688</v>
      </c>
      <c r="AJ79" s="326" t="str" cm="1">
        <f t="array" ref="AJ79">IF(tblPiNAnalysis[[#This Row],[Highest PiN]]="", "", _xlfn.TEXTJOIN(CHAR(10), TRUE, IF(tblPiNAnalysis[[#This Row],[Highest PiN]]=tblPiNAnalysis[[#This Row],[CCCM]:[WASH]], tblPiNAnalysis[[#Headers],[CCCM]:[WASH]], "")))</f>
        <v>Overarching Protection</v>
      </c>
      <c r="AK79" s="327">
        <f>IF(tblPiNAnalysis[[#This Row],[Highest PiN]]="", "", tblPiNAnalysis[[#This Row],[Highest PiN]]/tblPiNAnalysis[[#This Row],[Affected population projection 2026]])</f>
        <v>0.67574435694600166</v>
      </c>
      <c r="AL79" s="328" t="str">
        <f>IF(SUM(tblPiNAnalysis[[#This Row],[CCCM]:[WASH]])=0, "",IF(COUNTIF(tblPiNAnalysis[[#This Row],[CCCM]:[WASH]],"=0")+COUNTIF(tblPiNAnalysis[[#This Row],[CCCM]:[WASH]],"")&gt;=zero_pin_thresh, "Flagged", ""))</f>
        <v/>
      </c>
      <c r="AM79" s="329" t="str">
        <f>IFERROR(IF(tblPiNAnalysis[[#This Row],[Highest PiN]]="", "", IF(tblPiNAnalysis[[#This Row],[Highest sector(s'') PiN %]]&gt;=flag_pin_perc, "Flagged", "")), "")</f>
        <v/>
      </c>
      <c r="AN79" s="330" t="str" cm="1">
        <f t="array" ref="AN79">IF(tblPiNAnalysis[[#This Row],[Highest PiN]]=0, "",  IF(OR(COUNTIF(tblPiNAnalysis[[#This Row],[Highest sector(s)]],tblSubSectorPopulation[Sector])), "Flagged", ""))</f>
        <v/>
      </c>
      <c r="AO79" s="46" cm="1">
        <f t="array" ref="AO7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24356.350885490076</v>
      </c>
      <c r="AP79" s="331" t="str" cm="1">
        <f t="array" ref="AP79">IF(tblPiNAnalysis[[#This Row],[2nd Highest PiN]]="", "", _xlfn.TEXTJOIN(CHAR(10), TRUE, IF(tblPiNAnalysis[[#This Row],[2nd Highest PiN]]=tblPiNAnalysis[[#This Row],[CCCM]:[WASH]], tblPiNAnalysis[[#Headers],[CCCM]:[WASH]], "")))</f>
        <v>WASH</v>
      </c>
      <c r="AQ79" s="36">
        <f>IFERROR(tblPiNAnalysis[[#This Row],[2nd Highest PiN]]/tblPiNAnalysis[[#This Row],[Affected population projection 2026]], "")</f>
        <v>0.66666666666666674</v>
      </c>
      <c r="AR79" s="46">
        <f>IFERROR(tblPiNAnalysis[[#This Row],[Highest PiN]]-tblPiNAnalysis[[#This Row],[2nd Highest PiN]], "")</f>
        <v>331.6491145099244</v>
      </c>
      <c r="AS79" s="39">
        <f>IFERROR(((tblPiNAnalysis[[#This Row],[Highest PiN]]-tblPiNAnalysis[[#This Row],[2nd Highest PiN]])/tblPiNAnalysis[[#This Row],[2nd Highest PiN]]),"")</f>
        <v>1.361653541900233E-2</v>
      </c>
      <c r="AT79" s="39" t="str" cm="1">
        <f t="array" ref="AT7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9" s="332" cm="1">
        <f t="array" ref="AU7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20297.572470561903</v>
      </c>
      <c r="AV79" s="190" t="str" cm="1">
        <f t="array" ref="AV79">IF(tblPiNAnalysis[[#This Row],[3rd Highest PiN]]="", "", _xlfn.TEXTJOIN(CHAR(10), TRUE, IF(tblPiNAnalysis[[#This Row],[3rd Highest PiN]]=tblPiNAnalysis[[#This Row],[CCCM]:[WASH]], tblPiNAnalysis[[#Headers],[CCCM]:[WASH]], "")))</f>
        <v>Food Security</v>
      </c>
      <c r="AW79" s="190">
        <f>IFERROR(tblPiNAnalysis[[#This Row],[3rd Highest PiN]]/tblPiNAnalysis[[#This Row],[Affected population projection 2026]], "")</f>
        <v>0.55557234513466947</v>
      </c>
      <c r="AX79" s="45">
        <f>IFERROR(tblPiNAnalysis[[#This Row],[Highest PiN]]-tblPiNAnalysis[[#This Row],[3rd Highest PiN]],"")</f>
        <v>4390.4275294380968</v>
      </c>
      <c r="AY79" s="39">
        <f>IFERROR(tblPiNAnalysis[[#This Row],[Difference of PiN between Highest and 3rd Highest]]/tblPiNAnalysis[[#This Row],[3rd Highest PiN]], "")</f>
        <v>0.21630308431245401</v>
      </c>
      <c r="AZ79" s="330" t="str" cm="1">
        <f t="array" ref="AZ7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9" s="300" t="str" cm="1">
        <f t="array" ref="BA79">IFERROR(IF(tblPiNAnalysis[[#This Row],[ID]]="", "", INDEX(tblPiNHistorical[[CCCM]:[WASH]], MATCH(tblPiNAnalysis[[#This Row],[ID]],tblPiNHistorical[ID], 0),MATCH(_xlfn._xlws.FILTER(tblPiNAnalysis[[#Headers],[CCCM]:[WASH]], tblPiNAnalysis[[#This Row],[Highest PiN]]=tblPiNAnalysis[[#This Row],[CCCM]:[WASH]]), tblPiNHistorical[[#Headers],[CCCM]:[WASH]], 0))), "")</f>
        <v/>
      </c>
      <c r="BB79" s="333" t="str" cm="1">
        <f t="array" ref="BB7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9" s="276" t="str" cm="1">
        <f t="array" ref="BC79">IFERROR(IF(tblPiNAnalysis[[#This Row],[ID]]="", "", INDEX(tblPiNHistorical[[CCCM]:[WASH]], MATCH(tblPiNAnalysis[[#This Row],[ID]],tblPiNHistorical[ID], 0),MATCH(_xlfn._xlws.FILTER(tblPiNAnalysis[[#Headers],[CCCM]:[WASH]], tblPiNAnalysis[[#This Row],[2nd Highest PiN]]=tblPiNAnalysis[[#This Row],[CCCM]:[WASH]]), tblPiNHistorical[[#Headers],[CCCM]:[WASH]], 0))), "")</f>
        <v/>
      </c>
      <c r="BD79" s="334" t="str" cm="1">
        <f t="array" ref="BD7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9" s="276">
        <f>INDEX(tblSeverityAnalysis[Final Severity], MATCH(tblPiNAnalysis[[#This Row],[ID]],tblSeverityAnalysis[ID], 0))</f>
        <v>4</v>
      </c>
      <c r="BF79" s="61">
        <f>IF(tblPiNAnalysis[[#This Row],[Severity]]&gt;2,tblPiNAnalysis[[#This Row],[Highest PiN]],)</f>
        <v>24688</v>
      </c>
      <c r="BG79" s="191"/>
      <c r="BH79" s="192"/>
      <c r="BI79" s="193">
        <f>COUNTIFS(tblPiNAnalysis[[#This Row],[Number of missing / zero PiNs greater than threshold - Data quality]:[Manual Flag]],"Flagged")</f>
        <v>0</v>
      </c>
      <c r="BJ79" s="96" t="str">
        <f>IF(tblPiNAnalysis[[#This Row],['# Flags]]&gt;0, "Flagged", "")</f>
        <v/>
      </c>
      <c r="BK79" s="326">
        <f>tblPiNAnalysis[[#This Row],[Preliminary PiN]]</f>
        <v>24688</v>
      </c>
      <c r="BL79" s="331"/>
    </row>
    <row r="80" spans="1:64" ht="24.6" x14ac:dyDescent="0.55000000000000004">
      <c r="A8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SS1008</v>
      </c>
      <c r="B80" s="316" t="s">
        <v>390</v>
      </c>
      <c r="C80" s="317" t="s">
        <v>391</v>
      </c>
      <c r="D80" s="317" t="s">
        <v>406</v>
      </c>
      <c r="E80" s="105" t="s">
        <v>407</v>
      </c>
      <c r="F80" s="100"/>
      <c r="G80" s="34"/>
      <c r="H80" s="34"/>
      <c r="I80" s="97">
        <v>2761.8509896481692</v>
      </c>
      <c r="J80" s="97" t="s">
        <v>412</v>
      </c>
      <c r="K80" s="318">
        <v>0</v>
      </c>
      <c r="L80" s="319">
        <v>529.06790875977435</v>
      </c>
      <c r="M80" s="319">
        <v>1135.9991627354789</v>
      </c>
      <c r="N80" s="319">
        <v>536.39969440630443</v>
      </c>
      <c r="O80" s="319">
        <v>1199.984685202463</v>
      </c>
      <c r="P80" s="319">
        <v>1933</v>
      </c>
      <c r="Q80" s="320">
        <v>2761.8509896481692</v>
      </c>
      <c r="R80" s="319">
        <v>2173.6790196305033</v>
      </c>
      <c r="S80" s="319">
        <v>1150</v>
      </c>
      <c r="T80" s="319">
        <v>419</v>
      </c>
      <c r="U80" s="319">
        <v>217</v>
      </c>
      <c r="V80" s="319">
        <v>733</v>
      </c>
      <c r="W80" s="321">
        <f>IFERROR(IF(tblPiNAnalysis[[#This Row],[CCCM]]="", "", MROUND(tblPiNAnalysis[[#This Row],[CCCM]]/tblPiNAnalysis[[#This Row],[Affected population projection 2026]], 0.05)), "")</f>
        <v>0</v>
      </c>
      <c r="X80" s="322">
        <f>IFERROR(IF(tblPiNAnalysis[[#This Row],[Education]]="", "", MROUND(tblPiNAnalysis[[#This Row],[Education]]/tblPiNAnalysis[[#This Row],[Affected population projection 2026]], 0.05)), "")</f>
        <v>0.2</v>
      </c>
      <c r="Y80" s="322">
        <f>IFERROR(IF(tblPiNAnalysis[[#This Row],[Nutrition]]="", "", MROUND(tblPiNAnalysis[[#This Row],[Nutrition]]/tblPiNAnalysis[[#This Row],[Affected population projection 2026]], 0.05)), "")</f>
        <v>0.4</v>
      </c>
      <c r="Z80" s="322">
        <f>IFERROR(IF(tblPiNAnalysis[[#This Row],[Food Security]]="", "", MROUND(tblPiNAnalysis[[#This Row],[Food Security]]/tblPiNAnalysis[[#This Row],[Affected population projection 2026]], 0.05)), "")</f>
        <v>0.2</v>
      </c>
      <c r="AA80" s="322">
        <f>IFERROR(IF(tblPiNAnalysis[[#This Row],[Health]]="", "", MROUND(tblPiNAnalysis[[#This Row],[Health]]/tblPiNAnalysis[[#This Row],[Affected population projection 2026]], 0.05)), "")</f>
        <v>0.45</v>
      </c>
      <c r="AB80" s="323">
        <f>IFERROR(IF(tblPiNAnalysis[[#This Row],[Overarching Protection]]="", "", MROUND(tblPiNAnalysis[[#This Row],[Overarching Protection]]/tblPiNAnalysis[[#This Row],[Affected population projection 2026]], 0.05)), "")</f>
        <v>0.70000000000000007</v>
      </c>
      <c r="AC80" s="323">
        <f>IFERROR(IF(tblPiNAnalysis[[#This Row],[Shelter]]="", "", MROUND(tblPiNAnalysis[[#This Row],[Shelter]]/tblPiNAnalysis[[#This Row],[Affected population projection 2026]], 0.05)), "")</f>
        <v>1</v>
      </c>
      <c r="AD80" s="324">
        <f>IFERROR(IF(tblPiNAnalysis[[#This Row],[WASH]]="", "", MROUND(tblPiNAnalysis[[#This Row],[WASH]]/tblPiNAnalysis[[#This Row],[Affected population projection 2026]], 0.05)), "")</f>
        <v>0.8</v>
      </c>
      <c r="AE80" s="322">
        <f>IFERROR(MROUND(tblPiNAnalysis[[#This Row],[CP]]/tblPiNAnalysis[[#This Row],[Affected population projection 2026]], 0.05), "")</f>
        <v>0.4</v>
      </c>
      <c r="AF80" s="322">
        <f>IFERROR(MROUND(tblPiNAnalysis[[#This Row],[GBV]]/tblPiNAnalysis[[#This Row],[Affected population projection 2026]], 0.05), "")</f>
        <v>0.15000000000000002</v>
      </c>
      <c r="AG80" s="322">
        <f>IFERROR(MROUND(tblPiNAnalysis[[#This Row],[Mine Action]]/tblPiNAnalysis[[#This Row],[Affected population projection 2026]], 0.05), "")</f>
        <v>0.1</v>
      </c>
      <c r="AH80" s="322">
        <f>IFERROR(MROUND(tblPiNAnalysis[[#This Row],[HLP]]/tblPiNAnalysis[[#This Row],[Affected population projection 2026]], 0.05), "")</f>
        <v>0.25</v>
      </c>
      <c r="AI80" s="325">
        <f>IFERROR(LARGE(tblPiNAnalysis[[#This Row],[CCCM]:[WASH]], 1), "")</f>
        <v>2761.8509896481692</v>
      </c>
      <c r="AJ80" s="326" t="str" cm="1">
        <f t="array" ref="AJ80">IF(tblPiNAnalysis[[#This Row],[Highest PiN]]="", "", _xlfn.TEXTJOIN(CHAR(10), TRUE, IF(tblPiNAnalysis[[#This Row],[Highest PiN]]=tblPiNAnalysis[[#This Row],[CCCM]:[WASH]], tblPiNAnalysis[[#Headers],[CCCM]:[WASH]], "")))</f>
        <v>Shelter</v>
      </c>
      <c r="AK80" s="327">
        <f>IF(tblPiNAnalysis[[#This Row],[Highest PiN]]="", "", tblPiNAnalysis[[#This Row],[Highest PiN]]/tblPiNAnalysis[[#This Row],[Affected population projection 2026]])</f>
        <v>1</v>
      </c>
      <c r="AL80" s="328" t="str">
        <f>IF(SUM(tblPiNAnalysis[[#This Row],[CCCM]:[WASH]])=0, "",IF(COUNTIF(tblPiNAnalysis[[#This Row],[CCCM]:[WASH]],"=0")+COUNTIF(tblPiNAnalysis[[#This Row],[CCCM]:[WASH]],"")&gt;=zero_pin_thresh, "Flagged", ""))</f>
        <v/>
      </c>
      <c r="AM80" s="329" t="str">
        <f>IFERROR(IF(tblPiNAnalysis[[#This Row],[Highest PiN]]="", "", IF(tblPiNAnalysis[[#This Row],[Highest sector(s'') PiN %]]&gt;=flag_pin_perc, "Flagged", "")), "")</f>
        <v>Flagged</v>
      </c>
      <c r="AN80" s="330" t="str" cm="1">
        <f t="array" ref="AN80">IF(tblPiNAnalysis[[#This Row],[Highest PiN]]=0, "",  IF(OR(COUNTIF(tblPiNAnalysis[[#This Row],[Highest sector(s)]],tblSubSectorPopulation[Sector])), "Flagged", ""))</f>
        <v/>
      </c>
      <c r="AO80" s="46" cm="1">
        <f t="array" ref="AO8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2173.6790196305033</v>
      </c>
      <c r="AP80" s="331" t="str" cm="1">
        <f t="array" ref="AP80">IF(tblPiNAnalysis[[#This Row],[2nd Highest PiN]]="", "", _xlfn.TEXTJOIN(CHAR(10), TRUE, IF(tblPiNAnalysis[[#This Row],[2nd Highest PiN]]=tblPiNAnalysis[[#This Row],[CCCM]:[WASH]], tblPiNAnalysis[[#Headers],[CCCM]:[WASH]], "")))</f>
        <v>WASH</v>
      </c>
      <c r="AQ80" s="36">
        <f>IFERROR(tblPiNAnalysis[[#This Row],[2nd Highest PiN]]/tblPiNAnalysis[[#This Row],[Affected population projection 2026]], "")</f>
        <v>0.78703703703703698</v>
      </c>
      <c r="AR80" s="46">
        <f>IFERROR(tblPiNAnalysis[[#This Row],[Highest PiN]]-tblPiNAnalysis[[#This Row],[2nd Highest PiN]], "")</f>
        <v>588.1719700176659</v>
      </c>
      <c r="AS80" s="39">
        <f>IFERROR(((tblPiNAnalysis[[#This Row],[Highest PiN]]-tblPiNAnalysis[[#This Row],[2nd Highest PiN]])/tblPiNAnalysis[[#This Row],[2nd Highest PiN]]),"")</f>
        <v>0.2705882352941178</v>
      </c>
      <c r="AT80" s="39" t="str" cm="1">
        <f t="array" ref="AT8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0" s="332" cm="1">
        <f t="array" ref="AU8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1933</v>
      </c>
      <c r="AV80" s="190" t="str" cm="1">
        <f t="array" ref="AV80">IF(tblPiNAnalysis[[#This Row],[3rd Highest PiN]]="", "", _xlfn.TEXTJOIN(CHAR(10), TRUE, IF(tblPiNAnalysis[[#This Row],[3rd Highest PiN]]=tblPiNAnalysis[[#This Row],[CCCM]:[WASH]], tblPiNAnalysis[[#Headers],[CCCM]:[WASH]], "")))</f>
        <v>Overarching Protection</v>
      </c>
      <c r="AW80" s="190">
        <f>IFERROR(tblPiNAnalysis[[#This Row],[3rd Highest PiN]]/tblPiNAnalysis[[#This Row],[Affected population projection 2026]], "")</f>
        <v>0.69989293674610731</v>
      </c>
      <c r="AX80" s="45">
        <f>IFERROR(tblPiNAnalysis[[#This Row],[Highest PiN]]-tblPiNAnalysis[[#This Row],[3rd Highest PiN]],"")</f>
        <v>828.85098964816916</v>
      </c>
      <c r="AY80" s="39">
        <f>IFERROR(tblPiNAnalysis[[#This Row],[Difference of PiN between Highest and 3rd Highest]]/tblPiNAnalysis[[#This Row],[3rd Highest PiN]], "")</f>
        <v>0.42878995843154122</v>
      </c>
      <c r="AZ80" s="330" t="str" cm="1">
        <f t="array" ref="AZ8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0" s="300" t="str" cm="1">
        <f t="array" ref="BA80">IFERROR(IF(tblPiNAnalysis[[#This Row],[ID]]="", "", INDEX(tblPiNHistorical[[CCCM]:[WASH]], MATCH(tblPiNAnalysis[[#This Row],[ID]],tblPiNHistorical[ID], 0),MATCH(_xlfn._xlws.FILTER(tblPiNAnalysis[[#Headers],[CCCM]:[WASH]], tblPiNAnalysis[[#This Row],[Highest PiN]]=tblPiNAnalysis[[#This Row],[CCCM]:[WASH]]), tblPiNHistorical[[#Headers],[CCCM]:[WASH]], 0))), "")</f>
        <v/>
      </c>
      <c r="BB80" s="333" t="str" cm="1">
        <f t="array" ref="BB8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0" s="276" t="str" cm="1">
        <f t="array" ref="BC80">IFERROR(IF(tblPiNAnalysis[[#This Row],[ID]]="", "", INDEX(tblPiNHistorical[[CCCM]:[WASH]], MATCH(tblPiNAnalysis[[#This Row],[ID]],tblPiNHistorical[ID], 0),MATCH(_xlfn._xlws.FILTER(tblPiNAnalysis[[#Headers],[CCCM]:[WASH]], tblPiNAnalysis[[#This Row],[2nd Highest PiN]]=tblPiNAnalysis[[#This Row],[CCCM]:[WASH]]), tblPiNHistorical[[#Headers],[CCCM]:[WASH]], 0))), "")</f>
        <v/>
      </c>
      <c r="BD80" s="334" t="str" cm="1">
        <f t="array" ref="BD8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0" s="276">
        <f>INDEX(tblSeverityAnalysis[Final Severity], MATCH(tblPiNAnalysis[[#This Row],[ID]],tblSeverityAnalysis[ID], 0))</f>
        <v>3</v>
      </c>
      <c r="BF80" s="61">
        <f>IF(tblPiNAnalysis[[#This Row],[Severity]]&gt;2,tblPiNAnalysis[[#This Row],[Highest PiN]],)</f>
        <v>2761.8509896481692</v>
      </c>
      <c r="BG80" s="191"/>
      <c r="BH80" s="192"/>
      <c r="BI80" s="193">
        <f>COUNTIFS(tblPiNAnalysis[[#This Row],[Number of missing / zero PiNs greater than threshold - Data quality]:[Manual Flag]],"Flagged")</f>
        <v>1</v>
      </c>
      <c r="BJ80" s="96" t="str">
        <f>IF(tblPiNAnalysis[[#This Row],['# Flags]]&gt;0, "Flagged", "")</f>
        <v>Flagged</v>
      </c>
      <c r="BK80" s="326">
        <f>tblPiNAnalysis[[#This Row],[Preliminary PiN]]</f>
        <v>2761.8509896481692</v>
      </c>
      <c r="BL80" s="331"/>
    </row>
    <row r="81" spans="1:64" ht="24.6" x14ac:dyDescent="0.55000000000000004">
      <c r="A8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SS1009</v>
      </c>
      <c r="B81" s="316" t="s">
        <v>390</v>
      </c>
      <c r="C81" s="317" t="s">
        <v>391</v>
      </c>
      <c r="D81" s="317" t="s">
        <v>408</v>
      </c>
      <c r="E81" s="105" t="s">
        <v>409</v>
      </c>
      <c r="F81" s="100"/>
      <c r="G81" s="34"/>
      <c r="H81" s="34"/>
      <c r="I81" s="97">
        <v>24855.8360229996</v>
      </c>
      <c r="J81" s="97" t="s">
        <v>412</v>
      </c>
      <c r="K81" s="318">
        <v>24855.8360229996</v>
      </c>
      <c r="L81" s="319">
        <v>5005.1948441154063</v>
      </c>
      <c r="M81" s="319">
        <v>8189.1338242402062</v>
      </c>
      <c r="N81" s="319">
        <v>10683.7141002236</v>
      </c>
      <c r="O81" s="319">
        <v>15120.438459041348</v>
      </c>
      <c r="P81" s="319">
        <v>19885</v>
      </c>
      <c r="Q81" s="320">
        <v>24124.782022323139</v>
      </c>
      <c r="R81" s="319">
        <v>19102.170276934878</v>
      </c>
      <c r="S81" s="319">
        <v>10134</v>
      </c>
      <c r="T81" s="319">
        <v>10946</v>
      </c>
      <c r="U81" s="319">
        <v>1979</v>
      </c>
      <c r="V81" s="319">
        <v>7525</v>
      </c>
      <c r="W81" s="321">
        <f>IFERROR(IF(tblPiNAnalysis[[#This Row],[CCCM]]="", "", MROUND(tblPiNAnalysis[[#This Row],[CCCM]]/tblPiNAnalysis[[#This Row],[Affected population projection 2026]], 0.05)), "")</f>
        <v>1</v>
      </c>
      <c r="X81" s="322">
        <f>IFERROR(IF(tblPiNAnalysis[[#This Row],[Education]]="", "", MROUND(tblPiNAnalysis[[#This Row],[Education]]/tblPiNAnalysis[[#This Row],[Affected population projection 2026]], 0.05)), "")</f>
        <v>0.2</v>
      </c>
      <c r="Y81" s="322">
        <f>IFERROR(IF(tblPiNAnalysis[[#This Row],[Nutrition]]="", "", MROUND(tblPiNAnalysis[[#This Row],[Nutrition]]/tblPiNAnalysis[[#This Row],[Affected population projection 2026]], 0.05)), "")</f>
        <v>0.35000000000000003</v>
      </c>
      <c r="Z81" s="322">
        <f>IFERROR(IF(tblPiNAnalysis[[#This Row],[Food Security]]="", "", MROUND(tblPiNAnalysis[[#This Row],[Food Security]]/tblPiNAnalysis[[#This Row],[Affected population projection 2026]], 0.05)), "")</f>
        <v>0.45</v>
      </c>
      <c r="AA81" s="322">
        <f>IFERROR(IF(tblPiNAnalysis[[#This Row],[Health]]="", "", MROUND(tblPiNAnalysis[[#This Row],[Health]]/tblPiNAnalysis[[#This Row],[Affected population projection 2026]], 0.05)), "")</f>
        <v>0.60000000000000009</v>
      </c>
      <c r="AB81" s="323">
        <f>IFERROR(IF(tblPiNAnalysis[[#This Row],[Overarching Protection]]="", "", MROUND(tblPiNAnalysis[[#This Row],[Overarching Protection]]/tblPiNAnalysis[[#This Row],[Affected population projection 2026]], 0.05)), "")</f>
        <v>0.8</v>
      </c>
      <c r="AC81" s="323">
        <f>IFERROR(IF(tblPiNAnalysis[[#This Row],[Shelter]]="", "", MROUND(tblPiNAnalysis[[#This Row],[Shelter]]/tblPiNAnalysis[[#This Row],[Affected population projection 2026]], 0.05)), "")</f>
        <v>0.95000000000000007</v>
      </c>
      <c r="AD81" s="324">
        <f>IFERROR(IF(tblPiNAnalysis[[#This Row],[WASH]]="", "", MROUND(tblPiNAnalysis[[#This Row],[WASH]]/tblPiNAnalysis[[#This Row],[Affected population projection 2026]], 0.05)), "")</f>
        <v>0.75</v>
      </c>
      <c r="AE81" s="322">
        <f>IFERROR(MROUND(tblPiNAnalysis[[#This Row],[CP]]/tblPiNAnalysis[[#This Row],[Affected population projection 2026]], 0.05), "")</f>
        <v>0.4</v>
      </c>
      <c r="AF81" s="322">
        <f>IFERROR(MROUND(tblPiNAnalysis[[#This Row],[GBV]]/tblPiNAnalysis[[#This Row],[Affected population projection 2026]], 0.05), "")</f>
        <v>0.45</v>
      </c>
      <c r="AG81" s="322">
        <f>IFERROR(MROUND(tblPiNAnalysis[[#This Row],[Mine Action]]/tblPiNAnalysis[[#This Row],[Affected population projection 2026]], 0.05), "")</f>
        <v>0.1</v>
      </c>
      <c r="AH81" s="322">
        <f>IFERROR(MROUND(tblPiNAnalysis[[#This Row],[HLP]]/tblPiNAnalysis[[#This Row],[Affected population projection 2026]], 0.05), "")</f>
        <v>0.30000000000000004</v>
      </c>
      <c r="AI81" s="325">
        <f>IFERROR(LARGE(tblPiNAnalysis[[#This Row],[CCCM]:[WASH]], 1), "")</f>
        <v>24855.8360229996</v>
      </c>
      <c r="AJ81" s="326" t="str" cm="1">
        <f t="array" ref="AJ81">IF(tblPiNAnalysis[[#This Row],[Highest PiN]]="", "", _xlfn.TEXTJOIN(CHAR(10), TRUE, IF(tblPiNAnalysis[[#This Row],[Highest PiN]]=tblPiNAnalysis[[#This Row],[CCCM]:[WASH]], tblPiNAnalysis[[#Headers],[CCCM]:[WASH]], "")))</f>
        <v>CCCM</v>
      </c>
      <c r="AK81" s="327">
        <f>IF(tblPiNAnalysis[[#This Row],[Highest PiN]]="", "", tblPiNAnalysis[[#This Row],[Highest PiN]]/tblPiNAnalysis[[#This Row],[Affected population projection 2026]])</f>
        <v>1</v>
      </c>
      <c r="AL81" s="328" t="str">
        <f>IF(SUM(tblPiNAnalysis[[#This Row],[CCCM]:[WASH]])=0, "",IF(COUNTIF(tblPiNAnalysis[[#This Row],[CCCM]:[WASH]],"=0")+COUNTIF(tblPiNAnalysis[[#This Row],[CCCM]:[WASH]],"")&gt;=zero_pin_thresh, "Flagged", ""))</f>
        <v/>
      </c>
      <c r="AM81" s="329" t="str">
        <f>IFERROR(IF(tblPiNAnalysis[[#This Row],[Highest PiN]]="", "", IF(tblPiNAnalysis[[#This Row],[Highest sector(s'') PiN %]]&gt;=flag_pin_perc, "Flagged", "")), "")</f>
        <v>Flagged</v>
      </c>
      <c r="AN81" s="330" t="str" cm="1">
        <f t="array" ref="AN81">IF(tblPiNAnalysis[[#This Row],[Highest PiN]]=0, "",  IF(OR(COUNTIF(tblPiNAnalysis[[#This Row],[Highest sector(s)]],tblSubSectorPopulation[Sector])), "Flagged", ""))</f>
        <v/>
      </c>
      <c r="AO81" s="46" cm="1">
        <f t="array" ref="AO8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24124.782022323139</v>
      </c>
      <c r="AP81" s="331" t="str" cm="1">
        <f t="array" ref="AP81">IF(tblPiNAnalysis[[#This Row],[2nd Highest PiN]]="", "", _xlfn.TEXTJOIN(CHAR(10), TRUE, IF(tblPiNAnalysis[[#This Row],[2nd Highest PiN]]=tblPiNAnalysis[[#This Row],[CCCM]:[WASH]], tblPiNAnalysis[[#Headers],[CCCM]:[WASH]], "")))</f>
        <v>Shelter</v>
      </c>
      <c r="AQ81" s="36">
        <f>IFERROR(tblPiNAnalysis[[#This Row],[2nd Highest PiN]]/tblPiNAnalysis[[#This Row],[Affected population projection 2026]], "")</f>
        <v>0.97058823529411753</v>
      </c>
      <c r="AR81" s="46">
        <f>IFERROR(tblPiNAnalysis[[#This Row],[Highest PiN]]-tblPiNAnalysis[[#This Row],[2nd Highest PiN]], "")</f>
        <v>731.05400067646042</v>
      </c>
      <c r="AS81" s="39">
        <f>IFERROR(((tblPiNAnalysis[[#This Row],[Highest PiN]]-tblPiNAnalysis[[#This Row],[2nd Highest PiN]])/tblPiNAnalysis[[#This Row],[2nd Highest PiN]]),"")</f>
        <v>3.0303030303030373E-2</v>
      </c>
      <c r="AT81" s="39" t="str" cm="1">
        <f t="array" ref="AT8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1" s="332" cm="1">
        <f t="array" ref="AU8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19885</v>
      </c>
      <c r="AV81" s="190" t="str" cm="1">
        <f t="array" ref="AV81">IF(tblPiNAnalysis[[#This Row],[3rd Highest PiN]]="", "", _xlfn.TEXTJOIN(CHAR(10), TRUE, IF(tblPiNAnalysis[[#This Row],[3rd Highest PiN]]=tblPiNAnalysis[[#This Row],[CCCM]:[WASH]], tblPiNAnalysis[[#Headers],[CCCM]:[WASH]], "")))</f>
        <v>Overarching Protection</v>
      </c>
      <c r="AW81" s="190">
        <f>IFERROR(tblPiNAnalysis[[#This Row],[3rd Highest PiN]]/tblPiNAnalysis[[#This Row],[Affected population projection 2026]], "")</f>
        <v>0.80001332409821235</v>
      </c>
      <c r="AX81" s="45">
        <f>IFERROR(tblPiNAnalysis[[#This Row],[Highest PiN]]-tblPiNAnalysis[[#This Row],[3rd Highest PiN]],"")</f>
        <v>4970.8360229995997</v>
      </c>
      <c r="AY81" s="39">
        <f>IFERROR(tblPiNAnalysis[[#This Row],[Difference of PiN between Highest and 3rd Highest]]/tblPiNAnalysis[[#This Row],[3rd Highest PiN]], "")</f>
        <v>0.24997918144327883</v>
      </c>
      <c r="AZ81" s="330" t="str" cm="1">
        <f t="array" ref="AZ8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1" s="300" t="str" cm="1">
        <f t="array" ref="BA81">IFERROR(IF(tblPiNAnalysis[[#This Row],[ID]]="", "", INDEX(tblPiNHistorical[[CCCM]:[WASH]], MATCH(tblPiNAnalysis[[#This Row],[ID]],tblPiNHistorical[ID], 0),MATCH(_xlfn._xlws.FILTER(tblPiNAnalysis[[#Headers],[CCCM]:[WASH]], tblPiNAnalysis[[#This Row],[Highest PiN]]=tblPiNAnalysis[[#This Row],[CCCM]:[WASH]]), tblPiNHistorical[[#Headers],[CCCM]:[WASH]], 0))), "")</f>
        <v/>
      </c>
      <c r="BB81" s="333" t="str" cm="1">
        <f t="array" ref="BB8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1" s="276" t="str" cm="1">
        <f t="array" ref="BC81">IFERROR(IF(tblPiNAnalysis[[#This Row],[ID]]="", "", INDEX(tblPiNHistorical[[CCCM]:[WASH]], MATCH(tblPiNAnalysis[[#This Row],[ID]],tblPiNHistorical[ID], 0),MATCH(_xlfn._xlws.FILTER(tblPiNAnalysis[[#Headers],[CCCM]:[WASH]], tblPiNAnalysis[[#This Row],[2nd Highest PiN]]=tblPiNAnalysis[[#This Row],[CCCM]:[WASH]]), tblPiNHistorical[[#Headers],[CCCM]:[WASH]], 0))), "")</f>
        <v/>
      </c>
      <c r="BD81" s="334" t="str" cm="1">
        <f t="array" ref="BD8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1" s="276">
        <f>INDEX(tblSeverityAnalysis[Final Severity], MATCH(tblPiNAnalysis[[#This Row],[ID]],tblSeverityAnalysis[ID], 0))</f>
        <v>4</v>
      </c>
      <c r="BF81" s="61">
        <f>IF(tblPiNAnalysis[[#This Row],[Severity]]&gt;2,tblPiNAnalysis[[#This Row],[Highest PiN]],)</f>
        <v>24855.8360229996</v>
      </c>
      <c r="BG81" s="191"/>
      <c r="BH81" s="192"/>
      <c r="BI81" s="193">
        <f>COUNTIFS(tblPiNAnalysis[[#This Row],[Number of missing / zero PiNs greater than threshold - Data quality]:[Manual Flag]],"Flagged")</f>
        <v>1</v>
      </c>
      <c r="BJ81" s="96" t="str">
        <f>IF(tblPiNAnalysis[[#This Row],['# Flags]]&gt;0, "Flagged", "")</f>
        <v>Flagged</v>
      </c>
      <c r="BK81" s="326">
        <f>tblPiNAnalysis[[#This Row],[Preliminary PiN]]</f>
        <v>24855.8360229996</v>
      </c>
      <c r="BL81" s="331"/>
    </row>
    <row r="82" spans="1:64" ht="24.6" x14ac:dyDescent="0.55000000000000004">
      <c r="A8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SS1010</v>
      </c>
      <c r="B82" s="316" t="s">
        <v>390</v>
      </c>
      <c r="C82" s="317" t="s">
        <v>391</v>
      </c>
      <c r="D82" s="317" t="s">
        <v>410</v>
      </c>
      <c r="E82" s="105" t="s">
        <v>411</v>
      </c>
      <c r="F82" s="100"/>
      <c r="G82" s="34"/>
      <c r="H82" s="34"/>
      <c r="I82" s="97">
        <v>10973.797642312536</v>
      </c>
      <c r="J82" s="97" t="s">
        <v>412</v>
      </c>
      <c r="K82" s="318">
        <v>0</v>
      </c>
      <c r="L82" s="319">
        <v>2032.0839522128661</v>
      </c>
      <c r="M82" s="319">
        <v>3636.2835444713837</v>
      </c>
      <c r="N82" s="319">
        <v>2782.9095656369154</v>
      </c>
      <c r="O82" s="319">
        <v>5371.2361664480359</v>
      </c>
      <c r="P82" s="319">
        <v>8779</v>
      </c>
      <c r="Q82" s="320">
        <v>8779.0381138500288</v>
      </c>
      <c r="R82" s="319">
        <v>8230.3482317344024</v>
      </c>
      <c r="S82" s="319">
        <v>4504</v>
      </c>
      <c r="T82" s="319">
        <v>4994</v>
      </c>
      <c r="U82" s="319">
        <v>2285</v>
      </c>
      <c r="V82" s="319">
        <v>3237</v>
      </c>
      <c r="W82" s="321">
        <f>IFERROR(IF(tblPiNAnalysis[[#This Row],[CCCM]]="", "", MROUND(tblPiNAnalysis[[#This Row],[CCCM]]/tblPiNAnalysis[[#This Row],[Affected population projection 2026]], 0.05)), "")</f>
        <v>0</v>
      </c>
      <c r="X82" s="322">
        <f>IFERROR(IF(tblPiNAnalysis[[#This Row],[Education]]="", "", MROUND(tblPiNAnalysis[[#This Row],[Education]]/tblPiNAnalysis[[#This Row],[Affected population projection 2026]], 0.05)), "")</f>
        <v>0.2</v>
      </c>
      <c r="Y82" s="322">
        <f>IFERROR(IF(tblPiNAnalysis[[#This Row],[Nutrition]]="", "", MROUND(tblPiNAnalysis[[#This Row],[Nutrition]]/tblPiNAnalysis[[#This Row],[Affected population projection 2026]], 0.05)), "")</f>
        <v>0.35000000000000003</v>
      </c>
      <c r="Z82" s="322">
        <f>IFERROR(IF(tblPiNAnalysis[[#This Row],[Food Security]]="", "", MROUND(tblPiNAnalysis[[#This Row],[Food Security]]/tblPiNAnalysis[[#This Row],[Affected population projection 2026]], 0.05)), "")</f>
        <v>0.25</v>
      </c>
      <c r="AA82" s="322">
        <f>IFERROR(IF(tblPiNAnalysis[[#This Row],[Health]]="", "", MROUND(tblPiNAnalysis[[#This Row],[Health]]/tblPiNAnalysis[[#This Row],[Affected population projection 2026]], 0.05)), "")</f>
        <v>0.5</v>
      </c>
      <c r="AB82" s="323">
        <f>IFERROR(IF(tblPiNAnalysis[[#This Row],[Overarching Protection]]="", "", MROUND(tblPiNAnalysis[[#This Row],[Overarching Protection]]/tblPiNAnalysis[[#This Row],[Affected population projection 2026]], 0.05)), "")</f>
        <v>0.8</v>
      </c>
      <c r="AC82" s="323">
        <f>IFERROR(IF(tblPiNAnalysis[[#This Row],[Shelter]]="", "", MROUND(tblPiNAnalysis[[#This Row],[Shelter]]/tblPiNAnalysis[[#This Row],[Affected population projection 2026]], 0.05)), "")</f>
        <v>0.8</v>
      </c>
      <c r="AD82" s="324">
        <f>IFERROR(IF(tblPiNAnalysis[[#This Row],[WASH]]="", "", MROUND(tblPiNAnalysis[[#This Row],[WASH]]/tblPiNAnalysis[[#This Row],[Affected population projection 2026]], 0.05)), "")</f>
        <v>0.75</v>
      </c>
      <c r="AE82" s="322">
        <f>IFERROR(MROUND(tblPiNAnalysis[[#This Row],[CP]]/tblPiNAnalysis[[#This Row],[Affected population projection 2026]], 0.05), "")</f>
        <v>0.4</v>
      </c>
      <c r="AF82" s="322">
        <f>IFERROR(MROUND(tblPiNAnalysis[[#This Row],[GBV]]/tblPiNAnalysis[[#This Row],[Affected population projection 2026]], 0.05), "")</f>
        <v>0.45</v>
      </c>
      <c r="AG82" s="322">
        <f>IFERROR(MROUND(tblPiNAnalysis[[#This Row],[Mine Action]]/tblPiNAnalysis[[#This Row],[Affected population projection 2026]], 0.05), "")</f>
        <v>0.2</v>
      </c>
      <c r="AH82" s="322">
        <f>IFERROR(MROUND(tblPiNAnalysis[[#This Row],[HLP]]/tblPiNAnalysis[[#This Row],[Affected population projection 2026]], 0.05), "")</f>
        <v>0.30000000000000004</v>
      </c>
      <c r="AI82" s="325">
        <f>IFERROR(LARGE(tblPiNAnalysis[[#This Row],[CCCM]:[WASH]], 1), "")</f>
        <v>8779.0381138500288</v>
      </c>
      <c r="AJ82" s="326" t="str" cm="1">
        <f t="array" ref="AJ82">IF(tblPiNAnalysis[[#This Row],[Highest PiN]]="", "", _xlfn.TEXTJOIN(CHAR(10), TRUE, IF(tblPiNAnalysis[[#This Row],[Highest PiN]]=tblPiNAnalysis[[#This Row],[CCCM]:[WASH]], tblPiNAnalysis[[#Headers],[CCCM]:[WASH]], "")))</f>
        <v>Shelter</v>
      </c>
      <c r="AK82" s="327">
        <f>IF(tblPiNAnalysis[[#This Row],[Highest PiN]]="", "", tblPiNAnalysis[[#This Row],[Highest PiN]]/tblPiNAnalysis[[#This Row],[Affected population projection 2026]])</f>
        <v>0.79999999999999993</v>
      </c>
      <c r="AL82" s="328" t="str">
        <f>IF(SUM(tblPiNAnalysis[[#This Row],[CCCM]:[WASH]])=0, "",IF(COUNTIF(tblPiNAnalysis[[#This Row],[CCCM]:[WASH]],"=0")+COUNTIF(tblPiNAnalysis[[#This Row],[CCCM]:[WASH]],"")&gt;=zero_pin_thresh, "Flagged", ""))</f>
        <v/>
      </c>
      <c r="AM82" s="329" t="str">
        <f>IFERROR(IF(tblPiNAnalysis[[#This Row],[Highest PiN]]="", "", IF(tblPiNAnalysis[[#This Row],[Highest sector(s'') PiN %]]&gt;=flag_pin_perc, "Flagged", "")), "")</f>
        <v/>
      </c>
      <c r="AN82" s="330" t="str" cm="1">
        <f t="array" ref="AN82">IF(tblPiNAnalysis[[#This Row],[Highest PiN]]=0, "",  IF(OR(COUNTIF(tblPiNAnalysis[[#This Row],[Highest sector(s)]],tblSubSectorPopulation[Sector])), "Flagged", ""))</f>
        <v/>
      </c>
      <c r="AO82" s="46" cm="1">
        <f t="array" ref="AO8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8779</v>
      </c>
      <c r="AP82" s="331" t="str" cm="1">
        <f t="array" ref="AP82">IF(tblPiNAnalysis[[#This Row],[2nd Highest PiN]]="", "", _xlfn.TEXTJOIN(CHAR(10), TRUE, IF(tblPiNAnalysis[[#This Row],[2nd Highest PiN]]=tblPiNAnalysis[[#This Row],[CCCM]:[WASH]], tblPiNAnalysis[[#Headers],[CCCM]:[WASH]], "")))</f>
        <v>Overarching Protection</v>
      </c>
      <c r="AQ82" s="36">
        <f>IFERROR(tblPiNAnalysis[[#This Row],[2nd Highest PiN]]/tblPiNAnalysis[[#This Row],[Affected population projection 2026]], "")</f>
        <v>0.79999652683134215</v>
      </c>
      <c r="AR82" s="46">
        <f>IFERROR(tblPiNAnalysis[[#This Row],[Highest PiN]]-tblPiNAnalysis[[#This Row],[2nd Highest PiN]], "")</f>
        <v>3.8113850028821616E-2</v>
      </c>
      <c r="AS82" s="39">
        <f>IFERROR(((tblPiNAnalysis[[#This Row],[Highest PiN]]-tblPiNAnalysis[[#This Row],[2nd Highest PiN]])/tblPiNAnalysis[[#This Row],[2nd Highest PiN]]),"")</f>
        <v>4.3414796706711034E-6</v>
      </c>
      <c r="AT82" s="39" t="str" cm="1">
        <f t="array" ref="AT8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2" s="332" cm="1">
        <f t="array" ref="AU8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8230.3482317344024</v>
      </c>
      <c r="AV82" s="190" t="str" cm="1">
        <f t="array" ref="AV82">IF(tblPiNAnalysis[[#This Row],[3rd Highest PiN]]="", "", _xlfn.TEXTJOIN(CHAR(10), TRUE, IF(tblPiNAnalysis[[#This Row],[3rd Highest PiN]]=tblPiNAnalysis[[#This Row],[CCCM]:[WASH]], tblPiNAnalysis[[#Headers],[CCCM]:[WASH]], "")))</f>
        <v>WASH</v>
      </c>
      <c r="AW82" s="190">
        <f>IFERROR(tblPiNAnalysis[[#This Row],[3rd Highest PiN]]/tblPiNAnalysis[[#This Row],[Affected population projection 2026]], "")</f>
        <v>0.75</v>
      </c>
      <c r="AX82" s="45">
        <f>IFERROR(tblPiNAnalysis[[#This Row],[Highest PiN]]-tblPiNAnalysis[[#This Row],[3rd Highest PiN]],"")</f>
        <v>548.68988211562646</v>
      </c>
      <c r="AY82" s="39">
        <f>IFERROR(tblPiNAnalysis[[#This Row],[Difference of PiN between Highest and 3rd Highest]]/tblPiNAnalysis[[#This Row],[3rd Highest PiN]], "")</f>
        <v>6.6666666666666624E-2</v>
      </c>
      <c r="AZ82" s="330" t="str" cm="1">
        <f t="array" ref="AZ8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2" s="300" t="str" cm="1">
        <f t="array" ref="BA82">IFERROR(IF(tblPiNAnalysis[[#This Row],[ID]]="", "", INDEX(tblPiNHistorical[[CCCM]:[WASH]], MATCH(tblPiNAnalysis[[#This Row],[ID]],tblPiNHistorical[ID], 0),MATCH(_xlfn._xlws.FILTER(tblPiNAnalysis[[#Headers],[CCCM]:[WASH]], tblPiNAnalysis[[#This Row],[Highest PiN]]=tblPiNAnalysis[[#This Row],[CCCM]:[WASH]]), tblPiNHistorical[[#Headers],[CCCM]:[WASH]], 0))), "")</f>
        <v/>
      </c>
      <c r="BB82" s="333" t="str" cm="1">
        <f t="array" ref="BB8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2" s="276" t="str" cm="1">
        <f t="array" ref="BC82">IFERROR(IF(tblPiNAnalysis[[#This Row],[ID]]="", "", INDEX(tblPiNHistorical[[CCCM]:[WASH]], MATCH(tblPiNAnalysis[[#This Row],[ID]],tblPiNHistorical[ID], 0),MATCH(_xlfn._xlws.FILTER(tblPiNAnalysis[[#Headers],[CCCM]:[WASH]], tblPiNAnalysis[[#This Row],[2nd Highest PiN]]=tblPiNAnalysis[[#This Row],[CCCM]:[WASH]]), tblPiNHistorical[[#Headers],[CCCM]:[WASH]], 0))), "")</f>
        <v/>
      </c>
      <c r="BD82" s="334" t="str" cm="1">
        <f t="array" ref="BD8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2" s="276">
        <f>INDEX(tblSeverityAnalysis[Final Severity], MATCH(tblPiNAnalysis[[#This Row],[ID]],tblSeverityAnalysis[ID], 0))</f>
        <v>3</v>
      </c>
      <c r="BF82" s="61">
        <f>IF(tblPiNAnalysis[[#This Row],[Severity]]&gt;2,tblPiNAnalysis[[#This Row],[Highest PiN]],)</f>
        <v>8779.0381138500288</v>
      </c>
      <c r="BG82" s="191"/>
      <c r="BH82" s="192"/>
      <c r="BI82" s="193">
        <f>COUNTIFS(tblPiNAnalysis[[#This Row],[Number of missing / zero PiNs greater than threshold - Data quality]:[Manual Flag]],"Flagged")</f>
        <v>0</v>
      </c>
      <c r="BJ82" s="96" t="str">
        <f>IF(tblPiNAnalysis[[#This Row],['# Flags]]&gt;0, "Flagged", "")</f>
        <v/>
      </c>
      <c r="BK82" s="326">
        <f>tblPiNAnalysis[[#This Row],[Preliminary PiN]]</f>
        <v>8779.0381138500288</v>
      </c>
      <c r="BL82" s="331"/>
    </row>
    <row r="83" spans="1:64" ht="36.9" x14ac:dyDescent="0.55000000000000004">
      <c r="A8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SS0001</v>
      </c>
      <c r="B83" s="316" t="s">
        <v>233</v>
      </c>
      <c r="C83" s="317" t="s">
        <v>234</v>
      </c>
      <c r="D83" s="317" t="s">
        <v>233</v>
      </c>
      <c r="E83" s="105" t="s">
        <v>235</v>
      </c>
      <c r="F83" s="100"/>
      <c r="G83" s="34"/>
      <c r="H83" s="34"/>
      <c r="I83" s="97">
        <v>14516.802522734295</v>
      </c>
      <c r="J83" s="97" t="s">
        <v>413</v>
      </c>
      <c r="K83" s="318"/>
      <c r="L83" s="319">
        <v>1280.3819825051648</v>
      </c>
      <c r="M83" s="319">
        <v>7035.6908697905883</v>
      </c>
      <c r="N83" s="319">
        <v>8960.7014556909598</v>
      </c>
      <c r="O83" s="319">
        <v>10162.535731393538</v>
      </c>
      <c r="P83" s="319">
        <v>2555</v>
      </c>
      <c r="Q83" s="320">
        <v>4573.7870962039569</v>
      </c>
      <c r="R83" s="319">
        <v>5645.423203285558</v>
      </c>
      <c r="S83" s="319">
        <v>1192</v>
      </c>
      <c r="T83" s="319">
        <v>2252</v>
      </c>
      <c r="U83" s="319">
        <v>0</v>
      </c>
      <c r="V83" s="319">
        <v>347</v>
      </c>
      <c r="W83" s="321" t="str">
        <f>IFERROR(IF(tblPiNAnalysis[[#This Row],[CCCM]]="", "", MROUND(tblPiNAnalysis[[#This Row],[CCCM]]/tblPiNAnalysis[[#This Row],[Affected population projection 2026]], 0.05)), "")</f>
        <v/>
      </c>
      <c r="X83" s="322">
        <f>IFERROR(IF(tblPiNAnalysis[[#This Row],[Education]]="", "", MROUND(tblPiNAnalysis[[#This Row],[Education]]/tblPiNAnalysis[[#This Row],[Affected population projection 2026]], 0.05)), "")</f>
        <v>0.1</v>
      </c>
      <c r="Y83" s="322">
        <f>IFERROR(IF(tblPiNAnalysis[[#This Row],[Nutrition]]="", "", MROUND(tblPiNAnalysis[[#This Row],[Nutrition]]/tblPiNAnalysis[[#This Row],[Affected population projection 2026]], 0.05)), "")</f>
        <v>0.5</v>
      </c>
      <c r="Z83" s="322">
        <f>IFERROR(IF(tblPiNAnalysis[[#This Row],[Food Security]]="", "", MROUND(tblPiNAnalysis[[#This Row],[Food Security]]/tblPiNAnalysis[[#This Row],[Affected population projection 2026]], 0.05)), "")</f>
        <v>0.60000000000000009</v>
      </c>
      <c r="AA83" s="322">
        <f>IFERROR(IF(tblPiNAnalysis[[#This Row],[Health]]="", "", MROUND(tblPiNAnalysis[[#This Row],[Health]]/tblPiNAnalysis[[#This Row],[Affected population projection 2026]], 0.05)), "")</f>
        <v>0.70000000000000007</v>
      </c>
      <c r="AB83" s="323">
        <f>IFERROR(IF(tblPiNAnalysis[[#This Row],[Overarching Protection]]="", "", MROUND(tblPiNAnalysis[[#This Row],[Overarching Protection]]/tblPiNAnalysis[[#This Row],[Affected population projection 2026]], 0.05)), "")</f>
        <v>0.2</v>
      </c>
      <c r="AC83" s="323">
        <f>IFERROR(IF(tblPiNAnalysis[[#This Row],[Shelter]]="", "", MROUND(tblPiNAnalysis[[#This Row],[Shelter]]/tblPiNAnalysis[[#This Row],[Affected population projection 2026]], 0.05)), "")</f>
        <v>0.30000000000000004</v>
      </c>
      <c r="AD83" s="324">
        <f>IFERROR(IF(tblPiNAnalysis[[#This Row],[WASH]]="", "", MROUND(tblPiNAnalysis[[#This Row],[WASH]]/tblPiNAnalysis[[#This Row],[Affected population projection 2026]], 0.05)), "")</f>
        <v>0.4</v>
      </c>
      <c r="AE83" s="322">
        <f>IFERROR(MROUND(tblPiNAnalysis[[#This Row],[CP]]/tblPiNAnalysis[[#This Row],[Affected population projection 2026]], 0.05), "")</f>
        <v>0.1</v>
      </c>
      <c r="AF83" s="322">
        <f>IFERROR(MROUND(tblPiNAnalysis[[#This Row],[GBV]]/tblPiNAnalysis[[#This Row],[Affected population projection 2026]], 0.05), "")</f>
        <v>0.15000000000000002</v>
      </c>
      <c r="AG83" s="322">
        <f>IFERROR(MROUND(tblPiNAnalysis[[#This Row],[Mine Action]]/tblPiNAnalysis[[#This Row],[Affected population projection 2026]], 0.05), "")</f>
        <v>0</v>
      </c>
      <c r="AH83" s="322">
        <f>IFERROR(MROUND(tblPiNAnalysis[[#This Row],[HLP]]/tblPiNAnalysis[[#This Row],[Affected population projection 2026]], 0.05), "")</f>
        <v>0</v>
      </c>
      <c r="AI83" s="325">
        <f>IFERROR(LARGE(tblPiNAnalysis[[#This Row],[CCCM]:[WASH]], 1), "")</f>
        <v>10162.535731393538</v>
      </c>
      <c r="AJ83" s="326" t="str" cm="1">
        <f t="array" ref="AJ83">IF(tblPiNAnalysis[[#This Row],[Highest PiN]]="", "", _xlfn.TEXTJOIN(CHAR(10), TRUE, IF(tblPiNAnalysis[[#This Row],[Highest PiN]]=tblPiNAnalysis[[#This Row],[CCCM]:[WASH]], tblPiNAnalysis[[#Headers],[CCCM]:[WASH]], "")))</f>
        <v>Health</v>
      </c>
      <c r="AK83" s="327">
        <f>IF(tblPiNAnalysis[[#This Row],[Highest PiN]]="", "", tblPiNAnalysis[[#This Row],[Highest PiN]]/tblPiNAnalysis[[#This Row],[Affected population projection 2026]])</f>
        <v>0.70005331514831315</v>
      </c>
      <c r="AL83" s="328" t="str">
        <f>IF(SUM(tblPiNAnalysis[[#This Row],[CCCM]:[WASH]])=0, "",IF(COUNTIF(tblPiNAnalysis[[#This Row],[CCCM]:[WASH]],"=0")+COUNTIF(tblPiNAnalysis[[#This Row],[CCCM]:[WASH]],"")&gt;=zero_pin_thresh, "Flagged", ""))</f>
        <v/>
      </c>
      <c r="AM83" s="329" t="str">
        <f>IFERROR(IF(tblPiNAnalysis[[#This Row],[Highest PiN]]="", "", IF(tblPiNAnalysis[[#This Row],[Highest sector(s'') PiN %]]&gt;=flag_pin_perc, "Flagged", "")), "")</f>
        <v/>
      </c>
      <c r="AN83" s="330" t="str" cm="1">
        <f t="array" ref="AN83">IF(tblPiNAnalysis[[#This Row],[Highest PiN]]=0, "",  IF(OR(COUNTIF(tblPiNAnalysis[[#This Row],[Highest sector(s)]],tblSubSectorPopulation[Sector])), "Flagged", ""))</f>
        <v/>
      </c>
      <c r="AO83" s="46" cm="1">
        <f t="array" ref="AO8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8960.7014556909598</v>
      </c>
      <c r="AP83" s="331" t="str" cm="1">
        <f t="array" ref="AP83">IF(tblPiNAnalysis[[#This Row],[2nd Highest PiN]]="", "", _xlfn.TEXTJOIN(CHAR(10), TRUE, IF(tblPiNAnalysis[[#This Row],[2nd Highest PiN]]=tblPiNAnalysis[[#This Row],[CCCM]:[WASH]], tblPiNAnalysis[[#Headers],[CCCM]:[WASH]], "")))</f>
        <v>Food Security</v>
      </c>
      <c r="AQ83" s="36">
        <f>IFERROR(tblPiNAnalysis[[#This Row],[2nd Highest PiN]]/tblPiNAnalysis[[#This Row],[Affected population projection 2026]], "")</f>
        <v>0.61726412835456668</v>
      </c>
      <c r="AR83" s="46">
        <f>IFERROR(tblPiNAnalysis[[#This Row],[Highest PiN]]-tblPiNAnalysis[[#This Row],[2nd Highest PiN]], "")</f>
        <v>1201.8342757025785</v>
      </c>
      <c r="AS83" s="39">
        <f>IFERROR(((tblPiNAnalysis[[#This Row],[Highest PiN]]-tblPiNAnalysis[[#This Row],[2nd Highest PiN]])/tblPiNAnalysis[[#This Row],[2nd Highest PiN]]),"")</f>
        <v>0.13412278956568641</v>
      </c>
      <c r="AT83" s="39" t="str" cm="1">
        <f t="array" ref="AT8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3" s="332" cm="1">
        <f t="array" ref="AU8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7035.6908697905883</v>
      </c>
      <c r="AV83" s="190" t="str" cm="1">
        <f t="array" ref="AV83">IF(tblPiNAnalysis[[#This Row],[3rd Highest PiN]]="", "", _xlfn.TEXTJOIN(CHAR(10), TRUE, IF(tblPiNAnalysis[[#This Row],[3rd Highest PiN]]=tblPiNAnalysis[[#This Row],[CCCM]:[WASH]], tblPiNAnalysis[[#Headers],[CCCM]:[WASH]], "")))</f>
        <v>Nutrition</v>
      </c>
      <c r="AW83" s="190">
        <f>IFERROR(tblPiNAnalysis[[#This Row],[3rd Highest PiN]]/tblPiNAnalysis[[#This Row],[Affected population projection 2026]], "")</f>
        <v>0.4846584403674446</v>
      </c>
      <c r="AX83" s="45">
        <f>IFERROR(tblPiNAnalysis[[#This Row],[Highest PiN]]-tblPiNAnalysis[[#This Row],[3rd Highest PiN]],"")</f>
        <v>3126.84486160295</v>
      </c>
      <c r="AY83" s="39">
        <f>IFERROR(tblPiNAnalysis[[#This Row],[Difference of PiN between Highest and 3rd Highest]]/tblPiNAnalysis[[#This Row],[3rd Highest PiN]], "")</f>
        <v>0.44442612949764493</v>
      </c>
      <c r="AZ83" s="330" t="str" cm="1">
        <f t="array" ref="AZ8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3" s="300" t="str" cm="1">
        <f t="array" ref="BA83">IFERROR(IF(tblPiNAnalysis[[#This Row],[ID]]="", "", INDEX(tblPiNHistorical[[CCCM]:[WASH]], MATCH(tblPiNAnalysis[[#This Row],[ID]],tblPiNHistorical[ID], 0),MATCH(_xlfn._xlws.FILTER(tblPiNAnalysis[[#Headers],[CCCM]:[WASH]], tblPiNAnalysis[[#This Row],[Highest PiN]]=tblPiNAnalysis[[#This Row],[CCCM]:[WASH]]), tblPiNHistorical[[#Headers],[CCCM]:[WASH]], 0))), "")</f>
        <v/>
      </c>
      <c r="BB83" s="333" t="str" cm="1">
        <f t="array" ref="BB8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3" s="276" t="str" cm="1">
        <f t="array" ref="BC83">IFERROR(IF(tblPiNAnalysis[[#This Row],[ID]]="", "", INDEX(tblPiNHistorical[[CCCM]:[WASH]], MATCH(tblPiNAnalysis[[#This Row],[ID]],tblPiNHistorical[ID], 0),MATCH(_xlfn._xlws.FILTER(tblPiNAnalysis[[#Headers],[CCCM]:[WASH]], tblPiNAnalysis[[#This Row],[2nd Highest PiN]]=tblPiNAnalysis[[#This Row],[CCCM]:[WASH]]), tblPiNHistorical[[#Headers],[CCCM]:[WASH]], 0))), "")</f>
        <v/>
      </c>
      <c r="BD83" s="334" t="str" cm="1">
        <f t="array" ref="BD8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3" s="276">
        <f>INDEX(tblSeverityAnalysis[Final Severity], MATCH(tblPiNAnalysis[[#This Row],[ID]],tblSeverityAnalysis[ID], 0))</f>
        <v>4</v>
      </c>
      <c r="BF83" s="61">
        <f>IF(tblPiNAnalysis[[#This Row],[Severity]]&gt;2,tblPiNAnalysis[[#This Row],[Highest PiN]],)</f>
        <v>10162.535731393538</v>
      </c>
      <c r="BG83" s="191"/>
      <c r="BH83" s="192"/>
      <c r="BI83" s="193">
        <f>COUNTIFS(tblPiNAnalysis[[#This Row],[Number of missing / zero PiNs greater than threshold - Data quality]:[Manual Flag]],"Flagged")</f>
        <v>0</v>
      </c>
      <c r="BJ83" s="96" t="str">
        <f>IF(tblPiNAnalysis[[#This Row],['# Flags]]&gt;0, "Flagged", "")</f>
        <v/>
      </c>
      <c r="BK83" s="326">
        <f>tblPiNAnalysis[[#This Row],[Preliminary PiN]]</f>
        <v>10162.535731393538</v>
      </c>
      <c r="BL83" s="331"/>
    </row>
    <row r="84" spans="1:64" ht="24.6" x14ac:dyDescent="0.55000000000000004">
      <c r="A8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SS0101</v>
      </c>
      <c r="B84" s="316" t="s">
        <v>236</v>
      </c>
      <c r="C84" s="317" t="s">
        <v>237</v>
      </c>
      <c r="D84" s="317" t="s">
        <v>238</v>
      </c>
      <c r="E84" s="105" t="s">
        <v>239</v>
      </c>
      <c r="F84" s="100"/>
      <c r="G84" s="34"/>
      <c r="H84" s="34"/>
      <c r="I84" s="97">
        <v>310546.09109739598</v>
      </c>
      <c r="J84" s="97" t="s">
        <v>413</v>
      </c>
      <c r="K84" s="318"/>
      <c r="L84" s="319">
        <v>34506.328912287157</v>
      </c>
      <c r="M84" s="319">
        <v>121870.66637679518</v>
      </c>
      <c r="N84" s="319">
        <v>218524.29063527889</v>
      </c>
      <c r="O84" s="319">
        <v>172216.93776355864</v>
      </c>
      <c r="P84" s="319">
        <v>109312</v>
      </c>
      <c r="Q84" s="320">
        <v>115937.20734302783</v>
      </c>
      <c r="R84" s="319">
        <v>121395.29015625475</v>
      </c>
      <c r="S84" s="319">
        <v>42905</v>
      </c>
      <c r="T84" s="319">
        <v>46382</v>
      </c>
      <c r="U84" s="319">
        <v>100226</v>
      </c>
      <c r="V84" s="319">
        <v>3513</v>
      </c>
      <c r="W84" s="321" t="str">
        <f>IFERROR(IF(tblPiNAnalysis[[#This Row],[CCCM]]="", "", MROUND(tblPiNAnalysis[[#This Row],[CCCM]]/tblPiNAnalysis[[#This Row],[Affected population projection 2026]], 0.05)), "")</f>
        <v/>
      </c>
      <c r="X84" s="322">
        <f>IFERROR(IF(tblPiNAnalysis[[#This Row],[Education]]="", "", MROUND(tblPiNAnalysis[[#This Row],[Education]]/tblPiNAnalysis[[#This Row],[Affected population projection 2026]], 0.05)), "")</f>
        <v>0.1</v>
      </c>
      <c r="Y84" s="322">
        <f>IFERROR(IF(tblPiNAnalysis[[#This Row],[Nutrition]]="", "", MROUND(tblPiNAnalysis[[#This Row],[Nutrition]]/tblPiNAnalysis[[#This Row],[Affected population projection 2026]], 0.05)), "")</f>
        <v>0.4</v>
      </c>
      <c r="Z84" s="322">
        <f>IFERROR(IF(tblPiNAnalysis[[#This Row],[Food Security]]="", "", MROUND(tblPiNAnalysis[[#This Row],[Food Security]]/tblPiNAnalysis[[#This Row],[Affected population projection 2026]], 0.05)), "")</f>
        <v>0.70000000000000007</v>
      </c>
      <c r="AA84" s="322">
        <f>IFERROR(IF(tblPiNAnalysis[[#This Row],[Health]]="", "", MROUND(tblPiNAnalysis[[#This Row],[Health]]/tblPiNAnalysis[[#This Row],[Affected population projection 2026]], 0.05)), "")</f>
        <v>0.55000000000000004</v>
      </c>
      <c r="AB84" s="323">
        <f>IFERROR(IF(tblPiNAnalysis[[#This Row],[Overarching Protection]]="", "", MROUND(tblPiNAnalysis[[#This Row],[Overarching Protection]]/tblPiNAnalysis[[#This Row],[Affected population projection 2026]], 0.05)), "")</f>
        <v>0.35000000000000003</v>
      </c>
      <c r="AC84" s="323">
        <f>IFERROR(IF(tblPiNAnalysis[[#This Row],[Shelter]]="", "", MROUND(tblPiNAnalysis[[#This Row],[Shelter]]/tblPiNAnalysis[[#This Row],[Affected population projection 2026]], 0.05)), "")</f>
        <v>0.35000000000000003</v>
      </c>
      <c r="AD84" s="324">
        <f>IFERROR(IF(tblPiNAnalysis[[#This Row],[WASH]]="", "", MROUND(tblPiNAnalysis[[#This Row],[WASH]]/tblPiNAnalysis[[#This Row],[Affected population projection 2026]], 0.05)), "")</f>
        <v>0.4</v>
      </c>
      <c r="AE84" s="322">
        <f>IFERROR(MROUND(tblPiNAnalysis[[#This Row],[CP]]/tblPiNAnalysis[[#This Row],[Affected population projection 2026]], 0.05), "")</f>
        <v>0.15000000000000002</v>
      </c>
      <c r="AF84" s="322">
        <f>IFERROR(MROUND(tblPiNAnalysis[[#This Row],[GBV]]/tblPiNAnalysis[[#This Row],[Affected population projection 2026]], 0.05), "")</f>
        <v>0.15000000000000002</v>
      </c>
      <c r="AG84" s="322">
        <f>IFERROR(MROUND(tblPiNAnalysis[[#This Row],[Mine Action]]/tblPiNAnalysis[[#This Row],[Affected population projection 2026]], 0.05), "")</f>
        <v>0.30000000000000004</v>
      </c>
      <c r="AH84" s="322">
        <f>IFERROR(MROUND(tblPiNAnalysis[[#This Row],[HLP]]/tblPiNAnalysis[[#This Row],[Affected population projection 2026]], 0.05), "")</f>
        <v>0</v>
      </c>
      <c r="AI84" s="325">
        <f>IFERROR(LARGE(tblPiNAnalysis[[#This Row],[CCCM]:[WASH]], 1), "")</f>
        <v>218524.29063527889</v>
      </c>
      <c r="AJ84" s="326" t="str" cm="1">
        <f t="array" ref="AJ84">IF(tblPiNAnalysis[[#This Row],[Highest PiN]]="", "", _xlfn.TEXTJOIN(CHAR(10), TRUE, IF(tblPiNAnalysis[[#This Row],[Highest PiN]]=tblPiNAnalysis[[#This Row],[CCCM]:[WASH]], tblPiNAnalysis[[#Headers],[CCCM]:[WASH]], "")))</f>
        <v>Food Security</v>
      </c>
      <c r="AK84" s="327">
        <f>IF(tblPiNAnalysis[[#This Row],[Highest PiN]]="", "", tblPiNAnalysis[[#This Row],[Highest PiN]]/tblPiNAnalysis[[#This Row],[Affected population projection 2026]])</f>
        <v>0.70367747944617831</v>
      </c>
      <c r="AL84" s="328" t="str">
        <f>IF(SUM(tblPiNAnalysis[[#This Row],[CCCM]:[WASH]])=0, "",IF(COUNTIF(tblPiNAnalysis[[#This Row],[CCCM]:[WASH]],"=0")+COUNTIF(tblPiNAnalysis[[#This Row],[CCCM]:[WASH]],"")&gt;=zero_pin_thresh, "Flagged", ""))</f>
        <v/>
      </c>
      <c r="AM84" s="329" t="str">
        <f>IFERROR(IF(tblPiNAnalysis[[#This Row],[Highest PiN]]="", "", IF(tblPiNAnalysis[[#This Row],[Highest sector(s'') PiN %]]&gt;=flag_pin_perc, "Flagged", "")), "")</f>
        <v/>
      </c>
      <c r="AN84" s="330" t="str" cm="1">
        <f t="array" ref="AN84">IF(tblPiNAnalysis[[#This Row],[Highest PiN]]=0, "",  IF(OR(COUNTIF(tblPiNAnalysis[[#This Row],[Highest sector(s)]],tblSubSectorPopulation[Sector])), "Flagged", ""))</f>
        <v/>
      </c>
      <c r="AO84" s="46" cm="1">
        <f t="array" ref="AO8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172216.93776355864</v>
      </c>
      <c r="AP84" s="331" t="str" cm="1">
        <f t="array" ref="AP84">IF(tblPiNAnalysis[[#This Row],[2nd Highest PiN]]="", "", _xlfn.TEXTJOIN(CHAR(10), TRUE, IF(tblPiNAnalysis[[#This Row],[2nd Highest PiN]]=tblPiNAnalysis[[#This Row],[CCCM]:[WASH]], tblPiNAnalysis[[#Headers],[CCCM]:[WASH]], "")))</f>
        <v>Health</v>
      </c>
      <c r="AQ84" s="36">
        <f>IFERROR(tblPiNAnalysis[[#This Row],[2nd Highest PiN]]/tblPiNAnalysis[[#This Row],[Affected population projection 2026]], "")</f>
        <v>0.55456160196698967</v>
      </c>
      <c r="AR84" s="46">
        <f>IFERROR(tblPiNAnalysis[[#This Row],[Highest PiN]]-tblPiNAnalysis[[#This Row],[2nd Highest PiN]], "")</f>
        <v>46307.352871720243</v>
      </c>
      <c r="AS84" s="39">
        <f>IFERROR(((tblPiNAnalysis[[#This Row],[Highest PiN]]-tblPiNAnalysis[[#This Row],[2nd Highest PiN]])/tblPiNAnalysis[[#This Row],[2nd Highest PiN]]),"")</f>
        <v>0.2688896543689383</v>
      </c>
      <c r="AT84" s="39" t="str" cm="1">
        <f t="array" ref="AT8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4" s="332" cm="1">
        <f t="array" ref="AU8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121870.66637679518</v>
      </c>
      <c r="AV84" s="190" t="str" cm="1">
        <f t="array" ref="AV84">IF(tblPiNAnalysis[[#This Row],[3rd Highest PiN]]="", "", _xlfn.TEXTJOIN(CHAR(10), TRUE, IF(tblPiNAnalysis[[#This Row],[3rd Highest PiN]]=tblPiNAnalysis[[#This Row],[CCCM]:[WASH]], tblPiNAnalysis[[#Headers],[CCCM]:[WASH]], "")))</f>
        <v>Nutrition</v>
      </c>
      <c r="AW84" s="190">
        <f>IFERROR(tblPiNAnalysis[[#This Row],[3rd Highest PiN]]/tblPiNAnalysis[[#This Row],[Affected population projection 2026]], "")</f>
        <v>0.39243986599906394</v>
      </c>
      <c r="AX84" s="45">
        <f>IFERROR(tblPiNAnalysis[[#This Row],[Highest PiN]]-tblPiNAnalysis[[#This Row],[3rd Highest PiN]],"")</f>
        <v>96653.624258483702</v>
      </c>
      <c r="AY84" s="39">
        <f>IFERROR(tblPiNAnalysis[[#This Row],[Difference of PiN between Highest and 3rd Highest]]/tblPiNAnalysis[[#This Row],[3rd Highest PiN]], "")</f>
        <v>0.79308357894469561</v>
      </c>
      <c r="AZ84" s="330" t="str" cm="1">
        <f t="array" ref="AZ8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84" s="300" t="str" cm="1">
        <f t="array" ref="BA84">IFERROR(IF(tblPiNAnalysis[[#This Row],[ID]]="", "", INDEX(tblPiNHistorical[[CCCM]:[WASH]], MATCH(tblPiNAnalysis[[#This Row],[ID]],tblPiNHistorical[ID], 0),MATCH(_xlfn._xlws.FILTER(tblPiNAnalysis[[#Headers],[CCCM]:[WASH]], tblPiNAnalysis[[#This Row],[Highest PiN]]=tblPiNAnalysis[[#This Row],[CCCM]:[WASH]]), tblPiNHistorical[[#Headers],[CCCM]:[WASH]], 0))), "")</f>
        <v/>
      </c>
      <c r="BB84" s="333" t="str" cm="1">
        <f t="array" ref="BB8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4" s="276" t="str" cm="1">
        <f t="array" ref="BC84">IFERROR(IF(tblPiNAnalysis[[#This Row],[ID]]="", "", INDEX(tblPiNHistorical[[CCCM]:[WASH]], MATCH(tblPiNAnalysis[[#This Row],[ID]],tblPiNHistorical[ID], 0),MATCH(_xlfn._xlws.FILTER(tblPiNAnalysis[[#Headers],[CCCM]:[WASH]], tblPiNAnalysis[[#This Row],[2nd Highest PiN]]=tblPiNAnalysis[[#This Row],[CCCM]:[WASH]]), tblPiNHistorical[[#Headers],[CCCM]:[WASH]], 0))), "")</f>
        <v/>
      </c>
      <c r="BD84" s="334" t="str" cm="1">
        <f t="array" ref="BD8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4" s="276">
        <f>INDEX(tblSeverityAnalysis[Final Severity], MATCH(tblPiNAnalysis[[#This Row],[ID]],tblSeverityAnalysis[ID], 0))</f>
        <v>3</v>
      </c>
      <c r="BF84" s="61">
        <f>IF(tblPiNAnalysis[[#This Row],[Severity]]&gt;2,tblPiNAnalysis[[#This Row],[Highest PiN]],)</f>
        <v>218524.29063527889</v>
      </c>
      <c r="BG84" s="191"/>
      <c r="BH84" s="192"/>
      <c r="BI84" s="193">
        <f>COUNTIFS(tblPiNAnalysis[[#This Row],[Number of missing / zero PiNs greater than threshold - Data quality]:[Manual Flag]],"Flagged")</f>
        <v>1</v>
      </c>
      <c r="BJ84" s="96" t="str">
        <f>IF(tblPiNAnalysis[[#This Row],['# Flags]]&gt;0, "Flagged", "")</f>
        <v>Flagged</v>
      </c>
      <c r="BK84" s="326">
        <f>tblPiNAnalysis[[#This Row],[Preliminary PiN]]</f>
        <v>218524.29063527889</v>
      </c>
      <c r="BL84" s="331"/>
    </row>
    <row r="85" spans="1:64" ht="24.6" x14ac:dyDescent="0.55000000000000004">
      <c r="A8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SS0102</v>
      </c>
      <c r="B85" s="316" t="s">
        <v>236</v>
      </c>
      <c r="C85" s="317" t="s">
        <v>237</v>
      </c>
      <c r="D85" s="317" t="s">
        <v>240</v>
      </c>
      <c r="E85" s="105" t="s">
        <v>241</v>
      </c>
      <c r="F85" s="100"/>
      <c r="G85" s="34"/>
      <c r="H85" s="34"/>
      <c r="I85" s="97">
        <v>165087.87496325735</v>
      </c>
      <c r="J85" s="97" t="s">
        <v>413</v>
      </c>
      <c r="K85" s="318"/>
      <c r="L85" s="319">
        <v>12328.366291356146</v>
      </c>
      <c r="M85" s="319">
        <v>72634.349974065291</v>
      </c>
      <c r="N85" s="319">
        <v>114316.81637306442</v>
      </c>
      <c r="O85" s="319">
        <v>87461.53402342253</v>
      </c>
      <c r="P85" s="319">
        <v>53008</v>
      </c>
      <c r="Q85" s="320">
        <v>98446.897913869063</v>
      </c>
      <c r="R85" s="319">
        <v>134516.04626635785</v>
      </c>
      <c r="S85" s="319">
        <v>20045</v>
      </c>
      <c r="T85" s="319">
        <v>21866</v>
      </c>
      <c r="U85" s="319">
        <v>16493</v>
      </c>
      <c r="V85" s="319">
        <v>3500</v>
      </c>
      <c r="W85" s="321" t="str">
        <f>IFERROR(IF(tblPiNAnalysis[[#This Row],[CCCM]]="", "", MROUND(tblPiNAnalysis[[#This Row],[CCCM]]/tblPiNAnalysis[[#This Row],[Affected population projection 2026]], 0.05)), "")</f>
        <v/>
      </c>
      <c r="X85" s="322">
        <f>IFERROR(IF(tblPiNAnalysis[[#This Row],[Education]]="", "", MROUND(tblPiNAnalysis[[#This Row],[Education]]/tblPiNAnalysis[[#This Row],[Affected population projection 2026]], 0.05)), "")</f>
        <v>0.05</v>
      </c>
      <c r="Y85" s="322">
        <f>IFERROR(IF(tblPiNAnalysis[[#This Row],[Nutrition]]="", "", MROUND(tblPiNAnalysis[[#This Row],[Nutrition]]/tblPiNAnalysis[[#This Row],[Affected population projection 2026]], 0.05)), "")</f>
        <v>0.45</v>
      </c>
      <c r="Z85" s="322">
        <f>IFERROR(IF(tblPiNAnalysis[[#This Row],[Food Security]]="", "", MROUND(tblPiNAnalysis[[#This Row],[Food Security]]/tblPiNAnalysis[[#This Row],[Affected population projection 2026]], 0.05)), "")</f>
        <v>0.70000000000000007</v>
      </c>
      <c r="AA85" s="322">
        <f>IFERROR(IF(tblPiNAnalysis[[#This Row],[Health]]="", "", MROUND(tblPiNAnalysis[[#This Row],[Health]]/tblPiNAnalysis[[#This Row],[Affected population projection 2026]], 0.05)), "")</f>
        <v>0.55000000000000004</v>
      </c>
      <c r="AB85" s="323">
        <f>IFERROR(IF(tblPiNAnalysis[[#This Row],[Overarching Protection]]="", "", MROUND(tblPiNAnalysis[[#This Row],[Overarching Protection]]/tblPiNAnalysis[[#This Row],[Affected population projection 2026]], 0.05)), "")</f>
        <v>0.30000000000000004</v>
      </c>
      <c r="AC85" s="323">
        <f>IFERROR(IF(tblPiNAnalysis[[#This Row],[Shelter]]="", "", MROUND(tblPiNAnalysis[[#This Row],[Shelter]]/tblPiNAnalysis[[#This Row],[Affected population projection 2026]], 0.05)), "")</f>
        <v>0.60000000000000009</v>
      </c>
      <c r="AD85" s="324">
        <f>IFERROR(IF(tblPiNAnalysis[[#This Row],[WASH]]="", "", MROUND(tblPiNAnalysis[[#This Row],[WASH]]/tblPiNAnalysis[[#This Row],[Affected population projection 2026]], 0.05)), "")</f>
        <v>0.8</v>
      </c>
      <c r="AE85" s="322">
        <f>IFERROR(MROUND(tblPiNAnalysis[[#This Row],[CP]]/tblPiNAnalysis[[#This Row],[Affected population projection 2026]], 0.05), "")</f>
        <v>0.1</v>
      </c>
      <c r="AF85" s="322">
        <f>IFERROR(MROUND(tblPiNAnalysis[[#This Row],[GBV]]/tblPiNAnalysis[[#This Row],[Affected population projection 2026]], 0.05), "")</f>
        <v>0.15000000000000002</v>
      </c>
      <c r="AG85" s="322">
        <f>IFERROR(MROUND(tblPiNAnalysis[[#This Row],[Mine Action]]/tblPiNAnalysis[[#This Row],[Affected population projection 2026]], 0.05), "")</f>
        <v>0.1</v>
      </c>
      <c r="AH85" s="322">
        <f>IFERROR(MROUND(tblPiNAnalysis[[#This Row],[HLP]]/tblPiNAnalysis[[#This Row],[Affected population projection 2026]], 0.05), "")</f>
        <v>0</v>
      </c>
      <c r="AI85" s="325">
        <f>IFERROR(LARGE(tblPiNAnalysis[[#This Row],[CCCM]:[WASH]], 1), "")</f>
        <v>134516.04626635785</v>
      </c>
      <c r="AJ85" s="326" t="str" cm="1">
        <f t="array" ref="AJ85">IF(tblPiNAnalysis[[#This Row],[Highest PiN]]="", "", _xlfn.TEXTJOIN(CHAR(10), TRUE, IF(tblPiNAnalysis[[#This Row],[Highest PiN]]=tblPiNAnalysis[[#This Row],[CCCM]:[WASH]], tblPiNAnalysis[[#Headers],[CCCM]:[WASH]], "")))</f>
        <v>WASH</v>
      </c>
      <c r="AK85" s="327">
        <f>IF(tblPiNAnalysis[[#This Row],[Highest PiN]]="", "", tblPiNAnalysis[[#This Row],[Highest PiN]]/tblPiNAnalysis[[#This Row],[Affected population projection 2026]])</f>
        <v>0.81481481481481488</v>
      </c>
      <c r="AL85" s="328" t="str">
        <f>IF(SUM(tblPiNAnalysis[[#This Row],[CCCM]:[WASH]])=0, "",IF(COUNTIF(tblPiNAnalysis[[#This Row],[CCCM]:[WASH]],"=0")+COUNTIF(tblPiNAnalysis[[#This Row],[CCCM]:[WASH]],"")&gt;=zero_pin_thresh, "Flagged", ""))</f>
        <v/>
      </c>
      <c r="AM85" s="329" t="str">
        <f>IFERROR(IF(tblPiNAnalysis[[#This Row],[Highest PiN]]="", "", IF(tblPiNAnalysis[[#This Row],[Highest sector(s'') PiN %]]&gt;=flag_pin_perc, "Flagged", "")), "")</f>
        <v/>
      </c>
      <c r="AN85" s="330" t="str" cm="1">
        <f t="array" ref="AN85">IF(tblPiNAnalysis[[#This Row],[Highest PiN]]=0, "",  IF(OR(COUNTIF(tblPiNAnalysis[[#This Row],[Highest sector(s)]],tblSubSectorPopulation[Sector])), "Flagged", ""))</f>
        <v/>
      </c>
      <c r="AO85" s="46" cm="1">
        <f t="array" ref="AO8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114316.81637306442</v>
      </c>
      <c r="AP85" s="331" t="str" cm="1">
        <f t="array" ref="AP85">IF(tblPiNAnalysis[[#This Row],[2nd Highest PiN]]="", "", _xlfn.TEXTJOIN(CHAR(10), TRUE, IF(tblPiNAnalysis[[#This Row],[2nd Highest PiN]]=tblPiNAnalysis[[#This Row],[CCCM]:[WASH]], tblPiNAnalysis[[#Headers],[CCCM]:[WASH]], "")))</f>
        <v>Food Security</v>
      </c>
      <c r="AQ85" s="36">
        <f>IFERROR(tblPiNAnalysis[[#This Row],[2nd Highest PiN]]/tblPiNAnalysis[[#This Row],[Affected population projection 2026]], "")</f>
        <v>0.69246040267043996</v>
      </c>
      <c r="AR85" s="46">
        <f>IFERROR(tblPiNAnalysis[[#This Row],[Highest PiN]]-tblPiNAnalysis[[#This Row],[2nd Highest PiN]], "")</f>
        <v>20199.229893293435</v>
      </c>
      <c r="AS85" s="39">
        <f>IFERROR(((tblPiNAnalysis[[#This Row],[Highest PiN]]-tblPiNAnalysis[[#This Row],[2nd Highest PiN]])/tblPiNAnalysis[[#This Row],[2nd Highest PiN]]),"")</f>
        <v>0.17669517516455982</v>
      </c>
      <c r="AT85" s="39" t="str" cm="1">
        <f t="array" ref="AT8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5" s="332" cm="1">
        <f t="array" ref="AU8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98446.897913869063</v>
      </c>
      <c r="AV85" s="190" t="str" cm="1">
        <f t="array" ref="AV85">IF(tblPiNAnalysis[[#This Row],[3rd Highest PiN]]="", "", _xlfn.TEXTJOIN(CHAR(10), TRUE, IF(tblPiNAnalysis[[#This Row],[3rd Highest PiN]]=tblPiNAnalysis[[#This Row],[CCCM]:[WASH]], tblPiNAnalysis[[#Headers],[CCCM]:[WASH]], "")))</f>
        <v>Shelter</v>
      </c>
      <c r="AW85" s="190">
        <f>IFERROR(tblPiNAnalysis[[#This Row],[3rd Highest PiN]]/tblPiNAnalysis[[#This Row],[Affected population projection 2026]], "")</f>
        <v>0.59633027522935778</v>
      </c>
      <c r="AX85" s="45">
        <f>IFERROR(tblPiNAnalysis[[#This Row],[Highest PiN]]-tblPiNAnalysis[[#This Row],[3rd Highest PiN]],"")</f>
        <v>36069.148352488788</v>
      </c>
      <c r="AY85" s="39">
        <f>IFERROR(tblPiNAnalysis[[#This Row],[Difference of PiN between Highest and 3rd Highest]]/tblPiNAnalysis[[#This Row],[3rd Highest PiN]], "")</f>
        <v>0.36638176638176645</v>
      </c>
      <c r="AZ85" s="330" t="str" cm="1">
        <f t="array" ref="AZ8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5" s="300" t="str" cm="1">
        <f t="array" ref="BA85">IFERROR(IF(tblPiNAnalysis[[#This Row],[ID]]="", "", INDEX(tblPiNHistorical[[CCCM]:[WASH]], MATCH(tblPiNAnalysis[[#This Row],[ID]],tblPiNHistorical[ID], 0),MATCH(_xlfn._xlws.FILTER(tblPiNAnalysis[[#Headers],[CCCM]:[WASH]], tblPiNAnalysis[[#This Row],[Highest PiN]]=tblPiNAnalysis[[#This Row],[CCCM]:[WASH]]), tblPiNHistorical[[#Headers],[CCCM]:[WASH]], 0))), "")</f>
        <v/>
      </c>
      <c r="BB85" s="333" t="str" cm="1">
        <f t="array" ref="BB8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5" s="276" t="str" cm="1">
        <f t="array" ref="BC85">IFERROR(IF(tblPiNAnalysis[[#This Row],[ID]]="", "", INDEX(tblPiNHistorical[[CCCM]:[WASH]], MATCH(tblPiNAnalysis[[#This Row],[ID]],tblPiNHistorical[ID], 0),MATCH(_xlfn._xlws.FILTER(tblPiNAnalysis[[#Headers],[CCCM]:[WASH]], tblPiNAnalysis[[#This Row],[2nd Highest PiN]]=tblPiNAnalysis[[#This Row],[CCCM]:[WASH]]), tblPiNHistorical[[#Headers],[CCCM]:[WASH]], 0))), "")</f>
        <v/>
      </c>
      <c r="BD85" s="334" t="str" cm="1">
        <f t="array" ref="BD8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5" s="276">
        <f>INDEX(tblSeverityAnalysis[Final Severity], MATCH(tblPiNAnalysis[[#This Row],[ID]],tblSeverityAnalysis[ID], 0))</f>
        <v>3</v>
      </c>
      <c r="BF85" s="61">
        <f>IF(tblPiNAnalysis[[#This Row],[Severity]]&gt;2,tblPiNAnalysis[[#This Row],[Highest PiN]],)</f>
        <v>134516.04626635785</v>
      </c>
      <c r="BG85" s="191"/>
      <c r="BH85" s="192"/>
      <c r="BI85" s="193">
        <f>COUNTIFS(tblPiNAnalysis[[#This Row],[Number of missing / zero PiNs greater than threshold - Data quality]:[Manual Flag]],"Flagged")</f>
        <v>0</v>
      </c>
      <c r="BJ85" s="96" t="str">
        <f>IF(tblPiNAnalysis[[#This Row],['# Flags]]&gt;0, "Flagged", "")</f>
        <v/>
      </c>
      <c r="BK85" s="326">
        <f>tblPiNAnalysis[[#This Row],[Preliminary PiN]]</f>
        <v>134516.04626635785</v>
      </c>
      <c r="BL85" s="331"/>
    </row>
    <row r="86" spans="1:64" ht="24.6" x14ac:dyDescent="0.55000000000000004">
      <c r="A8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SS0103</v>
      </c>
      <c r="B86" s="316" t="s">
        <v>236</v>
      </c>
      <c r="C86" s="317" t="s">
        <v>237</v>
      </c>
      <c r="D86" s="317" t="s">
        <v>242</v>
      </c>
      <c r="E86" s="105" t="s">
        <v>243</v>
      </c>
      <c r="F86" s="100"/>
      <c r="G86" s="34"/>
      <c r="H86" s="34"/>
      <c r="I86" s="97">
        <v>81323.353354623177</v>
      </c>
      <c r="J86" s="97" t="s">
        <v>413</v>
      </c>
      <c r="K86" s="318"/>
      <c r="L86" s="319">
        <v>10737.772930237736</v>
      </c>
      <c r="M86" s="319">
        <v>43190.130773320248</v>
      </c>
      <c r="N86" s="319">
        <v>51309.967154464714</v>
      </c>
      <c r="O86" s="319">
        <v>37036.600003788044</v>
      </c>
      <c r="P86" s="319">
        <v>16640</v>
      </c>
      <c r="Q86" s="320">
        <v>42131.375834322847</v>
      </c>
      <c r="R86" s="319">
        <v>48191.616802739656</v>
      </c>
      <c r="S86" s="319">
        <v>6987</v>
      </c>
      <c r="T86" s="319">
        <v>3382</v>
      </c>
      <c r="U86" s="319">
        <v>12805</v>
      </c>
      <c r="V86" s="319">
        <v>909</v>
      </c>
      <c r="W86" s="321" t="str">
        <f>IFERROR(IF(tblPiNAnalysis[[#This Row],[CCCM]]="", "", MROUND(tblPiNAnalysis[[#This Row],[CCCM]]/tblPiNAnalysis[[#This Row],[Affected population projection 2026]], 0.05)), "")</f>
        <v/>
      </c>
      <c r="X86" s="322">
        <f>IFERROR(IF(tblPiNAnalysis[[#This Row],[Education]]="", "", MROUND(tblPiNAnalysis[[#This Row],[Education]]/tblPiNAnalysis[[#This Row],[Affected population projection 2026]], 0.05)), "")</f>
        <v>0.15000000000000002</v>
      </c>
      <c r="Y86" s="322">
        <f>IFERROR(IF(tblPiNAnalysis[[#This Row],[Nutrition]]="", "", MROUND(tblPiNAnalysis[[#This Row],[Nutrition]]/tblPiNAnalysis[[#This Row],[Affected population projection 2026]], 0.05)), "")</f>
        <v>0.55000000000000004</v>
      </c>
      <c r="Z86" s="322">
        <f>IFERROR(IF(tblPiNAnalysis[[#This Row],[Food Security]]="", "", MROUND(tblPiNAnalysis[[#This Row],[Food Security]]/tblPiNAnalysis[[#This Row],[Affected population projection 2026]], 0.05)), "")</f>
        <v>0.65</v>
      </c>
      <c r="AA86" s="322">
        <f>IFERROR(IF(tblPiNAnalysis[[#This Row],[Health]]="", "", MROUND(tblPiNAnalysis[[#This Row],[Health]]/tblPiNAnalysis[[#This Row],[Affected population projection 2026]], 0.05)), "")</f>
        <v>0.45</v>
      </c>
      <c r="AB86" s="323">
        <f>IFERROR(IF(tblPiNAnalysis[[#This Row],[Overarching Protection]]="", "", MROUND(tblPiNAnalysis[[#This Row],[Overarching Protection]]/tblPiNAnalysis[[#This Row],[Affected population projection 2026]], 0.05)), "")</f>
        <v>0.2</v>
      </c>
      <c r="AC86" s="323">
        <f>IFERROR(IF(tblPiNAnalysis[[#This Row],[Shelter]]="", "", MROUND(tblPiNAnalysis[[#This Row],[Shelter]]/tblPiNAnalysis[[#This Row],[Affected population projection 2026]], 0.05)), "")</f>
        <v>0.5</v>
      </c>
      <c r="AD86" s="324">
        <f>IFERROR(IF(tblPiNAnalysis[[#This Row],[WASH]]="", "", MROUND(tblPiNAnalysis[[#This Row],[WASH]]/tblPiNAnalysis[[#This Row],[Affected population projection 2026]], 0.05)), "")</f>
        <v>0.60000000000000009</v>
      </c>
      <c r="AE86" s="322">
        <f>IFERROR(MROUND(tblPiNAnalysis[[#This Row],[CP]]/tblPiNAnalysis[[#This Row],[Affected population projection 2026]], 0.05), "")</f>
        <v>0.1</v>
      </c>
      <c r="AF86" s="322">
        <f>IFERROR(MROUND(tblPiNAnalysis[[#This Row],[GBV]]/tblPiNAnalysis[[#This Row],[Affected population projection 2026]], 0.05), "")</f>
        <v>0.05</v>
      </c>
      <c r="AG86" s="322">
        <f>IFERROR(MROUND(tblPiNAnalysis[[#This Row],[Mine Action]]/tblPiNAnalysis[[#This Row],[Affected population projection 2026]], 0.05), "")</f>
        <v>0.15000000000000002</v>
      </c>
      <c r="AH86" s="322">
        <f>IFERROR(MROUND(tblPiNAnalysis[[#This Row],[HLP]]/tblPiNAnalysis[[#This Row],[Affected population projection 2026]], 0.05), "")</f>
        <v>0</v>
      </c>
      <c r="AI86" s="325">
        <f>IFERROR(LARGE(tblPiNAnalysis[[#This Row],[CCCM]:[WASH]], 1), "")</f>
        <v>51309.967154464714</v>
      </c>
      <c r="AJ86" s="326" t="str" cm="1">
        <f t="array" ref="AJ86">IF(tblPiNAnalysis[[#This Row],[Highest PiN]]="", "", _xlfn.TEXTJOIN(CHAR(10), TRUE, IF(tblPiNAnalysis[[#This Row],[Highest PiN]]=tblPiNAnalysis[[#This Row],[CCCM]:[WASH]], tblPiNAnalysis[[#Headers],[CCCM]:[WASH]], "")))</f>
        <v>Food Security</v>
      </c>
      <c r="AK86" s="327">
        <f>IF(tblPiNAnalysis[[#This Row],[Highest PiN]]="", "", tblPiNAnalysis[[#This Row],[Highest PiN]]/tblPiNAnalysis[[#This Row],[Affected population projection 2026]])</f>
        <v>0.63093767088919206</v>
      </c>
      <c r="AL86" s="328" t="str">
        <f>IF(SUM(tblPiNAnalysis[[#This Row],[CCCM]:[WASH]])=0, "",IF(COUNTIF(tblPiNAnalysis[[#This Row],[CCCM]:[WASH]],"=0")+COUNTIF(tblPiNAnalysis[[#This Row],[CCCM]:[WASH]],"")&gt;=zero_pin_thresh, "Flagged", ""))</f>
        <v/>
      </c>
      <c r="AM86" s="329" t="str">
        <f>IFERROR(IF(tblPiNAnalysis[[#This Row],[Highest PiN]]="", "", IF(tblPiNAnalysis[[#This Row],[Highest sector(s'') PiN %]]&gt;=flag_pin_perc, "Flagged", "")), "")</f>
        <v/>
      </c>
      <c r="AN86" s="330" t="str" cm="1">
        <f t="array" ref="AN86">IF(tblPiNAnalysis[[#This Row],[Highest PiN]]=0, "",  IF(OR(COUNTIF(tblPiNAnalysis[[#This Row],[Highest sector(s)]],tblSubSectorPopulation[Sector])), "Flagged", ""))</f>
        <v/>
      </c>
      <c r="AO86" s="46" cm="1">
        <f t="array" ref="AO8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48191.616802739656</v>
      </c>
      <c r="AP86" s="331" t="str" cm="1">
        <f t="array" ref="AP86">IF(tblPiNAnalysis[[#This Row],[2nd Highest PiN]]="", "", _xlfn.TEXTJOIN(CHAR(10), TRUE, IF(tblPiNAnalysis[[#This Row],[2nd Highest PiN]]=tblPiNAnalysis[[#This Row],[CCCM]:[WASH]], tblPiNAnalysis[[#Headers],[CCCM]:[WASH]], "")))</f>
        <v>WASH</v>
      </c>
      <c r="AQ86" s="36">
        <f>IFERROR(tblPiNAnalysis[[#This Row],[2nd Highest PiN]]/tblPiNAnalysis[[#This Row],[Affected population projection 2026]], "")</f>
        <v>0.59259259259259256</v>
      </c>
      <c r="AR86" s="46">
        <f>IFERROR(tblPiNAnalysis[[#This Row],[Highest PiN]]-tblPiNAnalysis[[#This Row],[2nd Highest PiN]], "")</f>
        <v>3118.3503517250574</v>
      </c>
      <c r="AS86" s="39">
        <f>IFERROR(((tblPiNAnalysis[[#This Row],[Highest PiN]]-tblPiNAnalysis[[#This Row],[2nd Highest PiN]])/tblPiNAnalysis[[#This Row],[2nd Highest PiN]]),"")</f>
        <v>6.4707319625511753E-2</v>
      </c>
      <c r="AT86" s="39" t="str" cm="1">
        <f t="array" ref="AT8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6" s="332" cm="1">
        <f t="array" ref="AU8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43190.130773320248</v>
      </c>
      <c r="AV86" s="190" t="str" cm="1">
        <f t="array" ref="AV86">IF(tblPiNAnalysis[[#This Row],[3rd Highest PiN]]="", "", _xlfn.TEXTJOIN(CHAR(10), TRUE, IF(tblPiNAnalysis[[#This Row],[3rd Highest PiN]]=tblPiNAnalysis[[#This Row],[CCCM]:[WASH]], tblPiNAnalysis[[#Headers],[CCCM]:[WASH]], "")))</f>
        <v>Nutrition</v>
      </c>
      <c r="AW86" s="190">
        <f>IFERROR(tblPiNAnalysis[[#This Row],[3rd Highest PiN]]/tblPiNAnalysis[[#This Row],[Affected population projection 2026]], "")</f>
        <v>0.53109136541606861</v>
      </c>
      <c r="AX86" s="45">
        <f>IFERROR(tblPiNAnalysis[[#This Row],[Highest PiN]]-tblPiNAnalysis[[#This Row],[3rd Highest PiN]],"")</f>
        <v>8119.8363811444651</v>
      </c>
      <c r="AY86" s="39">
        <f>IFERROR(tblPiNAnalysis[[#This Row],[Difference of PiN between Highest and 3rd Highest]]/tblPiNAnalysis[[#This Row],[3rd Highest PiN]], "")</f>
        <v>0.18800212538741176</v>
      </c>
      <c r="AZ86" s="330" t="str" cm="1">
        <f t="array" ref="AZ8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6" s="300" t="str" cm="1">
        <f t="array" ref="BA86">IFERROR(IF(tblPiNAnalysis[[#This Row],[ID]]="", "", INDEX(tblPiNHistorical[[CCCM]:[WASH]], MATCH(tblPiNAnalysis[[#This Row],[ID]],tblPiNHistorical[ID], 0),MATCH(_xlfn._xlws.FILTER(tblPiNAnalysis[[#Headers],[CCCM]:[WASH]], tblPiNAnalysis[[#This Row],[Highest PiN]]=tblPiNAnalysis[[#This Row],[CCCM]:[WASH]]), tblPiNHistorical[[#Headers],[CCCM]:[WASH]], 0))), "")</f>
        <v/>
      </c>
      <c r="BB86" s="333" t="str" cm="1">
        <f t="array" ref="BB8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6" s="276" t="str" cm="1">
        <f t="array" ref="BC86">IFERROR(IF(tblPiNAnalysis[[#This Row],[ID]]="", "", INDEX(tblPiNHistorical[[CCCM]:[WASH]], MATCH(tblPiNAnalysis[[#This Row],[ID]],tblPiNHistorical[ID], 0),MATCH(_xlfn._xlws.FILTER(tblPiNAnalysis[[#Headers],[CCCM]:[WASH]], tblPiNAnalysis[[#This Row],[2nd Highest PiN]]=tblPiNAnalysis[[#This Row],[CCCM]:[WASH]]), tblPiNHistorical[[#Headers],[CCCM]:[WASH]], 0))), "")</f>
        <v/>
      </c>
      <c r="BD86" s="334" t="str" cm="1">
        <f t="array" ref="BD8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6" s="276">
        <f>INDEX(tblSeverityAnalysis[Final Severity], MATCH(tblPiNAnalysis[[#This Row],[ID]],tblSeverityAnalysis[ID], 0))</f>
        <v>3</v>
      </c>
      <c r="BF86" s="61">
        <f>IF(tblPiNAnalysis[[#This Row],[Severity]]&gt;2,tblPiNAnalysis[[#This Row],[Highest PiN]],)</f>
        <v>51309.967154464714</v>
      </c>
      <c r="BG86" s="191"/>
      <c r="BH86" s="192"/>
      <c r="BI86" s="193">
        <f>COUNTIFS(tblPiNAnalysis[[#This Row],[Number of missing / zero PiNs greater than threshold - Data quality]:[Manual Flag]],"Flagged")</f>
        <v>0</v>
      </c>
      <c r="BJ86" s="96" t="str">
        <f>IF(tblPiNAnalysis[[#This Row],['# Flags]]&gt;0, "Flagged", "")</f>
        <v/>
      </c>
      <c r="BK86" s="326">
        <f>tblPiNAnalysis[[#This Row],[Preliminary PiN]]</f>
        <v>51309.967154464714</v>
      </c>
      <c r="BL86" s="331"/>
    </row>
    <row r="87" spans="1:64" ht="24.6" x14ac:dyDescent="0.55000000000000004">
      <c r="A8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SS0104</v>
      </c>
      <c r="B87" s="316" t="s">
        <v>236</v>
      </c>
      <c r="C87" s="317" t="s">
        <v>237</v>
      </c>
      <c r="D87" s="317" t="s">
        <v>244</v>
      </c>
      <c r="E87" s="105" t="s">
        <v>245</v>
      </c>
      <c r="F87" s="100"/>
      <c r="G87" s="34"/>
      <c r="H87" s="34"/>
      <c r="I87" s="97">
        <v>76038.235545987191</v>
      </c>
      <c r="J87" s="97" t="s">
        <v>413</v>
      </c>
      <c r="K87" s="318"/>
      <c r="L87" s="319">
        <v>13457.17088869327</v>
      </c>
      <c r="M87" s="319">
        <v>33058.440464696396</v>
      </c>
      <c r="N87" s="319">
        <v>51659.39705423377</v>
      </c>
      <c r="O87" s="319">
        <v>49372.875595759877</v>
      </c>
      <c r="P87" s="319">
        <v>26850</v>
      </c>
      <c r="Q87" s="320">
        <v>44275.428292600132</v>
      </c>
      <c r="R87" s="319">
        <v>42947.521928752023</v>
      </c>
      <c r="S87" s="319">
        <v>24945</v>
      </c>
      <c r="T87" s="319">
        <v>6951</v>
      </c>
      <c r="U87" s="319">
        <v>19293</v>
      </c>
      <c r="V87" s="319">
        <v>2239</v>
      </c>
      <c r="W87" s="321" t="str">
        <f>IFERROR(IF(tblPiNAnalysis[[#This Row],[CCCM]]="", "", MROUND(tblPiNAnalysis[[#This Row],[CCCM]]/tblPiNAnalysis[[#This Row],[Affected population projection 2026]], 0.05)), "")</f>
        <v/>
      </c>
      <c r="X87" s="322">
        <f>IFERROR(IF(tblPiNAnalysis[[#This Row],[Education]]="", "", MROUND(tblPiNAnalysis[[#This Row],[Education]]/tblPiNAnalysis[[#This Row],[Affected population projection 2026]], 0.05)), "")</f>
        <v>0.2</v>
      </c>
      <c r="Y87" s="322">
        <f>IFERROR(IF(tblPiNAnalysis[[#This Row],[Nutrition]]="", "", MROUND(tblPiNAnalysis[[#This Row],[Nutrition]]/tblPiNAnalysis[[#This Row],[Affected population projection 2026]], 0.05)), "")</f>
        <v>0.45</v>
      </c>
      <c r="Z87" s="322">
        <f>IFERROR(IF(tblPiNAnalysis[[#This Row],[Food Security]]="", "", MROUND(tblPiNAnalysis[[#This Row],[Food Security]]/tblPiNAnalysis[[#This Row],[Affected population projection 2026]], 0.05)), "")</f>
        <v>0.70000000000000007</v>
      </c>
      <c r="AA87" s="322">
        <f>IFERROR(IF(tblPiNAnalysis[[#This Row],[Health]]="", "", MROUND(tblPiNAnalysis[[#This Row],[Health]]/tblPiNAnalysis[[#This Row],[Affected population projection 2026]], 0.05)), "")</f>
        <v>0.65</v>
      </c>
      <c r="AB87" s="323">
        <f>IFERROR(IF(tblPiNAnalysis[[#This Row],[Overarching Protection]]="", "", MROUND(tblPiNAnalysis[[#This Row],[Overarching Protection]]/tblPiNAnalysis[[#This Row],[Affected population projection 2026]], 0.05)), "")</f>
        <v>0.35000000000000003</v>
      </c>
      <c r="AC87" s="323">
        <f>IFERROR(IF(tblPiNAnalysis[[#This Row],[Shelter]]="", "", MROUND(tblPiNAnalysis[[#This Row],[Shelter]]/tblPiNAnalysis[[#This Row],[Affected population projection 2026]], 0.05)), "")</f>
        <v>0.60000000000000009</v>
      </c>
      <c r="AD87" s="324">
        <f>IFERROR(IF(tblPiNAnalysis[[#This Row],[WASH]]="", "", MROUND(tblPiNAnalysis[[#This Row],[WASH]]/tblPiNAnalysis[[#This Row],[Affected population projection 2026]], 0.05)), "")</f>
        <v>0.55000000000000004</v>
      </c>
      <c r="AE87" s="322">
        <f>IFERROR(MROUND(tblPiNAnalysis[[#This Row],[CP]]/tblPiNAnalysis[[#This Row],[Affected population projection 2026]], 0.05), "")</f>
        <v>0.35000000000000003</v>
      </c>
      <c r="AF87" s="322">
        <f>IFERROR(MROUND(tblPiNAnalysis[[#This Row],[GBV]]/tblPiNAnalysis[[#This Row],[Affected population projection 2026]], 0.05), "")</f>
        <v>0.1</v>
      </c>
      <c r="AG87" s="322">
        <f>IFERROR(MROUND(tblPiNAnalysis[[#This Row],[Mine Action]]/tblPiNAnalysis[[#This Row],[Affected population projection 2026]], 0.05), "")</f>
        <v>0.25</v>
      </c>
      <c r="AH87" s="322">
        <f>IFERROR(MROUND(tblPiNAnalysis[[#This Row],[HLP]]/tblPiNAnalysis[[#This Row],[Affected population projection 2026]], 0.05), "")</f>
        <v>0.05</v>
      </c>
      <c r="AI87" s="325">
        <f>IFERROR(LARGE(tblPiNAnalysis[[#This Row],[CCCM]:[WASH]], 1), "")</f>
        <v>51659.39705423377</v>
      </c>
      <c r="AJ87" s="326" t="str" cm="1">
        <f t="array" ref="AJ87">IF(tblPiNAnalysis[[#This Row],[Highest PiN]]="", "", _xlfn.TEXTJOIN(CHAR(10), TRUE, IF(tblPiNAnalysis[[#This Row],[Highest PiN]]=tblPiNAnalysis[[#This Row],[CCCM]:[WASH]], tblPiNAnalysis[[#Headers],[CCCM]:[WASH]], "")))</f>
        <v>Food Security</v>
      </c>
      <c r="AK87" s="327">
        <f>IF(tblPiNAnalysis[[#This Row],[Highest PiN]]="", "", tblPiNAnalysis[[#This Row],[Highest PiN]]/tblPiNAnalysis[[#This Row],[Affected population projection 2026]])</f>
        <v>0.67938710943641856</v>
      </c>
      <c r="AL87" s="328" t="str">
        <f>IF(SUM(tblPiNAnalysis[[#This Row],[CCCM]:[WASH]])=0, "",IF(COUNTIF(tblPiNAnalysis[[#This Row],[CCCM]:[WASH]],"=0")+COUNTIF(tblPiNAnalysis[[#This Row],[CCCM]:[WASH]],"")&gt;=zero_pin_thresh, "Flagged", ""))</f>
        <v/>
      </c>
      <c r="AM87" s="329" t="str">
        <f>IFERROR(IF(tblPiNAnalysis[[#This Row],[Highest PiN]]="", "", IF(tblPiNAnalysis[[#This Row],[Highest sector(s'') PiN %]]&gt;=flag_pin_perc, "Flagged", "")), "")</f>
        <v/>
      </c>
      <c r="AN87" s="330" t="str" cm="1">
        <f t="array" ref="AN87">IF(tblPiNAnalysis[[#This Row],[Highest PiN]]=0, "",  IF(OR(COUNTIF(tblPiNAnalysis[[#This Row],[Highest sector(s)]],tblSubSectorPopulation[Sector])), "Flagged", ""))</f>
        <v/>
      </c>
      <c r="AO87" s="46" cm="1">
        <f t="array" ref="AO8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49372.875595759877</v>
      </c>
      <c r="AP87" s="331" t="str" cm="1">
        <f t="array" ref="AP87">IF(tblPiNAnalysis[[#This Row],[2nd Highest PiN]]="", "", _xlfn.TEXTJOIN(CHAR(10), TRUE, IF(tblPiNAnalysis[[#This Row],[2nd Highest PiN]]=tblPiNAnalysis[[#This Row],[CCCM]:[WASH]], tblPiNAnalysis[[#Headers],[CCCM]:[WASH]], "")))</f>
        <v>Health</v>
      </c>
      <c r="AQ87" s="36">
        <f>IFERROR(tblPiNAnalysis[[#This Row],[2nd Highest PiN]]/tblPiNAnalysis[[#This Row],[Affected population projection 2026]], "")</f>
        <v>0.64931642931008882</v>
      </c>
      <c r="AR87" s="46">
        <f>IFERROR(tblPiNAnalysis[[#This Row],[Highest PiN]]-tblPiNAnalysis[[#This Row],[2nd Highest PiN]], "")</f>
        <v>2286.5214584738933</v>
      </c>
      <c r="AS87" s="39">
        <f>IFERROR(((tblPiNAnalysis[[#This Row],[Highest PiN]]-tblPiNAnalysis[[#This Row],[2nd Highest PiN]])/tblPiNAnalysis[[#This Row],[2nd Highest PiN]]),"")</f>
        <v>4.6311287946741733E-2</v>
      </c>
      <c r="AT87" s="39" t="str" cm="1">
        <f t="array" ref="AT8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7" s="332" cm="1">
        <f t="array" ref="AU8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44275.428292600132</v>
      </c>
      <c r="AV87" s="190" t="str" cm="1">
        <f t="array" ref="AV87">IF(tblPiNAnalysis[[#This Row],[3rd Highest PiN]]="", "", _xlfn.TEXTJOIN(CHAR(10), TRUE, IF(tblPiNAnalysis[[#This Row],[3rd Highest PiN]]=tblPiNAnalysis[[#This Row],[CCCM]:[WASH]], tblPiNAnalysis[[#Headers],[CCCM]:[WASH]], "")))</f>
        <v>Shelter</v>
      </c>
      <c r="AW87" s="190">
        <f>IFERROR(tblPiNAnalysis[[#This Row],[3rd Highest PiN]]/tblPiNAnalysis[[#This Row],[Affected population projection 2026]], "")</f>
        <v>0.58227848101265822</v>
      </c>
      <c r="AX87" s="45">
        <f>IFERROR(tblPiNAnalysis[[#This Row],[Highest PiN]]-tblPiNAnalysis[[#This Row],[3rd Highest PiN]],"")</f>
        <v>7383.9687616336378</v>
      </c>
      <c r="AY87" s="39">
        <f>IFERROR(tblPiNAnalysis[[#This Row],[Difference of PiN between Highest and 3rd Highest]]/tblPiNAnalysis[[#This Row],[3rd Highest PiN]], "")</f>
        <v>0.16677351403211021</v>
      </c>
      <c r="AZ87" s="330" t="str" cm="1">
        <f t="array" ref="AZ8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7" s="300" t="str" cm="1">
        <f t="array" ref="BA87">IFERROR(IF(tblPiNAnalysis[[#This Row],[ID]]="", "", INDEX(tblPiNHistorical[[CCCM]:[WASH]], MATCH(tblPiNAnalysis[[#This Row],[ID]],tblPiNHistorical[ID], 0),MATCH(_xlfn._xlws.FILTER(tblPiNAnalysis[[#Headers],[CCCM]:[WASH]], tblPiNAnalysis[[#This Row],[Highest PiN]]=tblPiNAnalysis[[#This Row],[CCCM]:[WASH]]), tblPiNHistorical[[#Headers],[CCCM]:[WASH]], 0))), "")</f>
        <v/>
      </c>
      <c r="BB87" s="333" t="str" cm="1">
        <f t="array" ref="BB8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7" s="276" t="str" cm="1">
        <f t="array" ref="BC87">IFERROR(IF(tblPiNAnalysis[[#This Row],[ID]]="", "", INDEX(tblPiNHistorical[[CCCM]:[WASH]], MATCH(tblPiNAnalysis[[#This Row],[ID]],tblPiNHistorical[ID], 0),MATCH(_xlfn._xlws.FILTER(tblPiNAnalysis[[#Headers],[CCCM]:[WASH]], tblPiNAnalysis[[#This Row],[2nd Highest PiN]]=tblPiNAnalysis[[#This Row],[CCCM]:[WASH]]), tblPiNHistorical[[#Headers],[CCCM]:[WASH]], 0))), "")</f>
        <v/>
      </c>
      <c r="BD87" s="334" t="str" cm="1">
        <f t="array" ref="BD8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7" s="276">
        <f>INDEX(tblSeverityAnalysis[Final Severity], MATCH(tblPiNAnalysis[[#This Row],[ID]],tblSeverityAnalysis[ID], 0))</f>
        <v>3</v>
      </c>
      <c r="BF87" s="61">
        <f>IF(tblPiNAnalysis[[#This Row],[Severity]]&gt;2,tblPiNAnalysis[[#This Row],[Highest PiN]],)</f>
        <v>51659.39705423377</v>
      </c>
      <c r="BG87" s="191"/>
      <c r="BH87" s="192"/>
      <c r="BI87" s="193">
        <f>COUNTIFS(tblPiNAnalysis[[#This Row],[Number of missing / zero PiNs greater than threshold - Data quality]:[Manual Flag]],"Flagged")</f>
        <v>0</v>
      </c>
      <c r="BJ87" s="96" t="str">
        <f>IF(tblPiNAnalysis[[#This Row],['# Flags]]&gt;0, "Flagged", "")</f>
        <v/>
      </c>
      <c r="BK87" s="326">
        <f>tblPiNAnalysis[[#This Row],[Preliminary PiN]]</f>
        <v>51659.39705423377</v>
      </c>
      <c r="BL87" s="331"/>
    </row>
    <row r="88" spans="1:64" ht="24.6" x14ac:dyDescent="0.55000000000000004">
      <c r="A8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SS0105</v>
      </c>
      <c r="B88" s="316" t="s">
        <v>236</v>
      </c>
      <c r="C88" s="317" t="s">
        <v>237</v>
      </c>
      <c r="D88" s="317" t="s">
        <v>246</v>
      </c>
      <c r="E88" s="105" t="s">
        <v>247</v>
      </c>
      <c r="F88" s="100"/>
      <c r="G88" s="34"/>
      <c r="H88" s="34"/>
      <c r="I88" s="97">
        <v>198861.49864411939</v>
      </c>
      <c r="J88" s="97" t="s">
        <v>413</v>
      </c>
      <c r="K88" s="318"/>
      <c r="L88" s="319">
        <v>52758.949897778082</v>
      </c>
      <c r="M88" s="319">
        <v>76543.726766279651</v>
      </c>
      <c r="N88" s="319">
        <v>128069.22419123921</v>
      </c>
      <c r="O88" s="319">
        <v>101701.93188031472</v>
      </c>
      <c r="P88" s="319">
        <v>70441</v>
      </c>
      <c r="Q88" s="320">
        <v>151270.7126438173</v>
      </c>
      <c r="R88" s="319">
        <v>71811.096732598671</v>
      </c>
      <c r="S88" s="319">
        <v>29430</v>
      </c>
      <c r="T88" s="319">
        <v>32307</v>
      </c>
      <c r="U88" s="319">
        <v>67565</v>
      </c>
      <c r="V88" s="319">
        <v>1998</v>
      </c>
      <c r="W88" s="321" t="str">
        <f>IFERROR(IF(tblPiNAnalysis[[#This Row],[CCCM]]="", "", MROUND(tblPiNAnalysis[[#This Row],[CCCM]]/tblPiNAnalysis[[#This Row],[Affected population projection 2026]], 0.05)), "")</f>
        <v/>
      </c>
      <c r="X88" s="322">
        <f>IFERROR(IF(tblPiNAnalysis[[#This Row],[Education]]="", "", MROUND(tblPiNAnalysis[[#This Row],[Education]]/tblPiNAnalysis[[#This Row],[Affected population projection 2026]], 0.05)), "")</f>
        <v>0.25</v>
      </c>
      <c r="Y88" s="322">
        <f>IFERROR(IF(tblPiNAnalysis[[#This Row],[Nutrition]]="", "", MROUND(tblPiNAnalysis[[#This Row],[Nutrition]]/tblPiNAnalysis[[#This Row],[Affected population projection 2026]], 0.05)), "")</f>
        <v>0.4</v>
      </c>
      <c r="Z88" s="322">
        <f>IFERROR(IF(tblPiNAnalysis[[#This Row],[Food Security]]="", "", MROUND(tblPiNAnalysis[[#This Row],[Food Security]]/tblPiNAnalysis[[#This Row],[Affected population projection 2026]], 0.05)), "")</f>
        <v>0.65</v>
      </c>
      <c r="AA88" s="322">
        <f>IFERROR(IF(tblPiNAnalysis[[#This Row],[Health]]="", "", MROUND(tblPiNAnalysis[[#This Row],[Health]]/tblPiNAnalysis[[#This Row],[Affected population projection 2026]], 0.05)), "")</f>
        <v>0.5</v>
      </c>
      <c r="AB88" s="323">
        <f>IFERROR(IF(tblPiNAnalysis[[#This Row],[Overarching Protection]]="", "", MROUND(tblPiNAnalysis[[#This Row],[Overarching Protection]]/tblPiNAnalysis[[#This Row],[Affected population projection 2026]], 0.05)), "")</f>
        <v>0.35000000000000003</v>
      </c>
      <c r="AC88" s="323">
        <f>IFERROR(IF(tblPiNAnalysis[[#This Row],[Shelter]]="", "", MROUND(tblPiNAnalysis[[#This Row],[Shelter]]/tblPiNAnalysis[[#This Row],[Affected population projection 2026]], 0.05)), "")</f>
        <v>0.75</v>
      </c>
      <c r="AD88" s="324">
        <f>IFERROR(IF(tblPiNAnalysis[[#This Row],[WASH]]="", "", MROUND(tblPiNAnalysis[[#This Row],[WASH]]/tblPiNAnalysis[[#This Row],[Affected population projection 2026]], 0.05)), "")</f>
        <v>0.35000000000000003</v>
      </c>
      <c r="AE88" s="322">
        <f>IFERROR(MROUND(tblPiNAnalysis[[#This Row],[CP]]/tblPiNAnalysis[[#This Row],[Affected population projection 2026]], 0.05), "")</f>
        <v>0.15000000000000002</v>
      </c>
      <c r="AF88" s="322">
        <f>IFERROR(MROUND(tblPiNAnalysis[[#This Row],[GBV]]/tblPiNAnalysis[[#This Row],[Affected population projection 2026]], 0.05), "")</f>
        <v>0.15000000000000002</v>
      </c>
      <c r="AG88" s="322">
        <f>IFERROR(MROUND(tblPiNAnalysis[[#This Row],[Mine Action]]/tblPiNAnalysis[[#This Row],[Affected population projection 2026]], 0.05), "")</f>
        <v>0.35000000000000003</v>
      </c>
      <c r="AH88" s="322">
        <f>IFERROR(MROUND(tblPiNAnalysis[[#This Row],[HLP]]/tblPiNAnalysis[[#This Row],[Affected population projection 2026]], 0.05), "")</f>
        <v>0</v>
      </c>
      <c r="AI88" s="325">
        <f>IFERROR(LARGE(tblPiNAnalysis[[#This Row],[CCCM]:[WASH]], 1), "")</f>
        <v>151270.7126438173</v>
      </c>
      <c r="AJ88" s="326" t="str" cm="1">
        <f t="array" ref="AJ88">IF(tblPiNAnalysis[[#This Row],[Highest PiN]]="", "", _xlfn.TEXTJOIN(CHAR(10), TRUE, IF(tblPiNAnalysis[[#This Row],[Highest PiN]]=tblPiNAnalysis[[#This Row],[CCCM]:[WASH]], tblPiNAnalysis[[#Headers],[CCCM]:[WASH]], "")))</f>
        <v>Shelter</v>
      </c>
      <c r="AK88" s="327">
        <f>IF(tblPiNAnalysis[[#This Row],[Highest PiN]]="", "", tblPiNAnalysis[[#This Row],[Highest PiN]]/tblPiNAnalysis[[#This Row],[Affected population projection 2026]])</f>
        <v>0.76068376068376065</v>
      </c>
      <c r="AL88" s="328" t="str">
        <f>IF(SUM(tblPiNAnalysis[[#This Row],[CCCM]:[WASH]])=0, "",IF(COUNTIF(tblPiNAnalysis[[#This Row],[CCCM]:[WASH]],"=0")+COUNTIF(tblPiNAnalysis[[#This Row],[CCCM]:[WASH]],"")&gt;=zero_pin_thresh, "Flagged", ""))</f>
        <v/>
      </c>
      <c r="AM88" s="329" t="str">
        <f>IFERROR(IF(tblPiNAnalysis[[#This Row],[Highest PiN]]="", "", IF(tblPiNAnalysis[[#This Row],[Highest sector(s'') PiN %]]&gt;=flag_pin_perc, "Flagged", "")), "")</f>
        <v/>
      </c>
      <c r="AN88" s="330" t="str" cm="1">
        <f t="array" ref="AN88">IF(tblPiNAnalysis[[#This Row],[Highest PiN]]=0, "",  IF(OR(COUNTIF(tblPiNAnalysis[[#This Row],[Highest sector(s)]],tblSubSectorPopulation[Sector])), "Flagged", ""))</f>
        <v/>
      </c>
      <c r="AO88" s="46" cm="1">
        <f t="array" ref="AO8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128069.22419123921</v>
      </c>
      <c r="AP88" s="331" t="str" cm="1">
        <f t="array" ref="AP88">IF(tblPiNAnalysis[[#This Row],[2nd Highest PiN]]="", "", _xlfn.TEXTJOIN(CHAR(10), TRUE, IF(tblPiNAnalysis[[#This Row],[2nd Highest PiN]]=tblPiNAnalysis[[#This Row],[CCCM]:[WASH]], tblPiNAnalysis[[#Headers],[CCCM]:[WASH]], "")))</f>
        <v>Food Security</v>
      </c>
      <c r="AQ88" s="36">
        <f>IFERROR(tblPiNAnalysis[[#This Row],[2nd Highest PiN]]/tblPiNAnalysis[[#This Row],[Affected population projection 2026]], "")</f>
        <v>0.64401216456902322</v>
      </c>
      <c r="AR88" s="46">
        <f>IFERROR(tblPiNAnalysis[[#This Row],[Highest PiN]]-tblPiNAnalysis[[#This Row],[2nd Highest PiN]], "")</f>
        <v>23201.488452578094</v>
      </c>
      <c r="AS88" s="39">
        <f>IFERROR(((tblPiNAnalysis[[#This Row],[Highest PiN]]-tblPiNAnalysis[[#This Row],[2nd Highest PiN]])/tblPiNAnalysis[[#This Row],[2nd Highest PiN]]),"")</f>
        <v>0.18116365269717338</v>
      </c>
      <c r="AT88" s="39" t="str" cm="1">
        <f t="array" ref="AT8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8" s="332" cm="1">
        <f t="array" ref="AU8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101701.93188031472</v>
      </c>
      <c r="AV88" s="190" t="str" cm="1">
        <f t="array" ref="AV88">IF(tblPiNAnalysis[[#This Row],[3rd Highest PiN]]="", "", _xlfn.TEXTJOIN(CHAR(10), TRUE, IF(tblPiNAnalysis[[#This Row],[3rd Highest PiN]]=tblPiNAnalysis[[#This Row],[CCCM]:[WASH]], tblPiNAnalysis[[#Headers],[CCCM]:[WASH]], "")))</f>
        <v>Health</v>
      </c>
      <c r="AW88" s="190">
        <f>IFERROR(tblPiNAnalysis[[#This Row],[3rd Highest PiN]]/tblPiNAnalysis[[#This Row],[Affected population projection 2026]], "")</f>
        <v>0.51142092649276227</v>
      </c>
      <c r="AX88" s="45">
        <f>IFERROR(tblPiNAnalysis[[#This Row],[Highest PiN]]-tblPiNAnalysis[[#This Row],[3rd Highest PiN]],"")</f>
        <v>49568.780763502582</v>
      </c>
      <c r="AY88" s="39">
        <f>IFERROR(tblPiNAnalysis[[#This Row],[Difference of PiN between Highest and 3rd Highest]]/tblPiNAnalysis[[#This Row],[3rd Highest PiN]], "")</f>
        <v>0.48739271562546438</v>
      </c>
      <c r="AZ88" s="330" t="str" cm="1">
        <f t="array" ref="AZ8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8" s="300" t="str" cm="1">
        <f t="array" ref="BA88">IFERROR(IF(tblPiNAnalysis[[#This Row],[ID]]="", "", INDEX(tblPiNHistorical[[CCCM]:[WASH]], MATCH(tblPiNAnalysis[[#This Row],[ID]],tblPiNHistorical[ID], 0),MATCH(_xlfn._xlws.FILTER(tblPiNAnalysis[[#Headers],[CCCM]:[WASH]], tblPiNAnalysis[[#This Row],[Highest PiN]]=tblPiNAnalysis[[#This Row],[CCCM]:[WASH]]), tblPiNHistorical[[#Headers],[CCCM]:[WASH]], 0))), "")</f>
        <v/>
      </c>
      <c r="BB88" s="333" t="str" cm="1">
        <f t="array" ref="BB8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8" s="276" t="str" cm="1">
        <f t="array" ref="BC88">IFERROR(IF(tblPiNAnalysis[[#This Row],[ID]]="", "", INDEX(tblPiNHistorical[[CCCM]:[WASH]], MATCH(tblPiNAnalysis[[#This Row],[ID]],tblPiNHistorical[ID], 0),MATCH(_xlfn._xlws.FILTER(tblPiNAnalysis[[#Headers],[CCCM]:[WASH]], tblPiNAnalysis[[#This Row],[2nd Highest PiN]]=tblPiNAnalysis[[#This Row],[CCCM]:[WASH]]), tblPiNHistorical[[#Headers],[CCCM]:[WASH]], 0))), "")</f>
        <v/>
      </c>
      <c r="BD88" s="334" t="str" cm="1">
        <f t="array" ref="BD8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8" s="276">
        <f>INDEX(tblSeverityAnalysis[Final Severity], MATCH(tblPiNAnalysis[[#This Row],[ID]],tblSeverityAnalysis[ID], 0))</f>
        <v>3</v>
      </c>
      <c r="BF88" s="61">
        <f>IF(tblPiNAnalysis[[#This Row],[Severity]]&gt;2,tblPiNAnalysis[[#This Row],[Highest PiN]],)</f>
        <v>151270.7126438173</v>
      </c>
      <c r="BG88" s="191"/>
      <c r="BH88" s="192"/>
      <c r="BI88" s="193">
        <f>COUNTIFS(tblPiNAnalysis[[#This Row],[Number of missing / zero PiNs greater than threshold - Data quality]:[Manual Flag]],"Flagged")</f>
        <v>0</v>
      </c>
      <c r="BJ88" s="96" t="str">
        <f>IF(tblPiNAnalysis[[#This Row],['# Flags]]&gt;0, "Flagged", "")</f>
        <v/>
      </c>
      <c r="BK88" s="326">
        <f>tblPiNAnalysis[[#This Row],[Preliminary PiN]]</f>
        <v>151270.7126438173</v>
      </c>
      <c r="BL88" s="331"/>
    </row>
    <row r="89" spans="1:64" ht="24.6" x14ac:dyDescent="0.55000000000000004">
      <c r="A8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SS0106</v>
      </c>
      <c r="B89" s="316" t="s">
        <v>236</v>
      </c>
      <c r="C89" s="317" t="s">
        <v>237</v>
      </c>
      <c r="D89" s="317" t="s">
        <v>248</v>
      </c>
      <c r="E89" s="105" t="s">
        <v>249</v>
      </c>
      <c r="F89" s="100"/>
      <c r="G89" s="34"/>
      <c r="H89" s="34"/>
      <c r="I89" s="97">
        <v>194205.26881302349</v>
      </c>
      <c r="J89" s="97" t="s">
        <v>413</v>
      </c>
      <c r="K89" s="318"/>
      <c r="L89" s="319">
        <v>34025.73412238578</v>
      </c>
      <c r="M89" s="319">
        <v>87344.841219222537</v>
      </c>
      <c r="N89" s="319">
        <v>95436.106026903348</v>
      </c>
      <c r="O89" s="319">
        <v>89654.848775627062</v>
      </c>
      <c r="P89" s="319">
        <v>63216</v>
      </c>
      <c r="Q89" s="320">
        <v>87999.262430901275</v>
      </c>
      <c r="R89" s="319">
        <v>158241.33014394506</v>
      </c>
      <c r="S89" s="319">
        <v>15060</v>
      </c>
      <c r="T89" s="319">
        <v>28402</v>
      </c>
      <c r="U89" s="319">
        <v>57137</v>
      </c>
      <c r="V89" s="319">
        <v>4172</v>
      </c>
      <c r="W89" s="321" t="str">
        <f>IFERROR(IF(tblPiNAnalysis[[#This Row],[CCCM]]="", "", MROUND(tblPiNAnalysis[[#This Row],[CCCM]]/tblPiNAnalysis[[#This Row],[Affected population projection 2026]], 0.05)), "")</f>
        <v/>
      </c>
      <c r="X89" s="322">
        <f>IFERROR(IF(tblPiNAnalysis[[#This Row],[Education]]="", "", MROUND(tblPiNAnalysis[[#This Row],[Education]]/tblPiNAnalysis[[#This Row],[Affected population projection 2026]], 0.05)), "")</f>
        <v>0.2</v>
      </c>
      <c r="Y89" s="322">
        <f>IFERROR(IF(tblPiNAnalysis[[#This Row],[Nutrition]]="", "", MROUND(tblPiNAnalysis[[#This Row],[Nutrition]]/tblPiNAnalysis[[#This Row],[Affected population projection 2026]], 0.05)), "")</f>
        <v>0.45</v>
      </c>
      <c r="Z89" s="322">
        <f>IFERROR(IF(tblPiNAnalysis[[#This Row],[Food Security]]="", "", MROUND(tblPiNAnalysis[[#This Row],[Food Security]]/tblPiNAnalysis[[#This Row],[Affected population projection 2026]], 0.05)), "")</f>
        <v>0.5</v>
      </c>
      <c r="AA89" s="322">
        <f>IFERROR(IF(tblPiNAnalysis[[#This Row],[Health]]="", "", MROUND(tblPiNAnalysis[[#This Row],[Health]]/tblPiNAnalysis[[#This Row],[Affected population projection 2026]], 0.05)), "")</f>
        <v>0.45</v>
      </c>
      <c r="AB89" s="323">
        <f>IFERROR(IF(tblPiNAnalysis[[#This Row],[Overarching Protection]]="", "", MROUND(tblPiNAnalysis[[#This Row],[Overarching Protection]]/tblPiNAnalysis[[#This Row],[Affected population projection 2026]], 0.05)), "")</f>
        <v>0.35000000000000003</v>
      </c>
      <c r="AC89" s="323">
        <f>IFERROR(IF(tblPiNAnalysis[[#This Row],[Shelter]]="", "", MROUND(tblPiNAnalysis[[#This Row],[Shelter]]/tblPiNAnalysis[[#This Row],[Affected population projection 2026]], 0.05)), "")</f>
        <v>0.45</v>
      </c>
      <c r="AD89" s="324">
        <f>IFERROR(IF(tblPiNAnalysis[[#This Row],[WASH]]="", "", MROUND(tblPiNAnalysis[[#This Row],[WASH]]/tblPiNAnalysis[[#This Row],[Affected population projection 2026]], 0.05)), "")</f>
        <v>0.8</v>
      </c>
      <c r="AE89" s="322">
        <f>IFERROR(MROUND(tblPiNAnalysis[[#This Row],[CP]]/tblPiNAnalysis[[#This Row],[Affected population projection 2026]], 0.05), "")</f>
        <v>0.1</v>
      </c>
      <c r="AF89" s="322">
        <f>IFERROR(MROUND(tblPiNAnalysis[[#This Row],[GBV]]/tblPiNAnalysis[[#This Row],[Affected population projection 2026]], 0.05), "")</f>
        <v>0.15000000000000002</v>
      </c>
      <c r="AG89" s="322">
        <f>IFERROR(MROUND(tblPiNAnalysis[[#This Row],[Mine Action]]/tblPiNAnalysis[[#This Row],[Affected population projection 2026]], 0.05), "")</f>
        <v>0.30000000000000004</v>
      </c>
      <c r="AH89" s="322">
        <f>IFERROR(MROUND(tblPiNAnalysis[[#This Row],[HLP]]/tblPiNAnalysis[[#This Row],[Affected population projection 2026]], 0.05), "")</f>
        <v>0</v>
      </c>
      <c r="AI89" s="325">
        <f>IFERROR(LARGE(tblPiNAnalysis[[#This Row],[CCCM]:[WASH]], 1), "")</f>
        <v>158241.33014394506</v>
      </c>
      <c r="AJ89" s="326" t="str" cm="1">
        <f t="array" ref="AJ89">IF(tblPiNAnalysis[[#This Row],[Highest PiN]]="", "", _xlfn.TEXTJOIN(CHAR(10), TRUE, IF(tblPiNAnalysis[[#This Row],[Highest PiN]]=tblPiNAnalysis[[#This Row],[CCCM]:[WASH]], tblPiNAnalysis[[#Headers],[CCCM]:[WASH]], "")))</f>
        <v>WASH</v>
      </c>
      <c r="AK89" s="327">
        <f>IF(tblPiNAnalysis[[#This Row],[Highest PiN]]="", "", tblPiNAnalysis[[#This Row],[Highest PiN]]/tblPiNAnalysis[[#This Row],[Affected population projection 2026]])</f>
        <v>0.81481481481481477</v>
      </c>
      <c r="AL89" s="328" t="str">
        <f>IF(SUM(tblPiNAnalysis[[#This Row],[CCCM]:[WASH]])=0, "",IF(COUNTIF(tblPiNAnalysis[[#This Row],[CCCM]:[WASH]],"=0")+COUNTIF(tblPiNAnalysis[[#This Row],[CCCM]:[WASH]],"")&gt;=zero_pin_thresh, "Flagged", ""))</f>
        <v/>
      </c>
      <c r="AM89" s="329" t="str">
        <f>IFERROR(IF(tblPiNAnalysis[[#This Row],[Highest PiN]]="", "", IF(tblPiNAnalysis[[#This Row],[Highest sector(s'') PiN %]]&gt;=flag_pin_perc, "Flagged", "")), "")</f>
        <v/>
      </c>
      <c r="AN89" s="330" t="str" cm="1">
        <f t="array" ref="AN89">IF(tblPiNAnalysis[[#This Row],[Highest PiN]]=0, "",  IF(OR(COUNTIF(tblPiNAnalysis[[#This Row],[Highest sector(s)]],tblSubSectorPopulation[Sector])), "Flagged", ""))</f>
        <v/>
      </c>
      <c r="AO89" s="46" cm="1">
        <f t="array" ref="AO8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95436.106026903348</v>
      </c>
      <c r="AP89" s="331" t="str" cm="1">
        <f t="array" ref="AP89">IF(tblPiNAnalysis[[#This Row],[2nd Highest PiN]]="", "", _xlfn.TEXTJOIN(CHAR(10), TRUE, IF(tblPiNAnalysis[[#This Row],[2nd Highest PiN]]=tblPiNAnalysis[[#This Row],[CCCM]:[WASH]], tblPiNAnalysis[[#Headers],[CCCM]:[WASH]], "")))</f>
        <v>Food Security</v>
      </c>
      <c r="AQ89" s="36">
        <f>IFERROR(tblPiNAnalysis[[#This Row],[2nd Highest PiN]]/tblPiNAnalysis[[#This Row],[Affected population projection 2026]], "")</f>
        <v>0.49141872725804936</v>
      </c>
      <c r="AR89" s="46">
        <f>IFERROR(tblPiNAnalysis[[#This Row],[Highest PiN]]-tblPiNAnalysis[[#This Row],[2nd Highest PiN]], "")</f>
        <v>62805.224117041711</v>
      </c>
      <c r="AS89" s="39">
        <f>IFERROR(((tblPiNAnalysis[[#This Row],[Highest PiN]]-tblPiNAnalysis[[#This Row],[2nd Highest PiN]])/tblPiNAnalysis[[#This Row],[2nd Highest PiN]]),"")</f>
        <v>0.65808661660333223</v>
      </c>
      <c r="AT89" s="39" t="str" cm="1">
        <f t="array" ref="AT8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89" s="332" cm="1">
        <f t="array" ref="AU8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89654.848775627062</v>
      </c>
      <c r="AV89" s="190" t="str" cm="1">
        <f t="array" ref="AV89">IF(tblPiNAnalysis[[#This Row],[3rd Highest PiN]]="", "", _xlfn.TEXTJOIN(CHAR(10), TRUE, IF(tblPiNAnalysis[[#This Row],[3rd Highest PiN]]=tblPiNAnalysis[[#This Row],[CCCM]:[WASH]], tblPiNAnalysis[[#Headers],[CCCM]:[WASH]], "")))</f>
        <v>Health</v>
      </c>
      <c r="AW89" s="190">
        <f>IFERROR(tblPiNAnalysis[[#This Row],[3rd Highest PiN]]/tblPiNAnalysis[[#This Row],[Affected population projection 2026]], "")</f>
        <v>0.46164993011566929</v>
      </c>
      <c r="AX89" s="45">
        <f>IFERROR(tblPiNAnalysis[[#This Row],[Highest PiN]]-tblPiNAnalysis[[#This Row],[3rd Highest PiN]],"")</f>
        <v>68586.481368317996</v>
      </c>
      <c r="AY89" s="39">
        <f>IFERROR(tblPiNAnalysis[[#This Row],[Difference of PiN between Highest and 3rd Highest]]/tblPiNAnalysis[[#This Row],[3rd Highest PiN]], "")</f>
        <v>0.76500582294176411</v>
      </c>
      <c r="AZ89" s="330" t="str" cm="1">
        <f t="array" ref="AZ8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89" s="300" t="str" cm="1">
        <f t="array" ref="BA89">IFERROR(IF(tblPiNAnalysis[[#This Row],[ID]]="", "", INDEX(tblPiNHistorical[[CCCM]:[WASH]], MATCH(tblPiNAnalysis[[#This Row],[ID]],tblPiNHistorical[ID], 0),MATCH(_xlfn._xlws.FILTER(tblPiNAnalysis[[#Headers],[CCCM]:[WASH]], tblPiNAnalysis[[#This Row],[Highest PiN]]=tblPiNAnalysis[[#This Row],[CCCM]:[WASH]]), tblPiNHistorical[[#Headers],[CCCM]:[WASH]], 0))), "")</f>
        <v/>
      </c>
      <c r="BB89" s="333" t="str" cm="1">
        <f t="array" ref="BB8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9" s="276" t="str" cm="1">
        <f t="array" ref="BC89">IFERROR(IF(tblPiNAnalysis[[#This Row],[ID]]="", "", INDEX(tblPiNHistorical[[CCCM]:[WASH]], MATCH(tblPiNAnalysis[[#This Row],[ID]],tblPiNHistorical[ID], 0),MATCH(_xlfn._xlws.FILTER(tblPiNAnalysis[[#Headers],[CCCM]:[WASH]], tblPiNAnalysis[[#This Row],[2nd Highest PiN]]=tblPiNAnalysis[[#This Row],[CCCM]:[WASH]]), tblPiNHistorical[[#Headers],[CCCM]:[WASH]], 0))), "")</f>
        <v/>
      </c>
      <c r="BD89" s="334" t="str" cm="1">
        <f t="array" ref="BD8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9" s="276">
        <f>INDEX(tblSeverityAnalysis[Final Severity], MATCH(tblPiNAnalysis[[#This Row],[ID]],tblSeverityAnalysis[ID], 0))</f>
        <v>3</v>
      </c>
      <c r="BF89" s="61">
        <f>IF(tblPiNAnalysis[[#This Row],[Severity]]&gt;2,tblPiNAnalysis[[#This Row],[Highest PiN]],)</f>
        <v>158241.33014394506</v>
      </c>
      <c r="BG89" s="191"/>
      <c r="BH89" s="192"/>
      <c r="BI89" s="193">
        <f>COUNTIFS(tblPiNAnalysis[[#This Row],[Number of missing / zero PiNs greater than threshold - Data quality]:[Manual Flag]],"Flagged")</f>
        <v>2</v>
      </c>
      <c r="BJ89" s="96" t="str">
        <f>IF(tblPiNAnalysis[[#This Row],['# Flags]]&gt;0, "Flagged", "")</f>
        <v>Flagged</v>
      </c>
      <c r="BK89" s="326">
        <f>tblPiNAnalysis[[#This Row],[Preliminary PiN]]</f>
        <v>158241.33014394506</v>
      </c>
      <c r="BL89" s="331"/>
    </row>
    <row r="90" spans="1:64" ht="24.6" x14ac:dyDescent="0.55000000000000004">
      <c r="A9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SS0201</v>
      </c>
      <c r="B90" s="316" t="s">
        <v>250</v>
      </c>
      <c r="C90" s="317" t="s">
        <v>251</v>
      </c>
      <c r="D90" s="317" t="s">
        <v>252</v>
      </c>
      <c r="E90" s="105" t="s">
        <v>253</v>
      </c>
      <c r="F90" s="100"/>
      <c r="G90" s="34"/>
      <c r="H90" s="34"/>
      <c r="I90" s="97">
        <v>80977.342990929319</v>
      </c>
      <c r="J90" s="97" t="s">
        <v>413</v>
      </c>
      <c r="K90" s="318"/>
      <c r="L90" s="319">
        <v>26470.35974093292</v>
      </c>
      <c r="M90" s="319">
        <v>42094.260145199667</v>
      </c>
      <c r="N90" s="319">
        <v>52040.353809790613</v>
      </c>
      <c r="O90" s="319">
        <v>35482.701808864054</v>
      </c>
      <c r="P90" s="319">
        <v>13243</v>
      </c>
      <c r="Q90" s="320">
        <v>46442.887891856524</v>
      </c>
      <c r="R90" s="319">
        <v>60733.007243196989</v>
      </c>
      <c r="S90" s="319">
        <v>11283</v>
      </c>
      <c r="T90" s="319">
        <v>6684</v>
      </c>
      <c r="U90" s="319">
        <v>7767</v>
      </c>
      <c r="V90" s="319">
        <v>1494</v>
      </c>
      <c r="W90" s="321" t="str">
        <f>IFERROR(IF(tblPiNAnalysis[[#This Row],[CCCM]]="", "", MROUND(tblPiNAnalysis[[#This Row],[CCCM]]/tblPiNAnalysis[[#This Row],[Affected population projection 2026]], 0.05)), "")</f>
        <v/>
      </c>
      <c r="X90" s="322">
        <f>IFERROR(IF(tblPiNAnalysis[[#This Row],[Education]]="", "", MROUND(tblPiNAnalysis[[#This Row],[Education]]/tblPiNAnalysis[[#This Row],[Affected population projection 2026]], 0.05)), "")</f>
        <v>0.35000000000000003</v>
      </c>
      <c r="Y90" s="322">
        <f>IFERROR(IF(tblPiNAnalysis[[#This Row],[Nutrition]]="", "", MROUND(tblPiNAnalysis[[#This Row],[Nutrition]]/tblPiNAnalysis[[#This Row],[Affected population projection 2026]], 0.05)), "")</f>
        <v>0.5</v>
      </c>
      <c r="Z90" s="322">
        <f>IFERROR(IF(tblPiNAnalysis[[#This Row],[Food Security]]="", "", MROUND(tblPiNAnalysis[[#This Row],[Food Security]]/tblPiNAnalysis[[#This Row],[Affected population projection 2026]], 0.05)), "")</f>
        <v>0.65</v>
      </c>
      <c r="AA90" s="322">
        <f>IFERROR(IF(tblPiNAnalysis[[#This Row],[Health]]="", "", MROUND(tblPiNAnalysis[[#This Row],[Health]]/tblPiNAnalysis[[#This Row],[Affected population projection 2026]], 0.05)), "")</f>
        <v>0.45</v>
      </c>
      <c r="AB90" s="323">
        <f>IFERROR(IF(tblPiNAnalysis[[#This Row],[Overarching Protection]]="", "", MROUND(tblPiNAnalysis[[#This Row],[Overarching Protection]]/tblPiNAnalysis[[#This Row],[Affected population projection 2026]], 0.05)), "")</f>
        <v>0.15000000000000002</v>
      </c>
      <c r="AC90" s="323">
        <f>IFERROR(IF(tblPiNAnalysis[[#This Row],[Shelter]]="", "", MROUND(tblPiNAnalysis[[#This Row],[Shelter]]/tblPiNAnalysis[[#This Row],[Affected population projection 2026]], 0.05)), "")</f>
        <v>0.55000000000000004</v>
      </c>
      <c r="AD90" s="324">
        <f>IFERROR(IF(tblPiNAnalysis[[#This Row],[WASH]]="", "", MROUND(tblPiNAnalysis[[#This Row],[WASH]]/tblPiNAnalysis[[#This Row],[Affected population projection 2026]], 0.05)), "")</f>
        <v>0.75</v>
      </c>
      <c r="AE90" s="322">
        <f>IFERROR(MROUND(tblPiNAnalysis[[#This Row],[CP]]/tblPiNAnalysis[[#This Row],[Affected population projection 2026]], 0.05), "")</f>
        <v>0.15000000000000002</v>
      </c>
      <c r="AF90" s="322">
        <f>IFERROR(MROUND(tblPiNAnalysis[[#This Row],[GBV]]/tblPiNAnalysis[[#This Row],[Affected population projection 2026]], 0.05), "")</f>
        <v>0.1</v>
      </c>
      <c r="AG90" s="322">
        <f>IFERROR(MROUND(tblPiNAnalysis[[#This Row],[Mine Action]]/tblPiNAnalysis[[#This Row],[Affected population projection 2026]], 0.05), "")</f>
        <v>0.1</v>
      </c>
      <c r="AH90" s="322">
        <f>IFERROR(MROUND(tblPiNAnalysis[[#This Row],[HLP]]/tblPiNAnalysis[[#This Row],[Affected population projection 2026]], 0.05), "")</f>
        <v>0</v>
      </c>
      <c r="AI90" s="325">
        <f>IFERROR(LARGE(tblPiNAnalysis[[#This Row],[CCCM]:[WASH]], 1), "")</f>
        <v>60733.007243196989</v>
      </c>
      <c r="AJ90" s="326" t="str" cm="1">
        <f t="array" ref="AJ90">IF(tblPiNAnalysis[[#This Row],[Highest PiN]]="", "", _xlfn.TEXTJOIN(CHAR(10), TRUE, IF(tblPiNAnalysis[[#This Row],[Highest PiN]]=tblPiNAnalysis[[#This Row],[CCCM]:[WASH]], tblPiNAnalysis[[#Headers],[CCCM]:[WASH]], "")))</f>
        <v>WASH</v>
      </c>
      <c r="AK90" s="327">
        <f>IF(tblPiNAnalysis[[#This Row],[Highest PiN]]="", "", tblPiNAnalysis[[#This Row],[Highest PiN]]/tblPiNAnalysis[[#This Row],[Affected population projection 2026]])</f>
        <v>0.75</v>
      </c>
      <c r="AL90" s="328" t="str">
        <f>IF(SUM(tblPiNAnalysis[[#This Row],[CCCM]:[WASH]])=0, "",IF(COUNTIF(tblPiNAnalysis[[#This Row],[CCCM]:[WASH]],"=0")+COUNTIF(tblPiNAnalysis[[#This Row],[CCCM]:[WASH]],"")&gt;=zero_pin_thresh, "Flagged", ""))</f>
        <v/>
      </c>
      <c r="AM90" s="329" t="str">
        <f>IFERROR(IF(tblPiNAnalysis[[#This Row],[Highest PiN]]="", "", IF(tblPiNAnalysis[[#This Row],[Highest sector(s'') PiN %]]&gt;=flag_pin_perc, "Flagged", "")), "")</f>
        <v/>
      </c>
      <c r="AN90" s="330" t="str" cm="1">
        <f t="array" ref="AN90">IF(tblPiNAnalysis[[#This Row],[Highest PiN]]=0, "",  IF(OR(COUNTIF(tblPiNAnalysis[[#This Row],[Highest sector(s)]],tblSubSectorPopulation[Sector])), "Flagged", ""))</f>
        <v/>
      </c>
      <c r="AO90" s="46" cm="1">
        <f t="array" ref="AO9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52040.353809790613</v>
      </c>
      <c r="AP90" s="331" t="str" cm="1">
        <f t="array" ref="AP90">IF(tblPiNAnalysis[[#This Row],[2nd Highest PiN]]="", "", _xlfn.TEXTJOIN(CHAR(10), TRUE, IF(tblPiNAnalysis[[#This Row],[2nd Highest PiN]]=tblPiNAnalysis[[#This Row],[CCCM]:[WASH]], tblPiNAnalysis[[#Headers],[CCCM]:[WASH]], "")))</f>
        <v>Food Security</v>
      </c>
      <c r="AQ90" s="36">
        <f>IFERROR(tblPiNAnalysis[[#This Row],[2nd Highest PiN]]/tblPiNAnalysis[[#This Row],[Affected population projection 2026]], "")</f>
        <v>0.64265326432876313</v>
      </c>
      <c r="AR90" s="46">
        <f>IFERROR(tblPiNAnalysis[[#This Row],[Highest PiN]]-tblPiNAnalysis[[#This Row],[2nd Highest PiN]], "")</f>
        <v>8692.6534334063763</v>
      </c>
      <c r="AS90" s="39">
        <f>IFERROR(((tblPiNAnalysis[[#This Row],[Highest PiN]]-tblPiNAnalysis[[#This Row],[2nd Highest PiN]])/tblPiNAnalysis[[#This Row],[2nd Highest PiN]]),"")</f>
        <v>0.16703678582160184</v>
      </c>
      <c r="AT90" s="39" t="str" cm="1">
        <f t="array" ref="AT9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0" s="332" cm="1">
        <f t="array" ref="AU9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46442.887891856524</v>
      </c>
      <c r="AV90" s="190" t="str" cm="1">
        <f t="array" ref="AV90">IF(tblPiNAnalysis[[#This Row],[3rd Highest PiN]]="", "", _xlfn.TEXTJOIN(CHAR(10), TRUE, IF(tblPiNAnalysis[[#This Row],[3rd Highest PiN]]=tblPiNAnalysis[[#This Row],[CCCM]:[WASH]], tblPiNAnalysis[[#Headers],[CCCM]:[WASH]], "")))</f>
        <v>Shelter</v>
      </c>
      <c r="AW90" s="190">
        <f>IFERROR(tblPiNAnalysis[[#This Row],[3rd Highest PiN]]/tblPiNAnalysis[[#This Row],[Affected population projection 2026]], "")</f>
        <v>0.57352941176470595</v>
      </c>
      <c r="AX90" s="45">
        <f>IFERROR(tblPiNAnalysis[[#This Row],[Highest PiN]]-tblPiNAnalysis[[#This Row],[3rd Highest PiN]],"")</f>
        <v>14290.119351340465</v>
      </c>
      <c r="AY90" s="39">
        <f>IFERROR(tblPiNAnalysis[[#This Row],[Difference of PiN between Highest and 3rd Highest]]/tblPiNAnalysis[[#This Row],[3rd Highest PiN]], "")</f>
        <v>0.3076923076923076</v>
      </c>
      <c r="AZ90" s="330" t="str" cm="1">
        <f t="array" ref="AZ9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0" s="300" t="str" cm="1">
        <f t="array" ref="BA90">IFERROR(IF(tblPiNAnalysis[[#This Row],[ID]]="", "", INDEX(tblPiNHistorical[[CCCM]:[WASH]], MATCH(tblPiNAnalysis[[#This Row],[ID]],tblPiNHistorical[ID], 0),MATCH(_xlfn._xlws.FILTER(tblPiNAnalysis[[#Headers],[CCCM]:[WASH]], tblPiNAnalysis[[#This Row],[Highest PiN]]=tblPiNAnalysis[[#This Row],[CCCM]:[WASH]]), tblPiNHistorical[[#Headers],[CCCM]:[WASH]], 0))), "")</f>
        <v/>
      </c>
      <c r="BB90" s="333" t="str" cm="1">
        <f t="array" ref="BB9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0" s="276" t="str" cm="1">
        <f t="array" ref="BC90">IFERROR(IF(tblPiNAnalysis[[#This Row],[ID]]="", "", INDEX(tblPiNHistorical[[CCCM]:[WASH]], MATCH(tblPiNAnalysis[[#This Row],[ID]],tblPiNHistorical[ID], 0),MATCH(_xlfn._xlws.FILTER(tblPiNAnalysis[[#Headers],[CCCM]:[WASH]], tblPiNAnalysis[[#This Row],[2nd Highest PiN]]=tblPiNAnalysis[[#This Row],[CCCM]:[WASH]]), tblPiNHistorical[[#Headers],[CCCM]:[WASH]], 0))), "")</f>
        <v/>
      </c>
      <c r="BD90" s="334" t="str" cm="1">
        <f t="array" ref="BD9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0" s="276">
        <f>INDEX(tblSeverityAnalysis[Final Severity], MATCH(tblPiNAnalysis[[#This Row],[ID]],tblSeverityAnalysis[ID], 0))</f>
        <v>3</v>
      </c>
      <c r="BF90" s="61">
        <f>IF(tblPiNAnalysis[[#This Row],[Severity]]&gt;2,tblPiNAnalysis[[#This Row],[Highest PiN]],)</f>
        <v>60733.007243196989</v>
      </c>
      <c r="BG90" s="191"/>
      <c r="BH90" s="192"/>
      <c r="BI90" s="193">
        <f>COUNTIFS(tblPiNAnalysis[[#This Row],[Number of missing / zero PiNs greater than threshold - Data quality]:[Manual Flag]],"Flagged")</f>
        <v>0</v>
      </c>
      <c r="BJ90" s="96" t="str">
        <f>IF(tblPiNAnalysis[[#This Row],['# Flags]]&gt;0, "Flagged", "")</f>
        <v/>
      </c>
      <c r="BK90" s="326">
        <f>tblPiNAnalysis[[#This Row],[Preliminary PiN]]</f>
        <v>60733.007243196989</v>
      </c>
      <c r="BL90" s="331"/>
    </row>
    <row r="91" spans="1:64" ht="24.6" x14ac:dyDescent="0.55000000000000004">
      <c r="A9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SS0202</v>
      </c>
      <c r="B91" s="316" t="s">
        <v>250</v>
      </c>
      <c r="C91" s="317" t="s">
        <v>251</v>
      </c>
      <c r="D91" s="317" t="s">
        <v>254</v>
      </c>
      <c r="E91" s="105" t="s">
        <v>255</v>
      </c>
      <c r="F91" s="100"/>
      <c r="G91" s="34"/>
      <c r="H91" s="34"/>
      <c r="I91" s="97">
        <v>79454.880620653479</v>
      </c>
      <c r="J91" s="97" t="s">
        <v>413</v>
      </c>
      <c r="K91" s="318"/>
      <c r="L91" s="319">
        <v>10528.407321281551</v>
      </c>
      <c r="M91" s="319">
        <v>42184.060293550596</v>
      </c>
      <c r="N91" s="319">
        <v>35471.478825328893</v>
      </c>
      <c r="O91" s="319">
        <v>44732.491459357952</v>
      </c>
      <c r="P91" s="319">
        <v>14557</v>
      </c>
      <c r="Q91" s="320">
        <v>19014.843225455534</v>
      </c>
      <c r="R91" s="319">
        <v>38634.024521969128</v>
      </c>
      <c r="S91" s="319">
        <v>12161</v>
      </c>
      <c r="T91" s="319">
        <v>13839</v>
      </c>
      <c r="U91" s="319">
        <v>9559</v>
      </c>
      <c r="V91" s="319">
        <v>858</v>
      </c>
      <c r="W91" s="321" t="str">
        <f>IFERROR(IF(tblPiNAnalysis[[#This Row],[CCCM]]="", "", MROUND(tblPiNAnalysis[[#This Row],[CCCM]]/tblPiNAnalysis[[#This Row],[Affected population projection 2026]], 0.05)), "")</f>
        <v/>
      </c>
      <c r="X91" s="322">
        <f>IFERROR(IF(tblPiNAnalysis[[#This Row],[Education]]="", "", MROUND(tblPiNAnalysis[[#This Row],[Education]]/tblPiNAnalysis[[#This Row],[Affected population projection 2026]], 0.05)), "")</f>
        <v>0.15000000000000002</v>
      </c>
      <c r="Y91" s="322">
        <f>IFERROR(IF(tblPiNAnalysis[[#This Row],[Nutrition]]="", "", MROUND(tblPiNAnalysis[[#This Row],[Nutrition]]/tblPiNAnalysis[[#This Row],[Affected population projection 2026]], 0.05)), "")</f>
        <v>0.55000000000000004</v>
      </c>
      <c r="Z91" s="322">
        <f>IFERROR(IF(tblPiNAnalysis[[#This Row],[Food Security]]="", "", MROUND(tblPiNAnalysis[[#This Row],[Food Security]]/tblPiNAnalysis[[#This Row],[Affected population projection 2026]], 0.05)), "")</f>
        <v>0.45</v>
      </c>
      <c r="AA91" s="322">
        <f>IFERROR(IF(tblPiNAnalysis[[#This Row],[Health]]="", "", MROUND(tblPiNAnalysis[[#This Row],[Health]]/tblPiNAnalysis[[#This Row],[Affected population projection 2026]], 0.05)), "")</f>
        <v>0.55000000000000004</v>
      </c>
      <c r="AB91" s="323">
        <f>IFERROR(IF(tblPiNAnalysis[[#This Row],[Overarching Protection]]="", "", MROUND(tblPiNAnalysis[[#This Row],[Overarching Protection]]/tblPiNAnalysis[[#This Row],[Affected population projection 2026]], 0.05)), "")</f>
        <v>0.2</v>
      </c>
      <c r="AC91" s="323">
        <f>IFERROR(IF(tblPiNAnalysis[[#This Row],[Shelter]]="", "", MROUND(tblPiNAnalysis[[#This Row],[Shelter]]/tblPiNAnalysis[[#This Row],[Affected population projection 2026]], 0.05)), "")</f>
        <v>0.25</v>
      </c>
      <c r="AD91" s="324">
        <f>IFERROR(IF(tblPiNAnalysis[[#This Row],[WASH]]="", "", MROUND(tblPiNAnalysis[[#This Row],[WASH]]/tblPiNAnalysis[[#This Row],[Affected population projection 2026]], 0.05)), "")</f>
        <v>0.5</v>
      </c>
      <c r="AE91" s="322">
        <f>IFERROR(MROUND(tblPiNAnalysis[[#This Row],[CP]]/tblPiNAnalysis[[#This Row],[Affected population projection 2026]], 0.05), "")</f>
        <v>0.15000000000000002</v>
      </c>
      <c r="AF91" s="322">
        <f>IFERROR(MROUND(tblPiNAnalysis[[#This Row],[GBV]]/tblPiNAnalysis[[#This Row],[Affected population projection 2026]], 0.05), "")</f>
        <v>0.15000000000000002</v>
      </c>
      <c r="AG91" s="322">
        <f>IFERROR(MROUND(tblPiNAnalysis[[#This Row],[Mine Action]]/tblPiNAnalysis[[#This Row],[Affected population projection 2026]], 0.05), "")</f>
        <v>0.1</v>
      </c>
      <c r="AH91" s="322">
        <f>IFERROR(MROUND(tblPiNAnalysis[[#This Row],[HLP]]/tblPiNAnalysis[[#This Row],[Affected population projection 2026]], 0.05), "")</f>
        <v>0</v>
      </c>
      <c r="AI91" s="325">
        <f>IFERROR(LARGE(tblPiNAnalysis[[#This Row],[CCCM]:[WASH]], 1), "")</f>
        <v>44732.491459357952</v>
      </c>
      <c r="AJ91" s="326" t="str" cm="1">
        <f t="array" ref="AJ91">IF(tblPiNAnalysis[[#This Row],[Highest PiN]]="", "", _xlfn.TEXTJOIN(CHAR(10), TRUE, IF(tblPiNAnalysis[[#This Row],[Highest PiN]]=tblPiNAnalysis[[#This Row],[CCCM]:[WASH]], tblPiNAnalysis[[#Headers],[CCCM]:[WASH]], "")))</f>
        <v>Health</v>
      </c>
      <c r="AK91" s="327">
        <f>IF(tblPiNAnalysis[[#This Row],[Highest PiN]]="", "", tblPiNAnalysis[[#This Row],[Highest PiN]]/tblPiNAnalysis[[#This Row],[Affected population projection 2026]])</f>
        <v>0.56299236887570381</v>
      </c>
      <c r="AL91" s="328" t="str">
        <f>IF(SUM(tblPiNAnalysis[[#This Row],[CCCM]:[WASH]])=0, "",IF(COUNTIF(tblPiNAnalysis[[#This Row],[CCCM]:[WASH]],"=0")+COUNTIF(tblPiNAnalysis[[#This Row],[CCCM]:[WASH]],"")&gt;=zero_pin_thresh, "Flagged", ""))</f>
        <v/>
      </c>
      <c r="AM91" s="329" t="str">
        <f>IFERROR(IF(tblPiNAnalysis[[#This Row],[Highest PiN]]="", "", IF(tblPiNAnalysis[[#This Row],[Highest sector(s'') PiN %]]&gt;=flag_pin_perc, "Flagged", "")), "")</f>
        <v/>
      </c>
      <c r="AN91" s="330" t="str" cm="1">
        <f t="array" ref="AN91">IF(tblPiNAnalysis[[#This Row],[Highest PiN]]=0, "",  IF(OR(COUNTIF(tblPiNAnalysis[[#This Row],[Highest sector(s)]],tblSubSectorPopulation[Sector])), "Flagged", ""))</f>
        <v/>
      </c>
      <c r="AO91" s="46" cm="1">
        <f t="array" ref="AO9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42184.060293550596</v>
      </c>
      <c r="AP91" s="331" t="str" cm="1">
        <f t="array" ref="AP91">IF(tblPiNAnalysis[[#This Row],[2nd Highest PiN]]="", "", _xlfn.TEXTJOIN(CHAR(10), TRUE, IF(tblPiNAnalysis[[#This Row],[2nd Highest PiN]]=tblPiNAnalysis[[#This Row],[CCCM]:[WASH]], tblPiNAnalysis[[#Headers],[CCCM]:[WASH]], "")))</f>
        <v>Nutrition</v>
      </c>
      <c r="AQ91" s="36">
        <f>IFERROR(tblPiNAnalysis[[#This Row],[2nd Highest PiN]]/tblPiNAnalysis[[#This Row],[Affected population projection 2026]], "")</f>
        <v>0.53091842771689068</v>
      </c>
      <c r="AR91" s="46">
        <f>IFERROR(tblPiNAnalysis[[#This Row],[Highest PiN]]-tblPiNAnalysis[[#This Row],[2nd Highest PiN]], "")</f>
        <v>2548.4311658073566</v>
      </c>
      <c r="AS91" s="39">
        <f>IFERROR(((tblPiNAnalysis[[#This Row],[Highest PiN]]-tblPiNAnalysis[[#This Row],[2nd Highest PiN]])/tblPiNAnalysis[[#This Row],[2nd Highest PiN]]),"")</f>
        <v>6.0412182897362755E-2</v>
      </c>
      <c r="AT91" s="39" t="str" cm="1">
        <f t="array" ref="AT9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1" s="332" cm="1">
        <f t="array" ref="AU9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38634.024521969128</v>
      </c>
      <c r="AV91" s="190" t="str" cm="1">
        <f t="array" ref="AV91">IF(tblPiNAnalysis[[#This Row],[3rd Highest PiN]]="", "", _xlfn.TEXTJOIN(CHAR(10), TRUE, IF(tblPiNAnalysis[[#This Row],[3rd Highest PiN]]=tblPiNAnalysis[[#This Row],[CCCM]:[WASH]], tblPiNAnalysis[[#Headers],[CCCM]:[WASH]], "")))</f>
        <v>WASH</v>
      </c>
      <c r="AW91" s="190">
        <f>IFERROR(tblPiNAnalysis[[#This Row],[3rd Highest PiN]]/tblPiNAnalysis[[#This Row],[Affected population projection 2026]], "")</f>
        <v>0.48623853211009183</v>
      </c>
      <c r="AX91" s="45">
        <f>IFERROR(tblPiNAnalysis[[#This Row],[Highest PiN]]-tblPiNAnalysis[[#This Row],[3rd Highest PiN]],"")</f>
        <v>6098.4669373888246</v>
      </c>
      <c r="AY91" s="39">
        <f>IFERROR(tblPiNAnalysis[[#This Row],[Difference of PiN between Highest and 3rd Highest]]/tblPiNAnalysis[[#This Row],[3rd Highest PiN]], "")</f>
        <v>0.15785223032927748</v>
      </c>
      <c r="AZ91" s="330" t="str" cm="1">
        <f t="array" ref="AZ9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1" s="300" t="str" cm="1">
        <f t="array" ref="BA91">IFERROR(IF(tblPiNAnalysis[[#This Row],[ID]]="", "", INDEX(tblPiNHistorical[[CCCM]:[WASH]], MATCH(tblPiNAnalysis[[#This Row],[ID]],tblPiNHistorical[ID], 0),MATCH(_xlfn._xlws.FILTER(tblPiNAnalysis[[#Headers],[CCCM]:[WASH]], tblPiNAnalysis[[#This Row],[Highest PiN]]=tblPiNAnalysis[[#This Row],[CCCM]:[WASH]]), tblPiNHistorical[[#Headers],[CCCM]:[WASH]], 0))), "")</f>
        <v/>
      </c>
      <c r="BB91" s="333" t="str" cm="1">
        <f t="array" ref="BB9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1" s="276" t="str" cm="1">
        <f t="array" ref="BC91">IFERROR(IF(tblPiNAnalysis[[#This Row],[ID]]="", "", INDEX(tblPiNHistorical[[CCCM]:[WASH]], MATCH(tblPiNAnalysis[[#This Row],[ID]],tblPiNHistorical[ID], 0),MATCH(_xlfn._xlws.FILTER(tblPiNAnalysis[[#Headers],[CCCM]:[WASH]], tblPiNAnalysis[[#This Row],[2nd Highest PiN]]=tblPiNAnalysis[[#This Row],[CCCM]:[WASH]]), tblPiNHistorical[[#Headers],[CCCM]:[WASH]], 0))), "")</f>
        <v/>
      </c>
      <c r="BD91" s="334" t="str" cm="1">
        <f t="array" ref="BD9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1" s="276">
        <f>INDEX(tblSeverityAnalysis[Final Severity], MATCH(tblPiNAnalysis[[#This Row],[ID]],tblSeverityAnalysis[ID], 0))</f>
        <v>3</v>
      </c>
      <c r="BF91" s="61">
        <f>IF(tblPiNAnalysis[[#This Row],[Severity]]&gt;2,tblPiNAnalysis[[#This Row],[Highest PiN]],)</f>
        <v>44732.491459357952</v>
      </c>
      <c r="BG91" s="191"/>
      <c r="BH91" s="192"/>
      <c r="BI91" s="193">
        <f>COUNTIFS(tblPiNAnalysis[[#This Row],[Number of missing / zero PiNs greater than threshold - Data quality]:[Manual Flag]],"Flagged")</f>
        <v>0</v>
      </c>
      <c r="BJ91" s="96" t="str">
        <f>IF(tblPiNAnalysis[[#This Row],['# Flags]]&gt;0, "Flagged", "")</f>
        <v/>
      </c>
      <c r="BK91" s="326">
        <f>tblPiNAnalysis[[#This Row],[Preliminary PiN]]</f>
        <v>44732.491459357952</v>
      </c>
      <c r="BL91" s="331"/>
    </row>
    <row r="92" spans="1:64" ht="24.6" x14ac:dyDescent="0.55000000000000004">
      <c r="A9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SS0203</v>
      </c>
      <c r="B92" s="316" t="s">
        <v>250</v>
      </c>
      <c r="C92" s="317" t="s">
        <v>251</v>
      </c>
      <c r="D92" s="317" t="s">
        <v>256</v>
      </c>
      <c r="E92" s="105" t="s">
        <v>257</v>
      </c>
      <c r="F92" s="100"/>
      <c r="G92" s="34"/>
      <c r="H92" s="34"/>
      <c r="I92" s="97">
        <v>135919.18209910189</v>
      </c>
      <c r="J92" s="97" t="s">
        <v>413</v>
      </c>
      <c r="K92" s="318"/>
      <c r="L92" s="319">
        <v>46429.992605053216</v>
      </c>
      <c r="M92" s="319">
        <v>69154.097960808984</v>
      </c>
      <c r="N92" s="319">
        <v>96916.824518761714</v>
      </c>
      <c r="O92" s="319">
        <v>52722.460475722546</v>
      </c>
      <c r="P92" s="319">
        <v>45226</v>
      </c>
      <c r="Q92" s="320">
        <v>70224.910751202638</v>
      </c>
      <c r="R92" s="319">
        <v>108231.94130113669</v>
      </c>
      <c r="S92" s="319">
        <v>17043</v>
      </c>
      <c r="T92" s="319">
        <v>18652</v>
      </c>
      <c r="U92" s="319">
        <v>32263</v>
      </c>
      <c r="V92" s="319">
        <v>1549</v>
      </c>
      <c r="W92" s="321" t="str">
        <f>IFERROR(IF(tblPiNAnalysis[[#This Row],[CCCM]]="", "", MROUND(tblPiNAnalysis[[#This Row],[CCCM]]/tblPiNAnalysis[[#This Row],[Affected population projection 2026]], 0.05)), "")</f>
        <v/>
      </c>
      <c r="X92" s="322">
        <f>IFERROR(IF(tblPiNAnalysis[[#This Row],[Education]]="", "", MROUND(tblPiNAnalysis[[#This Row],[Education]]/tblPiNAnalysis[[#This Row],[Affected population projection 2026]], 0.05)), "")</f>
        <v>0.35000000000000003</v>
      </c>
      <c r="Y92" s="322">
        <f>IFERROR(IF(tblPiNAnalysis[[#This Row],[Nutrition]]="", "", MROUND(tblPiNAnalysis[[#This Row],[Nutrition]]/tblPiNAnalysis[[#This Row],[Affected population projection 2026]], 0.05)), "")</f>
        <v>0.5</v>
      </c>
      <c r="Z92" s="322">
        <f>IFERROR(IF(tblPiNAnalysis[[#This Row],[Food Security]]="", "", MROUND(tblPiNAnalysis[[#This Row],[Food Security]]/tblPiNAnalysis[[#This Row],[Affected population projection 2026]], 0.05)), "")</f>
        <v>0.70000000000000007</v>
      </c>
      <c r="AA92" s="322">
        <f>IFERROR(IF(tblPiNAnalysis[[#This Row],[Health]]="", "", MROUND(tblPiNAnalysis[[#This Row],[Health]]/tblPiNAnalysis[[#This Row],[Affected population projection 2026]], 0.05)), "")</f>
        <v>0.4</v>
      </c>
      <c r="AB92" s="323">
        <f>IFERROR(IF(tblPiNAnalysis[[#This Row],[Overarching Protection]]="", "", MROUND(tblPiNAnalysis[[#This Row],[Overarching Protection]]/tblPiNAnalysis[[#This Row],[Affected population projection 2026]], 0.05)), "")</f>
        <v>0.35000000000000003</v>
      </c>
      <c r="AC92" s="323">
        <f>IFERROR(IF(tblPiNAnalysis[[#This Row],[Shelter]]="", "", MROUND(tblPiNAnalysis[[#This Row],[Shelter]]/tblPiNAnalysis[[#This Row],[Affected population projection 2026]], 0.05)), "")</f>
        <v>0.5</v>
      </c>
      <c r="AD92" s="324">
        <f>IFERROR(IF(tblPiNAnalysis[[#This Row],[WASH]]="", "", MROUND(tblPiNAnalysis[[#This Row],[WASH]]/tblPiNAnalysis[[#This Row],[Affected population projection 2026]], 0.05)), "")</f>
        <v>0.8</v>
      </c>
      <c r="AE92" s="322">
        <f>IFERROR(MROUND(tblPiNAnalysis[[#This Row],[CP]]/tblPiNAnalysis[[#This Row],[Affected population projection 2026]], 0.05), "")</f>
        <v>0.15000000000000002</v>
      </c>
      <c r="AF92" s="322">
        <f>IFERROR(MROUND(tblPiNAnalysis[[#This Row],[GBV]]/tblPiNAnalysis[[#This Row],[Affected population projection 2026]], 0.05), "")</f>
        <v>0.15000000000000002</v>
      </c>
      <c r="AG92" s="322">
        <f>IFERROR(MROUND(tblPiNAnalysis[[#This Row],[Mine Action]]/tblPiNAnalysis[[#This Row],[Affected population projection 2026]], 0.05), "")</f>
        <v>0.25</v>
      </c>
      <c r="AH92" s="322">
        <f>IFERROR(MROUND(tblPiNAnalysis[[#This Row],[HLP]]/tblPiNAnalysis[[#This Row],[Affected population projection 2026]], 0.05), "")</f>
        <v>0</v>
      </c>
      <c r="AI92" s="325">
        <f>IFERROR(LARGE(tblPiNAnalysis[[#This Row],[CCCM]:[WASH]], 1), "")</f>
        <v>108231.94130113669</v>
      </c>
      <c r="AJ92" s="326" t="str" cm="1">
        <f t="array" ref="AJ92">IF(tblPiNAnalysis[[#This Row],[Highest PiN]]="", "", _xlfn.TEXTJOIN(CHAR(10), TRUE, IF(tblPiNAnalysis[[#This Row],[Highest PiN]]=tblPiNAnalysis[[#This Row],[CCCM]:[WASH]], tblPiNAnalysis[[#Headers],[CCCM]:[WASH]], "")))</f>
        <v>WASH</v>
      </c>
      <c r="AK92" s="327">
        <f>IF(tblPiNAnalysis[[#This Row],[Highest PiN]]="", "", tblPiNAnalysis[[#This Row],[Highest PiN]]/tblPiNAnalysis[[#This Row],[Affected population projection 2026]])</f>
        <v>0.79629629629629628</v>
      </c>
      <c r="AL92" s="328" t="str">
        <f>IF(SUM(tblPiNAnalysis[[#This Row],[CCCM]:[WASH]])=0, "",IF(COUNTIF(tblPiNAnalysis[[#This Row],[CCCM]:[WASH]],"=0")+COUNTIF(tblPiNAnalysis[[#This Row],[CCCM]:[WASH]],"")&gt;=zero_pin_thresh, "Flagged", ""))</f>
        <v/>
      </c>
      <c r="AM92" s="329" t="str">
        <f>IFERROR(IF(tblPiNAnalysis[[#This Row],[Highest PiN]]="", "", IF(tblPiNAnalysis[[#This Row],[Highest sector(s'') PiN %]]&gt;=flag_pin_perc, "Flagged", "")), "")</f>
        <v/>
      </c>
      <c r="AN92" s="330" t="str" cm="1">
        <f t="array" ref="AN92">IF(tblPiNAnalysis[[#This Row],[Highest PiN]]=0, "",  IF(OR(COUNTIF(tblPiNAnalysis[[#This Row],[Highest sector(s)]],tblSubSectorPopulation[Sector])), "Flagged", ""))</f>
        <v/>
      </c>
      <c r="AO92" s="46" cm="1">
        <f t="array" ref="AO9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96916.824518761714</v>
      </c>
      <c r="AP92" s="331" t="str" cm="1">
        <f t="array" ref="AP92">IF(tblPiNAnalysis[[#This Row],[2nd Highest PiN]]="", "", _xlfn.TEXTJOIN(CHAR(10), TRUE, IF(tblPiNAnalysis[[#This Row],[2nd Highest PiN]]=tblPiNAnalysis[[#This Row],[CCCM]:[WASH]], tblPiNAnalysis[[#Headers],[CCCM]:[WASH]], "")))</f>
        <v>Food Security</v>
      </c>
      <c r="AQ92" s="36">
        <f>IFERROR(tblPiNAnalysis[[#This Row],[2nd Highest PiN]]/tblPiNAnalysis[[#This Row],[Affected population projection 2026]], "")</f>
        <v>0.71304743761699041</v>
      </c>
      <c r="AR92" s="46">
        <f>IFERROR(tblPiNAnalysis[[#This Row],[Highest PiN]]-tblPiNAnalysis[[#This Row],[2nd Highest PiN]], "")</f>
        <v>11315.116782374971</v>
      </c>
      <c r="AS92" s="39">
        <f>IFERROR(((tblPiNAnalysis[[#This Row],[Highest PiN]]-tblPiNAnalysis[[#This Row],[2nd Highest PiN]])/tblPiNAnalysis[[#This Row],[2nd Highest PiN]]),"")</f>
        <v>0.11675079985915682</v>
      </c>
      <c r="AT92" s="39" t="str" cm="1">
        <f t="array" ref="AT9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2" s="332" cm="1">
        <f t="array" ref="AU9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70224.910751202638</v>
      </c>
      <c r="AV92" s="190" t="str" cm="1">
        <f t="array" ref="AV92">IF(tblPiNAnalysis[[#This Row],[3rd Highest PiN]]="", "", _xlfn.TEXTJOIN(CHAR(10), TRUE, IF(tblPiNAnalysis[[#This Row],[3rd Highest PiN]]=tblPiNAnalysis[[#This Row],[CCCM]:[WASH]], tblPiNAnalysis[[#Headers],[CCCM]:[WASH]], "")))</f>
        <v>Shelter</v>
      </c>
      <c r="AW92" s="190">
        <f>IFERROR(tblPiNAnalysis[[#This Row],[3rd Highest PiN]]/tblPiNAnalysis[[#This Row],[Affected population projection 2026]], "")</f>
        <v>0.51666666666666661</v>
      </c>
      <c r="AX92" s="45">
        <f>IFERROR(tblPiNAnalysis[[#This Row],[Highest PiN]]-tblPiNAnalysis[[#This Row],[3rd Highest PiN]],"")</f>
        <v>38007.030549934047</v>
      </c>
      <c r="AY92" s="39">
        <f>IFERROR(tblPiNAnalysis[[#This Row],[Difference of PiN between Highest and 3rd Highest]]/tblPiNAnalysis[[#This Row],[3rd Highest PiN]], "")</f>
        <v>0.54121863799283154</v>
      </c>
      <c r="AZ92" s="330" t="str" cm="1">
        <f t="array" ref="AZ9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2" s="300" t="str" cm="1">
        <f t="array" ref="BA92">IFERROR(IF(tblPiNAnalysis[[#This Row],[ID]]="", "", INDEX(tblPiNHistorical[[CCCM]:[WASH]], MATCH(tblPiNAnalysis[[#This Row],[ID]],tblPiNHistorical[ID], 0),MATCH(_xlfn._xlws.FILTER(tblPiNAnalysis[[#Headers],[CCCM]:[WASH]], tblPiNAnalysis[[#This Row],[Highest PiN]]=tblPiNAnalysis[[#This Row],[CCCM]:[WASH]]), tblPiNHistorical[[#Headers],[CCCM]:[WASH]], 0))), "")</f>
        <v/>
      </c>
      <c r="BB92" s="333" t="str" cm="1">
        <f t="array" ref="BB9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2" s="276" t="str" cm="1">
        <f t="array" ref="BC92">IFERROR(IF(tblPiNAnalysis[[#This Row],[ID]]="", "", INDEX(tblPiNHistorical[[CCCM]:[WASH]], MATCH(tblPiNAnalysis[[#This Row],[ID]],tblPiNHistorical[ID], 0),MATCH(_xlfn._xlws.FILTER(tblPiNAnalysis[[#Headers],[CCCM]:[WASH]], tblPiNAnalysis[[#This Row],[2nd Highest PiN]]=tblPiNAnalysis[[#This Row],[CCCM]:[WASH]]), tblPiNHistorical[[#Headers],[CCCM]:[WASH]], 0))), "")</f>
        <v/>
      </c>
      <c r="BD92" s="334" t="str" cm="1">
        <f t="array" ref="BD9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2" s="276">
        <f>INDEX(tblSeverityAnalysis[Final Severity], MATCH(tblPiNAnalysis[[#This Row],[ID]],tblSeverityAnalysis[ID], 0))</f>
        <v>3</v>
      </c>
      <c r="BF92" s="61">
        <f>IF(tblPiNAnalysis[[#This Row],[Severity]]&gt;2,tblPiNAnalysis[[#This Row],[Highest PiN]],)</f>
        <v>108231.94130113669</v>
      </c>
      <c r="BG92" s="191"/>
      <c r="BH92" s="192"/>
      <c r="BI92" s="193">
        <f>COUNTIFS(tblPiNAnalysis[[#This Row],[Number of missing / zero PiNs greater than threshold - Data quality]:[Manual Flag]],"Flagged")</f>
        <v>1</v>
      </c>
      <c r="BJ92" s="96" t="str">
        <f>IF(tblPiNAnalysis[[#This Row],['# Flags]]&gt;0, "Flagged", "")</f>
        <v>Flagged</v>
      </c>
      <c r="BK92" s="326">
        <f>tblPiNAnalysis[[#This Row],[Preliminary PiN]]</f>
        <v>108231.94130113669</v>
      </c>
      <c r="BL92" s="331"/>
    </row>
    <row r="93" spans="1:64" ht="24.6" x14ac:dyDescent="0.55000000000000004">
      <c r="A9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SS0204</v>
      </c>
      <c r="B93" s="316" t="s">
        <v>250</v>
      </c>
      <c r="C93" s="317" t="s">
        <v>251</v>
      </c>
      <c r="D93" s="317" t="s">
        <v>258</v>
      </c>
      <c r="E93" s="105" t="s">
        <v>259</v>
      </c>
      <c r="F93" s="100"/>
      <c r="G93" s="34"/>
      <c r="H93" s="34"/>
      <c r="I93" s="97">
        <v>121484.03458105327</v>
      </c>
      <c r="J93" s="97" t="s">
        <v>413</v>
      </c>
      <c r="K93" s="318"/>
      <c r="L93" s="319">
        <v>46042.449106219196</v>
      </c>
      <c r="M93" s="319">
        <v>59858.47932407858</v>
      </c>
      <c r="N93" s="319">
        <v>86176.646757728115</v>
      </c>
      <c r="O93" s="319">
        <v>43235.42634040417</v>
      </c>
      <c r="P93" s="319">
        <v>20486</v>
      </c>
      <c r="Q93" s="320">
        <v>89929.739884675801</v>
      </c>
      <c r="R93" s="319">
        <v>62413.815931550314</v>
      </c>
      <c r="S93" s="319">
        <v>17639</v>
      </c>
      <c r="T93" s="319">
        <v>17795</v>
      </c>
      <c r="U93" s="319">
        <v>13306</v>
      </c>
      <c r="V93" s="319">
        <v>1039</v>
      </c>
      <c r="W93" s="321" t="str">
        <f>IFERROR(IF(tblPiNAnalysis[[#This Row],[CCCM]]="", "", MROUND(tblPiNAnalysis[[#This Row],[CCCM]]/tblPiNAnalysis[[#This Row],[Affected population projection 2026]], 0.05)), "")</f>
        <v/>
      </c>
      <c r="X93" s="322">
        <f>IFERROR(IF(tblPiNAnalysis[[#This Row],[Education]]="", "", MROUND(tblPiNAnalysis[[#This Row],[Education]]/tblPiNAnalysis[[#This Row],[Affected population projection 2026]], 0.05)), "")</f>
        <v>0.4</v>
      </c>
      <c r="Y93" s="322">
        <f>IFERROR(IF(tblPiNAnalysis[[#This Row],[Nutrition]]="", "", MROUND(tblPiNAnalysis[[#This Row],[Nutrition]]/tblPiNAnalysis[[#This Row],[Affected population projection 2026]], 0.05)), "")</f>
        <v>0.5</v>
      </c>
      <c r="Z93" s="322">
        <f>IFERROR(IF(tblPiNAnalysis[[#This Row],[Food Security]]="", "", MROUND(tblPiNAnalysis[[#This Row],[Food Security]]/tblPiNAnalysis[[#This Row],[Affected population projection 2026]], 0.05)), "")</f>
        <v>0.70000000000000007</v>
      </c>
      <c r="AA93" s="322">
        <f>IFERROR(IF(tblPiNAnalysis[[#This Row],[Health]]="", "", MROUND(tblPiNAnalysis[[#This Row],[Health]]/tblPiNAnalysis[[#This Row],[Affected population projection 2026]], 0.05)), "")</f>
        <v>0.35000000000000003</v>
      </c>
      <c r="AB93" s="323">
        <f>IFERROR(IF(tblPiNAnalysis[[#This Row],[Overarching Protection]]="", "", MROUND(tblPiNAnalysis[[#This Row],[Overarching Protection]]/tblPiNAnalysis[[#This Row],[Affected population projection 2026]], 0.05)), "")</f>
        <v>0.15000000000000002</v>
      </c>
      <c r="AC93" s="323">
        <f>IFERROR(IF(tblPiNAnalysis[[#This Row],[Shelter]]="", "", MROUND(tblPiNAnalysis[[#This Row],[Shelter]]/tblPiNAnalysis[[#This Row],[Affected population projection 2026]], 0.05)), "")</f>
        <v>0.75</v>
      </c>
      <c r="AD93" s="324">
        <f>IFERROR(IF(tblPiNAnalysis[[#This Row],[WASH]]="", "", MROUND(tblPiNAnalysis[[#This Row],[WASH]]/tblPiNAnalysis[[#This Row],[Affected population projection 2026]], 0.05)), "")</f>
        <v>0.5</v>
      </c>
      <c r="AE93" s="322">
        <f>IFERROR(MROUND(tblPiNAnalysis[[#This Row],[CP]]/tblPiNAnalysis[[#This Row],[Affected population projection 2026]], 0.05), "")</f>
        <v>0.15000000000000002</v>
      </c>
      <c r="AF93" s="322">
        <f>IFERROR(MROUND(tblPiNAnalysis[[#This Row],[GBV]]/tblPiNAnalysis[[#This Row],[Affected population projection 2026]], 0.05), "")</f>
        <v>0.15000000000000002</v>
      </c>
      <c r="AG93" s="322">
        <f>IFERROR(MROUND(tblPiNAnalysis[[#This Row],[Mine Action]]/tblPiNAnalysis[[#This Row],[Affected population projection 2026]], 0.05), "")</f>
        <v>0.1</v>
      </c>
      <c r="AH93" s="322">
        <f>IFERROR(MROUND(tblPiNAnalysis[[#This Row],[HLP]]/tblPiNAnalysis[[#This Row],[Affected population projection 2026]], 0.05), "")</f>
        <v>0</v>
      </c>
      <c r="AI93" s="325">
        <f>IFERROR(LARGE(tblPiNAnalysis[[#This Row],[CCCM]:[WASH]], 1), "")</f>
        <v>89929.739884675801</v>
      </c>
      <c r="AJ93" s="326" t="str" cm="1">
        <f t="array" ref="AJ93">IF(tblPiNAnalysis[[#This Row],[Highest PiN]]="", "", _xlfn.TEXTJOIN(CHAR(10), TRUE, IF(tblPiNAnalysis[[#This Row],[Highest PiN]]=tblPiNAnalysis[[#This Row],[CCCM]:[WASH]], tblPiNAnalysis[[#Headers],[CCCM]:[WASH]], "")))</f>
        <v>Shelter</v>
      </c>
      <c r="AK93" s="327">
        <f>IF(tblPiNAnalysis[[#This Row],[Highest PiN]]="", "", tblPiNAnalysis[[#This Row],[Highest PiN]]/tblPiNAnalysis[[#This Row],[Affected population projection 2026]])</f>
        <v>0.74025974025974028</v>
      </c>
      <c r="AL93" s="328" t="str">
        <f>IF(SUM(tblPiNAnalysis[[#This Row],[CCCM]:[WASH]])=0, "",IF(COUNTIF(tblPiNAnalysis[[#This Row],[CCCM]:[WASH]],"=0")+COUNTIF(tblPiNAnalysis[[#This Row],[CCCM]:[WASH]],"")&gt;=zero_pin_thresh, "Flagged", ""))</f>
        <v/>
      </c>
      <c r="AM93" s="329" t="str">
        <f>IFERROR(IF(tblPiNAnalysis[[#This Row],[Highest PiN]]="", "", IF(tblPiNAnalysis[[#This Row],[Highest sector(s'') PiN %]]&gt;=flag_pin_perc, "Flagged", "")), "")</f>
        <v/>
      </c>
      <c r="AN93" s="330" t="str" cm="1">
        <f t="array" ref="AN93">IF(tblPiNAnalysis[[#This Row],[Highest PiN]]=0, "",  IF(OR(COUNTIF(tblPiNAnalysis[[#This Row],[Highest sector(s)]],tblSubSectorPopulation[Sector])), "Flagged", ""))</f>
        <v/>
      </c>
      <c r="AO93" s="46" cm="1">
        <f t="array" ref="AO9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86176.646757728115</v>
      </c>
      <c r="AP93" s="331" t="str" cm="1">
        <f t="array" ref="AP93">IF(tblPiNAnalysis[[#This Row],[2nd Highest PiN]]="", "", _xlfn.TEXTJOIN(CHAR(10), TRUE, IF(tblPiNAnalysis[[#This Row],[2nd Highest PiN]]=tblPiNAnalysis[[#This Row],[CCCM]:[WASH]], tblPiNAnalysis[[#Headers],[CCCM]:[WASH]], "")))</f>
        <v>Food Security</v>
      </c>
      <c r="AQ93" s="36">
        <f>IFERROR(tblPiNAnalysis[[#This Row],[2nd Highest PiN]]/tblPiNAnalysis[[#This Row],[Affected population projection 2026]], "")</f>
        <v>0.70936602537868199</v>
      </c>
      <c r="AR93" s="46">
        <f>IFERROR(tblPiNAnalysis[[#This Row],[Highest PiN]]-tblPiNAnalysis[[#This Row],[2nd Highest PiN]], "")</f>
        <v>3753.093126947686</v>
      </c>
      <c r="AS93" s="39">
        <f>IFERROR(((tblPiNAnalysis[[#This Row],[Highest PiN]]-tblPiNAnalysis[[#This Row],[2nd Highest PiN]])/tblPiNAnalysis[[#This Row],[2nd Highest PiN]]),"")</f>
        <v>4.3551162271362312E-2</v>
      </c>
      <c r="AT93" s="39" t="str" cm="1">
        <f t="array" ref="AT9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3" s="332" cm="1">
        <f t="array" ref="AU9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62413.815931550314</v>
      </c>
      <c r="AV93" s="190" t="str" cm="1">
        <f t="array" ref="AV93">IF(tblPiNAnalysis[[#This Row],[3rd Highest PiN]]="", "", _xlfn.TEXTJOIN(CHAR(10), TRUE, IF(tblPiNAnalysis[[#This Row],[3rd Highest PiN]]=tblPiNAnalysis[[#This Row],[CCCM]:[WASH]], tblPiNAnalysis[[#Headers],[CCCM]:[WASH]], "")))</f>
        <v>WASH</v>
      </c>
      <c r="AW93" s="190">
        <f>IFERROR(tblPiNAnalysis[[#This Row],[3rd Highest PiN]]/tblPiNAnalysis[[#This Row],[Affected population projection 2026]], "")</f>
        <v>0.51376146788990829</v>
      </c>
      <c r="AX93" s="45">
        <f>IFERROR(tblPiNAnalysis[[#This Row],[Highest PiN]]-tblPiNAnalysis[[#This Row],[3rd Highest PiN]],"")</f>
        <v>27515.923953125486</v>
      </c>
      <c r="AY93" s="39">
        <f>IFERROR(tblPiNAnalysis[[#This Row],[Difference of PiN between Highest and 3rd Highest]]/tblPiNAnalysis[[#This Row],[3rd Highest PiN]], "")</f>
        <v>0.44086270871985139</v>
      </c>
      <c r="AZ93" s="330" t="str" cm="1">
        <f t="array" ref="AZ9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3" s="300" t="str" cm="1">
        <f t="array" ref="BA93">IFERROR(IF(tblPiNAnalysis[[#This Row],[ID]]="", "", INDEX(tblPiNHistorical[[CCCM]:[WASH]], MATCH(tblPiNAnalysis[[#This Row],[ID]],tblPiNHistorical[ID], 0),MATCH(_xlfn._xlws.FILTER(tblPiNAnalysis[[#Headers],[CCCM]:[WASH]], tblPiNAnalysis[[#This Row],[Highest PiN]]=tblPiNAnalysis[[#This Row],[CCCM]:[WASH]]), tblPiNHistorical[[#Headers],[CCCM]:[WASH]], 0))), "")</f>
        <v/>
      </c>
      <c r="BB93" s="333" t="str" cm="1">
        <f t="array" ref="BB9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3" s="276" t="str" cm="1">
        <f t="array" ref="BC93">IFERROR(IF(tblPiNAnalysis[[#This Row],[ID]]="", "", INDEX(tblPiNHistorical[[CCCM]:[WASH]], MATCH(tblPiNAnalysis[[#This Row],[ID]],tblPiNHistorical[ID], 0),MATCH(_xlfn._xlws.FILTER(tblPiNAnalysis[[#Headers],[CCCM]:[WASH]], tblPiNAnalysis[[#This Row],[2nd Highest PiN]]=tblPiNAnalysis[[#This Row],[CCCM]:[WASH]]), tblPiNHistorical[[#Headers],[CCCM]:[WASH]], 0))), "")</f>
        <v/>
      </c>
      <c r="BD93" s="334" t="str" cm="1">
        <f t="array" ref="BD9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3" s="276">
        <f>INDEX(tblSeverityAnalysis[Final Severity], MATCH(tblPiNAnalysis[[#This Row],[ID]],tblSeverityAnalysis[ID], 0))</f>
        <v>3</v>
      </c>
      <c r="BF93" s="61">
        <f>IF(tblPiNAnalysis[[#This Row],[Severity]]&gt;2,tblPiNAnalysis[[#This Row],[Highest PiN]],)</f>
        <v>89929.739884675801</v>
      </c>
      <c r="BG93" s="191"/>
      <c r="BH93" s="192"/>
      <c r="BI93" s="193">
        <f>COUNTIFS(tblPiNAnalysis[[#This Row],[Number of missing / zero PiNs greater than threshold - Data quality]:[Manual Flag]],"Flagged")</f>
        <v>0</v>
      </c>
      <c r="BJ93" s="96" t="str">
        <f>IF(tblPiNAnalysis[[#This Row],['# Flags]]&gt;0, "Flagged", "")</f>
        <v/>
      </c>
      <c r="BK93" s="326">
        <f>tblPiNAnalysis[[#This Row],[Preliminary PiN]]</f>
        <v>89929.739884675801</v>
      </c>
      <c r="BL93" s="331"/>
    </row>
    <row r="94" spans="1:64" ht="24.6" x14ac:dyDescent="0.55000000000000004">
      <c r="A9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SS0205</v>
      </c>
      <c r="B94" s="316" t="s">
        <v>250</v>
      </c>
      <c r="C94" s="317" t="s">
        <v>251</v>
      </c>
      <c r="D94" s="317" t="s">
        <v>260</v>
      </c>
      <c r="E94" s="105" t="s">
        <v>261</v>
      </c>
      <c r="F94" s="100"/>
      <c r="G94" s="34"/>
      <c r="H94" s="34"/>
      <c r="I94" s="97">
        <v>79271.088602523028</v>
      </c>
      <c r="J94" s="97" t="s">
        <v>413</v>
      </c>
      <c r="K94" s="318"/>
      <c r="L94" s="319">
        <v>19686.721186953062</v>
      </c>
      <c r="M94" s="319">
        <v>37294.758549978993</v>
      </c>
      <c r="N94" s="319">
        <v>35027.358509100399</v>
      </c>
      <c r="O94" s="319">
        <v>38688.219690455218</v>
      </c>
      <c r="P94" s="319">
        <v>14100</v>
      </c>
      <c r="Q94" s="320">
        <v>42994.488733571816</v>
      </c>
      <c r="R94" s="319">
        <v>78537.097041388552</v>
      </c>
      <c r="S94" s="319">
        <v>11205</v>
      </c>
      <c r="T94" s="319">
        <v>7111</v>
      </c>
      <c r="U94" s="319">
        <v>8209</v>
      </c>
      <c r="V94" s="319">
        <v>899</v>
      </c>
      <c r="W94" s="321" t="str">
        <f>IFERROR(IF(tblPiNAnalysis[[#This Row],[CCCM]]="", "", MROUND(tblPiNAnalysis[[#This Row],[CCCM]]/tblPiNAnalysis[[#This Row],[Affected population projection 2026]], 0.05)), "")</f>
        <v/>
      </c>
      <c r="X94" s="322">
        <f>IFERROR(IF(tblPiNAnalysis[[#This Row],[Education]]="", "", MROUND(tblPiNAnalysis[[#This Row],[Education]]/tblPiNAnalysis[[#This Row],[Affected population projection 2026]], 0.05)), "")</f>
        <v>0.25</v>
      </c>
      <c r="Y94" s="322">
        <f>IFERROR(IF(tblPiNAnalysis[[#This Row],[Nutrition]]="", "", MROUND(tblPiNAnalysis[[#This Row],[Nutrition]]/tblPiNAnalysis[[#This Row],[Affected population projection 2026]], 0.05)), "")</f>
        <v>0.45</v>
      </c>
      <c r="Z94" s="322">
        <f>IFERROR(IF(tblPiNAnalysis[[#This Row],[Food Security]]="", "", MROUND(tblPiNAnalysis[[#This Row],[Food Security]]/tblPiNAnalysis[[#This Row],[Affected population projection 2026]], 0.05)), "")</f>
        <v>0.45</v>
      </c>
      <c r="AA94" s="322">
        <f>IFERROR(IF(tblPiNAnalysis[[#This Row],[Health]]="", "", MROUND(tblPiNAnalysis[[#This Row],[Health]]/tblPiNAnalysis[[#This Row],[Affected population projection 2026]], 0.05)), "")</f>
        <v>0.5</v>
      </c>
      <c r="AB94" s="323">
        <f>IFERROR(IF(tblPiNAnalysis[[#This Row],[Overarching Protection]]="", "", MROUND(tblPiNAnalysis[[#This Row],[Overarching Protection]]/tblPiNAnalysis[[#This Row],[Affected population projection 2026]], 0.05)), "")</f>
        <v>0.2</v>
      </c>
      <c r="AC94" s="323">
        <f>IFERROR(IF(tblPiNAnalysis[[#This Row],[Shelter]]="", "", MROUND(tblPiNAnalysis[[#This Row],[Shelter]]/tblPiNAnalysis[[#This Row],[Affected population projection 2026]], 0.05)), "")</f>
        <v>0.55000000000000004</v>
      </c>
      <c r="AD94" s="324">
        <f>IFERROR(IF(tblPiNAnalysis[[#This Row],[WASH]]="", "", MROUND(tblPiNAnalysis[[#This Row],[WASH]]/tblPiNAnalysis[[#This Row],[Affected population projection 2026]], 0.05)), "")</f>
        <v>1</v>
      </c>
      <c r="AE94" s="322">
        <f>IFERROR(MROUND(tblPiNAnalysis[[#This Row],[CP]]/tblPiNAnalysis[[#This Row],[Affected population projection 2026]], 0.05), "")</f>
        <v>0.15000000000000002</v>
      </c>
      <c r="AF94" s="322">
        <f>IFERROR(MROUND(tblPiNAnalysis[[#This Row],[GBV]]/tblPiNAnalysis[[#This Row],[Affected population projection 2026]], 0.05), "")</f>
        <v>0.1</v>
      </c>
      <c r="AG94" s="322">
        <f>IFERROR(MROUND(tblPiNAnalysis[[#This Row],[Mine Action]]/tblPiNAnalysis[[#This Row],[Affected population projection 2026]], 0.05), "")</f>
        <v>0.1</v>
      </c>
      <c r="AH94" s="322">
        <f>IFERROR(MROUND(tblPiNAnalysis[[#This Row],[HLP]]/tblPiNAnalysis[[#This Row],[Affected population projection 2026]], 0.05), "")</f>
        <v>0</v>
      </c>
      <c r="AI94" s="325">
        <f>IFERROR(LARGE(tblPiNAnalysis[[#This Row],[CCCM]:[WASH]], 1), "")</f>
        <v>78537.097041388552</v>
      </c>
      <c r="AJ94" s="326" t="str" cm="1">
        <f t="array" ref="AJ94">IF(tblPiNAnalysis[[#This Row],[Highest PiN]]="", "", _xlfn.TEXTJOIN(CHAR(10), TRUE, IF(tblPiNAnalysis[[#This Row],[Highest PiN]]=tblPiNAnalysis[[#This Row],[CCCM]:[WASH]], tblPiNAnalysis[[#Headers],[CCCM]:[WASH]], "")))</f>
        <v>WASH</v>
      </c>
      <c r="AK94" s="327">
        <f>IF(tblPiNAnalysis[[#This Row],[Highest PiN]]="", "", tblPiNAnalysis[[#This Row],[Highest PiN]]/tblPiNAnalysis[[#This Row],[Affected population projection 2026]])</f>
        <v>0.9907407407407407</v>
      </c>
      <c r="AL94" s="328" t="str">
        <f>IF(SUM(tblPiNAnalysis[[#This Row],[CCCM]:[WASH]])=0, "",IF(COUNTIF(tblPiNAnalysis[[#This Row],[CCCM]:[WASH]],"=0")+COUNTIF(tblPiNAnalysis[[#This Row],[CCCM]:[WASH]],"")&gt;=zero_pin_thresh, "Flagged", ""))</f>
        <v/>
      </c>
      <c r="AM94" s="329" t="str">
        <f>IFERROR(IF(tblPiNAnalysis[[#This Row],[Highest PiN]]="", "", IF(tblPiNAnalysis[[#This Row],[Highest sector(s'') PiN %]]&gt;=flag_pin_perc, "Flagged", "")), "")</f>
        <v>Flagged</v>
      </c>
      <c r="AN94" s="330" t="str" cm="1">
        <f t="array" ref="AN94">IF(tblPiNAnalysis[[#This Row],[Highest PiN]]=0, "",  IF(OR(COUNTIF(tblPiNAnalysis[[#This Row],[Highest sector(s)]],tblSubSectorPopulation[Sector])), "Flagged", ""))</f>
        <v/>
      </c>
      <c r="AO94" s="46" cm="1">
        <f t="array" ref="AO9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42994.488733571816</v>
      </c>
      <c r="AP94" s="331" t="str" cm="1">
        <f t="array" ref="AP94">IF(tblPiNAnalysis[[#This Row],[2nd Highest PiN]]="", "", _xlfn.TEXTJOIN(CHAR(10), TRUE, IF(tblPiNAnalysis[[#This Row],[2nd Highest PiN]]=tblPiNAnalysis[[#This Row],[CCCM]:[WASH]], tblPiNAnalysis[[#Headers],[CCCM]:[WASH]], "")))</f>
        <v>Shelter</v>
      </c>
      <c r="AQ94" s="36">
        <f>IFERROR(tblPiNAnalysis[[#This Row],[2nd Highest PiN]]/tblPiNAnalysis[[#This Row],[Affected population projection 2026]], "")</f>
        <v>0.5423728813559322</v>
      </c>
      <c r="AR94" s="46">
        <f>IFERROR(tblPiNAnalysis[[#This Row],[Highest PiN]]-tblPiNAnalysis[[#This Row],[2nd Highest PiN]], "")</f>
        <v>35542.608307816736</v>
      </c>
      <c r="AS94" s="39">
        <f>IFERROR(((tblPiNAnalysis[[#This Row],[Highest PiN]]-tblPiNAnalysis[[#This Row],[2nd Highest PiN]])/tblPiNAnalysis[[#This Row],[2nd Highest PiN]]),"")</f>
        <v>0.82667824074074048</v>
      </c>
      <c r="AT94" s="39" t="str" cm="1">
        <f t="array" ref="AT9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94" s="332" cm="1">
        <f t="array" ref="AU9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38688.219690455218</v>
      </c>
      <c r="AV94" s="190" t="str" cm="1">
        <f t="array" ref="AV94">IF(tblPiNAnalysis[[#This Row],[3rd Highest PiN]]="", "", _xlfn.TEXTJOIN(CHAR(10), TRUE, IF(tblPiNAnalysis[[#This Row],[3rd Highest PiN]]=tblPiNAnalysis[[#This Row],[CCCM]:[WASH]], tblPiNAnalysis[[#Headers],[CCCM]:[WASH]], "")))</f>
        <v>Health</v>
      </c>
      <c r="AW94" s="190">
        <f>IFERROR(tblPiNAnalysis[[#This Row],[3rd Highest PiN]]/tblPiNAnalysis[[#This Row],[Affected population projection 2026]], "")</f>
        <v>0.48804955719031029</v>
      </c>
      <c r="AX94" s="45">
        <f>IFERROR(tblPiNAnalysis[[#This Row],[Highest PiN]]-tblPiNAnalysis[[#This Row],[3rd Highest PiN]],"")</f>
        <v>39848.877350933333</v>
      </c>
      <c r="AY94" s="39">
        <f>IFERROR(tblPiNAnalysis[[#This Row],[Difference of PiN between Highest and 3rd Highest]]/tblPiNAnalysis[[#This Row],[3rd Highest PiN]], "")</f>
        <v>1.0300002861275228</v>
      </c>
      <c r="AZ94" s="330" t="str" cm="1">
        <f t="array" ref="AZ9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4" s="300" t="str" cm="1">
        <f t="array" ref="BA94">IFERROR(IF(tblPiNAnalysis[[#This Row],[ID]]="", "", INDEX(tblPiNHistorical[[CCCM]:[WASH]], MATCH(tblPiNAnalysis[[#This Row],[ID]],tblPiNHistorical[ID], 0),MATCH(_xlfn._xlws.FILTER(tblPiNAnalysis[[#Headers],[CCCM]:[WASH]], tblPiNAnalysis[[#This Row],[Highest PiN]]=tblPiNAnalysis[[#This Row],[CCCM]:[WASH]]), tblPiNHistorical[[#Headers],[CCCM]:[WASH]], 0))), "")</f>
        <v/>
      </c>
      <c r="BB94" s="333" t="str" cm="1">
        <f t="array" ref="BB9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4" s="276" t="str" cm="1">
        <f t="array" ref="BC94">IFERROR(IF(tblPiNAnalysis[[#This Row],[ID]]="", "", INDEX(tblPiNHistorical[[CCCM]:[WASH]], MATCH(tblPiNAnalysis[[#This Row],[ID]],tblPiNHistorical[ID], 0),MATCH(_xlfn._xlws.FILTER(tblPiNAnalysis[[#Headers],[CCCM]:[WASH]], tblPiNAnalysis[[#This Row],[2nd Highest PiN]]=tblPiNAnalysis[[#This Row],[CCCM]:[WASH]]), tblPiNHistorical[[#Headers],[CCCM]:[WASH]], 0))), "")</f>
        <v/>
      </c>
      <c r="BD94" s="334" t="str" cm="1">
        <f t="array" ref="BD9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4" s="276">
        <f>INDEX(tblSeverityAnalysis[Final Severity], MATCH(tblPiNAnalysis[[#This Row],[ID]],tblSeverityAnalysis[ID], 0))</f>
        <v>3</v>
      </c>
      <c r="BF94" s="61">
        <f>IF(tblPiNAnalysis[[#This Row],[Severity]]&gt;2,tblPiNAnalysis[[#This Row],[Highest PiN]],)</f>
        <v>78537.097041388552</v>
      </c>
      <c r="BG94" s="191"/>
      <c r="BH94" s="192"/>
      <c r="BI94" s="193">
        <f>COUNTIFS(tblPiNAnalysis[[#This Row],[Number of missing / zero PiNs greater than threshold - Data quality]:[Manual Flag]],"Flagged")</f>
        <v>3</v>
      </c>
      <c r="BJ94" s="96" t="str">
        <f>IF(tblPiNAnalysis[[#This Row],['# Flags]]&gt;0, "Flagged", "")</f>
        <v>Flagged</v>
      </c>
      <c r="BK94" s="326">
        <f>tblPiNAnalysis[[#This Row],[Preliminary PiN]]</f>
        <v>78537.097041388552</v>
      </c>
      <c r="BL94" s="331"/>
    </row>
    <row r="95" spans="1:64" ht="24.6" x14ac:dyDescent="0.55000000000000004">
      <c r="A9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SS0206</v>
      </c>
      <c r="B95" s="316" t="s">
        <v>250</v>
      </c>
      <c r="C95" s="317" t="s">
        <v>251</v>
      </c>
      <c r="D95" s="317" t="s">
        <v>262</v>
      </c>
      <c r="E95" s="105" t="s">
        <v>263</v>
      </c>
      <c r="F95" s="100"/>
      <c r="G95" s="34"/>
      <c r="H95" s="34"/>
      <c r="I95" s="97">
        <v>107170.91979145796</v>
      </c>
      <c r="J95" s="97" t="s">
        <v>413</v>
      </c>
      <c r="K95" s="318"/>
      <c r="L95" s="319">
        <v>5729.3573720513423</v>
      </c>
      <c r="M95" s="319">
        <v>45780.758584537936</v>
      </c>
      <c r="N95" s="319">
        <v>73504.163352942982</v>
      </c>
      <c r="O95" s="319">
        <v>44407.930448946878</v>
      </c>
      <c r="P95" s="319">
        <v>18196</v>
      </c>
      <c r="Q95" s="320">
        <v>26792.729947864493</v>
      </c>
      <c r="R95" s="319">
        <v>31342.438806935817</v>
      </c>
      <c r="S95" s="319">
        <v>14801</v>
      </c>
      <c r="T95" s="319">
        <v>15473</v>
      </c>
      <c r="U95" s="319">
        <v>10898</v>
      </c>
      <c r="V95" s="319">
        <v>1114</v>
      </c>
      <c r="W95" s="321" t="str">
        <f>IFERROR(IF(tblPiNAnalysis[[#This Row],[CCCM]]="", "", MROUND(tblPiNAnalysis[[#This Row],[CCCM]]/tblPiNAnalysis[[#This Row],[Affected population projection 2026]], 0.05)), "")</f>
        <v/>
      </c>
      <c r="X95" s="322">
        <f>IFERROR(IF(tblPiNAnalysis[[#This Row],[Education]]="", "", MROUND(tblPiNAnalysis[[#This Row],[Education]]/tblPiNAnalysis[[#This Row],[Affected population projection 2026]], 0.05)), "")</f>
        <v>0.05</v>
      </c>
      <c r="Y95" s="322">
        <f>IFERROR(IF(tblPiNAnalysis[[#This Row],[Nutrition]]="", "", MROUND(tblPiNAnalysis[[#This Row],[Nutrition]]/tblPiNAnalysis[[#This Row],[Affected population projection 2026]], 0.05)), "")</f>
        <v>0.45</v>
      </c>
      <c r="Z95" s="322">
        <f>IFERROR(IF(tblPiNAnalysis[[#This Row],[Food Security]]="", "", MROUND(tblPiNAnalysis[[#This Row],[Food Security]]/tblPiNAnalysis[[#This Row],[Affected population projection 2026]], 0.05)), "")</f>
        <v>0.70000000000000007</v>
      </c>
      <c r="AA95" s="322">
        <f>IFERROR(IF(tblPiNAnalysis[[#This Row],[Health]]="", "", MROUND(tblPiNAnalysis[[#This Row],[Health]]/tblPiNAnalysis[[#This Row],[Affected population projection 2026]], 0.05)), "")</f>
        <v>0.4</v>
      </c>
      <c r="AB95" s="323">
        <f>IFERROR(IF(tblPiNAnalysis[[#This Row],[Overarching Protection]]="", "", MROUND(tblPiNAnalysis[[#This Row],[Overarching Protection]]/tblPiNAnalysis[[#This Row],[Affected population projection 2026]], 0.05)), "")</f>
        <v>0.15000000000000002</v>
      </c>
      <c r="AC95" s="323">
        <f>IFERROR(IF(tblPiNAnalysis[[#This Row],[Shelter]]="", "", MROUND(tblPiNAnalysis[[#This Row],[Shelter]]/tblPiNAnalysis[[#This Row],[Affected population projection 2026]], 0.05)), "")</f>
        <v>0.25</v>
      </c>
      <c r="AD95" s="324">
        <f>IFERROR(IF(tblPiNAnalysis[[#This Row],[WASH]]="", "", MROUND(tblPiNAnalysis[[#This Row],[WASH]]/tblPiNAnalysis[[#This Row],[Affected population projection 2026]], 0.05)), "")</f>
        <v>0.30000000000000004</v>
      </c>
      <c r="AE95" s="322">
        <f>IFERROR(MROUND(tblPiNAnalysis[[#This Row],[CP]]/tblPiNAnalysis[[#This Row],[Affected population projection 2026]], 0.05), "")</f>
        <v>0.15000000000000002</v>
      </c>
      <c r="AF95" s="322">
        <f>IFERROR(MROUND(tblPiNAnalysis[[#This Row],[GBV]]/tblPiNAnalysis[[#This Row],[Affected population projection 2026]], 0.05), "")</f>
        <v>0.15000000000000002</v>
      </c>
      <c r="AG95" s="322">
        <f>IFERROR(MROUND(tblPiNAnalysis[[#This Row],[Mine Action]]/tblPiNAnalysis[[#This Row],[Affected population projection 2026]], 0.05), "")</f>
        <v>0.1</v>
      </c>
      <c r="AH95" s="322">
        <f>IFERROR(MROUND(tblPiNAnalysis[[#This Row],[HLP]]/tblPiNAnalysis[[#This Row],[Affected population projection 2026]], 0.05), "")</f>
        <v>0</v>
      </c>
      <c r="AI95" s="325">
        <f>IFERROR(LARGE(tblPiNAnalysis[[#This Row],[CCCM]:[WASH]], 1), "")</f>
        <v>73504.163352942982</v>
      </c>
      <c r="AJ95" s="326" t="str" cm="1">
        <f t="array" ref="AJ95">IF(tblPiNAnalysis[[#This Row],[Highest PiN]]="", "", _xlfn.TEXTJOIN(CHAR(10), TRUE, IF(tblPiNAnalysis[[#This Row],[Highest PiN]]=tblPiNAnalysis[[#This Row],[CCCM]:[WASH]], tblPiNAnalysis[[#Headers],[CCCM]:[WASH]], "")))</f>
        <v>Food Security</v>
      </c>
      <c r="AK95" s="327">
        <f>IF(tblPiNAnalysis[[#This Row],[Highest PiN]]="", "", tblPiNAnalysis[[#This Row],[Highest PiN]]/tblPiNAnalysis[[#This Row],[Affected population projection 2026]])</f>
        <v>0.68585921904909897</v>
      </c>
      <c r="AL95" s="328" t="str">
        <f>IF(SUM(tblPiNAnalysis[[#This Row],[CCCM]:[WASH]])=0, "",IF(COUNTIF(tblPiNAnalysis[[#This Row],[CCCM]:[WASH]],"=0")+COUNTIF(tblPiNAnalysis[[#This Row],[CCCM]:[WASH]],"")&gt;=zero_pin_thresh, "Flagged", ""))</f>
        <v/>
      </c>
      <c r="AM95" s="329" t="str">
        <f>IFERROR(IF(tblPiNAnalysis[[#This Row],[Highest PiN]]="", "", IF(tblPiNAnalysis[[#This Row],[Highest sector(s'') PiN %]]&gt;=flag_pin_perc, "Flagged", "")), "")</f>
        <v/>
      </c>
      <c r="AN95" s="330" t="str" cm="1">
        <f t="array" ref="AN95">IF(tblPiNAnalysis[[#This Row],[Highest PiN]]=0, "",  IF(OR(COUNTIF(tblPiNAnalysis[[#This Row],[Highest sector(s)]],tblSubSectorPopulation[Sector])), "Flagged", ""))</f>
        <v/>
      </c>
      <c r="AO95" s="46" cm="1">
        <f t="array" ref="AO9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45780.758584537936</v>
      </c>
      <c r="AP95" s="331" t="str" cm="1">
        <f t="array" ref="AP95">IF(tblPiNAnalysis[[#This Row],[2nd Highest PiN]]="", "", _xlfn.TEXTJOIN(CHAR(10), TRUE, IF(tblPiNAnalysis[[#This Row],[2nd Highest PiN]]=tblPiNAnalysis[[#This Row],[CCCM]:[WASH]], tblPiNAnalysis[[#Headers],[CCCM]:[WASH]], "")))</f>
        <v>Nutrition</v>
      </c>
      <c r="AQ95" s="36">
        <f>IFERROR(tblPiNAnalysis[[#This Row],[2nd Highest PiN]]/tblPiNAnalysis[[#This Row],[Affected population projection 2026]], "")</f>
        <v>0.42717519522667086</v>
      </c>
      <c r="AR95" s="46">
        <f>IFERROR(tblPiNAnalysis[[#This Row],[Highest PiN]]-tblPiNAnalysis[[#This Row],[2nd Highest PiN]], "")</f>
        <v>27723.404768405046</v>
      </c>
      <c r="AS95" s="39">
        <f>IFERROR(((tblPiNAnalysis[[#This Row],[Highest PiN]]-tblPiNAnalysis[[#This Row],[2nd Highest PiN]])/tblPiNAnalysis[[#This Row],[2nd Highest PiN]]),"")</f>
        <v>0.60556892514595406</v>
      </c>
      <c r="AT95" s="39" t="str" cm="1">
        <f t="array" ref="AT9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95" s="332" cm="1">
        <f t="array" ref="AU9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44407.930448946878</v>
      </c>
      <c r="AV95" s="190" t="str" cm="1">
        <f t="array" ref="AV95">IF(tblPiNAnalysis[[#This Row],[3rd Highest PiN]]="", "", _xlfn.TEXTJOIN(CHAR(10), TRUE, IF(tblPiNAnalysis[[#This Row],[3rd Highest PiN]]=tblPiNAnalysis[[#This Row],[CCCM]:[WASH]], tblPiNAnalysis[[#Headers],[CCCM]:[WASH]], "")))</f>
        <v>Health</v>
      </c>
      <c r="AW95" s="190">
        <f>IFERROR(tblPiNAnalysis[[#This Row],[3rd Highest PiN]]/tblPiNAnalysis[[#This Row],[Affected population projection 2026]], "")</f>
        <v>0.41436548772147802</v>
      </c>
      <c r="AX95" s="45">
        <f>IFERROR(tblPiNAnalysis[[#This Row],[Highest PiN]]-tblPiNAnalysis[[#This Row],[3rd Highest PiN]],"")</f>
        <v>29096.232903996104</v>
      </c>
      <c r="AY95" s="39">
        <f>IFERROR(tblPiNAnalysis[[#This Row],[Difference of PiN between Highest and 3rd Highest]]/tblPiNAnalysis[[#This Row],[3rd Highest PiN]], "")</f>
        <v>0.65520353256376784</v>
      </c>
      <c r="AZ95" s="330" t="str" cm="1">
        <f t="array" ref="AZ9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5" s="300" t="str" cm="1">
        <f t="array" ref="BA95">IFERROR(IF(tblPiNAnalysis[[#This Row],[ID]]="", "", INDEX(tblPiNHistorical[[CCCM]:[WASH]], MATCH(tblPiNAnalysis[[#This Row],[ID]],tblPiNHistorical[ID], 0),MATCH(_xlfn._xlws.FILTER(tblPiNAnalysis[[#Headers],[CCCM]:[WASH]], tblPiNAnalysis[[#This Row],[Highest PiN]]=tblPiNAnalysis[[#This Row],[CCCM]:[WASH]]), tblPiNHistorical[[#Headers],[CCCM]:[WASH]], 0))), "")</f>
        <v/>
      </c>
      <c r="BB95" s="333" t="str" cm="1">
        <f t="array" ref="BB9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5" s="276" t="str" cm="1">
        <f t="array" ref="BC95">IFERROR(IF(tblPiNAnalysis[[#This Row],[ID]]="", "", INDEX(tblPiNHistorical[[CCCM]:[WASH]], MATCH(tblPiNAnalysis[[#This Row],[ID]],tblPiNHistorical[ID], 0),MATCH(_xlfn._xlws.FILTER(tblPiNAnalysis[[#Headers],[CCCM]:[WASH]], tblPiNAnalysis[[#This Row],[2nd Highest PiN]]=tblPiNAnalysis[[#This Row],[CCCM]:[WASH]]), tblPiNHistorical[[#Headers],[CCCM]:[WASH]], 0))), "")</f>
        <v/>
      </c>
      <c r="BD95" s="334" t="str" cm="1">
        <f t="array" ref="BD9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5" s="276">
        <f>INDEX(tblSeverityAnalysis[Final Severity], MATCH(tblPiNAnalysis[[#This Row],[ID]],tblSeverityAnalysis[ID], 0))</f>
        <v>3</v>
      </c>
      <c r="BF95" s="61">
        <f>IF(tblPiNAnalysis[[#This Row],[Severity]]&gt;2,tblPiNAnalysis[[#This Row],[Highest PiN]],)</f>
        <v>73504.163352942982</v>
      </c>
      <c r="BG95" s="191"/>
      <c r="BH95" s="192"/>
      <c r="BI95" s="193">
        <f>COUNTIFS(tblPiNAnalysis[[#This Row],[Number of missing / zero PiNs greater than threshold - Data quality]:[Manual Flag]],"Flagged")</f>
        <v>2</v>
      </c>
      <c r="BJ95" s="96" t="str">
        <f>IF(tblPiNAnalysis[[#This Row],['# Flags]]&gt;0, "Flagged", "")</f>
        <v>Flagged</v>
      </c>
      <c r="BK95" s="326">
        <f>tblPiNAnalysis[[#This Row],[Preliminary PiN]]</f>
        <v>73504.163352942982</v>
      </c>
      <c r="BL95" s="331"/>
    </row>
    <row r="96" spans="1:64" ht="24.6" x14ac:dyDescent="0.55000000000000004">
      <c r="A9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SS0207</v>
      </c>
      <c r="B96" s="316" t="s">
        <v>250</v>
      </c>
      <c r="C96" s="317" t="s">
        <v>251</v>
      </c>
      <c r="D96" s="317" t="s">
        <v>264</v>
      </c>
      <c r="E96" s="105" t="s">
        <v>265</v>
      </c>
      <c r="F96" s="100"/>
      <c r="G96" s="34"/>
      <c r="H96" s="34"/>
      <c r="I96" s="97">
        <v>159337.28264572358</v>
      </c>
      <c r="J96" s="97" t="s">
        <v>413</v>
      </c>
      <c r="K96" s="318"/>
      <c r="L96" s="319">
        <v>10479.4059411418</v>
      </c>
      <c r="M96" s="319">
        <v>67879.22486518354</v>
      </c>
      <c r="N96" s="319">
        <v>38586.597027883196</v>
      </c>
      <c r="O96" s="319">
        <v>83224.483891593016</v>
      </c>
      <c r="P96" s="319">
        <v>54019</v>
      </c>
      <c r="Q96" s="320">
        <v>10448.346402998268</v>
      </c>
      <c r="R96" s="319">
        <v>55097.938858801615</v>
      </c>
      <c r="S96" s="319">
        <v>18904</v>
      </c>
      <c r="T96" s="319">
        <v>23617</v>
      </c>
      <c r="U96" s="319">
        <v>51358</v>
      </c>
      <c r="V96" s="319">
        <v>2034</v>
      </c>
      <c r="W96" s="321" t="str">
        <f>IFERROR(IF(tblPiNAnalysis[[#This Row],[CCCM]]="", "", MROUND(tblPiNAnalysis[[#This Row],[CCCM]]/tblPiNAnalysis[[#This Row],[Affected population projection 2026]], 0.05)), "")</f>
        <v/>
      </c>
      <c r="X96" s="322">
        <f>IFERROR(IF(tblPiNAnalysis[[#This Row],[Education]]="", "", MROUND(tblPiNAnalysis[[#This Row],[Education]]/tblPiNAnalysis[[#This Row],[Affected population projection 2026]], 0.05)), "")</f>
        <v>0.05</v>
      </c>
      <c r="Y96" s="322">
        <f>IFERROR(IF(tblPiNAnalysis[[#This Row],[Nutrition]]="", "", MROUND(tblPiNAnalysis[[#This Row],[Nutrition]]/tblPiNAnalysis[[#This Row],[Affected population projection 2026]], 0.05)), "")</f>
        <v>0.45</v>
      </c>
      <c r="Z96" s="322">
        <f>IFERROR(IF(tblPiNAnalysis[[#This Row],[Food Security]]="", "", MROUND(tblPiNAnalysis[[#This Row],[Food Security]]/tblPiNAnalysis[[#This Row],[Affected population projection 2026]], 0.05)), "")</f>
        <v>0.25</v>
      </c>
      <c r="AA96" s="322">
        <f>IFERROR(IF(tblPiNAnalysis[[#This Row],[Health]]="", "", MROUND(tblPiNAnalysis[[#This Row],[Health]]/tblPiNAnalysis[[#This Row],[Affected population projection 2026]], 0.05)), "")</f>
        <v>0.5</v>
      </c>
      <c r="AB96" s="323">
        <f>IFERROR(IF(tblPiNAnalysis[[#This Row],[Overarching Protection]]="", "", MROUND(tblPiNAnalysis[[#This Row],[Overarching Protection]]/tblPiNAnalysis[[#This Row],[Affected population projection 2026]], 0.05)), "")</f>
        <v>0.35000000000000003</v>
      </c>
      <c r="AC96" s="323">
        <f>IFERROR(IF(tblPiNAnalysis[[#This Row],[Shelter]]="", "", MROUND(tblPiNAnalysis[[#This Row],[Shelter]]/tblPiNAnalysis[[#This Row],[Affected population projection 2026]], 0.05)), "")</f>
        <v>0.05</v>
      </c>
      <c r="AD96" s="324">
        <f>IFERROR(IF(tblPiNAnalysis[[#This Row],[WASH]]="", "", MROUND(tblPiNAnalysis[[#This Row],[WASH]]/tblPiNAnalysis[[#This Row],[Affected population projection 2026]], 0.05)), "")</f>
        <v>0.35000000000000003</v>
      </c>
      <c r="AE96" s="322">
        <f>IFERROR(MROUND(tblPiNAnalysis[[#This Row],[CP]]/tblPiNAnalysis[[#This Row],[Affected population projection 2026]], 0.05), "")</f>
        <v>0.1</v>
      </c>
      <c r="AF96" s="322">
        <f>IFERROR(MROUND(tblPiNAnalysis[[#This Row],[GBV]]/tblPiNAnalysis[[#This Row],[Affected population projection 2026]], 0.05), "")</f>
        <v>0.15000000000000002</v>
      </c>
      <c r="AG96" s="322">
        <f>IFERROR(MROUND(tblPiNAnalysis[[#This Row],[Mine Action]]/tblPiNAnalysis[[#This Row],[Affected population projection 2026]], 0.05), "")</f>
        <v>0.30000000000000004</v>
      </c>
      <c r="AH96" s="322">
        <f>IFERROR(MROUND(tblPiNAnalysis[[#This Row],[HLP]]/tblPiNAnalysis[[#This Row],[Affected population projection 2026]], 0.05), "")</f>
        <v>0</v>
      </c>
      <c r="AI96" s="325">
        <f>IFERROR(LARGE(tblPiNAnalysis[[#This Row],[CCCM]:[WASH]], 1), "")</f>
        <v>83224.483891593016</v>
      </c>
      <c r="AJ96" s="326" t="str" cm="1">
        <f t="array" ref="AJ96">IF(tblPiNAnalysis[[#This Row],[Highest PiN]]="", "", _xlfn.TEXTJOIN(CHAR(10), TRUE, IF(tblPiNAnalysis[[#This Row],[Highest PiN]]=tblPiNAnalysis[[#This Row],[CCCM]:[WASH]], tblPiNAnalysis[[#Headers],[CCCM]:[WASH]], "")))</f>
        <v>Health</v>
      </c>
      <c r="AK96" s="327">
        <f>IF(tblPiNAnalysis[[#This Row],[Highest PiN]]="", "", tblPiNAnalysis[[#This Row],[Highest PiN]]/tblPiNAnalysis[[#This Row],[Affected population projection 2026]])</f>
        <v>0.52231645042320329</v>
      </c>
      <c r="AL96" s="328" t="str">
        <f>IF(SUM(tblPiNAnalysis[[#This Row],[CCCM]:[WASH]])=0, "",IF(COUNTIF(tblPiNAnalysis[[#This Row],[CCCM]:[WASH]],"=0")+COUNTIF(tblPiNAnalysis[[#This Row],[CCCM]:[WASH]],"")&gt;=zero_pin_thresh, "Flagged", ""))</f>
        <v/>
      </c>
      <c r="AM96" s="329" t="str">
        <f>IFERROR(IF(tblPiNAnalysis[[#This Row],[Highest PiN]]="", "", IF(tblPiNAnalysis[[#This Row],[Highest sector(s'') PiN %]]&gt;=flag_pin_perc, "Flagged", "")), "")</f>
        <v/>
      </c>
      <c r="AN96" s="330" t="str" cm="1">
        <f t="array" ref="AN96">IF(tblPiNAnalysis[[#This Row],[Highest PiN]]=0, "",  IF(OR(COUNTIF(tblPiNAnalysis[[#This Row],[Highest sector(s)]],tblSubSectorPopulation[Sector])), "Flagged", ""))</f>
        <v/>
      </c>
      <c r="AO96" s="46" cm="1">
        <f t="array" ref="AO9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67879.22486518354</v>
      </c>
      <c r="AP96" s="331" t="str" cm="1">
        <f t="array" ref="AP96">IF(tblPiNAnalysis[[#This Row],[2nd Highest PiN]]="", "", _xlfn.TEXTJOIN(CHAR(10), TRUE, IF(tblPiNAnalysis[[#This Row],[2nd Highest PiN]]=tblPiNAnalysis[[#This Row],[CCCM]:[WASH]], tblPiNAnalysis[[#Headers],[CCCM]:[WASH]], "")))</f>
        <v>Nutrition</v>
      </c>
      <c r="AQ96" s="36">
        <f>IFERROR(tblPiNAnalysis[[#This Row],[2nd Highest PiN]]/tblPiNAnalysis[[#This Row],[Affected population projection 2026]], "")</f>
        <v>0.42600968045946108</v>
      </c>
      <c r="AR96" s="46">
        <f>IFERROR(tblPiNAnalysis[[#This Row],[Highest PiN]]-tblPiNAnalysis[[#This Row],[2nd Highest PiN]], "")</f>
        <v>15345.259026409476</v>
      </c>
      <c r="AS96" s="39">
        <f>IFERROR(((tblPiNAnalysis[[#This Row],[Highest PiN]]-tblPiNAnalysis[[#This Row],[2nd Highest PiN]])/tblPiNAnalysis[[#This Row],[2nd Highest PiN]]),"")</f>
        <v>0.22606709279440126</v>
      </c>
      <c r="AT96" s="39" t="str" cm="1">
        <f t="array" ref="AT9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6" s="332" cm="1">
        <f t="array" ref="AU9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55097.938858801615</v>
      </c>
      <c r="AV96" s="190" t="str" cm="1">
        <f t="array" ref="AV96">IF(tblPiNAnalysis[[#This Row],[3rd Highest PiN]]="", "", _xlfn.TEXTJOIN(CHAR(10), TRUE, IF(tblPiNAnalysis[[#This Row],[3rd Highest PiN]]=tblPiNAnalysis[[#This Row],[CCCM]:[WASH]], tblPiNAnalysis[[#Headers],[CCCM]:[WASH]], "")))</f>
        <v>WASH</v>
      </c>
      <c r="AW96" s="190">
        <f>IFERROR(tblPiNAnalysis[[#This Row],[3rd Highest PiN]]/tblPiNAnalysis[[#This Row],[Affected population projection 2026]], "")</f>
        <v>0.34579439252336452</v>
      </c>
      <c r="AX96" s="45">
        <f>IFERROR(tblPiNAnalysis[[#This Row],[Highest PiN]]-tblPiNAnalysis[[#This Row],[3rd Highest PiN]],"")</f>
        <v>28126.5450327914</v>
      </c>
      <c r="AY96" s="39">
        <f>IFERROR(tblPiNAnalysis[[#This Row],[Difference of PiN between Highest and 3rd Highest]]/tblPiNAnalysis[[#This Row],[3rd Highest PiN]], "")</f>
        <v>0.5104827079806149</v>
      </c>
      <c r="AZ96" s="330" t="str" cm="1">
        <f t="array" ref="AZ9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6" s="300" t="str" cm="1">
        <f t="array" ref="BA96">IFERROR(IF(tblPiNAnalysis[[#This Row],[ID]]="", "", INDEX(tblPiNHistorical[[CCCM]:[WASH]], MATCH(tblPiNAnalysis[[#This Row],[ID]],tblPiNHistorical[ID], 0),MATCH(_xlfn._xlws.FILTER(tblPiNAnalysis[[#Headers],[CCCM]:[WASH]], tblPiNAnalysis[[#This Row],[Highest PiN]]=tblPiNAnalysis[[#This Row],[CCCM]:[WASH]]), tblPiNHistorical[[#Headers],[CCCM]:[WASH]], 0))), "")</f>
        <v/>
      </c>
      <c r="BB96" s="333" t="str" cm="1">
        <f t="array" ref="BB9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6" s="276" t="str" cm="1">
        <f t="array" ref="BC96">IFERROR(IF(tblPiNAnalysis[[#This Row],[ID]]="", "", INDEX(tblPiNHistorical[[CCCM]:[WASH]], MATCH(tblPiNAnalysis[[#This Row],[ID]],tblPiNHistorical[ID], 0),MATCH(_xlfn._xlws.FILTER(tblPiNAnalysis[[#Headers],[CCCM]:[WASH]], tblPiNAnalysis[[#This Row],[2nd Highest PiN]]=tblPiNAnalysis[[#This Row],[CCCM]:[WASH]]), tblPiNHistorical[[#Headers],[CCCM]:[WASH]], 0))), "")</f>
        <v/>
      </c>
      <c r="BD96" s="334" t="str" cm="1">
        <f t="array" ref="BD9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6" s="276">
        <f>INDEX(tblSeverityAnalysis[Final Severity], MATCH(tblPiNAnalysis[[#This Row],[ID]],tblSeverityAnalysis[ID], 0))</f>
        <v>3</v>
      </c>
      <c r="BF96" s="61">
        <f>IF(tblPiNAnalysis[[#This Row],[Severity]]&gt;2,tblPiNAnalysis[[#This Row],[Highest PiN]],)</f>
        <v>83224.483891593016</v>
      </c>
      <c r="BG96" s="191"/>
      <c r="BH96" s="192"/>
      <c r="BI96" s="193">
        <f>COUNTIFS(tblPiNAnalysis[[#This Row],[Number of missing / zero PiNs greater than threshold - Data quality]:[Manual Flag]],"Flagged")</f>
        <v>1</v>
      </c>
      <c r="BJ96" s="96" t="str">
        <f>IF(tblPiNAnalysis[[#This Row],['# Flags]]&gt;0, "Flagged", "")</f>
        <v>Flagged</v>
      </c>
      <c r="BK96" s="326">
        <f>tblPiNAnalysis[[#This Row],[Preliminary PiN]]</f>
        <v>83224.483891593016</v>
      </c>
      <c r="BL96" s="331"/>
    </row>
    <row r="97" spans="1:64" ht="24.6" x14ac:dyDescent="0.55000000000000004">
      <c r="A9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SS0208</v>
      </c>
      <c r="B97" s="316" t="s">
        <v>250</v>
      </c>
      <c r="C97" s="317" t="s">
        <v>251</v>
      </c>
      <c r="D97" s="317" t="s">
        <v>266</v>
      </c>
      <c r="E97" s="105" t="s">
        <v>267</v>
      </c>
      <c r="F97" s="100"/>
      <c r="G97" s="34"/>
      <c r="H97" s="34"/>
      <c r="I97" s="97">
        <v>47474.399116158442</v>
      </c>
      <c r="J97" s="97" t="s">
        <v>413</v>
      </c>
      <c r="K97" s="318"/>
      <c r="L97" s="319">
        <v>5311.3408243175745</v>
      </c>
      <c r="M97" s="319">
        <v>30283.540237307421</v>
      </c>
      <c r="N97" s="319">
        <v>26656.881066419981</v>
      </c>
      <c r="O97" s="319">
        <v>37597.565887588869</v>
      </c>
      <c r="P97" s="319">
        <v>15714</v>
      </c>
      <c r="Q97" s="320">
        <v>26110.919513887144</v>
      </c>
      <c r="R97" s="319">
        <v>32800.493934800375</v>
      </c>
      <c r="S97" s="319">
        <v>3757</v>
      </c>
      <c r="T97" s="319">
        <v>10269</v>
      </c>
      <c r="U97" s="319">
        <v>15593</v>
      </c>
      <c r="V97" s="319">
        <v>469</v>
      </c>
      <c r="W97" s="321" t="str">
        <f>IFERROR(IF(tblPiNAnalysis[[#This Row],[CCCM]]="", "", MROUND(tblPiNAnalysis[[#This Row],[CCCM]]/tblPiNAnalysis[[#This Row],[Affected population projection 2026]], 0.05)), "")</f>
        <v/>
      </c>
      <c r="X97" s="322">
        <f>IFERROR(IF(tblPiNAnalysis[[#This Row],[Education]]="", "", MROUND(tblPiNAnalysis[[#This Row],[Education]]/tblPiNAnalysis[[#This Row],[Affected population projection 2026]], 0.05)), "")</f>
        <v>0.1</v>
      </c>
      <c r="Y97" s="322">
        <f>IFERROR(IF(tblPiNAnalysis[[#This Row],[Nutrition]]="", "", MROUND(tblPiNAnalysis[[#This Row],[Nutrition]]/tblPiNAnalysis[[#This Row],[Affected population projection 2026]], 0.05)), "")</f>
        <v>0.65</v>
      </c>
      <c r="Z97" s="322">
        <f>IFERROR(IF(tblPiNAnalysis[[#This Row],[Food Security]]="", "", MROUND(tblPiNAnalysis[[#This Row],[Food Security]]/tblPiNAnalysis[[#This Row],[Affected population projection 2026]], 0.05)), "")</f>
        <v>0.55000000000000004</v>
      </c>
      <c r="AA97" s="322">
        <f>IFERROR(IF(tblPiNAnalysis[[#This Row],[Health]]="", "", MROUND(tblPiNAnalysis[[#This Row],[Health]]/tblPiNAnalysis[[#This Row],[Affected population projection 2026]], 0.05)), "")</f>
        <v>0.8</v>
      </c>
      <c r="AB97" s="323">
        <f>IFERROR(IF(tblPiNAnalysis[[#This Row],[Overarching Protection]]="", "", MROUND(tblPiNAnalysis[[#This Row],[Overarching Protection]]/tblPiNAnalysis[[#This Row],[Affected population projection 2026]], 0.05)), "")</f>
        <v>0.35000000000000003</v>
      </c>
      <c r="AC97" s="323">
        <f>IFERROR(IF(tblPiNAnalysis[[#This Row],[Shelter]]="", "", MROUND(tblPiNAnalysis[[#This Row],[Shelter]]/tblPiNAnalysis[[#This Row],[Affected population projection 2026]], 0.05)), "")</f>
        <v>0.55000000000000004</v>
      </c>
      <c r="AD97" s="324">
        <f>IFERROR(IF(tblPiNAnalysis[[#This Row],[WASH]]="", "", MROUND(tblPiNAnalysis[[#This Row],[WASH]]/tblPiNAnalysis[[#This Row],[Affected population projection 2026]], 0.05)), "")</f>
        <v>0.70000000000000007</v>
      </c>
      <c r="AE97" s="322">
        <f>IFERROR(MROUND(tblPiNAnalysis[[#This Row],[CP]]/tblPiNAnalysis[[#This Row],[Affected population projection 2026]], 0.05), "")</f>
        <v>0.1</v>
      </c>
      <c r="AF97" s="322">
        <f>IFERROR(MROUND(tblPiNAnalysis[[#This Row],[GBV]]/tblPiNAnalysis[[#This Row],[Affected population projection 2026]], 0.05), "")</f>
        <v>0.2</v>
      </c>
      <c r="AG97" s="322">
        <f>IFERROR(MROUND(tblPiNAnalysis[[#This Row],[Mine Action]]/tblPiNAnalysis[[#This Row],[Affected population projection 2026]], 0.05), "")</f>
        <v>0.35000000000000003</v>
      </c>
      <c r="AH97" s="322">
        <f>IFERROR(MROUND(tblPiNAnalysis[[#This Row],[HLP]]/tblPiNAnalysis[[#This Row],[Affected population projection 2026]], 0.05), "")</f>
        <v>0</v>
      </c>
      <c r="AI97" s="325">
        <f>IFERROR(LARGE(tblPiNAnalysis[[#This Row],[CCCM]:[WASH]], 1), "")</f>
        <v>37597.565887588869</v>
      </c>
      <c r="AJ97" s="326" t="str" cm="1">
        <f t="array" ref="AJ97">IF(tblPiNAnalysis[[#This Row],[Highest PiN]]="", "", _xlfn.TEXTJOIN(CHAR(10), TRUE, IF(tblPiNAnalysis[[#This Row],[Highest PiN]]=tblPiNAnalysis[[#This Row],[CCCM]:[WASH]], tblPiNAnalysis[[#Headers],[CCCM]:[WASH]], "")))</f>
        <v>Health</v>
      </c>
      <c r="AK97" s="327">
        <f>IF(tblPiNAnalysis[[#This Row],[Highest PiN]]="", "", tblPiNAnalysis[[#This Row],[Highest PiN]]/tblPiNAnalysis[[#This Row],[Affected population projection 2026]])</f>
        <v>0.7919545394476013</v>
      </c>
      <c r="AL97" s="328" t="str">
        <f>IF(SUM(tblPiNAnalysis[[#This Row],[CCCM]:[WASH]])=0, "",IF(COUNTIF(tblPiNAnalysis[[#This Row],[CCCM]:[WASH]],"=0")+COUNTIF(tblPiNAnalysis[[#This Row],[CCCM]:[WASH]],"")&gt;=zero_pin_thresh, "Flagged", ""))</f>
        <v/>
      </c>
      <c r="AM97" s="329" t="str">
        <f>IFERROR(IF(tblPiNAnalysis[[#This Row],[Highest PiN]]="", "", IF(tblPiNAnalysis[[#This Row],[Highest sector(s'') PiN %]]&gt;=flag_pin_perc, "Flagged", "")), "")</f>
        <v/>
      </c>
      <c r="AN97" s="330" t="str" cm="1">
        <f t="array" ref="AN97">IF(tblPiNAnalysis[[#This Row],[Highest PiN]]=0, "",  IF(OR(COUNTIF(tblPiNAnalysis[[#This Row],[Highest sector(s)]],tblSubSectorPopulation[Sector])), "Flagged", ""))</f>
        <v/>
      </c>
      <c r="AO97" s="46" cm="1">
        <f t="array" ref="AO9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32800.493934800375</v>
      </c>
      <c r="AP97" s="331" t="str" cm="1">
        <f t="array" ref="AP97">IF(tblPiNAnalysis[[#This Row],[2nd Highest PiN]]="", "", _xlfn.TEXTJOIN(CHAR(10), TRUE, IF(tblPiNAnalysis[[#This Row],[2nd Highest PiN]]=tblPiNAnalysis[[#This Row],[CCCM]:[WASH]], tblPiNAnalysis[[#Headers],[CCCM]:[WASH]], "")))</f>
        <v>WASH</v>
      </c>
      <c r="AQ97" s="36">
        <f>IFERROR(tblPiNAnalysis[[#This Row],[2nd Highest PiN]]/tblPiNAnalysis[[#This Row],[Affected population projection 2026]], "")</f>
        <v>0.69090909090909081</v>
      </c>
      <c r="AR97" s="46">
        <f>IFERROR(tblPiNAnalysis[[#This Row],[Highest PiN]]-tblPiNAnalysis[[#This Row],[2nd Highest PiN]], "")</f>
        <v>4797.0719527884939</v>
      </c>
      <c r="AS97" s="39">
        <f>IFERROR(((tblPiNAnalysis[[#This Row],[Highest PiN]]-tblPiNAnalysis[[#This Row],[2nd Highest PiN]])/tblPiNAnalysis[[#This Row],[2nd Highest PiN]]),"")</f>
        <v>0.14624999130573882</v>
      </c>
      <c r="AT97" s="39" t="str" cm="1">
        <f t="array" ref="AT9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7" s="332" cm="1">
        <f t="array" ref="AU9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30283.540237307421</v>
      </c>
      <c r="AV97" s="190" t="str" cm="1">
        <f t="array" ref="AV97">IF(tblPiNAnalysis[[#This Row],[3rd Highest PiN]]="", "", _xlfn.TEXTJOIN(CHAR(10), TRUE, IF(tblPiNAnalysis[[#This Row],[3rd Highest PiN]]=tblPiNAnalysis[[#This Row],[CCCM]:[WASH]], tblPiNAnalysis[[#Headers],[CCCM]:[WASH]], "")))</f>
        <v>Nutrition</v>
      </c>
      <c r="AW97" s="190">
        <f>IFERROR(tblPiNAnalysis[[#This Row],[3rd Highest PiN]]/tblPiNAnalysis[[#This Row],[Affected population projection 2026]], "")</f>
        <v>0.63789201761587078</v>
      </c>
      <c r="AX97" s="45">
        <f>IFERROR(tblPiNAnalysis[[#This Row],[Highest PiN]]-tblPiNAnalysis[[#This Row],[3rd Highest PiN]],"")</f>
        <v>7314.0256502814482</v>
      </c>
      <c r="AY97" s="39">
        <f>IFERROR(tblPiNAnalysis[[#This Row],[Difference of PiN between Highest and 3rd Highest]]/tblPiNAnalysis[[#This Row],[3rd Highest PiN]], "")</f>
        <v>0.24151818423365931</v>
      </c>
      <c r="AZ97" s="330" t="str" cm="1">
        <f t="array" ref="AZ9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7" s="300" t="str" cm="1">
        <f t="array" ref="BA97">IFERROR(IF(tblPiNAnalysis[[#This Row],[ID]]="", "", INDEX(tblPiNHistorical[[CCCM]:[WASH]], MATCH(tblPiNAnalysis[[#This Row],[ID]],tblPiNHistorical[ID], 0),MATCH(_xlfn._xlws.FILTER(tblPiNAnalysis[[#Headers],[CCCM]:[WASH]], tblPiNAnalysis[[#This Row],[Highest PiN]]=tblPiNAnalysis[[#This Row],[CCCM]:[WASH]]), tblPiNHistorical[[#Headers],[CCCM]:[WASH]], 0))), "")</f>
        <v/>
      </c>
      <c r="BB97" s="333" t="str" cm="1">
        <f t="array" ref="BB9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7" s="276" t="str" cm="1">
        <f t="array" ref="BC97">IFERROR(IF(tblPiNAnalysis[[#This Row],[ID]]="", "", INDEX(tblPiNHistorical[[CCCM]:[WASH]], MATCH(tblPiNAnalysis[[#This Row],[ID]],tblPiNHistorical[ID], 0),MATCH(_xlfn._xlws.FILTER(tblPiNAnalysis[[#Headers],[CCCM]:[WASH]], tblPiNAnalysis[[#This Row],[2nd Highest PiN]]=tblPiNAnalysis[[#This Row],[CCCM]:[WASH]]), tblPiNHistorical[[#Headers],[CCCM]:[WASH]], 0))), "")</f>
        <v/>
      </c>
      <c r="BD97" s="334" t="str" cm="1">
        <f t="array" ref="BD9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7" s="276">
        <f>INDEX(tblSeverityAnalysis[Final Severity], MATCH(tblPiNAnalysis[[#This Row],[ID]],tblSeverityAnalysis[ID], 0))</f>
        <v>3</v>
      </c>
      <c r="BF97" s="61">
        <f>IF(tblPiNAnalysis[[#This Row],[Severity]]&gt;2,tblPiNAnalysis[[#This Row],[Highest PiN]],)</f>
        <v>37597.565887588869</v>
      </c>
      <c r="BG97" s="191"/>
      <c r="BH97" s="192"/>
      <c r="BI97" s="193">
        <f>COUNTIFS(tblPiNAnalysis[[#This Row],[Number of missing / zero PiNs greater than threshold - Data quality]:[Manual Flag]],"Flagged")</f>
        <v>0</v>
      </c>
      <c r="BJ97" s="96" t="str">
        <f>IF(tblPiNAnalysis[[#This Row],['# Flags]]&gt;0, "Flagged", "")</f>
        <v/>
      </c>
      <c r="BK97" s="326">
        <f>tblPiNAnalysis[[#This Row],[Preliminary PiN]]</f>
        <v>37597.565887588869</v>
      </c>
      <c r="BL97" s="331"/>
    </row>
    <row r="98" spans="1:64" x14ac:dyDescent="0.55000000000000004">
      <c r="A9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SS0301</v>
      </c>
      <c r="B98" s="316" t="s">
        <v>268</v>
      </c>
      <c r="C98" s="317" t="s">
        <v>269</v>
      </c>
      <c r="D98" s="317" t="s">
        <v>270</v>
      </c>
      <c r="E98" s="105" t="s">
        <v>271</v>
      </c>
      <c r="F98" s="100"/>
      <c r="G98" s="34"/>
      <c r="H98" s="34"/>
      <c r="I98" s="97">
        <v>146807.46329287597</v>
      </c>
      <c r="J98" s="97" t="s">
        <v>413</v>
      </c>
      <c r="K98" s="318"/>
      <c r="L98" s="319">
        <v>28955.129600180513</v>
      </c>
      <c r="M98" s="319">
        <v>85498.20173389159</v>
      </c>
      <c r="N98" s="319">
        <v>126136.8235023275</v>
      </c>
      <c r="O98" s="319">
        <v>78587.456294377014</v>
      </c>
      <c r="P98" s="319">
        <v>57549</v>
      </c>
      <c r="Q98" s="320">
        <v>101635.93612583721</v>
      </c>
      <c r="R98" s="319">
        <v>73403.731646437984</v>
      </c>
      <c r="S98" s="319">
        <v>22813</v>
      </c>
      <c r="T98" s="319">
        <v>23860</v>
      </c>
      <c r="U98" s="319">
        <v>51289</v>
      </c>
      <c r="V98" s="319">
        <v>3684</v>
      </c>
      <c r="W98" s="321" t="str">
        <f>IFERROR(IF(tblPiNAnalysis[[#This Row],[CCCM]]="", "", MROUND(tblPiNAnalysis[[#This Row],[CCCM]]/tblPiNAnalysis[[#This Row],[Affected population projection 2026]], 0.05)), "")</f>
        <v/>
      </c>
      <c r="X98" s="322">
        <f>IFERROR(IF(tblPiNAnalysis[[#This Row],[Education]]="", "", MROUND(tblPiNAnalysis[[#This Row],[Education]]/tblPiNAnalysis[[#This Row],[Affected population projection 2026]], 0.05)), "")</f>
        <v>0.2</v>
      </c>
      <c r="Y98" s="322">
        <f>IFERROR(IF(tblPiNAnalysis[[#This Row],[Nutrition]]="", "", MROUND(tblPiNAnalysis[[#This Row],[Nutrition]]/tblPiNAnalysis[[#This Row],[Affected population projection 2026]], 0.05)), "")</f>
        <v>0.60000000000000009</v>
      </c>
      <c r="Z98" s="322">
        <f>IFERROR(IF(tblPiNAnalysis[[#This Row],[Food Security]]="", "", MROUND(tblPiNAnalysis[[#This Row],[Food Security]]/tblPiNAnalysis[[#This Row],[Affected population projection 2026]], 0.05)), "")</f>
        <v>0.85000000000000009</v>
      </c>
      <c r="AA98" s="322">
        <f>IFERROR(IF(tblPiNAnalysis[[#This Row],[Health]]="", "", MROUND(tblPiNAnalysis[[#This Row],[Health]]/tblPiNAnalysis[[#This Row],[Affected population projection 2026]], 0.05)), "")</f>
        <v>0.55000000000000004</v>
      </c>
      <c r="AB98" s="323">
        <f>IFERROR(IF(tblPiNAnalysis[[#This Row],[Overarching Protection]]="", "", MROUND(tblPiNAnalysis[[#This Row],[Overarching Protection]]/tblPiNAnalysis[[#This Row],[Affected population projection 2026]], 0.05)), "")</f>
        <v>0.4</v>
      </c>
      <c r="AC98" s="323">
        <f>IFERROR(IF(tblPiNAnalysis[[#This Row],[Shelter]]="", "", MROUND(tblPiNAnalysis[[#This Row],[Shelter]]/tblPiNAnalysis[[#This Row],[Affected population projection 2026]], 0.05)), "")</f>
        <v>0.70000000000000007</v>
      </c>
      <c r="AD98" s="324">
        <f>IFERROR(IF(tblPiNAnalysis[[#This Row],[WASH]]="", "", MROUND(tblPiNAnalysis[[#This Row],[WASH]]/tblPiNAnalysis[[#This Row],[Affected population projection 2026]], 0.05)), "")</f>
        <v>0.5</v>
      </c>
      <c r="AE98" s="322">
        <f>IFERROR(MROUND(tblPiNAnalysis[[#This Row],[CP]]/tblPiNAnalysis[[#This Row],[Affected population projection 2026]], 0.05), "")</f>
        <v>0.15000000000000002</v>
      </c>
      <c r="AF98" s="322">
        <f>IFERROR(MROUND(tblPiNAnalysis[[#This Row],[GBV]]/tblPiNAnalysis[[#This Row],[Affected population projection 2026]], 0.05), "")</f>
        <v>0.15000000000000002</v>
      </c>
      <c r="AG98" s="322">
        <f>IFERROR(MROUND(tblPiNAnalysis[[#This Row],[Mine Action]]/tblPiNAnalysis[[#This Row],[Affected population projection 2026]], 0.05), "")</f>
        <v>0.35000000000000003</v>
      </c>
      <c r="AH98" s="322">
        <f>IFERROR(MROUND(tblPiNAnalysis[[#This Row],[HLP]]/tblPiNAnalysis[[#This Row],[Affected population projection 2026]], 0.05), "")</f>
        <v>0.05</v>
      </c>
      <c r="AI98" s="325">
        <f>IFERROR(LARGE(tblPiNAnalysis[[#This Row],[CCCM]:[WASH]], 1), "")</f>
        <v>126136.8235023275</v>
      </c>
      <c r="AJ98" s="326" t="str" cm="1">
        <f t="array" ref="AJ98">IF(tblPiNAnalysis[[#This Row],[Highest PiN]]="", "", _xlfn.TEXTJOIN(CHAR(10), TRUE, IF(tblPiNAnalysis[[#This Row],[Highest PiN]]=tblPiNAnalysis[[#This Row],[CCCM]:[WASH]], tblPiNAnalysis[[#Headers],[CCCM]:[WASH]], "")))</f>
        <v>Food Security</v>
      </c>
      <c r="AK98" s="327">
        <f>IF(tblPiNAnalysis[[#This Row],[Highest PiN]]="", "", tblPiNAnalysis[[#This Row],[Highest PiN]]/tblPiNAnalysis[[#This Row],[Affected population projection 2026]])</f>
        <v>0.85919898534510308</v>
      </c>
      <c r="AL98" s="328" t="str">
        <f>IF(SUM(tblPiNAnalysis[[#This Row],[CCCM]:[WASH]])=0, "",IF(COUNTIF(tblPiNAnalysis[[#This Row],[CCCM]:[WASH]],"=0")+COUNTIF(tblPiNAnalysis[[#This Row],[CCCM]:[WASH]],"")&gt;=zero_pin_thresh, "Flagged", ""))</f>
        <v/>
      </c>
      <c r="AM98" s="329" t="str">
        <f>IFERROR(IF(tblPiNAnalysis[[#This Row],[Highest PiN]]="", "", IF(tblPiNAnalysis[[#This Row],[Highest sector(s'') PiN %]]&gt;=flag_pin_perc, "Flagged", "")), "")</f>
        <v/>
      </c>
      <c r="AN98" s="330" t="str" cm="1">
        <f t="array" ref="AN98">IF(tblPiNAnalysis[[#This Row],[Highest PiN]]=0, "",  IF(OR(COUNTIF(tblPiNAnalysis[[#This Row],[Highest sector(s)]],tblSubSectorPopulation[Sector])), "Flagged", ""))</f>
        <v/>
      </c>
      <c r="AO98" s="46" cm="1">
        <f t="array" ref="AO9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101635.93612583721</v>
      </c>
      <c r="AP98" s="331" t="str" cm="1">
        <f t="array" ref="AP98">IF(tblPiNAnalysis[[#This Row],[2nd Highest PiN]]="", "", _xlfn.TEXTJOIN(CHAR(10), TRUE, IF(tblPiNAnalysis[[#This Row],[2nd Highest PiN]]=tblPiNAnalysis[[#This Row],[CCCM]:[WASH]], tblPiNAnalysis[[#Headers],[CCCM]:[WASH]], "")))</f>
        <v>Shelter</v>
      </c>
      <c r="AQ98" s="36">
        <f>IFERROR(tblPiNAnalysis[[#This Row],[2nd Highest PiN]]/tblPiNAnalysis[[#This Row],[Affected population projection 2026]], "")</f>
        <v>0.69230769230769229</v>
      </c>
      <c r="AR98" s="46">
        <f>IFERROR(tblPiNAnalysis[[#This Row],[Highest PiN]]-tblPiNAnalysis[[#This Row],[2nd Highest PiN]], "")</f>
        <v>24500.887376490296</v>
      </c>
      <c r="AS98" s="39">
        <f>IFERROR(((tblPiNAnalysis[[#This Row],[Highest PiN]]-tblPiNAnalysis[[#This Row],[2nd Highest PiN]])/tblPiNAnalysis[[#This Row],[2nd Highest PiN]]),"")</f>
        <v>0.24106520105403786</v>
      </c>
      <c r="AT98" s="39" t="str" cm="1">
        <f t="array" ref="AT9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8" s="332" cm="1">
        <f t="array" ref="AU9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85498.20173389159</v>
      </c>
      <c r="AV98" s="190" t="str" cm="1">
        <f t="array" ref="AV98">IF(tblPiNAnalysis[[#This Row],[3rd Highest PiN]]="", "", _xlfn.TEXTJOIN(CHAR(10), TRUE, IF(tblPiNAnalysis[[#This Row],[3rd Highest PiN]]=tblPiNAnalysis[[#This Row],[CCCM]:[WASH]], tblPiNAnalysis[[#Headers],[CCCM]:[WASH]], "")))</f>
        <v>Nutrition</v>
      </c>
      <c r="AW98" s="190">
        <f>IFERROR(tblPiNAnalysis[[#This Row],[3rd Highest PiN]]/tblPiNAnalysis[[#This Row],[Affected population projection 2026]], "")</f>
        <v>0.58238321006422911</v>
      </c>
      <c r="AX98" s="45">
        <f>IFERROR(tblPiNAnalysis[[#This Row],[Highest PiN]]-tblPiNAnalysis[[#This Row],[3rd Highest PiN]],"")</f>
        <v>40638.621768435914</v>
      </c>
      <c r="AY98" s="39">
        <f>IFERROR(tblPiNAnalysis[[#This Row],[Difference of PiN between Highest and 3rd Highest]]/tblPiNAnalysis[[#This Row],[3rd Highest PiN]], "")</f>
        <v>0.4753155147627709</v>
      </c>
      <c r="AZ98" s="330" t="str" cm="1">
        <f t="array" ref="AZ9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8" s="300" t="str" cm="1">
        <f t="array" ref="BA98">IFERROR(IF(tblPiNAnalysis[[#This Row],[ID]]="", "", INDEX(tblPiNHistorical[[CCCM]:[WASH]], MATCH(tblPiNAnalysis[[#This Row],[ID]],tblPiNHistorical[ID], 0),MATCH(_xlfn._xlws.FILTER(tblPiNAnalysis[[#Headers],[CCCM]:[WASH]], tblPiNAnalysis[[#This Row],[Highest PiN]]=tblPiNAnalysis[[#This Row],[CCCM]:[WASH]]), tblPiNHistorical[[#Headers],[CCCM]:[WASH]], 0))), "")</f>
        <v/>
      </c>
      <c r="BB98" s="333" t="str" cm="1">
        <f t="array" ref="BB9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8" s="276" t="str" cm="1">
        <f t="array" ref="BC98">IFERROR(IF(tblPiNAnalysis[[#This Row],[ID]]="", "", INDEX(tblPiNHistorical[[CCCM]:[WASH]], MATCH(tblPiNAnalysis[[#This Row],[ID]],tblPiNHistorical[ID], 0),MATCH(_xlfn._xlws.FILTER(tblPiNAnalysis[[#Headers],[CCCM]:[WASH]], tblPiNAnalysis[[#This Row],[2nd Highest PiN]]=tblPiNAnalysis[[#This Row],[CCCM]:[WASH]]), tblPiNHistorical[[#Headers],[CCCM]:[WASH]], 0))), "")</f>
        <v/>
      </c>
      <c r="BD98" s="334" t="str" cm="1">
        <f t="array" ref="BD9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8" s="276">
        <f>INDEX(tblSeverityAnalysis[Final Severity], MATCH(tblPiNAnalysis[[#This Row],[ID]],tblSeverityAnalysis[ID], 0))</f>
        <v>4</v>
      </c>
      <c r="BF98" s="61">
        <f>IF(tblPiNAnalysis[[#This Row],[Severity]]&gt;2,tblPiNAnalysis[[#This Row],[Highest PiN]],)</f>
        <v>126136.8235023275</v>
      </c>
      <c r="BG98" s="191"/>
      <c r="BH98" s="192"/>
      <c r="BI98" s="193">
        <f>COUNTIFS(tblPiNAnalysis[[#This Row],[Number of missing / zero PiNs greater than threshold - Data quality]:[Manual Flag]],"Flagged")</f>
        <v>0</v>
      </c>
      <c r="BJ98" s="96" t="str">
        <f>IF(tblPiNAnalysis[[#This Row],['# Flags]]&gt;0, "Flagged", "")</f>
        <v/>
      </c>
      <c r="BK98" s="326">
        <f>tblPiNAnalysis[[#This Row],[Preliminary PiN]]</f>
        <v>126136.8235023275</v>
      </c>
      <c r="BL98" s="331"/>
    </row>
    <row r="99" spans="1:64" x14ac:dyDescent="0.55000000000000004">
      <c r="A9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SS0302</v>
      </c>
      <c r="B99" s="316" t="s">
        <v>268</v>
      </c>
      <c r="C99" s="317" t="s">
        <v>269</v>
      </c>
      <c r="D99" s="317" t="s">
        <v>272</v>
      </c>
      <c r="E99" s="105" t="s">
        <v>273</v>
      </c>
      <c r="F99" s="100"/>
      <c r="G99" s="34"/>
      <c r="H99" s="34"/>
      <c r="I99" s="97">
        <v>126785.47631993188</v>
      </c>
      <c r="J99" s="97" t="s">
        <v>413</v>
      </c>
      <c r="K99" s="318"/>
      <c r="L99" s="319">
        <v>17472.052920697173</v>
      </c>
      <c r="M99" s="319">
        <v>55020.705877044304</v>
      </c>
      <c r="N99" s="319">
        <v>93800.145733472207</v>
      </c>
      <c r="O99" s="319">
        <v>56927.12951178303</v>
      </c>
      <c r="P99" s="319">
        <v>44328</v>
      </c>
      <c r="Q99" s="320">
        <v>55823.455991611794</v>
      </c>
      <c r="R99" s="319">
        <v>108231.50417555163</v>
      </c>
      <c r="S99" s="319">
        <v>36633</v>
      </c>
      <c r="T99" s="319">
        <v>30353</v>
      </c>
      <c r="U99" s="319">
        <v>4739</v>
      </c>
      <c r="V99" s="319">
        <v>3024</v>
      </c>
      <c r="W99" s="321" t="str">
        <f>IFERROR(IF(tblPiNAnalysis[[#This Row],[CCCM]]="", "", MROUND(tblPiNAnalysis[[#This Row],[CCCM]]/tblPiNAnalysis[[#This Row],[Affected population projection 2026]], 0.05)), "")</f>
        <v/>
      </c>
      <c r="X99" s="322">
        <f>IFERROR(IF(tblPiNAnalysis[[#This Row],[Education]]="", "", MROUND(tblPiNAnalysis[[#This Row],[Education]]/tblPiNAnalysis[[#This Row],[Affected population projection 2026]], 0.05)), "")</f>
        <v>0.15000000000000002</v>
      </c>
      <c r="Y99" s="322">
        <f>IFERROR(IF(tblPiNAnalysis[[#This Row],[Nutrition]]="", "", MROUND(tblPiNAnalysis[[#This Row],[Nutrition]]/tblPiNAnalysis[[#This Row],[Affected population projection 2026]], 0.05)), "")</f>
        <v>0.45</v>
      </c>
      <c r="Z99" s="322">
        <f>IFERROR(IF(tblPiNAnalysis[[#This Row],[Food Security]]="", "", MROUND(tblPiNAnalysis[[#This Row],[Food Security]]/tblPiNAnalysis[[#This Row],[Affected population projection 2026]], 0.05)), "")</f>
        <v>0.75</v>
      </c>
      <c r="AA99" s="322">
        <f>IFERROR(IF(tblPiNAnalysis[[#This Row],[Health]]="", "", MROUND(tblPiNAnalysis[[#This Row],[Health]]/tblPiNAnalysis[[#This Row],[Affected population projection 2026]], 0.05)), "")</f>
        <v>0.45</v>
      </c>
      <c r="AB99" s="323">
        <f>IFERROR(IF(tblPiNAnalysis[[#This Row],[Overarching Protection]]="", "", MROUND(tblPiNAnalysis[[#This Row],[Overarching Protection]]/tblPiNAnalysis[[#This Row],[Affected population projection 2026]], 0.05)), "")</f>
        <v>0.35000000000000003</v>
      </c>
      <c r="AC99" s="323">
        <f>IFERROR(IF(tblPiNAnalysis[[#This Row],[Shelter]]="", "", MROUND(tblPiNAnalysis[[#This Row],[Shelter]]/tblPiNAnalysis[[#This Row],[Affected population projection 2026]], 0.05)), "")</f>
        <v>0.45</v>
      </c>
      <c r="AD99" s="324">
        <f>IFERROR(IF(tblPiNAnalysis[[#This Row],[WASH]]="", "", MROUND(tblPiNAnalysis[[#This Row],[WASH]]/tblPiNAnalysis[[#This Row],[Affected population projection 2026]], 0.05)), "")</f>
        <v>0.85000000000000009</v>
      </c>
      <c r="AE99" s="322">
        <f>IFERROR(MROUND(tblPiNAnalysis[[#This Row],[CP]]/tblPiNAnalysis[[#This Row],[Affected population projection 2026]], 0.05), "")</f>
        <v>0.30000000000000004</v>
      </c>
      <c r="AF99" s="322">
        <f>IFERROR(MROUND(tblPiNAnalysis[[#This Row],[GBV]]/tblPiNAnalysis[[#This Row],[Affected population projection 2026]], 0.05), "")</f>
        <v>0.25</v>
      </c>
      <c r="AG99" s="322">
        <f>IFERROR(MROUND(tblPiNAnalysis[[#This Row],[Mine Action]]/tblPiNAnalysis[[#This Row],[Affected population projection 2026]], 0.05), "")</f>
        <v>0.05</v>
      </c>
      <c r="AH99" s="322">
        <f>IFERROR(MROUND(tblPiNAnalysis[[#This Row],[HLP]]/tblPiNAnalysis[[#This Row],[Affected population projection 2026]], 0.05), "")</f>
        <v>0</v>
      </c>
      <c r="AI99" s="325">
        <f>IFERROR(LARGE(tblPiNAnalysis[[#This Row],[CCCM]:[WASH]], 1), "")</f>
        <v>108231.50417555163</v>
      </c>
      <c r="AJ99" s="326" t="str" cm="1">
        <f t="array" ref="AJ99">IF(tblPiNAnalysis[[#This Row],[Highest PiN]]="", "", _xlfn.TEXTJOIN(CHAR(10), TRUE, IF(tblPiNAnalysis[[#This Row],[Highest PiN]]=tblPiNAnalysis[[#This Row],[CCCM]:[WASH]], tblPiNAnalysis[[#Headers],[CCCM]:[WASH]], "")))</f>
        <v>WASH</v>
      </c>
      <c r="AK99" s="327">
        <f>IF(tblPiNAnalysis[[#This Row],[Highest PiN]]="", "", tblPiNAnalysis[[#This Row],[Highest PiN]]/tblPiNAnalysis[[#This Row],[Affected population projection 2026]])</f>
        <v>0.85365853658536606</v>
      </c>
      <c r="AL99" s="328" t="str">
        <f>IF(SUM(tblPiNAnalysis[[#This Row],[CCCM]:[WASH]])=0, "",IF(COUNTIF(tblPiNAnalysis[[#This Row],[CCCM]:[WASH]],"=0")+COUNTIF(tblPiNAnalysis[[#This Row],[CCCM]:[WASH]],"")&gt;=zero_pin_thresh, "Flagged", ""))</f>
        <v/>
      </c>
      <c r="AM99" s="329" t="str">
        <f>IFERROR(IF(tblPiNAnalysis[[#This Row],[Highest PiN]]="", "", IF(tblPiNAnalysis[[#This Row],[Highest sector(s'') PiN %]]&gt;=flag_pin_perc, "Flagged", "")), "")</f>
        <v/>
      </c>
      <c r="AN99" s="330" t="str" cm="1">
        <f t="array" ref="AN99">IF(tblPiNAnalysis[[#This Row],[Highest PiN]]=0, "",  IF(OR(COUNTIF(tblPiNAnalysis[[#This Row],[Highest sector(s)]],tblSubSectorPopulation[Sector])), "Flagged", ""))</f>
        <v/>
      </c>
      <c r="AO99" s="46" cm="1">
        <f t="array" ref="AO9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93800.145733472207</v>
      </c>
      <c r="AP99" s="331" t="str" cm="1">
        <f t="array" ref="AP99">IF(tblPiNAnalysis[[#This Row],[2nd Highest PiN]]="", "", _xlfn.TEXTJOIN(CHAR(10), TRUE, IF(tblPiNAnalysis[[#This Row],[2nd Highest PiN]]=tblPiNAnalysis[[#This Row],[CCCM]:[WASH]], tblPiNAnalysis[[#Headers],[CCCM]:[WASH]], "")))</f>
        <v>Food Security</v>
      </c>
      <c r="AQ99" s="36">
        <f>IFERROR(tblPiNAnalysis[[#This Row],[2nd Highest PiN]]/tblPiNAnalysis[[#This Row],[Affected population projection 2026]], "")</f>
        <v>0.73983352396591451</v>
      </c>
      <c r="AR99" s="46">
        <f>IFERROR(tblPiNAnalysis[[#This Row],[Highest PiN]]-tblPiNAnalysis[[#This Row],[2nd Highest PiN]], "")</f>
        <v>14431.358442079421</v>
      </c>
      <c r="AS99" s="39">
        <f>IFERROR(((tblPiNAnalysis[[#This Row],[Highest PiN]]-tblPiNAnalysis[[#This Row],[2nd Highest PiN]])/tblPiNAnalysis[[#This Row],[2nd Highest PiN]]),"")</f>
        <v>0.1538521963823522</v>
      </c>
      <c r="AT99" s="39" t="str" cm="1">
        <f t="array" ref="AT9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9" s="332" cm="1">
        <f t="array" ref="AU9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56927.12951178303</v>
      </c>
      <c r="AV99" s="190" t="str" cm="1">
        <f t="array" ref="AV99">IF(tblPiNAnalysis[[#This Row],[3rd Highest PiN]]="", "", _xlfn.TEXTJOIN(CHAR(10), TRUE, IF(tblPiNAnalysis[[#This Row],[3rd Highest PiN]]=tblPiNAnalysis[[#This Row],[CCCM]:[WASH]], tblPiNAnalysis[[#Headers],[CCCM]:[WASH]], "")))</f>
        <v>Health</v>
      </c>
      <c r="AW99" s="190">
        <f>IFERROR(tblPiNAnalysis[[#This Row],[3rd Highest PiN]]/tblPiNAnalysis[[#This Row],[Affected population projection 2026]], "")</f>
        <v>0.44900355438293638</v>
      </c>
      <c r="AX99" s="45">
        <f>IFERROR(tblPiNAnalysis[[#This Row],[Highest PiN]]-tblPiNAnalysis[[#This Row],[3rd Highest PiN]],"")</f>
        <v>51304.374663768598</v>
      </c>
      <c r="AY99" s="39">
        <f>IFERROR(tblPiNAnalysis[[#This Row],[Difference of PiN between Highest and 3rd Highest]]/tblPiNAnalysis[[#This Row],[3rd Highest PiN]], "")</f>
        <v>0.90122890621332652</v>
      </c>
      <c r="AZ99" s="330" t="str" cm="1">
        <f t="array" ref="AZ9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9" s="300" t="str" cm="1">
        <f t="array" ref="BA99">IFERROR(IF(tblPiNAnalysis[[#This Row],[ID]]="", "", INDEX(tblPiNHistorical[[CCCM]:[WASH]], MATCH(tblPiNAnalysis[[#This Row],[ID]],tblPiNHistorical[ID], 0),MATCH(_xlfn._xlws.FILTER(tblPiNAnalysis[[#Headers],[CCCM]:[WASH]], tblPiNAnalysis[[#This Row],[Highest PiN]]=tblPiNAnalysis[[#This Row],[CCCM]:[WASH]]), tblPiNHistorical[[#Headers],[CCCM]:[WASH]], 0))), "")</f>
        <v/>
      </c>
      <c r="BB99" s="333" t="str" cm="1">
        <f t="array" ref="BB9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9" s="276" t="str" cm="1">
        <f t="array" ref="BC99">IFERROR(IF(tblPiNAnalysis[[#This Row],[ID]]="", "", INDEX(tblPiNHistorical[[CCCM]:[WASH]], MATCH(tblPiNAnalysis[[#This Row],[ID]],tblPiNHistorical[ID], 0),MATCH(_xlfn._xlws.FILTER(tblPiNAnalysis[[#Headers],[CCCM]:[WASH]], tblPiNAnalysis[[#This Row],[2nd Highest PiN]]=tblPiNAnalysis[[#This Row],[CCCM]:[WASH]]), tblPiNHistorical[[#Headers],[CCCM]:[WASH]], 0))), "")</f>
        <v/>
      </c>
      <c r="BD99" s="334" t="str" cm="1">
        <f t="array" ref="BD9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9" s="276">
        <f>INDEX(tblSeverityAnalysis[Final Severity], MATCH(tblPiNAnalysis[[#This Row],[ID]],tblSeverityAnalysis[ID], 0))</f>
        <v>4</v>
      </c>
      <c r="BF99" s="61">
        <f>IF(tblPiNAnalysis[[#This Row],[Severity]]&gt;2,tblPiNAnalysis[[#This Row],[Highest PiN]],)</f>
        <v>108231.50417555163</v>
      </c>
      <c r="BG99" s="191"/>
      <c r="BH99" s="192"/>
      <c r="BI99" s="193">
        <f>COUNTIFS(tblPiNAnalysis[[#This Row],[Number of missing / zero PiNs greater than threshold - Data quality]:[Manual Flag]],"Flagged")</f>
        <v>1</v>
      </c>
      <c r="BJ99" s="96" t="str">
        <f>IF(tblPiNAnalysis[[#This Row],['# Flags]]&gt;0, "Flagged", "")</f>
        <v>Flagged</v>
      </c>
      <c r="BK99" s="326">
        <f>tblPiNAnalysis[[#This Row],[Preliminary PiN]]</f>
        <v>108231.50417555163</v>
      </c>
      <c r="BL99" s="331"/>
    </row>
    <row r="100" spans="1:64" x14ac:dyDescent="0.55000000000000004">
      <c r="A10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SS0303</v>
      </c>
      <c r="B100" s="316" t="s">
        <v>268</v>
      </c>
      <c r="C100" s="317" t="s">
        <v>269</v>
      </c>
      <c r="D100" s="317" t="s">
        <v>274</v>
      </c>
      <c r="E100" s="105" t="s">
        <v>275</v>
      </c>
      <c r="F100" s="100"/>
      <c r="G100" s="34"/>
      <c r="H100" s="34"/>
      <c r="I100" s="97">
        <v>191777.77641387403</v>
      </c>
      <c r="J100" s="97" t="s">
        <v>413</v>
      </c>
      <c r="K100" s="318"/>
      <c r="L100" s="319">
        <v>38783.219724177747</v>
      </c>
      <c r="M100" s="319">
        <v>96420.643217037126</v>
      </c>
      <c r="N100" s="319">
        <v>45820.494914653173</v>
      </c>
      <c r="O100" s="319">
        <v>106537.69719115124</v>
      </c>
      <c r="P100" s="319">
        <v>65882</v>
      </c>
      <c r="Q100" s="320">
        <v>157119.14212221006</v>
      </c>
      <c r="R100" s="319">
        <v>90561.72775099607</v>
      </c>
      <c r="S100" s="319">
        <v>27469</v>
      </c>
      <c r="T100" s="319">
        <v>15259</v>
      </c>
      <c r="U100" s="319">
        <v>19520</v>
      </c>
      <c r="V100" s="319">
        <v>3717</v>
      </c>
      <c r="W100" s="321" t="str">
        <f>IFERROR(IF(tblPiNAnalysis[[#This Row],[CCCM]]="", "", MROUND(tblPiNAnalysis[[#This Row],[CCCM]]/tblPiNAnalysis[[#This Row],[Affected population projection 2026]], 0.05)), "")</f>
        <v/>
      </c>
      <c r="X100" s="322">
        <f>IFERROR(IF(tblPiNAnalysis[[#This Row],[Education]]="", "", MROUND(tblPiNAnalysis[[#This Row],[Education]]/tblPiNAnalysis[[#This Row],[Affected population projection 2026]], 0.05)), "")</f>
        <v>0.2</v>
      </c>
      <c r="Y100" s="322">
        <f>IFERROR(IF(tblPiNAnalysis[[#This Row],[Nutrition]]="", "", MROUND(tblPiNAnalysis[[#This Row],[Nutrition]]/tblPiNAnalysis[[#This Row],[Affected population projection 2026]], 0.05)), "")</f>
        <v>0.5</v>
      </c>
      <c r="Z100" s="322">
        <f>IFERROR(IF(tblPiNAnalysis[[#This Row],[Food Security]]="", "", MROUND(tblPiNAnalysis[[#This Row],[Food Security]]/tblPiNAnalysis[[#This Row],[Affected population projection 2026]], 0.05)), "")</f>
        <v>0.25</v>
      </c>
      <c r="AA100" s="322">
        <f>IFERROR(IF(tblPiNAnalysis[[#This Row],[Health]]="", "", MROUND(tblPiNAnalysis[[#This Row],[Health]]/tblPiNAnalysis[[#This Row],[Affected population projection 2026]], 0.05)), "")</f>
        <v>0.55000000000000004</v>
      </c>
      <c r="AB100" s="323">
        <f>IFERROR(IF(tblPiNAnalysis[[#This Row],[Overarching Protection]]="", "", MROUND(tblPiNAnalysis[[#This Row],[Overarching Protection]]/tblPiNAnalysis[[#This Row],[Affected population projection 2026]], 0.05)), "")</f>
        <v>0.35000000000000003</v>
      </c>
      <c r="AC100" s="323">
        <f>IFERROR(IF(tblPiNAnalysis[[#This Row],[Shelter]]="", "", MROUND(tblPiNAnalysis[[#This Row],[Shelter]]/tblPiNAnalysis[[#This Row],[Affected population projection 2026]], 0.05)), "")</f>
        <v>0.8</v>
      </c>
      <c r="AD100" s="324">
        <f>IFERROR(IF(tblPiNAnalysis[[#This Row],[WASH]]="", "", MROUND(tblPiNAnalysis[[#This Row],[WASH]]/tblPiNAnalysis[[#This Row],[Affected population projection 2026]], 0.05)), "")</f>
        <v>0.45</v>
      </c>
      <c r="AE100" s="322">
        <f>IFERROR(MROUND(tblPiNAnalysis[[#This Row],[CP]]/tblPiNAnalysis[[#This Row],[Affected population projection 2026]], 0.05), "")</f>
        <v>0.15000000000000002</v>
      </c>
      <c r="AF100" s="322">
        <f>IFERROR(MROUND(tblPiNAnalysis[[#This Row],[GBV]]/tblPiNAnalysis[[#This Row],[Affected population projection 2026]], 0.05), "")</f>
        <v>0.1</v>
      </c>
      <c r="AG100" s="322">
        <f>IFERROR(MROUND(tblPiNAnalysis[[#This Row],[Mine Action]]/tblPiNAnalysis[[#This Row],[Affected population projection 2026]], 0.05), "")</f>
        <v>0.1</v>
      </c>
      <c r="AH100" s="322">
        <f>IFERROR(MROUND(tblPiNAnalysis[[#This Row],[HLP]]/tblPiNAnalysis[[#This Row],[Affected population projection 2026]], 0.05), "")</f>
        <v>0</v>
      </c>
      <c r="AI100" s="325">
        <f>IFERROR(LARGE(tblPiNAnalysis[[#This Row],[CCCM]:[WASH]], 1), "")</f>
        <v>157119.14212221006</v>
      </c>
      <c r="AJ100" s="326" t="str" cm="1">
        <f t="array" ref="AJ100">IF(tblPiNAnalysis[[#This Row],[Highest PiN]]="", "", _xlfn.TEXTJOIN(CHAR(10), TRUE, IF(tblPiNAnalysis[[#This Row],[Highest PiN]]=tblPiNAnalysis[[#This Row],[CCCM]:[WASH]], tblPiNAnalysis[[#Headers],[CCCM]:[WASH]], "")))</f>
        <v>Shelter</v>
      </c>
      <c r="AK100" s="327">
        <f>IF(tblPiNAnalysis[[#This Row],[Highest PiN]]="", "", tblPiNAnalysis[[#This Row],[Highest PiN]]/tblPiNAnalysis[[#This Row],[Affected population projection 2026]])</f>
        <v>0.81927710843373502</v>
      </c>
      <c r="AL100" s="328" t="str">
        <f>IF(SUM(tblPiNAnalysis[[#This Row],[CCCM]:[WASH]])=0, "",IF(COUNTIF(tblPiNAnalysis[[#This Row],[CCCM]:[WASH]],"=0")+COUNTIF(tblPiNAnalysis[[#This Row],[CCCM]:[WASH]],"")&gt;=zero_pin_thresh, "Flagged", ""))</f>
        <v/>
      </c>
      <c r="AM100" s="329" t="str">
        <f>IFERROR(IF(tblPiNAnalysis[[#This Row],[Highest PiN]]="", "", IF(tblPiNAnalysis[[#This Row],[Highest sector(s'') PiN %]]&gt;=flag_pin_perc, "Flagged", "")), "")</f>
        <v/>
      </c>
      <c r="AN100" s="330" t="str" cm="1">
        <f t="array" ref="AN100">IF(tblPiNAnalysis[[#This Row],[Highest PiN]]=0, "",  IF(OR(COUNTIF(tblPiNAnalysis[[#This Row],[Highest sector(s)]],tblSubSectorPopulation[Sector])), "Flagged", ""))</f>
        <v/>
      </c>
      <c r="AO100" s="46" cm="1">
        <f t="array" ref="AO10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106537.69719115124</v>
      </c>
      <c r="AP100" s="331" t="str" cm="1">
        <f t="array" ref="AP100">IF(tblPiNAnalysis[[#This Row],[2nd Highest PiN]]="", "", _xlfn.TEXTJOIN(CHAR(10), TRUE, IF(tblPiNAnalysis[[#This Row],[2nd Highest PiN]]=tblPiNAnalysis[[#This Row],[CCCM]:[WASH]], tblPiNAnalysis[[#Headers],[CCCM]:[WASH]], "")))</f>
        <v>Health</v>
      </c>
      <c r="AQ100" s="36">
        <f>IFERROR(tblPiNAnalysis[[#This Row],[2nd Highest PiN]]/tblPiNAnalysis[[#This Row],[Affected population projection 2026]], "")</f>
        <v>0.55552681433344553</v>
      </c>
      <c r="AR100" s="46">
        <f>IFERROR(tblPiNAnalysis[[#This Row],[Highest PiN]]-tblPiNAnalysis[[#This Row],[2nd Highest PiN]], "")</f>
        <v>50581.444931058824</v>
      </c>
      <c r="AS100" s="39">
        <f>IFERROR(((tblPiNAnalysis[[#This Row],[Highest PiN]]-tblPiNAnalysis[[#This Row],[2nd Highest PiN]])/tblPiNAnalysis[[#This Row],[2nd Highest PiN]]),"")</f>
        <v>0.47477509148996322</v>
      </c>
      <c r="AT100" s="39" t="str" cm="1">
        <f t="array" ref="AT10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0" s="332" cm="1">
        <f t="array" ref="AU10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96420.643217037126</v>
      </c>
      <c r="AV100" s="190" t="str" cm="1">
        <f t="array" ref="AV100">IF(tblPiNAnalysis[[#This Row],[3rd Highest PiN]]="", "", _xlfn.TEXTJOIN(CHAR(10), TRUE, IF(tblPiNAnalysis[[#This Row],[3rd Highest PiN]]=tblPiNAnalysis[[#This Row],[CCCM]:[WASH]], tblPiNAnalysis[[#Headers],[CCCM]:[WASH]], "")))</f>
        <v>Nutrition</v>
      </c>
      <c r="AW100" s="190">
        <f>IFERROR(tblPiNAnalysis[[#This Row],[3rd Highest PiN]]/tblPiNAnalysis[[#This Row],[Affected population projection 2026]], "")</f>
        <v>0.50277276658455217</v>
      </c>
      <c r="AX100" s="45">
        <f>IFERROR(tblPiNAnalysis[[#This Row],[Highest PiN]]-tblPiNAnalysis[[#This Row],[3rd Highest PiN]],"")</f>
        <v>60698.498905172935</v>
      </c>
      <c r="AY100" s="39">
        <f>IFERROR(tblPiNAnalysis[[#This Row],[Difference of PiN between Highest and 3rd Highest]]/tblPiNAnalysis[[#This Row],[3rd Highest PiN]], "")</f>
        <v>0.6295176725646211</v>
      </c>
      <c r="AZ100" s="330" t="str" cm="1">
        <f t="array" ref="AZ10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0" s="300" t="str" cm="1">
        <f t="array" ref="BA100">IFERROR(IF(tblPiNAnalysis[[#This Row],[ID]]="", "", INDEX(tblPiNHistorical[[CCCM]:[WASH]], MATCH(tblPiNAnalysis[[#This Row],[ID]],tblPiNHistorical[ID], 0),MATCH(_xlfn._xlws.FILTER(tblPiNAnalysis[[#Headers],[CCCM]:[WASH]], tblPiNAnalysis[[#This Row],[Highest PiN]]=tblPiNAnalysis[[#This Row],[CCCM]:[WASH]]), tblPiNHistorical[[#Headers],[CCCM]:[WASH]], 0))), "")</f>
        <v/>
      </c>
      <c r="BB100" s="333" t="str" cm="1">
        <f t="array" ref="BB10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0" s="276" t="str" cm="1">
        <f t="array" ref="BC10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0" s="334" t="str" cm="1">
        <f t="array" ref="BD10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0" s="276">
        <f>INDEX(tblSeverityAnalysis[Final Severity], MATCH(tblPiNAnalysis[[#This Row],[ID]],tblSeverityAnalysis[ID], 0))</f>
        <v>3</v>
      </c>
      <c r="BF100" s="61">
        <f>IF(tblPiNAnalysis[[#This Row],[Severity]]&gt;2,tblPiNAnalysis[[#This Row],[Highest PiN]],)</f>
        <v>157119.14212221006</v>
      </c>
      <c r="BG100" s="191"/>
      <c r="BH100" s="192"/>
      <c r="BI100" s="193">
        <f>COUNTIFS(tblPiNAnalysis[[#This Row],[Number of missing / zero PiNs greater than threshold - Data quality]:[Manual Flag]],"Flagged")</f>
        <v>2</v>
      </c>
      <c r="BJ100" s="96" t="str">
        <f>IF(tblPiNAnalysis[[#This Row],['# Flags]]&gt;0, "Flagged", "")</f>
        <v>Flagged</v>
      </c>
      <c r="BK100" s="326">
        <f>tblPiNAnalysis[[#This Row],[Preliminary PiN]]</f>
        <v>157119.14212221006</v>
      </c>
      <c r="BL100" s="331"/>
    </row>
    <row r="101" spans="1:64" x14ac:dyDescent="0.55000000000000004">
      <c r="A10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SS0304</v>
      </c>
      <c r="B101" s="316" t="s">
        <v>268</v>
      </c>
      <c r="C101" s="317" t="s">
        <v>269</v>
      </c>
      <c r="D101" s="317" t="s">
        <v>276</v>
      </c>
      <c r="E101" s="105" t="s">
        <v>277</v>
      </c>
      <c r="F101" s="100"/>
      <c r="G101" s="34"/>
      <c r="H101" s="34"/>
      <c r="I101" s="97">
        <v>32762.733973342118</v>
      </c>
      <c r="J101" s="97" t="s">
        <v>413</v>
      </c>
      <c r="K101" s="318"/>
      <c r="L101" s="319">
        <v>4590.8780980145648</v>
      </c>
      <c r="M101" s="319">
        <v>16245.83624605341</v>
      </c>
      <c r="N101" s="319">
        <v>28785.298326178607</v>
      </c>
      <c r="O101" s="319">
        <v>24135.055253750837</v>
      </c>
      <c r="P101" s="319">
        <v>11168</v>
      </c>
      <c r="Q101" s="320">
        <v>25482.126423710535</v>
      </c>
      <c r="R101" s="319">
        <v>31549.299381736855</v>
      </c>
      <c r="S101" s="319">
        <v>4440</v>
      </c>
      <c r="T101" s="319">
        <v>6210</v>
      </c>
      <c r="U101" s="319">
        <v>7925</v>
      </c>
      <c r="V101" s="319">
        <v>631</v>
      </c>
      <c r="W101" s="321" t="str">
        <f>IFERROR(IF(tblPiNAnalysis[[#This Row],[CCCM]]="", "", MROUND(tblPiNAnalysis[[#This Row],[CCCM]]/tblPiNAnalysis[[#This Row],[Affected population projection 2026]], 0.05)), "")</f>
        <v/>
      </c>
      <c r="X101" s="322">
        <f>IFERROR(IF(tblPiNAnalysis[[#This Row],[Education]]="", "", MROUND(tblPiNAnalysis[[#This Row],[Education]]/tblPiNAnalysis[[#This Row],[Affected population projection 2026]], 0.05)), "")</f>
        <v>0.15000000000000002</v>
      </c>
      <c r="Y101" s="322">
        <f>IFERROR(IF(tblPiNAnalysis[[#This Row],[Nutrition]]="", "", MROUND(tblPiNAnalysis[[#This Row],[Nutrition]]/tblPiNAnalysis[[#This Row],[Affected population projection 2026]], 0.05)), "")</f>
        <v>0.5</v>
      </c>
      <c r="Z101" s="322">
        <f>IFERROR(IF(tblPiNAnalysis[[#This Row],[Food Security]]="", "", MROUND(tblPiNAnalysis[[#This Row],[Food Security]]/tblPiNAnalysis[[#This Row],[Affected population projection 2026]], 0.05)), "")</f>
        <v>0.9</v>
      </c>
      <c r="AA101" s="322">
        <f>IFERROR(IF(tblPiNAnalysis[[#This Row],[Health]]="", "", MROUND(tblPiNAnalysis[[#This Row],[Health]]/tblPiNAnalysis[[#This Row],[Affected population projection 2026]], 0.05)), "")</f>
        <v>0.75</v>
      </c>
      <c r="AB101" s="323">
        <f>IFERROR(IF(tblPiNAnalysis[[#This Row],[Overarching Protection]]="", "", MROUND(tblPiNAnalysis[[#This Row],[Overarching Protection]]/tblPiNAnalysis[[#This Row],[Affected population projection 2026]], 0.05)), "")</f>
        <v>0.35000000000000003</v>
      </c>
      <c r="AC101" s="323">
        <f>IFERROR(IF(tblPiNAnalysis[[#This Row],[Shelter]]="", "", MROUND(tblPiNAnalysis[[#This Row],[Shelter]]/tblPiNAnalysis[[#This Row],[Affected population projection 2026]], 0.05)), "")</f>
        <v>0.8</v>
      </c>
      <c r="AD101" s="324">
        <f>IFERROR(IF(tblPiNAnalysis[[#This Row],[WASH]]="", "", MROUND(tblPiNAnalysis[[#This Row],[WASH]]/tblPiNAnalysis[[#This Row],[Affected population projection 2026]], 0.05)), "")</f>
        <v>0.95000000000000007</v>
      </c>
      <c r="AE101" s="322">
        <f>IFERROR(MROUND(tblPiNAnalysis[[#This Row],[CP]]/tblPiNAnalysis[[#This Row],[Affected population projection 2026]], 0.05), "")</f>
        <v>0.15000000000000002</v>
      </c>
      <c r="AF101" s="322">
        <f>IFERROR(MROUND(tblPiNAnalysis[[#This Row],[GBV]]/tblPiNAnalysis[[#This Row],[Affected population projection 2026]], 0.05), "")</f>
        <v>0.2</v>
      </c>
      <c r="AG101" s="322">
        <f>IFERROR(MROUND(tblPiNAnalysis[[#This Row],[Mine Action]]/tblPiNAnalysis[[#This Row],[Affected population projection 2026]], 0.05), "")</f>
        <v>0.25</v>
      </c>
      <c r="AH101" s="322">
        <f>IFERROR(MROUND(tblPiNAnalysis[[#This Row],[HLP]]/tblPiNAnalysis[[#This Row],[Affected population projection 2026]], 0.05), "")</f>
        <v>0</v>
      </c>
      <c r="AI101" s="325">
        <f>IFERROR(LARGE(tblPiNAnalysis[[#This Row],[CCCM]:[WASH]], 1), "")</f>
        <v>31549.299381736855</v>
      </c>
      <c r="AJ101" s="326" t="str" cm="1">
        <f t="array" ref="AJ101">IF(tblPiNAnalysis[[#This Row],[Highest PiN]]="", "", _xlfn.TEXTJOIN(CHAR(10), TRUE, IF(tblPiNAnalysis[[#This Row],[Highest PiN]]=tblPiNAnalysis[[#This Row],[CCCM]:[WASH]], tblPiNAnalysis[[#Headers],[CCCM]:[WASH]], "")))</f>
        <v>WASH</v>
      </c>
      <c r="AK101" s="327">
        <f>IF(tblPiNAnalysis[[#This Row],[Highest PiN]]="", "", tblPiNAnalysis[[#This Row],[Highest PiN]]/tblPiNAnalysis[[#This Row],[Affected population projection 2026]])</f>
        <v>0.96296296296296302</v>
      </c>
      <c r="AL101" s="328" t="str">
        <f>IF(SUM(tblPiNAnalysis[[#This Row],[CCCM]:[WASH]])=0, "",IF(COUNTIF(tblPiNAnalysis[[#This Row],[CCCM]:[WASH]],"=0")+COUNTIF(tblPiNAnalysis[[#This Row],[CCCM]:[WASH]],"")&gt;=zero_pin_thresh, "Flagged", ""))</f>
        <v/>
      </c>
      <c r="AM101" s="329" t="str">
        <f>IFERROR(IF(tblPiNAnalysis[[#This Row],[Highest PiN]]="", "", IF(tblPiNAnalysis[[#This Row],[Highest sector(s'') PiN %]]&gt;=flag_pin_perc, "Flagged", "")), "")</f>
        <v>Flagged</v>
      </c>
      <c r="AN101" s="330" t="str" cm="1">
        <f t="array" ref="AN101">IF(tblPiNAnalysis[[#This Row],[Highest PiN]]=0, "",  IF(OR(COUNTIF(tblPiNAnalysis[[#This Row],[Highest sector(s)]],tblSubSectorPopulation[Sector])), "Flagged", ""))</f>
        <v/>
      </c>
      <c r="AO101" s="46" cm="1">
        <f t="array" ref="AO10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28785.298326178607</v>
      </c>
      <c r="AP101" s="331" t="str" cm="1">
        <f t="array" ref="AP101">IF(tblPiNAnalysis[[#This Row],[2nd Highest PiN]]="", "", _xlfn.TEXTJOIN(CHAR(10), TRUE, IF(tblPiNAnalysis[[#This Row],[2nd Highest PiN]]=tblPiNAnalysis[[#This Row],[CCCM]:[WASH]], tblPiNAnalysis[[#Headers],[CCCM]:[WASH]], "")))</f>
        <v>Food Security</v>
      </c>
      <c r="AQ101" s="36">
        <f>IFERROR(tblPiNAnalysis[[#This Row],[2nd Highest PiN]]/tblPiNAnalysis[[#This Row],[Affected population projection 2026]], "")</f>
        <v>0.8785987869510582</v>
      </c>
      <c r="AR101" s="46">
        <f>IFERROR(tblPiNAnalysis[[#This Row],[Highest PiN]]-tblPiNAnalysis[[#This Row],[2nd Highest PiN]], "")</f>
        <v>2764.0010555582485</v>
      </c>
      <c r="AS101" s="39">
        <f>IFERROR(((tblPiNAnalysis[[#This Row],[Highest PiN]]-tblPiNAnalysis[[#This Row],[2nd Highest PiN]])/tblPiNAnalysis[[#This Row],[2nd Highest PiN]]),"")</f>
        <v>9.602127531346602E-2</v>
      </c>
      <c r="AT101" s="39" t="str" cm="1">
        <f t="array" ref="AT10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1" s="332" cm="1">
        <f t="array" ref="AU10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25482.126423710535</v>
      </c>
      <c r="AV101" s="190" t="str" cm="1">
        <f t="array" ref="AV101">IF(tblPiNAnalysis[[#This Row],[3rd Highest PiN]]="", "", _xlfn.TEXTJOIN(CHAR(10), TRUE, IF(tblPiNAnalysis[[#This Row],[3rd Highest PiN]]=tblPiNAnalysis[[#This Row],[CCCM]:[WASH]], tblPiNAnalysis[[#Headers],[CCCM]:[WASH]], "")))</f>
        <v>Shelter</v>
      </c>
      <c r="AW101" s="190">
        <f>IFERROR(tblPiNAnalysis[[#This Row],[3rd Highest PiN]]/tblPiNAnalysis[[#This Row],[Affected population projection 2026]], "")</f>
        <v>0.77777777777777779</v>
      </c>
      <c r="AX101" s="45">
        <f>IFERROR(tblPiNAnalysis[[#This Row],[Highest PiN]]-tblPiNAnalysis[[#This Row],[3rd Highest PiN]],"")</f>
        <v>6067.17295802632</v>
      </c>
      <c r="AY101" s="39">
        <f>IFERROR(tblPiNAnalysis[[#This Row],[Difference of PiN between Highest and 3rd Highest]]/tblPiNAnalysis[[#This Row],[3rd Highest PiN]], "")</f>
        <v>0.23809523809523817</v>
      </c>
      <c r="AZ101" s="330" t="str" cm="1">
        <f t="array" ref="AZ10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1" s="300" t="str" cm="1">
        <f t="array" ref="BA101">IFERROR(IF(tblPiNAnalysis[[#This Row],[ID]]="", "", INDEX(tblPiNHistorical[[CCCM]:[WASH]], MATCH(tblPiNAnalysis[[#This Row],[ID]],tblPiNHistorical[ID], 0),MATCH(_xlfn._xlws.FILTER(tblPiNAnalysis[[#Headers],[CCCM]:[WASH]], tblPiNAnalysis[[#This Row],[Highest PiN]]=tblPiNAnalysis[[#This Row],[CCCM]:[WASH]]), tblPiNHistorical[[#Headers],[CCCM]:[WASH]], 0))), "")</f>
        <v/>
      </c>
      <c r="BB101" s="333" t="str" cm="1">
        <f t="array" ref="BB10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1" s="276" t="str" cm="1">
        <f t="array" ref="BC10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1" s="334" t="str" cm="1">
        <f t="array" ref="BD10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1" s="276">
        <f>INDEX(tblSeverityAnalysis[Final Severity], MATCH(tblPiNAnalysis[[#This Row],[ID]],tblSeverityAnalysis[ID], 0))</f>
        <v>4</v>
      </c>
      <c r="BF101" s="61">
        <f>IF(tblPiNAnalysis[[#This Row],[Severity]]&gt;2,tblPiNAnalysis[[#This Row],[Highest PiN]],)</f>
        <v>31549.299381736855</v>
      </c>
      <c r="BG101" s="191"/>
      <c r="BH101" s="192"/>
      <c r="BI101" s="193">
        <f>COUNTIFS(tblPiNAnalysis[[#This Row],[Number of missing / zero PiNs greater than threshold - Data quality]:[Manual Flag]],"Flagged")</f>
        <v>1</v>
      </c>
      <c r="BJ101" s="96" t="str">
        <f>IF(tblPiNAnalysis[[#This Row],['# Flags]]&gt;0, "Flagged", "")</f>
        <v>Flagged</v>
      </c>
      <c r="BK101" s="326">
        <f>tblPiNAnalysis[[#This Row],[Preliminary PiN]]</f>
        <v>31549.299381736855</v>
      </c>
      <c r="BL101" s="331"/>
    </row>
    <row r="102" spans="1:64" x14ac:dyDescent="0.55000000000000004">
      <c r="A10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SS0305</v>
      </c>
      <c r="B102" s="316" t="s">
        <v>268</v>
      </c>
      <c r="C102" s="317" t="s">
        <v>269</v>
      </c>
      <c r="D102" s="317" t="s">
        <v>278</v>
      </c>
      <c r="E102" s="105" t="s">
        <v>279</v>
      </c>
      <c r="F102" s="100"/>
      <c r="G102" s="34"/>
      <c r="H102" s="34"/>
      <c r="I102" s="97">
        <v>95901.718428606313</v>
      </c>
      <c r="J102" s="97" t="s">
        <v>413</v>
      </c>
      <c r="K102" s="318"/>
      <c r="L102" s="319">
        <v>10794.697426323926</v>
      </c>
      <c r="M102" s="319">
        <v>47590.815393860707</v>
      </c>
      <c r="N102" s="319">
        <v>66895.029767823638</v>
      </c>
      <c r="O102" s="319">
        <v>63790.367415290682</v>
      </c>
      <c r="P102" s="319">
        <v>32952</v>
      </c>
      <c r="Q102" s="320">
        <v>90800.563193042151</v>
      </c>
      <c r="R102" s="319">
        <v>45286.922591286311</v>
      </c>
      <c r="S102" s="319">
        <v>13326</v>
      </c>
      <c r="T102" s="319">
        <v>20357</v>
      </c>
      <c r="U102" s="319">
        <v>10103</v>
      </c>
      <c r="V102" s="319">
        <v>1978</v>
      </c>
      <c r="W102" s="321" t="str">
        <f>IFERROR(IF(tblPiNAnalysis[[#This Row],[CCCM]]="", "", MROUND(tblPiNAnalysis[[#This Row],[CCCM]]/tblPiNAnalysis[[#This Row],[Affected population projection 2026]], 0.05)), "")</f>
        <v/>
      </c>
      <c r="X102" s="322">
        <f>IFERROR(IF(tblPiNAnalysis[[#This Row],[Education]]="", "", MROUND(tblPiNAnalysis[[#This Row],[Education]]/tblPiNAnalysis[[#This Row],[Affected population projection 2026]], 0.05)), "")</f>
        <v>0.1</v>
      </c>
      <c r="Y102" s="322">
        <f>IFERROR(IF(tblPiNAnalysis[[#This Row],[Nutrition]]="", "", MROUND(tblPiNAnalysis[[#This Row],[Nutrition]]/tblPiNAnalysis[[#This Row],[Affected population projection 2026]], 0.05)), "")</f>
        <v>0.5</v>
      </c>
      <c r="Z102" s="322">
        <f>IFERROR(IF(tblPiNAnalysis[[#This Row],[Food Security]]="", "", MROUND(tblPiNAnalysis[[#This Row],[Food Security]]/tblPiNAnalysis[[#This Row],[Affected population projection 2026]], 0.05)), "")</f>
        <v>0.70000000000000007</v>
      </c>
      <c r="AA102" s="322">
        <f>IFERROR(IF(tblPiNAnalysis[[#This Row],[Health]]="", "", MROUND(tblPiNAnalysis[[#This Row],[Health]]/tblPiNAnalysis[[#This Row],[Affected population projection 2026]], 0.05)), "")</f>
        <v>0.65</v>
      </c>
      <c r="AB102" s="323">
        <f>IFERROR(IF(tblPiNAnalysis[[#This Row],[Overarching Protection]]="", "", MROUND(tblPiNAnalysis[[#This Row],[Overarching Protection]]/tblPiNAnalysis[[#This Row],[Affected population projection 2026]], 0.05)), "")</f>
        <v>0.35000000000000003</v>
      </c>
      <c r="AC102" s="323">
        <f>IFERROR(IF(tblPiNAnalysis[[#This Row],[Shelter]]="", "", MROUND(tblPiNAnalysis[[#This Row],[Shelter]]/tblPiNAnalysis[[#This Row],[Affected population projection 2026]], 0.05)), "")</f>
        <v>0.95000000000000007</v>
      </c>
      <c r="AD102" s="324">
        <f>IFERROR(IF(tblPiNAnalysis[[#This Row],[WASH]]="", "", MROUND(tblPiNAnalysis[[#This Row],[WASH]]/tblPiNAnalysis[[#This Row],[Affected population projection 2026]], 0.05)), "")</f>
        <v>0.45</v>
      </c>
      <c r="AE102" s="322">
        <f>IFERROR(MROUND(tblPiNAnalysis[[#This Row],[CP]]/tblPiNAnalysis[[#This Row],[Affected population projection 2026]], 0.05), "")</f>
        <v>0.15000000000000002</v>
      </c>
      <c r="AF102" s="322">
        <f>IFERROR(MROUND(tblPiNAnalysis[[#This Row],[GBV]]/tblPiNAnalysis[[#This Row],[Affected population projection 2026]], 0.05), "")</f>
        <v>0.2</v>
      </c>
      <c r="AG102" s="322">
        <f>IFERROR(MROUND(tblPiNAnalysis[[#This Row],[Mine Action]]/tblPiNAnalysis[[#This Row],[Affected population projection 2026]], 0.05), "")</f>
        <v>0.1</v>
      </c>
      <c r="AH102" s="322">
        <f>IFERROR(MROUND(tblPiNAnalysis[[#This Row],[HLP]]/tblPiNAnalysis[[#This Row],[Affected population projection 2026]], 0.05), "")</f>
        <v>0</v>
      </c>
      <c r="AI102" s="325">
        <f>IFERROR(LARGE(tblPiNAnalysis[[#This Row],[CCCM]:[WASH]], 1), "")</f>
        <v>90800.563193042151</v>
      </c>
      <c r="AJ102" s="326" t="str" cm="1">
        <f t="array" ref="AJ102">IF(tblPiNAnalysis[[#This Row],[Highest PiN]]="", "", _xlfn.TEXTJOIN(CHAR(10), TRUE, IF(tblPiNAnalysis[[#This Row],[Highest PiN]]=tblPiNAnalysis[[#This Row],[CCCM]:[WASH]], tblPiNAnalysis[[#Headers],[CCCM]:[WASH]], "")))</f>
        <v>Shelter</v>
      </c>
      <c r="AK102" s="327">
        <f>IF(tblPiNAnalysis[[#This Row],[Highest PiN]]="", "", tblPiNAnalysis[[#This Row],[Highest PiN]]/tblPiNAnalysis[[#This Row],[Affected population projection 2026]])</f>
        <v>0.94680851063829796</v>
      </c>
      <c r="AL102" s="328" t="str">
        <f>IF(SUM(tblPiNAnalysis[[#This Row],[CCCM]:[WASH]])=0, "",IF(COUNTIF(tblPiNAnalysis[[#This Row],[CCCM]:[WASH]],"=0")+COUNTIF(tblPiNAnalysis[[#This Row],[CCCM]:[WASH]],"")&gt;=zero_pin_thresh, "Flagged", ""))</f>
        <v/>
      </c>
      <c r="AM102" s="329" t="str">
        <f>IFERROR(IF(tblPiNAnalysis[[#This Row],[Highest PiN]]="", "", IF(tblPiNAnalysis[[#This Row],[Highest sector(s'') PiN %]]&gt;=flag_pin_perc, "Flagged", "")), "")</f>
        <v>Flagged</v>
      </c>
      <c r="AN102" s="330" t="str" cm="1">
        <f t="array" ref="AN102">IF(tblPiNAnalysis[[#This Row],[Highest PiN]]=0, "",  IF(OR(COUNTIF(tblPiNAnalysis[[#This Row],[Highest sector(s)]],tblSubSectorPopulation[Sector])), "Flagged", ""))</f>
        <v/>
      </c>
      <c r="AO102" s="46" cm="1">
        <f t="array" ref="AO10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66895.029767823638</v>
      </c>
      <c r="AP102" s="331" t="str" cm="1">
        <f t="array" ref="AP102">IF(tblPiNAnalysis[[#This Row],[2nd Highest PiN]]="", "", _xlfn.TEXTJOIN(CHAR(10), TRUE, IF(tblPiNAnalysis[[#This Row],[2nd Highest PiN]]=tblPiNAnalysis[[#This Row],[CCCM]:[WASH]], tblPiNAnalysis[[#Headers],[CCCM]:[WASH]], "")))</f>
        <v>Food Security</v>
      </c>
      <c r="AQ102" s="36">
        <f>IFERROR(tblPiNAnalysis[[#This Row],[2nd Highest PiN]]/tblPiNAnalysis[[#This Row],[Affected population projection 2026]], "")</f>
        <v>0.6975373420198242</v>
      </c>
      <c r="AR102" s="46">
        <f>IFERROR(tblPiNAnalysis[[#This Row],[Highest PiN]]-tblPiNAnalysis[[#This Row],[2nd Highest PiN]], "")</f>
        <v>23905.533425218513</v>
      </c>
      <c r="AS102" s="39">
        <f>IFERROR(((tblPiNAnalysis[[#This Row],[Highest PiN]]-tblPiNAnalysis[[#This Row],[2nd Highest PiN]])/tblPiNAnalysis[[#This Row],[2nd Highest PiN]]),"")</f>
        <v>0.35735888762122986</v>
      </c>
      <c r="AT102" s="39" t="str" cm="1">
        <f t="array" ref="AT10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2" s="332" cm="1">
        <f t="array" ref="AU10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63790.367415290682</v>
      </c>
      <c r="AV102" s="190" t="str" cm="1">
        <f t="array" ref="AV102">IF(tblPiNAnalysis[[#This Row],[3rd Highest PiN]]="", "", _xlfn.TEXTJOIN(CHAR(10), TRUE, IF(tblPiNAnalysis[[#This Row],[3rd Highest PiN]]=tblPiNAnalysis[[#This Row],[CCCM]:[WASH]], tblPiNAnalysis[[#Headers],[CCCM]:[WASH]], "")))</f>
        <v>Health</v>
      </c>
      <c r="AW102" s="190">
        <f>IFERROR(tblPiNAnalysis[[#This Row],[3rd Highest PiN]]/tblPiNAnalysis[[#This Row],[Affected population projection 2026]], "")</f>
        <v>0.66516396640774678</v>
      </c>
      <c r="AX102" s="45">
        <f>IFERROR(tblPiNAnalysis[[#This Row],[Highest PiN]]-tblPiNAnalysis[[#This Row],[3rd Highest PiN]],"")</f>
        <v>27010.195777751469</v>
      </c>
      <c r="AY102" s="39">
        <f>IFERROR(tblPiNAnalysis[[#This Row],[Difference of PiN between Highest and 3rd Highest]]/tblPiNAnalysis[[#This Row],[3rd Highest PiN]], "")</f>
        <v>0.42342122913179941</v>
      </c>
      <c r="AZ102" s="330" t="str" cm="1">
        <f t="array" ref="AZ10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2" s="300" t="str" cm="1">
        <f t="array" ref="BA102">IFERROR(IF(tblPiNAnalysis[[#This Row],[ID]]="", "", INDEX(tblPiNHistorical[[CCCM]:[WASH]], MATCH(tblPiNAnalysis[[#This Row],[ID]],tblPiNHistorical[ID], 0),MATCH(_xlfn._xlws.FILTER(tblPiNAnalysis[[#Headers],[CCCM]:[WASH]], tblPiNAnalysis[[#This Row],[Highest PiN]]=tblPiNAnalysis[[#This Row],[CCCM]:[WASH]]), tblPiNHistorical[[#Headers],[CCCM]:[WASH]], 0))), "")</f>
        <v/>
      </c>
      <c r="BB102" s="333" t="str" cm="1">
        <f t="array" ref="BB10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2" s="276" t="str" cm="1">
        <f t="array" ref="BC10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2" s="334" t="str" cm="1">
        <f t="array" ref="BD10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2" s="276">
        <f>INDEX(tblSeverityAnalysis[Final Severity], MATCH(tblPiNAnalysis[[#This Row],[ID]],tblSeverityAnalysis[ID], 0))</f>
        <v>4</v>
      </c>
      <c r="BF102" s="61">
        <f>IF(tblPiNAnalysis[[#This Row],[Severity]]&gt;2,tblPiNAnalysis[[#This Row],[Highest PiN]],)</f>
        <v>90800.563193042151</v>
      </c>
      <c r="BG102" s="191"/>
      <c r="BH102" s="192"/>
      <c r="BI102" s="193">
        <f>COUNTIFS(tblPiNAnalysis[[#This Row],[Number of missing / zero PiNs greater than threshold - Data quality]:[Manual Flag]],"Flagged")</f>
        <v>2</v>
      </c>
      <c r="BJ102" s="96" t="str">
        <f>IF(tblPiNAnalysis[[#This Row],['# Flags]]&gt;0, "Flagged", "")</f>
        <v>Flagged</v>
      </c>
      <c r="BK102" s="326">
        <f>tblPiNAnalysis[[#This Row],[Preliminary PiN]]</f>
        <v>90800.563193042151</v>
      </c>
      <c r="BL102" s="331"/>
    </row>
    <row r="103" spans="1:64" x14ac:dyDescent="0.55000000000000004">
      <c r="A10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SS0306</v>
      </c>
      <c r="B103" s="316" t="s">
        <v>268</v>
      </c>
      <c r="C103" s="317" t="s">
        <v>269</v>
      </c>
      <c r="D103" s="317" t="s">
        <v>280</v>
      </c>
      <c r="E103" s="105" t="s">
        <v>281</v>
      </c>
      <c r="F103" s="100"/>
      <c r="G103" s="34"/>
      <c r="H103" s="34"/>
      <c r="I103" s="97">
        <v>57313.644275077953</v>
      </c>
      <c r="J103" s="97" t="s">
        <v>413</v>
      </c>
      <c r="K103" s="318"/>
      <c r="L103" s="319">
        <v>13139.840713792923</v>
      </c>
      <c r="M103" s="319">
        <v>25342.82396965627</v>
      </c>
      <c r="N103" s="319">
        <v>49721.189721641669</v>
      </c>
      <c r="O103" s="319">
        <v>37328.895143262234</v>
      </c>
      <c r="P103" s="319">
        <v>20380</v>
      </c>
      <c r="Q103" s="320">
        <v>30861.193071195819</v>
      </c>
      <c r="R103" s="319">
        <v>45107.960772052087</v>
      </c>
      <c r="S103" s="319">
        <v>18114</v>
      </c>
      <c r="T103" s="319">
        <v>8849</v>
      </c>
      <c r="U103" s="319">
        <v>15142</v>
      </c>
      <c r="V103" s="319">
        <v>1252</v>
      </c>
      <c r="W103" s="321" t="str">
        <f>IFERROR(IF(tblPiNAnalysis[[#This Row],[CCCM]]="", "", MROUND(tblPiNAnalysis[[#This Row],[CCCM]]/tblPiNAnalysis[[#This Row],[Affected population projection 2026]], 0.05)), "")</f>
        <v/>
      </c>
      <c r="X103" s="322">
        <f>IFERROR(IF(tblPiNAnalysis[[#This Row],[Education]]="", "", MROUND(tblPiNAnalysis[[#This Row],[Education]]/tblPiNAnalysis[[#This Row],[Affected population projection 2026]], 0.05)), "")</f>
        <v>0.25</v>
      </c>
      <c r="Y103" s="322">
        <f>IFERROR(IF(tblPiNAnalysis[[#This Row],[Nutrition]]="", "", MROUND(tblPiNAnalysis[[#This Row],[Nutrition]]/tblPiNAnalysis[[#This Row],[Affected population projection 2026]], 0.05)), "")</f>
        <v>0.45</v>
      </c>
      <c r="Z103" s="322">
        <f>IFERROR(IF(tblPiNAnalysis[[#This Row],[Food Security]]="", "", MROUND(tblPiNAnalysis[[#This Row],[Food Security]]/tblPiNAnalysis[[#This Row],[Affected population projection 2026]], 0.05)), "")</f>
        <v>0.85000000000000009</v>
      </c>
      <c r="AA103" s="322">
        <f>IFERROR(IF(tblPiNAnalysis[[#This Row],[Health]]="", "", MROUND(tblPiNAnalysis[[#This Row],[Health]]/tblPiNAnalysis[[#This Row],[Affected population projection 2026]], 0.05)), "")</f>
        <v>0.65</v>
      </c>
      <c r="AB103" s="323">
        <f>IFERROR(IF(tblPiNAnalysis[[#This Row],[Overarching Protection]]="", "", MROUND(tblPiNAnalysis[[#This Row],[Overarching Protection]]/tblPiNAnalysis[[#This Row],[Affected population projection 2026]], 0.05)), "")</f>
        <v>0.35000000000000003</v>
      </c>
      <c r="AC103" s="323">
        <f>IFERROR(IF(tblPiNAnalysis[[#This Row],[Shelter]]="", "", MROUND(tblPiNAnalysis[[#This Row],[Shelter]]/tblPiNAnalysis[[#This Row],[Affected population projection 2026]], 0.05)), "")</f>
        <v>0.55000000000000004</v>
      </c>
      <c r="AD103" s="324">
        <f>IFERROR(IF(tblPiNAnalysis[[#This Row],[WASH]]="", "", MROUND(tblPiNAnalysis[[#This Row],[WASH]]/tblPiNAnalysis[[#This Row],[Affected population projection 2026]], 0.05)), "")</f>
        <v>0.8</v>
      </c>
      <c r="AE103" s="322">
        <f>IFERROR(MROUND(tblPiNAnalysis[[#This Row],[CP]]/tblPiNAnalysis[[#This Row],[Affected population projection 2026]], 0.05), "")</f>
        <v>0.30000000000000004</v>
      </c>
      <c r="AF103" s="322">
        <f>IFERROR(MROUND(tblPiNAnalysis[[#This Row],[GBV]]/tblPiNAnalysis[[#This Row],[Affected population projection 2026]], 0.05), "")</f>
        <v>0.15000000000000002</v>
      </c>
      <c r="AG103" s="322">
        <f>IFERROR(MROUND(tblPiNAnalysis[[#This Row],[Mine Action]]/tblPiNAnalysis[[#This Row],[Affected population projection 2026]], 0.05), "")</f>
        <v>0.25</v>
      </c>
      <c r="AH103" s="322">
        <f>IFERROR(MROUND(tblPiNAnalysis[[#This Row],[HLP]]/tblPiNAnalysis[[#This Row],[Affected population projection 2026]], 0.05), "")</f>
        <v>0</v>
      </c>
      <c r="AI103" s="325">
        <f>IFERROR(LARGE(tblPiNAnalysis[[#This Row],[CCCM]:[WASH]], 1), "")</f>
        <v>49721.189721641669</v>
      </c>
      <c r="AJ103" s="326" t="str" cm="1">
        <f t="array" ref="AJ103">IF(tblPiNAnalysis[[#This Row],[Highest PiN]]="", "", _xlfn.TEXTJOIN(CHAR(10), TRUE, IF(tblPiNAnalysis[[#This Row],[Highest PiN]]=tblPiNAnalysis[[#This Row],[CCCM]:[WASH]], tblPiNAnalysis[[#Headers],[CCCM]:[WASH]], "")))</f>
        <v>Food Security</v>
      </c>
      <c r="AK103" s="327">
        <f>IF(tblPiNAnalysis[[#This Row],[Highest PiN]]="", "", tblPiNAnalysis[[#This Row],[Highest PiN]]/tblPiNAnalysis[[#This Row],[Affected population projection 2026]])</f>
        <v>0.86752797436861373</v>
      </c>
      <c r="AL103" s="328" t="str">
        <f>IF(SUM(tblPiNAnalysis[[#This Row],[CCCM]:[WASH]])=0, "",IF(COUNTIF(tblPiNAnalysis[[#This Row],[CCCM]:[WASH]],"=0")+COUNTIF(tblPiNAnalysis[[#This Row],[CCCM]:[WASH]],"")&gt;=zero_pin_thresh, "Flagged", ""))</f>
        <v/>
      </c>
      <c r="AM103" s="329" t="str">
        <f>IFERROR(IF(tblPiNAnalysis[[#This Row],[Highest PiN]]="", "", IF(tblPiNAnalysis[[#This Row],[Highest sector(s'') PiN %]]&gt;=flag_pin_perc, "Flagged", "")), "")</f>
        <v/>
      </c>
      <c r="AN103" s="330" t="str" cm="1">
        <f t="array" ref="AN103">IF(tblPiNAnalysis[[#This Row],[Highest PiN]]=0, "",  IF(OR(COUNTIF(tblPiNAnalysis[[#This Row],[Highest sector(s)]],tblSubSectorPopulation[Sector])), "Flagged", ""))</f>
        <v/>
      </c>
      <c r="AO103" s="46" cm="1">
        <f t="array" ref="AO10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45107.960772052087</v>
      </c>
      <c r="AP103" s="331" t="str" cm="1">
        <f t="array" ref="AP103">IF(tblPiNAnalysis[[#This Row],[2nd Highest PiN]]="", "", _xlfn.TEXTJOIN(CHAR(10), TRUE, IF(tblPiNAnalysis[[#This Row],[2nd Highest PiN]]=tblPiNAnalysis[[#This Row],[CCCM]:[WASH]], tblPiNAnalysis[[#Headers],[CCCM]:[WASH]], "")))</f>
        <v>WASH</v>
      </c>
      <c r="AQ103" s="36">
        <f>IFERROR(tblPiNAnalysis[[#This Row],[2nd Highest PiN]]/tblPiNAnalysis[[#This Row],[Affected population projection 2026]], "")</f>
        <v>0.78703703703703698</v>
      </c>
      <c r="AR103" s="46">
        <f>IFERROR(tblPiNAnalysis[[#This Row],[Highest PiN]]-tblPiNAnalysis[[#This Row],[2nd Highest PiN]], "")</f>
        <v>4613.228949589582</v>
      </c>
      <c r="AS103" s="39">
        <f>IFERROR(((tblPiNAnalysis[[#This Row],[Highest PiN]]-tblPiNAnalysis[[#This Row],[2nd Highest PiN]])/tblPiNAnalysis[[#This Row],[2nd Highest PiN]]),"")</f>
        <v>0.10227083802129754</v>
      </c>
      <c r="AT103" s="39" t="str" cm="1">
        <f t="array" ref="AT10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3" s="332" cm="1">
        <f t="array" ref="AU10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37328.895143262234</v>
      </c>
      <c r="AV103" s="190" t="str" cm="1">
        <f t="array" ref="AV103">IF(tblPiNAnalysis[[#This Row],[3rd Highest PiN]]="", "", _xlfn.TEXTJOIN(CHAR(10), TRUE, IF(tblPiNAnalysis[[#This Row],[3rd Highest PiN]]=tblPiNAnalysis[[#This Row],[CCCM]:[WASH]], tblPiNAnalysis[[#Headers],[CCCM]:[WASH]], "")))</f>
        <v>Health</v>
      </c>
      <c r="AW103" s="190">
        <f>IFERROR(tblPiNAnalysis[[#This Row],[3rd Highest PiN]]/tblPiNAnalysis[[#This Row],[Affected population projection 2026]], "")</f>
        <v>0.65130904892561836</v>
      </c>
      <c r="AX103" s="45">
        <f>IFERROR(tblPiNAnalysis[[#This Row],[Highest PiN]]-tblPiNAnalysis[[#This Row],[3rd Highest PiN]],"")</f>
        <v>12392.294578379435</v>
      </c>
      <c r="AY103" s="39">
        <f>IFERROR(tblPiNAnalysis[[#This Row],[Difference of PiN between Highest and 3rd Highest]]/tblPiNAnalysis[[#This Row],[3rd Highest PiN]], "")</f>
        <v>0.33197592724938207</v>
      </c>
      <c r="AZ103" s="330" t="str" cm="1">
        <f t="array" ref="AZ10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3" s="300" t="str" cm="1">
        <f t="array" ref="BA103">IFERROR(IF(tblPiNAnalysis[[#This Row],[ID]]="", "", INDEX(tblPiNHistorical[[CCCM]:[WASH]], MATCH(tblPiNAnalysis[[#This Row],[ID]],tblPiNHistorical[ID], 0),MATCH(_xlfn._xlws.FILTER(tblPiNAnalysis[[#Headers],[CCCM]:[WASH]], tblPiNAnalysis[[#This Row],[Highest PiN]]=tblPiNAnalysis[[#This Row],[CCCM]:[WASH]]), tblPiNHistorical[[#Headers],[CCCM]:[WASH]], 0))), "")</f>
        <v/>
      </c>
      <c r="BB103" s="333" t="str" cm="1">
        <f t="array" ref="BB10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3" s="276" t="str" cm="1">
        <f t="array" ref="BC10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3" s="334" t="str" cm="1">
        <f t="array" ref="BD10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3" s="276">
        <f>INDEX(tblSeverityAnalysis[Final Severity], MATCH(tblPiNAnalysis[[#This Row],[ID]],tblSeverityAnalysis[ID], 0))</f>
        <v>5</v>
      </c>
      <c r="BF103" s="61">
        <f>IF(tblPiNAnalysis[[#This Row],[Severity]]&gt;2,tblPiNAnalysis[[#This Row],[Highest PiN]],)</f>
        <v>49721.189721641669</v>
      </c>
      <c r="BG103" s="191"/>
      <c r="BH103" s="192"/>
      <c r="BI103" s="193">
        <f>COUNTIFS(tblPiNAnalysis[[#This Row],[Number of missing / zero PiNs greater than threshold - Data quality]:[Manual Flag]],"Flagged")</f>
        <v>0</v>
      </c>
      <c r="BJ103" s="96" t="str">
        <f>IF(tblPiNAnalysis[[#This Row],['# Flags]]&gt;0, "Flagged", "")</f>
        <v/>
      </c>
      <c r="BK103" s="326">
        <f>tblPiNAnalysis[[#This Row],[Preliminary PiN]]</f>
        <v>49721.189721641669</v>
      </c>
      <c r="BL103" s="331"/>
    </row>
    <row r="104" spans="1:64" x14ac:dyDescent="0.55000000000000004">
      <c r="A10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SS0307</v>
      </c>
      <c r="B104" s="316" t="s">
        <v>268</v>
      </c>
      <c r="C104" s="317" t="s">
        <v>269</v>
      </c>
      <c r="D104" s="317" t="s">
        <v>282</v>
      </c>
      <c r="E104" s="105" t="s">
        <v>283</v>
      </c>
      <c r="F104" s="100"/>
      <c r="G104" s="34"/>
      <c r="H104" s="34"/>
      <c r="I104" s="97">
        <v>65001.764922770279</v>
      </c>
      <c r="J104" s="97" t="s">
        <v>413</v>
      </c>
      <c r="K104" s="318"/>
      <c r="L104" s="319">
        <v>22593.352452915449</v>
      </c>
      <c r="M104" s="319">
        <v>35489.870692616212</v>
      </c>
      <c r="N104" s="319">
        <v>48712.090327487043</v>
      </c>
      <c r="O104" s="319">
        <v>45826.429946831784</v>
      </c>
      <c r="P104" s="319">
        <v>22360</v>
      </c>
      <c r="Q104" s="320">
        <v>47896.037311514949</v>
      </c>
      <c r="R104" s="319">
        <v>44538.246335972239</v>
      </c>
      <c r="S104" s="319">
        <v>9414</v>
      </c>
      <c r="T104" s="319">
        <v>8789</v>
      </c>
      <c r="U104" s="319">
        <v>2186</v>
      </c>
      <c r="V104" s="319">
        <v>1194</v>
      </c>
      <c r="W104" s="321" t="str">
        <f>IFERROR(IF(tblPiNAnalysis[[#This Row],[CCCM]]="", "", MROUND(tblPiNAnalysis[[#This Row],[CCCM]]/tblPiNAnalysis[[#This Row],[Affected population projection 2026]], 0.05)), "")</f>
        <v/>
      </c>
      <c r="X104" s="322">
        <f>IFERROR(IF(tblPiNAnalysis[[#This Row],[Education]]="", "", MROUND(tblPiNAnalysis[[#This Row],[Education]]/tblPiNAnalysis[[#This Row],[Affected population projection 2026]], 0.05)), "")</f>
        <v>0.35000000000000003</v>
      </c>
      <c r="Y104" s="322">
        <f>IFERROR(IF(tblPiNAnalysis[[#This Row],[Nutrition]]="", "", MROUND(tblPiNAnalysis[[#This Row],[Nutrition]]/tblPiNAnalysis[[#This Row],[Affected population projection 2026]], 0.05)), "")</f>
        <v>0.55000000000000004</v>
      </c>
      <c r="Z104" s="322">
        <f>IFERROR(IF(tblPiNAnalysis[[#This Row],[Food Security]]="", "", MROUND(tblPiNAnalysis[[#This Row],[Food Security]]/tblPiNAnalysis[[#This Row],[Affected population projection 2026]], 0.05)), "")</f>
        <v>0.75</v>
      </c>
      <c r="AA104" s="322">
        <f>IFERROR(IF(tblPiNAnalysis[[#This Row],[Health]]="", "", MROUND(tblPiNAnalysis[[#This Row],[Health]]/tblPiNAnalysis[[#This Row],[Affected population projection 2026]], 0.05)), "")</f>
        <v>0.70000000000000007</v>
      </c>
      <c r="AB104" s="323">
        <f>IFERROR(IF(tblPiNAnalysis[[#This Row],[Overarching Protection]]="", "", MROUND(tblPiNAnalysis[[#This Row],[Overarching Protection]]/tblPiNAnalysis[[#This Row],[Affected population projection 2026]], 0.05)), "")</f>
        <v>0.35000000000000003</v>
      </c>
      <c r="AC104" s="323">
        <f>IFERROR(IF(tblPiNAnalysis[[#This Row],[Shelter]]="", "", MROUND(tblPiNAnalysis[[#This Row],[Shelter]]/tblPiNAnalysis[[#This Row],[Affected population projection 2026]], 0.05)), "")</f>
        <v>0.75</v>
      </c>
      <c r="AD104" s="324">
        <f>IFERROR(IF(tblPiNAnalysis[[#This Row],[WASH]]="", "", MROUND(tblPiNAnalysis[[#This Row],[WASH]]/tblPiNAnalysis[[#This Row],[Affected population projection 2026]], 0.05)), "")</f>
        <v>0.70000000000000007</v>
      </c>
      <c r="AE104" s="322">
        <f>IFERROR(MROUND(tblPiNAnalysis[[#This Row],[CP]]/tblPiNAnalysis[[#This Row],[Affected population projection 2026]], 0.05), "")</f>
        <v>0.15000000000000002</v>
      </c>
      <c r="AF104" s="322">
        <f>IFERROR(MROUND(tblPiNAnalysis[[#This Row],[GBV]]/tblPiNAnalysis[[#This Row],[Affected population projection 2026]], 0.05), "")</f>
        <v>0.15000000000000002</v>
      </c>
      <c r="AG104" s="322">
        <f>IFERROR(MROUND(tblPiNAnalysis[[#This Row],[Mine Action]]/tblPiNAnalysis[[#This Row],[Affected population projection 2026]], 0.05), "")</f>
        <v>0.05</v>
      </c>
      <c r="AH104" s="322">
        <f>IFERROR(MROUND(tblPiNAnalysis[[#This Row],[HLP]]/tblPiNAnalysis[[#This Row],[Affected population projection 2026]], 0.05), "")</f>
        <v>0</v>
      </c>
      <c r="AI104" s="325">
        <f>IFERROR(LARGE(tblPiNAnalysis[[#This Row],[CCCM]:[WASH]], 1), "")</f>
        <v>48712.090327487043</v>
      </c>
      <c r="AJ104" s="326" t="str" cm="1">
        <f t="array" ref="AJ104">IF(tblPiNAnalysis[[#This Row],[Highest PiN]]="", "", _xlfn.TEXTJOIN(CHAR(10), TRUE, IF(tblPiNAnalysis[[#This Row],[Highest PiN]]=tblPiNAnalysis[[#This Row],[CCCM]:[WASH]], tblPiNAnalysis[[#Headers],[CCCM]:[WASH]], "")))</f>
        <v>Food Security</v>
      </c>
      <c r="AK104" s="327">
        <f>IF(tblPiNAnalysis[[#This Row],[Highest PiN]]="", "", tblPiNAnalysis[[#This Row],[Highest PiN]]/tblPiNAnalysis[[#This Row],[Affected population projection 2026]])</f>
        <v>0.74939642616416213</v>
      </c>
      <c r="AL104" s="328" t="str">
        <f>IF(SUM(tblPiNAnalysis[[#This Row],[CCCM]:[WASH]])=0, "",IF(COUNTIF(tblPiNAnalysis[[#This Row],[CCCM]:[WASH]],"=0")+COUNTIF(tblPiNAnalysis[[#This Row],[CCCM]:[WASH]],"")&gt;=zero_pin_thresh, "Flagged", ""))</f>
        <v/>
      </c>
      <c r="AM104" s="329" t="str">
        <f>IFERROR(IF(tblPiNAnalysis[[#This Row],[Highest PiN]]="", "", IF(tblPiNAnalysis[[#This Row],[Highest sector(s'') PiN %]]&gt;=flag_pin_perc, "Flagged", "")), "")</f>
        <v/>
      </c>
      <c r="AN104" s="330" t="str" cm="1">
        <f t="array" ref="AN104">IF(tblPiNAnalysis[[#This Row],[Highest PiN]]=0, "",  IF(OR(COUNTIF(tblPiNAnalysis[[#This Row],[Highest sector(s)]],tblSubSectorPopulation[Sector])), "Flagged", ""))</f>
        <v/>
      </c>
      <c r="AO104" s="46" cm="1">
        <f t="array" ref="AO10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47896.037311514949</v>
      </c>
      <c r="AP104" s="331" t="str" cm="1">
        <f t="array" ref="AP104">IF(tblPiNAnalysis[[#This Row],[2nd Highest PiN]]="", "", _xlfn.TEXTJOIN(CHAR(10), TRUE, IF(tblPiNAnalysis[[#This Row],[2nd Highest PiN]]=tblPiNAnalysis[[#This Row],[CCCM]:[WASH]], tblPiNAnalysis[[#Headers],[CCCM]:[WASH]], "")))</f>
        <v>Shelter</v>
      </c>
      <c r="AQ104" s="36">
        <f>IFERROR(tblPiNAnalysis[[#This Row],[2nd Highest PiN]]/tblPiNAnalysis[[#This Row],[Affected population projection 2026]], "")</f>
        <v>0.73684210526315796</v>
      </c>
      <c r="AR104" s="46">
        <f>IFERROR(tblPiNAnalysis[[#This Row],[Highest PiN]]-tblPiNAnalysis[[#This Row],[2nd Highest PiN]], "")</f>
        <v>816.05301597209473</v>
      </c>
      <c r="AS104" s="39">
        <f>IFERROR(((tblPiNAnalysis[[#This Row],[Highest PiN]]-tblPiNAnalysis[[#This Row],[2nd Highest PiN]])/tblPiNAnalysis[[#This Row],[2nd Highest PiN]]),"")</f>
        <v>1.7038006937077087E-2</v>
      </c>
      <c r="AT104" s="39" t="str" cm="1">
        <f t="array" ref="AT10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4" s="332" cm="1">
        <f t="array" ref="AU10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45826.429946831784</v>
      </c>
      <c r="AV104" s="190" t="str" cm="1">
        <f t="array" ref="AV104">IF(tblPiNAnalysis[[#This Row],[3rd Highest PiN]]="", "", _xlfn.TEXTJOIN(CHAR(10), TRUE, IF(tblPiNAnalysis[[#This Row],[3rd Highest PiN]]=tblPiNAnalysis[[#This Row],[CCCM]:[WASH]], tblPiNAnalysis[[#Headers],[CCCM]:[WASH]], "")))</f>
        <v>Health</v>
      </c>
      <c r="AW104" s="190">
        <f>IFERROR(tblPiNAnalysis[[#This Row],[3rd Highest PiN]]/tblPiNAnalysis[[#This Row],[Affected population projection 2026]], "")</f>
        <v>0.70500285648057337</v>
      </c>
      <c r="AX104" s="45">
        <f>IFERROR(tblPiNAnalysis[[#This Row],[Highest PiN]]-tblPiNAnalysis[[#This Row],[3rd Highest PiN]],"")</f>
        <v>2885.6603806552594</v>
      </c>
      <c r="AY104" s="39">
        <f>IFERROR(tblPiNAnalysis[[#This Row],[Difference of PiN between Highest and 3rd Highest]]/tblPiNAnalysis[[#This Row],[3rd Highest PiN]], "")</f>
        <v>6.296934725230019E-2</v>
      </c>
      <c r="AZ104" s="330" t="str" cm="1">
        <f t="array" ref="AZ10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4" s="300" t="str" cm="1">
        <f t="array" ref="BA104">IFERROR(IF(tblPiNAnalysis[[#This Row],[ID]]="", "", INDEX(tblPiNHistorical[[CCCM]:[WASH]], MATCH(tblPiNAnalysis[[#This Row],[ID]],tblPiNHistorical[ID], 0),MATCH(_xlfn._xlws.FILTER(tblPiNAnalysis[[#Headers],[CCCM]:[WASH]], tblPiNAnalysis[[#This Row],[Highest PiN]]=tblPiNAnalysis[[#This Row],[CCCM]:[WASH]]), tblPiNHistorical[[#Headers],[CCCM]:[WASH]], 0))), "")</f>
        <v/>
      </c>
      <c r="BB104" s="333" t="str" cm="1">
        <f t="array" ref="BB10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4" s="276" t="str" cm="1">
        <f t="array" ref="BC10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4" s="334" t="str" cm="1">
        <f t="array" ref="BD10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4" s="276">
        <f>INDEX(tblSeverityAnalysis[Final Severity], MATCH(tblPiNAnalysis[[#This Row],[ID]],tblSeverityAnalysis[ID], 0))</f>
        <v>3</v>
      </c>
      <c r="BF104" s="61">
        <f>IF(tblPiNAnalysis[[#This Row],[Severity]]&gt;2,tblPiNAnalysis[[#This Row],[Highest PiN]],)</f>
        <v>48712.090327487043</v>
      </c>
      <c r="BG104" s="191"/>
      <c r="BH104" s="192"/>
      <c r="BI104" s="193">
        <f>COUNTIFS(tblPiNAnalysis[[#This Row],[Number of missing / zero PiNs greater than threshold - Data quality]:[Manual Flag]],"Flagged")</f>
        <v>0</v>
      </c>
      <c r="BJ104" s="96" t="str">
        <f>IF(tblPiNAnalysis[[#This Row],['# Flags]]&gt;0, "Flagged", "")</f>
        <v/>
      </c>
      <c r="BK104" s="326">
        <f>tblPiNAnalysis[[#This Row],[Preliminary PiN]]</f>
        <v>48712.090327487043</v>
      </c>
      <c r="BL104" s="331"/>
    </row>
    <row r="105" spans="1:64" x14ac:dyDescent="0.55000000000000004">
      <c r="A10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SS0308</v>
      </c>
      <c r="B105" s="316" t="s">
        <v>268</v>
      </c>
      <c r="C105" s="317" t="s">
        <v>269</v>
      </c>
      <c r="D105" s="317" t="s">
        <v>284</v>
      </c>
      <c r="E105" s="105" t="s">
        <v>285</v>
      </c>
      <c r="F105" s="100"/>
      <c r="G105" s="34"/>
      <c r="H105" s="34"/>
      <c r="I105" s="97">
        <v>146214.98577625639</v>
      </c>
      <c r="J105" s="97" t="s">
        <v>413</v>
      </c>
      <c r="K105" s="318"/>
      <c r="L105" s="319">
        <v>41898.489034129365</v>
      </c>
      <c r="M105" s="319">
        <v>88990.012388021394</v>
      </c>
      <c r="N105" s="319">
        <v>116811.30925544295</v>
      </c>
      <c r="O105" s="319">
        <v>89058.581669314983</v>
      </c>
      <c r="P105" s="319">
        <v>48790</v>
      </c>
      <c r="Q105" s="320">
        <v>77309.072939170044</v>
      </c>
      <c r="R105" s="319">
        <v>119138.13655843114</v>
      </c>
      <c r="S105" s="319">
        <v>42002</v>
      </c>
      <c r="T105" s="319">
        <v>32624</v>
      </c>
      <c r="U105" s="319">
        <v>5156</v>
      </c>
      <c r="V105" s="319">
        <v>3277</v>
      </c>
      <c r="W105" s="321" t="str">
        <f>IFERROR(IF(tblPiNAnalysis[[#This Row],[CCCM]]="", "", MROUND(tblPiNAnalysis[[#This Row],[CCCM]]/tblPiNAnalysis[[#This Row],[Affected population projection 2026]], 0.05)), "")</f>
        <v/>
      </c>
      <c r="X105" s="322">
        <f>IFERROR(IF(tblPiNAnalysis[[#This Row],[Education]]="", "", MROUND(tblPiNAnalysis[[#This Row],[Education]]/tblPiNAnalysis[[#This Row],[Affected population projection 2026]], 0.05)), "")</f>
        <v>0.30000000000000004</v>
      </c>
      <c r="Y105" s="322">
        <f>IFERROR(IF(tblPiNAnalysis[[#This Row],[Nutrition]]="", "", MROUND(tblPiNAnalysis[[#This Row],[Nutrition]]/tblPiNAnalysis[[#This Row],[Affected population projection 2026]], 0.05)), "")</f>
        <v>0.60000000000000009</v>
      </c>
      <c r="Z105" s="322">
        <f>IFERROR(IF(tblPiNAnalysis[[#This Row],[Food Security]]="", "", MROUND(tblPiNAnalysis[[#This Row],[Food Security]]/tblPiNAnalysis[[#This Row],[Affected population projection 2026]], 0.05)), "")</f>
        <v>0.8</v>
      </c>
      <c r="AA105" s="322">
        <f>IFERROR(IF(tblPiNAnalysis[[#This Row],[Health]]="", "", MROUND(tblPiNAnalysis[[#This Row],[Health]]/tblPiNAnalysis[[#This Row],[Affected population projection 2026]], 0.05)), "")</f>
        <v>0.60000000000000009</v>
      </c>
      <c r="AB105" s="323">
        <f>IFERROR(IF(tblPiNAnalysis[[#This Row],[Overarching Protection]]="", "", MROUND(tblPiNAnalysis[[#This Row],[Overarching Protection]]/tblPiNAnalysis[[#This Row],[Affected population projection 2026]], 0.05)), "")</f>
        <v>0.35000000000000003</v>
      </c>
      <c r="AC105" s="323">
        <f>IFERROR(IF(tblPiNAnalysis[[#This Row],[Shelter]]="", "", MROUND(tblPiNAnalysis[[#This Row],[Shelter]]/tblPiNAnalysis[[#This Row],[Affected population projection 2026]], 0.05)), "")</f>
        <v>0.55000000000000004</v>
      </c>
      <c r="AD105" s="324">
        <f>IFERROR(IF(tblPiNAnalysis[[#This Row],[WASH]]="", "", MROUND(tblPiNAnalysis[[#This Row],[WASH]]/tblPiNAnalysis[[#This Row],[Affected population projection 2026]], 0.05)), "")</f>
        <v>0.8</v>
      </c>
      <c r="AE105" s="322">
        <f>IFERROR(MROUND(tblPiNAnalysis[[#This Row],[CP]]/tblPiNAnalysis[[#This Row],[Affected population projection 2026]], 0.05), "")</f>
        <v>0.30000000000000004</v>
      </c>
      <c r="AF105" s="322">
        <f>IFERROR(MROUND(tblPiNAnalysis[[#This Row],[GBV]]/tblPiNAnalysis[[#This Row],[Affected population projection 2026]], 0.05), "")</f>
        <v>0.2</v>
      </c>
      <c r="AG105" s="322">
        <f>IFERROR(MROUND(tblPiNAnalysis[[#This Row],[Mine Action]]/tblPiNAnalysis[[#This Row],[Affected population projection 2026]], 0.05), "")</f>
        <v>0.05</v>
      </c>
      <c r="AH105" s="322">
        <f>IFERROR(MROUND(tblPiNAnalysis[[#This Row],[HLP]]/tblPiNAnalysis[[#This Row],[Affected population projection 2026]], 0.05), "")</f>
        <v>0</v>
      </c>
      <c r="AI105" s="325">
        <f>IFERROR(LARGE(tblPiNAnalysis[[#This Row],[CCCM]:[WASH]], 1), "")</f>
        <v>119138.13655843114</v>
      </c>
      <c r="AJ105" s="326" t="str" cm="1">
        <f t="array" ref="AJ105">IF(tblPiNAnalysis[[#This Row],[Highest PiN]]="", "", _xlfn.TEXTJOIN(CHAR(10), TRUE, IF(tblPiNAnalysis[[#This Row],[Highest PiN]]=tblPiNAnalysis[[#This Row],[CCCM]:[WASH]], tblPiNAnalysis[[#Headers],[CCCM]:[WASH]], "")))</f>
        <v>WASH</v>
      </c>
      <c r="AK105" s="327">
        <f>IF(tblPiNAnalysis[[#This Row],[Highest PiN]]="", "", tblPiNAnalysis[[#This Row],[Highest PiN]]/tblPiNAnalysis[[#This Row],[Affected population projection 2026]])</f>
        <v>0.81481481481481488</v>
      </c>
      <c r="AL105" s="328" t="str">
        <f>IF(SUM(tblPiNAnalysis[[#This Row],[CCCM]:[WASH]])=0, "",IF(COUNTIF(tblPiNAnalysis[[#This Row],[CCCM]:[WASH]],"=0")+COUNTIF(tblPiNAnalysis[[#This Row],[CCCM]:[WASH]],"")&gt;=zero_pin_thresh, "Flagged", ""))</f>
        <v/>
      </c>
      <c r="AM105" s="329" t="str">
        <f>IFERROR(IF(tblPiNAnalysis[[#This Row],[Highest PiN]]="", "", IF(tblPiNAnalysis[[#This Row],[Highest sector(s'') PiN %]]&gt;=flag_pin_perc, "Flagged", "")), "")</f>
        <v/>
      </c>
      <c r="AN105" s="330" t="str" cm="1">
        <f t="array" ref="AN105">IF(tblPiNAnalysis[[#This Row],[Highest PiN]]=0, "",  IF(OR(COUNTIF(tblPiNAnalysis[[#This Row],[Highest sector(s)]],tblSubSectorPopulation[Sector])), "Flagged", ""))</f>
        <v/>
      </c>
      <c r="AO105" s="46" cm="1">
        <f t="array" ref="AO10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116811.30925544295</v>
      </c>
      <c r="AP105" s="331" t="str" cm="1">
        <f t="array" ref="AP105">IF(tblPiNAnalysis[[#This Row],[2nd Highest PiN]]="", "", _xlfn.TEXTJOIN(CHAR(10), TRUE, IF(tblPiNAnalysis[[#This Row],[2nd Highest PiN]]=tblPiNAnalysis[[#This Row],[CCCM]:[WASH]], tblPiNAnalysis[[#Headers],[CCCM]:[WASH]], "")))</f>
        <v>Food Security</v>
      </c>
      <c r="AQ105" s="36">
        <f>IFERROR(tblPiNAnalysis[[#This Row],[2nd Highest PiN]]/tblPiNAnalysis[[#This Row],[Affected population projection 2026]], "")</f>
        <v>0.798901074573792</v>
      </c>
      <c r="AR105" s="46">
        <f>IFERROR(tblPiNAnalysis[[#This Row],[Highest PiN]]-tblPiNAnalysis[[#This Row],[2nd Highest PiN]], "")</f>
        <v>2326.8273029881966</v>
      </c>
      <c r="AS105" s="39">
        <f>IFERROR(((tblPiNAnalysis[[#This Row],[Highest PiN]]-tblPiNAnalysis[[#This Row],[2nd Highest PiN]])/tblPiNAnalysis[[#This Row],[2nd Highest PiN]]),"")</f>
        <v>1.9919537909637595E-2</v>
      </c>
      <c r="AT105" s="39" t="str" cm="1">
        <f t="array" ref="AT10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5" s="332" cm="1">
        <f t="array" ref="AU10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89058.581669314983</v>
      </c>
      <c r="AV105" s="190" t="str" cm="1">
        <f t="array" ref="AV105">IF(tblPiNAnalysis[[#This Row],[3rd Highest PiN]]="", "", _xlfn.TEXTJOIN(CHAR(10), TRUE, IF(tblPiNAnalysis[[#This Row],[3rd Highest PiN]]=tblPiNAnalysis[[#This Row],[CCCM]:[WASH]], tblPiNAnalysis[[#Headers],[CCCM]:[WASH]], "")))</f>
        <v>Health</v>
      </c>
      <c r="AW105" s="190">
        <f>IFERROR(tblPiNAnalysis[[#This Row],[3rd Highest PiN]]/tblPiNAnalysis[[#This Row],[Affected population projection 2026]], "")</f>
        <v>0.60909339214788649</v>
      </c>
      <c r="AX105" s="45">
        <f>IFERROR(tblPiNAnalysis[[#This Row],[Highest PiN]]-tblPiNAnalysis[[#This Row],[3rd Highest PiN]],"")</f>
        <v>30079.55488911616</v>
      </c>
      <c r="AY105" s="39">
        <f>IFERROR(tblPiNAnalysis[[#This Row],[Difference of PiN between Highest and 3rd Highest]]/tblPiNAnalysis[[#This Row],[3rd Highest PiN]], "")</f>
        <v>0.33775021256014492</v>
      </c>
      <c r="AZ105" s="330" t="str" cm="1">
        <f t="array" ref="AZ10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5" s="300" t="str" cm="1">
        <f t="array" ref="BA105">IFERROR(IF(tblPiNAnalysis[[#This Row],[ID]]="", "", INDEX(tblPiNHistorical[[CCCM]:[WASH]], MATCH(tblPiNAnalysis[[#This Row],[ID]],tblPiNHistorical[ID], 0),MATCH(_xlfn._xlws.FILTER(tblPiNAnalysis[[#Headers],[CCCM]:[WASH]], tblPiNAnalysis[[#This Row],[Highest PiN]]=tblPiNAnalysis[[#This Row],[CCCM]:[WASH]]), tblPiNHistorical[[#Headers],[CCCM]:[WASH]], 0))), "")</f>
        <v/>
      </c>
      <c r="BB105" s="333" t="str" cm="1">
        <f t="array" ref="BB10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5" s="276" t="str" cm="1">
        <f t="array" ref="BC10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5" s="334" t="str" cm="1">
        <f t="array" ref="BD10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5" s="276">
        <f>INDEX(tblSeverityAnalysis[Final Severity], MATCH(tblPiNAnalysis[[#This Row],[ID]],tblSeverityAnalysis[ID], 0))</f>
        <v>4</v>
      </c>
      <c r="BF105" s="61">
        <f>IF(tblPiNAnalysis[[#This Row],[Severity]]&gt;2,tblPiNAnalysis[[#This Row],[Highest PiN]],)</f>
        <v>119138.13655843114</v>
      </c>
      <c r="BG105" s="191"/>
      <c r="BH105" s="192"/>
      <c r="BI105" s="193">
        <f>COUNTIFS(tblPiNAnalysis[[#This Row],[Number of missing / zero PiNs greater than threshold - Data quality]:[Manual Flag]],"Flagged")</f>
        <v>0</v>
      </c>
      <c r="BJ105" s="96" t="str">
        <f>IF(tblPiNAnalysis[[#This Row],['# Flags]]&gt;0, "Flagged", "")</f>
        <v/>
      </c>
      <c r="BK105" s="326">
        <f>tblPiNAnalysis[[#This Row],[Preliminary PiN]]</f>
        <v>119138.13655843114</v>
      </c>
      <c r="BL105" s="331"/>
    </row>
    <row r="106" spans="1:64" x14ac:dyDescent="0.55000000000000004">
      <c r="A10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SS0309</v>
      </c>
      <c r="B106" s="316" t="s">
        <v>268</v>
      </c>
      <c r="C106" s="317" t="s">
        <v>269</v>
      </c>
      <c r="D106" s="317" t="s">
        <v>286</v>
      </c>
      <c r="E106" s="105" t="s">
        <v>287</v>
      </c>
      <c r="F106" s="100"/>
      <c r="G106" s="34"/>
      <c r="H106" s="34"/>
      <c r="I106" s="97">
        <v>50788.148876183637</v>
      </c>
      <c r="J106" s="97" t="s">
        <v>413</v>
      </c>
      <c r="K106" s="318"/>
      <c r="L106" s="319">
        <v>6521.8077734884937</v>
      </c>
      <c r="M106" s="319">
        <v>22891.875571757526</v>
      </c>
      <c r="N106" s="319">
        <v>34279.491171084221</v>
      </c>
      <c r="O106" s="319">
        <v>32117.106103601607</v>
      </c>
      <c r="P106" s="319">
        <v>17143</v>
      </c>
      <c r="Q106" s="320">
        <v>38340.073171236669</v>
      </c>
      <c r="R106" s="319">
        <v>1863.7852798599502</v>
      </c>
      <c r="S106" s="319">
        <v>6730</v>
      </c>
      <c r="T106" s="319">
        <v>6948</v>
      </c>
      <c r="U106" s="319">
        <v>15022</v>
      </c>
      <c r="V106" s="319">
        <v>549</v>
      </c>
      <c r="W106" s="321" t="str">
        <f>IFERROR(IF(tblPiNAnalysis[[#This Row],[CCCM]]="", "", MROUND(tblPiNAnalysis[[#This Row],[CCCM]]/tblPiNAnalysis[[#This Row],[Affected population projection 2026]], 0.05)), "")</f>
        <v/>
      </c>
      <c r="X106" s="322">
        <f>IFERROR(IF(tblPiNAnalysis[[#This Row],[Education]]="", "", MROUND(tblPiNAnalysis[[#This Row],[Education]]/tblPiNAnalysis[[#This Row],[Affected population projection 2026]], 0.05)), "")</f>
        <v>0.15000000000000002</v>
      </c>
      <c r="Y106" s="322">
        <f>IFERROR(IF(tblPiNAnalysis[[#This Row],[Nutrition]]="", "", MROUND(tblPiNAnalysis[[#This Row],[Nutrition]]/tblPiNAnalysis[[#This Row],[Affected population projection 2026]], 0.05)), "")</f>
        <v>0.45</v>
      </c>
      <c r="Z106" s="322">
        <f>IFERROR(IF(tblPiNAnalysis[[#This Row],[Food Security]]="", "", MROUND(tblPiNAnalysis[[#This Row],[Food Security]]/tblPiNAnalysis[[#This Row],[Affected population projection 2026]], 0.05)), "")</f>
        <v>0.65</v>
      </c>
      <c r="AA106" s="322">
        <f>IFERROR(IF(tblPiNAnalysis[[#This Row],[Health]]="", "", MROUND(tblPiNAnalysis[[#This Row],[Health]]/tblPiNAnalysis[[#This Row],[Affected population projection 2026]], 0.05)), "")</f>
        <v>0.65</v>
      </c>
      <c r="AB106" s="323">
        <f>IFERROR(IF(tblPiNAnalysis[[#This Row],[Overarching Protection]]="", "", MROUND(tblPiNAnalysis[[#This Row],[Overarching Protection]]/tblPiNAnalysis[[#This Row],[Affected population projection 2026]], 0.05)), "")</f>
        <v>0.35000000000000003</v>
      </c>
      <c r="AC106" s="323">
        <f>IFERROR(IF(tblPiNAnalysis[[#This Row],[Shelter]]="", "", MROUND(tblPiNAnalysis[[#This Row],[Shelter]]/tblPiNAnalysis[[#This Row],[Affected population projection 2026]], 0.05)), "")</f>
        <v>0.75</v>
      </c>
      <c r="AD106" s="324">
        <f>IFERROR(IF(tblPiNAnalysis[[#This Row],[WASH]]="", "", MROUND(tblPiNAnalysis[[#This Row],[WASH]]/tblPiNAnalysis[[#This Row],[Affected population projection 2026]], 0.05)), "")</f>
        <v>0.05</v>
      </c>
      <c r="AE106" s="322">
        <f>IFERROR(MROUND(tblPiNAnalysis[[#This Row],[CP]]/tblPiNAnalysis[[#This Row],[Affected population projection 2026]], 0.05), "")</f>
        <v>0.15000000000000002</v>
      </c>
      <c r="AF106" s="322">
        <f>IFERROR(MROUND(tblPiNAnalysis[[#This Row],[GBV]]/tblPiNAnalysis[[#This Row],[Affected population projection 2026]], 0.05), "")</f>
        <v>0.15000000000000002</v>
      </c>
      <c r="AG106" s="322">
        <f>IFERROR(MROUND(tblPiNAnalysis[[#This Row],[Mine Action]]/tblPiNAnalysis[[#This Row],[Affected population projection 2026]], 0.05), "")</f>
        <v>0.30000000000000004</v>
      </c>
      <c r="AH106" s="322">
        <f>IFERROR(MROUND(tblPiNAnalysis[[#This Row],[HLP]]/tblPiNAnalysis[[#This Row],[Affected population projection 2026]], 0.05), "")</f>
        <v>0</v>
      </c>
      <c r="AI106" s="325">
        <f>IFERROR(LARGE(tblPiNAnalysis[[#This Row],[CCCM]:[WASH]], 1), "")</f>
        <v>38340.073171236669</v>
      </c>
      <c r="AJ106" s="326" t="str" cm="1">
        <f t="array" ref="AJ106">IF(tblPiNAnalysis[[#This Row],[Highest PiN]]="", "", _xlfn.TEXTJOIN(CHAR(10), TRUE, IF(tblPiNAnalysis[[#This Row],[Highest PiN]]=tblPiNAnalysis[[#This Row],[CCCM]:[WASH]], tblPiNAnalysis[[#Headers],[CCCM]:[WASH]], "")))</f>
        <v>Shelter</v>
      </c>
      <c r="AK106" s="327">
        <f>IF(tblPiNAnalysis[[#This Row],[Highest PiN]]="", "", tblPiNAnalysis[[#This Row],[Highest PiN]]/tblPiNAnalysis[[#This Row],[Affected population projection 2026]])</f>
        <v>0.75490196078431371</v>
      </c>
      <c r="AL106" s="328" t="str">
        <f>IF(SUM(tblPiNAnalysis[[#This Row],[CCCM]:[WASH]])=0, "",IF(COUNTIF(tblPiNAnalysis[[#This Row],[CCCM]:[WASH]],"=0")+COUNTIF(tblPiNAnalysis[[#This Row],[CCCM]:[WASH]],"")&gt;=zero_pin_thresh, "Flagged", ""))</f>
        <v/>
      </c>
      <c r="AM106" s="329" t="str">
        <f>IFERROR(IF(tblPiNAnalysis[[#This Row],[Highest PiN]]="", "", IF(tblPiNAnalysis[[#This Row],[Highest sector(s'') PiN %]]&gt;=flag_pin_perc, "Flagged", "")), "")</f>
        <v/>
      </c>
      <c r="AN106" s="330" t="str" cm="1">
        <f t="array" ref="AN106">IF(tblPiNAnalysis[[#This Row],[Highest PiN]]=0, "",  IF(OR(COUNTIF(tblPiNAnalysis[[#This Row],[Highest sector(s)]],tblSubSectorPopulation[Sector])), "Flagged", ""))</f>
        <v/>
      </c>
      <c r="AO106" s="46" cm="1">
        <f t="array" ref="AO10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34279.491171084221</v>
      </c>
      <c r="AP106" s="331" t="str" cm="1">
        <f t="array" ref="AP106">IF(tblPiNAnalysis[[#This Row],[2nd Highest PiN]]="", "", _xlfn.TEXTJOIN(CHAR(10), TRUE, IF(tblPiNAnalysis[[#This Row],[2nd Highest PiN]]=tblPiNAnalysis[[#This Row],[CCCM]:[WASH]], tblPiNAnalysis[[#Headers],[CCCM]:[WASH]], "")))</f>
        <v>Food Security</v>
      </c>
      <c r="AQ106" s="36">
        <f>IFERROR(tblPiNAnalysis[[#This Row],[2nd Highest PiN]]/tblPiNAnalysis[[#This Row],[Affected population projection 2026]], "")</f>
        <v>0.6749505924040301</v>
      </c>
      <c r="AR106" s="46">
        <f>IFERROR(tblPiNAnalysis[[#This Row],[Highest PiN]]-tblPiNAnalysis[[#This Row],[2nd Highest PiN]], "")</f>
        <v>4060.582000152448</v>
      </c>
      <c r="AS106" s="39">
        <f>IFERROR(((tblPiNAnalysis[[#This Row],[Highest PiN]]-tblPiNAnalysis[[#This Row],[2nd Highest PiN]])/tblPiNAnalysis[[#This Row],[2nd Highest PiN]]),"")</f>
        <v>0.11845514216902002</v>
      </c>
      <c r="AT106" s="39" t="str" cm="1">
        <f t="array" ref="AT10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6" s="332" cm="1">
        <f t="array" ref="AU10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32117.106103601607</v>
      </c>
      <c r="AV106" s="190" t="str" cm="1">
        <f t="array" ref="AV106">IF(tblPiNAnalysis[[#This Row],[3rd Highest PiN]]="", "", _xlfn.TEXTJOIN(CHAR(10), TRUE, IF(tblPiNAnalysis[[#This Row],[3rd Highest PiN]]=tblPiNAnalysis[[#This Row],[CCCM]:[WASH]], tblPiNAnalysis[[#Headers],[CCCM]:[WASH]], "")))</f>
        <v>Health</v>
      </c>
      <c r="AW106" s="190">
        <f>IFERROR(tblPiNAnalysis[[#This Row],[3rd Highest PiN]]/tblPiNAnalysis[[#This Row],[Affected population projection 2026]], "")</f>
        <v>0.63237402453670555</v>
      </c>
      <c r="AX106" s="45">
        <f>IFERROR(tblPiNAnalysis[[#This Row],[Highest PiN]]-tblPiNAnalysis[[#This Row],[3rd Highest PiN]],"")</f>
        <v>6222.9670676350615</v>
      </c>
      <c r="AY106" s="39">
        <f>IFERROR(tblPiNAnalysis[[#This Row],[Difference of PiN between Highest and 3rd Highest]]/tblPiNAnalysis[[#This Row],[3rd Highest PiN]], "")</f>
        <v>0.19375864835272999</v>
      </c>
      <c r="AZ106" s="330" t="str" cm="1">
        <f t="array" ref="AZ10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6" s="300" t="str" cm="1">
        <f t="array" ref="BA106">IFERROR(IF(tblPiNAnalysis[[#This Row],[ID]]="", "", INDEX(tblPiNHistorical[[CCCM]:[WASH]], MATCH(tblPiNAnalysis[[#This Row],[ID]],tblPiNHistorical[ID], 0),MATCH(_xlfn._xlws.FILTER(tblPiNAnalysis[[#Headers],[CCCM]:[WASH]], tblPiNAnalysis[[#This Row],[Highest PiN]]=tblPiNAnalysis[[#This Row],[CCCM]:[WASH]]), tblPiNHistorical[[#Headers],[CCCM]:[WASH]], 0))), "")</f>
        <v/>
      </c>
      <c r="BB106" s="333" t="str" cm="1">
        <f t="array" ref="BB10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6" s="276" t="str" cm="1">
        <f t="array" ref="BC10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6" s="334" t="str" cm="1">
        <f t="array" ref="BD10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6" s="276">
        <f>INDEX(tblSeverityAnalysis[Final Severity], MATCH(tblPiNAnalysis[[#This Row],[ID]],tblSeverityAnalysis[ID], 0))</f>
        <v>3</v>
      </c>
      <c r="BF106" s="61">
        <f>IF(tblPiNAnalysis[[#This Row],[Severity]]&gt;2,tblPiNAnalysis[[#This Row],[Highest PiN]],)</f>
        <v>38340.073171236669</v>
      </c>
      <c r="BG106" s="191"/>
      <c r="BH106" s="192"/>
      <c r="BI106" s="193">
        <f>COUNTIFS(tblPiNAnalysis[[#This Row],[Number of missing / zero PiNs greater than threshold - Data quality]:[Manual Flag]],"Flagged")</f>
        <v>0</v>
      </c>
      <c r="BJ106" s="96" t="str">
        <f>IF(tblPiNAnalysis[[#This Row],['# Flags]]&gt;0, "Flagged", "")</f>
        <v/>
      </c>
      <c r="BK106" s="326">
        <f>tblPiNAnalysis[[#This Row],[Preliminary PiN]]</f>
        <v>38340.073171236669</v>
      </c>
      <c r="BL106" s="331"/>
    </row>
    <row r="107" spans="1:64" x14ac:dyDescent="0.55000000000000004">
      <c r="A10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SS0310</v>
      </c>
      <c r="B107" s="316" t="s">
        <v>268</v>
      </c>
      <c r="C107" s="317" t="s">
        <v>269</v>
      </c>
      <c r="D107" s="317" t="s">
        <v>288</v>
      </c>
      <c r="E107" s="105" t="s">
        <v>289</v>
      </c>
      <c r="F107" s="100"/>
      <c r="G107" s="34"/>
      <c r="H107" s="34"/>
      <c r="I107" s="97">
        <v>77537.996273544151</v>
      </c>
      <c r="J107" s="97" t="s">
        <v>413</v>
      </c>
      <c r="K107" s="318"/>
      <c r="L107" s="319">
        <v>21646.670109666691</v>
      </c>
      <c r="M107" s="319">
        <v>39149.946887182959</v>
      </c>
      <c r="N107" s="319">
        <v>56785.48513022079</v>
      </c>
      <c r="O107" s="319">
        <v>43225.538681770711</v>
      </c>
      <c r="P107" s="319">
        <v>12858</v>
      </c>
      <c r="Q107" s="320">
        <v>73931.577842216517</v>
      </c>
      <c r="R107" s="319">
        <v>51691.997515696101</v>
      </c>
      <c r="S107" s="319">
        <v>9443</v>
      </c>
      <c r="T107" s="319">
        <v>11572</v>
      </c>
      <c r="U107" s="319">
        <v>7991</v>
      </c>
      <c r="V107" s="319">
        <v>953</v>
      </c>
      <c r="W107" s="321" t="str">
        <f>IFERROR(IF(tblPiNAnalysis[[#This Row],[CCCM]]="", "", MROUND(tblPiNAnalysis[[#This Row],[CCCM]]/tblPiNAnalysis[[#This Row],[Affected population projection 2026]], 0.05)), "")</f>
        <v/>
      </c>
      <c r="X107" s="322">
        <f>IFERROR(IF(tblPiNAnalysis[[#This Row],[Education]]="", "", MROUND(tblPiNAnalysis[[#This Row],[Education]]/tblPiNAnalysis[[#This Row],[Affected population projection 2026]], 0.05)), "")</f>
        <v>0.30000000000000004</v>
      </c>
      <c r="Y107" s="322">
        <f>IFERROR(IF(tblPiNAnalysis[[#This Row],[Nutrition]]="", "", MROUND(tblPiNAnalysis[[#This Row],[Nutrition]]/tblPiNAnalysis[[#This Row],[Affected population projection 2026]], 0.05)), "")</f>
        <v>0.5</v>
      </c>
      <c r="Z107" s="322">
        <f>IFERROR(IF(tblPiNAnalysis[[#This Row],[Food Security]]="", "", MROUND(tblPiNAnalysis[[#This Row],[Food Security]]/tblPiNAnalysis[[#This Row],[Affected population projection 2026]], 0.05)), "")</f>
        <v>0.75</v>
      </c>
      <c r="AA107" s="322">
        <f>IFERROR(IF(tblPiNAnalysis[[#This Row],[Health]]="", "", MROUND(tblPiNAnalysis[[#This Row],[Health]]/tblPiNAnalysis[[#This Row],[Affected population projection 2026]], 0.05)), "")</f>
        <v>0.55000000000000004</v>
      </c>
      <c r="AB107" s="323">
        <f>IFERROR(IF(tblPiNAnalysis[[#This Row],[Overarching Protection]]="", "", MROUND(tblPiNAnalysis[[#This Row],[Overarching Protection]]/tblPiNAnalysis[[#This Row],[Affected population projection 2026]], 0.05)), "")</f>
        <v>0.15000000000000002</v>
      </c>
      <c r="AC107" s="323">
        <f>IFERROR(IF(tblPiNAnalysis[[#This Row],[Shelter]]="", "", MROUND(tblPiNAnalysis[[#This Row],[Shelter]]/tblPiNAnalysis[[#This Row],[Affected population projection 2026]], 0.05)), "")</f>
        <v>0.95000000000000007</v>
      </c>
      <c r="AD107" s="324">
        <f>IFERROR(IF(tblPiNAnalysis[[#This Row],[WASH]]="", "", MROUND(tblPiNAnalysis[[#This Row],[WASH]]/tblPiNAnalysis[[#This Row],[Affected population projection 2026]], 0.05)), "")</f>
        <v>0.65</v>
      </c>
      <c r="AE107" s="322">
        <f>IFERROR(MROUND(tblPiNAnalysis[[#This Row],[CP]]/tblPiNAnalysis[[#This Row],[Affected population projection 2026]], 0.05), "")</f>
        <v>0.1</v>
      </c>
      <c r="AF107" s="322">
        <f>IFERROR(MROUND(tblPiNAnalysis[[#This Row],[GBV]]/tblPiNAnalysis[[#This Row],[Affected population projection 2026]], 0.05), "")</f>
        <v>0.15000000000000002</v>
      </c>
      <c r="AG107" s="322">
        <f>IFERROR(MROUND(tblPiNAnalysis[[#This Row],[Mine Action]]/tblPiNAnalysis[[#This Row],[Affected population projection 2026]], 0.05), "")</f>
        <v>0.1</v>
      </c>
      <c r="AH107" s="322">
        <f>IFERROR(MROUND(tblPiNAnalysis[[#This Row],[HLP]]/tblPiNAnalysis[[#This Row],[Affected population projection 2026]], 0.05), "")</f>
        <v>0</v>
      </c>
      <c r="AI107" s="325">
        <f>IFERROR(LARGE(tblPiNAnalysis[[#This Row],[CCCM]:[WASH]], 1), "")</f>
        <v>73931.577842216517</v>
      </c>
      <c r="AJ107" s="326" t="str" cm="1">
        <f t="array" ref="AJ107">IF(tblPiNAnalysis[[#This Row],[Highest PiN]]="", "", _xlfn.TEXTJOIN(CHAR(10), TRUE, IF(tblPiNAnalysis[[#This Row],[Highest PiN]]=tblPiNAnalysis[[#This Row],[CCCM]:[WASH]], tblPiNAnalysis[[#Headers],[CCCM]:[WASH]], "")))</f>
        <v>Shelter</v>
      </c>
      <c r="AK107" s="327">
        <f>IF(tblPiNAnalysis[[#This Row],[Highest PiN]]="", "", tblPiNAnalysis[[#This Row],[Highest PiN]]/tblPiNAnalysis[[#This Row],[Affected population projection 2026]])</f>
        <v>0.95348837209302328</v>
      </c>
      <c r="AL107" s="328" t="str">
        <f>IF(SUM(tblPiNAnalysis[[#This Row],[CCCM]:[WASH]])=0, "",IF(COUNTIF(tblPiNAnalysis[[#This Row],[CCCM]:[WASH]],"=0")+COUNTIF(tblPiNAnalysis[[#This Row],[CCCM]:[WASH]],"")&gt;=zero_pin_thresh, "Flagged", ""))</f>
        <v/>
      </c>
      <c r="AM107" s="329" t="str">
        <f>IFERROR(IF(tblPiNAnalysis[[#This Row],[Highest PiN]]="", "", IF(tblPiNAnalysis[[#This Row],[Highest sector(s'') PiN %]]&gt;=flag_pin_perc, "Flagged", "")), "")</f>
        <v>Flagged</v>
      </c>
      <c r="AN107" s="330" t="str" cm="1">
        <f t="array" ref="AN107">IF(tblPiNAnalysis[[#This Row],[Highest PiN]]=0, "",  IF(OR(COUNTIF(tblPiNAnalysis[[#This Row],[Highest sector(s)]],tblSubSectorPopulation[Sector])), "Flagged", ""))</f>
        <v/>
      </c>
      <c r="AO107" s="46" cm="1">
        <f t="array" ref="AO10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56785.48513022079</v>
      </c>
      <c r="AP107" s="331" t="str" cm="1">
        <f t="array" ref="AP107">IF(tblPiNAnalysis[[#This Row],[2nd Highest PiN]]="", "", _xlfn.TEXTJOIN(CHAR(10), TRUE, IF(tblPiNAnalysis[[#This Row],[2nd Highest PiN]]=tblPiNAnalysis[[#This Row],[CCCM]:[WASH]], tblPiNAnalysis[[#Headers],[CCCM]:[WASH]], "")))</f>
        <v>Food Security</v>
      </c>
      <c r="AQ107" s="36">
        <f>IFERROR(tblPiNAnalysis[[#This Row],[2nd Highest PiN]]/tblPiNAnalysis[[#This Row],[Affected population projection 2026]], "")</f>
        <v>0.73235688126230203</v>
      </c>
      <c r="AR107" s="46">
        <f>IFERROR(tblPiNAnalysis[[#This Row],[Highest PiN]]-tblPiNAnalysis[[#This Row],[2nd Highest PiN]], "")</f>
        <v>17146.092711995727</v>
      </c>
      <c r="AS107" s="39">
        <f>IFERROR(((tblPiNAnalysis[[#This Row],[Highest PiN]]-tblPiNAnalysis[[#This Row],[2nd Highest PiN]])/tblPiNAnalysis[[#This Row],[2nd Highest PiN]]),"")</f>
        <v>0.30194498951054505</v>
      </c>
      <c r="AT107" s="39" t="str" cm="1">
        <f t="array" ref="AT10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7" s="332" cm="1">
        <f t="array" ref="AU10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51691.997515696101</v>
      </c>
      <c r="AV107" s="190" t="str" cm="1">
        <f t="array" ref="AV107">IF(tblPiNAnalysis[[#This Row],[3rd Highest PiN]]="", "", _xlfn.TEXTJOIN(CHAR(10), TRUE, IF(tblPiNAnalysis[[#This Row],[3rd Highest PiN]]=tblPiNAnalysis[[#This Row],[CCCM]:[WASH]], tblPiNAnalysis[[#Headers],[CCCM]:[WASH]], "")))</f>
        <v>WASH</v>
      </c>
      <c r="AW107" s="190">
        <f>IFERROR(tblPiNAnalysis[[#This Row],[3rd Highest PiN]]/tblPiNAnalysis[[#This Row],[Affected population projection 2026]], "")</f>
        <v>0.66666666666666663</v>
      </c>
      <c r="AX107" s="45">
        <f>IFERROR(tblPiNAnalysis[[#This Row],[Highest PiN]]-tblPiNAnalysis[[#This Row],[3rd Highest PiN]],"")</f>
        <v>22239.580326520416</v>
      </c>
      <c r="AY107" s="39">
        <f>IFERROR(tblPiNAnalysis[[#This Row],[Difference of PiN between Highest and 3rd Highest]]/tblPiNAnalysis[[#This Row],[3rd Highest PiN]], "")</f>
        <v>0.43023255813953487</v>
      </c>
      <c r="AZ107" s="330" t="str" cm="1">
        <f t="array" ref="AZ10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7" s="300" t="str" cm="1">
        <f t="array" ref="BA107">IFERROR(IF(tblPiNAnalysis[[#This Row],[ID]]="", "", INDEX(tblPiNHistorical[[CCCM]:[WASH]], MATCH(tblPiNAnalysis[[#This Row],[ID]],tblPiNHistorical[ID], 0),MATCH(_xlfn._xlws.FILTER(tblPiNAnalysis[[#Headers],[CCCM]:[WASH]], tblPiNAnalysis[[#This Row],[Highest PiN]]=tblPiNAnalysis[[#This Row],[CCCM]:[WASH]]), tblPiNHistorical[[#Headers],[CCCM]:[WASH]], 0))), "")</f>
        <v/>
      </c>
      <c r="BB107" s="333" t="str" cm="1">
        <f t="array" ref="BB10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7" s="276" t="str" cm="1">
        <f t="array" ref="BC10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7" s="334" t="str" cm="1">
        <f t="array" ref="BD10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7" s="276">
        <f>INDEX(tblSeverityAnalysis[Final Severity], MATCH(tblPiNAnalysis[[#This Row],[ID]],tblSeverityAnalysis[ID], 0))</f>
        <v>4</v>
      </c>
      <c r="BF107" s="61">
        <f>IF(tblPiNAnalysis[[#This Row],[Severity]]&gt;2,tblPiNAnalysis[[#This Row],[Highest PiN]],)</f>
        <v>73931.577842216517</v>
      </c>
      <c r="BG107" s="191"/>
      <c r="BH107" s="192"/>
      <c r="BI107" s="193">
        <f>COUNTIFS(tblPiNAnalysis[[#This Row],[Number of missing / zero PiNs greater than threshold - Data quality]:[Manual Flag]],"Flagged")</f>
        <v>2</v>
      </c>
      <c r="BJ107" s="96" t="str">
        <f>IF(tblPiNAnalysis[[#This Row],['# Flags]]&gt;0, "Flagged", "")</f>
        <v>Flagged</v>
      </c>
      <c r="BK107" s="326">
        <f>tblPiNAnalysis[[#This Row],[Preliminary PiN]]</f>
        <v>73931.577842216517</v>
      </c>
      <c r="BL107" s="331"/>
    </row>
    <row r="108" spans="1:64" x14ac:dyDescent="0.55000000000000004">
      <c r="A10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SS0311</v>
      </c>
      <c r="B108" s="316" t="s">
        <v>268</v>
      </c>
      <c r="C108" s="317" t="s">
        <v>269</v>
      </c>
      <c r="D108" s="317" t="s">
        <v>290</v>
      </c>
      <c r="E108" s="105" t="s">
        <v>291</v>
      </c>
      <c r="F108" s="100"/>
      <c r="G108" s="34"/>
      <c r="H108" s="34"/>
      <c r="I108" s="97">
        <v>136551.06257292113</v>
      </c>
      <c r="J108" s="97" t="s">
        <v>413</v>
      </c>
      <c r="K108" s="318"/>
      <c r="L108" s="319">
        <v>33504.714917142221</v>
      </c>
      <c r="M108" s="319">
        <v>91212.578352857352</v>
      </c>
      <c r="N108" s="319">
        <v>111287.51700986865</v>
      </c>
      <c r="O108" s="319">
        <v>65466.945842073503</v>
      </c>
      <c r="P108" s="319">
        <v>47365</v>
      </c>
      <c r="Q108" s="320">
        <v>29586.063557466245</v>
      </c>
      <c r="R108" s="319">
        <v>113792.55214410093</v>
      </c>
      <c r="S108" s="319">
        <v>19912</v>
      </c>
      <c r="T108" s="319">
        <v>20586</v>
      </c>
      <c r="U108" s="319">
        <v>4760</v>
      </c>
      <c r="V108" s="319">
        <v>2743</v>
      </c>
      <c r="W108" s="321" t="str">
        <f>IFERROR(IF(tblPiNAnalysis[[#This Row],[CCCM]]="", "", MROUND(tblPiNAnalysis[[#This Row],[CCCM]]/tblPiNAnalysis[[#This Row],[Affected population projection 2026]], 0.05)), "")</f>
        <v/>
      </c>
      <c r="X108" s="322">
        <f>IFERROR(IF(tblPiNAnalysis[[#This Row],[Education]]="", "", MROUND(tblPiNAnalysis[[#This Row],[Education]]/tblPiNAnalysis[[#This Row],[Affected population projection 2026]], 0.05)), "")</f>
        <v>0.25</v>
      </c>
      <c r="Y108" s="322">
        <f>IFERROR(IF(tblPiNAnalysis[[#This Row],[Nutrition]]="", "", MROUND(tblPiNAnalysis[[#This Row],[Nutrition]]/tblPiNAnalysis[[#This Row],[Affected population projection 2026]], 0.05)), "")</f>
        <v>0.65</v>
      </c>
      <c r="Z108" s="322">
        <f>IFERROR(IF(tblPiNAnalysis[[#This Row],[Food Security]]="", "", MROUND(tblPiNAnalysis[[#This Row],[Food Security]]/tblPiNAnalysis[[#This Row],[Affected population projection 2026]], 0.05)), "")</f>
        <v>0.8</v>
      </c>
      <c r="AA108" s="322">
        <f>IFERROR(IF(tblPiNAnalysis[[#This Row],[Health]]="", "", MROUND(tblPiNAnalysis[[#This Row],[Health]]/tblPiNAnalysis[[#This Row],[Affected population projection 2026]], 0.05)), "")</f>
        <v>0.5</v>
      </c>
      <c r="AB108" s="323">
        <f>IFERROR(IF(tblPiNAnalysis[[#This Row],[Overarching Protection]]="", "", MROUND(tblPiNAnalysis[[#This Row],[Overarching Protection]]/tblPiNAnalysis[[#This Row],[Affected population projection 2026]], 0.05)), "")</f>
        <v>0.35000000000000003</v>
      </c>
      <c r="AC108" s="323">
        <f>IFERROR(IF(tblPiNAnalysis[[#This Row],[Shelter]]="", "", MROUND(tblPiNAnalysis[[#This Row],[Shelter]]/tblPiNAnalysis[[#This Row],[Affected population projection 2026]], 0.05)), "")</f>
        <v>0.2</v>
      </c>
      <c r="AD108" s="324">
        <f>IFERROR(IF(tblPiNAnalysis[[#This Row],[WASH]]="", "", MROUND(tblPiNAnalysis[[#This Row],[WASH]]/tblPiNAnalysis[[#This Row],[Affected population projection 2026]], 0.05)), "")</f>
        <v>0.85000000000000009</v>
      </c>
      <c r="AE108" s="322">
        <f>IFERROR(MROUND(tblPiNAnalysis[[#This Row],[CP]]/tblPiNAnalysis[[#This Row],[Affected population projection 2026]], 0.05), "")</f>
        <v>0.15000000000000002</v>
      </c>
      <c r="AF108" s="322">
        <f>IFERROR(MROUND(tblPiNAnalysis[[#This Row],[GBV]]/tblPiNAnalysis[[#This Row],[Affected population projection 2026]], 0.05), "")</f>
        <v>0.15000000000000002</v>
      </c>
      <c r="AG108" s="322">
        <f>IFERROR(MROUND(tblPiNAnalysis[[#This Row],[Mine Action]]/tblPiNAnalysis[[#This Row],[Affected population projection 2026]], 0.05), "")</f>
        <v>0.05</v>
      </c>
      <c r="AH108" s="322">
        <f>IFERROR(MROUND(tblPiNAnalysis[[#This Row],[HLP]]/tblPiNAnalysis[[#This Row],[Affected population projection 2026]], 0.05), "")</f>
        <v>0</v>
      </c>
      <c r="AI108" s="325">
        <f>IFERROR(LARGE(tblPiNAnalysis[[#This Row],[CCCM]:[WASH]], 1), "")</f>
        <v>113792.55214410093</v>
      </c>
      <c r="AJ108" s="326" t="str" cm="1">
        <f t="array" ref="AJ108">IF(tblPiNAnalysis[[#This Row],[Highest PiN]]="", "", _xlfn.TEXTJOIN(CHAR(10), TRUE, IF(tblPiNAnalysis[[#This Row],[Highest PiN]]=tblPiNAnalysis[[#This Row],[CCCM]:[WASH]], tblPiNAnalysis[[#Headers],[CCCM]:[WASH]], "")))</f>
        <v>WASH</v>
      </c>
      <c r="AK108" s="327">
        <f>IF(tblPiNAnalysis[[#This Row],[Highest PiN]]="", "", tblPiNAnalysis[[#This Row],[Highest PiN]]/tblPiNAnalysis[[#This Row],[Affected population projection 2026]])</f>
        <v>0.83333333333333326</v>
      </c>
      <c r="AL108" s="328" t="str">
        <f>IF(SUM(tblPiNAnalysis[[#This Row],[CCCM]:[WASH]])=0, "",IF(COUNTIF(tblPiNAnalysis[[#This Row],[CCCM]:[WASH]],"=0")+COUNTIF(tblPiNAnalysis[[#This Row],[CCCM]:[WASH]],"")&gt;=zero_pin_thresh, "Flagged", ""))</f>
        <v/>
      </c>
      <c r="AM108" s="329" t="str">
        <f>IFERROR(IF(tblPiNAnalysis[[#This Row],[Highest PiN]]="", "", IF(tblPiNAnalysis[[#This Row],[Highest sector(s'') PiN %]]&gt;=flag_pin_perc, "Flagged", "")), "")</f>
        <v/>
      </c>
      <c r="AN108" s="330" t="str" cm="1">
        <f t="array" ref="AN108">IF(tblPiNAnalysis[[#This Row],[Highest PiN]]=0, "",  IF(OR(COUNTIF(tblPiNAnalysis[[#This Row],[Highest sector(s)]],tblSubSectorPopulation[Sector])), "Flagged", ""))</f>
        <v/>
      </c>
      <c r="AO108" s="46" cm="1">
        <f t="array" ref="AO10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111287.51700986865</v>
      </c>
      <c r="AP108" s="331" t="str" cm="1">
        <f t="array" ref="AP108">IF(tblPiNAnalysis[[#This Row],[2nd Highest PiN]]="", "", _xlfn.TEXTJOIN(CHAR(10), TRUE, IF(tblPiNAnalysis[[#This Row],[2nd Highest PiN]]=tblPiNAnalysis[[#This Row],[CCCM]:[WASH]], tblPiNAnalysis[[#Headers],[CCCM]:[WASH]], "")))</f>
        <v>Food Security</v>
      </c>
      <c r="AQ108" s="36">
        <f>IFERROR(tblPiNAnalysis[[#This Row],[2nd Highest PiN]]/tblPiNAnalysis[[#This Row],[Affected population projection 2026]], "")</f>
        <v>0.81498829018953101</v>
      </c>
      <c r="AR108" s="46">
        <f>IFERROR(tblPiNAnalysis[[#This Row],[Highest PiN]]-tblPiNAnalysis[[#This Row],[2nd Highest PiN]], "")</f>
        <v>2505.0351342322829</v>
      </c>
      <c r="AS108" s="39">
        <f>IFERROR(((tblPiNAnalysis[[#This Row],[Highest PiN]]-tblPiNAnalysis[[#This Row],[2nd Highest PiN]])/tblPiNAnalysis[[#This Row],[2nd Highest PiN]]),"")</f>
        <v>2.2509578805771573E-2</v>
      </c>
      <c r="AT108" s="39" t="str" cm="1">
        <f t="array" ref="AT10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8" s="332" cm="1">
        <f t="array" ref="AU10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91212.578352857352</v>
      </c>
      <c r="AV108" s="190" t="str" cm="1">
        <f t="array" ref="AV108">IF(tblPiNAnalysis[[#This Row],[3rd Highest PiN]]="", "", _xlfn.TEXTJOIN(CHAR(10), TRUE, IF(tblPiNAnalysis[[#This Row],[3rd Highest PiN]]=tblPiNAnalysis[[#This Row],[CCCM]:[WASH]], tblPiNAnalysis[[#Headers],[CCCM]:[WASH]], "")))</f>
        <v>Nutrition</v>
      </c>
      <c r="AW108" s="190">
        <f>IFERROR(tblPiNAnalysis[[#This Row],[3rd Highest PiN]]/tblPiNAnalysis[[#This Row],[Affected population projection 2026]], "")</f>
        <v>0.66797413827627983</v>
      </c>
      <c r="AX108" s="45">
        <f>IFERROR(tblPiNAnalysis[[#This Row],[Highest PiN]]-tblPiNAnalysis[[#This Row],[3rd Highest PiN]],"")</f>
        <v>22579.973791243581</v>
      </c>
      <c r="AY108" s="39">
        <f>IFERROR(tblPiNAnalysis[[#This Row],[Difference of PiN between Highest and 3rd Highest]]/tblPiNAnalysis[[#This Row],[3rd Highest PiN]], "")</f>
        <v>0.2475532892392602</v>
      </c>
      <c r="AZ108" s="330" t="str" cm="1">
        <f t="array" ref="AZ10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8" s="300" t="str" cm="1">
        <f t="array" ref="BA108">IFERROR(IF(tblPiNAnalysis[[#This Row],[ID]]="", "", INDEX(tblPiNHistorical[[CCCM]:[WASH]], MATCH(tblPiNAnalysis[[#This Row],[ID]],tblPiNHistorical[ID], 0),MATCH(_xlfn._xlws.FILTER(tblPiNAnalysis[[#Headers],[CCCM]:[WASH]], tblPiNAnalysis[[#This Row],[Highest PiN]]=tblPiNAnalysis[[#This Row],[CCCM]:[WASH]]), tblPiNHistorical[[#Headers],[CCCM]:[WASH]], 0))), "")</f>
        <v/>
      </c>
      <c r="BB108" s="333" t="str" cm="1">
        <f t="array" ref="BB10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8" s="276" t="str" cm="1">
        <f t="array" ref="BC10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8" s="334" t="str" cm="1">
        <f t="array" ref="BD10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8" s="276">
        <f>INDEX(tblSeverityAnalysis[Final Severity], MATCH(tblPiNAnalysis[[#This Row],[ID]],tblSeverityAnalysis[ID], 0))</f>
        <v>4</v>
      </c>
      <c r="BF108" s="61">
        <f>IF(tblPiNAnalysis[[#This Row],[Severity]]&gt;2,tblPiNAnalysis[[#This Row],[Highest PiN]],)</f>
        <v>113792.55214410093</v>
      </c>
      <c r="BG108" s="191"/>
      <c r="BH108" s="192"/>
      <c r="BI108" s="193">
        <f>COUNTIFS(tblPiNAnalysis[[#This Row],[Number of missing / zero PiNs greater than threshold - Data quality]:[Manual Flag]],"Flagged")</f>
        <v>0</v>
      </c>
      <c r="BJ108" s="96" t="str">
        <f>IF(tblPiNAnalysis[[#This Row],['# Flags]]&gt;0, "Flagged", "")</f>
        <v/>
      </c>
      <c r="BK108" s="326">
        <f>tblPiNAnalysis[[#This Row],[Preliminary PiN]]</f>
        <v>113792.55214410093</v>
      </c>
      <c r="BL108" s="331"/>
    </row>
    <row r="109" spans="1:64" x14ac:dyDescent="0.55000000000000004">
      <c r="A10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SS0401</v>
      </c>
      <c r="B109" s="316" t="s">
        <v>292</v>
      </c>
      <c r="C109" s="317" t="s">
        <v>293</v>
      </c>
      <c r="D109" s="317" t="s">
        <v>294</v>
      </c>
      <c r="E109" s="105" t="s">
        <v>295</v>
      </c>
      <c r="F109" s="100"/>
      <c r="G109" s="34"/>
      <c r="H109" s="34"/>
      <c r="I109" s="97">
        <v>73916.557684246116</v>
      </c>
      <c r="J109" s="97" t="s">
        <v>413</v>
      </c>
      <c r="K109" s="318"/>
      <c r="L109" s="319">
        <v>28316.767999815525</v>
      </c>
      <c r="M109" s="319">
        <v>33140.051502320777</v>
      </c>
      <c r="N109" s="319">
        <v>48041.145218213831</v>
      </c>
      <c r="O109" s="319">
        <v>36149.518888864797</v>
      </c>
      <c r="P109" s="319">
        <v>12054</v>
      </c>
      <c r="Q109" s="320">
        <v>46197.848552653828</v>
      </c>
      <c r="R109" s="319">
        <v>55437.418263184583</v>
      </c>
      <c r="S109" s="319">
        <v>4967</v>
      </c>
      <c r="T109" s="319">
        <v>6711</v>
      </c>
      <c r="U109" s="319">
        <v>2874</v>
      </c>
      <c r="V109" s="319">
        <v>1343</v>
      </c>
      <c r="W109" s="321" t="str">
        <f>IFERROR(IF(tblPiNAnalysis[[#This Row],[CCCM]]="", "", MROUND(tblPiNAnalysis[[#This Row],[CCCM]]/tblPiNAnalysis[[#This Row],[Affected population projection 2026]], 0.05)), "")</f>
        <v/>
      </c>
      <c r="X109" s="322">
        <f>IFERROR(IF(tblPiNAnalysis[[#This Row],[Education]]="", "", MROUND(tblPiNAnalysis[[#This Row],[Education]]/tblPiNAnalysis[[#This Row],[Affected population projection 2026]], 0.05)), "")</f>
        <v>0.4</v>
      </c>
      <c r="Y109" s="322">
        <f>IFERROR(IF(tblPiNAnalysis[[#This Row],[Nutrition]]="", "", MROUND(tblPiNAnalysis[[#This Row],[Nutrition]]/tblPiNAnalysis[[#This Row],[Affected population projection 2026]], 0.05)), "")</f>
        <v>0.45</v>
      </c>
      <c r="Z109" s="322">
        <f>IFERROR(IF(tblPiNAnalysis[[#This Row],[Food Security]]="", "", MROUND(tblPiNAnalysis[[#This Row],[Food Security]]/tblPiNAnalysis[[#This Row],[Affected population projection 2026]], 0.05)), "")</f>
        <v>0.65</v>
      </c>
      <c r="AA109" s="322">
        <f>IFERROR(IF(tblPiNAnalysis[[#This Row],[Health]]="", "", MROUND(tblPiNAnalysis[[#This Row],[Health]]/tblPiNAnalysis[[#This Row],[Affected population projection 2026]], 0.05)), "")</f>
        <v>0.5</v>
      </c>
      <c r="AB109" s="323">
        <f>IFERROR(IF(tblPiNAnalysis[[#This Row],[Overarching Protection]]="", "", MROUND(tblPiNAnalysis[[#This Row],[Overarching Protection]]/tblPiNAnalysis[[#This Row],[Affected population projection 2026]], 0.05)), "")</f>
        <v>0.15000000000000002</v>
      </c>
      <c r="AC109" s="323">
        <f>IFERROR(IF(tblPiNAnalysis[[#This Row],[Shelter]]="", "", MROUND(tblPiNAnalysis[[#This Row],[Shelter]]/tblPiNAnalysis[[#This Row],[Affected population projection 2026]], 0.05)), "")</f>
        <v>0.65</v>
      </c>
      <c r="AD109" s="324">
        <f>IFERROR(IF(tblPiNAnalysis[[#This Row],[WASH]]="", "", MROUND(tblPiNAnalysis[[#This Row],[WASH]]/tblPiNAnalysis[[#This Row],[Affected population projection 2026]], 0.05)), "")</f>
        <v>0.75</v>
      </c>
      <c r="AE109" s="322">
        <f>IFERROR(MROUND(tblPiNAnalysis[[#This Row],[CP]]/tblPiNAnalysis[[#This Row],[Affected population projection 2026]], 0.05), "")</f>
        <v>0.05</v>
      </c>
      <c r="AF109" s="322">
        <f>IFERROR(MROUND(tblPiNAnalysis[[#This Row],[GBV]]/tblPiNAnalysis[[#This Row],[Affected population projection 2026]], 0.05), "")</f>
        <v>0.1</v>
      </c>
      <c r="AG109" s="322">
        <f>IFERROR(MROUND(tblPiNAnalysis[[#This Row],[Mine Action]]/tblPiNAnalysis[[#This Row],[Affected population projection 2026]], 0.05), "")</f>
        <v>0.05</v>
      </c>
      <c r="AH109" s="322">
        <f>IFERROR(MROUND(tblPiNAnalysis[[#This Row],[HLP]]/tblPiNAnalysis[[#This Row],[Affected population projection 2026]], 0.05), "")</f>
        <v>0</v>
      </c>
      <c r="AI109" s="325">
        <f>IFERROR(LARGE(tblPiNAnalysis[[#This Row],[CCCM]:[WASH]], 1), "")</f>
        <v>55437.418263184583</v>
      </c>
      <c r="AJ109" s="326" t="str" cm="1">
        <f t="array" ref="AJ109">IF(tblPiNAnalysis[[#This Row],[Highest PiN]]="", "", _xlfn.TEXTJOIN(CHAR(10), TRUE, IF(tblPiNAnalysis[[#This Row],[Highest PiN]]=tblPiNAnalysis[[#This Row],[CCCM]:[WASH]], tblPiNAnalysis[[#Headers],[CCCM]:[WASH]], "")))</f>
        <v>WASH</v>
      </c>
      <c r="AK109" s="327">
        <f>IF(tblPiNAnalysis[[#This Row],[Highest PiN]]="", "", tblPiNAnalysis[[#This Row],[Highest PiN]]/tblPiNAnalysis[[#This Row],[Affected population projection 2026]])</f>
        <v>0.75</v>
      </c>
      <c r="AL109" s="328" t="str">
        <f>IF(SUM(tblPiNAnalysis[[#This Row],[CCCM]:[WASH]])=0, "",IF(COUNTIF(tblPiNAnalysis[[#This Row],[CCCM]:[WASH]],"=0")+COUNTIF(tblPiNAnalysis[[#This Row],[CCCM]:[WASH]],"")&gt;=zero_pin_thresh, "Flagged", ""))</f>
        <v/>
      </c>
      <c r="AM109" s="329" t="str">
        <f>IFERROR(IF(tblPiNAnalysis[[#This Row],[Highest PiN]]="", "", IF(tblPiNAnalysis[[#This Row],[Highest sector(s'') PiN %]]&gt;=flag_pin_perc, "Flagged", "")), "")</f>
        <v/>
      </c>
      <c r="AN109" s="330" t="str" cm="1">
        <f t="array" ref="AN109">IF(tblPiNAnalysis[[#This Row],[Highest PiN]]=0, "",  IF(OR(COUNTIF(tblPiNAnalysis[[#This Row],[Highest sector(s)]],tblSubSectorPopulation[Sector])), "Flagged", ""))</f>
        <v/>
      </c>
      <c r="AO109" s="46" cm="1">
        <f t="array" ref="AO10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48041.145218213831</v>
      </c>
      <c r="AP109" s="331" t="str" cm="1">
        <f t="array" ref="AP109">IF(tblPiNAnalysis[[#This Row],[2nd Highest PiN]]="", "", _xlfn.TEXTJOIN(CHAR(10), TRUE, IF(tblPiNAnalysis[[#This Row],[2nd Highest PiN]]=tblPiNAnalysis[[#This Row],[CCCM]:[WASH]], tblPiNAnalysis[[#Headers],[CCCM]:[WASH]], "")))</f>
        <v>Food Security</v>
      </c>
      <c r="AQ109" s="36">
        <f>IFERROR(tblPiNAnalysis[[#This Row],[2nd Highest PiN]]/tblPiNAnalysis[[#This Row],[Affected population projection 2026]], "")</f>
        <v>0.64993753393433351</v>
      </c>
      <c r="AR109" s="46">
        <f>IFERROR(tblPiNAnalysis[[#This Row],[Highest PiN]]-tblPiNAnalysis[[#This Row],[2nd Highest PiN]], "")</f>
        <v>7396.2730449707524</v>
      </c>
      <c r="AS109" s="39">
        <f>IFERROR(((tblPiNAnalysis[[#This Row],[Highest PiN]]-tblPiNAnalysis[[#This Row],[2nd Highest PiN]])/tblPiNAnalysis[[#This Row],[2nd Highest PiN]]),"")</f>
        <v>0.15395705101065335</v>
      </c>
      <c r="AT109" s="39" t="str" cm="1">
        <f t="array" ref="AT10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9" s="332" cm="1">
        <f t="array" ref="AU10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46197.848552653828</v>
      </c>
      <c r="AV109" s="190" t="str" cm="1">
        <f t="array" ref="AV109">IF(tblPiNAnalysis[[#This Row],[3rd Highest PiN]]="", "", _xlfn.TEXTJOIN(CHAR(10), TRUE, IF(tblPiNAnalysis[[#This Row],[3rd Highest PiN]]=tblPiNAnalysis[[#This Row],[CCCM]:[WASH]], tblPiNAnalysis[[#Headers],[CCCM]:[WASH]], "")))</f>
        <v>Shelter</v>
      </c>
      <c r="AW109" s="190">
        <f>IFERROR(tblPiNAnalysis[[#This Row],[3rd Highest PiN]]/tblPiNAnalysis[[#This Row],[Affected population projection 2026]], "")</f>
        <v>0.62500000000000011</v>
      </c>
      <c r="AX109" s="45">
        <f>IFERROR(tblPiNAnalysis[[#This Row],[Highest PiN]]-tblPiNAnalysis[[#This Row],[3rd Highest PiN]],"")</f>
        <v>9239.5697105307554</v>
      </c>
      <c r="AY109" s="39">
        <f>IFERROR(tblPiNAnalysis[[#This Row],[Difference of PiN between Highest and 3rd Highest]]/tblPiNAnalysis[[#This Row],[3rd Highest PiN]], "")</f>
        <v>0.19999999999999979</v>
      </c>
      <c r="AZ109" s="330" t="str" cm="1">
        <f t="array" ref="AZ10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9" s="300" t="str" cm="1">
        <f t="array" ref="BA109">IFERROR(IF(tblPiNAnalysis[[#This Row],[ID]]="", "", INDEX(tblPiNHistorical[[CCCM]:[WASH]], MATCH(tblPiNAnalysis[[#This Row],[ID]],tblPiNHistorical[ID], 0),MATCH(_xlfn._xlws.FILTER(tblPiNAnalysis[[#Headers],[CCCM]:[WASH]], tblPiNAnalysis[[#This Row],[Highest PiN]]=tblPiNAnalysis[[#This Row],[CCCM]:[WASH]]), tblPiNHistorical[[#Headers],[CCCM]:[WASH]], 0))), "")</f>
        <v/>
      </c>
      <c r="BB109" s="333" t="str" cm="1">
        <f t="array" ref="BB10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9" s="276" t="str" cm="1">
        <f t="array" ref="BC10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9" s="334" t="str" cm="1">
        <f t="array" ref="BD10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9" s="276">
        <f>INDEX(tblSeverityAnalysis[Final Severity], MATCH(tblPiNAnalysis[[#This Row],[ID]],tblSeverityAnalysis[ID], 0))</f>
        <v>3</v>
      </c>
      <c r="BF109" s="61">
        <f>IF(tblPiNAnalysis[[#This Row],[Severity]]&gt;2,tblPiNAnalysis[[#This Row],[Highest PiN]],)</f>
        <v>55437.418263184583</v>
      </c>
      <c r="BG109" s="191"/>
      <c r="BH109" s="192"/>
      <c r="BI109" s="193">
        <f>COUNTIFS(tblPiNAnalysis[[#This Row],[Number of missing / zero PiNs greater than threshold - Data quality]:[Manual Flag]],"Flagged")</f>
        <v>0</v>
      </c>
      <c r="BJ109" s="96" t="str">
        <f>IF(tblPiNAnalysis[[#This Row],['# Flags]]&gt;0, "Flagged", "")</f>
        <v/>
      </c>
      <c r="BK109" s="326">
        <f>tblPiNAnalysis[[#This Row],[Preliminary PiN]]</f>
        <v>55437.418263184583</v>
      </c>
      <c r="BL109" s="331"/>
    </row>
    <row r="110" spans="1:64" x14ac:dyDescent="0.55000000000000004">
      <c r="A11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SS0402</v>
      </c>
      <c r="B110" s="316" t="s">
        <v>292</v>
      </c>
      <c r="C110" s="317" t="s">
        <v>293</v>
      </c>
      <c r="D110" s="317" t="s">
        <v>296</v>
      </c>
      <c r="E110" s="105" t="s">
        <v>297</v>
      </c>
      <c r="F110" s="100"/>
      <c r="G110" s="34"/>
      <c r="H110" s="34"/>
      <c r="I110" s="97">
        <v>143892.97660154747</v>
      </c>
      <c r="J110" s="97" t="s">
        <v>413</v>
      </c>
      <c r="K110" s="318"/>
      <c r="L110" s="319">
        <v>40309.746786227704</v>
      </c>
      <c r="M110" s="319">
        <v>60960.105528764623</v>
      </c>
      <c r="N110" s="319">
        <v>74557.836210395471</v>
      </c>
      <c r="O110" s="319">
        <v>60316.192018614078</v>
      </c>
      <c r="P110" s="319">
        <v>25325</v>
      </c>
      <c r="Q110" s="320">
        <v>45865.886291743263</v>
      </c>
      <c r="R110" s="319">
        <v>94596.308691758051</v>
      </c>
      <c r="S110" s="319">
        <v>20531</v>
      </c>
      <c r="T110" s="319">
        <v>12966</v>
      </c>
      <c r="U110" s="319">
        <v>4944</v>
      </c>
      <c r="V110" s="319">
        <v>3204</v>
      </c>
      <c r="W110" s="321" t="str">
        <f>IFERROR(IF(tblPiNAnalysis[[#This Row],[CCCM]]="", "", MROUND(tblPiNAnalysis[[#This Row],[CCCM]]/tblPiNAnalysis[[#This Row],[Affected population projection 2026]], 0.05)), "")</f>
        <v/>
      </c>
      <c r="X110" s="322">
        <f>IFERROR(IF(tblPiNAnalysis[[#This Row],[Education]]="", "", MROUND(tblPiNAnalysis[[#This Row],[Education]]/tblPiNAnalysis[[#This Row],[Affected population projection 2026]], 0.05)), "")</f>
        <v>0.30000000000000004</v>
      </c>
      <c r="Y110" s="322">
        <f>IFERROR(IF(tblPiNAnalysis[[#This Row],[Nutrition]]="", "", MROUND(tblPiNAnalysis[[#This Row],[Nutrition]]/tblPiNAnalysis[[#This Row],[Affected population projection 2026]], 0.05)), "")</f>
        <v>0.4</v>
      </c>
      <c r="Z110" s="322">
        <f>IFERROR(IF(tblPiNAnalysis[[#This Row],[Food Security]]="", "", MROUND(tblPiNAnalysis[[#This Row],[Food Security]]/tblPiNAnalysis[[#This Row],[Affected population projection 2026]], 0.05)), "")</f>
        <v>0.5</v>
      </c>
      <c r="AA110" s="322">
        <f>IFERROR(IF(tblPiNAnalysis[[#This Row],[Health]]="", "", MROUND(tblPiNAnalysis[[#This Row],[Health]]/tblPiNAnalysis[[#This Row],[Affected population projection 2026]], 0.05)), "")</f>
        <v>0.4</v>
      </c>
      <c r="AB110" s="323">
        <f>IFERROR(IF(tblPiNAnalysis[[#This Row],[Overarching Protection]]="", "", MROUND(tblPiNAnalysis[[#This Row],[Overarching Protection]]/tblPiNAnalysis[[#This Row],[Affected population projection 2026]], 0.05)), "")</f>
        <v>0.2</v>
      </c>
      <c r="AC110" s="323">
        <f>IFERROR(IF(tblPiNAnalysis[[#This Row],[Shelter]]="", "", MROUND(tblPiNAnalysis[[#This Row],[Shelter]]/tblPiNAnalysis[[#This Row],[Affected population projection 2026]], 0.05)), "")</f>
        <v>0.30000000000000004</v>
      </c>
      <c r="AD110" s="324">
        <f>IFERROR(IF(tblPiNAnalysis[[#This Row],[WASH]]="", "", MROUND(tblPiNAnalysis[[#This Row],[WASH]]/tblPiNAnalysis[[#This Row],[Affected population projection 2026]], 0.05)), "")</f>
        <v>0.65</v>
      </c>
      <c r="AE110" s="322">
        <f>IFERROR(MROUND(tblPiNAnalysis[[#This Row],[CP]]/tblPiNAnalysis[[#This Row],[Affected population projection 2026]], 0.05), "")</f>
        <v>0.15000000000000002</v>
      </c>
      <c r="AF110" s="322">
        <f>IFERROR(MROUND(tblPiNAnalysis[[#This Row],[GBV]]/tblPiNAnalysis[[#This Row],[Affected population projection 2026]], 0.05), "")</f>
        <v>0.1</v>
      </c>
      <c r="AG110" s="322">
        <f>IFERROR(MROUND(tblPiNAnalysis[[#This Row],[Mine Action]]/tblPiNAnalysis[[#This Row],[Affected population projection 2026]], 0.05), "")</f>
        <v>0.05</v>
      </c>
      <c r="AH110" s="322">
        <f>IFERROR(MROUND(tblPiNAnalysis[[#This Row],[HLP]]/tblPiNAnalysis[[#This Row],[Affected population projection 2026]], 0.05), "")</f>
        <v>0</v>
      </c>
      <c r="AI110" s="325">
        <f>IFERROR(LARGE(tblPiNAnalysis[[#This Row],[CCCM]:[WASH]], 1), "")</f>
        <v>94596.308691758051</v>
      </c>
      <c r="AJ110" s="326" t="str" cm="1">
        <f t="array" ref="AJ110">IF(tblPiNAnalysis[[#This Row],[Highest PiN]]="", "", _xlfn.TEXTJOIN(CHAR(10), TRUE, IF(tblPiNAnalysis[[#This Row],[Highest PiN]]=tblPiNAnalysis[[#This Row],[CCCM]:[WASH]], tblPiNAnalysis[[#Headers],[CCCM]:[WASH]], "")))</f>
        <v>WASH</v>
      </c>
      <c r="AK110" s="327">
        <f>IF(tblPiNAnalysis[[#This Row],[Highest PiN]]="", "", tblPiNAnalysis[[#This Row],[Highest PiN]]/tblPiNAnalysis[[#This Row],[Affected population projection 2026]])</f>
        <v>0.65740740740740733</v>
      </c>
      <c r="AL110" s="328" t="str">
        <f>IF(SUM(tblPiNAnalysis[[#This Row],[CCCM]:[WASH]])=0, "",IF(COUNTIF(tblPiNAnalysis[[#This Row],[CCCM]:[WASH]],"=0")+COUNTIF(tblPiNAnalysis[[#This Row],[CCCM]:[WASH]],"")&gt;=zero_pin_thresh, "Flagged", ""))</f>
        <v/>
      </c>
      <c r="AM110" s="329" t="str">
        <f>IFERROR(IF(tblPiNAnalysis[[#This Row],[Highest PiN]]="", "", IF(tblPiNAnalysis[[#This Row],[Highest sector(s'') PiN %]]&gt;=flag_pin_perc, "Flagged", "")), "")</f>
        <v/>
      </c>
      <c r="AN110" s="330" t="str" cm="1">
        <f t="array" ref="AN110">IF(tblPiNAnalysis[[#This Row],[Highest PiN]]=0, "",  IF(OR(COUNTIF(tblPiNAnalysis[[#This Row],[Highest sector(s)]],tblSubSectorPopulation[Sector])), "Flagged", ""))</f>
        <v/>
      </c>
      <c r="AO110" s="46" cm="1">
        <f t="array" ref="AO1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74557.836210395471</v>
      </c>
      <c r="AP110" s="331" t="str" cm="1">
        <f t="array" ref="AP110">IF(tblPiNAnalysis[[#This Row],[2nd Highest PiN]]="", "", _xlfn.TEXTJOIN(CHAR(10), TRUE, IF(tblPiNAnalysis[[#This Row],[2nd Highest PiN]]=tblPiNAnalysis[[#This Row],[CCCM]:[WASH]], tblPiNAnalysis[[#Headers],[CCCM]:[WASH]], "")))</f>
        <v>Food Security</v>
      </c>
      <c r="AQ110" s="36">
        <f>IFERROR(tblPiNAnalysis[[#This Row],[2nd Highest PiN]]/tblPiNAnalysis[[#This Row],[Affected population projection 2026]], "")</f>
        <v>0.51814784829180915</v>
      </c>
      <c r="AR110" s="46">
        <f>IFERROR(tblPiNAnalysis[[#This Row],[Highest PiN]]-tblPiNAnalysis[[#This Row],[2nd Highest PiN]], "")</f>
        <v>20038.47248136258</v>
      </c>
      <c r="AS110" s="39">
        <f>IFERROR(((tblPiNAnalysis[[#This Row],[Highest PiN]]-tblPiNAnalysis[[#This Row],[2nd Highest PiN]])/tblPiNAnalysis[[#This Row],[2nd Highest PiN]]),"")</f>
        <v>0.26876413667392146</v>
      </c>
      <c r="AT110" s="39" t="str" cm="1">
        <f t="array" ref="AT1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0" s="332" cm="1">
        <f t="array" ref="AU1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60960.105528764623</v>
      </c>
      <c r="AV110" s="190" t="str" cm="1">
        <f t="array" ref="AV110">IF(tblPiNAnalysis[[#This Row],[3rd Highest PiN]]="", "", _xlfn.TEXTJOIN(CHAR(10), TRUE, IF(tblPiNAnalysis[[#This Row],[3rd Highest PiN]]=tblPiNAnalysis[[#This Row],[CCCM]:[WASH]], tblPiNAnalysis[[#Headers],[CCCM]:[WASH]], "")))</f>
        <v>Nutrition</v>
      </c>
      <c r="AW110" s="190">
        <f>IFERROR(tblPiNAnalysis[[#This Row],[3rd Highest PiN]]/tblPiNAnalysis[[#This Row],[Affected population projection 2026]], "")</f>
        <v>0.42364892970119461</v>
      </c>
      <c r="AX110" s="45">
        <f>IFERROR(tblPiNAnalysis[[#This Row],[Highest PiN]]-tblPiNAnalysis[[#This Row],[3rd Highest PiN]],"")</f>
        <v>33636.203162993428</v>
      </c>
      <c r="AY110" s="39">
        <f>IFERROR(tblPiNAnalysis[[#This Row],[Difference of PiN between Highest and 3rd Highest]]/tblPiNAnalysis[[#This Row],[3rd Highest PiN]], "")</f>
        <v>0.55177403108532774</v>
      </c>
      <c r="AZ110" s="330" t="str" cm="1">
        <f t="array" ref="AZ1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0" s="300" t="str" cm="1">
        <f t="array" ref="BA110">IFERROR(IF(tblPiNAnalysis[[#This Row],[ID]]="", "", INDEX(tblPiNHistorical[[CCCM]:[WASH]], MATCH(tblPiNAnalysis[[#This Row],[ID]],tblPiNHistorical[ID], 0),MATCH(_xlfn._xlws.FILTER(tblPiNAnalysis[[#Headers],[CCCM]:[WASH]], tblPiNAnalysis[[#This Row],[Highest PiN]]=tblPiNAnalysis[[#This Row],[CCCM]:[WASH]]), tblPiNHistorical[[#Headers],[CCCM]:[WASH]], 0))), "")</f>
        <v/>
      </c>
      <c r="BB110" s="333" t="str" cm="1">
        <f t="array" ref="BB1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0" s="276" t="str" cm="1">
        <f t="array" ref="BC11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0" s="334" t="str" cm="1">
        <f t="array" ref="BD1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0" s="276">
        <f>INDEX(tblSeverityAnalysis[Final Severity], MATCH(tblPiNAnalysis[[#This Row],[ID]],tblSeverityAnalysis[ID], 0))</f>
        <v>3</v>
      </c>
      <c r="BF110" s="61">
        <f>IF(tblPiNAnalysis[[#This Row],[Severity]]&gt;2,tblPiNAnalysis[[#This Row],[Highest PiN]],)</f>
        <v>94596.308691758051</v>
      </c>
      <c r="BG110" s="191"/>
      <c r="BH110" s="192"/>
      <c r="BI110" s="193">
        <f>COUNTIFS(tblPiNAnalysis[[#This Row],[Number of missing / zero PiNs greater than threshold - Data quality]:[Manual Flag]],"Flagged")</f>
        <v>1</v>
      </c>
      <c r="BJ110" s="96" t="str">
        <f>IF(tblPiNAnalysis[[#This Row],['# Flags]]&gt;0, "Flagged", "")</f>
        <v>Flagged</v>
      </c>
      <c r="BK110" s="326">
        <f>tblPiNAnalysis[[#This Row],[Preliminary PiN]]</f>
        <v>94596.308691758051</v>
      </c>
      <c r="BL110" s="331"/>
    </row>
    <row r="111" spans="1:64" x14ac:dyDescent="0.55000000000000004">
      <c r="A11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SS0403</v>
      </c>
      <c r="B111" s="316" t="s">
        <v>292</v>
      </c>
      <c r="C111" s="317" t="s">
        <v>293</v>
      </c>
      <c r="D111" s="317" t="s">
        <v>298</v>
      </c>
      <c r="E111" s="105" t="s">
        <v>299</v>
      </c>
      <c r="F111" s="100"/>
      <c r="G111" s="34"/>
      <c r="H111" s="34"/>
      <c r="I111" s="97">
        <v>170865.34327385121</v>
      </c>
      <c r="J111" s="97" t="s">
        <v>413</v>
      </c>
      <c r="K111" s="318"/>
      <c r="L111" s="319">
        <v>45062.31698161277</v>
      </c>
      <c r="M111" s="319">
        <v>71721.243285350851</v>
      </c>
      <c r="N111" s="319">
        <v>122051.75161431311</v>
      </c>
      <c r="O111" s="319">
        <v>85666.530459267466</v>
      </c>
      <c r="P111" s="319">
        <v>31928</v>
      </c>
      <c r="Q111" s="320">
        <v>125533.7215889519</v>
      </c>
      <c r="R111" s="319">
        <v>83081.313701964347</v>
      </c>
      <c r="S111" s="319">
        <v>16187</v>
      </c>
      <c r="T111" s="319">
        <v>15308</v>
      </c>
      <c r="U111" s="319">
        <v>6258</v>
      </c>
      <c r="V111" s="319">
        <v>1767</v>
      </c>
      <c r="W111" s="321" t="str">
        <f>IFERROR(IF(tblPiNAnalysis[[#This Row],[CCCM]]="", "", MROUND(tblPiNAnalysis[[#This Row],[CCCM]]/tblPiNAnalysis[[#This Row],[Affected population projection 2026]], 0.05)), "")</f>
        <v/>
      </c>
      <c r="X111" s="322">
        <f>IFERROR(IF(tblPiNAnalysis[[#This Row],[Education]]="", "", MROUND(tblPiNAnalysis[[#This Row],[Education]]/tblPiNAnalysis[[#This Row],[Affected population projection 2026]], 0.05)), "")</f>
        <v>0.25</v>
      </c>
      <c r="Y111" s="322">
        <f>IFERROR(IF(tblPiNAnalysis[[#This Row],[Nutrition]]="", "", MROUND(tblPiNAnalysis[[#This Row],[Nutrition]]/tblPiNAnalysis[[#This Row],[Affected population projection 2026]], 0.05)), "")</f>
        <v>0.4</v>
      </c>
      <c r="Z111" s="322">
        <f>IFERROR(IF(tblPiNAnalysis[[#This Row],[Food Security]]="", "", MROUND(tblPiNAnalysis[[#This Row],[Food Security]]/tblPiNAnalysis[[#This Row],[Affected population projection 2026]], 0.05)), "")</f>
        <v>0.70000000000000007</v>
      </c>
      <c r="AA111" s="322">
        <f>IFERROR(IF(tblPiNAnalysis[[#This Row],[Health]]="", "", MROUND(tblPiNAnalysis[[#This Row],[Health]]/tblPiNAnalysis[[#This Row],[Affected population projection 2026]], 0.05)), "")</f>
        <v>0.5</v>
      </c>
      <c r="AB111" s="323">
        <f>IFERROR(IF(tblPiNAnalysis[[#This Row],[Overarching Protection]]="", "", MROUND(tblPiNAnalysis[[#This Row],[Overarching Protection]]/tblPiNAnalysis[[#This Row],[Affected population projection 2026]], 0.05)), "")</f>
        <v>0.2</v>
      </c>
      <c r="AC111" s="323">
        <f>IFERROR(IF(tblPiNAnalysis[[#This Row],[Shelter]]="", "", MROUND(tblPiNAnalysis[[#This Row],[Shelter]]/tblPiNAnalysis[[#This Row],[Affected population projection 2026]], 0.05)), "")</f>
        <v>0.75</v>
      </c>
      <c r="AD111" s="324">
        <f>IFERROR(IF(tblPiNAnalysis[[#This Row],[WASH]]="", "", MROUND(tblPiNAnalysis[[#This Row],[WASH]]/tblPiNAnalysis[[#This Row],[Affected population projection 2026]], 0.05)), "")</f>
        <v>0.5</v>
      </c>
      <c r="AE111" s="322">
        <f>IFERROR(MROUND(tblPiNAnalysis[[#This Row],[CP]]/tblPiNAnalysis[[#This Row],[Affected population projection 2026]], 0.05), "")</f>
        <v>0.1</v>
      </c>
      <c r="AF111" s="322">
        <f>IFERROR(MROUND(tblPiNAnalysis[[#This Row],[GBV]]/tblPiNAnalysis[[#This Row],[Affected population projection 2026]], 0.05), "")</f>
        <v>0.1</v>
      </c>
      <c r="AG111" s="322">
        <f>IFERROR(MROUND(tblPiNAnalysis[[#This Row],[Mine Action]]/tblPiNAnalysis[[#This Row],[Affected population projection 2026]], 0.05), "")</f>
        <v>0.05</v>
      </c>
      <c r="AH111" s="322">
        <f>IFERROR(MROUND(tblPiNAnalysis[[#This Row],[HLP]]/tblPiNAnalysis[[#This Row],[Affected population projection 2026]], 0.05), "")</f>
        <v>0</v>
      </c>
      <c r="AI111" s="325">
        <f>IFERROR(LARGE(tblPiNAnalysis[[#This Row],[CCCM]:[WASH]], 1), "")</f>
        <v>125533.7215889519</v>
      </c>
      <c r="AJ111" s="326" t="str" cm="1">
        <f t="array" ref="AJ111">IF(tblPiNAnalysis[[#This Row],[Highest PiN]]="", "", _xlfn.TEXTJOIN(CHAR(10), TRUE, IF(tblPiNAnalysis[[#This Row],[Highest PiN]]=tblPiNAnalysis[[#This Row],[CCCM]:[WASH]], tblPiNAnalysis[[#Headers],[CCCM]:[WASH]], "")))</f>
        <v>Shelter</v>
      </c>
      <c r="AK111" s="327">
        <f>IF(tblPiNAnalysis[[#This Row],[Highest PiN]]="", "", tblPiNAnalysis[[#This Row],[Highest PiN]]/tblPiNAnalysis[[#This Row],[Affected population projection 2026]])</f>
        <v>0.73469387755102034</v>
      </c>
      <c r="AL111" s="328" t="str">
        <f>IF(SUM(tblPiNAnalysis[[#This Row],[CCCM]:[WASH]])=0, "",IF(COUNTIF(tblPiNAnalysis[[#This Row],[CCCM]:[WASH]],"=0")+COUNTIF(tblPiNAnalysis[[#This Row],[CCCM]:[WASH]],"")&gt;=zero_pin_thresh, "Flagged", ""))</f>
        <v/>
      </c>
      <c r="AM111" s="329" t="str">
        <f>IFERROR(IF(tblPiNAnalysis[[#This Row],[Highest PiN]]="", "", IF(tblPiNAnalysis[[#This Row],[Highest sector(s'') PiN %]]&gt;=flag_pin_perc, "Flagged", "")), "")</f>
        <v/>
      </c>
      <c r="AN111" s="330" t="str" cm="1">
        <f t="array" ref="AN111">IF(tblPiNAnalysis[[#This Row],[Highest PiN]]=0, "",  IF(OR(COUNTIF(tblPiNAnalysis[[#This Row],[Highest sector(s)]],tblSubSectorPopulation[Sector])), "Flagged", ""))</f>
        <v/>
      </c>
      <c r="AO111" s="46" cm="1">
        <f t="array" ref="AO1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122051.75161431311</v>
      </c>
      <c r="AP111" s="331" t="str" cm="1">
        <f t="array" ref="AP111">IF(tblPiNAnalysis[[#This Row],[2nd Highest PiN]]="", "", _xlfn.TEXTJOIN(CHAR(10), TRUE, IF(tblPiNAnalysis[[#This Row],[2nd Highest PiN]]=tblPiNAnalysis[[#This Row],[CCCM]:[WASH]], tblPiNAnalysis[[#Headers],[CCCM]:[WASH]], "")))</f>
        <v>Food Security</v>
      </c>
      <c r="AQ111" s="36">
        <f>IFERROR(tblPiNAnalysis[[#This Row],[2nd Highest PiN]]/tblPiNAnalysis[[#This Row],[Affected population projection 2026]], "")</f>
        <v>0.71431543270127618</v>
      </c>
      <c r="AR111" s="46">
        <f>IFERROR(tblPiNAnalysis[[#This Row],[Highest PiN]]-tblPiNAnalysis[[#This Row],[2nd Highest PiN]], "")</f>
        <v>3481.9699746387923</v>
      </c>
      <c r="AS111" s="39">
        <f>IFERROR(((tblPiNAnalysis[[#This Row],[Highest PiN]]-tblPiNAnalysis[[#This Row],[2nd Highest PiN]])/tblPiNAnalysis[[#This Row],[2nd Highest PiN]]),"")</f>
        <v>2.8528635833444761E-2</v>
      </c>
      <c r="AT111" s="39" t="str" cm="1">
        <f t="array" ref="AT1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1" s="332" cm="1">
        <f t="array" ref="AU1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85666.530459267466</v>
      </c>
      <c r="AV111" s="190" t="str" cm="1">
        <f t="array" ref="AV111">IF(tblPiNAnalysis[[#This Row],[3rd Highest PiN]]="", "", _xlfn.TEXTJOIN(CHAR(10), TRUE, IF(tblPiNAnalysis[[#This Row],[3rd Highest PiN]]=tblPiNAnalysis[[#This Row],[CCCM]:[WASH]], tblPiNAnalysis[[#Headers],[CCCM]:[WASH]], "")))</f>
        <v>Health</v>
      </c>
      <c r="AW111" s="190">
        <f>IFERROR(tblPiNAnalysis[[#This Row],[3rd Highest PiN]]/tblPiNAnalysis[[#This Row],[Affected population projection 2026]], "")</f>
        <v>0.50136867323625156</v>
      </c>
      <c r="AX111" s="45">
        <f>IFERROR(tblPiNAnalysis[[#This Row],[Highest PiN]]-tblPiNAnalysis[[#This Row],[3rd Highest PiN]],"")</f>
        <v>39867.191129684434</v>
      </c>
      <c r="AY111" s="39">
        <f>IFERROR(tblPiNAnalysis[[#This Row],[Difference of PiN between Highest and 3rd Highest]]/tblPiNAnalysis[[#This Row],[3rd Highest PiN]], "")</f>
        <v>0.46537651187636692</v>
      </c>
      <c r="AZ111" s="330" t="str" cm="1">
        <f t="array" ref="AZ1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1" s="300" t="str" cm="1">
        <f t="array" ref="BA111">IFERROR(IF(tblPiNAnalysis[[#This Row],[ID]]="", "", INDEX(tblPiNHistorical[[CCCM]:[WASH]], MATCH(tblPiNAnalysis[[#This Row],[ID]],tblPiNHistorical[ID], 0),MATCH(_xlfn._xlws.FILTER(tblPiNAnalysis[[#Headers],[CCCM]:[WASH]], tblPiNAnalysis[[#This Row],[Highest PiN]]=tblPiNAnalysis[[#This Row],[CCCM]:[WASH]]), tblPiNHistorical[[#Headers],[CCCM]:[WASH]], 0))), "")</f>
        <v/>
      </c>
      <c r="BB111" s="333" t="str" cm="1">
        <f t="array" ref="BB1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1" s="276" t="str" cm="1">
        <f t="array" ref="BC11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1" s="334" t="str" cm="1">
        <f t="array" ref="BD1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1" s="276">
        <f>INDEX(tblSeverityAnalysis[Final Severity], MATCH(tblPiNAnalysis[[#This Row],[ID]],tblSeverityAnalysis[ID], 0))</f>
        <v>3</v>
      </c>
      <c r="BF111" s="61">
        <f>IF(tblPiNAnalysis[[#This Row],[Severity]]&gt;2,tblPiNAnalysis[[#This Row],[Highest PiN]],)</f>
        <v>125533.7215889519</v>
      </c>
      <c r="BG111" s="191"/>
      <c r="BH111" s="192"/>
      <c r="BI111" s="193">
        <f>COUNTIFS(tblPiNAnalysis[[#This Row],[Number of missing / zero PiNs greater than threshold - Data quality]:[Manual Flag]],"Flagged")</f>
        <v>0</v>
      </c>
      <c r="BJ111" s="96" t="str">
        <f>IF(tblPiNAnalysis[[#This Row],['# Flags]]&gt;0, "Flagged", "")</f>
        <v/>
      </c>
      <c r="BK111" s="326">
        <f>tblPiNAnalysis[[#This Row],[Preliminary PiN]]</f>
        <v>125533.7215889519</v>
      </c>
      <c r="BL111" s="331"/>
    </row>
    <row r="112" spans="1:64" x14ac:dyDescent="0.55000000000000004">
      <c r="A11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SS0404</v>
      </c>
      <c r="B112" s="316" t="s">
        <v>292</v>
      </c>
      <c r="C112" s="317" t="s">
        <v>293</v>
      </c>
      <c r="D112" s="317" t="s">
        <v>300</v>
      </c>
      <c r="E112" s="105" t="s">
        <v>301</v>
      </c>
      <c r="F112" s="100"/>
      <c r="G112" s="34"/>
      <c r="H112" s="34"/>
      <c r="I112" s="97">
        <v>131576.89060543224</v>
      </c>
      <c r="J112" s="97" t="s">
        <v>413</v>
      </c>
      <c r="K112" s="318"/>
      <c r="L112" s="319">
        <v>18835.626620839445</v>
      </c>
      <c r="M112" s="319">
        <v>56307.380382966548</v>
      </c>
      <c r="N112" s="319">
        <v>101074.03044545196</v>
      </c>
      <c r="O112" s="319">
        <v>47796.308772506978</v>
      </c>
      <c r="P112" s="319">
        <v>21803</v>
      </c>
      <c r="Q112" s="320">
        <v>112657.3377079191</v>
      </c>
      <c r="R112" s="319">
        <v>70661.663473287685</v>
      </c>
      <c r="S112" s="319">
        <v>18943</v>
      </c>
      <c r="T112" s="319">
        <v>11696</v>
      </c>
      <c r="U112" s="319">
        <v>13164</v>
      </c>
      <c r="V112" s="319">
        <v>1230</v>
      </c>
      <c r="W112" s="321" t="str">
        <f>IFERROR(IF(tblPiNAnalysis[[#This Row],[CCCM]]="", "", MROUND(tblPiNAnalysis[[#This Row],[CCCM]]/tblPiNAnalysis[[#This Row],[Affected population projection 2026]], 0.05)), "")</f>
        <v/>
      </c>
      <c r="X112" s="322">
        <f>IFERROR(IF(tblPiNAnalysis[[#This Row],[Education]]="", "", MROUND(tblPiNAnalysis[[#This Row],[Education]]/tblPiNAnalysis[[#This Row],[Affected population projection 2026]], 0.05)), "")</f>
        <v>0.15000000000000002</v>
      </c>
      <c r="Y112" s="322">
        <f>IFERROR(IF(tblPiNAnalysis[[#This Row],[Nutrition]]="", "", MROUND(tblPiNAnalysis[[#This Row],[Nutrition]]/tblPiNAnalysis[[#This Row],[Affected population projection 2026]], 0.05)), "")</f>
        <v>0.45</v>
      </c>
      <c r="Z112" s="322">
        <f>IFERROR(IF(tblPiNAnalysis[[#This Row],[Food Security]]="", "", MROUND(tblPiNAnalysis[[#This Row],[Food Security]]/tblPiNAnalysis[[#This Row],[Affected population projection 2026]], 0.05)), "")</f>
        <v>0.75</v>
      </c>
      <c r="AA112" s="322">
        <f>IFERROR(IF(tblPiNAnalysis[[#This Row],[Health]]="", "", MROUND(tblPiNAnalysis[[#This Row],[Health]]/tblPiNAnalysis[[#This Row],[Affected population projection 2026]], 0.05)), "")</f>
        <v>0.35000000000000003</v>
      </c>
      <c r="AB112" s="323">
        <f>IFERROR(IF(tblPiNAnalysis[[#This Row],[Overarching Protection]]="", "", MROUND(tblPiNAnalysis[[#This Row],[Overarching Protection]]/tblPiNAnalysis[[#This Row],[Affected population projection 2026]], 0.05)), "")</f>
        <v>0.15000000000000002</v>
      </c>
      <c r="AC112" s="323">
        <f>IFERROR(IF(tblPiNAnalysis[[#This Row],[Shelter]]="", "", MROUND(tblPiNAnalysis[[#This Row],[Shelter]]/tblPiNAnalysis[[#This Row],[Affected population projection 2026]], 0.05)), "")</f>
        <v>0.85000000000000009</v>
      </c>
      <c r="AD112" s="324">
        <f>IFERROR(IF(tblPiNAnalysis[[#This Row],[WASH]]="", "", MROUND(tblPiNAnalysis[[#This Row],[WASH]]/tblPiNAnalysis[[#This Row],[Affected population projection 2026]], 0.05)), "")</f>
        <v>0.55000000000000004</v>
      </c>
      <c r="AE112" s="322">
        <f>IFERROR(MROUND(tblPiNAnalysis[[#This Row],[CP]]/tblPiNAnalysis[[#This Row],[Affected population projection 2026]], 0.05), "")</f>
        <v>0.15000000000000002</v>
      </c>
      <c r="AF112" s="322">
        <f>IFERROR(MROUND(tblPiNAnalysis[[#This Row],[GBV]]/tblPiNAnalysis[[#This Row],[Affected population projection 2026]], 0.05), "")</f>
        <v>0.1</v>
      </c>
      <c r="AG112" s="322">
        <f>IFERROR(MROUND(tblPiNAnalysis[[#This Row],[Mine Action]]/tblPiNAnalysis[[#This Row],[Affected population projection 2026]], 0.05), "")</f>
        <v>0.1</v>
      </c>
      <c r="AH112" s="322">
        <f>IFERROR(MROUND(tblPiNAnalysis[[#This Row],[HLP]]/tblPiNAnalysis[[#This Row],[Affected population projection 2026]], 0.05), "")</f>
        <v>0</v>
      </c>
      <c r="AI112" s="325">
        <f>IFERROR(LARGE(tblPiNAnalysis[[#This Row],[CCCM]:[WASH]], 1), "")</f>
        <v>112657.3377079191</v>
      </c>
      <c r="AJ112" s="326" t="str" cm="1">
        <f t="array" ref="AJ112">IF(tblPiNAnalysis[[#This Row],[Highest PiN]]="", "", _xlfn.TEXTJOIN(CHAR(10), TRUE, IF(tblPiNAnalysis[[#This Row],[Highest PiN]]=tblPiNAnalysis[[#This Row],[CCCM]:[WASH]], tblPiNAnalysis[[#Headers],[CCCM]:[WASH]], "")))</f>
        <v>Shelter</v>
      </c>
      <c r="AK112" s="327">
        <f>IF(tblPiNAnalysis[[#This Row],[Highest PiN]]="", "", tblPiNAnalysis[[#This Row],[Highest PiN]]/tblPiNAnalysis[[#This Row],[Affected population projection 2026]])</f>
        <v>0.85620915032679734</v>
      </c>
      <c r="AL112" s="328" t="str">
        <f>IF(SUM(tblPiNAnalysis[[#This Row],[CCCM]:[WASH]])=0, "",IF(COUNTIF(tblPiNAnalysis[[#This Row],[CCCM]:[WASH]],"=0")+COUNTIF(tblPiNAnalysis[[#This Row],[CCCM]:[WASH]],"")&gt;=zero_pin_thresh, "Flagged", ""))</f>
        <v/>
      </c>
      <c r="AM112" s="329" t="str">
        <f>IFERROR(IF(tblPiNAnalysis[[#This Row],[Highest PiN]]="", "", IF(tblPiNAnalysis[[#This Row],[Highest sector(s'') PiN %]]&gt;=flag_pin_perc, "Flagged", "")), "")</f>
        <v/>
      </c>
      <c r="AN112" s="330" t="str" cm="1">
        <f t="array" ref="AN112">IF(tblPiNAnalysis[[#This Row],[Highest PiN]]=0, "",  IF(OR(COUNTIF(tblPiNAnalysis[[#This Row],[Highest sector(s)]],tblSubSectorPopulation[Sector])), "Flagged", ""))</f>
        <v/>
      </c>
      <c r="AO112" s="46" cm="1">
        <f t="array" ref="AO1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101074.03044545196</v>
      </c>
      <c r="AP112" s="331" t="str" cm="1">
        <f t="array" ref="AP112">IF(tblPiNAnalysis[[#This Row],[2nd Highest PiN]]="", "", _xlfn.TEXTJOIN(CHAR(10), TRUE, IF(tblPiNAnalysis[[#This Row],[2nd Highest PiN]]=tblPiNAnalysis[[#This Row],[CCCM]:[WASH]], tblPiNAnalysis[[#Headers],[CCCM]:[WASH]], "")))</f>
        <v>Food Security</v>
      </c>
      <c r="AQ112" s="36">
        <f>IFERROR(tblPiNAnalysis[[#This Row],[2nd Highest PiN]]/tblPiNAnalysis[[#This Row],[Affected population projection 2026]], "")</f>
        <v>0.76817463902950034</v>
      </c>
      <c r="AR112" s="46">
        <f>IFERROR(tblPiNAnalysis[[#This Row],[Highest PiN]]-tblPiNAnalysis[[#This Row],[2nd Highest PiN]], "")</f>
        <v>11583.307262467133</v>
      </c>
      <c r="AS112" s="39">
        <f>IFERROR(((tblPiNAnalysis[[#This Row],[Highest PiN]]-tblPiNAnalysis[[#This Row],[2nd Highest PiN]])/tblPiNAnalysis[[#This Row],[2nd Highest PiN]]),"")</f>
        <v>0.11460220999813062</v>
      </c>
      <c r="AT112" s="39" t="str" cm="1">
        <f t="array" ref="AT1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2" s="332" cm="1">
        <f t="array" ref="AU1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70661.663473287685</v>
      </c>
      <c r="AV112" s="190" t="str" cm="1">
        <f t="array" ref="AV112">IF(tblPiNAnalysis[[#This Row],[3rd Highest PiN]]="", "", _xlfn.TEXTJOIN(CHAR(10), TRUE, IF(tblPiNAnalysis[[#This Row],[3rd Highest PiN]]=tblPiNAnalysis[[#This Row],[CCCM]:[WASH]], tblPiNAnalysis[[#Headers],[CCCM]:[WASH]], "")))</f>
        <v>WASH</v>
      </c>
      <c r="AW112" s="190">
        <f>IFERROR(tblPiNAnalysis[[#This Row],[3rd Highest PiN]]/tblPiNAnalysis[[#This Row],[Affected population projection 2026]], "")</f>
        <v>0.53703703703703698</v>
      </c>
      <c r="AX112" s="45">
        <f>IFERROR(tblPiNAnalysis[[#This Row],[Highest PiN]]-tblPiNAnalysis[[#This Row],[3rd Highest PiN]],"")</f>
        <v>41995.674234631413</v>
      </c>
      <c r="AY112" s="39">
        <f>IFERROR(tblPiNAnalysis[[#This Row],[Difference of PiN between Highest and 3rd Highest]]/tblPiNAnalysis[[#This Row],[3rd Highest PiN]], "")</f>
        <v>0.59432048681541572</v>
      </c>
      <c r="AZ112" s="330" t="str" cm="1">
        <f t="array" ref="AZ1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2" s="300" t="str" cm="1">
        <f t="array" ref="BA112">IFERROR(IF(tblPiNAnalysis[[#This Row],[ID]]="", "", INDEX(tblPiNHistorical[[CCCM]:[WASH]], MATCH(tblPiNAnalysis[[#This Row],[ID]],tblPiNHistorical[ID], 0),MATCH(_xlfn._xlws.FILTER(tblPiNAnalysis[[#Headers],[CCCM]:[WASH]], tblPiNAnalysis[[#This Row],[Highest PiN]]=tblPiNAnalysis[[#This Row],[CCCM]:[WASH]]), tblPiNHistorical[[#Headers],[CCCM]:[WASH]], 0))), "")</f>
        <v/>
      </c>
      <c r="BB112" s="333" t="str" cm="1">
        <f t="array" ref="BB1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2" s="276" t="str" cm="1">
        <f t="array" ref="BC11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2" s="334" t="str" cm="1">
        <f t="array" ref="BD1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2" s="276">
        <f>INDEX(tblSeverityAnalysis[Final Severity], MATCH(tblPiNAnalysis[[#This Row],[ID]],tblSeverityAnalysis[ID], 0))</f>
        <v>3</v>
      </c>
      <c r="BF112" s="61">
        <f>IF(tblPiNAnalysis[[#This Row],[Severity]]&gt;2,tblPiNAnalysis[[#This Row],[Highest PiN]],)</f>
        <v>112657.3377079191</v>
      </c>
      <c r="BG112" s="191"/>
      <c r="BH112" s="192"/>
      <c r="BI112" s="193">
        <f>COUNTIFS(tblPiNAnalysis[[#This Row],[Number of missing / zero PiNs greater than threshold - Data quality]:[Manual Flag]],"Flagged")</f>
        <v>1</v>
      </c>
      <c r="BJ112" s="96" t="str">
        <f>IF(tblPiNAnalysis[[#This Row],['# Flags]]&gt;0, "Flagged", "")</f>
        <v>Flagged</v>
      </c>
      <c r="BK112" s="326">
        <f>tblPiNAnalysis[[#This Row],[Preliminary PiN]]</f>
        <v>112657.3377079191</v>
      </c>
      <c r="BL112" s="331"/>
    </row>
    <row r="113" spans="1:64" x14ac:dyDescent="0.55000000000000004">
      <c r="A11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SS0405</v>
      </c>
      <c r="B113" s="316" t="s">
        <v>292</v>
      </c>
      <c r="C113" s="317" t="s">
        <v>293</v>
      </c>
      <c r="D113" s="317" t="s">
        <v>302</v>
      </c>
      <c r="E113" s="105" t="s">
        <v>303</v>
      </c>
      <c r="F113" s="100"/>
      <c r="G113" s="34"/>
      <c r="H113" s="34"/>
      <c r="I113" s="97">
        <v>38561.747092505328</v>
      </c>
      <c r="J113" s="97" t="s">
        <v>413</v>
      </c>
      <c r="K113" s="318"/>
      <c r="L113" s="319">
        <v>10486.134448612065</v>
      </c>
      <c r="M113" s="319">
        <v>16182.957998996868</v>
      </c>
      <c r="N113" s="319">
        <v>27348.681271690366</v>
      </c>
      <c r="O113" s="319">
        <v>20586.504692959457</v>
      </c>
      <c r="P113" s="319">
        <v>6436</v>
      </c>
      <c r="Q113" s="320">
        <v>15131.824808451458</v>
      </c>
      <c r="R113" s="319">
        <v>7141.064276389875</v>
      </c>
      <c r="S113" s="319">
        <v>5033</v>
      </c>
      <c r="T113" s="319">
        <v>3131</v>
      </c>
      <c r="U113" s="319">
        <v>1354</v>
      </c>
      <c r="V113" s="319">
        <v>782</v>
      </c>
      <c r="W113" s="321" t="str">
        <f>IFERROR(IF(tblPiNAnalysis[[#This Row],[CCCM]]="", "", MROUND(tblPiNAnalysis[[#This Row],[CCCM]]/tblPiNAnalysis[[#This Row],[Affected population projection 2026]], 0.05)), "")</f>
        <v/>
      </c>
      <c r="X113" s="322">
        <f>IFERROR(IF(tblPiNAnalysis[[#This Row],[Education]]="", "", MROUND(tblPiNAnalysis[[#This Row],[Education]]/tblPiNAnalysis[[#This Row],[Affected population projection 2026]], 0.05)), "")</f>
        <v>0.25</v>
      </c>
      <c r="Y113" s="322">
        <f>IFERROR(IF(tblPiNAnalysis[[#This Row],[Nutrition]]="", "", MROUND(tblPiNAnalysis[[#This Row],[Nutrition]]/tblPiNAnalysis[[#This Row],[Affected population projection 2026]], 0.05)), "")</f>
        <v>0.4</v>
      </c>
      <c r="Z113" s="322">
        <f>IFERROR(IF(tblPiNAnalysis[[#This Row],[Food Security]]="", "", MROUND(tblPiNAnalysis[[#This Row],[Food Security]]/tblPiNAnalysis[[#This Row],[Affected population projection 2026]], 0.05)), "")</f>
        <v>0.70000000000000007</v>
      </c>
      <c r="AA113" s="322">
        <f>IFERROR(IF(tblPiNAnalysis[[#This Row],[Health]]="", "", MROUND(tblPiNAnalysis[[#This Row],[Health]]/tblPiNAnalysis[[#This Row],[Affected population projection 2026]], 0.05)), "")</f>
        <v>0.55000000000000004</v>
      </c>
      <c r="AB113" s="323">
        <f>IFERROR(IF(tblPiNAnalysis[[#This Row],[Overarching Protection]]="", "", MROUND(tblPiNAnalysis[[#This Row],[Overarching Protection]]/tblPiNAnalysis[[#This Row],[Affected population projection 2026]], 0.05)), "")</f>
        <v>0.15000000000000002</v>
      </c>
      <c r="AC113" s="323">
        <f>IFERROR(IF(tblPiNAnalysis[[#This Row],[Shelter]]="", "", MROUND(tblPiNAnalysis[[#This Row],[Shelter]]/tblPiNAnalysis[[#This Row],[Affected population projection 2026]], 0.05)), "")</f>
        <v>0.4</v>
      </c>
      <c r="AD113" s="324">
        <f>IFERROR(IF(tblPiNAnalysis[[#This Row],[WASH]]="", "", MROUND(tblPiNAnalysis[[#This Row],[WASH]]/tblPiNAnalysis[[#This Row],[Affected population projection 2026]], 0.05)), "")</f>
        <v>0.2</v>
      </c>
      <c r="AE113" s="322">
        <f>IFERROR(MROUND(tblPiNAnalysis[[#This Row],[CP]]/tblPiNAnalysis[[#This Row],[Affected population projection 2026]], 0.05), "")</f>
        <v>0.15000000000000002</v>
      </c>
      <c r="AF113" s="322">
        <f>IFERROR(MROUND(tblPiNAnalysis[[#This Row],[GBV]]/tblPiNAnalysis[[#This Row],[Affected population projection 2026]], 0.05), "")</f>
        <v>0.1</v>
      </c>
      <c r="AG113" s="322">
        <f>IFERROR(MROUND(tblPiNAnalysis[[#This Row],[Mine Action]]/tblPiNAnalysis[[#This Row],[Affected population projection 2026]], 0.05), "")</f>
        <v>0.05</v>
      </c>
      <c r="AH113" s="322">
        <f>IFERROR(MROUND(tblPiNAnalysis[[#This Row],[HLP]]/tblPiNAnalysis[[#This Row],[Affected population projection 2026]], 0.05), "")</f>
        <v>0</v>
      </c>
      <c r="AI113" s="325">
        <f>IFERROR(LARGE(tblPiNAnalysis[[#This Row],[CCCM]:[WASH]], 1), "")</f>
        <v>27348.681271690366</v>
      </c>
      <c r="AJ113" s="326" t="str" cm="1">
        <f t="array" ref="AJ113">IF(tblPiNAnalysis[[#This Row],[Highest PiN]]="", "", _xlfn.TEXTJOIN(CHAR(10), TRUE, IF(tblPiNAnalysis[[#This Row],[Highest PiN]]=tblPiNAnalysis[[#This Row],[CCCM]:[WASH]], tblPiNAnalysis[[#Headers],[CCCM]:[WASH]], "")))</f>
        <v>Food Security</v>
      </c>
      <c r="AK113" s="327">
        <f>IF(tblPiNAnalysis[[#This Row],[Highest PiN]]="", "", tblPiNAnalysis[[#This Row],[Highest PiN]]/tblPiNAnalysis[[#This Row],[Affected population projection 2026]])</f>
        <v>0.70921789944018698</v>
      </c>
      <c r="AL113" s="328" t="str">
        <f>IF(SUM(tblPiNAnalysis[[#This Row],[CCCM]:[WASH]])=0, "",IF(COUNTIF(tblPiNAnalysis[[#This Row],[CCCM]:[WASH]],"=0")+COUNTIF(tblPiNAnalysis[[#This Row],[CCCM]:[WASH]],"")&gt;=zero_pin_thresh, "Flagged", ""))</f>
        <v/>
      </c>
      <c r="AM113" s="329" t="str">
        <f>IFERROR(IF(tblPiNAnalysis[[#This Row],[Highest PiN]]="", "", IF(tblPiNAnalysis[[#This Row],[Highest sector(s'') PiN %]]&gt;=flag_pin_perc, "Flagged", "")), "")</f>
        <v/>
      </c>
      <c r="AN113" s="330" t="str" cm="1">
        <f t="array" ref="AN113">IF(tblPiNAnalysis[[#This Row],[Highest PiN]]=0, "",  IF(OR(COUNTIF(tblPiNAnalysis[[#This Row],[Highest sector(s)]],tblSubSectorPopulation[Sector])), "Flagged", ""))</f>
        <v/>
      </c>
      <c r="AO113" s="46" cm="1">
        <f t="array" ref="AO1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20586.504692959457</v>
      </c>
      <c r="AP113" s="331" t="str" cm="1">
        <f t="array" ref="AP113">IF(tblPiNAnalysis[[#This Row],[2nd Highest PiN]]="", "", _xlfn.TEXTJOIN(CHAR(10), TRUE, IF(tblPiNAnalysis[[#This Row],[2nd Highest PiN]]=tblPiNAnalysis[[#This Row],[CCCM]:[WASH]], tblPiNAnalysis[[#Headers],[CCCM]:[WASH]], "")))</f>
        <v>Health</v>
      </c>
      <c r="AQ113" s="36">
        <f>IFERROR(tblPiNAnalysis[[#This Row],[2nd Highest PiN]]/tblPiNAnalysis[[#This Row],[Affected population projection 2026]], "")</f>
        <v>0.53385819484720776</v>
      </c>
      <c r="AR113" s="46">
        <f>IFERROR(tblPiNAnalysis[[#This Row],[Highest PiN]]-tblPiNAnalysis[[#This Row],[2nd Highest PiN]], "")</f>
        <v>6762.1765787309087</v>
      </c>
      <c r="AS113" s="39">
        <f>IFERROR(((tblPiNAnalysis[[#This Row],[Highest PiN]]-tblPiNAnalysis[[#This Row],[2nd Highest PiN]])/tblPiNAnalysis[[#This Row],[2nd Highest PiN]]),"")</f>
        <v>0.32847618765722569</v>
      </c>
      <c r="AT113" s="39" t="str" cm="1">
        <f t="array" ref="AT1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13" s="332" cm="1">
        <f t="array" ref="AU1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16182.957998996868</v>
      </c>
      <c r="AV113" s="190" t="str" cm="1">
        <f t="array" ref="AV113">IF(tblPiNAnalysis[[#This Row],[3rd Highest PiN]]="", "", _xlfn.TEXTJOIN(CHAR(10), TRUE, IF(tblPiNAnalysis[[#This Row],[3rd Highest PiN]]=tblPiNAnalysis[[#This Row],[CCCM]:[WASH]], tblPiNAnalysis[[#Headers],[CCCM]:[WASH]], "")))</f>
        <v>Nutrition</v>
      </c>
      <c r="AW113" s="190">
        <f>IFERROR(tblPiNAnalysis[[#This Row],[3rd Highest PiN]]/tblPiNAnalysis[[#This Row],[Affected population projection 2026]], "")</f>
        <v>0.41966350643231382</v>
      </c>
      <c r="AX113" s="45">
        <f>IFERROR(tblPiNAnalysis[[#This Row],[Highest PiN]]-tblPiNAnalysis[[#This Row],[3rd Highest PiN]],"")</f>
        <v>11165.723272693498</v>
      </c>
      <c r="AY113" s="39">
        <f>IFERROR(tblPiNAnalysis[[#This Row],[Difference of PiN between Highest and 3rd Highest]]/tblPiNAnalysis[[#This Row],[3rd Highest PiN]], "")</f>
        <v>0.68996800667625946</v>
      </c>
      <c r="AZ113" s="330" t="str" cm="1">
        <f t="array" ref="AZ1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3" s="300" t="str" cm="1">
        <f t="array" ref="BA113">IFERROR(IF(tblPiNAnalysis[[#This Row],[ID]]="", "", INDEX(tblPiNHistorical[[CCCM]:[WASH]], MATCH(tblPiNAnalysis[[#This Row],[ID]],tblPiNHistorical[ID], 0),MATCH(_xlfn._xlws.FILTER(tblPiNAnalysis[[#Headers],[CCCM]:[WASH]], tblPiNAnalysis[[#This Row],[Highest PiN]]=tblPiNAnalysis[[#This Row],[CCCM]:[WASH]]), tblPiNHistorical[[#Headers],[CCCM]:[WASH]], 0))), "")</f>
        <v/>
      </c>
      <c r="BB113" s="333" t="str" cm="1">
        <f t="array" ref="BB1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3" s="276" t="str" cm="1">
        <f t="array" ref="BC11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3" s="334" t="str" cm="1">
        <f t="array" ref="BD1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3" s="276">
        <f>INDEX(tblSeverityAnalysis[Final Severity], MATCH(tblPiNAnalysis[[#This Row],[ID]],tblSeverityAnalysis[ID], 0))</f>
        <v>3</v>
      </c>
      <c r="BF113" s="61">
        <f>IF(tblPiNAnalysis[[#This Row],[Severity]]&gt;2,tblPiNAnalysis[[#This Row],[Highest PiN]],)</f>
        <v>27348.681271690366</v>
      </c>
      <c r="BG113" s="191"/>
      <c r="BH113" s="192"/>
      <c r="BI113" s="193">
        <f>COUNTIFS(tblPiNAnalysis[[#This Row],[Number of missing / zero PiNs greater than threshold - Data quality]:[Manual Flag]],"Flagged")</f>
        <v>2</v>
      </c>
      <c r="BJ113" s="96" t="str">
        <f>IF(tblPiNAnalysis[[#This Row],['# Flags]]&gt;0, "Flagged", "")</f>
        <v>Flagged</v>
      </c>
      <c r="BK113" s="326">
        <f>tblPiNAnalysis[[#This Row],[Preliminary PiN]]</f>
        <v>27348.681271690366</v>
      </c>
      <c r="BL113" s="331"/>
    </row>
    <row r="114" spans="1:64" x14ac:dyDescent="0.55000000000000004">
      <c r="A11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SS0406</v>
      </c>
      <c r="B114" s="316" t="s">
        <v>292</v>
      </c>
      <c r="C114" s="317" t="s">
        <v>293</v>
      </c>
      <c r="D114" s="317" t="s">
        <v>304</v>
      </c>
      <c r="E114" s="105" t="s">
        <v>305</v>
      </c>
      <c r="F114" s="100"/>
      <c r="G114" s="34"/>
      <c r="H114" s="34"/>
      <c r="I114" s="97">
        <v>62742.537670413069</v>
      </c>
      <c r="J114" s="97" t="s">
        <v>413</v>
      </c>
      <c r="K114" s="318"/>
      <c r="L114" s="319">
        <v>9636.1871630350524</v>
      </c>
      <c r="M114" s="319">
        <v>29012.825895570022</v>
      </c>
      <c r="N114" s="319">
        <v>15777.743487865606</v>
      </c>
      <c r="O114" s="319">
        <v>30888.444202554321</v>
      </c>
      <c r="P114" s="319">
        <v>10952</v>
      </c>
      <c r="Q114" s="320">
        <v>8783.9552738578313</v>
      </c>
      <c r="R114" s="319">
        <v>34856.965372451705</v>
      </c>
      <c r="S114" s="319">
        <v>9156</v>
      </c>
      <c r="T114" s="319">
        <v>5347</v>
      </c>
      <c r="U114" s="319">
        <v>2037</v>
      </c>
      <c r="V114" s="319">
        <v>653</v>
      </c>
      <c r="W114" s="321" t="str">
        <f>IFERROR(IF(tblPiNAnalysis[[#This Row],[CCCM]]="", "", MROUND(tblPiNAnalysis[[#This Row],[CCCM]]/tblPiNAnalysis[[#This Row],[Affected population projection 2026]], 0.05)), "")</f>
        <v/>
      </c>
      <c r="X114" s="322">
        <f>IFERROR(IF(tblPiNAnalysis[[#This Row],[Education]]="", "", MROUND(tblPiNAnalysis[[#This Row],[Education]]/tblPiNAnalysis[[#This Row],[Affected population projection 2026]], 0.05)), "")</f>
        <v>0.15000000000000002</v>
      </c>
      <c r="Y114" s="322">
        <f>IFERROR(IF(tblPiNAnalysis[[#This Row],[Nutrition]]="", "", MROUND(tblPiNAnalysis[[#This Row],[Nutrition]]/tblPiNAnalysis[[#This Row],[Affected population projection 2026]], 0.05)), "")</f>
        <v>0.45</v>
      </c>
      <c r="Z114" s="322">
        <f>IFERROR(IF(tblPiNAnalysis[[#This Row],[Food Security]]="", "", MROUND(tblPiNAnalysis[[#This Row],[Food Security]]/tblPiNAnalysis[[#This Row],[Affected population projection 2026]], 0.05)), "")</f>
        <v>0.25</v>
      </c>
      <c r="AA114" s="322">
        <f>IFERROR(IF(tblPiNAnalysis[[#This Row],[Health]]="", "", MROUND(tblPiNAnalysis[[#This Row],[Health]]/tblPiNAnalysis[[#This Row],[Affected population projection 2026]], 0.05)), "")</f>
        <v>0.5</v>
      </c>
      <c r="AB114" s="323">
        <f>IFERROR(IF(tblPiNAnalysis[[#This Row],[Overarching Protection]]="", "", MROUND(tblPiNAnalysis[[#This Row],[Overarching Protection]]/tblPiNAnalysis[[#This Row],[Affected population projection 2026]], 0.05)), "")</f>
        <v>0.15000000000000002</v>
      </c>
      <c r="AC114" s="323">
        <f>IFERROR(IF(tblPiNAnalysis[[#This Row],[Shelter]]="", "", MROUND(tblPiNAnalysis[[#This Row],[Shelter]]/tblPiNAnalysis[[#This Row],[Affected population projection 2026]], 0.05)), "")</f>
        <v>0.15000000000000002</v>
      </c>
      <c r="AD114" s="324">
        <f>IFERROR(IF(tblPiNAnalysis[[#This Row],[WASH]]="", "", MROUND(tblPiNAnalysis[[#This Row],[WASH]]/tblPiNAnalysis[[#This Row],[Affected population projection 2026]], 0.05)), "")</f>
        <v>0.55000000000000004</v>
      </c>
      <c r="AE114" s="322">
        <f>IFERROR(MROUND(tblPiNAnalysis[[#This Row],[CP]]/tblPiNAnalysis[[#This Row],[Affected population projection 2026]], 0.05), "")</f>
        <v>0.15000000000000002</v>
      </c>
      <c r="AF114" s="322">
        <f>IFERROR(MROUND(tblPiNAnalysis[[#This Row],[GBV]]/tblPiNAnalysis[[#This Row],[Affected population projection 2026]], 0.05), "")</f>
        <v>0.1</v>
      </c>
      <c r="AG114" s="322">
        <f>IFERROR(MROUND(tblPiNAnalysis[[#This Row],[Mine Action]]/tblPiNAnalysis[[#This Row],[Affected population projection 2026]], 0.05), "")</f>
        <v>0.05</v>
      </c>
      <c r="AH114" s="322">
        <f>IFERROR(MROUND(tblPiNAnalysis[[#This Row],[HLP]]/tblPiNAnalysis[[#This Row],[Affected population projection 2026]], 0.05), "")</f>
        <v>0</v>
      </c>
      <c r="AI114" s="325">
        <f>IFERROR(LARGE(tblPiNAnalysis[[#This Row],[CCCM]:[WASH]], 1), "")</f>
        <v>34856.965372451705</v>
      </c>
      <c r="AJ114" s="326" t="str" cm="1">
        <f t="array" ref="AJ114">IF(tblPiNAnalysis[[#This Row],[Highest PiN]]="", "", _xlfn.TEXTJOIN(CHAR(10), TRUE, IF(tblPiNAnalysis[[#This Row],[Highest PiN]]=tblPiNAnalysis[[#This Row],[CCCM]:[WASH]], tblPiNAnalysis[[#Headers],[CCCM]:[WASH]], "")))</f>
        <v>WASH</v>
      </c>
      <c r="AK114" s="327">
        <f>IF(tblPiNAnalysis[[#This Row],[Highest PiN]]="", "", tblPiNAnalysis[[#This Row],[Highest PiN]]/tblPiNAnalysis[[#This Row],[Affected population projection 2026]])</f>
        <v>0.55555555555555558</v>
      </c>
      <c r="AL114" s="328" t="str">
        <f>IF(SUM(tblPiNAnalysis[[#This Row],[CCCM]:[WASH]])=0, "",IF(COUNTIF(tblPiNAnalysis[[#This Row],[CCCM]:[WASH]],"=0")+COUNTIF(tblPiNAnalysis[[#This Row],[CCCM]:[WASH]],"")&gt;=zero_pin_thresh, "Flagged", ""))</f>
        <v/>
      </c>
      <c r="AM114" s="329" t="str">
        <f>IFERROR(IF(tblPiNAnalysis[[#This Row],[Highest PiN]]="", "", IF(tblPiNAnalysis[[#This Row],[Highest sector(s'') PiN %]]&gt;=flag_pin_perc, "Flagged", "")), "")</f>
        <v/>
      </c>
      <c r="AN114" s="330" t="str" cm="1">
        <f t="array" ref="AN114">IF(tblPiNAnalysis[[#This Row],[Highest PiN]]=0, "",  IF(OR(COUNTIF(tblPiNAnalysis[[#This Row],[Highest sector(s)]],tblSubSectorPopulation[Sector])), "Flagged", ""))</f>
        <v/>
      </c>
      <c r="AO114" s="46" cm="1">
        <f t="array" ref="AO1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30888.444202554321</v>
      </c>
      <c r="AP114" s="331" t="str" cm="1">
        <f t="array" ref="AP114">IF(tblPiNAnalysis[[#This Row],[2nd Highest PiN]]="", "", _xlfn.TEXTJOIN(CHAR(10), TRUE, IF(tblPiNAnalysis[[#This Row],[2nd Highest PiN]]=tblPiNAnalysis[[#This Row],[CCCM]:[WASH]], tblPiNAnalysis[[#Headers],[CCCM]:[WASH]], "")))</f>
        <v>Health</v>
      </c>
      <c r="AQ114" s="36">
        <f>IFERROR(tblPiNAnalysis[[#This Row],[2nd Highest PiN]]/tblPiNAnalysis[[#This Row],[Affected population projection 2026]], "")</f>
        <v>0.4923046684023446</v>
      </c>
      <c r="AR114" s="46">
        <f>IFERROR(tblPiNAnalysis[[#This Row],[Highest PiN]]-tblPiNAnalysis[[#This Row],[2nd Highest PiN]], "")</f>
        <v>3968.5211698973835</v>
      </c>
      <c r="AS114" s="39">
        <f>IFERROR(((tblPiNAnalysis[[#This Row],[Highest PiN]]-tblPiNAnalysis[[#This Row],[2nd Highest PiN]])/tblPiNAnalysis[[#This Row],[2nd Highest PiN]]),"")</f>
        <v>0.12847915368845952</v>
      </c>
      <c r="AT114" s="39" t="str" cm="1">
        <f t="array" ref="AT1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4" s="332" cm="1">
        <f t="array" ref="AU1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29012.825895570022</v>
      </c>
      <c r="AV114" s="190" t="str" cm="1">
        <f t="array" ref="AV114">IF(tblPiNAnalysis[[#This Row],[3rd Highest PiN]]="", "", _xlfn.TEXTJOIN(CHAR(10), TRUE, IF(tblPiNAnalysis[[#This Row],[3rd Highest PiN]]=tblPiNAnalysis[[#This Row],[CCCM]:[WASH]], tblPiNAnalysis[[#Headers],[CCCM]:[WASH]], "")))</f>
        <v>Nutrition</v>
      </c>
      <c r="AW114" s="190">
        <f>IFERROR(tblPiNAnalysis[[#This Row],[3rd Highest PiN]]/tblPiNAnalysis[[#This Row],[Affected population projection 2026]], "")</f>
        <v>0.46241078178849848</v>
      </c>
      <c r="AX114" s="45">
        <f>IFERROR(tblPiNAnalysis[[#This Row],[Highest PiN]]-tblPiNAnalysis[[#This Row],[3rd Highest PiN]],"")</f>
        <v>5844.1394768816826</v>
      </c>
      <c r="AY114" s="39">
        <f>IFERROR(tblPiNAnalysis[[#This Row],[Difference of PiN between Highest and 3rd Highest]]/tblPiNAnalysis[[#This Row],[3rd Highest PiN]], "")</f>
        <v>0.20143296271508754</v>
      </c>
      <c r="AZ114" s="330" t="str" cm="1">
        <f t="array" ref="AZ1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4" s="300" t="str" cm="1">
        <f t="array" ref="BA114">IFERROR(IF(tblPiNAnalysis[[#This Row],[ID]]="", "", INDEX(tblPiNHistorical[[CCCM]:[WASH]], MATCH(tblPiNAnalysis[[#This Row],[ID]],tblPiNHistorical[ID], 0),MATCH(_xlfn._xlws.FILTER(tblPiNAnalysis[[#Headers],[CCCM]:[WASH]], tblPiNAnalysis[[#This Row],[Highest PiN]]=tblPiNAnalysis[[#This Row],[CCCM]:[WASH]]), tblPiNHistorical[[#Headers],[CCCM]:[WASH]], 0))), "")</f>
        <v/>
      </c>
      <c r="BB114" s="333" t="str" cm="1">
        <f t="array" ref="BB1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4" s="276" t="str" cm="1">
        <f t="array" ref="BC11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4" s="334" t="str" cm="1">
        <f t="array" ref="BD1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4" s="276">
        <f>INDEX(tblSeverityAnalysis[Final Severity], MATCH(tblPiNAnalysis[[#This Row],[ID]],tblSeverityAnalysis[ID], 0))</f>
        <v>3</v>
      </c>
      <c r="BF114" s="61">
        <f>IF(tblPiNAnalysis[[#This Row],[Severity]]&gt;2,tblPiNAnalysis[[#This Row],[Highest PiN]],)</f>
        <v>34856.965372451705</v>
      </c>
      <c r="BG114" s="191"/>
      <c r="BH114" s="192"/>
      <c r="BI114" s="193">
        <f>COUNTIFS(tblPiNAnalysis[[#This Row],[Number of missing / zero PiNs greater than threshold - Data quality]:[Manual Flag]],"Flagged")</f>
        <v>0</v>
      </c>
      <c r="BJ114" s="96" t="str">
        <f>IF(tblPiNAnalysis[[#This Row],['# Flags]]&gt;0, "Flagged", "")</f>
        <v/>
      </c>
      <c r="BK114" s="326">
        <f>tblPiNAnalysis[[#This Row],[Preliminary PiN]]</f>
        <v>34856.965372451705</v>
      </c>
      <c r="BL114" s="331"/>
    </row>
    <row r="115" spans="1:64" x14ac:dyDescent="0.55000000000000004">
      <c r="A11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SS0407</v>
      </c>
      <c r="B115" s="316" t="s">
        <v>292</v>
      </c>
      <c r="C115" s="317" t="s">
        <v>293</v>
      </c>
      <c r="D115" s="317" t="s">
        <v>306</v>
      </c>
      <c r="E115" s="105" t="s">
        <v>307</v>
      </c>
      <c r="F115" s="100"/>
      <c r="G115" s="34"/>
      <c r="H115" s="34"/>
      <c r="I115" s="97">
        <v>110327.5657380367</v>
      </c>
      <c r="J115" s="97" t="s">
        <v>413</v>
      </c>
      <c r="K115" s="318"/>
      <c r="L115" s="319">
        <v>18386.088830243818</v>
      </c>
      <c r="M115" s="319">
        <v>46595.779523535297</v>
      </c>
      <c r="N115" s="319">
        <v>82693.25618815895</v>
      </c>
      <c r="O115" s="319">
        <v>42489.681055796951</v>
      </c>
      <c r="P115" s="319">
        <v>18457</v>
      </c>
      <c r="Q115" s="320">
        <v>61032.270408275625</v>
      </c>
      <c r="R115" s="319">
        <v>73551.71049202446</v>
      </c>
      <c r="S115" s="319">
        <v>12367</v>
      </c>
      <c r="T115" s="319">
        <v>8991</v>
      </c>
      <c r="U115" s="319">
        <v>10991</v>
      </c>
      <c r="V115" s="319">
        <v>3045</v>
      </c>
      <c r="W115" s="321" t="str">
        <f>IFERROR(IF(tblPiNAnalysis[[#This Row],[CCCM]]="", "", MROUND(tblPiNAnalysis[[#This Row],[CCCM]]/tblPiNAnalysis[[#This Row],[Affected population projection 2026]], 0.05)), "")</f>
        <v/>
      </c>
      <c r="X115" s="322">
        <f>IFERROR(IF(tblPiNAnalysis[[#This Row],[Education]]="", "", MROUND(tblPiNAnalysis[[#This Row],[Education]]/tblPiNAnalysis[[#This Row],[Affected population projection 2026]], 0.05)), "")</f>
        <v>0.15000000000000002</v>
      </c>
      <c r="Y115" s="322">
        <f>IFERROR(IF(tblPiNAnalysis[[#This Row],[Nutrition]]="", "", MROUND(tblPiNAnalysis[[#This Row],[Nutrition]]/tblPiNAnalysis[[#This Row],[Affected population projection 2026]], 0.05)), "")</f>
        <v>0.4</v>
      </c>
      <c r="Z115" s="322">
        <f>IFERROR(IF(tblPiNAnalysis[[#This Row],[Food Security]]="", "", MROUND(tblPiNAnalysis[[#This Row],[Food Security]]/tblPiNAnalysis[[#This Row],[Affected population projection 2026]], 0.05)), "")</f>
        <v>0.75</v>
      </c>
      <c r="AA115" s="322">
        <f>IFERROR(IF(tblPiNAnalysis[[#This Row],[Health]]="", "", MROUND(tblPiNAnalysis[[#This Row],[Health]]/tblPiNAnalysis[[#This Row],[Affected population projection 2026]], 0.05)), "")</f>
        <v>0.4</v>
      </c>
      <c r="AB115" s="323">
        <f>IFERROR(IF(tblPiNAnalysis[[#This Row],[Overarching Protection]]="", "", MROUND(tblPiNAnalysis[[#This Row],[Overarching Protection]]/tblPiNAnalysis[[#This Row],[Affected population projection 2026]], 0.05)), "")</f>
        <v>0.15000000000000002</v>
      </c>
      <c r="AC115" s="323">
        <f>IFERROR(IF(tblPiNAnalysis[[#This Row],[Shelter]]="", "", MROUND(tblPiNAnalysis[[#This Row],[Shelter]]/tblPiNAnalysis[[#This Row],[Affected population projection 2026]], 0.05)), "")</f>
        <v>0.55000000000000004</v>
      </c>
      <c r="AD115" s="324">
        <f>IFERROR(IF(tblPiNAnalysis[[#This Row],[WASH]]="", "", MROUND(tblPiNAnalysis[[#This Row],[WASH]]/tblPiNAnalysis[[#This Row],[Affected population projection 2026]], 0.05)), "")</f>
        <v>0.65</v>
      </c>
      <c r="AE115" s="322">
        <f>IFERROR(MROUND(tblPiNAnalysis[[#This Row],[CP]]/tblPiNAnalysis[[#This Row],[Affected population projection 2026]], 0.05), "")</f>
        <v>0.1</v>
      </c>
      <c r="AF115" s="322">
        <f>IFERROR(MROUND(tblPiNAnalysis[[#This Row],[GBV]]/tblPiNAnalysis[[#This Row],[Affected population projection 2026]], 0.05), "")</f>
        <v>0.1</v>
      </c>
      <c r="AG115" s="322">
        <f>IFERROR(MROUND(tblPiNAnalysis[[#This Row],[Mine Action]]/tblPiNAnalysis[[#This Row],[Affected population projection 2026]], 0.05), "")</f>
        <v>0.1</v>
      </c>
      <c r="AH115" s="322">
        <f>IFERROR(MROUND(tblPiNAnalysis[[#This Row],[HLP]]/tblPiNAnalysis[[#This Row],[Affected population projection 2026]], 0.05), "")</f>
        <v>0.05</v>
      </c>
      <c r="AI115" s="325">
        <f>IFERROR(LARGE(tblPiNAnalysis[[#This Row],[CCCM]:[WASH]], 1), "")</f>
        <v>82693.25618815895</v>
      </c>
      <c r="AJ115" s="326" t="str" cm="1">
        <f t="array" ref="AJ115">IF(tblPiNAnalysis[[#This Row],[Highest PiN]]="", "", _xlfn.TEXTJOIN(CHAR(10), TRUE, IF(tblPiNAnalysis[[#This Row],[Highest PiN]]=tblPiNAnalysis[[#This Row],[CCCM]:[WASH]], tblPiNAnalysis[[#Headers],[CCCM]:[WASH]], "")))</f>
        <v>Food Security</v>
      </c>
      <c r="AK115" s="327">
        <f>IF(tblPiNAnalysis[[#This Row],[Highest PiN]]="", "", tblPiNAnalysis[[#This Row],[Highest PiN]]/tblPiNAnalysis[[#This Row],[Affected population projection 2026]])</f>
        <v>0.74952488650485549</v>
      </c>
      <c r="AL115" s="328" t="str">
        <f>IF(SUM(tblPiNAnalysis[[#This Row],[CCCM]:[WASH]])=0, "",IF(COUNTIF(tblPiNAnalysis[[#This Row],[CCCM]:[WASH]],"=0")+COUNTIF(tblPiNAnalysis[[#This Row],[CCCM]:[WASH]],"")&gt;=zero_pin_thresh, "Flagged", ""))</f>
        <v/>
      </c>
      <c r="AM115" s="329" t="str">
        <f>IFERROR(IF(tblPiNAnalysis[[#This Row],[Highest PiN]]="", "", IF(tblPiNAnalysis[[#This Row],[Highest sector(s'') PiN %]]&gt;=flag_pin_perc, "Flagged", "")), "")</f>
        <v/>
      </c>
      <c r="AN115" s="330" t="str" cm="1">
        <f t="array" ref="AN115">IF(tblPiNAnalysis[[#This Row],[Highest PiN]]=0, "",  IF(OR(COUNTIF(tblPiNAnalysis[[#This Row],[Highest sector(s)]],tblSubSectorPopulation[Sector])), "Flagged", ""))</f>
        <v/>
      </c>
      <c r="AO115" s="46" cm="1">
        <f t="array" ref="AO1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73551.71049202446</v>
      </c>
      <c r="AP115" s="331" t="str" cm="1">
        <f t="array" ref="AP115">IF(tblPiNAnalysis[[#This Row],[2nd Highest PiN]]="", "", _xlfn.TEXTJOIN(CHAR(10), TRUE, IF(tblPiNAnalysis[[#This Row],[2nd Highest PiN]]=tblPiNAnalysis[[#This Row],[CCCM]:[WASH]], tblPiNAnalysis[[#Headers],[CCCM]:[WASH]], "")))</f>
        <v>WASH</v>
      </c>
      <c r="AQ115" s="36">
        <f>IFERROR(tblPiNAnalysis[[#This Row],[2nd Highest PiN]]/tblPiNAnalysis[[#This Row],[Affected population projection 2026]], "")</f>
        <v>0.66666666666666663</v>
      </c>
      <c r="AR115" s="46">
        <f>IFERROR(tblPiNAnalysis[[#This Row],[Highest PiN]]-tblPiNAnalysis[[#This Row],[2nd Highest PiN]], "")</f>
        <v>9141.5456961344898</v>
      </c>
      <c r="AS115" s="39">
        <f>IFERROR(((tblPiNAnalysis[[#This Row],[Highest PiN]]-tblPiNAnalysis[[#This Row],[2nd Highest PiN]])/tblPiNAnalysis[[#This Row],[2nd Highest PiN]]),"")</f>
        <v>0.12428732975728346</v>
      </c>
      <c r="AT115" s="39" t="str" cm="1">
        <f t="array" ref="AT1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5" s="332" cm="1">
        <f t="array" ref="AU1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61032.270408275625</v>
      </c>
      <c r="AV115" s="190" t="str" cm="1">
        <f t="array" ref="AV115">IF(tblPiNAnalysis[[#This Row],[3rd Highest PiN]]="", "", _xlfn.TEXTJOIN(CHAR(10), TRUE, IF(tblPiNAnalysis[[#This Row],[3rd Highest PiN]]=tblPiNAnalysis[[#This Row],[CCCM]:[WASH]], tblPiNAnalysis[[#Headers],[CCCM]:[WASH]], "")))</f>
        <v>Shelter</v>
      </c>
      <c r="AW115" s="190">
        <f>IFERROR(tblPiNAnalysis[[#This Row],[3rd Highest PiN]]/tblPiNAnalysis[[#This Row],[Affected population projection 2026]], "")</f>
        <v>0.55319148936170215</v>
      </c>
      <c r="AX115" s="45">
        <f>IFERROR(tblPiNAnalysis[[#This Row],[Highest PiN]]-tblPiNAnalysis[[#This Row],[3rd Highest PiN]],"")</f>
        <v>21660.985779883325</v>
      </c>
      <c r="AY115" s="39">
        <f>IFERROR(tblPiNAnalysis[[#This Row],[Difference of PiN between Highest and 3rd Highest]]/tblPiNAnalysis[[#This Row],[3rd Highest PiN]], "")</f>
        <v>0.35491037175877732</v>
      </c>
      <c r="AZ115" s="330" t="str" cm="1">
        <f t="array" ref="AZ1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5" s="300" t="str" cm="1">
        <f t="array" ref="BA115">IFERROR(IF(tblPiNAnalysis[[#This Row],[ID]]="", "", INDEX(tblPiNHistorical[[CCCM]:[WASH]], MATCH(tblPiNAnalysis[[#This Row],[ID]],tblPiNHistorical[ID], 0),MATCH(_xlfn._xlws.FILTER(tblPiNAnalysis[[#Headers],[CCCM]:[WASH]], tblPiNAnalysis[[#This Row],[Highest PiN]]=tblPiNAnalysis[[#This Row],[CCCM]:[WASH]]), tblPiNHistorical[[#Headers],[CCCM]:[WASH]], 0))), "")</f>
        <v/>
      </c>
      <c r="BB115" s="333" t="str" cm="1">
        <f t="array" ref="BB1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5" s="276" t="str" cm="1">
        <f t="array" ref="BC11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5" s="334" t="str" cm="1">
        <f t="array" ref="BD1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5" s="276">
        <f>INDEX(tblSeverityAnalysis[Final Severity], MATCH(tblPiNAnalysis[[#This Row],[ID]],tblSeverityAnalysis[ID], 0))</f>
        <v>3</v>
      </c>
      <c r="BF115" s="61">
        <f>IF(tblPiNAnalysis[[#This Row],[Severity]]&gt;2,tblPiNAnalysis[[#This Row],[Highest PiN]],)</f>
        <v>82693.25618815895</v>
      </c>
      <c r="BG115" s="191"/>
      <c r="BH115" s="192"/>
      <c r="BI115" s="193">
        <f>COUNTIFS(tblPiNAnalysis[[#This Row],[Number of missing / zero PiNs greater than threshold - Data quality]:[Manual Flag]],"Flagged")</f>
        <v>0</v>
      </c>
      <c r="BJ115" s="96" t="str">
        <f>IF(tblPiNAnalysis[[#This Row],['# Flags]]&gt;0, "Flagged", "")</f>
        <v/>
      </c>
      <c r="BK115" s="326">
        <f>tblPiNAnalysis[[#This Row],[Preliminary PiN]]</f>
        <v>82693.25618815895</v>
      </c>
      <c r="BL115" s="331"/>
    </row>
    <row r="116" spans="1:64" x14ac:dyDescent="0.55000000000000004">
      <c r="A11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SS0408</v>
      </c>
      <c r="B116" s="316" t="s">
        <v>292</v>
      </c>
      <c r="C116" s="317" t="s">
        <v>293</v>
      </c>
      <c r="D116" s="317" t="s">
        <v>308</v>
      </c>
      <c r="E116" s="105" t="s">
        <v>309</v>
      </c>
      <c r="F116" s="100"/>
      <c r="G116" s="34"/>
      <c r="H116" s="34"/>
      <c r="I116" s="97">
        <v>128918.60101552917</v>
      </c>
      <c r="J116" s="97" t="s">
        <v>413</v>
      </c>
      <c r="K116" s="318"/>
      <c r="L116" s="319">
        <v>26712.449804821703</v>
      </c>
      <c r="M116" s="319">
        <v>54353.719131979582</v>
      </c>
      <c r="N116" s="319">
        <v>82077.88951436241</v>
      </c>
      <c r="O116" s="319">
        <v>51457.918542680673</v>
      </c>
      <c r="P116" s="319">
        <v>22299</v>
      </c>
      <c r="Q116" s="320">
        <v>90469.193695108203</v>
      </c>
      <c r="R116" s="319">
        <v>83558.352510065204</v>
      </c>
      <c r="S116" s="319">
        <v>17271</v>
      </c>
      <c r="T116" s="319">
        <v>11764</v>
      </c>
      <c r="U116" s="319">
        <v>13789</v>
      </c>
      <c r="V116" s="319">
        <v>1503</v>
      </c>
      <c r="W116" s="321" t="str">
        <f>IFERROR(IF(tblPiNAnalysis[[#This Row],[CCCM]]="", "", MROUND(tblPiNAnalysis[[#This Row],[CCCM]]/tblPiNAnalysis[[#This Row],[Affected population projection 2026]], 0.05)), "")</f>
        <v/>
      </c>
      <c r="X116" s="322">
        <f>IFERROR(IF(tblPiNAnalysis[[#This Row],[Education]]="", "", MROUND(tblPiNAnalysis[[#This Row],[Education]]/tblPiNAnalysis[[#This Row],[Affected population projection 2026]], 0.05)), "")</f>
        <v>0.2</v>
      </c>
      <c r="Y116" s="322">
        <f>IFERROR(IF(tblPiNAnalysis[[#This Row],[Nutrition]]="", "", MROUND(tblPiNAnalysis[[#This Row],[Nutrition]]/tblPiNAnalysis[[#This Row],[Affected population projection 2026]], 0.05)), "")</f>
        <v>0.4</v>
      </c>
      <c r="Z116" s="322">
        <f>IFERROR(IF(tblPiNAnalysis[[#This Row],[Food Security]]="", "", MROUND(tblPiNAnalysis[[#This Row],[Food Security]]/tblPiNAnalysis[[#This Row],[Affected population projection 2026]], 0.05)), "")</f>
        <v>0.65</v>
      </c>
      <c r="AA116" s="322">
        <f>IFERROR(IF(tblPiNAnalysis[[#This Row],[Health]]="", "", MROUND(tblPiNAnalysis[[#This Row],[Health]]/tblPiNAnalysis[[#This Row],[Affected population projection 2026]], 0.05)), "")</f>
        <v>0.4</v>
      </c>
      <c r="AB116" s="323">
        <f>IFERROR(IF(tblPiNAnalysis[[#This Row],[Overarching Protection]]="", "", MROUND(tblPiNAnalysis[[#This Row],[Overarching Protection]]/tblPiNAnalysis[[#This Row],[Affected population projection 2026]], 0.05)), "")</f>
        <v>0.15000000000000002</v>
      </c>
      <c r="AC116" s="323">
        <f>IFERROR(IF(tblPiNAnalysis[[#This Row],[Shelter]]="", "", MROUND(tblPiNAnalysis[[#This Row],[Shelter]]/tblPiNAnalysis[[#This Row],[Affected population projection 2026]], 0.05)), "")</f>
        <v>0.70000000000000007</v>
      </c>
      <c r="AD116" s="324">
        <f>IFERROR(IF(tblPiNAnalysis[[#This Row],[WASH]]="", "", MROUND(tblPiNAnalysis[[#This Row],[WASH]]/tblPiNAnalysis[[#This Row],[Affected population projection 2026]], 0.05)), "")</f>
        <v>0.65</v>
      </c>
      <c r="AE116" s="322">
        <f>IFERROR(MROUND(tblPiNAnalysis[[#This Row],[CP]]/tblPiNAnalysis[[#This Row],[Affected population projection 2026]], 0.05), "")</f>
        <v>0.15000000000000002</v>
      </c>
      <c r="AF116" s="322">
        <f>IFERROR(MROUND(tblPiNAnalysis[[#This Row],[GBV]]/tblPiNAnalysis[[#This Row],[Affected population projection 2026]], 0.05), "")</f>
        <v>0.1</v>
      </c>
      <c r="AG116" s="322">
        <f>IFERROR(MROUND(tblPiNAnalysis[[#This Row],[Mine Action]]/tblPiNAnalysis[[#This Row],[Affected population projection 2026]], 0.05), "")</f>
        <v>0.1</v>
      </c>
      <c r="AH116" s="322">
        <f>IFERROR(MROUND(tblPiNAnalysis[[#This Row],[HLP]]/tblPiNAnalysis[[#This Row],[Affected population projection 2026]], 0.05), "")</f>
        <v>0</v>
      </c>
      <c r="AI116" s="325">
        <f>IFERROR(LARGE(tblPiNAnalysis[[#This Row],[CCCM]:[WASH]], 1), "")</f>
        <v>90469.193695108203</v>
      </c>
      <c r="AJ116" s="326" t="str" cm="1">
        <f t="array" ref="AJ116">IF(tblPiNAnalysis[[#This Row],[Highest PiN]]="", "", _xlfn.TEXTJOIN(CHAR(10), TRUE, IF(tblPiNAnalysis[[#This Row],[Highest PiN]]=tblPiNAnalysis[[#This Row],[CCCM]:[WASH]], tblPiNAnalysis[[#Headers],[CCCM]:[WASH]], "")))</f>
        <v>Shelter</v>
      </c>
      <c r="AK116" s="327">
        <f>IF(tblPiNAnalysis[[#This Row],[Highest PiN]]="", "", tblPiNAnalysis[[#This Row],[Highest PiN]]/tblPiNAnalysis[[#This Row],[Affected population projection 2026]])</f>
        <v>0.70175438596491235</v>
      </c>
      <c r="AL116" s="328" t="str">
        <f>IF(SUM(tblPiNAnalysis[[#This Row],[CCCM]:[WASH]])=0, "",IF(COUNTIF(tblPiNAnalysis[[#This Row],[CCCM]:[WASH]],"=0")+COUNTIF(tblPiNAnalysis[[#This Row],[CCCM]:[WASH]],"")&gt;=zero_pin_thresh, "Flagged", ""))</f>
        <v/>
      </c>
      <c r="AM116" s="329" t="str">
        <f>IFERROR(IF(tblPiNAnalysis[[#This Row],[Highest PiN]]="", "", IF(tblPiNAnalysis[[#This Row],[Highest sector(s'') PiN %]]&gt;=flag_pin_perc, "Flagged", "")), "")</f>
        <v/>
      </c>
      <c r="AN116" s="330" t="str" cm="1">
        <f t="array" ref="AN116">IF(tblPiNAnalysis[[#This Row],[Highest PiN]]=0, "",  IF(OR(COUNTIF(tblPiNAnalysis[[#This Row],[Highest sector(s)]],tblSubSectorPopulation[Sector])), "Flagged", ""))</f>
        <v/>
      </c>
      <c r="AO116" s="46" cm="1">
        <f t="array" ref="AO1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83558.352510065204</v>
      </c>
      <c r="AP116" s="331" t="str" cm="1">
        <f t="array" ref="AP116">IF(tblPiNAnalysis[[#This Row],[2nd Highest PiN]]="", "", _xlfn.TEXTJOIN(CHAR(10), TRUE, IF(tblPiNAnalysis[[#This Row],[2nd Highest PiN]]=tblPiNAnalysis[[#This Row],[CCCM]:[WASH]], tblPiNAnalysis[[#Headers],[CCCM]:[WASH]], "")))</f>
        <v>WASH</v>
      </c>
      <c r="AQ116" s="36">
        <f>IFERROR(tblPiNAnalysis[[#This Row],[2nd Highest PiN]]/tblPiNAnalysis[[#This Row],[Affected population projection 2026]], "")</f>
        <v>0.64814814814814814</v>
      </c>
      <c r="AR116" s="46">
        <f>IFERROR(tblPiNAnalysis[[#This Row],[Highest PiN]]-tblPiNAnalysis[[#This Row],[2nd Highest PiN]], "")</f>
        <v>6910.8411850429984</v>
      </c>
      <c r="AS116" s="39">
        <f>IFERROR(((tblPiNAnalysis[[#This Row],[Highest PiN]]-tblPiNAnalysis[[#This Row],[2nd Highest PiN]])/tblPiNAnalysis[[#This Row],[2nd Highest PiN]]),"")</f>
        <v>8.2706766917293367E-2</v>
      </c>
      <c r="AT116" s="39" t="str" cm="1">
        <f t="array" ref="AT1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6" s="332" cm="1">
        <f t="array" ref="AU1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82077.88951436241</v>
      </c>
      <c r="AV116" s="190" t="str" cm="1">
        <f t="array" ref="AV116">IF(tblPiNAnalysis[[#This Row],[3rd Highest PiN]]="", "", _xlfn.TEXTJOIN(CHAR(10), TRUE, IF(tblPiNAnalysis[[#This Row],[3rd Highest PiN]]=tblPiNAnalysis[[#This Row],[CCCM]:[WASH]], tblPiNAnalysis[[#Headers],[CCCM]:[WASH]], "")))</f>
        <v>Food Security</v>
      </c>
      <c r="AW116" s="190">
        <f>IFERROR(tblPiNAnalysis[[#This Row],[3rd Highest PiN]]/tblPiNAnalysis[[#This Row],[Affected population projection 2026]], "")</f>
        <v>0.63666444460156324</v>
      </c>
      <c r="AX116" s="45">
        <f>IFERROR(tblPiNAnalysis[[#This Row],[Highest PiN]]-tblPiNAnalysis[[#This Row],[3rd Highest PiN]],"")</f>
        <v>8391.3041807457921</v>
      </c>
      <c r="AY116" s="39">
        <f>IFERROR(tblPiNAnalysis[[#This Row],[Difference of PiN between Highest and 3rd Highest]]/tblPiNAnalysis[[#This Row],[3rd Highest PiN]], "")</f>
        <v>0.10223586681377131</v>
      </c>
      <c r="AZ116" s="330" t="str" cm="1">
        <f t="array" ref="AZ1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6" s="300" t="str" cm="1">
        <f t="array" ref="BA116">IFERROR(IF(tblPiNAnalysis[[#This Row],[ID]]="", "", INDEX(tblPiNHistorical[[CCCM]:[WASH]], MATCH(tblPiNAnalysis[[#This Row],[ID]],tblPiNHistorical[ID], 0),MATCH(_xlfn._xlws.FILTER(tblPiNAnalysis[[#Headers],[CCCM]:[WASH]], tblPiNAnalysis[[#This Row],[Highest PiN]]=tblPiNAnalysis[[#This Row],[CCCM]:[WASH]]), tblPiNHistorical[[#Headers],[CCCM]:[WASH]], 0))), "")</f>
        <v/>
      </c>
      <c r="BB116" s="333" t="str" cm="1">
        <f t="array" ref="BB1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6" s="276" t="str" cm="1">
        <f t="array" ref="BC11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6" s="334" t="str" cm="1">
        <f t="array" ref="BD1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6" s="276">
        <f>INDEX(tblSeverityAnalysis[Final Severity], MATCH(tblPiNAnalysis[[#This Row],[ID]],tblSeverityAnalysis[ID], 0))</f>
        <v>3</v>
      </c>
      <c r="BF116" s="61">
        <f>IF(tblPiNAnalysis[[#This Row],[Severity]]&gt;2,tblPiNAnalysis[[#This Row],[Highest PiN]],)</f>
        <v>90469.193695108203</v>
      </c>
      <c r="BG116" s="191"/>
      <c r="BH116" s="192"/>
      <c r="BI116" s="193">
        <f>COUNTIFS(tblPiNAnalysis[[#This Row],[Number of missing / zero PiNs greater than threshold - Data quality]:[Manual Flag]],"Flagged")</f>
        <v>0</v>
      </c>
      <c r="BJ116" s="96" t="str">
        <f>IF(tblPiNAnalysis[[#This Row],['# Flags]]&gt;0, "Flagged", "")</f>
        <v/>
      </c>
      <c r="BK116" s="326">
        <f>tblPiNAnalysis[[#This Row],[Preliminary PiN]]</f>
        <v>90469.193695108203</v>
      </c>
      <c r="BL116" s="331"/>
    </row>
    <row r="117" spans="1:64" ht="24.6" x14ac:dyDescent="0.55000000000000004">
      <c r="A11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SS0501</v>
      </c>
      <c r="B117" s="316" t="s">
        <v>310</v>
      </c>
      <c r="C117" s="317" t="s">
        <v>311</v>
      </c>
      <c r="D117" s="317" t="s">
        <v>312</v>
      </c>
      <c r="E117" s="105" t="s">
        <v>313</v>
      </c>
      <c r="F117" s="100"/>
      <c r="G117" s="34"/>
      <c r="H117" s="34"/>
      <c r="I117" s="97">
        <v>53097.621318074722</v>
      </c>
      <c r="J117" s="97" t="s">
        <v>413</v>
      </c>
      <c r="K117" s="318"/>
      <c r="L117" s="319">
        <v>9213.8072173159708</v>
      </c>
      <c r="M117" s="319">
        <v>48176.199306504182</v>
      </c>
      <c r="N117" s="319">
        <v>32102.608253264854</v>
      </c>
      <c r="O117" s="319">
        <v>43741.522508035392</v>
      </c>
      <c r="P117" s="319">
        <v>8953</v>
      </c>
      <c r="Q117" s="320">
        <v>37028.604340236314</v>
      </c>
      <c r="R117" s="319">
        <v>34736.761609955422</v>
      </c>
      <c r="S117" s="319">
        <v>7187</v>
      </c>
      <c r="T117" s="319">
        <v>7567</v>
      </c>
      <c r="U117" s="319">
        <v>1786</v>
      </c>
      <c r="V117" s="319">
        <v>561</v>
      </c>
      <c r="W117" s="321" t="str">
        <f>IFERROR(IF(tblPiNAnalysis[[#This Row],[CCCM]]="", "", MROUND(tblPiNAnalysis[[#This Row],[CCCM]]/tblPiNAnalysis[[#This Row],[Affected population projection 2026]], 0.05)), "")</f>
        <v/>
      </c>
      <c r="X117" s="322">
        <f>IFERROR(IF(tblPiNAnalysis[[#This Row],[Education]]="", "", MROUND(tblPiNAnalysis[[#This Row],[Education]]/tblPiNAnalysis[[#This Row],[Affected population projection 2026]], 0.05)), "")</f>
        <v>0.15000000000000002</v>
      </c>
      <c r="Y117" s="322">
        <f>IFERROR(IF(tblPiNAnalysis[[#This Row],[Nutrition]]="", "", MROUND(tblPiNAnalysis[[#This Row],[Nutrition]]/tblPiNAnalysis[[#This Row],[Affected population projection 2026]], 0.05)), "")</f>
        <v>0.9</v>
      </c>
      <c r="Z117" s="322">
        <f>IFERROR(IF(tblPiNAnalysis[[#This Row],[Food Security]]="", "", MROUND(tblPiNAnalysis[[#This Row],[Food Security]]/tblPiNAnalysis[[#This Row],[Affected population projection 2026]], 0.05)), "")</f>
        <v>0.60000000000000009</v>
      </c>
      <c r="AA117" s="322">
        <f>IFERROR(IF(tblPiNAnalysis[[#This Row],[Health]]="", "", MROUND(tblPiNAnalysis[[#This Row],[Health]]/tblPiNAnalysis[[#This Row],[Affected population projection 2026]], 0.05)), "")</f>
        <v>0.8</v>
      </c>
      <c r="AB117" s="323">
        <f>IFERROR(IF(tblPiNAnalysis[[#This Row],[Overarching Protection]]="", "", MROUND(tblPiNAnalysis[[#This Row],[Overarching Protection]]/tblPiNAnalysis[[#This Row],[Affected population projection 2026]], 0.05)), "")</f>
        <v>0.15000000000000002</v>
      </c>
      <c r="AC117" s="323">
        <f>IFERROR(IF(tblPiNAnalysis[[#This Row],[Shelter]]="", "", MROUND(tblPiNAnalysis[[#This Row],[Shelter]]/tblPiNAnalysis[[#This Row],[Affected population projection 2026]], 0.05)), "")</f>
        <v>0.70000000000000007</v>
      </c>
      <c r="AD117" s="324">
        <f>IFERROR(IF(tblPiNAnalysis[[#This Row],[WASH]]="", "", MROUND(tblPiNAnalysis[[#This Row],[WASH]]/tblPiNAnalysis[[#This Row],[Affected population projection 2026]], 0.05)), "")</f>
        <v>0.65</v>
      </c>
      <c r="AE117" s="322">
        <f>IFERROR(MROUND(tblPiNAnalysis[[#This Row],[CP]]/tblPiNAnalysis[[#This Row],[Affected population projection 2026]], 0.05), "")</f>
        <v>0.15000000000000002</v>
      </c>
      <c r="AF117" s="322">
        <f>IFERROR(MROUND(tblPiNAnalysis[[#This Row],[GBV]]/tblPiNAnalysis[[#This Row],[Affected population projection 2026]], 0.05), "")</f>
        <v>0.15000000000000002</v>
      </c>
      <c r="AG117" s="322">
        <f>IFERROR(MROUND(tblPiNAnalysis[[#This Row],[Mine Action]]/tblPiNAnalysis[[#This Row],[Affected population projection 2026]], 0.05), "")</f>
        <v>0.05</v>
      </c>
      <c r="AH117" s="322">
        <f>IFERROR(MROUND(tblPiNAnalysis[[#This Row],[HLP]]/tblPiNAnalysis[[#This Row],[Affected population projection 2026]], 0.05), "")</f>
        <v>0</v>
      </c>
      <c r="AI117" s="325">
        <f>IFERROR(LARGE(tblPiNAnalysis[[#This Row],[CCCM]:[WASH]], 1), "")</f>
        <v>48176.199306504182</v>
      </c>
      <c r="AJ117" s="326" t="str" cm="1">
        <f t="array" ref="AJ117">IF(tblPiNAnalysis[[#This Row],[Highest PiN]]="", "", _xlfn.TEXTJOIN(CHAR(10), TRUE, IF(tblPiNAnalysis[[#This Row],[Highest PiN]]=tblPiNAnalysis[[#This Row],[CCCM]:[WASH]], tblPiNAnalysis[[#Headers],[CCCM]:[WASH]], "")))</f>
        <v>Nutrition</v>
      </c>
      <c r="AK117" s="327">
        <f>IF(tblPiNAnalysis[[#This Row],[Highest PiN]]="", "", tblPiNAnalysis[[#This Row],[Highest PiN]]/tblPiNAnalysis[[#This Row],[Affected population projection 2026]])</f>
        <v>0.90731370088898389</v>
      </c>
      <c r="AL117" s="328" t="str">
        <f>IF(SUM(tblPiNAnalysis[[#This Row],[CCCM]:[WASH]])=0, "",IF(COUNTIF(tblPiNAnalysis[[#This Row],[CCCM]:[WASH]],"=0")+COUNTIF(tblPiNAnalysis[[#This Row],[CCCM]:[WASH]],"")&gt;=zero_pin_thresh, "Flagged", ""))</f>
        <v/>
      </c>
      <c r="AM117" s="329" t="str">
        <f>IFERROR(IF(tblPiNAnalysis[[#This Row],[Highest PiN]]="", "", IF(tblPiNAnalysis[[#This Row],[Highest sector(s'') PiN %]]&gt;=flag_pin_perc, "Flagged", "")), "")</f>
        <v>Flagged</v>
      </c>
      <c r="AN117" s="330" t="str" cm="1">
        <f t="array" ref="AN117">IF(tblPiNAnalysis[[#This Row],[Highest PiN]]=0, "",  IF(OR(COUNTIF(tblPiNAnalysis[[#This Row],[Highest sector(s)]],tblSubSectorPopulation[Sector])), "Flagged", ""))</f>
        <v/>
      </c>
      <c r="AO117" s="46" cm="1">
        <f t="array" ref="AO1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43741.522508035392</v>
      </c>
      <c r="AP117" s="331" t="str" cm="1">
        <f t="array" ref="AP117">IF(tblPiNAnalysis[[#This Row],[2nd Highest PiN]]="", "", _xlfn.TEXTJOIN(CHAR(10), TRUE, IF(tblPiNAnalysis[[#This Row],[2nd Highest PiN]]=tblPiNAnalysis[[#This Row],[CCCM]:[WASH]], tblPiNAnalysis[[#Headers],[CCCM]:[WASH]], "")))</f>
        <v>Health</v>
      </c>
      <c r="AQ117" s="36">
        <f>IFERROR(tblPiNAnalysis[[#This Row],[2nd Highest PiN]]/tblPiNAnalysis[[#This Row],[Affected population projection 2026]], "")</f>
        <v>0.82379438894272161</v>
      </c>
      <c r="AR117" s="46">
        <f>IFERROR(tblPiNAnalysis[[#This Row],[Highest PiN]]-tblPiNAnalysis[[#This Row],[2nd Highest PiN]], "")</f>
        <v>4434.6767984687904</v>
      </c>
      <c r="AS117" s="39">
        <f>IFERROR(((tblPiNAnalysis[[#This Row],[Highest PiN]]-tblPiNAnalysis[[#This Row],[2nd Highest PiN]])/tblPiNAnalysis[[#This Row],[2nd Highest PiN]]),"")</f>
        <v>0.10138368635097539</v>
      </c>
      <c r="AT117" s="39" t="str" cm="1">
        <f t="array" ref="AT1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7" s="332" cm="1">
        <f t="array" ref="AU1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37028.604340236314</v>
      </c>
      <c r="AV117" s="190" t="str" cm="1">
        <f t="array" ref="AV117">IF(tblPiNAnalysis[[#This Row],[3rd Highest PiN]]="", "", _xlfn.TEXTJOIN(CHAR(10), TRUE, IF(tblPiNAnalysis[[#This Row],[3rd Highest PiN]]=tblPiNAnalysis[[#This Row],[CCCM]:[WASH]], tblPiNAnalysis[[#Headers],[CCCM]:[WASH]], "")))</f>
        <v>Shelter</v>
      </c>
      <c r="AW117" s="190">
        <f>IFERROR(tblPiNAnalysis[[#This Row],[3rd Highest PiN]]/tblPiNAnalysis[[#This Row],[Affected population projection 2026]], "")</f>
        <v>0.69736842105263153</v>
      </c>
      <c r="AX117" s="45">
        <f>IFERROR(tblPiNAnalysis[[#This Row],[Highest PiN]]-tblPiNAnalysis[[#This Row],[3rd Highest PiN]],"")</f>
        <v>11147.594966267869</v>
      </c>
      <c r="AY117" s="39">
        <f>IFERROR(tblPiNAnalysis[[#This Row],[Difference of PiN between Highest and 3rd Highest]]/tblPiNAnalysis[[#This Row],[3rd Highest PiN]], "")</f>
        <v>0.30105360882193932</v>
      </c>
      <c r="AZ117" s="330" t="str" cm="1">
        <f t="array" ref="AZ1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7" s="300" t="str" cm="1">
        <f t="array" ref="BA117">IFERROR(IF(tblPiNAnalysis[[#This Row],[ID]]="", "", INDEX(tblPiNHistorical[[CCCM]:[WASH]], MATCH(tblPiNAnalysis[[#This Row],[ID]],tblPiNHistorical[ID], 0),MATCH(_xlfn._xlws.FILTER(tblPiNAnalysis[[#Headers],[CCCM]:[WASH]], tblPiNAnalysis[[#This Row],[Highest PiN]]=tblPiNAnalysis[[#This Row],[CCCM]:[WASH]]), tblPiNHistorical[[#Headers],[CCCM]:[WASH]], 0))), "")</f>
        <v/>
      </c>
      <c r="BB117" s="333" t="str" cm="1">
        <f t="array" ref="BB1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7" s="276" t="str" cm="1">
        <f t="array" ref="BC11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7" s="334" t="str" cm="1">
        <f t="array" ref="BD1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7" s="276">
        <f>INDEX(tblSeverityAnalysis[Final Severity], MATCH(tblPiNAnalysis[[#This Row],[ID]],tblSeverityAnalysis[ID], 0))</f>
        <v>3</v>
      </c>
      <c r="BF117" s="61">
        <f>IF(tblPiNAnalysis[[#This Row],[Severity]]&gt;2,tblPiNAnalysis[[#This Row],[Highest PiN]],)</f>
        <v>48176.199306504182</v>
      </c>
      <c r="BG117" s="191"/>
      <c r="BH117" s="192"/>
      <c r="BI117" s="193">
        <f>COUNTIFS(tblPiNAnalysis[[#This Row],[Number of missing / zero PiNs greater than threshold - Data quality]:[Manual Flag]],"Flagged")</f>
        <v>1</v>
      </c>
      <c r="BJ117" s="96" t="str">
        <f>IF(tblPiNAnalysis[[#This Row],['# Flags]]&gt;0, "Flagged", "")</f>
        <v>Flagged</v>
      </c>
      <c r="BK117" s="326">
        <f>tblPiNAnalysis[[#This Row],[Preliminary PiN]]</f>
        <v>48176.199306504182</v>
      </c>
      <c r="BL117" s="331"/>
    </row>
    <row r="118" spans="1:64" ht="24.6" x14ac:dyDescent="0.55000000000000004">
      <c r="A11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SS0502</v>
      </c>
      <c r="B118" s="316" t="s">
        <v>310</v>
      </c>
      <c r="C118" s="317" t="s">
        <v>311</v>
      </c>
      <c r="D118" s="317" t="s">
        <v>314</v>
      </c>
      <c r="E118" s="105" t="s">
        <v>315</v>
      </c>
      <c r="F118" s="100"/>
      <c r="G118" s="34"/>
      <c r="H118" s="34"/>
      <c r="I118" s="97">
        <v>211899.62896361714</v>
      </c>
      <c r="J118" s="97" t="s">
        <v>413</v>
      </c>
      <c r="K118" s="318"/>
      <c r="L118" s="319">
        <v>77711.137567749509</v>
      </c>
      <c r="M118" s="319">
        <v>107000.61183552348</v>
      </c>
      <c r="N118" s="319">
        <v>163271.80085852064</v>
      </c>
      <c r="O118" s="319">
        <v>89512.764713814802</v>
      </c>
      <c r="P118" s="319">
        <v>35655</v>
      </c>
      <c r="Q118" s="320">
        <v>175141.5300617652</v>
      </c>
      <c r="R118" s="319">
        <v>86329.478466658853</v>
      </c>
      <c r="S118" s="319">
        <v>29576</v>
      </c>
      <c r="T118" s="319">
        <v>29002</v>
      </c>
      <c r="U118" s="319">
        <v>20564</v>
      </c>
      <c r="V118" s="319">
        <v>2066</v>
      </c>
      <c r="W118" s="321" t="str">
        <f>IFERROR(IF(tblPiNAnalysis[[#This Row],[CCCM]]="", "", MROUND(tblPiNAnalysis[[#This Row],[CCCM]]/tblPiNAnalysis[[#This Row],[Affected population projection 2026]], 0.05)), "")</f>
        <v/>
      </c>
      <c r="X118" s="322">
        <f>IFERROR(IF(tblPiNAnalysis[[#This Row],[Education]]="", "", MROUND(tblPiNAnalysis[[#This Row],[Education]]/tblPiNAnalysis[[#This Row],[Affected population projection 2026]], 0.05)), "")</f>
        <v>0.35000000000000003</v>
      </c>
      <c r="Y118" s="322">
        <f>IFERROR(IF(tblPiNAnalysis[[#This Row],[Nutrition]]="", "", MROUND(tblPiNAnalysis[[#This Row],[Nutrition]]/tblPiNAnalysis[[#This Row],[Affected population projection 2026]], 0.05)), "")</f>
        <v>0.5</v>
      </c>
      <c r="Z118" s="322">
        <f>IFERROR(IF(tblPiNAnalysis[[#This Row],[Food Security]]="", "", MROUND(tblPiNAnalysis[[#This Row],[Food Security]]/tblPiNAnalysis[[#This Row],[Affected population projection 2026]], 0.05)), "")</f>
        <v>0.75</v>
      </c>
      <c r="AA118" s="322">
        <f>IFERROR(IF(tblPiNAnalysis[[#This Row],[Health]]="", "", MROUND(tblPiNAnalysis[[#This Row],[Health]]/tblPiNAnalysis[[#This Row],[Affected population projection 2026]], 0.05)), "")</f>
        <v>0.4</v>
      </c>
      <c r="AB118" s="323">
        <f>IFERROR(IF(tblPiNAnalysis[[#This Row],[Overarching Protection]]="", "", MROUND(tblPiNAnalysis[[#This Row],[Overarching Protection]]/tblPiNAnalysis[[#This Row],[Affected population projection 2026]], 0.05)), "")</f>
        <v>0.15000000000000002</v>
      </c>
      <c r="AC118" s="323">
        <f>IFERROR(IF(tblPiNAnalysis[[#This Row],[Shelter]]="", "", MROUND(tblPiNAnalysis[[#This Row],[Shelter]]/tblPiNAnalysis[[#This Row],[Affected population projection 2026]], 0.05)), "")</f>
        <v>0.85000000000000009</v>
      </c>
      <c r="AD118" s="324">
        <f>IFERROR(IF(tblPiNAnalysis[[#This Row],[WASH]]="", "", MROUND(tblPiNAnalysis[[#This Row],[WASH]]/tblPiNAnalysis[[#This Row],[Affected population projection 2026]], 0.05)), "")</f>
        <v>0.4</v>
      </c>
      <c r="AE118" s="322">
        <f>IFERROR(MROUND(tblPiNAnalysis[[#This Row],[CP]]/tblPiNAnalysis[[#This Row],[Affected population projection 2026]], 0.05), "")</f>
        <v>0.15000000000000002</v>
      </c>
      <c r="AF118" s="322">
        <f>IFERROR(MROUND(tblPiNAnalysis[[#This Row],[GBV]]/tblPiNAnalysis[[#This Row],[Affected population projection 2026]], 0.05), "")</f>
        <v>0.15000000000000002</v>
      </c>
      <c r="AG118" s="322">
        <f>IFERROR(MROUND(tblPiNAnalysis[[#This Row],[Mine Action]]/tblPiNAnalysis[[#This Row],[Affected population projection 2026]], 0.05), "")</f>
        <v>0.1</v>
      </c>
      <c r="AH118" s="322">
        <f>IFERROR(MROUND(tblPiNAnalysis[[#This Row],[HLP]]/tblPiNAnalysis[[#This Row],[Affected population projection 2026]], 0.05), "")</f>
        <v>0</v>
      </c>
      <c r="AI118" s="325">
        <f>IFERROR(LARGE(tblPiNAnalysis[[#This Row],[CCCM]:[WASH]], 1), "")</f>
        <v>175141.5300617652</v>
      </c>
      <c r="AJ118" s="326" t="str" cm="1">
        <f t="array" ref="AJ118">IF(tblPiNAnalysis[[#This Row],[Highest PiN]]="", "", _xlfn.TEXTJOIN(CHAR(10), TRUE, IF(tblPiNAnalysis[[#This Row],[Highest PiN]]=tblPiNAnalysis[[#This Row],[CCCM]:[WASH]], tblPiNAnalysis[[#Headers],[CCCM]:[WASH]], "")))</f>
        <v>Shelter</v>
      </c>
      <c r="AK118" s="327">
        <f>IF(tblPiNAnalysis[[#This Row],[Highest PiN]]="", "", tblPiNAnalysis[[#This Row],[Highest PiN]]/tblPiNAnalysis[[#This Row],[Affected population projection 2026]])</f>
        <v>0.82653061224489799</v>
      </c>
      <c r="AL118" s="328" t="str">
        <f>IF(SUM(tblPiNAnalysis[[#This Row],[CCCM]:[WASH]])=0, "",IF(COUNTIF(tblPiNAnalysis[[#This Row],[CCCM]:[WASH]],"=0")+COUNTIF(tblPiNAnalysis[[#This Row],[CCCM]:[WASH]],"")&gt;=zero_pin_thresh, "Flagged", ""))</f>
        <v/>
      </c>
      <c r="AM118" s="329" t="str">
        <f>IFERROR(IF(tblPiNAnalysis[[#This Row],[Highest PiN]]="", "", IF(tblPiNAnalysis[[#This Row],[Highest sector(s'') PiN %]]&gt;=flag_pin_perc, "Flagged", "")), "")</f>
        <v/>
      </c>
      <c r="AN118" s="330" t="str" cm="1">
        <f t="array" ref="AN118">IF(tblPiNAnalysis[[#This Row],[Highest PiN]]=0, "",  IF(OR(COUNTIF(tblPiNAnalysis[[#This Row],[Highest sector(s)]],tblSubSectorPopulation[Sector])), "Flagged", ""))</f>
        <v/>
      </c>
      <c r="AO118" s="46" cm="1">
        <f t="array" ref="AO1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163271.80085852064</v>
      </c>
      <c r="AP118" s="331" t="str" cm="1">
        <f t="array" ref="AP118">IF(tblPiNAnalysis[[#This Row],[2nd Highest PiN]]="", "", _xlfn.TEXTJOIN(CHAR(10), TRUE, IF(tblPiNAnalysis[[#This Row],[2nd Highest PiN]]=tblPiNAnalysis[[#This Row],[CCCM]:[WASH]], tblPiNAnalysis[[#Headers],[CCCM]:[WASH]], "")))</f>
        <v>Food Security</v>
      </c>
      <c r="AQ118" s="36">
        <f>IFERROR(tblPiNAnalysis[[#This Row],[2nd Highest PiN]]/tblPiNAnalysis[[#This Row],[Affected population projection 2026]], "")</f>
        <v>0.77051480296151986</v>
      </c>
      <c r="AR118" s="46">
        <f>IFERROR(tblPiNAnalysis[[#This Row],[Highest PiN]]-tblPiNAnalysis[[#This Row],[2nd Highest PiN]], "")</f>
        <v>11869.729203244555</v>
      </c>
      <c r="AS118" s="39">
        <f>IFERROR(((tblPiNAnalysis[[#This Row],[Highest PiN]]-tblPiNAnalysis[[#This Row],[2nd Highest PiN]])/tblPiNAnalysis[[#This Row],[2nd Highest PiN]]),"")</f>
        <v>7.2699199376933379E-2</v>
      </c>
      <c r="AT118" s="39" t="str" cm="1">
        <f t="array" ref="AT1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8" s="332" cm="1">
        <f t="array" ref="AU1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107000.61183552348</v>
      </c>
      <c r="AV118" s="190" t="str" cm="1">
        <f t="array" ref="AV118">IF(tblPiNAnalysis[[#This Row],[3rd Highest PiN]]="", "", _xlfn.TEXTJOIN(CHAR(10), TRUE, IF(tblPiNAnalysis[[#This Row],[3rd Highest PiN]]=tblPiNAnalysis[[#This Row],[CCCM]:[WASH]], tblPiNAnalysis[[#Headers],[CCCM]:[WASH]], "")))</f>
        <v>Nutrition</v>
      </c>
      <c r="AW118" s="190">
        <f>IFERROR(tblPiNAnalysis[[#This Row],[3rd Highest PiN]]/tblPiNAnalysis[[#This Row],[Affected population projection 2026]], "")</f>
        <v>0.50495893909231582</v>
      </c>
      <c r="AX118" s="45">
        <f>IFERROR(tblPiNAnalysis[[#This Row],[Highest PiN]]-tblPiNAnalysis[[#This Row],[3rd Highest PiN]],"")</f>
        <v>68140.918226241716</v>
      </c>
      <c r="AY118" s="39">
        <f>IFERROR(tblPiNAnalysis[[#This Row],[Difference of PiN between Highest and 3rd Highest]]/tblPiNAnalysis[[#This Row],[3rd Highest PiN]], "")</f>
        <v>0.63682737002462064</v>
      </c>
      <c r="AZ118" s="330" t="str" cm="1">
        <f t="array" ref="AZ1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8" s="300" t="str" cm="1">
        <f t="array" ref="BA118">IFERROR(IF(tblPiNAnalysis[[#This Row],[ID]]="", "", INDEX(tblPiNHistorical[[CCCM]:[WASH]], MATCH(tblPiNAnalysis[[#This Row],[ID]],tblPiNHistorical[ID], 0),MATCH(_xlfn._xlws.FILTER(tblPiNAnalysis[[#Headers],[CCCM]:[WASH]], tblPiNAnalysis[[#This Row],[Highest PiN]]=tblPiNAnalysis[[#This Row],[CCCM]:[WASH]]), tblPiNHistorical[[#Headers],[CCCM]:[WASH]], 0))), "")</f>
        <v/>
      </c>
      <c r="BB118" s="333" t="str" cm="1">
        <f t="array" ref="BB1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8" s="276" t="str" cm="1">
        <f t="array" ref="BC11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8" s="334" t="str" cm="1">
        <f t="array" ref="BD1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8" s="276">
        <f>INDEX(tblSeverityAnalysis[Final Severity], MATCH(tblPiNAnalysis[[#This Row],[ID]],tblSeverityAnalysis[ID], 0))</f>
        <v>4</v>
      </c>
      <c r="BF118" s="61">
        <f>IF(tblPiNAnalysis[[#This Row],[Severity]]&gt;2,tblPiNAnalysis[[#This Row],[Highest PiN]],)</f>
        <v>175141.5300617652</v>
      </c>
      <c r="BG118" s="191"/>
      <c r="BH118" s="192"/>
      <c r="BI118" s="193">
        <f>COUNTIFS(tblPiNAnalysis[[#This Row],[Number of missing / zero PiNs greater than threshold - Data quality]:[Manual Flag]],"Flagged")</f>
        <v>1</v>
      </c>
      <c r="BJ118" s="96" t="str">
        <f>IF(tblPiNAnalysis[[#This Row],['# Flags]]&gt;0, "Flagged", "")</f>
        <v>Flagged</v>
      </c>
      <c r="BK118" s="326">
        <f>tblPiNAnalysis[[#This Row],[Preliminary PiN]]</f>
        <v>175141.5300617652</v>
      </c>
      <c r="BL118" s="331"/>
    </row>
    <row r="119" spans="1:64" ht="24.6" x14ac:dyDescent="0.55000000000000004">
      <c r="A11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SS0503</v>
      </c>
      <c r="B119" s="316" t="s">
        <v>310</v>
      </c>
      <c r="C119" s="317" t="s">
        <v>311</v>
      </c>
      <c r="D119" s="317" t="s">
        <v>316</v>
      </c>
      <c r="E119" s="105" t="s">
        <v>317</v>
      </c>
      <c r="F119" s="100"/>
      <c r="G119" s="34"/>
      <c r="H119" s="34"/>
      <c r="I119" s="97">
        <v>109801.05355905752</v>
      </c>
      <c r="J119" s="97" t="s">
        <v>413</v>
      </c>
      <c r="K119" s="318"/>
      <c r="L119" s="319">
        <v>28724.548536738668</v>
      </c>
      <c r="M119" s="319">
        <v>79008.885083413552</v>
      </c>
      <c r="N119" s="319">
        <v>78867.214716435919</v>
      </c>
      <c r="O119" s="319">
        <v>50227.822636798279</v>
      </c>
      <c r="P119" s="319">
        <v>18893</v>
      </c>
      <c r="Q119" s="320">
        <v>64754.467483546738</v>
      </c>
      <c r="R119" s="319">
        <v>27450.263389764379</v>
      </c>
      <c r="S119" s="319">
        <v>15621</v>
      </c>
      <c r="T119" s="319">
        <v>16411</v>
      </c>
      <c r="U119" s="319">
        <v>11827</v>
      </c>
      <c r="V119" s="319">
        <v>1110</v>
      </c>
      <c r="W119" s="321" t="str">
        <f>IFERROR(IF(tblPiNAnalysis[[#This Row],[CCCM]]="", "", MROUND(tblPiNAnalysis[[#This Row],[CCCM]]/tblPiNAnalysis[[#This Row],[Affected population projection 2026]], 0.05)), "")</f>
        <v/>
      </c>
      <c r="X119" s="322">
        <f>IFERROR(IF(tblPiNAnalysis[[#This Row],[Education]]="", "", MROUND(tblPiNAnalysis[[#This Row],[Education]]/tblPiNAnalysis[[#This Row],[Affected population projection 2026]], 0.05)), "")</f>
        <v>0.25</v>
      </c>
      <c r="Y119" s="322">
        <f>IFERROR(IF(tblPiNAnalysis[[#This Row],[Nutrition]]="", "", MROUND(tblPiNAnalysis[[#This Row],[Nutrition]]/tblPiNAnalysis[[#This Row],[Affected population projection 2026]], 0.05)), "")</f>
        <v>0.70000000000000007</v>
      </c>
      <c r="Z119" s="322">
        <f>IFERROR(IF(tblPiNAnalysis[[#This Row],[Food Security]]="", "", MROUND(tblPiNAnalysis[[#This Row],[Food Security]]/tblPiNAnalysis[[#This Row],[Affected population projection 2026]], 0.05)), "")</f>
        <v>0.70000000000000007</v>
      </c>
      <c r="AA119" s="322">
        <f>IFERROR(IF(tblPiNAnalysis[[#This Row],[Health]]="", "", MROUND(tblPiNAnalysis[[#This Row],[Health]]/tblPiNAnalysis[[#This Row],[Affected population projection 2026]], 0.05)), "")</f>
        <v>0.45</v>
      </c>
      <c r="AB119" s="323">
        <f>IFERROR(IF(tblPiNAnalysis[[#This Row],[Overarching Protection]]="", "", MROUND(tblPiNAnalysis[[#This Row],[Overarching Protection]]/tblPiNAnalysis[[#This Row],[Affected population projection 2026]], 0.05)), "")</f>
        <v>0.15000000000000002</v>
      </c>
      <c r="AC119" s="323">
        <f>IFERROR(IF(tblPiNAnalysis[[#This Row],[Shelter]]="", "", MROUND(tblPiNAnalysis[[#This Row],[Shelter]]/tblPiNAnalysis[[#This Row],[Affected population projection 2026]], 0.05)), "")</f>
        <v>0.60000000000000009</v>
      </c>
      <c r="AD119" s="324">
        <f>IFERROR(IF(tblPiNAnalysis[[#This Row],[WASH]]="", "", MROUND(tblPiNAnalysis[[#This Row],[WASH]]/tblPiNAnalysis[[#This Row],[Affected population projection 2026]], 0.05)), "")</f>
        <v>0.25</v>
      </c>
      <c r="AE119" s="322">
        <f>IFERROR(MROUND(tblPiNAnalysis[[#This Row],[CP]]/tblPiNAnalysis[[#This Row],[Affected population projection 2026]], 0.05), "")</f>
        <v>0.15000000000000002</v>
      </c>
      <c r="AF119" s="322">
        <f>IFERROR(MROUND(tblPiNAnalysis[[#This Row],[GBV]]/tblPiNAnalysis[[#This Row],[Affected population projection 2026]], 0.05), "")</f>
        <v>0.15000000000000002</v>
      </c>
      <c r="AG119" s="322">
        <f>IFERROR(MROUND(tblPiNAnalysis[[#This Row],[Mine Action]]/tblPiNAnalysis[[#This Row],[Affected population projection 2026]], 0.05), "")</f>
        <v>0.1</v>
      </c>
      <c r="AH119" s="322">
        <f>IFERROR(MROUND(tblPiNAnalysis[[#This Row],[HLP]]/tblPiNAnalysis[[#This Row],[Affected population projection 2026]], 0.05), "")</f>
        <v>0</v>
      </c>
      <c r="AI119" s="325">
        <f>IFERROR(LARGE(tblPiNAnalysis[[#This Row],[CCCM]:[WASH]], 1), "")</f>
        <v>79008.885083413552</v>
      </c>
      <c r="AJ119" s="326" t="str" cm="1">
        <f t="array" ref="AJ119">IF(tblPiNAnalysis[[#This Row],[Highest PiN]]="", "", _xlfn.TEXTJOIN(CHAR(10), TRUE, IF(tblPiNAnalysis[[#This Row],[Highest PiN]]=tblPiNAnalysis[[#This Row],[CCCM]:[WASH]], tblPiNAnalysis[[#Headers],[CCCM]:[WASH]], "")))</f>
        <v>Nutrition</v>
      </c>
      <c r="AK119" s="327">
        <f>IF(tblPiNAnalysis[[#This Row],[Highest PiN]]="", "", tblPiNAnalysis[[#This Row],[Highest PiN]]/tblPiNAnalysis[[#This Row],[Affected population projection 2026]])</f>
        <v>0.71956399799859738</v>
      </c>
      <c r="AL119" s="328" t="str">
        <f>IF(SUM(tblPiNAnalysis[[#This Row],[CCCM]:[WASH]])=0, "",IF(COUNTIF(tblPiNAnalysis[[#This Row],[CCCM]:[WASH]],"=0")+COUNTIF(tblPiNAnalysis[[#This Row],[CCCM]:[WASH]],"")&gt;=zero_pin_thresh, "Flagged", ""))</f>
        <v/>
      </c>
      <c r="AM119" s="329" t="str">
        <f>IFERROR(IF(tblPiNAnalysis[[#This Row],[Highest PiN]]="", "", IF(tblPiNAnalysis[[#This Row],[Highest sector(s'') PiN %]]&gt;=flag_pin_perc, "Flagged", "")), "")</f>
        <v/>
      </c>
      <c r="AN119" s="330" t="str" cm="1">
        <f t="array" ref="AN119">IF(tblPiNAnalysis[[#This Row],[Highest PiN]]=0, "",  IF(OR(COUNTIF(tblPiNAnalysis[[#This Row],[Highest sector(s)]],tblSubSectorPopulation[Sector])), "Flagged", ""))</f>
        <v/>
      </c>
      <c r="AO119" s="46" cm="1">
        <f t="array" ref="AO1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78867.214716435919</v>
      </c>
      <c r="AP119" s="331" t="str" cm="1">
        <f t="array" ref="AP119">IF(tblPiNAnalysis[[#This Row],[2nd Highest PiN]]="", "", _xlfn.TEXTJOIN(CHAR(10), TRUE, IF(tblPiNAnalysis[[#This Row],[2nd Highest PiN]]=tblPiNAnalysis[[#This Row],[CCCM]:[WASH]], tblPiNAnalysis[[#Headers],[CCCM]:[WASH]], "")))</f>
        <v>Food Security</v>
      </c>
      <c r="AQ119" s="36">
        <f>IFERROR(tblPiNAnalysis[[#This Row],[2nd Highest PiN]]/tblPiNAnalysis[[#This Row],[Affected population projection 2026]], "")</f>
        <v>0.71827375202749266</v>
      </c>
      <c r="AR119" s="46">
        <f>IFERROR(tblPiNAnalysis[[#This Row],[Highest PiN]]-tblPiNAnalysis[[#This Row],[2nd Highest PiN]], "")</f>
        <v>141.67036697763251</v>
      </c>
      <c r="AS119" s="39">
        <f>IFERROR(((tblPiNAnalysis[[#This Row],[Highest PiN]]-tblPiNAnalysis[[#This Row],[2nd Highest PiN]])/tblPiNAnalysis[[#This Row],[2nd Highest PiN]]),"")</f>
        <v>1.7963150782870036E-3</v>
      </c>
      <c r="AT119" s="39" t="str" cm="1">
        <f t="array" ref="AT1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9" s="332" cm="1">
        <f t="array" ref="AU1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64754.467483546738</v>
      </c>
      <c r="AV119" s="190" t="str" cm="1">
        <f t="array" ref="AV119">IF(tblPiNAnalysis[[#This Row],[3rd Highest PiN]]="", "", _xlfn.TEXTJOIN(CHAR(10), TRUE, IF(tblPiNAnalysis[[#This Row],[3rd Highest PiN]]=tblPiNAnalysis[[#This Row],[CCCM]:[WASH]], tblPiNAnalysis[[#Headers],[CCCM]:[WASH]], "")))</f>
        <v>Shelter</v>
      </c>
      <c r="AW119" s="190">
        <f>IFERROR(tblPiNAnalysis[[#This Row],[3rd Highest PiN]]/tblPiNAnalysis[[#This Row],[Affected population projection 2026]], "")</f>
        <v>0.58974358974358976</v>
      </c>
      <c r="AX119" s="45">
        <f>IFERROR(tblPiNAnalysis[[#This Row],[Highest PiN]]-tblPiNAnalysis[[#This Row],[3rd Highest PiN]],"")</f>
        <v>14254.417599866814</v>
      </c>
      <c r="AY119" s="39">
        <f>IFERROR(tblPiNAnalysis[[#This Row],[Difference of PiN between Highest and 3rd Highest]]/tblPiNAnalysis[[#This Row],[3rd Highest PiN]], "")</f>
        <v>0.22013025747588266</v>
      </c>
      <c r="AZ119" s="330" t="str" cm="1">
        <f t="array" ref="AZ1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9" s="300" t="str" cm="1">
        <f t="array" ref="BA119">IFERROR(IF(tblPiNAnalysis[[#This Row],[ID]]="", "", INDEX(tblPiNHistorical[[CCCM]:[WASH]], MATCH(tblPiNAnalysis[[#This Row],[ID]],tblPiNHistorical[ID], 0),MATCH(_xlfn._xlws.FILTER(tblPiNAnalysis[[#Headers],[CCCM]:[WASH]], tblPiNAnalysis[[#This Row],[Highest PiN]]=tblPiNAnalysis[[#This Row],[CCCM]:[WASH]]), tblPiNHistorical[[#Headers],[CCCM]:[WASH]], 0))), "")</f>
        <v/>
      </c>
      <c r="BB119" s="333" t="str" cm="1">
        <f t="array" ref="BB1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9" s="276" t="str" cm="1">
        <f t="array" ref="BC11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9" s="334" t="str" cm="1">
        <f t="array" ref="BD1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9" s="276">
        <f>INDEX(tblSeverityAnalysis[Final Severity], MATCH(tblPiNAnalysis[[#This Row],[ID]],tblSeverityAnalysis[ID], 0))</f>
        <v>3</v>
      </c>
      <c r="BF119" s="61">
        <f>IF(tblPiNAnalysis[[#This Row],[Severity]]&gt;2,tblPiNAnalysis[[#This Row],[Highest PiN]],)</f>
        <v>79008.885083413552</v>
      </c>
      <c r="BG119" s="191"/>
      <c r="BH119" s="192"/>
      <c r="BI119" s="193">
        <f>COUNTIFS(tblPiNAnalysis[[#This Row],[Number of missing / zero PiNs greater than threshold - Data quality]:[Manual Flag]],"Flagged")</f>
        <v>0</v>
      </c>
      <c r="BJ119" s="96" t="str">
        <f>IF(tblPiNAnalysis[[#This Row],['# Flags]]&gt;0, "Flagged", "")</f>
        <v/>
      </c>
      <c r="BK119" s="326">
        <f>tblPiNAnalysis[[#This Row],[Preliminary PiN]]</f>
        <v>79008.885083413552</v>
      </c>
      <c r="BL119" s="331"/>
    </row>
    <row r="120" spans="1:64" ht="24.6" x14ac:dyDescent="0.55000000000000004">
      <c r="A12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SS0504</v>
      </c>
      <c r="B120" s="316" t="s">
        <v>310</v>
      </c>
      <c r="C120" s="317" t="s">
        <v>311</v>
      </c>
      <c r="D120" s="317" t="s">
        <v>318</v>
      </c>
      <c r="E120" s="105" t="s">
        <v>319</v>
      </c>
      <c r="F120" s="100"/>
      <c r="G120" s="34"/>
      <c r="H120" s="34"/>
      <c r="I120" s="97">
        <v>105778.12989801918</v>
      </c>
      <c r="J120" s="97" t="s">
        <v>413</v>
      </c>
      <c r="K120" s="318"/>
      <c r="L120" s="319">
        <v>19297.897573269878</v>
      </c>
      <c r="M120" s="319">
        <v>64211.464117899392</v>
      </c>
      <c r="N120" s="319">
        <v>80340.475365023216</v>
      </c>
      <c r="O120" s="319">
        <v>49884.172897520948</v>
      </c>
      <c r="P120" s="319">
        <v>18336</v>
      </c>
      <c r="Q120" s="320">
        <v>41349.632596498406</v>
      </c>
      <c r="R120" s="319">
        <v>60582.019850683711</v>
      </c>
      <c r="S120" s="319">
        <v>14367</v>
      </c>
      <c r="T120" s="319">
        <v>14617</v>
      </c>
      <c r="U120" s="319">
        <v>3567</v>
      </c>
      <c r="V120" s="319">
        <v>1175</v>
      </c>
      <c r="W120" s="321" t="str">
        <f>IFERROR(IF(tblPiNAnalysis[[#This Row],[CCCM]]="", "", MROUND(tblPiNAnalysis[[#This Row],[CCCM]]/tblPiNAnalysis[[#This Row],[Affected population projection 2026]], 0.05)), "")</f>
        <v/>
      </c>
      <c r="X120" s="322">
        <f>IFERROR(IF(tblPiNAnalysis[[#This Row],[Education]]="", "", MROUND(tblPiNAnalysis[[#This Row],[Education]]/tblPiNAnalysis[[#This Row],[Affected population projection 2026]], 0.05)), "")</f>
        <v>0.2</v>
      </c>
      <c r="Y120" s="322">
        <f>IFERROR(IF(tblPiNAnalysis[[#This Row],[Nutrition]]="", "", MROUND(tblPiNAnalysis[[#This Row],[Nutrition]]/tblPiNAnalysis[[#This Row],[Affected population projection 2026]], 0.05)), "")</f>
        <v>0.60000000000000009</v>
      </c>
      <c r="Z120" s="322">
        <f>IFERROR(IF(tblPiNAnalysis[[#This Row],[Food Security]]="", "", MROUND(tblPiNAnalysis[[#This Row],[Food Security]]/tblPiNAnalysis[[#This Row],[Affected population projection 2026]], 0.05)), "")</f>
        <v>0.75</v>
      </c>
      <c r="AA120" s="322">
        <f>IFERROR(IF(tblPiNAnalysis[[#This Row],[Health]]="", "", MROUND(tblPiNAnalysis[[#This Row],[Health]]/tblPiNAnalysis[[#This Row],[Affected population projection 2026]], 0.05)), "")</f>
        <v>0.45</v>
      </c>
      <c r="AB120" s="323">
        <f>IFERROR(IF(tblPiNAnalysis[[#This Row],[Overarching Protection]]="", "", MROUND(tblPiNAnalysis[[#This Row],[Overarching Protection]]/tblPiNAnalysis[[#This Row],[Affected population projection 2026]], 0.05)), "")</f>
        <v>0.15000000000000002</v>
      </c>
      <c r="AC120" s="323">
        <f>IFERROR(IF(tblPiNAnalysis[[#This Row],[Shelter]]="", "", MROUND(tblPiNAnalysis[[#This Row],[Shelter]]/tblPiNAnalysis[[#This Row],[Affected population projection 2026]], 0.05)), "")</f>
        <v>0.4</v>
      </c>
      <c r="AD120" s="324">
        <f>IFERROR(IF(tblPiNAnalysis[[#This Row],[WASH]]="", "", MROUND(tblPiNAnalysis[[#This Row],[WASH]]/tblPiNAnalysis[[#This Row],[Affected population projection 2026]], 0.05)), "")</f>
        <v>0.55000000000000004</v>
      </c>
      <c r="AE120" s="322">
        <f>IFERROR(MROUND(tblPiNAnalysis[[#This Row],[CP]]/tblPiNAnalysis[[#This Row],[Affected population projection 2026]], 0.05), "")</f>
        <v>0.15000000000000002</v>
      </c>
      <c r="AF120" s="322">
        <f>IFERROR(MROUND(tblPiNAnalysis[[#This Row],[GBV]]/tblPiNAnalysis[[#This Row],[Affected population projection 2026]], 0.05), "")</f>
        <v>0.15000000000000002</v>
      </c>
      <c r="AG120" s="322">
        <f>IFERROR(MROUND(tblPiNAnalysis[[#This Row],[Mine Action]]/tblPiNAnalysis[[#This Row],[Affected population projection 2026]], 0.05), "")</f>
        <v>0.05</v>
      </c>
      <c r="AH120" s="322">
        <f>IFERROR(MROUND(tblPiNAnalysis[[#This Row],[HLP]]/tblPiNAnalysis[[#This Row],[Affected population projection 2026]], 0.05), "")</f>
        <v>0</v>
      </c>
      <c r="AI120" s="325">
        <f>IFERROR(LARGE(tblPiNAnalysis[[#This Row],[CCCM]:[WASH]], 1), "")</f>
        <v>80340.475365023216</v>
      </c>
      <c r="AJ120" s="326" t="str" cm="1">
        <f t="array" ref="AJ120">IF(tblPiNAnalysis[[#This Row],[Highest PiN]]="", "", _xlfn.TEXTJOIN(CHAR(10), TRUE, IF(tblPiNAnalysis[[#This Row],[Highest PiN]]=tblPiNAnalysis[[#This Row],[CCCM]:[WASH]], tblPiNAnalysis[[#Headers],[CCCM]:[WASH]], "")))</f>
        <v>Food Security</v>
      </c>
      <c r="AK120" s="327">
        <f>IF(tblPiNAnalysis[[#This Row],[Highest PiN]]="", "", tblPiNAnalysis[[#This Row],[Highest PiN]]/tblPiNAnalysis[[#This Row],[Affected population projection 2026]])</f>
        <v>0.75951877238215082</v>
      </c>
      <c r="AL120" s="328" t="str">
        <f>IF(SUM(tblPiNAnalysis[[#This Row],[CCCM]:[WASH]])=0, "",IF(COUNTIF(tblPiNAnalysis[[#This Row],[CCCM]:[WASH]],"=0")+COUNTIF(tblPiNAnalysis[[#This Row],[CCCM]:[WASH]],"")&gt;=zero_pin_thresh, "Flagged", ""))</f>
        <v/>
      </c>
      <c r="AM120" s="329" t="str">
        <f>IFERROR(IF(tblPiNAnalysis[[#This Row],[Highest PiN]]="", "", IF(tblPiNAnalysis[[#This Row],[Highest sector(s'') PiN %]]&gt;=flag_pin_perc, "Flagged", "")), "")</f>
        <v/>
      </c>
      <c r="AN120" s="330" t="str" cm="1">
        <f t="array" ref="AN120">IF(tblPiNAnalysis[[#This Row],[Highest PiN]]=0, "",  IF(OR(COUNTIF(tblPiNAnalysis[[#This Row],[Highest sector(s)]],tblSubSectorPopulation[Sector])), "Flagged", ""))</f>
        <v/>
      </c>
      <c r="AO120" s="46" cm="1">
        <f t="array" ref="AO1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64211.464117899392</v>
      </c>
      <c r="AP120" s="331" t="str" cm="1">
        <f t="array" ref="AP120">IF(tblPiNAnalysis[[#This Row],[2nd Highest PiN]]="", "", _xlfn.TEXTJOIN(CHAR(10), TRUE, IF(tblPiNAnalysis[[#This Row],[2nd Highest PiN]]=tblPiNAnalysis[[#This Row],[CCCM]:[WASH]], tblPiNAnalysis[[#Headers],[CCCM]:[WASH]], "")))</f>
        <v>Nutrition</v>
      </c>
      <c r="AQ120" s="36">
        <f>IFERROR(tblPiNAnalysis[[#This Row],[2nd Highest PiN]]/tblPiNAnalysis[[#This Row],[Affected population projection 2026]], "")</f>
        <v>0.60703913162206347</v>
      </c>
      <c r="AR120" s="46">
        <f>IFERROR(tblPiNAnalysis[[#This Row],[Highest PiN]]-tblPiNAnalysis[[#This Row],[2nd Highest PiN]], "")</f>
        <v>16129.011247123824</v>
      </c>
      <c r="AS120" s="39">
        <f>IFERROR(((tblPiNAnalysis[[#This Row],[Highest PiN]]-tblPiNAnalysis[[#This Row],[2nd Highest PiN]])/tblPiNAnalysis[[#This Row],[2nd Highest PiN]]),"")</f>
        <v>0.25118585082422612</v>
      </c>
      <c r="AT120" s="39" t="str" cm="1">
        <f t="array" ref="AT1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0" s="332" cm="1">
        <f t="array" ref="AU1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60582.019850683711</v>
      </c>
      <c r="AV120" s="190" t="str" cm="1">
        <f t="array" ref="AV120">IF(tblPiNAnalysis[[#This Row],[3rd Highest PiN]]="", "", _xlfn.TEXTJOIN(CHAR(10), TRUE, IF(tblPiNAnalysis[[#This Row],[3rd Highest PiN]]=tblPiNAnalysis[[#This Row],[CCCM]:[WASH]], tblPiNAnalysis[[#Headers],[CCCM]:[WASH]], "")))</f>
        <v>WASH</v>
      </c>
      <c r="AW120" s="190">
        <f>IFERROR(tblPiNAnalysis[[#This Row],[3rd Highest PiN]]/tblPiNAnalysis[[#This Row],[Affected population projection 2026]], "")</f>
        <v>0.57272727272727275</v>
      </c>
      <c r="AX120" s="45">
        <f>IFERROR(tblPiNAnalysis[[#This Row],[Highest PiN]]-tblPiNAnalysis[[#This Row],[3rd Highest PiN]],"")</f>
        <v>19758.455514339505</v>
      </c>
      <c r="AY120" s="39">
        <f>IFERROR(tblPiNAnalysis[[#This Row],[Difference of PiN between Highest and 3rd Highest]]/tblPiNAnalysis[[#This Row],[3rd Highest PiN]], "")</f>
        <v>0.32614388828629515</v>
      </c>
      <c r="AZ120" s="330" t="str" cm="1">
        <f t="array" ref="AZ1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0" s="300" t="str" cm="1">
        <f t="array" ref="BA120">IFERROR(IF(tblPiNAnalysis[[#This Row],[ID]]="", "", INDEX(tblPiNHistorical[[CCCM]:[WASH]], MATCH(tblPiNAnalysis[[#This Row],[ID]],tblPiNHistorical[ID], 0),MATCH(_xlfn._xlws.FILTER(tblPiNAnalysis[[#Headers],[CCCM]:[WASH]], tblPiNAnalysis[[#This Row],[Highest PiN]]=tblPiNAnalysis[[#This Row],[CCCM]:[WASH]]), tblPiNHistorical[[#Headers],[CCCM]:[WASH]], 0))), "")</f>
        <v/>
      </c>
      <c r="BB120" s="333" t="str" cm="1">
        <f t="array" ref="BB1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0" s="276" t="str" cm="1">
        <f t="array" ref="BC12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0" s="334" t="str" cm="1">
        <f t="array" ref="BD1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0" s="276">
        <f>INDEX(tblSeverityAnalysis[Final Severity], MATCH(tblPiNAnalysis[[#This Row],[ID]],tblSeverityAnalysis[ID], 0))</f>
        <v>3</v>
      </c>
      <c r="BF120" s="61">
        <f>IF(tblPiNAnalysis[[#This Row],[Severity]]&gt;2,tblPiNAnalysis[[#This Row],[Highest PiN]],)</f>
        <v>80340.475365023216</v>
      </c>
      <c r="BG120" s="191"/>
      <c r="BH120" s="192"/>
      <c r="BI120" s="193">
        <f>COUNTIFS(tblPiNAnalysis[[#This Row],[Number of missing / zero PiNs greater than threshold - Data quality]:[Manual Flag]],"Flagged")</f>
        <v>0</v>
      </c>
      <c r="BJ120" s="96" t="str">
        <f>IF(tblPiNAnalysis[[#This Row],['# Flags]]&gt;0, "Flagged", "")</f>
        <v/>
      </c>
      <c r="BK120" s="326">
        <f>tblPiNAnalysis[[#This Row],[Preliminary PiN]]</f>
        <v>80340.475365023216</v>
      </c>
      <c r="BL120" s="331"/>
    </row>
    <row r="121" spans="1:64" ht="24.6" x14ac:dyDescent="0.55000000000000004">
      <c r="A12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SS0505</v>
      </c>
      <c r="B121" s="316" t="s">
        <v>310</v>
      </c>
      <c r="C121" s="317" t="s">
        <v>311</v>
      </c>
      <c r="D121" s="317" t="s">
        <v>320</v>
      </c>
      <c r="E121" s="105" t="s">
        <v>321</v>
      </c>
      <c r="F121" s="100"/>
      <c r="G121" s="34"/>
      <c r="H121" s="34"/>
      <c r="I121" s="97">
        <v>138670.80517744401</v>
      </c>
      <c r="J121" s="97" t="s">
        <v>413</v>
      </c>
      <c r="K121" s="318"/>
      <c r="L121" s="319">
        <v>21725.832388760507</v>
      </c>
      <c r="M121" s="319">
        <v>62772.406451263734</v>
      </c>
      <c r="N121" s="319">
        <v>93820.84267159726</v>
      </c>
      <c r="O121" s="319">
        <v>58999.837983633821</v>
      </c>
      <c r="P121" s="319">
        <v>47766</v>
      </c>
      <c r="Q121" s="320">
        <v>74084.402766031722</v>
      </c>
      <c r="R121" s="319">
        <v>53432.787316079339</v>
      </c>
      <c r="S121" s="319">
        <v>18992</v>
      </c>
      <c r="T121" s="319">
        <v>18097</v>
      </c>
      <c r="U121" s="319">
        <v>4549</v>
      </c>
      <c r="V121" s="319">
        <v>1486</v>
      </c>
      <c r="W121" s="321" t="str">
        <f>IFERROR(IF(tblPiNAnalysis[[#This Row],[CCCM]]="", "", MROUND(tblPiNAnalysis[[#This Row],[CCCM]]/tblPiNAnalysis[[#This Row],[Affected population projection 2026]], 0.05)), "")</f>
        <v/>
      </c>
      <c r="X121" s="322">
        <f>IFERROR(IF(tblPiNAnalysis[[#This Row],[Education]]="", "", MROUND(tblPiNAnalysis[[#This Row],[Education]]/tblPiNAnalysis[[#This Row],[Affected population projection 2026]], 0.05)), "")</f>
        <v>0.15000000000000002</v>
      </c>
      <c r="Y121" s="322">
        <f>IFERROR(IF(tblPiNAnalysis[[#This Row],[Nutrition]]="", "", MROUND(tblPiNAnalysis[[#This Row],[Nutrition]]/tblPiNAnalysis[[#This Row],[Affected population projection 2026]], 0.05)), "")</f>
        <v>0.45</v>
      </c>
      <c r="Z121" s="322">
        <f>IFERROR(IF(tblPiNAnalysis[[#This Row],[Food Security]]="", "", MROUND(tblPiNAnalysis[[#This Row],[Food Security]]/tblPiNAnalysis[[#This Row],[Affected population projection 2026]], 0.05)), "")</f>
        <v>0.70000000000000007</v>
      </c>
      <c r="AA121" s="322">
        <f>IFERROR(IF(tblPiNAnalysis[[#This Row],[Health]]="", "", MROUND(tblPiNAnalysis[[#This Row],[Health]]/tblPiNAnalysis[[#This Row],[Affected population projection 2026]], 0.05)), "")</f>
        <v>0.45</v>
      </c>
      <c r="AB121" s="323">
        <f>IFERROR(IF(tblPiNAnalysis[[#This Row],[Overarching Protection]]="", "", MROUND(tblPiNAnalysis[[#This Row],[Overarching Protection]]/tblPiNAnalysis[[#This Row],[Affected population projection 2026]], 0.05)), "")</f>
        <v>0.35000000000000003</v>
      </c>
      <c r="AC121" s="323">
        <f>IFERROR(IF(tblPiNAnalysis[[#This Row],[Shelter]]="", "", MROUND(tblPiNAnalysis[[#This Row],[Shelter]]/tblPiNAnalysis[[#This Row],[Affected population projection 2026]], 0.05)), "")</f>
        <v>0.55000000000000004</v>
      </c>
      <c r="AD121" s="324">
        <f>IFERROR(IF(tblPiNAnalysis[[#This Row],[WASH]]="", "", MROUND(tblPiNAnalysis[[#This Row],[WASH]]/tblPiNAnalysis[[#This Row],[Affected population projection 2026]], 0.05)), "")</f>
        <v>0.4</v>
      </c>
      <c r="AE121" s="322">
        <f>IFERROR(MROUND(tblPiNAnalysis[[#This Row],[CP]]/tblPiNAnalysis[[#This Row],[Affected population projection 2026]], 0.05), "")</f>
        <v>0.15000000000000002</v>
      </c>
      <c r="AF121" s="322">
        <f>IFERROR(MROUND(tblPiNAnalysis[[#This Row],[GBV]]/tblPiNAnalysis[[#This Row],[Affected population projection 2026]], 0.05), "")</f>
        <v>0.15000000000000002</v>
      </c>
      <c r="AG121" s="322">
        <f>IFERROR(MROUND(tblPiNAnalysis[[#This Row],[Mine Action]]/tblPiNAnalysis[[#This Row],[Affected population projection 2026]], 0.05), "")</f>
        <v>0.05</v>
      </c>
      <c r="AH121" s="322">
        <f>IFERROR(MROUND(tblPiNAnalysis[[#This Row],[HLP]]/tblPiNAnalysis[[#This Row],[Affected population projection 2026]], 0.05), "")</f>
        <v>0</v>
      </c>
      <c r="AI121" s="325">
        <f>IFERROR(LARGE(tblPiNAnalysis[[#This Row],[CCCM]:[WASH]], 1), "")</f>
        <v>93820.84267159726</v>
      </c>
      <c r="AJ121" s="326" t="str" cm="1">
        <f t="array" ref="AJ121">IF(tblPiNAnalysis[[#This Row],[Highest PiN]]="", "", _xlfn.TEXTJOIN(CHAR(10), TRUE, IF(tblPiNAnalysis[[#This Row],[Highest PiN]]=tblPiNAnalysis[[#This Row],[CCCM]:[WASH]], tblPiNAnalysis[[#Headers],[CCCM]:[WASH]], "")))</f>
        <v>Food Security</v>
      </c>
      <c r="AK121" s="327">
        <f>IF(tblPiNAnalysis[[#This Row],[Highest PiN]]="", "", tblPiNAnalysis[[#This Row],[Highest PiN]]/tblPiNAnalysis[[#This Row],[Affected population projection 2026]])</f>
        <v>0.67657242309614873</v>
      </c>
      <c r="AL121" s="328" t="str">
        <f>IF(SUM(tblPiNAnalysis[[#This Row],[CCCM]:[WASH]])=0, "",IF(COUNTIF(tblPiNAnalysis[[#This Row],[CCCM]:[WASH]],"=0")+COUNTIF(tblPiNAnalysis[[#This Row],[CCCM]:[WASH]],"")&gt;=zero_pin_thresh, "Flagged", ""))</f>
        <v/>
      </c>
      <c r="AM121" s="329" t="str">
        <f>IFERROR(IF(tblPiNAnalysis[[#This Row],[Highest PiN]]="", "", IF(tblPiNAnalysis[[#This Row],[Highest sector(s'') PiN %]]&gt;=flag_pin_perc, "Flagged", "")), "")</f>
        <v/>
      </c>
      <c r="AN121" s="330" t="str" cm="1">
        <f t="array" ref="AN121">IF(tblPiNAnalysis[[#This Row],[Highest PiN]]=0, "",  IF(OR(COUNTIF(tblPiNAnalysis[[#This Row],[Highest sector(s)]],tblSubSectorPopulation[Sector])), "Flagged", ""))</f>
        <v/>
      </c>
      <c r="AO121" s="46" cm="1">
        <f t="array" ref="AO1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74084.402766031722</v>
      </c>
      <c r="AP121" s="331" t="str" cm="1">
        <f t="array" ref="AP121">IF(tblPiNAnalysis[[#This Row],[2nd Highest PiN]]="", "", _xlfn.TEXTJOIN(CHAR(10), TRUE, IF(tblPiNAnalysis[[#This Row],[2nd Highest PiN]]=tblPiNAnalysis[[#This Row],[CCCM]:[WASH]], tblPiNAnalysis[[#Headers],[CCCM]:[WASH]], "")))</f>
        <v>Shelter</v>
      </c>
      <c r="AQ121" s="36">
        <f>IFERROR(tblPiNAnalysis[[#This Row],[2nd Highest PiN]]/tblPiNAnalysis[[#This Row],[Affected population projection 2026]], "")</f>
        <v>0.53424657534246567</v>
      </c>
      <c r="AR121" s="46">
        <f>IFERROR(tblPiNAnalysis[[#This Row],[Highest PiN]]-tblPiNAnalysis[[#This Row],[2nd Highest PiN]], "")</f>
        <v>19736.439905565538</v>
      </c>
      <c r="AS121" s="39">
        <f>IFERROR(((tblPiNAnalysis[[#This Row],[Highest PiN]]-tblPiNAnalysis[[#This Row],[2nd Highest PiN]])/tblPiNAnalysis[[#This Row],[2nd Highest PiN]]),"")</f>
        <v>0.26640479194920164</v>
      </c>
      <c r="AT121" s="39" t="str" cm="1">
        <f t="array" ref="AT1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1" s="332" cm="1">
        <f t="array" ref="AU1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62772.406451263734</v>
      </c>
      <c r="AV121" s="190" t="str" cm="1">
        <f t="array" ref="AV121">IF(tblPiNAnalysis[[#This Row],[3rd Highest PiN]]="", "", _xlfn.TEXTJOIN(CHAR(10), TRUE, IF(tblPiNAnalysis[[#This Row],[3rd Highest PiN]]=tblPiNAnalysis[[#This Row],[CCCM]:[WASH]], tblPiNAnalysis[[#Headers],[CCCM]:[WASH]], "")))</f>
        <v>Nutrition</v>
      </c>
      <c r="AW121" s="190">
        <f>IFERROR(tblPiNAnalysis[[#This Row],[3rd Highest PiN]]/tblPiNAnalysis[[#This Row],[Affected population projection 2026]], "")</f>
        <v>0.4526721134339689</v>
      </c>
      <c r="AX121" s="45">
        <f>IFERROR(tblPiNAnalysis[[#This Row],[Highest PiN]]-tblPiNAnalysis[[#This Row],[3rd Highest PiN]],"")</f>
        <v>31048.436220333526</v>
      </c>
      <c r="AY121" s="39">
        <f>IFERROR(tblPiNAnalysis[[#This Row],[Difference of PiN between Highest and 3rd Highest]]/tblPiNAnalysis[[#This Row],[3rd Highest PiN]], "")</f>
        <v>0.49461918023549756</v>
      </c>
      <c r="AZ121" s="330" t="str" cm="1">
        <f t="array" ref="AZ1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1" s="300" t="str" cm="1">
        <f t="array" ref="BA121">IFERROR(IF(tblPiNAnalysis[[#This Row],[ID]]="", "", INDEX(tblPiNHistorical[[CCCM]:[WASH]], MATCH(tblPiNAnalysis[[#This Row],[ID]],tblPiNHistorical[ID], 0),MATCH(_xlfn._xlws.FILTER(tblPiNAnalysis[[#Headers],[CCCM]:[WASH]], tblPiNAnalysis[[#This Row],[Highest PiN]]=tblPiNAnalysis[[#This Row],[CCCM]:[WASH]]), tblPiNHistorical[[#Headers],[CCCM]:[WASH]], 0))), "")</f>
        <v/>
      </c>
      <c r="BB121" s="333" t="str" cm="1">
        <f t="array" ref="BB1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1" s="276" t="str" cm="1">
        <f t="array" ref="BC12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1" s="334" t="str" cm="1">
        <f t="array" ref="BD1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1" s="276">
        <f>INDEX(tblSeverityAnalysis[Final Severity], MATCH(tblPiNAnalysis[[#This Row],[ID]],tblSeverityAnalysis[ID], 0))</f>
        <v>3</v>
      </c>
      <c r="BF121" s="61">
        <f>IF(tblPiNAnalysis[[#This Row],[Severity]]&gt;2,tblPiNAnalysis[[#This Row],[Highest PiN]],)</f>
        <v>93820.84267159726</v>
      </c>
      <c r="BG121" s="191"/>
      <c r="BH121" s="192"/>
      <c r="BI121" s="193">
        <f>COUNTIFS(tblPiNAnalysis[[#This Row],[Number of missing / zero PiNs greater than threshold - Data quality]:[Manual Flag]],"Flagged")</f>
        <v>0</v>
      </c>
      <c r="BJ121" s="96" t="str">
        <f>IF(tblPiNAnalysis[[#This Row],['# Flags]]&gt;0, "Flagged", "")</f>
        <v/>
      </c>
      <c r="BK121" s="326">
        <f>tblPiNAnalysis[[#This Row],[Preliminary PiN]]</f>
        <v>93820.84267159726</v>
      </c>
      <c r="BL121" s="331"/>
    </row>
    <row r="122" spans="1:64" x14ac:dyDescent="0.55000000000000004">
      <c r="A12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SS0601</v>
      </c>
      <c r="B122" s="316" t="s">
        <v>322</v>
      </c>
      <c r="C122" s="317" t="s">
        <v>323</v>
      </c>
      <c r="D122" s="317" t="s">
        <v>324</v>
      </c>
      <c r="E122" s="105" t="s">
        <v>325</v>
      </c>
      <c r="F122" s="100"/>
      <c r="G122" s="34"/>
      <c r="H122" s="34"/>
      <c r="I122" s="97">
        <v>39195.118555506007</v>
      </c>
      <c r="J122" s="97" t="s">
        <v>413</v>
      </c>
      <c r="K122" s="318"/>
      <c r="L122" s="319">
        <v>3120.8094076739217</v>
      </c>
      <c r="M122" s="319">
        <v>20125.469745358765</v>
      </c>
      <c r="N122" s="319">
        <v>24430.506784487628</v>
      </c>
      <c r="O122" s="319">
        <v>19867.246768263718</v>
      </c>
      <c r="P122" s="319">
        <v>6940</v>
      </c>
      <c r="Q122" s="320">
        <v>29105.286056068817</v>
      </c>
      <c r="R122" s="319">
        <v>10161.697403279335</v>
      </c>
      <c r="S122" s="319">
        <v>3345</v>
      </c>
      <c r="T122" s="319">
        <v>3664</v>
      </c>
      <c r="U122" s="319">
        <v>1609</v>
      </c>
      <c r="V122" s="319">
        <v>689</v>
      </c>
      <c r="W122" s="321" t="str">
        <f>IFERROR(IF(tblPiNAnalysis[[#This Row],[CCCM]]="", "", MROUND(tblPiNAnalysis[[#This Row],[CCCM]]/tblPiNAnalysis[[#This Row],[Affected population projection 2026]], 0.05)), "")</f>
        <v/>
      </c>
      <c r="X122" s="322">
        <f>IFERROR(IF(tblPiNAnalysis[[#This Row],[Education]]="", "", MROUND(tblPiNAnalysis[[#This Row],[Education]]/tblPiNAnalysis[[#This Row],[Affected population projection 2026]], 0.05)), "")</f>
        <v>0.1</v>
      </c>
      <c r="Y122" s="322">
        <f>IFERROR(IF(tblPiNAnalysis[[#This Row],[Nutrition]]="", "", MROUND(tblPiNAnalysis[[#This Row],[Nutrition]]/tblPiNAnalysis[[#This Row],[Affected population projection 2026]], 0.05)), "")</f>
        <v>0.5</v>
      </c>
      <c r="Z122" s="322">
        <f>IFERROR(IF(tblPiNAnalysis[[#This Row],[Food Security]]="", "", MROUND(tblPiNAnalysis[[#This Row],[Food Security]]/tblPiNAnalysis[[#This Row],[Affected population projection 2026]], 0.05)), "")</f>
        <v>0.60000000000000009</v>
      </c>
      <c r="AA122" s="322">
        <f>IFERROR(IF(tblPiNAnalysis[[#This Row],[Health]]="", "", MROUND(tblPiNAnalysis[[#This Row],[Health]]/tblPiNAnalysis[[#This Row],[Affected population projection 2026]], 0.05)), "")</f>
        <v>0.5</v>
      </c>
      <c r="AB122" s="323">
        <f>IFERROR(IF(tblPiNAnalysis[[#This Row],[Overarching Protection]]="", "", MROUND(tblPiNAnalysis[[#This Row],[Overarching Protection]]/tblPiNAnalysis[[#This Row],[Affected population projection 2026]], 0.05)), "")</f>
        <v>0.2</v>
      </c>
      <c r="AC122" s="323">
        <f>IFERROR(IF(tblPiNAnalysis[[#This Row],[Shelter]]="", "", MROUND(tblPiNAnalysis[[#This Row],[Shelter]]/tblPiNAnalysis[[#This Row],[Affected population projection 2026]], 0.05)), "")</f>
        <v>0.75</v>
      </c>
      <c r="AD122" s="324">
        <f>IFERROR(IF(tblPiNAnalysis[[#This Row],[WASH]]="", "", MROUND(tblPiNAnalysis[[#This Row],[WASH]]/tblPiNAnalysis[[#This Row],[Affected population projection 2026]], 0.05)), "")</f>
        <v>0.25</v>
      </c>
      <c r="AE122" s="322">
        <f>IFERROR(MROUND(tblPiNAnalysis[[#This Row],[CP]]/tblPiNAnalysis[[#This Row],[Affected population projection 2026]], 0.05), "")</f>
        <v>0.1</v>
      </c>
      <c r="AF122" s="322">
        <f>IFERROR(MROUND(tblPiNAnalysis[[#This Row],[GBV]]/tblPiNAnalysis[[#This Row],[Affected population projection 2026]], 0.05), "")</f>
        <v>0.1</v>
      </c>
      <c r="AG122" s="322">
        <f>IFERROR(MROUND(tblPiNAnalysis[[#This Row],[Mine Action]]/tblPiNAnalysis[[#This Row],[Affected population projection 2026]], 0.05), "")</f>
        <v>0.05</v>
      </c>
      <c r="AH122" s="322">
        <f>IFERROR(MROUND(tblPiNAnalysis[[#This Row],[HLP]]/tblPiNAnalysis[[#This Row],[Affected population projection 2026]], 0.05), "")</f>
        <v>0</v>
      </c>
      <c r="AI122" s="325">
        <f>IFERROR(LARGE(tblPiNAnalysis[[#This Row],[CCCM]:[WASH]], 1), "")</f>
        <v>29105.286056068817</v>
      </c>
      <c r="AJ122" s="326" t="str" cm="1">
        <f t="array" ref="AJ122">IF(tblPiNAnalysis[[#This Row],[Highest PiN]]="", "", _xlfn.TEXTJOIN(CHAR(10), TRUE, IF(tblPiNAnalysis[[#This Row],[Highest PiN]]=tblPiNAnalysis[[#This Row],[CCCM]:[WASH]], tblPiNAnalysis[[#Headers],[CCCM]:[WASH]], "")))</f>
        <v>Shelter</v>
      </c>
      <c r="AK122" s="327">
        <f>IF(tblPiNAnalysis[[#This Row],[Highest PiN]]="", "", tblPiNAnalysis[[#This Row],[Highest PiN]]/tblPiNAnalysis[[#This Row],[Affected population projection 2026]])</f>
        <v>0.74257425742574257</v>
      </c>
      <c r="AL122" s="328" t="str">
        <f>IF(SUM(tblPiNAnalysis[[#This Row],[CCCM]:[WASH]])=0, "",IF(COUNTIF(tblPiNAnalysis[[#This Row],[CCCM]:[WASH]],"=0")+COUNTIF(tblPiNAnalysis[[#This Row],[CCCM]:[WASH]],"")&gt;=zero_pin_thresh, "Flagged", ""))</f>
        <v/>
      </c>
      <c r="AM122" s="329" t="str">
        <f>IFERROR(IF(tblPiNAnalysis[[#This Row],[Highest PiN]]="", "", IF(tblPiNAnalysis[[#This Row],[Highest sector(s'') PiN %]]&gt;=flag_pin_perc, "Flagged", "")), "")</f>
        <v/>
      </c>
      <c r="AN122" s="330" t="str" cm="1">
        <f t="array" ref="AN122">IF(tblPiNAnalysis[[#This Row],[Highest PiN]]=0, "",  IF(OR(COUNTIF(tblPiNAnalysis[[#This Row],[Highest sector(s)]],tblSubSectorPopulation[Sector])), "Flagged", ""))</f>
        <v/>
      </c>
      <c r="AO122" s="46" cm="1">
        <f t="array" ref="AO1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24430.506784487628</v>
      </c>
      <c r="AP122" s="331" t="str" cm="1">
        <f t="array" ref="AP122">IF(tblPiNAnalysis[[#This Row],[2nd Highest PiN]]="", "", _xlfn.TEXTJOIN(CHAR(10), TRUE, IF(tblPiNAnalysis[[#This Row],[2nd Highest PiN]]=tblPiNAnalysis[[#This Row],[CCCM]:[WASH]], tblPiNAnalysis[[#Headers],[CCCM]:[WASH]], "")))</f>
        <v>Food Security</v>
      </c>
      <c r="AQ122" s="36">
        <f>IFERROR(tblPiNAnalysis[[#This Row],[2nd Highest PiN]]/tblPiNAnalysis[[#This Row],[Affected population projection 2026]], "")</f>
        <v>0.62330483194968445</v>
      </c>
      <c r="AR122" s="46">
        <f>IFERROR(tblPiNAnalysis[[#This Row],[Highest PiN]]-tblPiNAnalysis[[#This Row],[2nd Highest PiN]], "")</f>
        <v>4674.7792715811884</v>
      </c>
      <c r="AS122" s="39">
        <f>IFERROR(((tblPiNAnalysis[[#This Row],[Highest PiN]]-tblPiNAnalysis[[#This Row],[2nd Highest PiN]])/tblPiNAnalysis[[#This Row],[2nd Highest PiN]]),"")</f>
        <v>0.19135007361163223</v>
      </c>
      <c r="AT122" s="39" t="str" cm="1">
        <f t="array" ref="AT1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2" s="332" cm="1">
        <f t="array" ref="AU1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20125.469745358765</v>
      </c>
      <c r="AV122" s="190" t="str" cm="1">
        <f t="array" ref="AV122">IF(tblPiNAnalysis[[#This Row],[3rd Highest PiN]]="", "", _xlfn.TEXTJOIN(CHAR(10), TRUE, IF(tblPiNAnalysis[[#This Row],[3rd Highest PiN]]=tblPiNAnalysis[[#This Row],[CCCM]:[WASH]], tblPiNAnalysis[[#Headers],[CCCM]:[WASH]], "")))</f>
        <v>Nutrition</v>
      </c>
      <c r="AW122" s="190">
        <f>IFERROR(tblPiNAnalysis[[#This Row],[3rd Highest PiN]]/tblPiNAnalysis[[#This Row],[Affected population projection 2026]], "")</f>
        <v>0.5134687809875651</v>
      </c>
      <c r="AX122" s="45">
        <f>IFERROR(tblPiNAnalysis[[#This Row],[Highest PiN]]-tblPiNAnalysis[[#This Row],[3rd Highest PiN]],"")</f>
        <v>8979.8163107100518</v>
      </c>
      <c r="AY122" s="39">
        <f>IFERROR(tblPiNAnalysis[[#This Row],[Difference of PiN between Highest and 3rd Highest]]/tblPiNAnalysis[[#This Row],[3rd Highest PiN]], "")</f>
        <v>0.44619163797560213</v>
      </c>
      <c r="AZ122" s="330" t="str" cm="1">
        <f t="array" ref="AZ1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2" s="300" t="str" cm="1">
        <f t="array" ref="BA122">IFERROR(IF(tblPiNAnalysis[[#This Row],[ID]]="", "", INDEX(tblPiNHistorical[[CCCM]:[WASH]], MATCH(tblPiNAnalysis[[#This Row],[ID]],tblPiNHistorical[ID], 0),MATCH(_xlfn._xlws.FILTER(tblPiNAnalysis[[#Headers],[CCCM]:[WASH]], tblPiNAnalysis[[#This Row],[Highest PiN]]=tblPiNAnalysis[[#This Row],[CCCM]:[WASH]]), tblPiNHistorical[[#Headers],[CCCM]:[WASH]], 0))), "")</f>
        <v/>
      </c>
      <c r="BB122" s="333" t="str" cm="1">
        <f t="array" ref="BB1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2" s="276" t="str" cm="1">
        <f t="array" ref="BC12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2" s="334" t="str" cm="1">
        <f t="array" ref="BD1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2" s="276">
        <f>INDEX(tblSeverityAnalysis[Final Severity], MATCH(tblPiNAnalysis[[#This Row],[ID]],tblSeverityAnalysis[ID], 0))</f>
        <v>3</v>
      </c>
      <c r="BF122" s="61">
        <f>IF(tblPiNAnalysis[[#This Row],[Severity]]&gt;2,tblPiNAnalysis[[#This Row],[Highest PiN]],)</f>
        <v>29105.286056068817</v>
      </c>
      <c r="BG122" s="191"/>
      <c r="BH122" s="192"/>
      <c r="BI122" s="193">
        <f>COUNTIFS(tblPiNAnalysis[[#This Row],[Number of missing / zero PiNs greater than threshold - Data quality]:[Manual Flag]],"Flagged")</f>
        <v>0</v>
      </c>
      <c r="BJ122" s="96" t="str">
        <f>IF(tblPiNAnalysis[[#This Row],['# Flags]]&gt;0, "Flagged", "")</f>
        <v/>
      </c>
      <c r="BK122" s="326">
        <f>tblPiNAnalysis[[#This Row],[Preliminary PiN]]</f>
        <v>29105.286056068817</v>
      </c>
      <c r="BL122" s="331"/>
    </row>
    <row r="123" spans="1:64" x14ac:dyDescent="0.55000000000000004">
      <c r="A12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SS0602</v>
      </c>
      <c r="B123" s="316" t="s">
        <v>322</v>
      </c>
      <c r="C123" s="317" t="s">
        <v>323</v>
      </c>
      <c r="D123" s="317" t="s">
        <v>326</v>
      </c>
      <c r="E123" s="105" t="s">
        <v>327</v>
      </c>
      <c r="F123" s="100"/>
      <c r="G123" s="34"/>
      <c r="H123" s="34"/>
      <c r="I123" s="97">
        <v>37012.158261154211</v>
      </c>
      <c r="J123" s="97" t="s">
        <v>413</v>
      </c>
      <c r="K123" s="318"/>
      <c r="L123" s="319">
        <v>8432.3652789481548</v>
      </c>
      <c r="M123" s="319">
        <v>16745.17089455263</v>
      </c>
      <c r="N123" s="319">
        <v>30482.403979223356</v>
      </c>
      <c r="O123" s="319">
        <v>19016.114899824621</v>
      </c>
      <c r="P123" s="319">
        <v>6696</v>
      </c>
      <c r="Q123" s="320">
        <v>18980.59398007908</v>
      </c>
      <c r="R123" s="319">
        <v>19191.489468746622</v>
      </c>
      <c r="S123" s="319">
        <v>4455</v>
      </c>
      <c r="T123" s="319">
        <v>5552</v>
      </c>
      <c r="U123" s="319">
        <v>1340</v>
      </c>
      <c r="V123" s="319">
        <v>552</v>
      </c>
      <c r="W123" s="321" t="str">
        <f>IFERROR(IF(tblPiNAnalysis[[#This Row],[CCCM]]="", "", MROUND(tblPiNAnalysis[[#This Row],[CCCM]]/tblPiNAnalysis[[#This Row],[Affected population projection 2026]], 0.05)), "")</f>
        <v/>
      </c>
      <c r="X123" s="322">
        <f>IFERROR(IF(tblPiNAnalysis[[#This Row],[Education]]="", "", MROUND(tblPiNAnalysis[[#This Row],[Education]]/tblPiNAnalysis[[#This Row],[Affected population projection 2026]], 0.05)), "")</f>
        <v>0.25</v>
      </c>
      <c r="Y123" s="322">
        <f>IFERROR(IF(tblPiNAnalysis[[#This Row],[Nutrition]]="", "", MROUND(tblPiNAnalysis[[#This Row],[Nutrition]]/tblPiNAnalysis[[#This Row],[Affected population projection 2026]], 0.05)), "")</f>
        <v>0.45</v>
      </c>
      <c r="Z123" s="322">
        <f>IFERROR(IF(tblPiNAnalysis[[#This Row],[Food Security]]="", "", MROUND(tblPiNAnalysis[[#This Row],[Food Security]]/tblPiNAnalysis[[#This Row],[Affected population projection 2026]], 0.05)), "")</f>
        <v>0.8</v>
      </c>
      <c r="AA123" s="322">
        <f>IFERROR(IF(tblPiNAnalysis[[#This Row],[Health]]="", "", MROUND(tblPiNAnalysis[[#This Row],[Health]]/tblPiNAnalysis[[#This Row],[Affected population projection 2026]], 0.05)), "")</f>
        <v>0.5</v>
      </c>
      <c r="AB123" s="323">
        <f>IFERROR(IF(tblPiNAnalysis[[#This Row],[Overarching Protection]]="", "", MROUND(tblPiNAnalysis[[#This Row],[Overarching Protection]]/tblPiNAnalysis[[#This Row],[Affected population projection 2026]], 0.05)), "")</f>
        <v>0.2</v>
      </c>
      <c r="AC123" s="323">
        <f>IFERROR(IF(tblPiNAnalysis[[#This Row],[Shelter]]="", "", MROUND(tblPiNAnalysis[[#This Row],[Shelter]]/tblPiNAnalysis[[#This Row],[Affected population projection 2026]], 0.05)), "")</f>
        <v>0.5</v>
      </c>
      <c r="AD123" s="324">
        <f>IFERROR(IF(tblPiNAnalysis[[#This Row],[WASH]]="", "", MROUND(tblPiNAnalysis[[#This Row],[WASH]]/tblPiNAnalysis[[#This Row],[Affected population projection 2026]], 0.05)), "")</f>
        <v>0.5</v>
      </c>
      <c r="AE123" s="322">
        <f>IFERROR(MROUND(tblPiNAnalysis[[#This Row],[CP]]/tblPiNAnalysis[[#This Row],[Affected population projection 2026]], 0.05), "")</f>
        <v>0.1</v>
      </c>
      <c r="AF123" s="322">
        <f>IFERROR(MROUND(tblPiNAnalysis[[#This Row],[GBV]]/tblPiNAnalysis[[#This Row],[Affected population projection 2026]], 0.05), "")</f>
        <v>0.15000000000000002</v>
      </c>
      <c r="AG123" s="322">
        <f>IFERROR(MROUND(tblPiNAnalysis[[#This Row],[Mine Action]]/tblPiNAnalysis[[#This Row],[Affected population projection 2026]], 0.05), "")</f>
        <v>0.05</v>
      </c>
      <c r="AH123" s="322">
        <f>IFERROR(MROUND(tblPiNAnalysis[[#This Row],[HLP]]/tblPiNAnalysis[[#This Row],[Affected population projection 2026]], 0.05), "")</f>
        <v>0</v>
      </c>
      <c r="AI123" s="325">
        <f>IFERROR(LARGE(tblPiNAnalysis[[#This Row],[CCCM]:[WASH]], 1), "")</f>
        <v>30482.403979223356</v>
      </c>
      <c r="AJ123" s="326" t="str" cm="1">
        <f t="array" ref="AJ123">IF(tblPiNAnalysis[[#This Row],[Highest PiN]]="", "", _xlfn.TEXTJOIN(CHAR(10), TRUE, IF(tblPiNAnalysis[[#This Row],[Highest PiN]]=tblPiNAnalysis[[#This Row],[CCCM]:[WASH]], tblPiNAnalysis[[#Headers],[CCCM]:[WASH]], "")))</f>
        <v>Food Security</v>
      </c>
      <c r="AK123" s="327">
        <f>IF(tblPiNAnalysis[[#This Row],[Highest PiN]]="", "", tblPiNAnalysis[[#This Row],[Highest PiN]]/tblPiNAnalysis[[#This Row],[Affected population projection 2026]])</f>
        <v>0.82357812706144995</v>
      </c>
      <c r="AL123" s="328" t="str">
        <f>IF(SUM(tblPiNAnalysis[[#This Row],[CCCM]:[WASH]])=0, "",IF(COUNTIF(tblPiNAnalysis[[#This Row],[CCCM]:[WASH]],"=0")+COUNTIF(tblPiNAnalysis[[#This Row],[CCCM]:[WASH]],"")&gt;=zero_pin_thresh, "Flagged", ""))</f>
        <v/>
      </c>
      <c r="AM123" s="329" t="str">
        <f>IFERROR(IF(tblPiNAnalysis[[#This Row],[Highest PiN]]="", "", IF(tblPiNAnalysis[[#This Row],[Highest sector(s'') PiN %]]&gt;=flag_pin_perc, "Flagged", "")), "")</f>
        <v/>
      </c>
      <c r="AN123" s="330" t="str" cm="1">
        <f t="array" ref="AN123">IF(tblPiNAnalysis[[#This Row],[Highest PiN]]=0, "",  IF(OR(COUNTIF(tblPiNAnalysis[[#This Row],[Highest sector(s)]],tblSubSectorPopulation[Sector])), "Flagged", ""))</f>
        <v/>
      </c>
      <c r="AO123" s="46" cm="1">
        <f t="array" ref="AO1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19191.489468746622</v>
      </c>
      <c r="AP123" s="331" t="str" cm="1">
        <f t="array" ref="AP123">IF(tblPiNAnalysis[[#This Row],[2nd Highest PiN]]="", "", _xlfn.TEXTJOIN(CHAR(10), TRUE, IF(tblPiNAnalysis[[#This Row],[2nd Highest PiN]]=tblPiNAnalysis[[#This Row],[CCCM]:[WASH]], tblPiNAnalysis[[#Headers],[CCCM]:[WASH]], "")))</f>
        <v>WASH</v>
      </c>
      <c r="AQ123" s="36">
        <f>IFERROR(tblPiNAnalysis[[#This Row],[2nd Highest PiN]]/tblPiNAnalysis[[#This Row],[Affected population projection 2026]], "")</f>
        <v>0.51851851851851838</v>
      </c>
      <c r="AR123" s="46">
        <f>IFERROR(tblPiNAnalysis[[#This Row],[Highest PiN]]-tblPiNAnalysis[[#This Row],[2nd Highest PiN]], "")</f>
        <v>11290.914510476734</v>
      </c>
      <c r="AS123" s="39">
        <f>IFERROR(((tblPiNAnalysis[[#This Row],[Highest PiN]]-tblPiNAnalysis[[#This Row],[2nd Highest PiN]])/tblPiNAnalysis[[#This Row],[2nd Highest PiN]]),"")</f>
        <v>0.58832924504708251</v>
      </c>
      <c r="AT123" s="39" t="str" cm="1">
        <f t="array" ref="AT1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3" s="332" cm="1">
        <f t="array" ref="AU1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19016.114899824621</v>
      </c>
      <c r="AV123" s="190" t="str" cm="1">
        <f t="array" ref="AV123">IF(tblPiNAnalysis[[#This Row],[3rd Highest PiN]]="", "", _xlfn.TEXTJOIN(CHAR(10), TRUE, IF(tblPiNAnalysis[[#This Row],[3rd Highest PiN]]=tblPiNAnalysis[[#This Row],[CCCM]:[WASH]], tblPiNAnalysis[[#Headers],[CCCM]:[WASH]], "")))</f>
        <v>Health</v>
      </c>
      <c r="AW123" s="190">
        <f>IFERROR(tblPiNAnalysis[[#This Row],[3rd Highest PiN]]/tblPiNAnalysis[[#This Row],[Affected population projection 2026]], "")</f>
        <v>0.51378022231637377</v>
      </c>
      <c r="AX123" s="45">
        <f>IFERROR(tblPiNAnalysis[[#This Row],[Highest PiN]]-tblPiNAnalysis[[#This Row],[3rd Highest PiN]],"")</f>
        <v>11466.289079398735</v>
      </c>
      <c r="AY123" s="39">
        <f>IFERROR(tblPiNAnalysis[[#This Row],[Difference of PiN between Highest and 3rd Highest]]/tblPiNAnalysis[[#This Row],[3rd Highest PiN]], "")</f>
        <v>0.60297748198316181</v>
      </c>
      <c r="AZ123" s="330" t="str" cm="1">
        <f t="array" ref="AZ1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3" s="300" t="str" cm="1">
        <f t="array" ref="BA123">IFERROR(IF(tblPiNAnalysis[[#This Row],[ID]]="", "", INDEX(tblPiNHistorical[[CCCM]:[WASH]], MATCH(tblPiNAnalysis[[#This Row],[ID]],tblPiNHistorical[ID], 0),MATCH(_xlfn._xlws.FILTER(tblPiNAnalysis[[#Headers],[CCCM]:[WASH]], tblPiNAnalysis[[#This Row],[Highest PiN]]=tblPiNAnalysis[[#This Row],[CCCM]:[WASH]]), tblPiNHistorical[[#Headers],[CCCM]:[WASH]], 0))), "")</f>
        <v/>
      </c>
      <c r="BB123" s="333" t="str" cm="1">
        <f t="array" ref="BB1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3" s="276" t="str" cm="1">
        <f t="array" ref="BC12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3" s="334" t="str" cm="1">
        <f t="array" ref="BD1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3" s="276">
        <f>INDEX(tblSeverityAnalysis[Final Severity], MATCH(tblPiNAnalysis[[#This Row],[ID]],tblSeverityAnalysis[ID], 0))</f>
        <v>3</v>
      </c>
      <c r="BF123" s="61">
        <f>IF(tblPiNAnalysis[[#This Row],[Severity]]&gt;2,tblPiNAnalysis[[#This Row],[Highest PiN]],)</f>
        <v>30482.403979223356</v>
      </c>
      <c r="BG123" s="191"/>
      <c r="BH123" s="192"/>
      <c r="BI123" s="193">
        <f>COUNTIFS(tblPiNAnalysis[[#This Row],[Number of missing / zero PiNs greater than threshold - Data quality]:[Manual Flag]],"Flagged")</f>
        <v>2</v>
      </c>
      <c r="BJ123" s="96" t="str">
        <f>IF(tblPiNAnalysis[[#This Row],['# Flags]]&gt;0, "Flagged", "")</f>
        <v>Flagged</v>
      </c>
      <c r="BK123" s="326">
        <f>tblPiNAnalysis[[#This Row],[Preliminary PiN]]</f>
        <v>30482.403979223356</v>
      </c>
      <c r="BL123" s="331"/>
    </row>
    <row r="124" spans="1:64" x14ac:dyDescent="0.55000000000000004">
      <c r="A12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SS0603</v>
      </c>
      <c r="B124" s="316" t="s">
        <v>322</v>
      </c>
      <c r="C124" s="317" t="s">
        <v>323</v>
      </c>
      <c r="D124" s="317" t="s">
        <v>328</v>
      </c>
      <c r="E124" s="105" t="s">
        <v>329</v>
      </c>
      <c r="F124" s="100"/>
      <c r="G124" s="34"/>
      <c r="H124" s="34"/>
      <c r="I124" s="97">
        <v>52356.268586149592</v>
      </c>
      <c r="J124" s="97" t="s">
        <v>413</v>
      </c>
      <c r="K124" s="318"/>
      <c r="L124" s="319">
        <v>11162.953324028977</v>
      </c>
      <c r="M124" s="319">
        <v>26371.550552860583</v>
      </c>
      <c r="N124" s="319">
        <v>43164.898674527911</v>
      </c>
      <c r="O124" s="319">
        <v>26841.201334186208</v>
      </c>
      <c r="P124" s="319">
        <v>8646</v>
      </c>
      <c r="Q124" s="320">
        <v>12082.215827572982</v>
      </c>
      <c r="R124" s="319">
        <v>31510.717204627075</v>
      </c>
      <c r="S124" s="319">
        <v>6573</v>
      </c>
      <c r="T124" s="319">
        <v>7502</v>
      </c>
      <c r="U124" s="319">
        <v>1765</v>
      </c>
      <c r="V124" s="319">
        <v>595</v>
      </c>
      <c r="W124" s="321" t="str">
        <f>IFERROR(IF(tblPiNAnalysis[[#This Row],[CCCM]]="", "", MROUND(tblPiNAnalysis[[#This Row],[CCCM]]/tblPiNAnalysis[[#This Row],[Affected population projection 2026]], 0.05)), "")</f>
        <v/>
      </c>
      <c r="X124" s="322">
        <f>IFERROR(IF(tblPiNAnalysis[[#This Row],[Education]]="", "", MROUND(tblPiNAnalysis[[#This Row],[Education]]/tblPiNAnalysis[[#This Row],[Affected population projection 2026]], 0.05)), "")</f>
        <v>0.2</v>
      </c>
      <c r="Y124" s="322">
        <f>IFERROR(IF(tblPiNAnalysis[[#This Row],[Nutrition]]="", "", MROUND(tblPiNAnalysis[[#This Row],[Nutrition]]/tblPiNAnalysis[[#This Row],[Affected population projection 2026]], 0.05)), "")</f>
        <v>0.5</v>
      </c>
      <c r="Z124" s="322">
        <f>IFERROR(IF(tblPiNAnalysis[[#This Row],[Food Security]]="", "", MROUND(tblPiNAnalysis[[#This Row],[Food Security]]/tblPiNAnalysis[[#This Row],[Affected population projection 2026]], 0.05)), "")</f>
        <v>0.8</v>
      </c>
      <c r="AA124" s="322">
        <f>IFERROR(IF(tblPiNAnalysis[[#This Row],[Health]]="", "", MROUND(tblPiNAnalysis[[#This Row],[Health]]/tblPiNAnalysis[[#This Row],[Affected population projection 2026]], 0.05)), "")</f>
        <v>0.5</v>
      </c>
      <c r="AB124" s="323">
        <f>IFERROR(IF(tblPiNAnalysis[[#This Row],[Overarching Protection]]="", "", MROUND(tblPiNAnalysis[[#This Row],[Overarching Protection]]/tblPiNAnalysis[[#This Row],[Affected population projection 2026]], 0.05)), "")</f>
        <v>0.15000000000000002</v>
      </c>
      <c r="AC124" s="323">
        <f>IFERROR(IF(tblPiNAnalysis[[#This Row],[Shelter]]="", "", MROUND(tblPiNAnalysis[[#This Row],[Shelter]]/tblPiNAnalysis[[#This Row],[Affected population projection 2026]], 0.05)), "")</f>
        <v>0.25</v>
      </c>
      <c r="AD124" s="324">
        <f>IFERROR(IF(tblPiNAnalysis[[#This Row],[WASH]]="", "", MROUND(tblPiNAnalysis[[#This Row],[WASH]]/tblPiNAnalysis[[#This Row],[Affected population projection 2026]], 0.05)), "")</f>
        <v>0.60000000000000009</v>
      </c>
      <c r="AE124" s="322">
        <f>IFERROR(MROUND(tblPiNAnalysis[[#This Row],[CP]]/tblPiNAnalysis[[#This Row],[Affected population projection 2026]], 0.05), "")</f>
        <v>0.15000000000000002</v>
      </c>
      <c r="AF124" s="322">
        <f>IFERROR(MROUND(tblPiNAnalysis[[#This Row],[GBV]]/tblPiNAnalysis[[#This Row],[Affected population projection 2026]], 0.05), "")</f>
        <v>0.15000000000000002</v>
      </c>
      <c r="AG124" s="322">
        <f>IFERROR(MROUND(tblPiNAnalysis[[#This Row],[Mine Action]]/tblPiNAnalysis[[#This Row],[Affected population projection 2026]], 0.05), "")</f>
        <v>0.05</v>
      </c>
      <c r="AH124" s="322">
        <f>IFERROR(MROUND(tblPiNAnalysis[[#This Row],[HLP]]/tblPiNAnalysis[[#This Row],[Affected population projection 2026]], 0.05), "")</f>
        <v>0</v>
      </c>
      <c r="AI124" s="325">
        <f>IFERROR(LARGE(tblPiNAnalysis[[#This Row],[CCCM]:[WASH]], 1), "")</f>
        <v>43164.898674527911</v>
      </c>
      <c r="AJ124" s="326" t="str" cm="1">
        <f t="array" ref="AJ124">IF(tblPiNAnalysis[[#This Row],[Highest PiN]]="", "", _xlfn.TEXTJOIN(CHAR(10), TRUE, IF(tblPiNAnalysis[[#This Row],[Highest PiN]]=tblPiNAnalysis[[#This Row],[CCCM]:[WASH]], tblPiNAnalysis[[#Headers],[CCCM]:[WASH]], "")))</f>
        <v>Food Security</v>
      </c>
      <c r="AK124" s="327">
        <f>IF(tblPiNAnalysis[[#This Row],[Highest PiN]]="", "", tblPiNAnalysis[[#This Row],[Highest PiN]]/tblPiNAnalysis[[#This Row],[Affected population projection 2026]])</f>
        <v>0.82444566505923267</v>
      </c>
      <c r="AL124" s="328" t="str">
        <f>IF(SUM(tblPiNAnalysis[[#This Row],[CCCM]:[WASH]])=0, "",IF(COUNTIF(tblPiNAnalysis[[#This Row],[CCCM]:[WASH]],"=0")+COUNTIF(tblPiNAnalysis[[#This Row],[CCCM]:[WASH]],"")&gt;=zero_pin_thresh, "Flagged", ""))</f>
        <v/>
      </c>
      <c r="AM124" s="329" t="str">
        <f>IFERROR(IF(tblPiNAnalysis[[#This Row],[Highest PiN]]="", "", IF(tblPiNAnalysis[[#This Row],[Highest sector(s'') PiN %]]&gt;=flag_pin_perc, "Flagged", "")), "")</f>
        <v/>
      </c>
      <c r="AN124" s="330" t="str" cm="1">
        <f t="array" ref="AN124">IF(tblPiNAnalysis[[#This Row],[Highest PiN]]=0, "",  IF(OR(COUNTIF(tblPiNAnalysis[[#This Row],[Highest sector(s)]],tblSubSectorPopulation[Sector])), "Flagged", ""))</f>
        <v/>
      </c>
      <c r="AO124" s="46" cm="1">
        <f t="array" ref="AO1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31510.717204627075</v>
      </c>
      <c r="AP124" s="331" t="str" cm="1">
        <f t="array" ref="AP124">IF(tblPiNAnalysis[[#This Row],[2nd Highest PiN]]="", "", _xlfn.TEXTJOIN(CHAR(10), TRUE, IF(tblPiNAnalysis[[#This Row],[2nd Highest PiN]]=tblPiNAnalysis[[#This Row],[CCCM]:[WASH]], tblPiNAnalysis[[#Headers],[CCCM]:[WASH]], "")))</f>
        <v>WASH</v>
      </c>
      <c r="AQ124" s="36">
        <f>IFERROR(tblPiNAnalysis[[#This Row],[2nd Highest PiN]]/tblPiNAnalysis[[#This Row],[Affected population projection 2026]], "")</f>
        <v>0.60185185185185197</v>
      </c>
      <c r="AR124" s="46">
        <f>IFERROR(tblPiNAnalysis[[#This Row],[Highest PiN]]-tblPiNAnalysis[[#This Row],[2nd Highest PiN]], "")</f>
        <v>11654.181469900836</v>
      </c>
      <c r="AS124" s="39">
        <f>IFERROR(((tblPiNAnalysis[[#This Row],[Highest PiN]]-tblPiNAnalysis[[#This Row],[2nd Highest PiN]])/tblPiNAnalysis[[#This Row],[2nd Highest PiN]]),"")</f>
        <v>0.36984818194457092</v>
      </c>
      <c r="AT124" s="39" t="str" cm="1">
        <f t="array" ref="AT1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4" s="332" cm="1">
        <f t="array" ref="AU1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26841.201334186208</v>
      </c>
      <c r="AV124" s="190" t="str" cm="1">
        <f t="array" ref="AV124">IF(tblPiNAnalysis[[#This Row],[3rd Highest PiN]]="", "", _xlfn.TEXTJOIN(CHAR(10), TRUE, IF(tblPiNAnalysis[[#This Row],[3rd Highest PiN]]=tblPiNAnalysis[[#This Row],[CCCM]:[WASH]], tblPiNAnalysis[[#Headers],[CCCM]:[WASH]], "")))</f>
        <v>Health</v>
      </c>
      <c r="AW124" s="190">
        <f>IFERROR(tblPiNAnalysis[[#This Row],[3rd Highest PiN]]/tblPiNAnalysis[[#This Row],[Affected population projection 2026]], "")</f>
        <v>0.5126645205821031</v>
      </c>
      <c r="AX124" s="45">
        <f>IFERROR(tblPiNAnalysis[[#This Row],[Highest PiN]]-tblPiNAnalysis[[#This Row],[3rd Highest PiN]],"")</f>
        <v>16323.697340341703</v>
      </c>
      <c r="AY124" s="39">
        <f>IFERROR(tblPiNAnalysis[[#This Row],[Difference of PiN between Highest and 3rd Highest]]/tblPiNAnalysis[[#This Row],[3rd Highest PiN]], "")</f>
        <v>0.60815822425768551</v>
      </c>
      <c r="AZ124" s="330" t="str" cm="1">
        <f t="array" ref="AZ1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4" s="300" t="str" cm="1">
        <f t="array" ref="BA124">IFERROR(IF(tblPiNAnalysis[[#This Row],[ID]]="", "", INDEX(tblPiNHistorical[[CCCM]:[WASH]], MATCH(tblPiNAnalysis[[#This Row],[ID]],tblPiNHistorical[ID], 0),MATCH(_xlfn._xlws.FILTER(tblPiNAnalysis[[#Headers],[CCCM]:[WASH]], tblPiNAnalysis[[#This Row],[Highest PiN]]=tblPiNAnalysis[[#This Row],[CCCM]:[WASH]]), tblPiNHistorical[[#Headers],[CCCM]:[WASH]], 0))), "")</f>
        <v/>
      </c>
      <c r="BB124" s="333" t="str" cm="1">
        <f t="array" ref="BB1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4" s="276" t="str" cm="1">
        <f t="array" ref="BC12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4" s="334" t="str" cm="1">
        <f t="array" ref="BD1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4" s="276">
        <f>INDEX(tblSeverityAnalysis[Final Severity], MATCH(tblPiNAnalysis[[#This Row],[ID]],tblSeverityAnalysis[ID], 0))</f>
        <v>3</v>
      </c>
      <c r="BF124" s="61">
        <f>IF(tblPiNAnalysis[[#This Row],[Severity]]&gt;2,tblPiNAnalysis[[#This Row],[Highest PiN]],)</f>
        <v>43164.898674527911</v>
      </c>
      <c r="BG124" s="191"/>
      <c r="BH124" s="192"/>
      <c r="BI124" s="193">
        <f>COUNTIFS(tblPiNAnalysis[[#This Row],[Number of missing / zero PiNs greater than threshold - Data quality]:[Manual Flag]],"Flagged")</f>
        <v>2</v>
      </c>
      <c r="BJ124" s="96" t="str">
        <f>IF(tblPiNAnalysis[[#This Row],['# Flags]]&gt;0, "Flagged", "")</f>
        <v>Flagged</v>
      </c>
      <c r="BK124" s="326">
        <f>tblPiNAnalysis[[#This Row],[Preliminary PiN]]</f>
        <v>43164.898674527911</v>
      </c>
      <c r="BL124" s="331"/>
    </row>
    <row r="125" spans="1:64" x14ac:dyDescent="0.55000000000000004">
      <c r="A12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SS0604</v>
      </c>
      <c r="B125" s="316" t="s">
        <v>322</v>
      </c>
      <c r="C125" s="317" t="s">
        <v>323</v>
      </c>
      <c r="D125" s="317" t="s">
        <v>330</v>
      </c>
      <c r="E125" s="105" t="s">
        <v>331</v>
      </c>
      <c r="F125" s="100"/>
      <c r="G125" s="34"/>
      <c r="H125" s="34"/>
      <c r="I125" s="97">
        <v>27460.602325830623</v>
      </c>
      <c r="J125" s="97" t="s">
        <v>413</v>
      </c>
      <c r="K125" s="318"/>
      <c r="L125" s="319">
        <v>5357.3163683486218</v>
      </c>
      <c r="M125" s="319">
        <v>12220.021564894554</v>
      </c>
      <c r="N125" s="319">
        <v>19803.793626160932</v>
      </c>
      <c r="O125" s="319">
        <v>15231.434369696173</v>
      </c>
      <c r="P125" s="319">
        <v>4855</v>
      </c>
      <c r="Q125" s="320">
        <v>25629.895504108583</v>
      </c>
      <c r="R125" s="319">
        <v>9916.3286176610563</v>
      </c>
      <c r="S125" s="319">
        <v>3898</v>
      </c>
      <c r="T125" s="319">
        <v>3956</v>
      </c>
      <c r="U125" s="319">
        <v>1001</v>
      </c>
      <c r="V125" s="319">
        <v>292</v>
      </c>
      <c r="W125" s="321" t="str">
        <f>IFERROR(IF(tblPiNAnalysis[[#This Row],[CCCM]]="", "", MROUND(tblPiNAnalysis[[#This Row],[CCCM]]/tblPiNAnalysis[[#This Row],[Affected population projection 2026]], 0.05)), "")</f>
        <v/>
      </c>
      <c r="X125" s="322">
        <f>IFERROR(IF(tblPiNAnalysis[[#This Row],[Education]]="", "", MROUND(tblPiNAnalysis[[#This Row],[Education]]/tblPiNAnalysis[[#This Row],[Affected population projection 2026]], 0.05)), "")</f>
        <v>0.2</v>
      </c>
      <c r="Y125" s="322">
        <f>IFERROR(IF(tblPiNAnalysis[[#This Row],[Nutrition]]="", "", MROUND(tblPiNAnalysis[[#This Row],[Nutrition]]/tblPiNAnalysis[[#This Row],[Affected population projection 2026]], 0.05)), "")</f>
        <v>0.45</v>
      </c>
      <c r="Z125" s="322">
        <f>IFERROR(IF(tblPiNAnalysis[[#This Row],[Food Security]]="", "", MROUND(tblPiNAnalysis[[#This Row],[Food Security]]/tblPiNAnalysis[[#This Row],[Affected population projection 2026]], 0.05)), "")</f>
        <v>0.70000000000000007</v>
      </c>
      <c r="AA125" s="322">
        <f>IFERROR(IF(tblPiNAnalysis[[#This Row],[Health]]="", "", MROUND(tblPiNAnalysis[[#This Row],[Health]]/tblPiNAnalysis[[#This Row],[Affected population projection 2026]], 0.05)), "")</f>
        <v>0.55000000000000004</v>
      </c>
      <c r="AB125" s="323">
        <f>IFERROR(IF(tblPiNAnalysis[[#This Row],[Overarching Protection]]="", "", MROUND(tblPiNAnalysis[[#This Row],[Overarching Protection]]/tblPiNAnalysis[[#This Row],[Affected population projection 2026]], 0.05)), "")</f>
        <v>0.2</v>
      </c>
      <c r="AC125" s="323">
        <f>IFERROR(IF(tblPiNAnalysis[[#This Row],[Shelter]]="", "", MROUND(tblPiNAnalysis[[#This Row],[Shelter]]/tblPiNAnalysis[[#This Row],[Affected population projection 2026]], 0.05)), "")</f>
        <v>0.95000000000000007</v>
      </c>
      <c r="AD125" s="324">
        <f>IFERROR(IF(tblPiNAnalysis[[#This Row],[WASH]]="", "", MROUND(tblPiNAnalysis[[#This Row],[WASH]]/tblPiNAnalysis[[#This Row],[Affected population projection 2026]], 0.05)), "")</f>
        <v>0.35000000000000003</v>
      </c>
      <c r="AE125" s="322">
        <f>IFERROR(MROUND(tblPiNAnalysis[[#This Row],[CP]]/tblPiNAnalysis[[#This Row],[Affected population projection 2026]], 0.05), "")</f>
        <v>0.15000000000000002</v>
      </c>
      <c r="AF125" s="322">
        <f>IFERROR(MROUND(tblPiNAnalysis[[#This Row],[GBV]]/tblPiNAnalysis[[#This Row],[Affected population projection 2026]], 0.05), "")</f>
        <v>0.15000000000000002</v>
      </c>
      <c r="AG125" s="322">
        <f>IFERROR(MROUND(tblPiNAnalysis[[#This Row],[Mine Action]]/tblPiNAnalysis[[#This Row],[Affected population projection 2026]], 0.05), "")</f>
        <v>0.05</v>
      </c>
      <c r="AH125" s="322">
        <f>IFERROR(MROUND(tblPiNAnalysis[[#This Row],[HLP]]/tblPiNAnalysis[[#This Row],[Affected population projection 2026]], 0.05), "")</f>
        <v>0</v>
      </c>
      <c r="AI125" s="325">
        <f>IFERROR(LARGE(tblPiNAnalysis[[#This Row],[CCCM]:[WASH]], 1), "")</f>
        <v>25629.895504108583</v>
      </c>
      <c r="AJ125" s="326" t="str" cm="1">
        <f t="array" ref="AJ125">IF(tblPiNAnalysis[[#This Row],[Highest PiN]]="", "", _xlfn.TEXTJOIN(CHAR(10), TRUE, IF(tblPiNAnalysis[[#This Row],[Highest PiN]]=tblPiNAnalysis[[#This Row],[CCCM]:[WASH]], tblPiNAnalysis[[#Headers],[CCCM]:[WASH]], "")))</f>
        <v>Shelter</v>
      </c>
      <c r="AK125" s="327">
        <f>IF(tblPiNAnalysis[[#This Row],[Highest PiN]]="", "", tblPiNAnalysis[[#This Row],[Highest PiN]]/tblPiNAnalysis[[#This Row],[Affected population projection 2026]])</f>
        <v>0.93333333333333335</v>
      </c>
      <c r="AL125" s="328" t="str">
        <f>IF(SUM(tblPiNAnalysis[[#This Row],[CCCM]:[WASH]])=0, "",IF(COUNTIF(tblPiNAnalysis[[#This Row],[CCCM]:[WASH]],"=0")+COUNTIF(tblPiNAnalysis[[#This Row],[CCCM]:[WASH]],"")&gt;=zero_pin_thresh, "Flagged", ""))</f>
        <v/>
      </c>
      <c r="AM125" s="329" t="str">
        <f>IFERROR(IF(tblPiNAnalysis[[#This Row],[Highest PiN]]="", "", IF(tblPiNAnalysis[[#This Row],[Highest sector(s'') PiN %]]&gt;=flag_pin_perc, "Flagged", "")), "")</f>
        <v>Flagged</v>
      </c>
      <c r="AN125" s="330" t="str" cm="1">
        <f t="array" ref="AN125">IF(tblPiNAnalysis[[#This Row],[Highest PiN]]=0, "",  IF(OR(COUNTIF(tblPiNAnalysis[[#This Row],[Highest sector(s)]],tblSubSectorPopulation[Sector])), "Flagged", ""))</f>
        <v/>
      </c>
      <c r="AO125" s="46" cm="1">
        <f t="array" ref="AO1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19803.793626160932</v>
      </c>
      <c r="AP125" s="331" t="str" cm="1">
        <f t="array" ref="AP125">IF(tblPiNAnalysis[[#This Row],[2nd Highest PiN]]="", "", _xlfn.TEXTJOIN(CHAR(10), TRUE, IF(tblPiNAnalysis[[#This Row],[2nd Highest PiN]]=tblPiNAnalysis[[#This Row],[CCCM]:[WASH]], tblPiNAnalysis[[#Headers],[CCCM]:[WASH]], "")))</f>
        <v>Food Security</v>
      </c>
      <c r="AQ125" s="36">
        <f>IFERROR(tblPiNAnalysis[[#This Row],[2nd Highest PiN]]/tblPiNAnalysis[[#This Row],[Affected population projection 2026]], "")</f>
        <v>0.72117113059580018</v>
      </c>
      <c r="AR125" s="46">
        <f>IFERROR(tblPiNAnalysis[[#This Row],[Highest PiN]]-tblPiNAnalysis[[#This Row],[2nd Highest PiN]], "")</f>
        <v>5826.1018779476508</v>
      </c>
      <c r="AS125" s="39">
        <f>IFERROR(((tblPiNAnalysis[[#This Row],[Highest PiN]]-tblPiNAnalysis[[#This Row],[2nd Highest PiN]])/tblPiNAnalysis[[#This Row],[2nd Highest PiN]]),"")</f>
        <v>0.29419120335870064</v>
      </c>
      <c r="AT125" s="39" t="str" cm="1">
        <f t="array" ref="AT1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5" s="332" cm="1">
        <f t="array" ref="AU1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15231.434369696173</v>
      </c>
      <c r="AV125" s="190" t="str" cm="1">
        <f t="array" ref="AV125">IF(tblPiNAnalysis[[#This Row],[3rd Highest PiN]]="", "", _xlfn.TEXTJOIN(CHAR(10), TRUE, IF(tblPiNAnalysis[[#This Row],[3rd Highest PiN]]=tblPiNAnalysis[[#This Row],[CCCM]:[WASH]], tblPiNAnalysis[[#Headers],[CCCM]:[WASH]], "")))</f>
        <v>Health</v>
      </c>
      <c r="AW125" s="190">
        <f>IFERROR(tblPiNAnalysis[[#This Row],[3rd Highest PiN]]/tblPiNAnalysis[[#This Row],[Affected population projection 2026]], "")</f>
        <v>0.55466497744548127</v>
      </c>
      <c r="AX125" s="45">
        <f>IFERROR(tblPiNAnalysis[[#This Row],[Highest PiN]]-tblPiNAnalysis[[#This Row],[3rd Highest PiN]],"")</f>
        <v>10398.46113441241</v>
      </c>
      <c r="AY125" s="39">
        <f>IFERROR(tblPiNAnalysis[[#This Row],[Difference of PiN between Highest and 3rd Highest]]/tblPiNAnalysis[[#This Row],[3rd Highest PiN]], "")</f>
        <v>0.68269743229834967</v>
      </c>
      <c r="AZ125" s="330" t="str" cm="1">
        <f t="array" ref="AZ1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5" s="300" t="str" cm="1">
        <f t="array" ref="BA125">IFERROR(IF(tblPiNAnalysis[[#This Row],[ID]]="", "", INDEX(tblPiNHistorical[[CCCM]:[WASH]], MATCH(tblPiNAnalysis[[#This Row],[ID]],tblPiNHistorical[ID], 0),MATCH(_xlfn._xlws.FILTER(tblPiNAnalysis[[#Headers],[CCCM]:[WASH]], tblPiNAnalysis[[#This Row],[Highest PiN]]=tblPiNAnalysis[[#This Row],[CCCM]:[WASH]]), tblPiNHistorical[[#Headers],[CCCM]:[WASH]], 0))), "")</f>
        <v/>
      </c>
      <c r="BB125" s="333" t="str" cm="1">
        <f t="array" ref="BB1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5" s="276" t="str" cm="1">
        <f t="array" ref="BC12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5" s="334" t="str" cm="1">
        <f t="array" ref="BD1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5" s="276">
        <f>INDEX(tblSeverityAnalysis[Final Severity], MATCH(tblPiNAnalysis[[#This Row],[ID]],tblSeverityAnalysis[ID], 0))</f>
        <v>3</v>
      </c>
      <c r="BF125" s="61">
        <f>IF(tblPiNAnalysis[[#This Row],[Severity]]&gt;2,tblPiNAnalysis[[#This Row],[Highest PiN]],)</f>
        <v>25629.895504108583</v>
      </c>
      <c r="BG125" s="191"/>
      <c r="BH125" s="192"/>
      <c r="BI125" s="193">
        <f>COUNTIFS(tblPiNAnalysis[[#This Row],[Number of missing / zero PiNs greater than threshold - Data quality]:[Manual Flag]],"Flagged")</f>
        <v>2</v>
      </c>
      <c r="BJ125" s="96" t="str">
        <f>IF(tblPiNAnalysis[[#This Row],['# Flags]]&gt;0, "Flagged", "")</f>
        <v>Flagged</v>
      </c>
      <c r="BK125" s="326">
        <f>tblPiNAnalysis[[#This Row],[Preliminary PiN]]</f>
        <v>25629.895504108583</v>
      </c>
      <c r="BL125" s="331"/>
    </row>
    <row r="126" spans="1:64" x14ac:dyDescent="0.55000000000000004">
      <c r="A12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SS0605</v>
      </c>
      <c r="B126" s="316" t="s">
        <v>322</v>
      </c>
      <c r="C126" s="317" t="s">
        <v>323</v>
      </c>
      <c r="D126" s="317" t="s">
        <v>332</v>
      </c>
      <c r="E126" s="105" t="s">
        <v>333</v>
      </c>
      <c r="F126" s="100"/>
      <c r="G126" s="34"/>
      <c r="H126" s="34"/>
      <c r="I126" s="97">
        <v>32690.293010704088</v>
      </c>
      <c r="J126" s="97" t="s">
        <v>413</v>
      </c>
      <c r="K126" s="318"/>
      <c r="L126" s="319">
        <v>4038.5784127181892</v>
      </c>
      <c r="M126" s="319">
        <v>18034.318157374215</v>
      </c>
      <c r="N126" s="319">
        <v>24492.422401719799</v>
      </c>
      <c r="O126" s="319">
        <v>15689.827622136641</v>
      </c>
      <c r="P126" s="319">
        <v>5532</v>
      </c>
      <c r="Q126" s="320">
        <v>18859.784429252359</v>
      </c>
      <c r="R126" s="319">
        <v>13318.267522879445</v>
      </c>
      <c r="S126" s="319">
        <v>4547</v>
      </c>
      <c r="T126" s="319">
        <v>4156</v>
      </c>
      <c r="U126" s="319">
        <v>1094</v>
      </c>
      <c r="V126" s="319">
        <v>290</v>
      </c>
      <c r="W126" s="321" t="str">
        <f>IFERROR(IF(tblPiNAnalysis[[#This Row],[CCCM]]="", "", MROUND(tblPiNAnalysis[[#This Row],[CCCM]]/tblPiNAnalysis[[#This Row],[Affected population projection 2026]], 0.05)), "")</f>
        <v/>
      </c>
      <c r="X126" s="322">
        <f>IFERROR(IF(tblPiNAnalysis[[#This Row],[Education]]="", "", MROUND(tblPiNAnalysis[[#This Row],[Education]]/tblPiNAnalysis[[#This Row],[Affected population projection 2026]], 0.05)), "")</f>
        <v>0.1</v>
      </c>
      <c r="Y126" s="322">
        <f>IFERROR(IF(tblPiNAnalysis[[#This Row],[Nutrition]]="", "", MROUND(tblPiNAnalysis[[#This Row],[Nutrition]]/tblPiNAnalysis[[#This Row],[Affected population projection 2026]], 0.05)), "")</f>
        <v>0.55000000000000004</v>
      </c>
      <c r="Z126" s="322">
        <f>IFERROR(IF(tblPiNAnalysis[[#This Row],[Food Security]]="", "", MROUND(tblPiNAnalysis[[#This Row],[Food Security]]/tblPiNAnalysis[[#This Row],[Affected population projection 2026]], 0.05)), "")</f>
        <v>0.75</v>
      </c>
      <c r="AA126" s="322">
        <f>IFERROR(IF(tblPiNAnalysis[[#This Row],[Health]]="", "", MROUND(tblPiNAnalysis[[#This Row],[Health]]/tblPiNAnalysis[[#This Row],[Affected population projection 2026]], 0.05)), "")</f>
        <v>0.5</v>
      </c>
      <c r="AB126" s="323">
        <f>IFERROR(IF(tblPiNAnalysis[[#This Row],[Overarching Protection]]="", "", MROUND(tblPiNAnalysis[[#This Row],[Overarching Protection]]/tblPiNAnalysis[[#This Row],[Affected population projection 2026]], 0.05)), "")</f>
        <v>0.15000000000000002</v>
      </c>
      <c r="AC126" s="323">
        <f>IFERROR(IF(tblPiNAnalysis[[#This Row],[Shelter]]="", "", MROUND(tblPiNAnalysis[[#This Row],[Shelter]]/tblPiNAnalysis[[#This Row],[Affected population projection 2026]], 0.05)), "")</f>
        <v>0.60000000000000009</v>
      </c>
      <c r="AD126" s="324">
        <f>IFERROR(IF(tblPiNAnalysis[[#This Row],[WASH]]="", "", MROUND(tblPiNAnalysis[[#This Row],[WASH]]/tblPiNAnalysis[[#This Row],[Affected population projection 2026]], 0.05)), "")</f>
        <v>0.4</v>
      </c>
      <c r="AE126" s="322">
        <f>IFERROR(MROUND(tblPiNAnalysis[[#This Row],[CP]]/tblPiNAnalysis[[#This Row],[Affected population projection 2026]], 0.05), "")</f>
        <v>0.15000000000000002</v>
      </c>
      <c r="AF126" s="322">
        <f>IFERROR(MROUND(tblPiNAnalysis[[#This Row],[GBV]]/tblPiNAnalysis[[#This Row],[Affected population projection 2026]], 0.05), "")</f>
        <v>0.15000000000000002</v>
      </c>
      <c r="AG126" s="322">
        <f>IFERROR(MROUND(tblPiNAnalysis[[#This Row],[Mine Action]]/tblPiNAnalysis[[#This Row],[Affected population projection 2026]], 0.05), "")</f>
        <v>0.05</v>
      </c>
      <c r="AH126" s="322">
        <f>IFERROR(MROUND(tblPiNAnalysis[[#This Row],[HLP]]/tblPiNAnalysis[[#This Row],[Affected population projection 2026]], 0.05), "")</f>
        <v>0</v>
      </c>
      <c r="AI126" s="325">
        <f>IFERROR(LARGE(tblPiNAnalysis[[#This Row],[CCCM]:[WASH]], 1), "")</f>
        <v>24492.422401719799</v>
      </c>
      <c r="AJ126" s="326" t="str" cm="1">
        <f t="array" ref="AJ126">IF(tblPiNAnalysis[[#This Row],[Highest PiN]]="", "", _xlfn.TEXTJOIN(CHAR(10), TRUE, IF(tblPiNAnalysis[[#This Row],[Highest PiN]]=tblPiNAnalysis[[#This Row],[CCCM]:[WASH]], tblPiNAnalysis[[#Headers],[CCCM]:[WASH]], "")))</f>
        <v>Food Security</v>
      </c>
      <c r="AK126" s="327">
        <f>IF(tblPiNAnalysis[[#This Row],[Highest PiN]]="", "", tblPiNAnalysis[[#This Row],[Highest PiN]]/tblPiNAnalysis[[#This Row],[Affected population projection 2026]])</f>
        <v>0.74922615082403865</v>
      </c>
      <c r="AL126" s="328" t="str">
        <f>IF(SUM(tblPiNAnalysis[[#This Row],[CCCM]:[WASH]])=0, "",IF(COUNTIF(tblPiNAnalysis[[#This Row],[CCCM]:[WASH]],"=0")+COUNTIF(tblPiNAnalysis[[#This Row],[CCCM]:[WASH]],"")&gt;=zero_pin_thresh, "Flagged", ""))</f>
        <v/>
      </c>
      <c r="AM126" s="329" t="str">
        <f>IFERROR(IF(tblPiNAnalysis[[#This Row],[Highest PiN]]="", "", IF(tblPiNAnalysis[[#This Row],[Highest sector(s'') PiN %]]&gt;=flag_pin_perc, "Flagged", "")), "")</f>
        <v/>
      </c>
      <c r="AN126" s="330" t="str" cm="1">
        <f t="array" ref="AN126">IF(tblPiNAnalysis[[#This Row],[Highest PiN]]=0, "",  IF(OR(COUNTIF(tblPiNAnalysis[[#This Row],[Highest sector(s)]],tblSubSectorPopulation[Sector])), "Flagged", ""))</f>
        <v/>
      </c>
      <c r="AO126" s="46" cm="1">
        <f t="array" ref="AO1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18859.784429252359</v>
      </c>
      <c r="AP126" s="331" t="str" cm="1">
        <f t="array" ref="AP126">IF(tblPiNAnalysis[[#This Row],[2nd Highest PiN]]="", "", _xlfn.TEXTJOIN(CHAR(10), TRUE, IF(tblPiNAnalysis[[#This Row],[2nd Highest PiN]]=tblPiNAnalysis[[#This Row],[CCCM]:[WASH]], tblPiNAnalysis[[#Headers],[CCCM]:[WASH]], "")))</f>
        <v>Shelter</v>
      </c>
      <c r="AQ126" s="36">
        <f>IFERROR(tblPiNAnalysis[[#This Row],[2nd Highest PiN]]/tblPiNAnalysis[[#This Row],[Affected population projection 2026]], "")</f>
        <v>0.57692307692307687</v>
      </c>
      <c r="AR126" s="46">
        <f>IFERROR(tblPiNAnalysis[[#This Row],[Highest PiN]]-tblPiNAnalysis[[#This Row],[2nd Highest PiN]], "")</f>
        <v>5632.6379724674407</v>
      </c>
      <c r="AS126" s="39">
        <f>IFERROR(((tblPiNAnalysis[[#This Row],[Highest PiN]]-tblPiNAnalysis[[#This Row],[2nd Highest PiN]])/tblPiNAnalysis[[#This Row],[2nd Highest PiN]]),"")</f>
        <v>0.29865866142833375</v>
      </c>
      <c r="AT126" s="39" t="str" cm="1">
        <f t="array" ref="AT1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6" s="332" cm="1">
        <f t="array" ref="AU1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18034.318157374215</v>
      </c>
      <c r="AV126" s="190" t="str" cm="1">
        <f t="array" ref="AV126">IF(tblPiNAnalysis[[#This Row],[3rd Highest PiN]]="", "", _xlfn.TEXTJOIN(CHAR(10), TRUE, IF(tblPiNAnalysis[[#This Row],[3rd Highest PiN]]=tblPiNAnalysis[[#This Row],[CCCM]:[WASH]], tblPiNAnalysis[[#Headers],[CCCM]:[WASH]], "")))</f>
        <v>Nutrition</v>
      </c>
      <c r="AW126" s="190">
        <f>IFERROR(tblPiNAnalysis[[#This Row],[3rd Highest PiN]]/tblPiNAnalysis[[#This Row],[Affected population projection 2026]], "")</f>
        <v>0.5516719642576795</v>
      </c>
      <c r="AX126" s="45">
        <f>IFERROR(tblPiNAnalysis[[#This Row],[Highest PiN]]-tblPiNAnalysis[[#This Row],[3rd Highest PiN]],"")</f>
        <v>6458.1042443455844</v>
      </c>
      <c r="AY126" s="39">
        <f>IFERROR(tblPiNAnalysis[[#This Row],[Difference of PiN between Highest and 3rd Highest]]/tblPiNAnalysis[[#This Row],[3rd Highest PiN]], "")</f>
        <v>0.3581008268784962</v>
      </c>
      <c r="AZ126" s="330" t="str" cm="1">
        <f t="array" ref="AZ1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6" s="300" t="str" cm="1">
        <f t="array" ref="BA126">IFERROR(IF(tblPiNAnalysis[[#This Row],[ID]]="", "", INDEX(tblPiNHistorical[[CCCM]:[WASH]], MATCH(tblPiNAnalysis[[#This Row],[ID]],tblPiNHistorical[ID], 0),MATCH(_xlfn._xlws.FILTER(tblPiNAnalysis[[#Headers],[CCCM]:[WASH]], tblPiNAnalysis[[#This Row],[Highest PiN]]=tblPiNAnalysis[[#This Row],[CCCM]:[WASH]]), tblPiNHistorical[[#Headers],[CCCM]:[WASH]], 0))), "")</f>
        <v/>
      </c>
      <c r="BB126" s="333" t="str" cm="1">
        <f t="array" ref="BB1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6" s="276" t="str" cm="1">
        <f t="array" ref="BC12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6" s="334" t="str" cm="1">
        <f t="array" ref="BD1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6" s="276">
        <f>INDEX(tblSeverityAnalysis[Final Severity], MATCH(tblPiNAnalysis[[#This Row],[ID]],tblSeverityAnalysis[ID], 0))</f>
        <v>4</v>
      </c>
      <c r="BF126" s="61">
        <f>IF(tblPiNAnalysis[[#This Row],[Severity]]&gt;2,tblPiNAnalysis[[#This Row],[Highest PiN]],)</f>
        <v>24492.422401719799</v>
      </c>
      <c r="BG126" s="191"/>
      <c r="BH126" s="192"/>
      <c r="BI126" s="193">
        <f>COUNTIFS(tblPiNAnalysis[[#This Row],[Number of missing / zero PiNs greater than threshold - Data quality]:[Manual Flag]],"Flagged")</f>
        <v>0</v>
      </c>
      <c r="BJ126" s="96" t="str">
        <f>IF(tblPiNAnalysis[[#This Row],['# Flags]]&gt;0, "Flagged", "")</f>
        <v/>
      </c>
      <c r="BK126" s="326">
        <f>tblPiNAnalysis[[#This Row],[Preliminary PiN]]</f>
        <v>24492.422401719799</v>
      </c>
      <c r="BL126" s="331"/>
    </row>
    <row r="127" spans="1:64" x14ac:dyDescent="0.55000000000000004">
      <c r="A12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SS0606</v>
      </c>
      <c r="B127" s="316" t="s">
        <v>322</v>
      </c>
      <c r="C127" s="317" t="s">
        <v>323</v>
      </c>
      <c r="D127" s="317" t="s">
        <v>334</v>
      </c>
      <c r="E127" s="105" t="s">
        <v>335</v>
      </c>
      <c r="F127" s="100"/>
      <c r="G127" s="34"/>
      <c r="H127" s="34"/>
      <c r="I127" s="97">
        <v>95120.28021781116</v>
      </c>
      <c r="J127" s="97" t="s">
        <v>413</v>
      </c>
      <c r="K127" s="318"/>
      <c r="L127" s="319">
        <v>29107.661829172175</v>
      </c>
      <c r="M127" s="319">
        <v>45514.967836092444</v>
      </c>
      <c r="N127" s="319">
        <v>62822.381740705023</v>
      </c>
      <c r="O127" s="319">
        <v>51361.527117805272</v>
      </c>
      <c r="P127" s="319">
        <v>16258</v>
      </c>
      <c r="Q127" s="320">
        <v>16710.319497723583</v>
      </c>
      <c r="R127" s="319">
        <v>40514.193426104757</v>
      </c>
      <c r="S127" s="319">
        <v>14108</v>
      </c>
      <c r="T127" s="319">
        <v>13558</v>
      </c>
      <c r="U127" s="319">
        <v>3223</v>
      </c>
      <c r="V127" s="319">
        <v>1764</v>
      </c>
      <c r="W127" s="321" t="str">
        <f>IFERROR(IF(tblPiNAnalysis[[#This Row],[CCCM]]="", "", MROUND(tblPiNAnalysis[[#This Row],[CCCM]]/tblPiNAnalysis[[#This Row],[Affected population projection 2026]], 0.05)), "")</f>
        <v/>
      </c>
      <c r="X127" s="322">
        <f>IFERROR(IF(tblPiNAnalysis[[#This Row],[Education]]="", "", MROUND(tblPiNAnalysis[[#This Row],[Education]]/tblPiNAnalysis[[#This Row],[Affected population projection 2026]], 0.05)), "")</f>
        <v>0.30000000000000004</v>
      </c>
      <c r="Y127" s="322">
        <f>IFERROR(IF(tblPiNAnalysis[[#This Row],[Nutrition]]="", "", MROUND(tblPiNAnalysis[[#This Row],[Nutrition]]/tblPiNAnalysis[[#This Row],[Affected population projection 2026]], 0.05)), "")</f>
        <v>0.5</v>
      </c>
      <c r="Z127" s="322">
        <f>IFERROR(IF(tblPiNAnalysis[[#This Row],[Food Security]]="", "", MROUND(tblPiNAnalysis[[#This Row],[Food Security]]/tblPiNAnalysis[[#This Row],[Affected population projection 2026]], 0.05)), "")</f>
        <v>0.65</v>
      </c>
      <c r="AA127" s="322">
        <f>IFERROR(IF(tblPiNAnalysis[[#This Row],[Health]]="", "", MROUND(tblPiNAnalysis[[#This Row],[Health]]/tblPiNAnalysis[[#This Row],[Affected population projection 2026]], 0.05)), "")</f>
        <v>0.55000000000000004</v>
      </c>
      <c r="AB127" s="323">
        <f>IFERROR(IF(tblPiNAnalysis[[#This Row],[Overarching Protection]]="", "", MROUND(tblPiNAnalysis[[#This Row],[Overarching Protection]]/tblPiNAnalysis[[#This Row],[Affected population projection 2026]], 0.05)), "")</f>
        <v>0.15000000000000002</v>
      </c>
      <c r="AC127" s="323">
        <f>IFERROR(IF(tblPiNAnalysis[[#This Row],[Shelter]]="", "", MROUND(tblPiNAnalysis[[#This Row],[Shelter]]/tblPiNAnalysis[[#This Row],[Affected population projection 2026]], 0.05)), "")</f>
        <v>0.2</v>
      </c>
      <c r="AD127" s="324">
        <f>IFERROR(IF(tblPiNAnalysis[[#This Row],[WASH]]="", "", MROUND(tblPiNAnalysis[[#This Row],[WASH]]/tblPiNAnalysis[[#This Row],[Affected population projection 2026]], 0.05)), "")</f>
        <v>0.45</v>
      </c>
      <c r="AE127" s="322">
        <f>IFERROR(MROUND(tblPiNAnalysis[[#This Row],[CP]]/tblPiNAnalysis[[#This Row],[Affected population projection 2026]], 0.05), "")</f>
        <v>0.15000000000000002</v>
      </c>
      <c r="AF127" s="322">
        <f>IFERROR(MROUND(tblPiNAnalysis[[#This Row],[GBV]]/tblPiNAnalysis[[#This Row],[Affected population projection 2026]], 0.05), "")</f>
        <v>0.15000000000000002</v>
      </c>
      <c r="AG127" s="322">
        <f>IFERROR(MROUND(tblPiNAnalysis[[#This Row],[Mine Action]]/tblPiNAnalysis[[#This Row],[Affected population projection 2026]], 0.05), "")</f>
        <v>0.05</v>
      </c>
      <c r="AH127" s="322">
        <f>IFERROR(MROUND(tblPiNAnalysis[[#This Row],[HLP]]/tblPiNAnalysis[[#This Row],[Affected population projection 2026]], 0.05), "")</f>
        <v>0</v>
      </c>
      <c r="AI127" s="325">
        <f>IFERROR(LARGE(tblPiNAnalysis[[#This Row],[CCCM]:[WASH]], 1), "")</f>
        <v>62822.381740705023</v>
      </c>
      <c r="AJ127" s="326" t="str" cm="1">
        <f t="array" ref="AJ127">IF(tblPiNAnalysis[[#This Row],[Highest PiN]]="", "", _xlfn.TEXTJOIN(CHAR(10), TRUE, IF(tblPiNAnalysis[[#This Row],[Highest PiN]]=tblPiNAnalysis[[#This Row],[CCCM]:[WASH]], tblPiNAnalysis[[#Headers],[CCCM]:[WASH]], "")))</f>
        <v>Food Security</v>
      </c>
      <c r="AK127" s="327">
        <f>IF(tblPiNAnalysis[[#This Row],[Highest PiN]]="", "", tblPiNAnalysis[[#This Row],[Highest PiN]]/tblPiNAnalysis[[#This Row],[Affected population projection 2026]])</f>
        <v>0.66045202554966409</v>
      </c>
      <c r="AL127" s="328" t="str">
        <f>IF(SUM(tblPiNAnalysis[[#This Row],[CCCM]:[WASH]])=0, "",IF(COUNTIF(tblPiNAnalysis[[#This Row],[CCCM]:[WASH]],"=0")+COUNTIF(tblPiNAnalysis[[#This Row],[CCCM]:[WASH]],"")&gt;=zero_pin_thresh, "Flagged", ""))</f>
        <v/>
      </c>
      <c r="AM127" s="329" t="str">
        <f>IFERROR(IF(tblPiNAnalysis[[#This Row],[Highest PiN]]="", "", IF(tblPiNAnalysis[[#This Row],[Highest sector(s'') PiN %]]&gt;=flag_pin_perc, "Flagged", "")), "")</f>
        <v/>
      </c>
      <c r="AN127" s="330" t="str" cm="1">
        <f t="array" ref="AN127">IF(tblPiNAnalysis[[#This Row],[Highest PiN]]=0, "",  IF(OR(COUNTIF(tblPiNAnalysis[[#This Row],[Highest sector(s)]],tblSubSectorPopulation[Sector])), "Flagged", ""))</f>
        <v/>
      </c>
      <c r="AO127" s="46" cm="1">
        <f t="array" ref="AO1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51361.527117805272</v>
      </c>
      <c r="AP127" s="331" t="str" cm="1">
        <f t="array" ref="AP127">IF(tblPiNAnalysis[[#This Row],[2nd Highest PiN]]="", "", _xlfn.TEXTJOIN(CHAR(10), TRUE, IF(tblPiNAnalysis[[#This Row],[2nd Highest PiN]]=tblPiNAnalysis[[#This Row],[CCCM]:[WASH]], tblPiNAnalysis[[#Headers],[CCCM]:[WASH]], "")))</f>
        <v>Health</v>
      </c>
      <c r="AQ127" s="36">
        <f>IFERROR(tblPiNAnalysis[[#This Row],[2nd Highest PiN]]/tblPiNAnalysis[[#This Row],[Affected population projection 2026]], "")</f>
        <v>0.53996400136958267</v>
      </c>
      <c r="AR127" s="46">
        <f>IFERROR(tblPiNAnalysis[[#This Row],[Highest PiN]]-tblPiNAnalysis[[#This Row],[2nd Highest PiN]], "")</f>
        <v>11460.854622899751</v>
      </c>
      <c r="AS127" s="39">
        <f>IFERROR(((tblPiNAnalysis[[#This Row],[Highest PiN]]-tblPiNAnalysis[[#This Row],[2nd Highest PiN]])/tblPiNAnalysis[[#This Row],[2nd Highest PiN]]),"")</f>
        <v>0.22314084619432328</v>
      </c>
      <c r="AT127" s="39" t="str" cm="1">
        <f t="array" ref="AT1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7" s="332" cm="1">
        <f t="array" ref="AU1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45514.967836092444</v>
      </c>
      <c r="AV127" s="190" t="str" cm="1">
        <f t="array" ref="AV127">IF(tblPiNAnalysis[[#This Row],[3rd Highest PiN]]="", "", _xlfn.TEXTJOIN(CHAR(10), TRUE, IF(tblPiNAnalysis[[#This Row],[3rd Highest PiN]]=tblPiNAnalysis[[#This Row],[CCCM]:[WASH]], tblPiNAnalysis[[#Headers],[CCCM]:[WASH]], "")))</f>
        <v>Nutrition</v>
      </c>
      <c r="AW127" s="190">
        <f>IFERROR(tblPiNAnalysis[[#This Row],[3rd Highest PiN]]/tblPiNAnalysis[[#This Row],[Affected population projection 2026]], "")</f>
        <v>0.47849909327295925</v>
      </c>
      <c r="AX127" s="45">
        <f>IFERROR(tblPiNAnalysis[[#This Row],[Highest PiN]]-tblPiNAnalysis[[#This Row],[3rd Highest PiN]],"")</f>
        <v>17307.413904612578</v>
      </c>
      <c r="AY127" s="39">
        <f>IFERROR(tblPiNAnalysis[[#This Row],[Difference of PiN between Highest and 3rd Highest]]/tblPiNAnalysis[[#This Row],[3rd Highest PiN]], "")</f>
        <v>0.38025763232305637</v>
      </c>
      <c r="AZ127" s="330" t="str" cm="1">
        <f t="array" ref="AZ1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7" s="300" t="str" cm="1">
        <f t="array" ref="BA127">IFERROR(IF(tblPiNAnalysis[[#This Row],[ID]]="", "", INDEX(tblPiNHistorical[[CCCM]:[WASH]], MATCH(tblPiNAnalysis[[#This Row],[ID]],tblPiNHistorical[ID], 0),MATCH(_xlfn._xlws.FILTER(tblPiNAnalysis[[#Headers],[CCCM]:[WASH]], tblPiNAnalysis[[#This Row],[Highest PiN]]=tblPiNAnalysis[[#This Row],[CCCM]:[WASH]]), tblPiNHistorical[[#Headers],[CCCM]:[WASH]], 0))), "")</f>
        <v/>
      </c>
      <c r="BB127" s="333" t="str" cm="1">
        <f t="array" ref="BB1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7" s="276" t="str" cm="1">
        <f t="array" ref="BC12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7" s="334" t="str" cm="1">
        <f t="array" ref="BD1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7" s="276">
        <f>INDEX(tblSeverityAnalysis[Final Severity], MATCH(tblPiNAnalysis[[#This Row],[ID]],tblSeverityAnalysis[ID], 0))</f>
        <v>3</v>
      </c>
      <c r="BF127" s="61">
        <f>IF(tblPiNAnalysis[[#This Row],[Severity]]&gt;2,tblPiNAnalysis[[#This Row],[Highest PiN]],)</f>
        <v>62822.381740705023</v>
      </c>
      <c r="BG127" s="191"/>
      <c r="BH127" s="192"/>
      <c r="BI127" s="193">
        <f>COUNTIFS(tblPiNAnalysis[[#This Row],[Number of missing / zero PiNs greater than threshold - Data quality]:[Manual Flag]],"Flagged")</f>
        <v>0</v>
      </c>
      <c r="BJ127" s="96" t="str">
        <f>IF(tblPiNAnalysis[[#This Row],['# Flags]]&gt;0, "Flagged", "")</f>
        <v/>
      </c>
      <c r="BK127" s="326">
        <f>tblPiNAnalysis[[#This Row],[Preliminary PiN]]</f>
        <v>62822.381740705023</v>
      </c>
      <c r="BL127" s="331"/>
    </row>
    <row r="128" spans="1:64" x14ac:dyDescent="0.55000000000000004">
      <c r="A12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SS0607</v>
      </c>
      <c r="B128" s="316" t="s">
        <v>322</v>
      </c>
      <c r="C128" s="317" t="s">
        <v>323</v>
      </c>
      <c r="D128" s="317" t="s">
        <v>336</v>
      </c>
      <c r="E128" s="105" t="s">
        <v>337</v>
      </c>
      <c r="F128" s="100"/>
      <c r="G128" s="34"/>
      <c r="H128" s="34"/>
      <c r="I128" s="97">
        <v>46967.678081984632</v>
      </c>
      <c r="J128" s="97" t="s">
        <v>413</v>
      </c>
      <c r="K128" s="318"/>
      <c r="L128" s="319">
        <v>14267.427932178172</v>
      </c>
      <c r="M128" s="319">
        <v>23988.652968058013</v>
      </c>
      <c r="N128" s="319">
        <v>34425.758326525865</v>
      </c>
      <c r="O128" s="319">
        <v>30178.3703752361</v>
      </c>
      <c r="P128" s="319">
        <v>16304</v>
      </c>
      <c r="Q128" s="320">
        <v>31957.389210422531</v>
      </c>
      <c r="R128" s="319">
        <v>24788.496765491887</v>
      </c>
      <c r="S128" s="319">
        <v>6338</v>
      </c>
      <c r="T128" s="319">
        <v>7038</v>
      </c>
      <c r="U128" s="319">
        <v>1658</v>
      </c>
      <c r="V128" s="319">
        <v>1639</v>
      </c>
      <c r="W128" s="321" t="str">
        <f>IFERROR(IF(tblPiNAnalysis[[#This Row],[CCCM]]="", "", MROUND(tblPiNAnalysis[[#This Row],[CCCM]]/tblPiNAnalysis[[#This Row],[Affected population projection 2026]], 0.05)), "")</f>
        <v/>
      </c>
      <c r="X128" s="322">
        <f>IFERROR(IF(tblPiNAnalysis[[#This Row],[Education]]="", "", MROUND(tblPiNAnalysis[[#This Row],[Education]]/tblPiNAnalysis[[#This Row],[Affected population projection 2026]], 0.05)), "")</f>
        <v>0.30000000000000004</v>
      </c>
      <c r="Y128" s="322">
        <f>IFERROR(IF(tblPiNAnalysis[[#This Row],[Nutrition]]="", "", MROUND(tblPiNAnalysis[[#This Row],[Nutrition]]/tblPiNAnalysis[[#This Row],[Affected population projection 2026]], 0.05)), "")</f>
        <v>0.5</v>
      </c>
      <c r="Z128" s="322">
        <f>IFERROR(IF(tblPiNAnalysis[[#This Row],[Food Security]]="", "", MROUND(tblPiNAnalysis[[#This Row],[Food Security]]/tblPiNAnalysis[[#This Row],[Affected population projection 2026]], 0.05)), "")</f>
        <v>0.75</v>
      </c>
      <c r="AA128" s="322">
        <f>IFERROR(IF(tblPiNAnalysis[[#This Row],[Health]]="", "", MROUND(tblPiNAnalysis[[#This Row],[Health]]/tblPiNAnalysis[[#This Row],[Affected population projection 2026]], 0.05)), "")</f>
        <v>0.65</v>
      </c>
      <c r="AB128" s="323">
        <f>IFERROR(IF(tblPiNAnalysis[[#This Row],[Overarching Protection]]="", "", MROUND(tblPiNAnalysis[[#This Row],[Overarching Protection]]/tblPiNAnalysis[[#This Row],[Affected population projection 2026]], 0.05)), "")</f>
        <v>0.35000000000000003</v>
      </c>
      <c r="AC128" s="323">
        <f>IFERROR(IF(tblPiNAnalysis[[#This Row],[Shelter]]="", "", MROUND(tblPiNAnalysis[[#This Row],[Shelter]]/tblPiNAnalysis[[#This Row],[Affected population projection 2026]], 0.05)), "")</f>
        <v>0.70000000000000007</v>
      </c>
      <c r="AD128" s="324">
        <f>IFERROR(IF(tblPiNAnalysis[[#This Row],[WASH]]="", "", MROUND(tblPiNAnalysis[[#This Row],[WASH]]/tblPiNAnalysis[[#This Row],[Affected population projection 2026]], 0.05)), "")</f>
        <v>0.55000000000000004</v>
      </c>
      <c r="AE128" s="322">
        <f>IFERROR(MROUND(tblPiNAnalysis[[#This Row],[CP]]/tblPiNAnalysis[[#This Row],[Affected population projection 2026]], 0.05), "")</f>
        <v>0.15000000000000002</v>
      </c>
      <c r="AF128" s="322">
        <f>IFERROR(MROUND(tblPiNAnalysis[[#This Row],[GBV]]/tblPiNAnalysis[[#This Row],[Affected population projection 2026]], 0.05), "")</f>
        <v>0.15000000000000002</v>
      </c>
      <c r="AG128" s="322">
        <f>IFERROR(MROUND(tblPiNAnalysis[[#This Row],[Mine Action]]/tblPiNAnalysis[[#This Row],[Affected population projection 2026]], 0.05), "")</f>
        <v>0.05</v>
      </c>
      <c r="AH128" s="322">
        <f>IFERROR(MROUND(tblPiNAnalysis[[#This Row],[HLP]]/tblPiNAnalysis[[#This Row],[Affected population projection 2026]], 0.05), "")</f>
        <v>0.05</v>
      </c>
      <c r="AI128" s="325">
        <f>IFERROR(LARGE(tblPiNAnalysis[[#This Row],[CCCM]:[WASH]], 1), "")</f>
        <v>34425.758326525865</v>
      </c>
      <c r="AJ128" s="326" t="str" cm="1">
        <f t="array" ref="AJ128">IF(tblPiNAnalysis[[#This Row],[Highest PiN]]="", "", _xlfn.TEXTJOIN(CHAR(10), TRUE, IF(tblPiNAnalysis[[#This Row],[Highest PiN]]=tblPiNAnalysis[[#This Row],[CCCM]:[WASH]], tblPiNAnalysis[[#Headers],[CCCM]:[WASH]], "")))</f>
        <v>Food Security</v>
      </c>
      <c r="AK128" s="327">
        <f>IF(tblPiNAnalysis[[#This Row],[Highest PiN]]="", "", tblPiNAnalysis[[#This Row],[Highest PiN]]/tblPiNAnalysis[[#This Row],[Affected population projection 2026]])</f>
        <v>0.73296700480772836</v>
      </c>
      <c r="AL128" s="328" t="str">
        <f>IF(SUM(tblPiNAnalysis[[#This Row],[CCCM]:[WASH]])=0, "",IF(COUNTIF(tblPiNAnalysis[[#This Row],[CCCM]:[WASH]],"=0")+COUNTIF(tblPiNAnalysis[[#This Row],[CCCM]:[WASH]],"")&gt;=zero_pin_thresh, "Flagged", ""))</f>
        <v/>
      </c>
      <c r="AM128" s="329" t="str">
        <f>IFERROR(IF(tblPiNAnalysis[[#This Row],[Highest PiN]]="", "", IF(tblPiNAnalysis[[#This Row],[Highest sector(s'') PiN %]]&gt;=flag_pin_perc, "Flagged", "")), "")</f>
        <v/>
      </c>
      <c r="AN128" s="330" t="str" cm="1">
        <f t="array" ref="AN128">IF(tblPiNAnalysis[[#This Row],[Highest PiN]]=0, "",  IF(OR(COUNTIF(tblPiNAnalysis[[#This Row],[Highest sector(s)]],tblSubSectorPopulation[Sector])), "Flagged", ""))</f>
        <v/>
      </c>
      <c r="AO128" s="46" cm="1">
        <f t="array" ref="AO1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31957.389210422531</v>
      </c>
      <c r="AP128" s="331" t="str" cm="1">
        <f t="array" ref="AP128">IF(tblPiNAnalysis[[#This Row],[2nd Highest PiN]]="", "", _xlfn.TEXTJOIN(CHAR(10), TRUE, IF(tblPiNAnalysis[[#This Row],[2nd Highest PiN]]=tblPiNAnalysis[[#This Row],[CCCM]:[WASH]], tblPiNAnalysis[[#Headers],[CCCM]:[WASH]], "")))</f>
        <v>Shelter</v>
      </c>
      <c r="AQ128" s="36">
        <f>IFERROR(tblPiNAnalysis[[#This Row],[2nd Highest PiN]]/tblPiNAnalysis[[#This Row],[Affected population projection 2026]], "")</f>
        <v>0.68041237113402053</v>
      </c>
      <c r="AR128" s="46">
        <f>IFERROR(tblPiNAnalysis[[#This Row],[Highest PiN]]-tblPiNAnalysis[[#This Row],[2nd Highest PiN]], "")</f>
        <v>2468.3691161033348</v>
      </c>
      <c r="AS128" s="39">
        <f>IFERROR(((tblPiNAnalysis[[#This Row],[Highest PiN]]-tblPiNAnalysis[[#This Row],[2nd Highest PiN]])/tblPiNAnalysis[[#This Row],[2nd Highest PiN]]),"")</f>
        <v>7.7239385853782608E-2</v>
      </c>
      <c r="AT128" s="39" t="str" cm="1">
        <f t="array" ref="AT1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8" s="332" cm="1">
        <f t="array" ref="AU1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30178.3703752361</v>
      </c>
      <c r="AV128" s="190" t="str" cm="1">
        <f t="array" ref="AV128">IF(tblPiNAnalysis[[#This Row],[3rd Highest PiN]]="", "", _xlfn.TEXTJOIN(CHAR(10), TRUE, IF(tblPiNAnalysis[[#This Row],[3rd Highest PiN]]=tblPiNAnalysis[[#This Row],[CCCM]:[WASH]], tblPiNAnalysis[[#Headers],[CCCM]:[WASH]], "")))</f>
        <v>Health</v>
      </c>
      <c r="AW128" s="190">
        <f>IFERROR(tblPiNAnalysis[[#This Row],[3rd Highest PiN]]/tblPiNAnalysis[[#This Row],[Affected population projection 2026]], "")</f>
        <v>0.64253485817540557</v>
      </c>
      <c r="AX128" s="45">
        <f>IFERROR(tblPiNAnalysis[[#This Row],[Highest PiN]]-tblPiNAnalysis[[#This Row],[3rd Highest PiN]],"")</f>
        <v>4247.3879512897656</v>
      </c>
      <c r="AY128" s="39">
        <f>IFERROR(tblPiNAnalysis[[#This Row],[Difference of PiN between Highest and 3rd Highest]]/tblPiNAnalysis[[#This Row],[3rd Highest PiN]], "")</f>
        <v>0.14074278691917394</v>
      </c>
      <c r="AZ128" s="330" t="str" cm="1">
        <f t="array" ref="AZ1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8" s="300" t="str" cm="1">
        <f t="array" ref="BA128">IFERROR(IF(tblPiNAnalysis[[#This Row],[ID]]="", "", INDEX(tblPiNHistorical[[CCCM]:[WASH]], MATCH(tblPiNAnalysis[[#This Row],[ID]],tblPiNHistorical[ID], 0),MATCH(_xlfn._xlws.FILTER(tblPiNAnalysis[[#Headers],[CCCM]:[WASH]], tblPiNAnalysis[[#This Row],[Highest PiN]]=tblPiNAnalysis[[#This Row],[CCCM]:[WASH]]), tblPiNHistorical[[#Headers],[CCCM]:[WASH]], 0))), "")</f>
        <v/>
      </c>
      <c r="BB128" s="333" t="str" cm="1">
        <f t="array" ref="BB1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8" s="276" t="str" cm="1">
        <f t="array" ref="BC12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8" s="334" t="str" cm="1">
        <f t="array" ref="BD1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8" s="276">
        <f>INDEX(tblSeverityAnalysis[Final Severity], MATCH(tblPiNAnalysis[[#This Row],[ID]],tblSeverityAnalysis[ID], 0))</f>
        <v>4</v>
      </c>
      <c r="BF128" s="61">
        <f>IF(tblPiNAnalysis[[#This Row],[Severity]]&gt;2,tblPiNAnalysis[[#This Row],[Highest PiN]],)</f>
        <v>34425.758326525865</v>
      </c>
      <c r="BG128" s="191"/>
      <c r="BH128" s="192"/>
      <c r="BI128" s="193">
        <f>COUNTIFS(tblPiNAnalysis[[#This Row],[Number of missing / zero PiNs greater than threshold - Data quality]:[Manual Flag]],"Flagged")</f>
        <v>0</v>
      </c>
      <c r="BJ128" s="96" t="str">
        <f>IF(tblPiNAnalysis[[#This Row],['# Flags]]&gt;0, "Flagged", "")</f>
        <v/>
      </c>
      <c r="BK128" s="326">
        <f>tblPiNAnalysis[[#This Row],[Preliminary PiN]]</f>
        <v>34425.758326525865</v>
      </c>
      <c r="BL128" s="331"/>
    </row>
    <row r="129" spans="1:64" x14ac:dyDescent="0.55000000000000004">
      <c r="A12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SS0608</v>
      </c>
      <c r="B129" s="316" t="s">
        <v>322</v>
      </c>
      <c r="C129" s="317" t="s">
        <v>323</v>
      </c>
      <c r="D129" s="317" t="s">
        <v>338</v>
      </c>
      <c r="E129" s="105" t="s">
        <v>339</v>
      </c>
      <c r="F129" s="100"/>
      <c r="G129" s="34"/>
      <c r="H129" s="34"/>
      <c r="I129" s="97">
        <v>96392.652760116689</v>
      </c>
      <c r="J129" s="97" t="s">
        <v>413</v>
      </c>
      <c r="K129" s="318"/>
      <c r="L129" s="319">
        <v>11272.060421115288</v>
      </c>
      <c r="M129" s="319">
        <v>48358.540845692078</v>
      </c>
      <c r="N129" s="319">
        <v>60990.748338865458</v>
      </c>
      <c r="O129" s="319">
        <v>86154.399680966613</v>
      </c>
      <c r="P129" s="319">
        <v>17701</v>
      </c>
      <c r="Q129" s="320">
        <v>16957.966689279787</v>
      </c>
      <c r="R129" s="319">
        <v>40679.46813729695</v>
      </c>
      <c r="S129" s="319">
        <v>12757</v>
      </c>
      <c r="T129" s="319">
        <v>8903</v>
      </c>
      <c r="U129" s="319">
        <v>3584</v>
      </c>
      <c r="V129" s="319">
        <v>1317</v>
      </c>
      <c r="W129" s="321" t="str">
        <f>IFERROR(IF(tblPiNAnalysis[[#This Row],[CCCM]]="", "", MROUND(tblPiNAnalysis[[#This Row],[CCCM]]/tblPiNAnalysis[[#This Row],[Affected population projection 2026]], 0.05)), "")</f>
        <v/>
      </c>
      <c r="X129" s="322">
        <f>IFERROR(IF(tblPiNAnalysis[[#This Row],[Education]]="", "", MROUND(tblPiNAnalysis[[#This Row],[Education]]/tblPiNAnalysis[[#This Row],[Affected population projection 2026]], 0.05)), "")</f>
        <v>0.1</v>
      </c>
      <c r="Y129" s="322">
        <f>IFERROR(IF(tblPiNAnalysis[[#This Row],[Nutrition]]="", "", MROUND(tblPiNAnalysis[[#This Row],[Nutrition]]/tblPiNAnalysis[[#This Row],[Affected population projection 2026]], 0.05)), "")</f>
        <v>0.5</v>
      </c>
      <c r="Z129" s="322">
        <f>IFERROR(IF(tblPiNAnalysis[[#This Row],[Food Security]]="", "", MROUND(tblPiNAnalysis[[#This Row],[Food Security]]/tblPiNAnalysis[[#This Row],[Affected population projection 2026]], 0.05)), "")</f>
        <v>0.65</v>
      </c>
      <c r="AA129" s="322">
        <f>IFERROR(IF(tblPiNAnalysis[[#This Row],[Health]]="", "", MROUND(tblPiNAnalysis[[#This Row],[Health]]/tblPiNAnalysis[[#This Row],[Affected population projection 2026]], 0.05)), "")</f>
        <v>0.9</v>
      </c>
      <c r="AB129" s="323">
        <f>IFERROR(IF(tblPiNAnalysis[[#This Row],[Overarching Protection]]="", "", MROUND(tblPiNAnalysis[[#This Row],[Overarching Protection]]/tblPiNAnalysis[[#This Row],[Affected population projection 2026]], 0.05)), "")</f>
        <v>0.2</v>
      </c>
      <c r="AC129" s="323">
        <f>IFERROR(IF(tblPiNAnalysis[[#This Row],[Shelter]]="", "", MROUND(tblPiNAnalysis[[#This Row],[Shelter]]/tblPiNAnalysis[[#This Row],[Affected population projection 2026]], 0.05)), "")</f>
        <v>0.2</v>
      </c>
      <c r="AD129" s="324">
        <f>IFERROR(IF(tblPiNAnalysis[[#This Row],[WASH]]="", "", MROUND(tblPiNAnalysis[[#This Row],[WASH]]/tblPiNAnalysis[[#This Row],[Affected population projection 2026]], 0.05)), "")</f>
        <v>0.4</v>
      </c>
      <c r="AE129" s="322">
        <f>IFERROR(MROUND(tblPiNAnalysis[[#This Row],[CP]]/tblPiNAnalysis[[#This Row],[Affected population projection 2026]], 0.05), "")</f>
        <v>0.15000000000000002</v>
      </c>
      <c r="AF129" s="322">
        <f>IFERROR(MROUND(tblPiNAnalysis[[#This Row],[GBV]]/tblPiNAnalysis[[#This Row],[Affected population projection 2026]], 0.05), "")</f>
        <v>0.1</v>
      </c>
      <c r="AG129" s="322">
        <f>IFERROR(MROUND(tblPiNAnalysis[[#This Row],[Mine Action]]/tblPiNAnalysis[[#This Row],[Affected population projection 2026]], 0.05), "")</f>
        <v>0.05</v>
      </c>
      <c r="AH129" s="322">
        <f>IFERROR(MROUND(tblPiNAnalysis[[#This Row],[HLP]]/tblPiNAnalysis[[#This Row],[Affected population projection 2026]], 0.05), "")</f>
        <v>0</v>
      </c>
      <c r="AI129" s="325">
        <f>IFERROR(LARGE(tblPiNAnalysis[[#This Row],[CCCM]:[WASH]], 1), "")</f>
        <v>86154.399680966613</v>
      </c>
      <c r="AJ129" s="326" t="str" cm="1">
        <f t="array" ref="AJ129">IF(tblPiNAnalysis[[#This Row],[Highest PiN]]="", "", _xlfn.TEXTJOIN(CHAR(10), TRUE, IF(tblPiNAnalysis[[#This Row],[Highest PiN]]=tblPiNAnalysis[[#This Row],[CCCM]:[WASH]], tblPiNAnalysis[[#Headers],[CCCM]:[WASH]], "")))</f>
        <v>Health</v>
      </c>
      <c r="AK129" s="327">
        <f>IF(tblPiNAnalysis[[#This Row],[Highest PiN]]="", "", tblPiNAnalysis[[#This Row],[Highest PiN]]/tblPiNAnalysis[[#This Row],[Affected population projection 2026]])</f>
        <v>0.89378595996700028</v>
      </c>
      <c r="AL129" s="328" t="str">
        <f>IF(SUM(tblPiNAnalysis[[#This Row],[CCCM]:[WASH]])=0, "",IF(COUNTIF(tblPiNAnalysis[[#This Row],[CCCM]:[WASH]],"=0")+COUNTIF(tblPiNAnalysis[[#This Row],[CCCM]:[WASH]],"")&gt;=zero_pin_thresh, "Flagged", ""))</f>
        <v/>
      </c>
      <c r="AM129" s="329" t="str">
        <f>IFERROR(IF(tblPiNAnalysis[[#This Row],[Highest PiN]]="", "", IF(tblPiNAnalysis[[#This Row],[Highest sector(s'') PiN %]]&gt;=flag_pin_perc, "Flagged", "")), "")</f>
        <v/>
      </c>
      <c r="AN129" s="330" t="str" cm="1">
        <f t="array" ref="AN129">IF(tblPiNAnalysis[[#This Row],[Highest PiN]]=0, "",  IF(OR(COUNTIF(tblPiNAnalysis[[#This Row],[Highest sector(s)]],tblSubSectorPopulation[Sector])), "Flagged", ""))</f>
        <v/>
      </c>
      <c r="AO129" s="46" cm="1">
        <f t="array" ref="AO1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60990.748338865458</v>
      </c>
      <c r="AP129" s="331" t="str" cm="1">
        <f t="array" ref="AP129">IF(tblPiNAnalysis[[#This Row],[2nd Highest PiN]]="", "", _xlfn.TEXTJOIN(CHAR(10), TRUE, IF(tblPiNAnalysis[[#This Row],[2nd Highest PiN]]=tblPiNAnalysis[[#This Row],[CCCM]:[WASH]], tblPiNAnalysis[[#Headers],[CCCM]:[WASH]], "")))</f>
        <v>Food Security</v>
      </c>
      <c r="AQ129" s="36">
        <f>IFERROR(tblPiNAnalysis[[#This Row],[2nd Highest PiN]]/tblPiNAnalysis[[#This Row],[Affected population projection 2026]], "")</f>
        <v>0.63273233584148147</v>
      </c>
      <c r="AR129" s="46">
        <f>IFERROR(tblPiNAnalysis[[#This Row],[Highest PiN]]-tblPiNAnalysis[[#This Row],[2nd Highest PiN]], "")</f>
        <v>25163.651342101155</v>
      </c>
      <c r="AS129" s="39">
        <f>IFERROR(((tblPiNAnalysis[[#This Row],[Highest PiN]]-tblPiNAnalysis[[#This Row],[2nd Highest PiN]])/tblPiNAnalysis[[#This Row],[2nd Highest PiN]]),"")</f>
        <v>0.41258144927639767</v>
      </c>
      <c r="AT129" s="39" t="str" cm="1">
        <f t="array" ref="AT1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9" s="332" cm="1">
        <f t="array" ref="AU1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48358.540845692078</v>
      </c>
      <c r="AV129" s="190" t="str" cm="1">
        <f t="array" ref="AV129">IF(tblPiNAnalysis[[#This Row],[3rd Highest PiN]]="", "", _xlfn.TEXTJOIN(CHAR(10), TRUE, IF(tblPiNAnalysis[[#This Row],[3rd Highest PiN]]=tblPiNAnalysis[[#This Row],[CCCM]:[WASH]], tblPiNAnalysis[[#Headers],[CCCM]:[WASH]], "")))</f>
        <v>Nutrition</v>
      </c>
      <c r="AW129" s="190">
        <f>IFERROR(tblPiNAnalysis[[#This Row],[3rd Highest PiN]]/tblPiNAnalysis[[#This Row],[Affected population projection 2026]], "")</f>
        <v>0.50168285093302101</v>
      </c>
      <c r="AX129" s="45">
        <f>IFERROR(tblPiNAnalysis[[#This Row],[Highest PiN]]-tblPiNAnalysis[[#This Row],[3rd Highest PiN]],"")</f>
        <v>37795.858835274536</v>
      </c>
      <c r="AY129" s="39">
        <f>IFERROR(tblPiNAnalysis[[#This Row],[Difference of PiN between Highest and 3rd Highest]]/tblPiNAnalysis[[#This Row],[3rd Highest PiN]], "")</f>
        <v>0.7815756673857851</v>
      </c>
      <c r="AZ129" s="330" t="str" cm="1">
        <f t="array" ref="AZ1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9" s="300" t="str" cm="1">
        <f t="array" ref="BA129">IFERROR(IF(tblPiNAnalysis[[#This Row],[ID]]="", "", INDEX(tblPiNHistorical[[CCCM]:[WASH]], MATCH(tblPiNAnalysis[[#This Row],[ID]],tblPiNHistorical[ID], 0),MATCH(_xlfn._xlws.FILTER(tblPiNAnalysis[[#Headers],[CCCM]:[WASH]], tblPiNAnalysis[[#This Row],[Highest PiN]]=tblPiNAnalysis[[#This Row],[CCCM]:[WASH]]), tblPiNHistorical[[#Headers],[CCCM]:[WASH]], 0))), "")</f>
        <v/>
      </c>
      <c r="BB129" s="333" t="str" cm="1">
        <f t="array" ref="BB1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9" s="276" t="str" cm="1">
        <f t="array" ref="BC12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9" s="334" t="str" cm="1">
        <f t="array" ref="BD1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9" s="276">
        <f>INDEX(tblSeverityAnalysis[Final Severity], MATCH(tblPiNAnalysis[[#This Row],[ID]],tblSeverityAnalysis[ID], 0))</f>
        <v>3</v>
      </c>
      <c r="BF129" s="61">
        <f>IF(tblPiNAnalysis[[#This Row],[Severity]]&gt;2,tblPiNAnalysis[[#This Row],[Highest PiN]],)</f>
        <v>86154.399680966613</v>
      </c>
      <c r="BG129" s="191"/>
      <c r="BH129" s="192"/>
      <c r="BI129" s="193">
        <f>COUNTIFS(tblPiNAnalysis[[#This Row],[Number of missing / zero PiNs greater than threshold - Data quality]:[Manual Flag]],"Flagged")</f>
        <v>2</v>
      </c>
      <c r="BJ129" s="96" t="str">
        <f>IF(tblPiNAnalysis[[#This Row],['# Flags]]&gt;0, "Flagged", "")</f>
        <v>Flagged</v>
      </c>
      <c r="BK129" s="326">
        <f>tblPiNAnalysis[[#This Row],[Preliminary PiN]]</f>
        <v>86154.399680966613</v>
      </c>
      <c r="BL129" s="331"/>
    </row>
    <row r="130" spans="1:64" x14ac:dyDescent="0.55000000000000004">
      <c r="A13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SS0609</v>
      </c>
      <c r="B130" s="316" t="s">
        <v>322</v>
      </c>
      <c r="C130" s="317" t="s">
        <v>323</v>
      </c>
      <c r="D130" s="317" t="s">
        <v>340</v>
      </c>
      <c r="E130" s="105" t="s">
        <v>341</v>
      </c>
      <c r="F130" s="100"/>
      <c r="G130" s="34"/>
      <c r="H130" s="34"/>
      <c r="I130" s="97">
        <v>128065.73135408323</v>
      </c>
      <c r="J130" s="97" t="s">
        <v>413</v>
      </c>
      <c r="K130" s="318"/>
      <c r="L130" s="319">
        <v>35264.154172514085</v>
      </c>
      <c r="M130" s="319">
        <v>53374.468893477038</v>
      </c>
      <c r="N130" s="319">
        <v>106191.44697572436</v>
      </c>
      <c r="O130" s="319">
        <v>80983.005907381768</v>
      </c>
      <c r="P130" s="319">
        <v>21634</v>
      </c>
      <c r="Q130" s="320">
        <v>94863.504706728301</v>
      </c>
      <c r="R130" s="319">
        <v>60475.484250539295</v>
      </c>
      <c r="S130" s="319">
        <v>17654</v>
      </c>
      <c r="T130" s="319">
        <v>18617</v>
      </c>
      <c r="U130" s="319">
        <v>13216</v>
      </c>
      <c r="V130" s="319">
        <v>1345</v>
      </c>
      <c r="W130" s="321" t="str">
        <f>IFERROR(IF(tblPiNAnalysis[[#This Row],[CCCM]]="", "", MROUND(tblPiNAnalysis[[#This Row],[CCCM]]/tblPiNAnalysis[[#This Row],[Affected population projection 2026]], 0.05)), "")</f>
        <v/>
      </c>
      <c r="X130" s="322">
        <f>IFERROR(IF(tblPiNAnalysis[[#This Row],[Education]]="", "", MROUND(tblPiNAnalysis[[#This Row],[Education]]/tblPiNAnalysis[[#This Row],[Affected population projection 2026]], 0.05)), "")</f>
        <v>0.30000000000000004</v>
      </c>
      <c r="Y130" s="322">
        <f>IFERROR(IF(tblPiNAnalysis[[#This Row],[Nutrition]]="", "", MROUND(tblPiNAnalysis[[#This Row],[Nutrition]]/tblPiNAnalysis[[#This Row],[Affected population projection 2026]], 0.05)), "")</f>
        <v>0.4</v>
      </c>
      <c r="Z130" s="322">
        <f>IFERROR(IF(tblPiNAnalysis[[#This Row],[Food Security]]="", "", MROUND(tblPiNAnalysis[[#This Row],[Food Security]]/tblPiNAnalysis[[#This Row],[Affected population projection 2026]], 0.05)), "")</f>
        <v>0.85000000000000009</v>
      </c>
      <c r="AA130" s="322">
        <f>IFERROR(IF(tblPiNAnalysis[[#This Row],[Health]]="", "", MROUND(tblPiNAnalysis[[#This Row],[Health]]/tblPiNAnalysis[[#This Row],[Affected population projection 2026]], 0.05)), "")</f>
        <v>0.65</v>
      </c>
      <c r="AB130" s="323">
        <f>IFERROR(IF(tblPiNAnalysis[[#This Row],[Overarching Protection]]="", "", MROUND(tblPiNAnalysis[[#This Row],[Overarching Protection]]/tblPiNAnalysis[[#This Row],[Affected population projection 2026]], 0.05)), "")</f>
        <v>0.15000000000000002</v>
      </c>
      <c r="AC130" s="323">
        <f>IFERROR(IF(tblPiNAnalysis[[#This Row],[Shelter]]="", "", MROUND(tblPiNAnalysis[[#This Row],[Shelter]]/tblPiNAnalysis[[#This Row],[Affected population projection 2026]], 0.05)), "")</f>
        <v>0.75</v>
      </c>
      <c r="AD130" s="324">
        <f>IFERROR(IF(tblPiNAnalysis[[#This Row],[WASH]]="", "", MROUND(tblPiNAnalysis[[#This Row],[WASH]]/tblPiNAnalysis[[#This Row],[Affected population projection 2026]], 0.05)), "")</f>
        <v>0.45</v>
      </c>
      <c r="AE130" s="322">
        <f>IFERROR(MROUND(tblPiNAnalysis[[#This Row],[CP]]/tblPiNAnalysis[[#This Row],[Affected population projection 2026]], 0.05), "")</f>
        <v>0.15000000000000002</v>
      </c>
      <c r="AF130" s="322">
        <f>IFERROR(MROUND(tblPiNAnalysis[[#This Row],[GBV]]/tblPiNAnalysis[[#This Row],[Affected population projection 2026]], 0.05), "")</f>
        <v>0.15000000000000002</v>
      </c>
      <c r="AG130" s="322">
        <f>IFERROR(MROUND(tblPiNAnalysis[[#This Row],[Mine Action]]/tblPiNAnalysis[[#This Row],[Affected population projection 2026]], 0.05), "")</f>
        <v>0.1</v>
      </c>
      <c r="AH130" s="322">
        <f>IFERROR(MROUND(tblPiNAnalysis[[#This Row],[HLP]]/tblPiNAnalysis[[#This Row],[Affected population projection 2026]], 0.05), "")</f>
        <v>0</v>
      </c>
      <c r="AI130" s="325">
        <f>IFERROR(LARGE(tblPiNAnalysis[[#This Row],[CCCM]:[WASH]], 1), "")</f>
        <v>106191.44697572436</v>
      </c>
      <c r="AJ130" s="326" t="str" cm="1">
        <f t="array" ref="AJ130">IF(tblPiNAnalysis[[#This Row],[Highest PiN]]="", "", _xlfn.TEXTJOIN(CHAR(10), TRUE, IF(tblPiNAnalysis[[#This Row],[Highest PiN]]=tblPiNAnalysis[[#This Row],[CCCM]:[WASH]], tblPiNAnalysis[[#Headers],[CCCM]:[WASH]], "")))</f>
        <v>Food Security</v>
      </c>
      <c r="AK130" s="327">
        <f>IF(tblPiNAnalysis[[#This Row],[Highest PiN]]="", "", tblPiNAnalysis[[#This Row],[Highest PiN]]/tblPiNAnalysis[[#This Row],[Affected population projection 2026]])</f>
        <v>0.8291948662060139</v>
      </c>
      <c r="AL130" s="328" t="str">
        <f>IF(SUM(tblPiNAnalysis[[#This Row],[CCCM]:[WASH]])=0, "",IF(COUNTIF(tblPiNAnalysis[[#This Row],[CCCM]:[WASH]],"=0")+COUNTIF(tblPiNAnalysis[[#This Row],[CCCM]:[WASH]],"")&gt;=zero_pin_thresh, "Flagged", ""))</f>
        <v/>
      </c>
      <c r="AM130" s="329" t="str">
        <f>IFERROR(IF(tblPiNAnalysis[[#This Row],[Highest PiN]]="", "", IF(tblPiNAnalysis[[#This Row],[Highest sector(s'') PiN %]]&gt;=flag_pin_perc, "Flagged", "")), "")</f>
        <v/>
      </c>
      <c r="AN130" s="330" t="str" cm="1">
        <f t="array" ref="AN130">IF(tblPiNAnalysis[[#This Row],[Highest PiN]]=0, "",  IF(OR(COUNTIF(tblPiNAnalysis[[#This Row],[Highest sector(s)]],tblSubSectorPopulation[Sector])), "Flagged", ""))</f>
        <v/>
      </c>
      <c r="AO130" s="46" cm="1">
        <f t="array" ref="AO1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94863.504706728301</v>
      </c>
      <c r="AP130" s="331" t="str" cm="1">
        <f t="array" ref="AP130">IF(tblPiNAnalysis[[#This Row],[2nd Highest PiN]]="", "", _xlfn.TEXTJOIN(CHAR(10), TRUE, IF(tblPiNAnalysis[[#This Row],[2nd Highest PiN]]=tblPiNAnalysis[[#This Row],[CCCM]:[WASH]], tblPiNAnalysis[[#Headers],[CCCM]:[WASH]], "")))</f>
        <v>Shelter</v>
      </c>
      <c r="AQ130" s="36">
        <f>IFERROR(tblPiNAnalysis[[#This Row],[2nd Highest PiN]]/tblPiNAnalysis[[#This Row],[Affected population projection 2026]], "")</f>
        <v>0.74074074074074059</v>
      </c>
      <c r="AR130" s="46">
        <f>IFERROR(tblPiNAnalysis[[#This Row],[Highest PiN]]-tblPiNAnalysis[[#This Row],[2nd Highest PiN]], "")</f>
        <v>11327.942268996063</v>
      </c>
      <c r="AS130" s="39">
        <f>IFERROR(((tblPiNAnalysis[[#This Row],[Highest PiN]]-tblPiNAnalysis[[#This Row],[2nd Highest PiN]])/tblPiNAnalysis[[#This Row],[2nd Highest PiN]]),"")</f>
        <v>0.11941306937811898</v>
      </c>
      <c r="AT130" s="39" t="str" cm="1">
        <f t="array" ref="AT1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0" s="332" cm="1">
        <f t="array" ref="AU1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80983.005907381768</v>
      </c>
      <c r="AV130" s="190" t="str" cm="1">
        <f t="array" ref="AV130">IF(tblPiNAnalysis[[#This Row],[3rd Highest PiN]]="", "", _xlfn.TEXTJOIN(CHAR(10), TRUE, IF(tblPiNAnalysis[[#This Row],[3rd Highest PiN]]=tblPiNAnalysis[[#This Row],[CCCM]:[WASH]], tblPiNAnalysis[[#Headers],[CCCM]:[WASH]], "")))</f>
        <v>Health</v>
      </c>
      <c r="AW130" s="190">
        <f>IFERROR(tblPiNAnalysis[[#This Row],[3rd Highest PiN]]/tblPiNAnalysis[[#This Row],[Affected population projection 2026]], "")</f>
        <v>0.63235500278740042</v>
      </c>
      <c r="AX130" s="45">
        <f>IFERROR(tblPiNAnalysis[[#This Row],[Highest PiN]]-tblPiNAnalysis[[#This Row],[3rd Highest PiN]],"")</f>
        <v>25208.441068342596</v>
      </c>
      <c r="AY130" s="39">
        <f>IFERROR(tblPiNAnalysis[[#This Row],[Difference of PiN between Highest and 3rd Highest]]/tblPiNAnalysis[[#This Row],[3rd Highest PiN]], "")</f>
        <v>0.31128062963201014</v>
      </c>
      <c r="AZ130" s="330" t="str" cm="1">
        <f t="array" ref="AZ1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0" s="300" t="str" cm="1">
        <f t="array" ref="BA130">IFERROR(IF(tblPiNAnalysis[[#This Row],[ID]]="", "", INDEX(tblPiNHistorical[[CCCM]:[WASH]], MATCH(tblPiNAnalysis[[#This Row],[ID]],tblPiNHistorical[ID], 0),MATCH(_xlfn._xlws.FILTER(tblPiNAnalysis[[#Headers],[CCCM]:[WASH]], tblPiNAnalysis[[#This Row],[Highest PiN]]=tblPiNAnalysis[[#This Row],[CCCM]:[WASH]]), tblPiNHistorical[[#Headers],[CCCM]:[WASH]], 0))), "")</f>
        <v/>
      </c>
      <c r="BB130" s="333" t="str" cm="1">
        <f t="array" ref="BB1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0" s="276" t="str" cm="1">
        <f t="array" ref="BC13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0" s="334" t="str" cm="1">
        <f t="array" ref="BD1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0" s="276">
        <f>INDEX(tblSeverityAnalysis[Final Severity], MATCH(tblPiNAnalysis[[#This Row],[ID]],tblSeverityAnalysis[ID], 0))</f>
        <v>4</v>
      </c>
      <c r="BF130" s="61">
        <f>IF(tblPiNAnalysis[[#This Row],[Severity]]&gt;2,tblPiNAnalysis[[#This Row],[Highest PiN]],)</f>
        <v>106191.44697572436</v>
      </c>
      <c r="BG130" s="191"/>
      <c r="BH130" s="192"/>
      <c r="BI130" s="193">
        <f>COUNTIFS(tblPiNAnalysis[[#This Row],[Number of missing / zero PiNs greater than threshold - Data quality]:[Manual Flag]],"Flagged")</f>
        <v>0</v>
      </c>
      <c r="BJ130" s="96" t="str">
        <f>IF(tblPiNAnalysis[[#This Row],['# Flags]]&gt;0, "Flagged", "")</f>
        <v/>
      </c>
      <c r="BK130" s="326">
        <f>tblPiNAnalysis[[#This Row],[Preliminary PiN]]</f>
        <v>106191.44697572436</v>
      </c>
      <c r="BL130" s="331"/>
    </row>
    <row r="131" spans="1:64" x14ac:dyDescent="0.55000000000000004">
      <c r="A13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SS0701</v>
      </c>
      <c r="B131" s="316" t="s">
        <v>342</v>
      </c>
      <c r="C131" s="317" t="s">
        <v>343</v>
      </c>
      <c r="D131" s="317" t="s">
        <v>344</v>
      </c>
      <c r="E131" s="105" t="s">
        <v>345</v>
      </c>
      <c r="F131" s="100"/>
      <c r="G131" s="34"/>
      <c r="H131" s="34"/>
      <c r="I131" s="97">
        <v>38631.891660273708</v>
      </c>
      <c r="J131" s="97" t="s">
        <v>413</v>
      </c>
      <c r="K131" s="318"/>
      <c r="L131" s="319">
        <v>3095.8052700876942</v>
      </c>
      <c r="M131" s="319">
        <v>27864.101802863486</v>
      </c>
      <c r="N131" s="319">
        <v>31143.958877197612</v>
      </c>
      <c r="O131" s="319">
        <v>19085.760219071533</v>
      </c>
      <c r="P131" s="319">
        <v>6506</v>
      </c>
      <c r="Q131" s="320">
        <v>12291.965528268907</v>
      </c>
      <c r="R131" s="319">
        <v>34697.161954134717</v>
      </c>
      <c r="S131" s="319">
        <v>5253</v>
      </c>
      <c r="T131" s="319">
        <v>3310</v>
      </c>
      <c r="U131" s="319">
        <v>1319</v>
      </c>
      <c r="V131" s="319">
        <v>398</v>
      </c>
      <c r="W131" s="321" t="str">
        <f>IFERROR(IF(tblPiNAnalysis[[#This Row],[CCCM]]="", "", MROUND(tblPiNAnalysis[[#This Row],[CCCM]]/tblPiNAnalysis[[#This Row],[Affected population projection 2026]], 0.05)), "")</f>
        <v/>
      </c>
      <c r="X131" s="322">
        <f>IFERROR(IF(tblPiNAnalysis[[#This Row],[Education]]="", "", MROUND(tblPiNAnalysis[[#This Row],[Education]]/tblPiNAnalysis[[#This Row],[Affected population projection 2026]], 0.05)), "")</f>
        <v>0.1</v>
      </c>
      <c r="Y131" s="322">
        <f>IFERROR(IF(tblPiNAnalysis[[#This Row],[Nutrition]]="", "", MROUND(tblPiNAnalysis[[#This Row],[Nutrition]]/tblPiNAnalysis[[#This Row],[Affected population projection 2026]], 0.05)), "")</f>
        <v>0.70000000000000007</v>
      </c>
      <c r="Z131" s="322">
        <f>IFERROR(IF(tblPiNAnalysis[[#This Row],[Food Security]]="", "", MROUND(tblPiNAnalysis[[#This Row],[Food Security]]/tblPiNAnalysis[[#This Row],[Affected population projection 2026]], 0.05)), "")</f>
        <v>0.8</v>
      </c>
      <c r="AA131" s="322">
        <f>IFERROR(IF(tblPiNAnalysis[[#This Row],[Health]]="", "", MROUND(tblPiNAnalysis[[#This Row],[Health]]/tblPiNAnalysis[[#This Row],[Affected population projection 2026]], 0.05)), "")</f>
        <v>0.5</v>
      </c>
      <c r="AB131" s="323">
        <f>IFERROR(IF(tblPiNAnalysis[[#This Row],[Overarching Protection]]="", "", MROUND(tblPiNAnalysis[[#This Row],[Overarching Protection]]/tblPiNAnalysis[[#This Row],[Affected population projection 2026]], 0.05)), "")</f>
        <v>0.15000000000000002</v>
      </c>
      <c r="AC131" s="323">
        <f>IFERROR(IF(tblPiNAnalysis[[#This Row],[Shelter]]="", "", MROUND(tblPiNAnalysis[[#This Row],[Shelter]]/tblPiNAnalysis[[#This Row],[Affected population projection 2026]], 0.05)), "")</f>
        <v>0.30000000000000004</v>
      </c>
      <c r="AD131" s="324">
        <f>IFERROR(IF(tblPiNAnalysis[[#This Row],[WASH]]="", "", MROUND(tblPiNAnalysis[[#This Row],[WASH]]/tblPiNAnalysis[[#This Row],[Affected population projection 2026]], 0.05)), "")</f>
        <v>0.9</v>
      </c>
      <c r="AE131" s="322">
        <f>IFERROR(MROUND(tblPiNAnalysis[[#This Row],[CP]]/tblPiNAnalysis[[#This Row],[Affected population projection 2026]], 0.05), "")</f>
        <v>0.15000000000000002</v>
      </c>
      <c r="AF131" s="322">
        <f>IFERROR(MROUND(tblPiNAnalysis[[#This Row],[GBV]]/tblPiNAnalysis[[#This Row],[Affected population projection 2026]], 0.05), "")</f>
        <v>0.1</v>
      </c>
      <c r="AG131" s="322">
        <f>IFERROR(MROUND(tblPiNAnalysis[[#This Row],[Mine Action]]/tblPiNAnalysis[[#This Row],[Affected population projection 2026]], 0.05), "")</f>
        <v>0.05</v>
      </c>
      <c r="AH131" s="322">
        <f>IFERROR(MROUND(tblPiNAnalysis[[#This Row],[HLP]]/tblPiNAnalysis[[#This Row],[Affected population projection 2026]], 0.05), "")</f>
        <v>0</v>
      </c>
      <c r="AI131" s="325">
        <f>IFERROR(LARGE(tblPiNAnalysis[[#This Row],[CCCM]:[WASH]], 1), "")</f>
        <v>34697.161954134717</v>
      </c>
      <c r="AJ131" s="326" t="str" cm="1">
        <f t="array" ref="AJ131">IF(tblPiNAnalysis[[#This Row],[Highest PiN]]="", "", _xlfn.TEXTJOIN(CHAR(10), TRUE, IF(tblPiNAnalysis[[#This Row],[Highest PiN]]=tblPiNAnalysis[[#This Row],[CCCM]:[WASH]], tblPiNAnalysis[[#Headers],[CCCM]:[WASH]], "")))</f>
        <v>WASH</v>
      </c>
      <c r="AK131" s="327">
        <f>IF(tblPiNAnalysis[[#This Row],[Highest PiN]]="", "", tblPiNAnalysis[[#This Row],[Highest PiN]]/tblPiNAnalysis[[#This Row],[Affected population projection 2026]])</f>
        <v>0.89814814814814814</v>
      </c>
      <c r="AL131" s="328" t="str">
        <f>IF(SUM(tblPiNAnalysis[[#This Row],[CCCM]:[WASH]])=0, "",IF(COUNTIF(tblPiNAnalysis[[#This Row],[CCCM]:[WASH]],"=0")+COUNTIF(tblPiNAnalysis[[#This Row],[CCCM]:[WASH]],"")&gt;=zero_pin_thresh, "Flagged", ""))</f>
        <v/>
      </c>
      <c r="AM131" s="329" t="str">
        <f>IFERROR(IF(tblPiNAnalysis[[#This Row],[Highest PiN]]="", "", IF(tblPiNAnalysis[[#This Row],[Highest sector(s'') PiN %]]&gt;=flag_pin_perc, "Flagged", "")), "")</f>
        <v/>
      </c>
      <c r="AN131" s="330" t="str" cm="1">
        <f t="array" ref="AN131">IF(tblPiNAnalysis[[#This Row],[Highest PiN]]=0, "",  IF(OR(COUNTIF(tblPiNAnalysis[[#This Row],[Highest sector(s)]],tblSubSectorPopulation[Sector])), "Flagged", ""))</f>
        <v/>
      </c>
      <c r="AO131" s="46" cm="1">
        <f t="array" ref="AO1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31143.958877197612</v>
      </c>
      <c r="AP131" s="331" t="str" cm="1">
        <f t="array" ref="AP131">IF(tblPiNAnalysis[[#This Row],[2nd Highest PiN]]="", "", _xlfn.TEXTJOIN(CHAR(10), TRUE, IF(tblPiNAnalysis[[#This Row],[2nd Highest PiN]]=tblPiNAnalysis[[#This Row],[CCCM]:[WASH]], tblPiNAnalysis[[#Headers],[CCCM]:[WASH]], "")))</f>
        <v>Food Security</v>
      </c>
      <c r="AQ131" s="36">
        <f>IFERROR(tblPiNAnalysis[[#This Row],[2nd Highest PiN]]/tblPiNAnalysis[[#This Row],[Affected population projection 2026]], "")</f>
        <v>0.80617224626418815</v>
      </c>
      <c r="AR131" s="46">
        <f>IFERROR(tblPiNAnalysis[[#This Row],[Highest PiN]]-tblPiNAnalysis[[#This Row],[2nd Highest PiN]], "")</f>
        <v>3553.2030769371049</v>
      </c>
      <c r="AS131" s="39">
        <f>IFERROR(((tblPiNAnalysis[[#This Row],[Highest PiN]]-tblPiNAnalysis[[#This Row],[2nd Highest PiN]])/tblPiNAnalysis[[#This Row],[2nd Highest PiN]]),"")</f>
        <v>0.11408964065703994</v>
      </c>
      <c r="AT131" s="39" t="str" cm="1">
        <f t="array" ref="AT1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1" s="332" cm="1">
        <f t="array" ref="AU1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27864.101802863486</v>
      </c>
      <c r="AV131" s="190" t="str" cm="1">
        <f t="array" ref="AV131">IF(tblPiNAnalysis[[#This Row],[3rd Highest PiN]]="", "", _xlfn.TEXTJOIN(CHAR(10), TRUE, IF(tblPiNAnalysis[[#This Row],[3rd Highest PiN]]=tblPiNAnalysis[[#This Row],[CCCM]:[WASH]], tblPiNAnalysis[[#Headers],[CCCM]:[WASH]], "")))</f>
        <v>Nutrition</v>
      </c>
      <c r="AW131" s="190">
        <f>IFERROR(tblPiNAnalysis[[#This Row],[3rd Highest PiN]]/tblPiNAnalysis[[#This Row],[Affected population projection 2026]], "")</f>
        <v>0.72127200106840605</v>
      </c>
      <c r="AX131" s="45">
        <f>IFERROR(tblPiNAnalysis[[#This Row],[Highest PiN]]-tblPiNAnalysis[[#This Row],[3rd Highest PiN]],"")</f>
        <v>6833.060151271231</v>
      </c>
      <c r="AY131" s="39">
        <f>IFERROR(tblPiNAnalysis[[#This Row],[Difference of PiN between Highest and 3rd Highest]]/tblPiNAnalysis[[#This Row],[3rd Highest PiN]], "")</f>
        <v>0.24522807875217509</v>
      </c>
      <c r="AZ131" s="330" t="str" cm="1">
        <f t="array" ref="AZ1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1" s="300" t="str" cm="1">
        <f t="array" ref="BA131">IFERROR(IF(tblPiNAnalysis[[#This Row],[ID]]="", "", INDEX(tblPiNHistorical[[CCCM]:[WASH]], MATCH(tblPiNAnalysis[[#This Row],[ID]],tblPiNHistorical[ID], 0),MATCH(_xlfn._xlws.FILTER(tblPiNAnalysis[[#Headers],[CCCM]:[WASH]], tblPiNAnalysis[[#This Row],[Highest PiN]]=tblPiNAnalysis[[#This Row],[CCCM]:[WASH]]), tblPiNHistorical[[#Headers],[CCCM]:[WASH]], 0))), "")</f>
        <v/>
      </c>
      <c r="BB131" s="333" t="str" cm="1">
        <f t="array" ref="BB1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1" s="276" t="str" cm="1">
        <f t="array" ref="BC13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1" s="334" t="str" cm="1">
        <f t="array" ref="BD1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1" s="276">
        <f>INDEX(tblSeverityAnalysis[Final Severity], MATCH(tblPiNAnalysis[[#This Row],[ID]],tblSeverityAnalysis[ID], 0))</f>
        <v>4</v>
      </c>
      <c r="BF131" s="61">
        <f>IF(tblPiNAnalysis[[#This Row],[Severity]]&gt;2,tblPiNAnalysis[[#This Row],[Highest PiN]],)</f>
        <v>34697.161954134717</v>
      </c>
      <c r="BG131" s="191"/>
      <c r="BH131" s="192"/>
      <c r="BI131" s="193">
        <f>COUNTIFS(tblPiNAnalysis[[#This Row],[Number of missing / zero PiNs greater than threshold - Data quality]:[Manual Flag]],"Flagged")</f>
        <v>0</v>
      </c>
      <c r="BJ131" s="96" t="str">
        <f>IF(tblPiNAnalysis[[#This Row],['# Flags]]&gt;0, "Flagged", "")</f>
        <v/>
      </c>
      <c r="BK131" s="326">
        <f>tblPiNAnalysis[[#This Row],[Preliminary PiN]]</f>
        <v>34697.161954134717</v>
      </c>
      <c r="BL131" s="331"/>
    </row>
    <row r="132" spans="1:64" x14ac:dyDescent="0.55000000000000004">
      <c r="A13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SS0702</v>
      </c>
      <c r="B132" s="316" t="s">
        <v>342</v>
      </c>
      <c r="C132" s="317" t="s">
        <v>343</v>
      </c>
      <c r="D132" s="317" t="s">
        <v>346</v>
      </c>
      <c r="E132" s="105" t="s">
        <v>347</v>
      </c>
      <c r="F132" s="100"/>
      <c r="G132" s="34"/>
      <c r="H132" s="34"/>
      <c r="I132" s="97">
        <v>44904.26104030956</v>
      </c>
      <c r="J132" s="97" t="s">
        <v>413</v>
      </c>
      <c r="K132" s="318"/>
      <c r="L132" s="319">
        <v>15314.508419275495</v>
      </c>
      <c r="M132" s="319">
        <v>18930.163309395608</v>
      </c>
      <c r="N132" s="319">
        <v>31093.426343821713</v>
      </c>
      <c r="O132" s="319">
        <v>19768.52312323873</v>
      </c>
      <c r="P132" s="319">
        <v>7803</v>
      </c>
      <c r="Q132" s="320">
        <v>26343.83314364828</v>
      </c>
      <c r="R132" s="319">
        <v>42844.432552221973</v>
      </c>
      <c r="S132" s="319">
        <v>5368</v>
      </c>
      <c r="T132" s="319">
        <v>7750</v>
      </c>
      <c r="U132" s="319">
        <v>5160</v>
      </c>
      <c r="V132" s="319">
        <v>639</v>
      </c>
      <c r="W132" s="321" t="str">
        <f>IFERROR(IF(tblPiNAnalysis[[#This Row],[CCCM]]="", "", MROUND(tblPiNAnalysis[[#This Row],[CCCM]]/tblPiNAnalysis[[#This Row],[Affected population projection 2026]], 0.05)), "")</f>
        <v/>
      </c>
      <c r="X132" s="322">
        <f>IFERROR(IF(tblPiNAnalysis[[#This Row],[Education]]="", "", MROUND(tblPiNAnalysis[[#This Row],[Education]]/tblPiNAnalysis[[#This Row],[Affected population projection 2026]], 0.05)), "")</f>
        <v>0.35000000000000003</v>
      </c>
      <c r="Y132" s="322">
        <f>IFERROR(IF(tblPiNAnalysis[[#This Row],[Nutrition]]="", "", MROUND(tblPiNAnalysis[[#This Row],[Nutrition]]/tblPiNAnalysis[[#This Row],[Affected population projection 2026]], 0.05)), "")</f>
        <v>0.4</v>
      </c>
      <c r="Z132" s="322">
        <f>IFERROR(IF(tblPiNAnalysis[[#This Row],[Food Security]]="", "", MROUND(tblPiNAnalysis[[#This Row],[Food Security]]/tblPiNAnalysis[[#This Row],[Affected population projection 2026]], 0.05)), "")</f>
        <v>0.70000000000000007</v>
      </c>
      <c r="AA132" s="322">
        <f>IFERROR(IF(tblPiNAnalysis[[#This Row],[Health]]="", "", MROUND(tblPiNAnalysis[[#This Row],[Health]]/tblPiNAnalysis[[#This Row],[Affected population projection 2026]], 0.05)), "")</f>
        <v>0.45</v>
      </c>
      <c r="AB132" s="323">
        <f>IFERROR(IF(tblPiNAnalysis[[#This Row],[Overarching Protection]]="", "", MROUND(tblPiNAnalysis[[#This Row],[Overarching Protection]]/tblPiNAnalysis[[#This Row],[Affected population projection 2026]], 0.05)), "")</f>
        <v>0.15000000000000002</v>
      </c>
      <c r="AC132" s="323">
        <f>IFERROR(IF(tblPiNAnalysis[[#This Row],[Shelter]]="", "", MROUND(tblPiNAnalysis[[#This Row],[Shelter]]/tblPiNAnalysis[[#This Row],[Affected population projection 2026]], 0.05)), "")</f>
        <v>0.60000000000000009</v>
      </c>
      <c r="AD132" s="324">
        <f>IFERROR(IF(tblPiNAnalysis[[#This Row],[WASH]]="", "", MROUND(tblPiNAnalysis[[#This Row],[WASH]]/tblPiNAnalysis[[#This Row],[Affected population projection 2026]], 0.05)), "")</f>
        <v>0.95000000000000007</v>
      </c>
      <c r="AE132" s="322">
        <f>IFERROR(MROUND(tblPiNAnalysis[[#This Row],[CP]]/tblPiNAnalysis[[#This Row],[Affected population projection 2026]], 0.05), "")</f>
        <v>0.1</v>
      </c>
      <c r="AF132" s="322">
        <f>IFERROR(MROUND(tblPiNAnalysis[[#This Row],[GBV]]/tblPiNAnalysis[[#This Row],[Affected population projection 2026]], 0.05), "")</f>
        <v>0.15000000000000002</v>
      </c>
      <c r="AG132" s="322">
        <f>IFERROR(MROUND(tblPiNAnalysis[[#This Row],[Mine Action]]/tblPiNAnalysis[[#This Row],[Affected population projection 2026]], 0.05), "")</f>
        <v>0.1</v>
      </c>
      <c r="AH132" s="322">
        <f>IFERROR(MROUND(tblPiNAnalysis[[#This Row],[HLP]]/tblPiNAnalysis[[#This Row],[Affected population projection 2026]], 0.05), "")</f>
        <v>0</v>
      </c>
      <c r="AI132" s="325">
        <f>IFERROR(LARGE(tblPiNAnalysis[[#This Row],[CCCM]:[WASH]], 1), "")</f>
        <v>42844.432552221973</v>
      </c>
      <c r="AJ132" s="326" t="str" cm="1">
        <f t="array" ref="AJ132">IF(tblPiNAnalysis[[#This Row],[Highest PiN]]="", "", _xlfn.TEXTJOIN(CHAR(10), TRUE, IF(tblPiNAnalysis[[#This Row],[Highest PiN]]=tblPiNAnalysis[[#This Row],[CCCM]:[WASH]], tblPiNAnalysis[[#Headers],[CCCM]:[WASH]], "")))</f>
        <v>WASH</v>
      </c>
      <c r="AK132" s="327">
        <f>IF(tblPiNAnalysis[[#This Row],[Highest PiN]]="", "", tblPiNAnalysis[[#This Row],[Highest PiN]]/tblPiNAnalysis[[#This Row],[Affected population projection 2026]])</f>
        <v>0.95412844036697264</v>
      </c>
      <c r="AL132" s="328" t="str">
        <f>IF(SUM(tblPiNAnalysis[[#This Row],[CCCM]:[WASH]])=0, "",IF(COUNTIF(tblPiNAnalysis[[#This Row],[CCCM]:[WASH]],"=0")+COUNTIF(tblPiNAnalysis[[#This Row],[CCCM]:[WASH]],"")&gt;=zero_pin_thresh, "Flagged", ""))</f>
        <v/>
      </c>
      <c r="AM132" s="329" t="str">
        <f>IFERROR(IF(tblPiNAnalysis[[#This Row],[Highest PiN]]="", "", IF(tblPiNAnalysis[[#This Row],[Highest sector(s'') PiN %]]&gt;=flag_pin_perc, "Flagged", "")), "")</f>
        <v>Flagged</v>
      </c>
      <c r="AN132" s="330" t="str" cm="1">
        <f t="array" ref="AN132">IF(tblPiNAnalysis[[#This Row],[Highest PiN]]=0, "",  IF(OR(COUNTIF(tblPiNAnalysis[[#This Row],[Highest sector(s)]],tblSubSectorPopulation[Sector])), "Flagged", ""))</f>
        <v/>
      </c>
      <c r="AO132" s="46" cm="1">
        <f t="array" ref="AO1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31093.426343821713</v>
      </c>
      <c r="AP132" s="331" t="str" cm="1">
        <f t="array" ref="AP132">IF(tblPiNAnalysis[[#This Row],[2nd Highest PiN]]="", "", _xlfn.TEXTJOIN(CHAR(10), TRUE, IF(tblPiNAnalysis[[#This Row],[2nd Highest PiN]]=tblPiNAnalysis[[#This Row],[CCCM]:[WASH]], tblPiNAnalysis[[#Headers],[CCCM]:[WASH]], "")))</f>
        <v>Food Security</v>
      </c>
      <c r="AQ132" s="36">
        <f>IFERROR(tblPiNAnalysis[[#This Row],[2nd Highest PiN]]/tblPiNAnalysis[[#This Row],[Affected population projection 2026]], "")</f>
        <v>0.69243821462532995</v>
      </c>
      <c r="AR132" s="46">
        <f>IFERROR(tblPiNAnalysis[[#This Row],[Highest PiN]]-tblPiNAnalysis[[#This Row],[2nd Highest PiN]], "")</f>
        <v>11751.00620840026</v>
      </c>
      <c r="AS132" s="39">
        <f>IFERROR(((tblPiNAnalysis[[#This Row],[Highest PiN]]-tblPiNAnalysis[[#This Row],[2nd Highest PiN]])/tblPiNAnalysis[[#This Row],[2nd Highest PiN]]),"")</f>
        <v>0.37792574155260938</v>
      </c>
      <c r="AT132" s="39" t="str" cm="1">
        <f t="array" ref="AT1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2" s="332" cm="1">
        <f t="array" ref="AU1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26343.83314364828</v>
      </c>
      <c r="AV132" s="190" t="str" cm="1">
        <f t="array" ref="AV132">IF(tblPiNAnalysis[[#This Row],[3rd Highest PiN]]="", "", _xlfn.TEXTJOIN(CHAR(10), TRUE, IF(tblPiNAnalysis[[#This Row],[3rd Highest PiN]]=tblPiNAnalysis[[#This Row],[CCCM]:[WASH]], tblPiNAnalysis[[#Headers],[CCCM]:[WASH]], "")))</f>
        <v>Shelter</v>
      </c>
      <c r="AW132" s="190">
        <f>IFERROR(tblPiNAnalysis[[#This Row],[3rd Highest PiN]]/tblPiNAnalysis[[#This Row],[Affected population projection 2026]], "")</f>
        <v>0.58666666666666678</v>
      </c>
      <c r="AX132" s="45">
        <f>IFERROR(tblPiNAnalysis[[#This Row],[Highest PiN]]-tblPiNAnalysis[[#This Row],[3rd Highest PiN]],"")</f>
        <v>16500.599408573693</v>
      </c>
      <c r="AY132" s="39">
        <f>IFERROR(tblPiNAnalysis[[#This Row],[Difference of PiN between Highest and 3rd Highest]]/tblPiNAnalysis[[#This Row],[3rd Highest PiN]], "")</f>
        <v>0.62635529608006668</v>
      </c>
      <c r="AZ132" s="330" t="str" cm="1">
        <f t="array" ref="AZ1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2" s="300" t="str" cm="1">
        <f t="array" ref="BA132">IFERROR(IF(tblPiNAnalysis[[#This Row],[ID]]="", "", INDEX(tblPiNHistorical[[CCCM]:[WASH]], MATCH(tblPiNAnalysis[[#This Row],[ID]],tblPiNHistorical[ID], 0),MATCH(_xlfn._xlws.FILTER(tblPiNAnalysis[[#Headers],[CCCM]:[WASH]], tblPiNAnalysis[[#This Row],[Highest PiN]]=tblPiNAnalysis[[#This Row],[CCCM]:[WASH]]), tblPiNHistorical[[#Headers],[CCCM]:[WASH]], 0))), "")</f>
        <v/>
      </c>
      <c r="BB132" s="333" t="str" cm="1">
        <f t="array" ref="BB1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2" s="276" t="str" cm="1">
        <f t="array" ref="BC13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2" s="334" t="str" cm="1">
        <f t="array" ref="BD1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2" s="276">
        <f>INDEX(tblSeverityAnalysis[Final Severity], MATCH(tblPiNAnalysis[[#This Row],[ID]],tblSeverityAnalysis[ID], 0))</f>
        <v>4</v>
      </c>
      <c r="BF132" s="61">
        <f>IF(tblPiNAnalysis[[#This Row],[Severity]]&gt;2,tblPiNAnalysis[[#This Row],[Highest PiN]],)</f>
        <v>42844.432552221973</v>
      </c>
      <c r="BG132" s="191"/>
      <c r="BH132" s="192"/>
      <c r="BI132" s="193">
        <f>COUNTIFS(tblPiNAnalysis[[#This Row],[Number of missing / zero PiNs greater than threshold - Data quality]:[Manual Flag]],"Flagged")</f>
        <v>3</v>
      </c>
      <c r="BJ132" s="96" t="str">
        <f>IF(tblPiNAnalysis[[#This Row],['# Flags]]&gt;0, "Flagged", "")</f>
        <v>Flagged</v>
      </c>
      <c r="BK132" s="326">
        <f>tblPiNAnalysis[[#This Row],[Preliminary PiN]]</f>
        <v>42844.432552221973</v>
      </c>
      <c r="BL132" s="331"/>
    </row>
    <row r="133" spans="1:64" x14ac:dyDescent="0.55000000000000004">
      <c r="A13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SS0703</v>
      </c>
      <c r="B133" s="316" t="s">
        <v>342</v>
      </c>
      <c r="C133" s="317" t="s">
        <v>343</v>
      </c>
      <c r="D133" s="317" t="s">
        <v>348</v>
      </c>
      <c r="E133" s="105" t="s">
        <v>349</v>
      </c>
      <c r="F133" s="100"/>
      <c r="G133" s="34"/>
      <c r="H133" s="34"/>
      <c r="I133" s="97">
        <v>45380.431986163101</v>
      </c>
      <c r="J133" s="97" t="s">
        <v>413</v>
      </c>
      <c r="K133" s="318"/>
      <c r="L133" s="319">
        <v>15635.442107160614</v>
      </c>
      <c r="M133" s="319">
        <v>20242.562350459291</v>
      </c>
      <c r="N133" s="319">
        <v>41276.978594476866</v>
      </c>
      <c r="O133" s="319">
        <v>19708.202090667717</v>
      </c>
      <c r="P133" s="319">
        <v>15536</v>
      </c>
      <c r="Q133" s="320">
        <v>44682.271494068285</v>
      </c>
      <c r="R133" s="319">
        <v>15404.366820991147</v>
      </c>
      <c r="S133" s="319">
        <v>14115</v>
      </c>
      <c r="T133" s="319">
        <v>9926</v>
      </c>
      <c r="U133" s="319">
        <v>1619</v>
      </c>
      <c r="V133" s="319">
        <v>897</v>
      </c>
      <c r="W133" s="321" t="str">
        <f>IFERROR(IF(tblPiNAnalysis[[#This Row],[CCCM]]="", "", MROUND(tblPiNAnalysis[[#This Row],[CCCM]]/tblPiNAnalysis[[#This Row],[Affected population projection 2026]], 0.05)), "")</f>
        <v/>
      </c>
      <c r="X133" s="322">
        <f>IFERROR(IF(tblPiNAnalysis[[#This Row],[Education]]="", "", MROUND(tblPiNAnalysis[[#This Row],[Education]]/tblPiNAnalysis[[#This Row],[Affected population projection 2026]], 0.05)), "")</f>
        <v>0.35000000000000003</v>
      </c>
      <c r="Y133" s="322">
        <f>IFERROR(IF(tblPiNAnalysis[[#This Row],[Nutrition]]="", "", MROUND(tblPiNAnalysis[[#This Row],[Nutrition]]/tblPiNAnalysis[[#This Row],[Affected population projection 2026]], 0.05)), "")</f>
        <v>0.45</v>
      </c>
      <c r="Z133" s="322">
        <f>IFERROR(IF(tblPiNAnalysis[[#This Row],[Food Security]]="", "", MROUND(tblPiNAnalysis[[#This Row],[Food Security]]/tblPiNAnalysis[[#This Row],[Affected population projection 2026]], 0.05)), "")</f>
        <v>0.9</v>
      </c>
      <c r="AA133" s="322">
        <f>IFERROR(IF(tblPiNAnalysis[[#This Row],[Health]]="", "", MROUND(tblPiNAnalysis[[#This Row],[Health]]/tblPiNAnalysis[[#This Row],[Affected population projection 2026]], 0.05)), "")</f>
        <v>0.45</v>
      </c>
      <c r="AB133" s="323">
        <f>IFERROR(IF(tblPiNAnalysis[[#This Row],[Overarching Protection]]="", "", MROUND(tblPiNAnalysis[[#This Row],[Overarching Protection]]/tblPiNAnalysis[[#This Row],[Affected population projection 2026]], 0.05)), "")</f>
        <v>0.35000000000000003</v>
      </c>
      <c r="AC133" s="323">
        <f>IFERROR(IF(tblPiNAnalysis[[#This Row],[Shelter]]="", "", MROUND(tblPiNAnalysis[[#This Row],[Shelter]]/tblPiNAnalysis[[#This Row],[Affected population projection 2026]], 0.05)), "")</f>
        <v>1</v>
      </c>
      <c r="AD133" s="324">
        <f>IFERROR(IF(tblPiNAnalysis[[#This Row],[WASH]]="", "", MROUND(tblPiNAnalysis[[#This Row],[WASH]]/tblPiNAnalysis[[#This Row],[Affected population projection 2026]], 0.05)), "")</f>
        <v>0.35000000000000003</v>
      </c>
      <c r="AE133" s="322">
        <f>IFERROR(MROUND(tblPiNAnalysis[[#This Row],[CP]]/tblPiNAnalysis[[#This Row],[Affected population projection 2026]], 0.05), "")</f>
        <v>0.30000000000000004</v>
      </c>
      <c r="AF133" s="322">
        <f>IFERROR(MROUND(tblPiNAnalysis[[#This Row],[GBV]]/tblPiNAnalysis[[#This Row],[Affected population projection 2026]], 0.05), "")</f>
        <v>0.2</v>
      </c>
      <c r="AG133" s="322">
        <f>IFERROR(MROUND(tblPiNAnalysis[[#This Row],[Mine Action]]/tblPiNAnalysis[[#This Row],[Affected population projection 2026]], 0.05), "")</f>
        <v>0.05</v>
      </c>
      <c r="AH133" s="322">
        <f>IFERROR(MROUND(tblPiNAnalysis[[#This Row],[HLP]]/tblPiNAnalysis[[#This Row],[Affected population projection 2026]], 0.05), "")</f>
        <v>0</v>
      </c>
      <c r="AI133" s="325">
        <f>IFERROR(LARGE(tblPiNAnalysis[[#This Row],[CCCM]:[WASH]], 1), "")</f>
        <v>44682.271494068285</v>
      </c>
      <c r="AJ133" s="326" t="str" cm="1">
        <f t="array" ref="AJ133">IF(tblPiNAnalysis[[#This Row],[Highest PiN]]="", "", _xlfn.TEXTJOIN(CHAR(10), TRUE, IF(tblPiNAnalysis[[#This Row],[Highest PiN]]=tblPiNAnalysis[[#This Row],[CCCM]:[WASH]], tblPiNAnalysis[[#Headers],[CCCM]:[WASH]], "")))</f>
        <v>Shelter</v>
      </c>
      <c r="AK133" s="327">
        <f>IF(tblPiNAnalysis[[#This Row],[Highest PiN]]="", "", tblPiNAnalysis[[#This Row],[Highest PiN]]/tblPiNAnalysis[[#This Row],[Affected population projection 2026]])</f>
        <v>0.98461538461538467</v>
      </c>
      <c r="AL133" s="328" t="str">
        <f>IF(SUM(tblPiNAnalysis[[#This Row],[CCCM]:[WASH]])=0, "",IF(COUNTIF(tblPiNAnalysis[[#This Row],[CCCM]:[WASH]],"=0")+COUNTIF(tblPiNAnalysis[[#This Row],[CCCM]:[WASH]],"")&gt;=zero_pin_thresh, "Flagged", ""))</f>
        <v/>
      </c>
      <c r="AM133" s="329" t="str">
        <f>IFERROR(IF(tblPiNAnalysis[[#This Row],[Highest PiN]]="", "", IF(tblPiNAnalysis[[#This Row],[Highest sector(s'') PiN %]]&gt;=flag_pin_perc, "Flagged", "")), "")</f>
        <v>Flagged</v>
      </c>
      <c r="AN133" s="330" t="str" cm="1">
        <f t="array" ref="AN133">IF(tblPiNAnalysis[[#This Row],[Highest PiN]]=0, "",  IF(OR(COUNTIF(tblPiNAnalysis[[#This Row],[Highest sector(s)]],tblSubSectorPopulation[Sector])), "Flagged", ""))</f>
        <v/>
      </c>
      <c r="AO133" s="46" cm="1">
        <f t="array" ref="AO1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41276.978594476866</v>
      </c>
      <c r="AP133" s="331" t="str" cm="1">
        <f t="array" ref="AP133">IF(tblPiNAnalysis[[#This Row],[2nd Highest PiN]]="", "", _xlfn.TEXTJOIN(CHAR(10), TRUE, IF(tblPiNAnalysis[[#This Row],[2nd Highest PiN]]=tblPiNAnalysis[[#This Row],[CCCM]:[WASH]], tblPiNAnalysis[[#Headers],[CCCM]:[WASH]], "")))</f>
        <v>Food Security</v>
      </c>
      <c r="AQ133" s="36">
        <f>IFERROR(tblPiNAnalysis[[#This Row],[2nd Highest PiN]]/tblPiNAnalysis[[#This Row],[Affected population projection 2026]], "")</f>
        <v>0.90957659034763239</v>
      </c>
      <c r="AR133" s="46">
        <f>IFERROR(tblPiNAnalysis[[#This Row],[Highest PiN]]-tblPiNAnalysis[[#This Row],[2nd Highest PiN]], "")</f>
        <v>3405.292899591419</v>
      </c>
      <c r="AS133" s="39">
        <f>IFERROR(((tblPiNAnalysis[[#This Row],[Highest PiN]]-tblPiNAnalysis[[#This Row],[2nd Highest PiN]])/tblPiNAnalysis[[#This Row],[2nd Highest PiN]]),"")</f>
        <v>8.2498598869033254E-2</v>
      </c>
      <c r="AT133" s="39" t="str" cm="1">
        <f t="array" ref="AT1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3" s="332" cm="1">
        <f t="array" ref="AU1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20242.562350459291</v>
      </c>
      <c r="AV133" s="190" t="str" cm="1">
        <f t="array" ref="AV133">IF(tblPiNAnalysis[[#This Row],[3rd Highest PiN]]="", "", _xlfn.TEXTJOIN(CHAR(10), TRUE, IF(tblPiNAnalysis[[#This Row],[3rd Highest PiN]]=tblPiNAnalysis[[#This Row],[CCCM]:[WASH]], tblPiNAnalysis[[#Headers],[CCCM]:[WASH]], "")))</f>
        <v>Nutrition</v>
      </c>
      <c r="AW133" s="190">
        <f>IFERROR(tblPiNAnalysis[[#This Row],[3rd Highest PiN]]/tblPiNAnalysis[[#This Row],[Affected population projection 2026]], "")</f>
        <v>0.44606367688680065</v>
      </c>
      <c r="AX133" s="45">
        <f>IFERROR(tblPiNAnalysis[[#This Row],[Highest PiN]]-tblPiNAnalysis[[#This Row],[3rd Highest PiN]],"")</f>
        <v>24439.709143608994</v>
      </c>
      <c r="AY133" s="39">
        <f>IFERROR(tblPiNAnalysis[[#This Row],[Difference of PiN between Highest and 3rd Highest]]/tblPiNAnalysis[[#This Row],[3rd Highest PiN]], "")</f>
        <v>1.2073426634674276</v>
      </c>
      <c r="AZ133" s="330" t="str" cm="1">
        <f t="array" ref="AZ1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3" s="300" t="str" cm="1">
        <f t="array" ref="BA133">IFERROR(IF(tblPiNAnalysis[[#This Row],[ID]]="", "", INDEX(tblPiNHistorical[[CCCM]:[WASH]], MATCH(tblPiNAnalysis[[#This Row],[ID]],tblPiNHistorical[ID], 0),MATCH(_xlfn._xlws.FILTER(tblPiNAnalysis[[#Headers],[CCCM]:[WASH]], tblPiNAnalysis[[#This Row],[Highest PiN]]=tblPiNAnalysis[[#This Row],[CCCM]:[WASH]]), tblPiNHistorical[[#Headers],[CCCM]:[WASH]], 0))), "")</f>
        <v/>
      </c>
      <c r="BB133" s="333" t="str" cm="1">
        <f t="array" ref="BB1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3" s="276" t="str" cm="1">
        <f t="array" ref="BC13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3" s="334" t="str" cm="1">
        <f t="array" ref="BD1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3" s="276">
        <f>INDEX(tblSeverityAnalysis[Final Severity], MATCH(tblPiNAnalysis[[#This Row],[ID]],tblSeverityAnalysis[ID], 0))</f>
        <v>4</v>
      </c>
      <c r="BF133" s="61">
        <f>IF(tblPiNAnalysis[[#This Row],[Severity]]&gt;2,tblPiNAnalysis[[#This Row],[Highest PiN]],)</f>
        <v>44682.271494068285</v>
      </c>
      <c r="BG133" s="191"/>
      <c r="BH133" s="192"/>
      <c r="BI133" s="193">
        <f>COUNTIFS(tblPiNAnalysis[[#This Row],[Number of missing / zero PiNs greater than threshold - Data quality]:[Manual Flag]],"Flagged")</f>
        <v>2</v>
      </c>
      <c r="BJ133" s="96" t="str">
        <f>IF(tblPiNAnalysis[[#This Row],['# Flags]]&gt;0, "Flagged", "")</f>
        <v>Flagged</v>
      </c>
      <c r="BK133" s="326">
        <f>tblPiNAnalysis[[#This Row],[Preliminary PiN]]</f>
        <v>44682.271494068285</v>
      </c>
      <c r="BL133" s="331"/>
    </row>
    <row r="134" spans="1:64" x14ac:dyDescent="0.55000000000000004">
      <c r="A13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SS0704</v>
      </c>
      <c r="B134" s="316" t="s">
        <v>342</v>
      </c>
      <c r="C134" s="317" t="s">
        <v>343</v>
      </c>
      <c r="D134" s="317" t="s">
        <v>350</v>
      </c>
      <c r="E134" s="105" t="s">
        <v>351</v>
      </c>
      <c r="F134" s="100"/>
      <c r="G134" s="34"/>
      <c r="H134" s="34"/>
      <c r="I134" s="97">
        <v>117681.01108725299</v>
      </c>
      <c r="J134" s="97" t="s">
        <v>413</v>
      </c>
      <c r="K134" s="318"/>
      <c r="L134" s="319">
        <v>28749.294487099272</v>
      </c>
      <c r="M134" s="319">
        <v>57693.046309471312</v>
      </c>
      <c r="N134" s="319">
        <v>105812.41394139855</v>
      </c>
      <c r="O134" s="319">
        <v>72667.747514712275</v>
      </c>
      <c r="P134" s="319">
        <v>40354</v>
      </c>
      <c r="Q134" s="320">
        <v>39227.003695750995</v>
      </c>
      <c r="R134" s="319">
        <v>88260.758315439714</v>
      </c>
      <c r="S134" s="319">
        <v>35161</v>
      </c>
      <c r="T134" s="319">
        <v>25788</v>
      </c>
      <c r="U134" s="319">
        <v>27994</v>
      </c>
      <c r="V134" s="319">
        <v>2581</v>
      </c>
      <c r="W134" s="321" t="str">
        <f>IFERROR(IF(tblPiNAnalysis[[#This Row],[CCCM]]="", "", MROUND(tblPiNAnalysis[[#This Row],[CCCM]]/tblPiNAnalysis[[#This Row],[Affected population projection 2026]], 0.05)), "")</f>
        <v/>
      </c>
      <c r="X134" s="322">
        <f>IFERROR(IF(tblPiNAnalysis[[#This Row],[Education]]="", "", MROUND(tblPiNAnalysis[[#This Row],[Education]]/tblPiNAnalysis[[#This Row],[Affected population projection 2026]], 0.05)), "")</f>
        <v>0.25</v>
      </c>
      <c r="Y134" s="322">
        <f>IFERROR(IF(tblPiNAnalysis[[#This Row],[Nutrition]]="", "", MROUND(tblPiNAnalysis[[#This Row],[Nutrition]]/tblPiNAnalysis[[#This Row],[Affected population projection 2026]], 0.05)), "")</f>
        <v>0.5</v>
      </c>
      <c r="Z134" s="322">
        <f>IFERROR(IF(tblPiNAnalysis[[#This Row],[Food Security]]="", "", MROUND(tblPiNAnalysis[[#This Row],[Food Security]]/tblPiNAnalysis[[#This Row],[Affected population projection 2026]], 0.05)), "")</f>
        <v>0.9</v>
      </c>
      <c r="AA134" s="322">
        <f>IFERROR(IF(tblPiNAnalysis[[#This Row],[Health]]="", "", MROUND(tblPiNAnalysis[[#This Row],[Health]]/tblPiNAnalysis[[#This Row],[Affected population projection 2026]], 0.05)), "")</f>
        <v>0.60000000000000009</v>
      </c>
      <c r="AB134" s="323">
        <f>IFERROR(IF(tblPiNAnalysis[[#This Row],[Overarching Protection]]="", "", MROUND(tblPiNAnalysis[[#This Row],[Overarching Protection]]/tblPiNAnalysis[[#This Row],[Affected population projection 2026]], 0.05)), "")</f>
        <v>0.35000000000000003</v>
      </c>
      <c r="AC134" s="323">
        <f>IFERROR(IF(tblPiNAnalysis[[#This Row],[Shelter]]="", "", MROUND(tblPiNAnalysis[[#This Row],[Shelter]]/tblPiNAnalysis[[#This Row],[Affected population projection 2026]], 0.05)), "")</f>
        <v>0.35000000000000003</v>
      </c>
      <c r="AD134" s="324">
        <f>IFERROR(IF(tblPiNAnalysis[[#This Row],[WASH]]="", "", MROUND(tblPiNAnalysis[[#This Row],[WASH]]/tblPiNAnalysis[[#This Row],[Affected population projection 2026]], 0.05)), "")</f>
        <v>0.75</v>
      </c>
      <c r="AE134" s="322">
        <f>IFERROR(MROUND(tblPiNAnalysis[[#This Row],[CP]]/tblPiNAnalysis[[#This Row],[Affected population projection 2026]], 0.05), "")</f>
        <v>0.30000000000000004</v>
      </c>
      <c r="AF134" s="322">
        <f>IFERROR(MROUND(tblPiNAnalysis[[#This Row],[GBV]]/tblPiNAnalysis[[#This Row],[Affected population projection 2026]], 0.05), "")</f>
        <v>0.2</v>
      </c>
      <c r="AG134" s="322">
        <f>IFERROR(MROUND(tblPiNAnalysis[[#This Row],[Mine Action]]/tblPiNAnalysis[[#This Row],[Affected population projection 2026]], 0.05), "")</f>
        <v>0.25</v>
      </c>
      <c r="AH134" s="322">
        <f>IFERROR(MROUND(tblPiNAnalysis[[#This Row],[HLP]]/tblPiNAnalysis[[#This Row],[Affected population projection 2026]], 0.05), "")</f>
        <v>0</v>
      </c>
      <c r="AI134" s="325">
        <f>IFERROR(LARGE(tblPiNAnalysis[[#This Row],[CCCM]:[WASH]], 1), "")</f>
        <v>105812.41394139855</v>
      </c>
      <c r="AJ134" s="326" t="str" cm="1">
        <f t="array" ref="AJ134">IF(tblPiNAnalysis[[#This Row],[Highest PiN]]="", "", _xlfn.TEXTJOIN(CHAR(10), TRUE, IF(tblPiNAnalysis[[#This Row],[Highest PiN]]=tblPiNAnalysis[[#This Row],[CCCM]:[WASH]], tblPiNAnalysis[[#Headers],[CCCM]:[WASH]], "")))</f>
        <v>Food Security</v>
      </c>
      <c r="AK134" s="327">
        <f>IF(tblPiNAnalysis[[#This Row],[Highest PiN]]="", "", tblPiNAnalysis[[#This Row],[Highest PiN]]/tblPiNAnalysis[[#This Row],[Affected population projection 2026]])</f>
        <v>0.8991460301351879</v>
      </c>
      <c r="AL134" s="328" t="str">
        <f>IF(SUM(tblPiNAnalysis[[#This Row],[CCCM]:[WASH]])=0, "",IF(COUNTIF(tblPiNAnalysis[[#This Row],[CCCM]:[WASH]],"=0")+COUNTIF(tblPiNAnalysis[[#This Row],[CCCM]:[WASH]],"")&gt;=zero_pin_thresh, "Flagged", ""))</f>
        <v/>
      </c>
      <c r="AM134" s="329" t="str">
        <f>IFERROR(IF(tblPiNAnalysis[[#This Row],[Highest PiN]]="", "", IF(tblPiNAnalysis[[#This Row],[Highest sector(s'') PiN %]]&gt;=flag_pin_perc, "Flagged", "")), "")</f>
        <v/>
      </c>
      <c r="AN134" s="330" t="str" cm="1">
        <f t="array" ref="AN134">IF(tblPiNAnalysis[[#This Row],[Highest PiN]]=0, "",  IF(OR(COUNTIF(tblPiNAnalysis[[#This Row],[Highest sector(s)]],tblSubSectorPopulation[Sector])), "Flagged", ""))</f>
        <v/>
      </c>
      <c r="AO134" s="46" cm="1">
        <f t="array" ref="AO1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88260.758315439714</v>
      </c>
      <c r="AP134" s="331" t="str" cm="1">
        <f t="array" ref="AP134">IF(tblPiNAnalysis[[#This Row],[2nd Highest PiN]]="", "", _xlfn.TEXTJOIN(CHAR(10), TRUE, IF(tblPiNAnalysis[[#This Row],[2nd Highest PiN]]=tblPiNAnalysis[[#This Row],[CCCM]:[WASH]], tblPiNAnalysis[[#Headers],[CCCM]:[WASH]], "")))</f>
        <v>WASH</v>
      </c>
      <c r="AQ134" s="36">
        <f>IFERROR(tblPiNAnalysis[[#This Row],[2nd Highest PiN]]/tblPiNAnalysis[[#This Row],[Affected population projection 2026]], "")</f>
        <v>0.74999999999999978</v>
      </c>
      <c r="AR134" s="46">
        <f>IFERROR(tblPiNAnalysis[[#This Row],[Highest PiN]]-tblPiNAnalysis[[#This Row],[2nd Highest PiN]], "")</f>
        <v>17551.65562595884</v>
      </c>
      <c r="AS134" s="39">
        <f>IFERROR(((tblPiNAnalysis[[#This Row],[Highest PiN]]-tblPiNAnalysis[[#This Row],[2nd Highest PiN]])/tblPiNAnalysis[[#This Row],[2nd Highest PiN]]),"")</f>
        <v>0.19886137351358421</v>
      </c>
      <c r="AT134" s="39" t="str" cm="1">
        <f t="array" ref="AT1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4" s="332" cm="1">
        <f t="array" ref="AU1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72667.747514712275</v>
      </c>
      <c r="AV134" s="190" t="str" cm="1">
        <f t="array" ref="AV134">IF(tblPiNAnalysis[[#This Row],[3rd Highest PiN]]="", "", _xlfn.TEXTJOIN(CHAR(10), TRUE, IF(tblPiNAnalysis[[#This Row],[3rd Highest PiN]]=tblPiNAnalysis[[#This Row],[CCCM]:[WASH]], tblPiNAnalysis[[#Headers],[CCCM]:[WASH]], "")))</f>
        <v>Health</v>
      </c>
      <c r="AW134" s="190">
        <f>IFERROR(tblPiNAnalysis[[#This Row],[3rd Highest PiN]]/tblPiNAnalysis[[#This Row],[Affected population projection 2026]], "")</f>
        <v>0.61749764760972148</v>
      </c>
      <c r="AX134" s="45">
        <f>IFERROR(tblPiNAnalysis[[#This Row],[Highest PiN]]-tblPiNAnalysis[[#This Row],[3rd Highest PiN]],"")</f>
        <v>33144.666426686279</v>
      </c>
      <c r="AY134" s="39">
        <f>IFERROR(tblPiNAnalysis[[#This Row],[Difference of PiN between Highest and 3rd Highest]]/tblPiNAnalysis[[#This Row],[3rd Highest PiN]], "")</f>
        <v>0.45611247851016473</v>
      </c>
      <c r="AZ134" s="330" t="str" cm="1">
        <f t="array" ref="AZ1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4" s="300" t="str" cm="1">
        <f t="array" ref="BA134">IFERROR(IF(tblPiNAnalysis[[#This Row],[ID]]="", "", INDEX(tblPiNHistorical[[CCCM]:[WASH]], MATCH(tblPiNAnalysis[[#This Row],[ID]],tblPiNHistorical[ID], 0),MATCH(_xlfn._xlws.FILTER(tblPiNAnalysis[[#Headers],[CCCM]:[WASH]], tblPiNAnalysis[[#This Row],[Highest PiN]]=tblPiNAnalysis[[#This Row],[CCCM]:[WASH]]), tblPiNHistorical[[#Headers],[CCCM]:[WASH]], 0))), "")</f>
        <v/>
      </c>
      <c r="BB134" s="333" t="str" cm="1">
        <f t="array" ref="BB1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4" s="276" t="str" cm="1">
        <f t="array" ref="BC13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4" s="334" t="str" cm="1">
        <f t="array" ref="BD1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4" s="276">
        <f>INDEX(tblSeverityAnalysis[Final Severity], MATCH(tblPiNAnalysis[[#This Row],[ID]],tblSeverityAnalysis[ID], 0))</f>
        <v>5</v>
      </c>
      <c r="BF134" s="61">
        <f>IF(tblPiNAnalysis[[#This Row],[Severity]]&gt;2,tblPiNAnalysis[[#This Row],[Highest PiN]],)</f>
        <v>105812.41394139855</v>
      </c>
      <c r="BG134" s="191"/>
      <c r="BH134" s="192"/>
      <c r="BI134" s="193">
        <f>COUNTIFS(tblPiNAnalysis[[#This Row],[Number of missing / zero PiNs greater than threshold - Data quality]:[Manual Flag]],"Flagged")</f>
        <v>0</v>
      </c>
      <c r="BJ134" s="96" t="str">
        <f>IF(tblPiNAnalysis[[#This Row],['# Flags]]&gt;0, "Flagged", "")</f>
        <v/>
      </c>
      <c r="BK134" s="326">
        <f>tblPiNAnalysis[[#This Row],[Preliminary PiN]]</f>
        <v>105812.41394139855</v>
      </c>
      <c r="BL134" s="331"/>
    </row>
    <row r="135" spans="1:64" x14ac:dyDescent="0.55000000000000004">
      <c r="A13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SS0705</v>
      </c>
      <c r="B135" s="316" t="s">
        <v>342</v>
      </c>
      <c r="C135" s="317" t="s">
        <v>343</v>
      </c>
      <c r="D135" s="317" t="s">
        <v>352</v>
      </c>
      <c r="E135" s="105" t="s">
        <v>353</v>
      </c>
      <c r="F135" s="100"/>
      <c r="G135" s="34"/>
      <c r="H135" s="34"/>
      <c r="I135" s="97">
        <v>54056.787582147139</v>
      </c>
      <c r="J135" s="97" t="s">
        <v>413</v>
      </c>
      <c r="K135" s="318"/>
      <c r="L135" s="319">
        <v>18618.536091374819</v>
      </c>
      <c r="M135" s="319">
        <v>21954.392708159565</v>
      </c>
      <c r="N135" s="319">
        <v>35213.296640527828</v>
      </c>
      <c r="O135" s="319">
        <v>30749.321701969897</v>
      </c>
      <c r="P135" s="319">
        <v>17593</v>
      </c>
      <c r="Q135" s="320">
        <v>29939.143891650725</v>
      </c>
      <c r="R135" s="319">
        <v>27028.393791073569</v>
      </c>
      <c r="S135" s="319">
        <v>7325</v>
      </c>
      <c r="T135" s="319">
        <v>7988</v>
      </c>
      <c r="U135" s="319">
        <v>16318</v>
      </c>
      <c r="V135" s="319">
        <v>527</v>
      </c>
      <c r="W135" s="321" t="str">
        <f>IFERROR(IF(tblPiNAnalysis[[#This Row],[CCCM]]="", "", MROUND(tblPiNAnalysis[[#This Row],[CCCM]]/tblPiNAnalysis[[#This Row],[Affected population projection 2026]], 0.05)), "")</f>
        <v/>
      </c>
      <c r="X135" s="322">
        <f>IFERROR(IF(tblPiNAnalysis[[#This Row],[Education]]="", "", MROUND(tblPiNAnalysis[[#This Row],[Education]]/tblPiNAnalysis[[#This Row],[Affected population projection 2026]], 0.05)), "")</f>
        <v>0.35000000000000003</v>
      </c>
      <c r="Y135" s="322">
        <f>IFERROR(IF(tblPiNAnalysis[[#This Row],[Nutrition]]="", "", MROUND(tblPiNAnalysis[[#This Row],[Nutrition]]/tblPiNAnalysis[[#This Row],[Affected population projection 2026]], 0.05)), "")</f>
        <v>0.4</v>
      </c>
      <c r="Z135" s="322">
        <f>IFERROR(IF(tblPiNAnalysis[[#This Row],[Food Security]]="", "", MROUND(tblPiNAnalysis[[#This Row],[Food Security]]/tblPiNAnalysis[[#This Row],[Affected population projection 2026]], 0.05)), "")</f>
        <v>0.65</v>
      </c>
      <c r="AA135" s="322">
        <f>IFERROR(IF(tblPiNAnalysis[[#This Row],[Health]]="", "", MROUND(tblPiNAnalysis[[#This Row],[Health]]/tblPiNAnalysis[[#This Row],[Affected population projection 2026]], 0.05)), "")</f>
        <v>0.55000000000000004</v>
      </c>
      <c r="AB135" s="323">
        <f>IFERROR(IF(tblPiNAnalysis[[#This Row],[Overarching Protection]]="", "", MROUND(tblPiNAnalysis[[#This Row],[Overarching Protection]]/tblPiNAnalysis[[#This Row],[Affected population projection 2026]], 0.05)), "")</f>
        <v>0.35000000000000003</v>
      </c>
      <c r="AC135" s="323">
        <f>IFERROR(IF(tblPiNAnalysis[[#This Row],[Shelter]]="", "", MROUND(tblPiNAnalysis[[#This Row],[Shelter]]/tblPiNAnalysis[[#This Row],[Affected population projection 2026]], 0.05)), "")</f>
        <v>0.55000000000000004</v>
      </c>
      <c r="AD135" s="324">
        <f>IFERROR(IF(tblPiNAnalysis[[#This Row],[WASH]]="", "", MROUND(tblPiNAnalysis[[#This Row],[WASH]]/tblPiNAnalysis[[#This Row],[Affected population projection 2026]], 0.05)), "")</f>
        <v>0.5</v>
      </c>
      <c r="AE135" s="322">
        <f>IFERROR(MROUND(tblPiNAnalysis[[#This Row],[CP]]/tblPiNAnalysis[[#This Row],[Affected population projection 2026]], 0.05), "")</f>
        <v>0.15000000000000002</v>
      </c>
      <c r="AF135" s="322">
        <f>IFERROR(MROUND(tblPiNAnalysis[[#This Row],[GBV]]/tblPiNAnalysis[[#This Row],[Affected population projection 2026]], 0.05), "")</f>
        <v>0.15000000000000002</v>
      </c>
      <c r="AG135" s="322">
        <f>IFERROR(MROUND(tblPiNAnalysis[[#This Row],[Mine Action]]/tblPiNAnalysis[[#This Row],[Affected population projection 2026]], 0.05), "")</f>
        <v>0.30000000000000004</v>
      </c>
      <c r="AH135" s="322">
        <f>IFERROR(MROUND(tblPiNAnalysis[[#This Row],[HLP]]/tblPiNAnalysis[[#This Row],[Affected population projection 2026]], 0.05), "")</f>
        <v>0</v>
      </c>
      <c r="AI135" s="325">
        <f>IFERROR(LARGE(tblPiNAnalysis[[#This Row],[CCCM]:[WASH]], 1), "")</f>
        <v>35213.296640527828</v>
      </c>
      <c r="AJ135" s="326" t="str" cm="1">
        <f t="array" ref="AJ135">IF(tblPiNAnalysis[[#This Row],[Highest PiN]]="", "", _xlfn.TEXTJOIN(CHAR(10), TRUE, IF(tblPiNAnalysis[[#This Row],[Highest PiN]]=tblPiNAnalysis[[#This Row],[CCCM]:[WASH]], tblPiNAnalysis[[#Headers],[CCCM]:[WASH]], "")))</f>
        <v>Food Security</v>
      </c>
      <c r="AK135" s="327">
        <f>IF(tblPiNAnalysis[[#This Row],[Highest PiN]]="", "", tblPiNAnalysis[[#This Row],[Highest PiN]]/tblPiNAnalysis[[#This Row],[Affected population projection 2026]])</f>
        <v>0.65141304571634251</v>
      </c>
      <c r="AL135" s="328" t="str">
        <f>IF(SUM(tblPiNAnalysis[[#This Row],[CCCM]:[WASH]])=0, "",IF(COUNTIF(tblPiNAnalysis[[#This Row],[CCCM]:[WASH]],"=0")+COUNTIF(tblPiNAnalysis[[#This Row],[CCCM]:[WASH]],"")&gt;=zero_pin_thresh, "Flagged", ""))</f>
        <v/>
      </c>
      <c r="AM135" s="329" t="str">
        <f>IFERROR(IF(tblPiNAnalysis[[#This Row],[Highest PiN]]="", "", IF(tblPiNAnalysis[[#This Row],[Highest sector(s'') PiN %]]&gt;=flag_pin_perc, "Flagged", "")), "")</f>
        <v/>
      </c>
      <c r="AN135" s="330" t="str" cm="1">
        <f t="array" ref="AN135">IF(tblPiNAnalysis[[#This Row],[Highest PiN]]=0, "",  IF(OR(COUNTIF(tblPiNAnalysis[[#This Row],[Highest sector(s)]],tblSubSectorPopulation[Sector])), "Flagged", ""))</f>
        <v/>
      </c>
      <c r="AO135" s="46" cm="1">
        <f t="array" ref="AO1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30749.321701969897</v>
      </c>
      <c r="AP135" s="331" t="str" cm="1">
        <f t="array" ref="AP135">IF(tblPiNAnalysis[[#This Row],[2nd Highest PiN]]="", "", _xlfn.TEXTJOIN(CHAR(10), TRUE, IF(tblPiNAnalysis[[#This Row],[2nd Highest PiN]]=tblPiNAnalysis[[#This Row],[CCCM]:[WASH]], tblPiNAnalysis[[#Headers],[CCCM]:[WASH]], "")))</f>
        <v>Health</v>
      </c>
      <c r="AQ135" s="36">
        <f>IFERROR(tblPiNAnalysis[[#This Row],[2nd Highest PiN]]/tblPiNAnalysis[[#This Row],[Affected population projection 2026]], "")</f>
        <v>0.56883368541354473</v>
      </c>
      <c r="AR135" s="46">
        <f>IFERROR(tblPiNAnalysis[[#This Row],[Highest PiN]]-tblPiNAnalysis[[#This Row],[2nd Highest PiN]], "")</f>
        <v>4463.9749385579307</v>
      </c>
      <c r="AS135" s="39">
        <f>IFERROR(((tblPiNAnalysis[[#This Row],[Highest PiN]]-tblPiNAnalysis[[#This Row],[2nd Highest PiN]])/tblPiNAnalysis[[#This Row],[2nd Highest PiN]]),"")</f>
        <v>0.14517311899832752</v>
      </c>
      <c r="AT135" s="39" t="str" cm="1">
        <f t="array" ref="AT1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5" s="332" cm="1">
        <f t="array" ref="AU1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29939.143891650725</v>
      </c>
      <c r="AV135" s="190" t="str" cm="1">
        <f t="array" ref="AV135">IF(tblPiNAnalysis[[#This Row],[3rd Highest PiN]]="", "", _xlfn.TEXTJOIN(CHAR(10), TRUE, IF(tblPiNAnalysis[[#This Row],[3rd Highest PiN]]=tblPiNAnalysis[[#This Row],[CCCM]:[WASH]], tblPiNAnalysis[[#Headers],[CCCM]:[WASH]], "")))</f>
        <v>Shelter</v>
      </c>
      <c r="AW135" s="190">
        <f>IFERROR(tblPiNAnalysis[[#This Row],[3rd Highest PiN]]/tblPiNAnalysis[[#This Row],[Affected population projection 2026]], "")</f>
        <v>0.55384615384615388</v>
      </c>
      <c r="AX135" s="45">
        <f>IFERROR(tblPiNAnalysis[[#This Row],[Highest PiN]]-tblPiNAnalysis[[#This Row],[3rd Highest PiN]],"")</f>
        <v>5274.1527488771026</v>
      </c>
      <c r="AY135" s="39">
        <f>IFERROR(tblPiNAnalysis[[#This Row],[Difference of PiN between Highest and 3rd Highest]]/tblPiNAnalysis[[#This Row],[3rd Highest PiN]], "")</f>
        <v>0.17616244365450714</v>
      </c>
      <c r="AZ135" s="330" t="str" cm="1">
        <f t="array" ref="AZ1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5" s="300" t="str" cm="1">
        <f t="array" ref="BA135">IFERROR(IF(tblPiNAnalysis[[#This Row],[ID]]="", "", INDEX(tblPiNHistorical[[CCCM]:[WASH]], MATCH(tblPiNAnalysis[[#This Row],[ID]],tblPiNHistorical[ID], 0),MATCH(_xlfn._xlws.FILTER(tblPiNAnalysis[[#Headers],[CCCM]:[WASH]], tblPiNAnalysis[[#This Row],[Highest PiN]]=tblPiNAnalysis[[#This Row],[CCCM]:[WASH]]), tblPiNHistorical[[#Headers],[CCCM]:[WASH]], 0))), "")</f>
        <v/>
      </c>
      <c r="BB135" s="333" t="str" cm="1">
        <f t="array" ref="BB1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5" s="276" t="str" cm="1">
        <f t="array" ref="BC13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5" s="334" t="str" cm="1">
        <f t="array" ref="BD1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5" s="276">
        <f>INDEX(tblSeverityAnalysis[Final Severity], MATCH(tblPiNAnalysis[[#This Row],[ID]],tblSeverityAnalysis[ID], 0))</f>
        <v>4</v>
      </c>
      <c r="BF135" s="61">
        <f>IF(tblPiNAnalysis[[#This Row],[Severity]]&gt;2,tblPiNAnalysis[[#This Row],[Highest PiN]],)</f>
        <v>35213.296640527828</v>
      </c>
      <c r="BG135" s="191"/>
      <c r="BH135" s="192"/>
      <c r="BI135" s="193">
        <f>COUNTIFS(tblPiNAnalysis[[#This Row],[Number of missing / zero PiNs greater than threshold - Data quality]:[Manual Flag]],"Flagged")</f>
        <v>0</v>
      </c>
      <c r="BJ135" s="96" t="str">
        <f>IF(tblPiNAnalysis[[#This Row],['# Flags]]&gt;0, "Flagged", "")</f>
        <v/>
      </c>
      <c r="BK135" s="326">
        <f>tblPiNAnalysis[[#This Row],[Preliminary PiN]]</f>
        <v>35213.296640527828</v>
      </c>
      <c r="BL135" s="331"/>
    </row>
    <row r="136" spans="1:64" x14ac:dyDescent="0.55000000000000004">
      <c r="A13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SS0706</v>
      </c>
      <c r="B136" s="316" t="s">
        <v>342</v>
      </c>
      <c r="C136" s="317" t="s">
        <v>343</v>
      </c>
      <c r="D136" s="317" t="s">
        <v>354</v>
      </c>
      <c r="E136" s="105" t="s">
        <v>355</v>
      </c>
      <c r="F136" s="100"/>
      <c r="G136" s="34"/>
      <c r="H136" s="34"/>
      <c r="I136" s="97">
        <v>75995.604930880276</v>
      </c>
      <c r="J136" s="97" t="s">
        <v>413</v>
      </c>
      <c r="K136" s="318"/>
      <c r="L136" s="319">
        <v>14283.00916785528</v>
      </c>
      <c r="M136" s="319">
        <v>31687.001788830639</v>
      </c>
      <c r="N136" s="319">
        <v>45448.176430672487</v>
      </c>
      <c r="O136" s="319">
        <v>33325.761868302005</v>
      </c>
      <c r="P136" s="319">
        <v>28182</v>
      </c>
      <c r="Q136" s="320">
        <v>21566.320318222781</v>
      </c>
      <c r="R136" s="319">
        <v>61218.681749875781</v>
      </c>
      <c r="S136" s="319">
        <v>6863</v>
      </c>
      <c r="T136" s="319">
        <v>15963</v>
      </c>
      <c r="U136" s="319">
        <v>23091</v>
      </c>
      <c r="V136" s="319">
        <v>1323</v>
      </c>
      <c r="W136" s="321" t="str">
        <f>IFERROR(IF(tblPiNAnalysis[[#This Row],[CCCM]]="", "", MROUND(tblPiNAnalysis[[#This Row],[CCCM]]/tblPiNAnalysis[[#This Row],[Affected population projection 2026]], 0.05)), "")</f>
        <v/>
      </c>
      <c r="X136" s="322">
        <f>IFERROR(IF(tblPiNAnalysis[[#This Row],[Education]]="", "", MROUND(tblPiNAnalysis[[#This Row],[Education]]/tblPiNAnalysis[[#This Row],[Affected population projection 2026]], 0.05)), "")</f>
        <v>0.2</v>
      </c>
      <c r="Y136" s="322">
        <f>IFERROR(IF(tblPiNAnalysis[[#This Row],[Nutrition]]="", "", MROUND(tblPiNAnalysis[[#This Row],[Nutrition]]/tblPiNAnalysis[[#This Row],[Affected population projection 2026]], 0.05)), "")</f>
        <v>0.4</v>
      </c>
      <c r="Z136" s="322">
        <f>IFERROR(IF(tblPiNAnalysis[[#This Row],[Food Security]]="", "", MROUND(tblPiNAnalysis[[#This Row],[Food Security]]/tblPiNAnalysis[[#This Row],[Affected population projection 2026]], 0.05)), "")</f>
        <v>0.60000000000000009</v>
      </c>
      <c r="AA136" s="322">
        <f>IFERROR(IF(tblPiNAnalysis[[#This Row],[Health]]="", "", MROUND(tblPiNAnalysis[[#This Row],[Health]]/tblPiNAnalysis[[#This Row],[Affected population projection 2026]], 0.05)), "")</f>
        <v>0.45</v>
      </c>
      <c r="AB136" s="323">
        <f>IFERROR(IF(tblPiNAnalysis[[#This Row],[Overarching Protection]]="", "", MROUND(tblPiNAnalysis[[#This Row],[Overarching Protection]]/tblPiNAnalysis[[#This Row],[Affected population projection 2026]], 0.05)), "")</f>
        <v>0.35000000000000003</v>
      </c>
      <c r="AC136" s="323">
        <f>IFERROR(IF(tblPiNAnalysis[[#This Row],[Shelter]]="", "", MROUND(tblPiNAnalysis[[#This Row],[Shelter]]/tblPiNAnalysis[[#This Row],[Affected population projection 2026]], 0.05)), "")</f>
        <v>0.30000000000000004</v>
      </c>
      <c r="AD136" s="324">
        <f>IFERROR(IF(tblPiNAnalysis[[#This Row],[WASH]]="", "", MROUND(tblPiNAnalysis[[#This Row],[WASH]]/tblPiNAnalysis[[#This Row],[Affected population projection 2026]], 0.05)), "")</f>
        <v>0.8</v>
      </c>
      <c r="AE136" s="322">
        <f>IFERROR(MROUND(tblPiNAnalysis[[#This Row],[CP]]/tblPiNAnalysis[[#This Row],[Affected population projection 2026]], 0.05), "")</f>
        <v>0.1</v>
      </c>
      <c r="AF136" s="322">
        <f>IFERROR(MROUND(tblPiNAnalysis[[#This Row],[GBV]]/tblPiNAnalysis[[#This Row],[Affected population projection 2026]], 0.05), "")</f>
        <v>0.2</v>
      </c>
      <c r="AG136" s="322">
        <f>IFERROR(MROUND(tblPiNAnalysis[[#This Row],[Mine Action]]/tblPiNAnalysis[[#This Row],[Affected population projection 2026]], 0.05), "")</f>
        <v>0.30000000000000004</v>
      </c>
      <c r="AH136" s="322">
        <f>IFERROR(MROUND(tblPiNAnalysis[[#This Row],[HLP]]/tblPiNAnalysis[[#This Row],[Affected population projection 2026]], 0.05), "")</f>
        <v>0</v>
      </c>
      <c r="AI136" s="325">
        <f>IFERROR(LARGE(tblPiNAnalysis[[#This Row],[CCCM]:[WASH]], 1), "")</f>
        <v>61218.681749875781</v>
      </c>
      <c r="AJ136" s="326" t="str" cm="1">
        <f t="array" ref="AJ136">IF(tblPiNAnalysis[[#This Row],[Highest PiN]]="", "", _xlfn.TEXTJOIN(CHAR(10), TRUE, IF(tblPiNAnalysis[[#This Row],[Highest PiN]]=tblPiNAnalysis[[#This Row],[CCCM]:[WASH]], tblPiNAnalysis[[#Headers],[CCCM]:[WASH]], "")))</f>
        <v>WASH</v>
      </c>
      <c r="AK136" s="327">
        <f>IF(tblPiNAnalysis[[#This Row],[Highest PiN]]="", "", tblPiNAnalysis[[#This Row],[Highest PiN]]/tblPiNAnalysis[[#This Row],[Affected population projection 2026]])</f>
        <v>0.80555555555555558</v>
      </c>
      <c r="AL136" s="328" t="str">
        <f>IF(SUM(tblPiNAnalysis[[#This Row],[CCCM]:[WASH]])=0, "",IF(COUNTIF(tblPiNAnalysis[[#This Row],[CCCM]:[WASH]],"=0")+COUNTIF(tblPiNAnalysis[[#This Row],[CCCM]:[WASH]],"")&gt;=zero_pin_thresh, "Flagged", ""))</f>
        <v/>
      </c>
      <c r="AM136" s="329" t="str">
        <f>IFERROR(IF(tblPiNAnalysis[[#This Row],[Highest PiN]]="", "", IF(tblPiNAnalysis[[#This Row],[Highest sector(s'') PiN %]]&gt;=flag_pin_perc, "Flagged", "")), "")</f>
        <v/>
      </c>
      <c r="AN136" s="330" t="str" cm="1">
        <f t="array" ref="AN136">IF(tblPiNAnalysis[[#This Row],[Highest PiN]]=0, "",  IF(OR(COUNTIF(tblPiNAnalysis[[#This Row],[Highest sector(s)]],tblSubSectorPopulation[Sector])), "Flagged", ""))</f>
        <v/>
      </c>
      <c r="AO136" s="46" cm="1">
        <f t="array" ref="AO1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45448.176430672487</v>
      </c>
      <c r="AP136" s="331" t="str" cm="1">
        <f t="array" ref="AP136">IF(tblPiNAnalysis[[#This Row],[2nd Highest PiN]]="", "", _xlfn.TEXTJOIN(CHAR(10), TRUE, IF(tblPiNAnalysis[[#This Row],[2nd Highest PiN]]=tblPiNAnalysis[[#This Row],[CCCM]:[WASH]], tblPiNAnalysis[[#Headers],[CCCM]:[WASH]], "")))</f>
        <v>Food Security</v>
      </c>
      <c r="AQ136" s="36">
        <f>IFERROR(tblPiNAnalysis[[#This Row],[2nd Highest PiN]]/tblPiNAnalysis[[#This Row],[Affected population projection 2026]], "")</f>
        <v>0.59803690584486602</v>
      </c>
      <c r="AR136" s="46">
        <f>IFERROR(tblPiNAnalysis[[#This Row],[Highest PiN]]-tblPiNAnalysis[[#This Row],[2nd Highest PiN]], "")</f>
        <v>15770.505319203294</v>
      </c>
      <c r="AS136" s="39">
        <f>IFERROR(((tblPiNAnalysis[[#This Row],[Highest PiN]]-tblPiNAnalysis[[#This Row],[2nd Highest PiN]])/tblPiNAnalysis[[#This Row],[2nd Highest PiN]]),"")</f>
        <v>0.34699973811402363</v>
      </c>
      <c r="AT136" s="39" t="str" cm="1">
        <f t="array" ref="AT1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6" s="332" cm="1">
        <f t="array" ref="AU1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33325.761868302005</v>
      </c>
      <c r="AV136" s="190" t="str" cm="1">
        <f t="array" ref="AV136">IF(tblPiNAnalysis[[#This Row],[3rd Highest PiN]]="", "", _xlfn.TEXTJOIN(CHAR(10), TRUE, IF(tblPiNAnalysis[[#This Row],[3rd Highest PiN]]=tblPiNAnalysis[[#This Row],[CCCM]:[WASH]], tblPiNAnalysis[[#Headers],[CCCM]:[WASH]], "")))</f>
        <v>Health</v>
      </c>
      <c r="AW136" s="190">
        <f>IFERROR(tblPiNAnalysis[[#This Row],[3rd Highest PiN]]/tblPiNAnalysis[[#This Row],[Affected population projection 2026]], "")</f>
        <v>0.4385222263657555</v>
      </c>
      <c r="AX136" s="45">
        <f>IFERROR(tblPiNAnalysis[[#This Row],[Highest PiN]]-tblPiNAnalysis[[#This Row],[3rd Highest PiN]],"")</f>
        <v>27892.919881573776</v>
      </c>
      <c r="AY136" s="39">
        <f>IFERROR(tblPiNAnalysis[[#This Row],[Difference of PiN between Highest and 3rd Highest]]/tblPiNAnalysis[[#This Row],[3rd Highest PiN]], "")</f>
        <v>0.83697771087130923</v>
      </c>
      <c r="AZ136" s="330" t="str" cm="1">
        <f t="array" ref="AZ1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6" s="300" t="str" cm="1">
        <f t="array" ref="BA136">IFERROR(IF(tblPiNAnalysis[[#This Row],[ID]]="", "", INDEX(tblPiNHistorical[[CCCM]:[WASH]], MATCH(tblPiNAnalysis[[#This Row],[ID]],tblPiNHistorical[ID], 0),MATCH(_xlfn._xlws.FILTER(tblPiNAnalysis[[#Headers],[CCCM]:[WASH]], tblPiNAnalysis[[#This Row],[Highest PiN]]=tblPiNAnalysis[[#This Row],[CCCM]:[WASH]]), tblPiNHistorical[[#Headers],[CCCM]:[WASH]], 0))), "")</f>
        <v/>
      </c>
      <c r="BB136" s="333" t="str" cm="1">
        <f t="array" ref="BB1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6" s="276" t="str" cm="1">
        <f t="array" ref="BC13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6" s="334" t="str" cm="1">
        <f t="array" ref="BD1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6" s="276">
        <f>INDEX(tblSeverityAnalysis[Final Severity], MATCH(tblPiNAnalysis[[#This Row],[ID]],tblSeverityAnalysis[ID], 0))</f>
        <v>3</v>
      </c>
      <c r="BF136" s="61">
        <f>IF(tblPiNAnalysis[[#This Row],[Severity]]&gt;2,tblPiNAnalysis[[#This Row],[Highest PiN]],)</f>
        <v>61218.681749875781</v>
      </c>
      <c r="BG136" s="191"/>
      <c r="BH136" s="192"/>
      <c r="BI136" s="193">
        <f>COUNTIFS(tblPiNAnalysis[[#This Row],[Number of missing / zero PiNs greater than threshold - Data quality]:[Manual Flag]],"Flagged")</f>
        <v>2</v>
      </c>
      <c r="BJ136" s="96" t="str">
        <f>IF(tblPiNAnalysis[[#This Row],['# Flags]]&gt;0, "Flagged", "")</f>
        <v>Flagged</v>
      </c>
      <c r="BK136" s="326">
        <f>tblPiNAnalysis[[#This Row],[Preliminary PiN]]</f>
        <v>61218.681749875781</v>
      </c>
      <c r="BL136" s="331"/>
    </row>
    <row r="137" spans="1:64" x14ac:dyDescent="0.55000000000000004">
      <c r="A13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SS0707</v>
      </c>
      <c r="B137" s="316" t="s">
        <v>342</v>
      </c>
      <c r="C137" s="317" t="s">
        <v>343</v>
      </c>
      <c r="D137" s="317" t="s">
        <v>356</v>
      </c>
      <c r="E137" s="105" t="s">
        <v>357</v>
      </c>
      <c r="F137" s="100"/>
      <c r="G137" s="34"/>
      <c r="H137" s="34"/>
      <c r="I137" s="97">
        <v>123133.14998785798</v>
      </c>
      <c r="J137" s="97" t="s">
        <v>413</v>
      </c>
      <c r="K137" s="318"/>
      <c r="L137" s="319">
        <v>3450.0923561397899</v>
      </c>
      <c r="M137" s="319">
        <v>58931.909938574638</v>
      </c>
      <c r="N137" s="319">
        <v>99663.380026948871</v>
      </c>
      <c r="O137" s="319">
        <v>83200.762816185612</v>
      </c>
      <c r="P137" s="319">
        <v>21613</v>
      </c>
      <c r="Q137" s="320">
        <v>75081.189016986566</v>
      </c>
      <c r="R137" s="319">
        <v>97619.073864247752</v>
      </c>
      <c r="S137" s="319">
        <v>17427</v>
      </c>
      <c r="T137" s="319">
        <v>10398</v>
      </c>
      <c r="U137" s="319">
        <v>12655</v>
      </c>
      <c r="V137" s="319">
        <v>1314</v>
      </c>
      <c r="W137" s="321" t="str">
        <f>IFERROR(IF(tblPiNAnalysis[[#This Row],[CCCM]]="", "", MROUND(tblPiNAnalysis[[#This Row],[CCCM]]/tblPiNAnalysis[[#This Row],[Affected population projection 2026]], 0.05)), "")</f>
        <v/>
      </c>
      <c r="X137" s="322">
        <f>IFERROR(IF(tblPiNAnalysis[[#This Row],[Education]]="", "", MROUND(tblPiNAnalysis[[#This Row],[Education]]/tblPiNAnalysis[[#This Row],[Affected population projection 2026]], 0.05)), "")</f>
        <v>0.05</v>
      </c>
      <c r="Y137" s="322">
        <f>IFERROR(IF(tblPiNAnalysis[[#This Row],[Nutrition]]="", "", MROUND(tblPiNAnalysis[[#This Row],[Nutrition]]/tblPiNAnalysis[[#This Row],[Affected population projection 2026]], 0.05)), "")</f>
        <v>0.5</v>
      </c>
      <c r="Z137" s="322">
        <f>IFERROR(IF(tblPiNAnalysis[[#This Row],[Food Security]]="", "", MROUND(tblPiNAnalysis[[#This Row],[Food Security]]/tblPiNAnalysis[[#This Row],[Affected population projection 2026]], 0.05)), "")</f>
        <v>0.8</v>
      </c>
      <c r="AA137" s="322">
        <f>IFERROR(IF(tblPiNAnalysis[[#This Row],[Health]]="", "", MROUND(tblPiNAnalysis[[#This Row],[Health]]/tblPiNAnalysis[[#This Row],[Affected population projection 2026]], 0.05)), "")</f>
        <v>0.70000000000000007</v>
      </c>
      <c r="AB137" s="323">
        <f>IFERROR(IF(tblPiNAnalysis[[#This Row],[Overarching Protection]]="", "", MROUND(tblPiNAnalysis[[#This Row],[Overarching Protection]]/tblPiNAnalysis[[#This Row],[Affected population projection 2026]], 0.05)), "")</f>
        <v>0.2</v>
      </c>
      <c r="AC137" s="323">
        <f>IFERROR(IF(tblPiNAnalysis[[#This Row],[Shelter]]="", "", MROUND(tblPiNAnalysis[[#This Row],[Shelter]]/tblPiNAnalysis[[#This Row],[Affected population projection 2026]], 0.05)), "")</f>
        <v>0.60000000000000009</v>
      </c>
      <c r="AD137" s="324">
        <f>IFERROR(IF(tblPiNAnalysis[[#This Row],[WASH]]="", "", MROUND(tblPiNAnalysis[[#This Row],[WASH]]/tblPiNAnalysis[[#This Row],[Affected population projection 2026]], 0.05)), "")</f>
        <v>0.8</v>
      </c>
      <c r="AE137" s="322">
        <f>IFERROR(MROUND(tblPiNAnalysis[[#This Row],[CP]]/tblPiNAnalysis[[#This Row],[Affected population projection 2026]], 0.05), "")</f>
        <v>0.15000000000000002</v>
      </c>
      <c r="AF137" s="322">
        <f>IFERROR(MROUND(tblPiNAnalysis[[#This Row],[GBV]]/tblPiNAnalysis[[#This Row],[Affected population projection 2026]], 0.05), "")</f>
        <v>0.1</v>
      </c>
      <c r="AG137" s="322">
        <f>IFERROR(MROUND(tblPiNAnalysis[[#This Row],[Mine Action]]/tblPiNAnalysis[[#This Row],[Affected population projection 2026]], 0.05), "")</f>
        <v>0.1</v>
      </c>
      <c r="AH137" s="322">
        <f>IFERROR(MROUND(tblPiNAnalysis[[#This Row],[HLP]]/tblPiNAnalysis[[#This Row],[Affected population projection 2026]], 0.05), "")</f>
        <v>0</v>
      </c>
      <c r="AI137" s="325">
        <f>IFERROR(LARGE(tblPiNAnalysis[[#This Row],[CCCM]:[WASH]], 1), "")</f>
        <v>99663.380026948871</v>
      </c>
      <c r="AJ137" s="326" t="str" cm="1">
        <f t="array" ref="AJ137">IF(tblPiNAnalysis[[#This Row],[Highest PiN]]="", "", _xlfn.TEXTJOIN(CHAR(10), TRUE, IF(tblPiNAnalysis[[#This Row],[Highest PiN]]=tblPiNAnalysis[[#This Row],[CCCM]:[WASH]], tblPiNAnalysis[[#Headers],[CCCM]:[WASH]], "")))</f>
        <v>Food Security</v>
      </c>
      <c r="AK137" s="327">
        <f>IF(tblPiNAnalysis[[#This Row],[Highest PiN]]="", "", tblPiNAnalysis[[#This Row],[Highest PiN]]/tblPiNAnalysis[[#This Row],[Affected population projection 2026]])</f>
        <v>0.80939519566239115</v>
      </c>
      <c r="AL137" s="328" t="str">
        <f>IF(SUM(tblPiNAnalysis[[#This Row],[CCCM]:[WASH]])=0, "",IF(COUNTIF(tblPiNAnalysis[[#This Row],[CCCM]:[WASH]],"=0")+COUNTIF(tblPiNAnalysis[[#This Row],[CCCM]:[WASH]],"")&gt;=zero_pin_thresh, "Flagged", ""))</f>
        <v/>
      </c>
      <c r="AM137" s="329" t="str">
        <f>IFERROR(IF(tblPiNAnalysis[[#This Row],[Highest PiN]]="", "", IF(tblPiNAnalysis[[#This Row],[Highest sector(s'') PiN %]]&gt;=flag_pin_perc, "Flagged", "")), "")</f>
        <v/>
      </c>
      <c r="AN137" s="330" t="str" cm="1">
        <f t="array" ref="AN137">IF(tblPiNAnalysis[[#This Row],[Highest PiN]]=0, "",  IF(OR(COUNTIF(tblPiNAnalysis[[#This Row],[Highest sector(s)]],tblSubSectorPopulation[Sector])), "Flagged", ""))</f>
        <v/>
      </c>
      <c r="AO137" s="46" cm="1">
        <f t="array" ref="AO1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97619.073864247752</v>
      </c>
      <c r="AP137" s="331" t="str" cm="1">
        <f t="array" ref="AP137">IF(tblPiNAnalysis[[#This Row],[2nd Highest PiN]]="", "", _xlfn.TEXTJOIN(CHAR(10), TRUE, IF(tblPiNAnalysis[[#This Row],[2nd Highest PiN]]=tblPiNAnalysis[[#This Row],[CCCM]:[WASH]], tblPiNAnalysis[[#Headers],[CCCM]:[WASH]], "")))</f>
        <v>WASH</v>
      </c>
      <c r="AQ137" s="36">
        <f>IFERROR(tblPiNAnalysis[[#This Row],[2nd Highest PiN]]/tblPiNAnalysis[[#This Row],[Affected population projection 2026]], "")</f>
        <v>0.79279279279279269</v>
      </c>
      <c r="AR137" s="46">
        <f>IFERROR(tblPiNAnalysis[[#This Row],[Highest PiN]]-tblPiNAnalysis[[#This Row],[2nd Highest PiN]], "")</f>
        <v>2044.3061627011193</v>
      </c>
      <c r="AS137" s="39">
        <f>IFERROR(((tblPiNAnalysis[[#This Row],[Highest PiN]]-tblPiNAnalysis[[#This Row],[2nd Highest PiN]])/tblPiNAnalysis[[#This Row],[2nd Highest PiN]]),"")</f>
        <v>2.0941667255970874E-2</v>
      </c>
      <c r="AT137" s="39" t="str" cm="1">
        <f t="array" ref="AT1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7" s="332" cm="1">
        <f t="array" ref="AU1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83200.762816185612</v>
      </c>
      <c r="AV137" s="190" t="str" cm="1">
        <f t="array" ref="AV137">IF(tblPiNAnalysis[[#This Row],[3rd Highest PiN]]="", "", _xlfn.TEXTJOIN(CHAR(10), TRUE, IF(tblPiNAnalysis[[#This Row],[3rd Highest PiN]]=tblPiNAnalysis[[#This Row],[CCCM]:[WASH]], tblPiNAnalysis[[#Headers],[CCCM]:[WASH]], "")))</f>
        <v>Health</v>
      </c>
      <c r="AW137" s="190">
        <f>IFERROR(tblPiNAnalysis[[#This Row],[3rd Highest PiN]]/tblPiNAnalysis[[#This Row],[Affected population projection 2026]], "")</f>
        <v>0.67569750976394205</v>
      </c>
      <c r="AX137" s="45">
        <f>IFERROR(tblPiNAnalysis[[#This Row],[Highest PiN]]-tblPiNAnalysis[[#This Row],[3rd Highest PiN]],"")</f>
        <v>16462.617210763259</v>
      </c>
      <c r="AY137" s="39">
        <f>IFERROR(tblPiNAnalysis[[#This Row],[Difference of PiN between Highest and 3rd Highest]]/tblPiNAnalysis[[#This Row],[3rd Highest PiN]], "")</f>
        <v>0.19786618119276034</v>
      </c>
      <c r="AZ137" s="330" t="str" cm="1">
        <f t="array" ref="AZ1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7" s="300" t="str" cm="1">
        <f t="array" ref="BA137">IFERROR(IF(tblPiNAnalysis[[#This Row],[ID]]="", "", INDEX(tblPiNHistorical[[CCCM]:[WASH]], MATCH(tblPiNAnalysis[[#This Row],[ID]],tblPiNHistorical[ID], 0),MATCH(_xlfn._xlws.FILTER(tblPiNAnalysis[[#Headers],[CCCM]:[WASH]], tblPiNAnalysis[[#This Row],[Highest PiN]]=tblPiNAnalysis[[#This Row],[CCCM]:[WASH]]), tblPiNHistorical[[#Headers],[CCCM]:[WASH]], 0))), "")</f>
        <v/>
      </c>
      <c r="BB137" s="333" t="str" cm="1">
        <f t="array" ref="BB1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7" s="276" t="str" cm="1">
        <f t="array" ref="BC13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7" s="334" t="str" cm="1">
        <f t="array" ref="BD1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7" s="276">
        <f>INDEX(tblSeverityAnalysis[Final Severity], MATCH(tblPiNAnalysis[[#This Row],[ID]],tblSeverityAnalysis[ID], 0))</f>
        <v>4</v>
      </c>
      <c r="BF137" s="61">
        <f>IF(tblPiNAnalysis[[#This Row],[Severity]]&gt;2,tblPiNAnalysis[[#This Row],[Highest PiN]],)</f>
        <v>99663.380026948871</v>
      </c>
      <c r="BG137" s="191"/>
      <c r="BH137" s="192"/>
      <c r="BI137" s="193">
        <f>COUNTIFS(tblPiNAnalysis[[#This Row],[Number of missing / zero PiNs greater than threshold - Data quality]:[Manual Flag]],"Flagged")</f>
        <v>0</v>
      </c>
      <c r="BJ137" s="96" t="str">
        <f>IF(tblPiNAnalysis[[#This Row],['# Flags]]&gt;0, "Flagged", "")</f>
        <v/>
      </c>
      <c r="BK137" s="326">
        <f>tblPiNAnalysis[[#This Row],[Preliminary PiN]]</f>
        <v>99663.380026948871</v>
      </c>
      <c r="BL137" s="331"/>
    </row>
    <row r="138" spans="1:64" x14ac:dyDescent="0.55000000000000004">
      <c r="A13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SS0708</v>
      </c>
      <c r="B138" s="316" t="s">
        <v>342</v>
      </c>
      <c r="C138" s="317" t="s">
        <v>343</v>
      </c>
      <c r="D138" s="317" t="s">
        <v>358</v>
      </c>
      <c r="E138" s="105" t="s">
        <v>359</v>
      </c>
      <c r="F138" s="100"/>
      <c r="G138" s="34"/>
      <c r="H138" s="34"/>
      <c r="I138" s="97">
        <v>55774.82852003994</v>
      </c>
      <c r="J138" s="97" t="s">
        <v>413</v>
      </c>
      <c r="K138" s="318"/>
      <c r="L138" s="319">
        <v>5999.5867542436563</v>
      </c>
      <c r="M138" s="319">
        <v>27573.635613553237</v>
      </c>
      <c r="N138" s="319">
        <v>39225.067733394935</v>
      </c>
      <c r="O138" s="319">
        <v>27508.850619592082</v>
      </c>
      <c r="P138" s="319">
        <v>19633</v>
      </c>
      <c r="Q138" s="320">
        <v>0</v>
      </c>
      <c r="R138" s="319">
        <v>46995.45736410773</v>
      </c>
      <c r="S138" s="319">
        <v>7824</v>
      </c>
      <c r="T138" s="319">
        <v>7478</v>
      </c>
      <c r="U138" s="319">
        <v>12815</v>
      </c>
      <c r="V138" s="319">
        <v>1208</v>
      </c>
      <c r="W138" s="321" t="str">
        <f>IFERROR(IF(tblPiNAnalysis[[#This Row],[CCCM]]="", "", MROUND(tblPiNAnalysis[[#This Row],[CCCM]]/tblPiNAnalysis[[#This Row],[Affected population projection 2026]], 0.05)), "")</f>
        <v/>
      </c>
      <c r="X138" s="322">
        <f>IFERROR(IF(tblPiNAnalysis[[#This Row],[Education]]="", "", MROUND(tblPiNAnalysis[[#This Row],[Education]]/tblPiNAnalysis[[#This Row],[Affected population projection 2026]], 0.05)), "")</f>
        <v>0.1</v>
      </c>
      <c r="Y138" s="322">
        <f>IFERROR(IF(tblPiNAnalysis[[#This Row],[Nutrition]]="", "", MROUND(tblPiNAnalysis[[#This Row],[Nutrition]]/tblPiNAnalysis[[#This Row],[Affected population projection 2026]], 0.05)), "")</f>
        <v>0.5</v>
      </c>
      <c r="Z138" s="322">
        <f>IFERROR(IF(tblPiNAnalysis[[#This Row],[Food Security]]="", "", MROUND(tblPiNAnalysis[[#This Row],[Food Security]]/tblPiNAnalysis[[#This Row],[Affected population projection 2026]], 0.05)), "")</f>
        <v>0.70000000000000007</v>
      </c>
      <c r="AA138" s="322">
        <f>IFERROR(IF(tblPiNAnalysis[[#This Row],[Health]]="", "", MROUND(tblPiNAnalysis[[#This Row],[Health]]/tblPiNAnalysis[[#This Row],[Affected population projection 2026]], 0.05)), "")</f>
        <v>0.5</v>
      </c>
      <c r="AB138" s="323">
        <f>IFERROR(IF(tblPiNAnalysis[[#This Row],[Overarching Protection]]="", "", MROUND(tblPiNAnalysis[[#This Row],[Overarching Protection]]/tblPiNAnalysis[[#This Row],[Affected population projection 2026]], 0.05)), "")</f>
        <v>0.35000000000000003</v>
      </c>
      <c r="AC138" s="323">
        <f>IFERROR(IF(tblPiNAnalysis[[#This Row],[Shelter]]="", "", MROUND(tblPiNAnalysis[[#This Row],[Shelter]]/tblPiNAnalysis[[#This Row],[Affected population projection 2026]], 0.05)), "")</f>
        <v>0</v>
      </c>
      <c r="AD138" s="324">
        <f>IFERROR(IF(tblPiNAnalysis[[#This Row],[WASH]]="", "", MROUND(tblPiNAnalysis[[#This Row],[WASH]]/tblPiNAnalysis[[#This Row],[Affected population projection 2026]], 0.05)), "")</f>
        <v>0.85000000000000009</v>
      </c>
      <c r="AE138" s="322">
        <f>IFERROR(MROUND(tblPiNAnalysis[[#This Row],[CP]]/tblPiNAnalysis[[#This Row],[Affected population projection 2026]], 0.05), "")</f>
        <v>0.15000000000000002</v>
      </c>
      <c r="AF138" s="322">
        <f>IFERROR(MROUND(tblPiNAnalysis[[#This Row],[GBV]]/tblPiNAnalysis[[#This Row],[Affected population projection 2026]], 0.05), "")</f>
        <v>0.15000000000000002</v>
      </c>
      <c r="AG138" s="322">
        <f>IFERROR(MROUND(tblPiNAnalysis[[#This Row],[Mine Action]]/tblPiNAnalysis[[#This Row],[Affected population projection 2026]], 0.05), "")</f>
        <v>0.25</v>
      </c>
      <c r="AH138" s="322">
        <f>IFERROR(MROUND(tblPiNAnalysis[[#This Row],[HLP]]/tblPiNAnalysis[[#This Row],[Affected population projection 2026]], 0.05), "")</f>
        <v>0</v>
      </c>
      <c r="AI138" s="325">
        <f>IFERROR(LARGE(tblPiNAnalysis[[#This Row],[CCCM]:[WASH]], 1), "")</f>
        <v>46995.45736410773</v>
      </c>
      <c r="AJ138" s="326" t="str" cm="1">
        <f t="array" ref="AJ138">IF(tblPiNAnalysis[[#This Row],[Highest PiN]]="", "", _xlfn.TEXTJOIN(CHAR(10), TRUE, IF(tblPiNAnalysis[[#This Row],[Highest PiN]]=tblPiNAnalysis[[#This Row],[CCCM]:[WASH]], tblPiNAnalysis[[#Headers],[CCCM]:[WASH]], "")))</f>
        <v>WASH</v>
      </c>
      <c r="AK138" s="327">
        <f>IF(tblPiNAnalysis[[#This Row],[Highest PiN]]="", "", tblPiNAnalysis[[#This Row],[Highest PiN]]/tblPiNAnalysis[[#This Row],[Affected population projection 2026]])</f>
        <v>0.84259259259259267</v>
      </c>
      <c r="AL138" s="328" t="str">
        <f>IF(SUM(tblPiNAnalysis[[#This Row],[CCCM]:[WASH]])=0, "",IF(COUNTIF(tblPiNAnalysis[[#This Row],[CCCM]:[WASH]],"=0")+COUNTIF(tblPiNAnalysis[[#This Row],[CCCM]:[WASH]],"")&gt;=zero_pin_thresh, "Flagged", ""))</f>
        <v>Flagged</v>
      </c>
      <c r="AM138" s="329" t="str">
        <f>IFERROR(IF(tblPiNAnalysis[[#This Row],[Highest PiN]]="", "", IF(tblPiNAnalysis[[#This Row],[Highest sector(s'') PiN %]]&gt;=flag_pin_perc, "Flagged", "")), "")</f>
        <v/>
      </c>
      <c r="AN138" s="330" t="str" cm="1">
        <f t="array" ref="AN138">IF(tblPiNAnalysis[[#This Row],[Highest PiN]]=0, "",  IF(OR(COUNTIF(tblPiNAnalysis[[#This Row],[Highest sector(s)]],tblSubSectorPopulation[Sector])), "Flagged", ""))</f>
        <v/>
      </c>
      <c r="AO138" s="46" cm="1">
        <f t="array" ref="AO1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39225.067733394935</v>
      </c>
      <c r="AP138" s="331" t="str" cm="1">
        <f t="array" ref="AP138">IF(tblPiNAnalysis[[#This Row],[2nd Highest PiN]]="", "", _xlfn.TEXTJOIN(CHAR(10), TRUE, IF(tblPiNAnalysis[[#This Row],[2nd Highest PiN]]=tblPiNAnalysis[[#This Row],[CCCM]:[WASH]], tblPiNAnalysis[[#Headers],[CCCM]:[WASH]], "")))</f>
        <v>Food Security</v>
      </c>
      <c r="AQ138" s="36">
        <f>IFERROR(tblPiNAnalysis[[#This Row],[2nd Highest PiN]]/tblPiNAnalysis[[#This Row],[Affected population projection 2026]], "")</f>
        <v>0.70327545192364571</v>
      </c>
      <c r="AR138" s="46">
        <f>IFERROR(tblPiNAnalysis[[#This Row],[Highest PiN]]-tblPiNAnalysis[[#This Row],[2nd Highest PiN]], "")</f>
        <v>7770.3896307127943</v>
      </c>
      <c r="AS138" s="39">
        <f>IFERROR(((tblPiNAnalysis[[#This Row],[Highest PiN]]-tblPiNAnalysis[[#This Row],[2nd Highest PiN]])/tblPiNAnalysis[[#This Row],[2nd Highest PiN]]),"")</f>
        <v>0.19809754526178522</v>
      </c>
      <c r="AT138" s="39" t="str" cm="1">
        <f t="array" ref="AT1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8" s="332" cm="1">
        <f t="array" ref="AU1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27573.635613553237</v>
      </c>
      <c r="AV138" s="190" t="str" cm="1">
        <f t="array" ref="AV138">IF(tblPiNAnalysis[[#This Row],[3rd Highest PiN]]="", "", _xlfn.TEXTJOIN(CHAR(10), TRUE, IF(tblPiNAnalysis[[#This Row],[3rd Highest PiN]]=tblPiNAnalysis[[#This Row],[CCCM]:[WASH]], tblPiNAnalysis[[#Headers],[CCCM]:[WASH]], "")))</f>
        <v>Nutrition</v>
      </c>
      <c r="AW138" s="190">
        <f>IFERROR(tblPiNAnalysis[[#This Row],[3rd Highest PiN]]/tblPiNAnalysis[[#This Row],[Affected population projection 2026]], "")</f>
        <v>0.49437418895238749</v>
      </c>
      <c r="AX138" s="45">
        <f>IFERROR(tblPiNAnalysis[[#This Row],[Highest PiN]]-tblPiNAnalysis[[#This Row],[3rd Highest PiN]],"")</f>
        <v>19421.821750554493</v>
      </c>
      <c r="AY138" s="39">
        <f>IFERROR(tblPiNAnalysis[[#This Row],[Difference of PiN between Highest and 3rd Highest]]/tblPiNAnalysis[[#This Row],[3rd Highest PiN]], "")</f>
        <v>0.70436202257667124</v>
      </c>
      <c r="AZ138" s="330" t="str" cm="1">
        <f t="array" ref="AZ1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8" s="300" t="str" cm="1">
        <f t="array" ref="BA138">IFERROR(IF(tblPiNAnalysis[[#This Row],[ID]]="", "", INDEX(tblPiNHistorical[[CCCM]:[WASH]], MATCH(tblPiNAnalysis[[#This Row],[ID]],tblPiNHistorical[ID], 0),MATCH(_xlfn._xlws.FILTER(tblPiNAnalysis[[#Headers],[CCCM]:[WASH]], tblPiNAnalysis[[#This Row],[Highest PiN]]=tblPiNAnalysis[[#This Row],[CCCM]:[WASH]]), tblPiNHistorical[[#Headers],[CCCM]:[WASH]], 0))), "")</f>
        <v/>
      </c>
      <c r="BB138" s="333" t="str" cm="1">
        <f t="array" ref="BB1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8" s="276" t="str" cm="1">
        <f t="array" ref="BC13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8" s="334" t="str" cm="1">
        <f t="array" ref="BD1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8" s="276">
        <f>INDEX(tblSeverityAnalysis[Final Severity], MATCH(tblPiNAnalysis[[#This Row],[ID]],tblSeverityAnalysis[ID], 0))</f>
        <v>3</v>
      </c>
      <c r="BF138" s="61">
        <f>IF(tblPiNAnalysis[[#This Row],[Severity]]&gt;2,tblPiNAnalysis[[#This Row],[Highest PiN]],)</f>
        <v>46995.45736410773</v>
      </c>
      <c r="BG138" s="191"/>
      <c r="BH138" s="192"/>
      <c r="BI138" s="193">
        <f>COUNTIFS(tblPiNAnalysis[[#This Row],[Number of missing / zero PiNs greater than threshold - Data quality]:[Manual Flag]],"Flagged")</f>
        <v>2</v>
      </c>
      <c r="BJ138" s="96" t="str">
        <f>IF(tblPiNAnalysis[[#This Row],['# Flags]]&gt;0, "Flagged", "")</f>
        <v>Flagged</v>
      </c>
      <c r="BK138" s="326">
        <f>tblPiNAnalysis[[#This Row],[Preliminary PiN]]</f>
        <v>46995.45736410773</v>
      </c>
      <c r="BL138" s="331"/>
    </row>
    <row r="139" spans="1:64" x14ac:dyDescent="0.55000000000000004">
      <c r="A13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SS0709</v>
      </c>
      <c r="B139" s="316" t="s">
        <v>342</v>
      </c>
      <c r="C139" s="317" t="s">
        <v>343</v>
      </c>
      <c r="D139" s="317" t="s">
        <v>360</v>
      </c>
      <c r="E139" s="105" t="s">
        <v>361</v>
      </c>
      <c r="F139" s="100"/>
      <c r="G139" s="34"/>
      <c r="H139" s="34"/>
      <c r="I139" s="97">
        <v>84237.505871052446</v>
      </c>
      <c r="J139" s="97" t="s">
        <v>413</v>
      </c>
      <c r="K139" s="318"/>
      <c r="L139" s="319">
        <v>17955.502360184204</v>
      </c>
      <c r="M139" s="319">
        <v>39291.668651767097</v>
      </c>
      <c r="N139" s="319">
        <v>56401.700934591106</v>
      </c>
      <c r="O139" s="319">
        <v>41012.649567676861</v>
      </c>
      <c r="P139" s="319">
        <v>28577</v>
      </c>
      <c r="Q139" s="320">
        <v>36802.793827158835</v>
      </c>
      <c r="R139" s="319">
        <v>7799.7690621344855</v>
      </c>
      <c r="S139" s="319">
        <v>12263</v>
      </c>
      <c r="T139" s="319">
        <v>12798</v>
      </c>
      <c r="U139" s="319">
        <v>8153</v>
      </c>
      <c r="V139" s="319">
        <v>824</v>
      </c>
      <c r="W139" s="321" t="str">
        <f>IFERROR(IF(tblPiNAnalysis[[#This Row],[CCCM]]="", "", MROUND(tblPiNAnalysis[[#This Row],[CCCM]]/tblPiNAnalysis[[#This Row],[Affected population projection 2026]], 0.05)), "")</f>
        <v/>
      </c>
      <c r="X139" s="322">
        <f>IFERROR(IF(tblPiNAnalysis[[#This Row],[Education]]="", "", MROUND(tblPiNAnalysis[[#This Row],[Education]]/tblPiNAnalysis[[#This Row],[Affected population projection 2026]], 0.05)), "")</f>
        <v>0.2</v>
      </c>
      <c r="Y139" s="322">
        <f>IFERROR(IF(tblPiNAnalysis[[#This Row],[Nutrition]]="", "", MROUND(tblPiNAnalysis[[#This Row],[Nutrition]]/tblPiNAnalysis[[#This Row],[Affected population projection 2026]], 0.05)), "")</f>
        <v>0.45</v>
      </c>
      <c r="Z139" s="322">
        <f>IFERROR(IF(tblPiNAnalysis[[#This Row],[Food Security]]="", "", MROUND(tblPiNAnalysis[[#This Row],[Food Security]]/tblPiNAnalysis[[#This Row],[Affected population projection 2026]], 0.05)), "")</f>
        <v>0.65</v>
      </c>
      <c r="AA139" s="322">
        <f>IFERROR(IF(tblPiNAnalysis[[#This Row],[Health]]="", "", MROUND(tblPiNAnalysis[[#This Row],[Health]]/tblPiNAnalysis[[#This Row],[Affected population projection 2026]], 0.05)), "")</f>
        <v>0.5</v>
      </c>
      <c r="AB139" s="323">
        <f>IFERROR(IF(tblPiNAnalysis[[#This Row],[Overarching Protection]]="", "", MROUND(tblPiNAnalysis[[#This Row],[Overarching Protection]]/tblPiNAnalysis[[#This Row],[Affected population projection 2026]], 0.05)), "")</f>
        <v>0.35000000000000003</v>
      </c>
      <c r="AC139" s="323">
        <f>IFERROR(IF(tblPiNAnalysis[[#This Row],[Shelter]]="", "", MROUND(tblPiNAnalysis[[#This Row],[Shelter]]/tblPiNAnalysis[[#This Row],[Affected population projection 2026]], 0.05)), "")</f>
        <v>0.45</v>
      </c>
      <c r="AD139" s="324">
        <f>IFERROR(IF(tblPiNAnalysis[[#This Row],[WASH]]="", "", MROUND(tblPiNAnalysis[[#This Row],[WASH]]/tblPiNAnalysis[[#This Row],[Affected population projection 2026]], 0.05)), "")</f>
        <v>0.1</v>
      </c>
      <c r="AE139" s="322">
        <f>IFERROR(MROUND(tblPiNAnalysis[[#This Row],[CP]]/tblPiNAnalysis[[#This Row],[Affected population projection 2026]], 0.05), "")</f>
        <v>0.15000000000000002</v>
      </c>
      <c r="AF139" s="322">
        <f>IFERROR(MROUND(tblPiNAnalysis[[#This Row],[GBV]]/tblPiNAnalysis[[#This Row],[Affected population projection 2026]], 0.05), "")</f>
        <v>0.15000000000000002</v>
      </c>
      <c r="AG139" s="322">
        <f>IFERROR(MROUND(tblPiNAnalysis[[#This Row],[Mine Action]]/tblPiNAnalysis[[#This Row],[Affected population projection 2026]], 0.05), "")</f>
        <v>0.1</v>
      </c>
      <c r="AH139" s="322">
        <f>IFERROR(MROUND(tblPiNAnalysis[[#This Row],[HLP]]/tblPiNAnalysis[[#This Row],[Affected population projection 2026]], 0.05), "")</f>
        <v>0</v>
      </c>
      <c r="AI139" s="325">
        <f>IFERROR(LARGE(tblPiNAnalysis[[#This Row],[CCCM]:[WASH]], 1), "")</f>
        <v>56401.700934591106</v>
      </c>
      <c r="AJ139" s="326" t="str" cm="1">
        <f t="array" ref="AJ139">IF(tblPiNAnalysis[[#This Row],[Highest PiN]]="", "", _xlfn.TEXTJOIN(CHAR(10), TRUE, IF(tblPiNAnalysis[[#This Row],[Highest PiN]]=tblPiNAnalysis[[#This Row],[CCCM]:[WASH]], tblPiNAnalysis[[#Headers],[CCCM]:[WASH]], "")))</f>
        <v>Food Security</v>
      </c>
      <c r="AK139" s="327">
        <f>IF(tblPiNAnalysis[[#This Row],[Highest PiN]]="", "", tblPiNAnalysis[[#This Row],[Highest PiN]]/tblPiNAnalysis[[#This Row],[Affected population projection 2026]])</f>
        <v>0.66955568486237793</v>
      </c>
      <c r="AL139" s="328" t="str">
        <f>IF(SUM(tblPiNAnalysis[[#This Row],[CCCM]:[WASH]])=0, "",IF(COUNTIF(tblPiNAnalysis[[#This Row],[CCCM]:[WASH]],"=0")+COUNTIF(tblPiNAnalysis[[#This Row],[CCCM]:[WASH]],"")&gt;=zero_pin_thresh, "Flagged", ""))</f>
        <v/>
      </c>
      <c r="AM139" s="329" t="str">
        <f>IFERROR(IF(tblPiNAnalysis[[#This Row],[Highest PiN]]="", "", IF(tblPiNAnalysis[[#This Row],[Highest sector(s'') PiN %]]&gt;=flag_pin_perc, "Flagged", "")), "")</f>
        <v/>
      </c>
      <c r="AN139" s="330" t="str" cm="1">
        <f t="array" ref="AN139">IF(tblPiNAnalysis[[#This Row],[Highest PiN]]=0, "",  IF(OR(COUNTIF(tblPiNAnalysis[[#This Row],[Highest sector(s)]],tblSubSectorPopulation[Sector])), "Flagged", ""))</f>
        <v/>
      </c>
      <c r="AO139" s="46" cm="1">
        <f t="array" ref="AO1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41012.649567676861</v>
      </c>
      <c r="AP139" s="331" t="str" cm="1">
        <f t="array" ref="AP139">IF(tblPiNAnalysis[[#This Row],[2nd Highest PiN]]="", "", _xlfn.TEXTJOIN(CHAR(10), TRUE, IF(tblPiNAnalysis[[#This Row],[2nd Highest PiN]]=tblPiNAnalysis[[#This Row],[CCCM]:[WASH]], tblPiNAnalysis[[#Headers],[CCCM]:[WASH]], "")))</f>
        <v>Health</v>
      </c>
      <c r="AQ139" s="36">
        <f>IFERROR(tblPiNAnalysis[[#This Row],[2nd Highest PiN]]/tblPiNAnalysis[[#This Row],[Affected population projection 2026]], "")</f>
        <v>0.48686922937221644</v>
      </c>
      <c r="AR139" s="46">
        <f>IFERROR(tblPiNAnalysis[[#This Row],[Highest PiN]]-tblPiNAnalysis[[#This Row],[2nd Highest PiN]], "")</f>
        <v>15389.051366914246</v>
      </c>
      <c r="AS139" s="39">
        <f>IFERROR(((tblPiNAnalysis[[#This Row],[Highest PiN]]-tblPiNAnalysis[[#This Row],[2nd Highest PiN]])/tblPiNAnalysis[[#This Row],[2nd Highest PiN]]),"")</f>
        <v>0.3752269489811933</v>
      </c>
      <c r="AT139" s="39" t="str" cm="1">
        <f t="array" ref="AT1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9" s="332" cm="1">
        <f t="array" ref="AU1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39291.668651767097</v>
      </c>
      <c r="AV139" s="190" t="str" cm="1">
        <f t="array" ref="AV139">IF(tblPiNAnalysis[[#This Row],[3rd Highest PiN]]="", "", _xlfn.TEXTJOIN(CHAR(10), TRUE, IF(tblPiNAnalysis[[#This Row],[3rd Highest PiN]]=tblPiNAnalysis[[#This Row],[CCCM]:[WASH]], tblPiNAnalysis[[#Headers],[CCCM]:[WASH]], "")))</f>
        <v>Nutrition</v>
      </c>
      <c r="AW139" s="190">
        <f>IFERROR(tblPiNAnalysis[[#This Row],[3rd Highest PiN]]/tblPiNAnalysis[[#This Row],[Affected population projection 2026]], "")</f>
        <v>0.46643912643749547</v>
      </c>
      <c r="AX139" s="45">
        <f>IFERROR(tblPiNAnalysis[[#This Row],[Highest PiN]]-tblPiNAnalysis[[#This Row],[3rd Highest PiN]],"")</f>
        <v>17110.03228282401</v>
      </c>
      <c r="AY139" s="39">
        <f>IFERROR(tblPiNAnalysis[[#This Row],[Difference of PiN between Highest and 3rd Highest]]/tblPiNAnalysis[[#This Row],[3rd Highest PiN]], "")</f>
        <v>0.43546209336300373</v>
      </c>
      <c r="AZ139" s="330" t="str" cm="1">
        <f t="array" ref="AZ1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9" s="300" t="str" cm="1">
        <f t="array" ref="BA139">IFERROR(IF(tblPiNAnalysis[[#This Row],[ID]]="", "", INDEX(tblPiNHistorical[[CCCM]:[WASH]], MATCH(tblPiNAnalysis[[#This Row],[ID]],tblPiNHistorical[ID], 0),MATCH(_xlfn._xlws.FILTER(tblPiNAnalysis[[#Headers],[CCCM]:[WASH]], tblPiNAnalysis[[#This Row],[Highest PiN]]=tblPiNAnalysis[[#This Row],[CCCM]:[WASH]]), tblPiNHistorical[[#Headers],[CCCM]:[WASH]], 0))), "")</f>
        <v/>
      </c>
      <c r="BB139" s="333" t="str" cm="1">
        <f t="array" ref="BB1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9" s="276" t="str" cm="1">
        <f t="array" ref="BC13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9" s="334" t="str" cm="1">
        <f t="array" ref="BD1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9" s="276">
        <f>INDEX(tblSeverityAnalysis[Final Severity], MATCH(tblPiNAnalysis[[#This Row],[ID]],tblSeverityAnalysis[ID], 0))</f>
        <v>3</v>
      </c>
      <c r="BF139" s="61">
        <f>IF(tblPiNAnalysis[[#This Row],[Severity]]&gt;2,tblPiNAnalysis[[#This Row],[Highest PiN]],)</f>
        <v>56401.700934591106</v>
      </c>
      <c r="BG139" s="191"/>
      <c r="BH139" s="192"/>
      <c r="BI139" s="193">
        <f>COUNTIFS(tblPiNAnalysis[[#This Row],[Number of missing / zero PiNs greater than threshold - Data quality]:[Manual Flag]],"Flagged")</f>
        <v>1</v>
      </c>
      <c r="BJ139" s="96" t="str">
        <f>IF(tblPiNAnalysis[[#This Row],['# Flags]]&gt;0, "Flagged", "")</f>
        <v>Flagged</v>
      </c>
      <c r="BK139" s="326">
        <f>tblPiNAnalysis[[#This Row],[Preliminary PiN]]</f>
        <v>56401.700934591106</v>
      </c>
      <c r="BL139" s="331"/>
    </row>
    <row r="140" spans="1:64" x14ac:dyDescent="0.55000000000000004">
      <c r="A14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SS0710</v>
      </c>
      <c r="B140" s="316" t="s">
        <v>342</v>
      </c>
      <c r="C140" s="317" t="s">
        <v>343</v>
      </c>
      <c r="D140" s="317" t="s">
        <v>362</v>
      </c>
      <c r="E140" s="105" t="s">
        <v>363</v>
      </c>
      <c r="F140" s="100"/>
      <c r="G140" s="34"/>
      <c r="H140" s="34"/>
      <c r="I140" s="97">
        <v>39623.047823684894</v>
      </c>
      <c r="J140" s="97" t="s">
        <v>413</v>
      </c>
      <c r="K140" s="318"/>
      <c r="L140" s="319">
        <v>3277.2936069830607</v>
      </c>
      <c r="M140" s="319">
        <v>25107.265017137095</v>
      </c>
      <c r="N140" s="319">
        <v>33263.474890030957</v>
      </c>
      <c r="O140" s="319">
        <v>24087.385048567459</v>
      </c>
      <c r="P140" s="319">
        <v>13541</v>
      </c>
      <c r="Q140" s="320">
        <v>27853.825697837899</v>
      </c>
      <c r="R140" s="319">
        <v>37822.000195335575</v>
      </c>
      <c r="S140" s="319">
        <v>12089</v>
      </c>
      <c r="T140" s="319">
        <v>5851</v>
      </c>
      <c r="U140" s="319">
        <v>4189</v>
      </c>
      <c r="V140" s="319">
        <v>838</v>
      </c>
      <c r="W140" s="321" t="str">
        <f>IFERROR(IF(tblPiNAnalysis[[#This Row],[CCCM]]="", "", MROUND(tblPiNAnalysis[[#This Row],[CCCM]]/tblPiNAnalysis[[#This Row],[Affected population projection 2026]], 0.05)), "")</f>
        <v/>
      </c>
      <c r="X140" s="322">
        <f>IFERROR(IF(tblPiNAnalysis[[#This Row],[Education]]="", "", MROUND(tblPiNAnalysis[[#This Row],[Education]]/tblPiNAnalysis[[#This Row],[Affected population projection 2026]], 0.05)), "")</f>
        <v>0.1</v>
      </c>
      <c r="Y140" s="322">
        <f>IFERROR(IF(tblPiNAnalysis[[#This Row],[Nutrition]]="", "", MROUND(tblPiNAnalysis[[#This Row],[Nutrition]]/tblPiNAnalysis[[#This Row],[Affected population projection 2026]], 0.05)), "")</f>
        <v>0.65</v>
      </c>
      <c r="Z140" s="322">
        <f>IFERROR(IF(tblPiNAnalysis[[#This Row],[Food Security]]="", "", MROUND(tblPiNAnalysis[[#This Row],[Food Security]]/tblPiNAnalysis[[#This Row],[Affected population projection 2026]], 0.05)), "")</f>
        <v>0.85000000000000009</v>
      </c>
      <c r="AA140" s="322">
        <f>IFERROR(IF(tblPiNAnalysis[[#This Row],[Health]]="", "", MROUND(tblPiNAnalysis[[#This Row],[Health]]/tblPiNAnalysis[[#This Row],[Affected population projection 2026]], 0.05)), "")</f>
        <v>0.60000000000000009</v>
      </c>
      <c r="AB140" s="323">
        <f>IFERROR(IF(tblPiNAnalysis[[#This Row],[Overarching Protection]]="", "", MROUND(tblPiNAnalysis[[#This Row],[Overarching Protection]]/tblPiNAnalysis[[#This Row],[Affected population projection 2026]], 0.05)), "")</f>
        <v>0.35000000000000003</v>
      </c>
      <c r="AC140" s="323">
        <f>IFERROR(IF(tblPiNAnalysis[[#This Row],[Shelter]]="", "", MROUND(tblPiNAnalysis[[#This Row],[Shelter]]/tblPiNAnalysis[[#This Row],[Affected population projection 2026]], 0.05)), "")</f>
        <v>0.70000000000000007</v>
      </c>
      <c r="AD140" s="324">
        <f>IFERROR(IF(tblPiNAnalysis[[#This Row],[WASH]]="", "", MROUND(tblPiNAnalysis[[#This Row],[WASH]]/tblPiNAnalysis[[#This Row],[Affected population projection 2026]], 0.05)), "")</f>
        <v>0.95000000000000007</v>
      </c>
      <c r="AE140" s="322">
        <f>IFERROR(MROUND(tblPiNAnalysis[[#This Row],[CP]]/tblPiNAnalysis[[#This Row],[Affected population projection 2026]], 0.05), "")</f>
        <v>0.30000000000000004</v>
      </c>
      <c r="AF140" s="322">
        <f>IFERROR(MROUND(tblPiNAnalysis[[#This Row],[GBV]]/tblPiNAnalysis[[#This Row],[Affected population projection 2026]], 0.05), "")</f>
        <v>0.15000000000000002</v>
      </c>
      <c r="AG140" s="322">
        <f>IFERROR(MROUND(tblPiNAnalysis[[#This Row],[Mine Action]]/tblPiNAnalysis[[#This Row],[Affected population projection 2026]], 0.05), "")</f>
        <v>0.1</v>
      </c>
      <c r="AH140" s="322">
        <f>IFERROR(MROUND(tblPiNAnalysis[[#This Row],[HLP]]/tblPiNAnalysis[[#This Row],[Affected population projection 2026]], 0.05), "")</f>
        <v>0</v>
      </c>
      <c r="AI140" s="325">
        <f>IFERROR(LARGE(tblPiNAnalysis[[#This Row],[CCCM]:[WASH]], 1), "")</f>
        <v>37822.000195335575</v>
      </c>
      <c r="AJ140" s="326" t="str" cm="1">
        <f t="array" ref="AJ140">IF(tblPiNAnalysis[[#This Row],[Highest PiN]]="", "", _xlfn.TEXTJOIN(CHAR(10), TRUE, IF(tblPiNAnalysis[[#This Row],[Highest PiN]]=tblPiNAnalysis[[#This Row],[CCCM]:[WASH]], tblPiNAnalysis[[#Headers],[CCCM]:[WASH]], "")))</f>
        <v>WASH</v>
      </c>
      <c r="AK140" s="327">
        <f>IF(tblPiNAnalysis[[#This Row],[Highest PiN]]="", "", tblPiNAnalysis[[#This Row],[Highest PiN]]/tblPiNAnalysis[[#This Row],[Affected population projection 2026]])</f>
        <v>0.95454545454545436</v>
      </c>
      <c r="AL140" s="328" t="str">
        <f>IF(SUM(tblPiNAnalysis[[#This Row],[CCCM]:[WASH]])=0, "",IF(COUNTIF(tblPiNAnalysis[[#This Row],[CCCM]:[WASH]],"=0")+COUNTIF(tblPiNAnalysis[[#This Row],[CCCM]:[WASH]],"")&gt;=zero_pin_thresh, "Flagged", ""))</f>
        <v/>
      </c>
      <c r="AM140" s="329" t="str">
        <f>IFERROR(IF(tblPiNAnalysis[[#This Row],[Highest PiN]]="", "", IF(tblPiNAnalysis[[#This Row],[Highest sector(s'') PiN %]]&gt;=flag_pin_perc, "Flagged", "")), "")</f>
        <v>Flagged</v>
      </c>
      <c r="AN140" s="330" t="str" cm="1">
        <f t="array" ref="AN140">IF(tblPiNAnalysis[[#This Row],[Highest PiN]]=0, "",  IF(OR(COUNTIF(tblPiNAnalysis[[#This Row],[Highest sector(s)]],tblSubSectorPopulation[Sector])), "Flagged", ""))</f>
        <v/>
      </c>
      <c r="AO140" s="46" cm="1">
        <f t="array" ref="AO1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33263.474890030957</v>
      </c>
      <c r="AP140" s="331" t="str" cm="1">
        <f t="array" ref="AP140">IF(tblPiNAnalysis[[#This Row],[2nd Highest PiN]]="", "", _xlfn.TEXTJOIN(CHAR(10), TRUE, IF(tblPiNAnalysis[[#This Row],[2nd Highest PiN]]=tblPiNAnalysis[[#This Row],[CCCM]:[WASH]], tblPiNAnalysis[[#Headers],[CCCM]:[WASH]], "")))</f>
        <v>Food Security</v>
      </c>
      <c r="AQ140" s="36">
        <f>IFERROR(tblPiNAnalysis[[#This Row],[2nd Highest PiN]]/tblPiNAnalysis[[#This Row],[Affected population projection 2026]], "")</f>
        <v>0.83949813850885879</v>
      </c>
      <c r="AR140" s="46">
        <f>IFERROR(tblPiNAnalysis[[#This Row],[Highest PiN]]-tblPiNAnalysis[[#This Row],[2nd Highest PiN]], "")</f>
        <v>4558.5253053046181</v>
      </c>
      <c r="AS140" s="39">
        <f>IFERROR(((tblPiNAnalysis[[#This Row],[Highest PiN]]-tblPiNAnalysis[[#This Row],[2nd Highest PiN]])/tblPiNAnalysis[[#This Row],[2nd Highest PiN]]),"")</f>
        <v>0.137042967410203</v>
      </c>
      <c r="AT140" s="39" t="str" cm="1">
        <f t="array" ref="AT1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0" s="332" cm="1">
        <f t="array" ref="AU1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27853.825697837899</v>
      </c>
      <c r="AV140" s="190" t="str" cm="1">
        <f t="array" ref="AV140">IF(tblPiNAnalysis[[#This Row],[3rd Highest PiN]]="", "", _xlfn.TEXTJOIN(CHAR(10), TRUE, IF(tblPiNAnalysis[[#This Row],[3rd Highest PiN]]=tblPiNAnalysis[[#This Row],[CCCM]:[WASH]], tblPiNAnalysis[[#Headers],[CCCM]:[WASH]], "")))</f>
        <v>Shelter</v>
      </c>
      <c r="AW140" s="190">
        <f>IFERROR(tblPiNAnalysis[[#This Row],[3rd Highest PiN]]/tblPiNAnalysis[[#This Row],[Affected population projection 2026]], "")</f>
        <v>0.70297029702970304</v>
      </c>
      <c r="AX140" s="45">
        <f>IFERROR(tblPiNAnalysis[[#This Row],[Highest PiN]]-tblPiNAnalysis[[#This Row],[3rd Highest PiN]],"")</f>
        <v>9968.1744974976755</v>
      </c>
      <c r="AY140" s="39">
        <f>IFERROR(tblPiNAnalysis[[#This Row],[Difference of PiN between Highest and 3rd Highest]]/tblPiNAnalysis[[#This Row],[3rd Highest PiN]], "")</f>
        <v>0.35787451984635044</v>
      </c>
      <c r="AZ140" s="330" t="str" cm="1">
        <f t="array" ref="AZ1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0" s="300" t="str" cm="1">
        <f t="array" ref="BA140">IFERROR(IF(tblPiNAnalysis[[#This Row],[ID]]="", "", INDEX(tblPiNHistorical[[CCCM]:[WASH]], MATCH(tblPiNAnalysis[[#This Row],[ID]],tblPiNHistorical[ID], 0),MATCH(_xlfn._xlws.FILTER(tblPiNAnalysis[[#Headers],[CCCM]:[WASH]], tblPiNAnalysis[[#This Row],[Highest PiN]]=tblPiNAnalysis[[#This Row],[CCCM]:[WASH]]), tblPiNHistorical[[#Headers],[CCCM]:[WASH]], 0))), "")</f>
        <v/>
      </c>
      <c r="BB140" s="333" t="str" cm="1">
        <f t="array" ref="BB1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0" s="276" t="str" cm="1">
        <f t="array" ref="BC14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0" s="334" t="str" cm="1">
        <f t="array" ref="BD1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0" s="276">
        <f>INDEX(tblSeverityAnalysis[Final Severity], MATCH(tblPiNAnalysis[[#This Row],[ID]],tblSeverityAnalysis[ID], 0))</f>
        <v>4</v>
      </c>
      <c r="BF140" s="61">
        <f>IF(tblPiNAnalysis[[#This Row],[Severity]]&gt;2,tblPiNAnalysis[[#This Row],[Highest PiN]],)</f>
        <v>37822.000195335575</v>
      </c>
      <c r="BG140" s="191"/>
      <c r="BH140" s="192"/>
      <c r="BI140" s="193">
        <f>COUNTIFS(tblPiNAnalysis[[#This Row],[Number of missing / zero PiNs greater than threshold - Data quality]:[Manual Flag]],"Flagged")</f>
        <v>1</v>
      </c>
      <c r="BJ140" s="96" t="str">
        <f>IF(tblPiNAnalysis[[#This Row],['# Flags]]&gt;0, "Flagged", "")</f>
        <v>Flagged</v>
      </c>
      <c r="BK140" s="326">
        <f>tblPiNAnalysis[[#This Row],[Preliminary PiN]]</f>
        <v>37822.000195335575</v>
      </c>
      <c r="BL140" s="331"/>
    </row>
    <row r="141" spans="1:64" x14ac:dyDescent="0.55000000000000004">
      <c r="A14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SS0711</v>
      </c>
      <c r="B141" s="316" t="s">
        <v>342</v>
      </c>
      <c r="C141" s="317" t="s">
        <v>343</v>
      </c>
      <c r="D141" s="317" t="s">
        <v>364</v>
      </c>
      <c r="E141" s="105" t="s">
        <v>365</v>
      </c>
      <c r="F141" s="100"/>
      <c r="G141" s="34"/>
      <c r="H141" s="34"/>
      <c r="I141" s="97">
        <v>208923.05518722511</v>
      </c>
      <c r="J141" s="97" t="s">
        <v>413</v>
      </c>
      <c r="K141" s="318"/>
      <c r="L141" s="319">
        <v>38264.257557540281</v>
      </c>
      <c r="M141" s="319">
        <v>81229.978090916178</v>
      </c>
      <c r="N141" s="319">
        <v>139713.06019309364</v>
      </c>
      <c r="O141" s="319">
        <v>88283.247526447769</v>
      </c>
      <c r="P141" s="319">
        <v>73541</v>
      </c>
      <c r="Q141" s="320">
        <v>43983.80109204739</v>
      </c>
      <c r="R141" s="319">
        <v>100592.58212718245</v>
      </c>
      <c r="S141" s="319">
        <v>67442</v>
      </c>
      <c r="T141" s="319">
        <v>18599</v>
      </c>
      <c r="U141" s="319">
        <v>7568</v>
      </c>
      <c r="V141" s="319">
        <v>4203</v>
      </c>
      <c r="W141" s="321" t="str">
        <f>IFERROR(IF(tblPiNAnalysis[[#This Row],[CCCM]]="", "", MROUND(tblPiNAnalysis[[#This Row],[CCCM]]/tblPiNAnalysis[[#This Row],[Affected population projection 2026]], 0.05)), "")</f>
        <v/>
      </c>
      <c r="X141" s="322">
        <f>IFERROR(IF(tblPiNAnalysis[[#This Row],[Education]]="", "", MROUND(tblPiNAnalysis[[#This Row],[Education]]/tblPiNAnalysis[[#This Row],[Affected population projection 2026]], 0.05)), "")</f>
        <v>0.2</v>
      </c>
      <c r="Y141" s="322">
        <f>IFERROR(IF(tblPiNAnalysis[[#This Row],[Nutrition]]="", "", MROUND(tblPiNAnalysis[[#This Row],[Nutrition]]/tblPiNAnalysis[[#This Row],[Affected population projection 2026]], 0.05)), "")</f>
        <v>0.4</v>
      </c>
      <c r="Z141" s="322">
        <f>IFERROR(IF(tblPiNAnalysis[[#This Row],[Food Security]]="", "", MROUND(tblPiNAnalysis[[#This Row],[Food Security]]/tblPiNAnalysis[[#This Row],[Affected population projection 2026]], 0.05)), "")</f>
        <v>0.65</v>
      </c>
      <c r="AA141" s="322">
        <f>IFERROR(IF(tblPiNAnalysis[[#This Row],[Health]]="", "", MROUND(tblPiNAnalysis[[#This Row],[Health]]/tblPiNAnalysis[[#This Row],[Affected population projection 2026]], 0.05)), "")</f>
        <v>0.4</v>
      </c>
      <c r="AB141" s="323">
        <f>IFERROR(IF(tblPiNAnalysis[[#This Row],[Overarching Protection]]="", "", MROUND(tblPiNAnalysis[[#This Row],[Overarching Protection]]/tblPiNAnalysis[[#This Row],[Affected population projection 2026]], 0.05)), "")</f>
        <v>0.35000000000000003</v>
      </c>
      <c r="AC141" s="323">
        <f>IFERROR(IF(tblPiNAnalysis[[#This Row],[Shelter]]="", "", MROUND(tblPiNAnalysis[[#This Row],[Shelter]]/tblPiNAnalysis[[#This Row],[Affected population projection 2026]], 0.05)), "")</f>
        <v>0.2</v>
      </c>
      <c r="AD141" s="324">
        <f>IFERROR(IF(tblPiNAnalysis[[#This Row],[WASH]]="", "", MROUND(tblPiNAnalysis[[#This Row],[WASH]]/tblPiNAnalysis[[#This Row],[Affected population projection 2026]], 0.05)), "")</f>
        <v>0.5</v>
      </c>
      <c r="AE141" s="322">
        <f>IFERROR(MROUND(tblPiNAnalysis[[#This Row],[CP]]/tblPiNAnalysis[[#This Row],[Affected population projection 2026]], 0.05), "")</f>
        <v>0.30000000000000004</v>
      </c>
      <c r="AF141" s="322">
        <f>IFERROR(MROUND(tblPiNAnalysis[[#This Row],[GBV]]/tblPiNAnalysis[[#This Row],[Affected population projection 2026]], 0.05), "")</f>
        <v>0.1</v>
      </c>
      <c r="AG141" s="322">
        <f>IFERROR(MROUND(tblPiNAnalysis[[#This Row],[Mine Action]]/tblPiNAnalysis[[#This Row],[Affected population projection 2026]], 0.05), "")</f>
        <v>0.05</v>
      </c>
      <c r="AH141" s="322">
        <f>IFERROR(MROUND(tblPiNAnalysis[[#This Row],[HLP]]/tblPiNAnalysis[[#This Row],[Affected population projection 2026]], 0.05), "")</f>
        <v>0</v>
      </c>
      <c r="AI141" s="325">
        <f>IFERROR(LARGE(tblPiNAnalysis[[#This Row],[CCCM]:[WASH]], 1), "")</f>
        <v>139713.06019309364</v>
      </c>
      <c r="AJ141" s="326" t="str" cm="1">
        <f t="array" ref="AJ141">IF(tblPiNAnalysis[[#This Row],[Highest PiN]]="", "", _xlfn.TEXTJOIN(CHAR(10), TRUE, IF(tblPiNAnalysis[[#This Row],[Highest PiN]]=tblPiNAnalysis[[#This Row],[CCCM]:[WASH]], tblPiNAnalysis[[#Headers],[CCCM]:[WASH]], "")))</f>
        <v>Food Security</v>
      </c>
      <c r="AK141" s="327">
        <f>IF(tblPiNAnalysis[[#This Row],[Highest PiN]]="", "", tblPiNAnalysis[[#This Row],[Highest PiN]]/tblPiNAnalysis[[#This Row],[Affected population projection 2026]])</f>
        <v>0.66872973912759714</v>
      </c>
      <c r="AL141" s="328" t="str">
        <f>IF(SUM(tblPiNAnalysis[[#This Row],[CCCM]:[WASH]])=0, "",IF(COUNTIF(tblPiNAnalysis[[#This Row],[CCCM]:[WASH]],"=0")+COUNTIF(tblPiNAnalysis[[#This Row],[CCCM]:[WASH]],"")&gt;=zero_pin_thresh, "Flagged", ""))</f>
        <v/>
      </c>
      <c r="AM141" s="329" t="str">
        <f>IFERROR(IF(tblPiNAnalysis[[#This Row],[Highest PiN]]="", "", IF(tblPiNAnalysis[[#This Row],[Highest sector(s'') PiN %]]&gt;=flag_pin_perc, "Flagged", "")), "")</f>
        <v/>
      </c>
      <c r="AN141" s="330" t="str" cm="1">
        <f t="array" ref="AN141">IF(tblPiNAnalysis[[#This Row],[Highest PiN]]=0, "",  IF(OR(COUNTIF(tblPiNAnalysis[[#This Row],[Highest sector(s)]],tblSubSectorPopulation[Sector])), "Flagged", ""))</f>
        <v/>
      </c>
      <c r="AO141" s="46" cm="1">
        <f t="array" ref="AO14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100592.58212718245</v>
      </c>
      <c r="AP141" s="331" t="str" cm="1">
        <f t="array" ref="AP141">IF(tblPiNAnalysis[[#This Row],[2nd Highest PiN]]="", "", _xlfn.TEXTJOIN(CHAR(10), TRUE, IF(tblPiNAnalysis[[#This Row],[2nd Highest PiN]]=tblPiNAnalysis[[#This Row],[CCCM]:[WASH]], tblPiNAnalysis[[#Headers],[CCCM]:[WASH]], "")))</f>
        <v>WASH</v>
      </c>
      <c r="AQ141" s="36">
        <f>IFERROR(tblPiNAnalysis[[#This Row],[2nd Highest PiN]]/tblPiNAnalysis[[#This Row],[Affected population projection 2026]], "")</f>
        <v>0.48148148148148145</v>
      </c>
      <c r="AR141" s="46">
        <f>IFERROR(tblPiNAnalysis[[#This Row],[Highest PiN]]-tblPiNAnalysis[[#This Row],[2nd Highest PiN]], "")</f>
        <v>39120.478065911186</v>
      </c>
      <c r="AS141" s="39">
        <f>IFERROR(((tblPiNAnalysis[[#This Row],[Highest PiN]]-tblPiNAnalysis[[#This Row],[2nd Highest PiN]])/tblPiNAnalysis[[#This Row],[2nd Highest PiN]]),"")</f>
        <v>0.38890022741885583</v>
      </c>
      <c r="AT141" s="39" t="str" cm="1">
        <f t="array" ref="AT14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1" s="332" cm="1">
        <f t="array" ref="AU14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88283.247526447769</v>
      </c>
      <c r="AV141" s="190" t="str" cm="1">
        <f t="array" ref="AV141">IF(tblPiNAnalysis[[#This Row],[3rd Highest PiN]]="", "", _xlfn.TEXTJOIN(CHAR(10), TRUE, IF(tblPiNAnalysis[[#This Row],[3rd Highest PiN]]=tblPiNAnalysis[[#This Row],[CCCM]:[WASH]], tblPiNAnalysis[[#Headers],[CCCM]:[WASH]], "")))</f>
        <v>Health</v>
      </c>
      <c r="AW141" s="190">
        <f>IFERROR(tblPiNAnalysis[[#This Row],[3rd Highest PiN]]/tblPiNAnalysis[[#This Row],[Affected population projection 2026]], "")</f>
        <v>0.42256345259422556</v>
      </c>
      <c r="AX141" s="45">
        <f>IFERROR(tblPiNAnalysis[[#This Row],[Highest PiN]]-tblPiNAnalysis[[#This Row],[3rd Highest PiN]],"")</f>
        <v>51429.81266664587</v>
      </c>
      <c r="AY141" s="39">
        <f>IFERROR(tblPiNAnalysis[[#This Row],[Difference of PiN between Highest and 3rd Highest]]/tblPiNAnalysis[[#This Row],[3rd Highest PiN]], "")</f>
        <v>0.58255460812356952</v>
      </c>
      <c r="AZ141" s="330" t="str" cm="1">
        <f t="array" ref="AZ14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1" s="300" t="str" cm="1">
        <f t="array" ref="BA141">IFERROR(IF(tblPiNAnalysis[[#This Row],[ID]]="", "", INDEX(tblPiNHistorical[[CCCM]:[WASH]], MATCH(tblPiNAnalysis[[#This Row],[ID]],tblPiNHistorical[ID], 0),MATCH(_xlfn._xlws.FILTER(tblPiNAnalysis[[#Headers],[CCCM]:[WASH]], tblPiNAnalysis[[#This Row],[Highest PiN]]=tblPiNAnalysis[[#This Row],[CCCM]:[WASH]]), tblPiNHistorical[[#Headers],[CCCM]:[WASH]], 0))), "")</f>
        <v/>
      </c>
      <c r="BB141" s="333" t="str" cm="1">
        <f t="array" ref="BB14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1" s="276" t="str" cm="1">
        <f t="array" ref="BC14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1" s="334" t="str" cm="1">
        <f t="array" ref="BD14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1" s="276">
        <f>INDEX(tblSeverityAnalysis[Final Severity], MATCH(tblPiNAnalysis[[#This Row],[ID]],tblSeverityAnalysis[ID], 0))</f>
        <v>4</v>
      </c>
      <c r="BF141" s="61">
        <f>IF(tblPiNAnalysis[[#This Row],[Severity]]&gt;2,tblPiNAnalysis[[#This Row],[Highest PiN]],)</f>
        <v>139713.06019309364</v>
      </c>
      <c r="BG141" s="191"/>
      <c r="BH141" s="192"/>
      <c r="BI141" s="193">
        <f>COUNTIFS(tblPiNAnalysis[[#This Row],[Number of missing / zero PiNs greater than threshold - Data quality]:[Manual Flag]],"Flagged")</f>
        <v>2</v>
      </c>
      <c r="BJ141" s="96" t="str">
        <f>IF(tblPiNAnalysis[[#This Row],['# Flags]]&gt;0, "Flagged", "")</f>
        <v>Flagged</v>
      </c>
      <c r="BK141" s="326">
        <f>tblPiNAnalysis[[#This Row],[Preliminary PiN]]</f>
        <v>139713.06019309364</v>
      </c>
      <c r="BL141" s="331"/>
    </row>
    <row r="142" spans="1:64" x14ac:dyDescent="0.55000000000000004">
      <c r="A14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SS0712</v>
      </c>
      <c r="B142" s="316" t="s">
        <v>342</v>
      </c>
      <c r="C142" s="317" t="s">
        <v>343</v>
      </c>
      <c r="D142" s="317" t="s">
        <v>366</v>
      </c>
      <c r="E142" s="105" t="s">
        <v>367</v>
      </c>
      <c r="F142" s="100"/>
      <c r="G142" s="34"/>
      <c r="H142" s="34"/>
      <c r="I142" s="97">
        <v>68673.985334433135</v>
      </c>
      <c r="J142" s="97" t="s">
        <v>413</v>
      </c>
      <c r="K142" s="318"/>
      <c r="L142" s="319">
        <v>22309.43087574395</v>
      </c>
      <c r="M142" s="319">
        <v>32382.269370221249</v>
      </c>
      <c r="N142" s="319">
        <v>59789.271074592936</v>
      </c>
      <c r="O142" s="319">
        <v>44273.148190082211</v>
      </c>
      <c r="P142" s="319">
        <v>11369</v>
      </c>
      <c r="Q142" s="320">
        <v>29801.918163999289</v>
      </c>
      <c r="R142" s="319">
        <v>51505.489000824855</v>
      </c>
      <c r="S142" s="319">
        <v>8861</v>
      </c>
      <c r="T142" s="319">
        <v>9139</v>
      </c>
      <c r="U142" s="319">
        <v>2270</v>
      </c>
      <c r="V142" s="319">
        <v>1449</v>
      </c>
      <c r="W142" s="321" t="str">
        <f>IFERROR(IF(tblPiNAnalysis[[#This Row],[CCCM]]="", "", MROUND(tblPiNAnalysis[[#This Row],[CCCM]]/tblPiNAnalysis[[#This Row],[Affected population projection 2026]], 0.05)), "")</f>
        <v/>
      </c>
      <c r="X142" s="322">
        <f>IFERROR(IF(tblPiNAnalysis[[#This Row],[Education]]="", "", MROUND(tblPiNAnalysis[[#This Row],[Education]]/tblPiNAnalysis[[#This Row],[Affected population projection 2026]], 0.05)), "")</f>
        <v>0.30000000000000004</v>
      </c>
      <c r="Y142" s="322">
        <f>IFERROR(IF(tblPiNAnalysis[[#This Row],[Nutrition]]="", "", MROUND(tblPiNAnalysis[[#This Row],[Nutrition]]/tblPiNAnalysis[[#This Row],[Affected population projection 2026]], 0.05)), "")</f>
        <v>0.45</v>
      </c>
      <c r="Z142" s="322">
        <f>IFERROR(IF(tblPiNAnalysis[[#This Row],[Food Security]]="", "", MROUND(tblPiNAnalysis[[#This Row],[Food Security]]/tblPiNAnalysis[[#This Row],[Affected population projection 2026]], 0.05)), "")</f>
        <v>0.85000000000000009</v>
      </c>
      <c r="AA142" s="322">
        <f>IFERROR(IF(tblPiNAnalysis[[#This Row],[Health]]="", "", MROUND(tblPiNAnalysis[[#This Row],[Health]]/tblPiNAnalysis[[#This Row],[Affected population projection 2026]], 0.05)), "")</f>
        <v>0.65</v>
      </c>
      <c r="AB142" s="323">
        <f>IFERROR(IF(tblPiNAnalysis[[#This Row],[Overarching Protection]]="", "", MROUND(tblPiNAnalysis[[#This Row],[Overarching Protection]]/tblPiNAnalysis[[#This Row],[Affected population projection 2026]], 0.05)), "")</f>
        <v>0.15000000000000002</v>
      </c>
      <c r="AC142" s="323">
        <f>IFERROR(IF(tblPiNAnalysis[[#This Row],[Shelter]]="", "", MROUND(tblPiNAnalysis[[#This Row],[Shelter]]/tblPiNAnalysis[[#This Row],[Affected population projection 2026]], 0.05)), "")</f>
        <v>0.45</v>
      </c>
      <c r="AD142" s="324">
        <f>IFERROR(IF(tblPiNAnalysis[[#This Row],[WASH]]="", "", MROUND(tblPiNAnalysis[[#This Row],[WASH]]/tblPiNAnalysis[[#This Row],[Affected population projection 2026]], 0.05)), "")</f>
        <v>0.75</v>
      </c>
      <c r="AE142" s="322">
        <f>IFERROR(MROUND(tblPiNAnalysis[[#This Row],[CP]]/tblPiNAnalysis[[#This Row],[Affected population projection 2026]], 0.05), "")</f>
        <v>0.15000000000000002</v>
      </c>
      <c r="AF142" s="322">
        <f>IFERROR(MROUND(tblPiNAnalysis[[#This Row],[GBV]]/tblPiNAnalysis[[#This Row],[Affected population projection 2026]], 0.05), "")</f>
        <v>0.15000000000000002</v>
      </c>
      <c r="AG142" s="322">
        <f>IFERROR(MROUND(tblPiNAnalysis[[#This Row],[Mine Action]]/tblPiNAnalysis[[#This Row],[Affected population projection 2026]], 0.05), "")</f>
        <v>0.05</v>
      </c>
      <c r="AH142" s="322">
        <f>IFERROR(MROUND(tblPiNAnalysis[[#This Row],[HLP]]/tblPiNAnalysis[[#This Row],[Affected population projection 2026]], 0.05), "")</f>
        <v>0</v>
      </c>
      <c r="AI142" s="325">
        <f>IFERROR(LARGE(tblPiNAnalysis[[#This Row],[CCCM]:[WASH]], 1), "")</f>
        <v>59789.271074592936</v>
      </c>
      <c r="AJ142" s="326" t="str" cm="1">
        <f t="array" ref="AJ142">IF(tblPiNAnalysis[[#This Row],[Highest PiN]]="", "", _xlfn.TEXTJOIN(CHAR(10), TRUE, IF(tblPiNAnalysis[[#This Row],[Highest PiN]]=tblPiNAnalysis[[#This Row],[CCCM]:[WASH]], tblPiNAnalysis[[#Headers],[CCCM]:[WASH]], "")))</f>
        <v>Food Security</v>
      </c>
      <c r="AK142" s="327">
        <f>IF(tblPiNAnalysis[[#This Row],[Highest PiN]]="", "", tblPiNAnalysis[[#This Row],[Highest PiN]]/tblPiNAnalysis[[#This Row],[Affected population projection 2026]])</f>
        <v>0.87062474652413391</v>
      </c>
      <c r="AL142" s="328" t="str">
        <f>IF(SUM(tblPiNAnalysis[[#This Row],[CCCM]:[WASH]])=0, "",IF(COUNTIF(tblPiNAnalysis[[#This Row],[CCCM]:[WASH]],"=0")+COUNTIF(tblPiNAnalysis[[#This Row],[CCCM]:[WASH]],"")&gt;=zero_pin_thresh, "Flagged", ""))</f>
        <v/>
      </c>
      <c r="AM142" s="329" t="str">
        <f>IFERROR(IF(tblPiNAnalysis[[#This Row],[Highest PiN]]="", "", IF(tblPiNAnalysis[[#This Row],[Highest sector(s'') PiN %]]&gt;=flag_pin_perc, "Flagged", "")), "")</f>
        <v/>
      </c>
      <c r="AN142" s="330" t="str" cm="1">
        <f t="array" ref="AN142">IF(tblPiNAnalysis[[#This Row],[Highest PiN]]=0, "",  IF(OR(COUNTIF(tblPiNAnalysis[[#This Row],[Highest sector(s)]],tblSubSectorPopulation[Sector])), "Flagged", ""))</f>
        <v/>
      </c>
      <c r="AO142" s="46" cm="1">
        <f t="array" ref="AO14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51505.489000824855</v>
      </c>
      <c r="AP142" s="331" t="str" cm="1">
        <f t="array" ref="AP142">IF(tblPiNAnalysis[[#This Row],[2nd Highest PiN]]="", "", _xlfn.TEXTJOIN(CHAR(10), TRUE, IF(tblPiNAnalysis[[#This Row],[2nd Highest PiN]]=tblPiNAnalysis[[#This Row],[CCCM]:[WASH]], tblPiNAnalysis[[#Headers],[CCCM]:[WASH]], "")))</f>
        <v>WASH</v>
      </c>
      <c r="AQ142" s="36">
        <f>IFERROR(tblPiNAnalysis[[#This Row],[2nd Highest PiN]]/tblPiNAnalysis[[#This Row],[Affected population projection 2026]], "")</f>
        <v>0.75</v>
      </c>
      <c r="AR142" s="46">
        <f>IFERROR(tblPiNAnalysis[[#This Row],[Highest PiN]]-tblPiNAnalysis[[#This Row],[2nd Highest PiN]], "")</f>
        <v>8283.7820737680813</v>
      </c>
      <c r="AS142" s="39">
        <f>IFERROR(((tblPiNAnalysis[[#This Row],[Highest PiN]]-tblPiNAnalysis[[#This Row],[2nd Highest PiN]])/tblPiNAnalysis[[#This Row],[2nd Highest PiN]]),"")</f>
        <v>0.16083299536551177</v>
      </c>
      <c r="AT142" s="39" t="str" cm="1">
        <f t="array" ref="AT14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2" s="332" cm="1">
        <f t="array" ref="AU14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44273.148190082211</v>
      </c>
      <c r="AV142" s="190" t="str" cm="1">
        <f t="array" ref="AV142">IF(tblPiNAnalysis[[#This Row],[3rd Highest PiN]]="", "", _xlfn.TEXTJOIN(CHAR(10), TRUE, IF(tblPiNAnalysis[[#This Row],[3rd Highest PiN]]=tblPiNAnalysis[[#This Row],[CCCM]:[WASH]], tblPiNAnalysis[[#Headers],[CCCM]:[WASH]], "")))</f>
        <v>Health</v>
      </c>
      <c r="AW142" s="190">
        <f>IFERROR(tblPiNAnalysis[[#This Row],[3rd Highest PiN]]/tblPiNAnalysis[[#This Row],[Affected population projection 2026]], "")</f>
        <v>0.64468587303442337</v>
      </c>
      <c r="AX142" s="45">
        <f>IFERROR(tblPiNAnalysis[[#This Row],[Highest PiN]]-tblPiNAnalysis[[#This Row],[3rd Highest PiN]],"")</f>
        <v>15516.122884510725</v>
      </c>
      <c r="AY142" s="39">
        <f>IFERROR(tblPiNAnalysis[[#This Row],[Difference of PiN between Highest and 3rd Highest]]/tblPiNAnalysis[[#This Row],[3rd Highest PiN]], "")</f>
        <v>0.35046350934642928</v>
      </c>
      <c r="AZ142" s="330" t="str" cm="1">
        <f t="array" ref="AZ14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2" s="300" t="str" cm="1">
        <f t="array" ref="BA142">IFERROR(IF(tblPiNAnalysis[[#This Row],[ID]]="", "", INDEX(tblPiNHistorical[[CCCM]:[WASH]], MATCH(tblPiNAnalysis[[#This Row],[ID]],tblPiNHistorical[ID], 0),MATCH(_xlfn._xlws.FILTER(tblPiNAnalysis[[#Headers],[CCCM]:[WASH]], tblPiNAnalysis[[#This Row],[Highest PiN]]=tblPiNAnalysis[[#This Row],[CCCM]:[WASH]]), tblPiNHistorical[[#Headers],[CCCM]:[WASH]], 0))), "")</f>
        <v/>
      </c>
      <c r="BB142" s="333" t="str" cm="1">
        <f t="array" ref="BB14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2" s="276" t="str" cm="1">
        <f t="array" ref="BC14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2" s="334" t="str" cm="1">
        <f t="array" ref="BD14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2" s="276">
        <f>INDEX(tblSeverityAnalysis[Final Severity], MATCH(tblPiNAnalysis[[#This Row],[ID]],tblSeverityAnalysis[ID], 0))</f>
        <v>5</v>
      </c>
      <c r="BF142" s="61">
        <f>IF(tblPiNAnalysis[[#This Row],[Severity]]&gt;2,tblPiNAnalysis[[#This Row],[Highest PiN]],)</f>
        <v>59789.271074592936</v>
      </c>
      <c r="BG142" s="191"/>
      <c r="BH142" s="192"/>
      <c r="BI142" s="193">
        <f>COUNTIFS(tblPiNAnalysis[[#This Row],[Number of missing / zero PiNs greater than threshold - Data quality]:[Manual Flag]],"Flagged")</f>
        <v>0</v>
      </c>
      <c r="BJ142" s="96" t="str">
        <f>IF(tblPiNAnalysis[[#This Row],['# Flags]]&gt;0, "Flagged", "")</f>
        <v/>
      </c>
      <c r="BK142" s="326">
        <f>tblPiNAnalysis[[#This Row],[Preliminary PiN]]</f>
        <v>59789.271074592936</v>
      </c>
      <c r="BL142" s="331"/>
    </row>
    <row r="143" spans="1:64" x14ac:dyDescent="0.55000000000000004">
      <c r="A14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SS0801</v>
      </c>
      <c r="B143" s="316" t="s">
        <v>368</v>
      </c>
      <c r="C143" s="317" t="s">
        <v>369</v>
      </c>
      <c r="D143" s="317" t="s">
        <v>370</v>
      </c>
      <c r="E143" s="105" t="s">
        <v>371</v>
      </c>
      <c r="F143" s="100"/>
      <c r="G143" s="34"/>
      <c r="H143" s="34"/>
      <c r="I143" s="97">
        <v>66451.811981503241</v>
      </c>
      <c r="J143" s="97" t="s">
        <v>413</v>
      </c>
      <c r="K143" s="318"/>
      <c r="L143" s="319">
        <v>12506.231014918911</v>
      </c>
      <c r="M143" s="319">
        <v>31059.156167903904</v>
      </c>
      <c r="N143" s="319">
        <v>38920.789012075693</v>
      </c>
      <c r="O143" s="319">
        <v>31977.818219906374</v>
      </c>
      <c r="P143" s="319">
        <v>11294</v>
      </c>
      <c r="Q143" s="320">
        <v>26271.646597338491</v>
      </c>
      <c r="R143" s="319">
        <v>22150.603993834415</v>
      </c>
      <c r="S143" s="319">
        <v>9417</v>
      </c>
      <c r="T143" s="319">
        <v>10646</v>
      </c>
      <c r="U143" s="319">
        <v>2437</v>
      </c>
      <c r="V143" s="319">
        <v>682</v>
      </c>
      <c r="W143" s="321" t="str">
        <f>IFERROR(IF(tblPiNAnalysis[[#This Row],[CCCM]]="", "", MROUND(tblPiNAnalysis[[#This Row],[CCCM]]/tblPiNAnalysis[[#This Row],[Affected population projection 2026]], 0.05)), "")</f>
        <v/>
      </c>
      <c r="X143" s="322">
        <f>IFERROR(IF(tblPiNAnalysis[[#This Row],[Education]]="", "", MROUND(tblPiNAnalysis[[#This Row],[Education]]/tblPiNAnalysis[[#This Row],[Affected population projection 2026]], 0.05)), "")</f>
        <v>0.2</v>
      </c>
      <c r="Y143" s="322">
        <f>IFERROR(IF(tblPiNAnalysis[[#This Row],[Nutrition]]="", "", MROUND(tblPiNAnalysis[[#This Row],[Nutrition]]/tblPiNAnalysis[[#This Row],[Affected population projection 2026]], 0.05)), "")</f>
        <v>0.45</v>
      </c>
      <c r="Z143" s="322">
        <f>IFERROR(IF(tblPiNAnalysis[[#This Row],[Food Security]]="", "", MROUND(tblPiNAnalysis[[#This Row],[Food Security]]/tblPiNAnalysis[[#This Row],[Affected population projection 2026]], 0.05)), "")</f>
        <v>0.60000000000000009</v>
      </c>
      <c r="AA143" s="322">
        <f>IFERROR(IF(tblPiNAnalysis[[#This Row],[Health]]="", "", MROUND(tblPiNAnalysis[[#This Row],[Health]]/tblPiNAnalysis[[#This Row],[Affected population projection 2026]], 0.05)), "")</f>
        <v>0.5</v>
      </c>
      <c r="AB143" s="323">
        <f>IFERROR(IF(tblPiNAnalysis[[#This Row],[Overarching Protection]]="", "", MROUND(tblPiNAnalysis[[#This Row],[Overarching Protection]]/tblPiNAnalysis[[#This Row],[Affected population projection 2026]], 0.05)), "")</f>
        <v>0.15000000000000002</v>
      </c>
      <c r="AC143" s="323">
        <f>IFERROR(IF(tblPiNAnalysis[[#This Row],[Shelter]]="", "", MROUND(tblPiNAnalysis[[#This Row],[Shelter]]/tblPiNAnalysis[[#This Row],[Affected population projection 2026]], 0.05)), "")</f>
        <v>0.4</v>
      </c>
      <c r="AD143" s="324">
        <f>IFERROR(IF(tblPiNAnalysis[[#This Row],[WASH]]="", "", MROUND(tblPiNAnalysis[[#This Row],[WASH]]/tblPiNAnalysis[[#This Row],[Affected population projection 2026]], 0.05)), "")</f>
        <v>0.35000000000000003</v>
      </c>
      <c r="AE143" s="322">
        <f>IFERROR(MROUND(tblPiNAnalysis[[#This Row],[CP]]/tblPiNAnalysis[[#This Row],[Affected population projection 2026]], 0.05), "")</f>
        <v>0.15000000000000002</v>
      </c>
      <c r="AF143" s="322">
        <f>IFERROR(MROUND(tblPiNAnalysis[[#This Row],[GBV]]/tblPiNAnalysis[[#This Row],[Affected population projection 2026]], 0.05), "")</f>
        <v>0.15000000000000002</v>
      </c>
      <c r="AG143" s="322">
        <f>IFERROR(MROUND(tblPiNAnalysis[[#This Row],[Mine Action]]/tblPiNAnalysis[[#This Row],[Affected population projection 2026]], 0.05), "")</f>
        <v>0.05</v>
      </c>
      <c r="AH143" s="322">
        <f>IFERROR(MROUND(tblPiNAnalysis[[#This Row],[HLP]]/tblPiNAnalysis[[#This Row],[Affected population projection 2026]], 0.05), "")</f>
        <v>0</v>
      </c>
      <c r="AI143" s="325">
        <f>IFERROR(LARGE(tblPiNAnalysis[[#This Row],[CCCM]:[WASH]], 1), "")</f>
        <v>38920.789012075693</v>
      </c>
      <c r="AJ143" s="326" t="str" cm="1">
        <f t="array" ref="AJ143">IF(tblPiNAnalysis[[#This Row],[Highest PiN]]="", "", _xlfn.TEXTJOIN(CHAR(10), TRUE, IF(tblPiNAnalysis[[#This Row],[Highest PiN]]=tblPiNAnalysis[[#This Row],[CCCM]:[WASH]], tblPiNAnalysis[[#Headers],[CCCM]:[WASH]], "")))</f>
        <v>Food Security</v>
      </c>
      <c r="AK143" s="327">
        <f>IF(tblPiNAnalysis[[#This Row],[Highest PiN]]="", "", tblPiNAnalysis[[#This Row],[Highest PiN]]/tblPiNAnalysis[[#This Row],[Affected population projection 2026]])</f>
        <v>0.58569943921031431</v>
      </c>
      <c r="AL143" s="328" t="str">
        <f>IF(SUM(tblPiNAnalysis[[#This Row],[CCCM]:[WASH]])=0, "",IF(COUNTIF(tblPiNAnalysis[[#This Row],[CCCM]:[WASH]],"=0")+COUNTIF(tblPiNAnalysis[[#This Row],[CCCM]:[WASH]],"")&gt;=zero_pin_thresh, "Flagged", ""))</f>
        <v/>
      </c>
      <c r="AM143" s="329" t="str">
        <f>IFERROR(IF(tblPiNAnalysis[[#This Row],[Highest PiN]]="", "", IF(tblPiNAnalysis[[#This Row],[Highest sector(s'') PiN %]]&gt;=flag_pin_perc, "Flagged", "")), "")</f>
        <v/>
      </c>
      <c r="AN143" s="330" t="str" cm="1">
        <f t="array" ref="AN143">IF(tblPiNAnalysis[[#This Row],[Highest PiN]]=0, "",  IF(OR(COUNTIF(tblPiNAnalysis[[#This Row],[Highest sector(s)]],tblSubSectorPopulation[Sector])), "Flagged", ""))</f>
        <v/>
      </c>
      <c r="AO143" s="46" cm="1">
        <f t="array" ref="AO14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31977.818219906374</v>
      </c>
      <c r="AP143" s="331" t="str" cm="1">
        <f t="array" ref="AP143">IF(tblPiNAnalysis[[#This Row],[2nd Highest PiN]]="", "", _xlfn.TEXTJOIN(CHAR(10), TRUE, IF(tblPiNAnalysis[[#This Row],[2nd Highest PiN]]=tblPiNAnalysis[[#This Row],[CCCM]:[WASH]], tblPiNAnalysis[[#Headers],[CCCM]:[WASH]], "")))</f>
        <v>Health</v>
      </c>
      <c r="AQ143" s="36">
        <f>IFERROR(tblPiNAnalysis[[#This Row],[2nd Highest PiN]]/tblPiNAnalysis[[#This Row],[Affected population projection 2026]], "")</f>
        <v>0.48121815291970294</v>
      </c>
      <c r="AR143" s="46">
        <f>IFERROR(tblPiNAnalysis[[#This Row],[Highest PiN]]-tblPiNAnalysis[[#This Row],[2nd Highest PiN]], "")</f>
        <v>6942.9707921693189</v>
      </c>
      <c r="AS143" s="39">
        <f>IFERROR(((tblPiNAnalysis[[#This Row],[Highest PiN]]-tblPiNAnalysis[[#This Row],[2nd Highest PiN]])/tblPiNAnalysis[[#This Row],[2nd Highest PiN]]),"")</f>
        <v>0.2171183394821877</v>
      </c>
      <c r="AT143" s="39" t="str" cm="1">
        <f t="array" ref="AT14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3" s="332" cm="1">
        <f t="array" ref="AU14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31059.156167903904</v>
      </c>
      <c r="AV143" s="190" t="str" cm="1">
        <f t="array" ref="AV143">IF(tblPiNAnalysis[[#This Row],[3rd Highest PiN]]="", "", _xlfn.TEXTJOIN(CHAR(10), TRUE, IF(tblPiNAnalysis[[#This Row],[3rd Highest PiN]]=tblPiNAnalysis[[#This Row],[CCCM]:[WASH]], tblPiNAnalysis[[#Headers],[CCCM]:[WASH]], "")))</f>
        <v>Nutrition</v>
      </c>
      <c r="AW143" s="190">
        <f>IFERROR(tblPiNAnalysis[[#This Row],[3rd Highest PiN]]/tblPiNAnalysis[[#This Row],[Affected population projection 2026]], "")</f>
        <v>0.46739366831034151</v>
      </c>
      <c r="AX143" s="45">
        <f>IFERROR(tblPiNAnalysis[[#This Row],[Highest PiN]]-tblPiNAnalysis[[#This Row],[3rd Highest PiN]],"")</f>
        <v>7861.6328441717887</v>
      </c>
      <c r="AY143" s="39">
        <f>IFERROR(tblPiNAnalysis[[#This Row],[Difference of PiN between Highest and 3rd Highest]]/tblPiNAnalysis[[#This Row],[3rd Highest PiN]], "")</f>
        <v>0.25311804357054263</v>
      </c>
      <c r="AZ143" s="330" t="str" cm="1">
        <f t="array" ref="AZ14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3" s="300" t="str" cm="1">
        <f t="array" ref="BA143">IFERROR(IF(tblPiNAnalysis[[#This Row],[ID]]="", "", INDEX(tblPiNHistorical[[CCCM]:[WASH]], MATCH(tblPiNAnalysis[[#This Row],[ID]],tblPiNHistorical[ID], 0),MATCH(_xlfn._xlws.FILTER(tblPiNAnalysis[[#Headers],[CCCM]:[WASH]], tblPiNAnalysis[[#This Row],[Highest PiN]]=tblPiNAnalysis[[#This Row],[CCCM]:[WASH]]), tblPiNHistorical[[#Headers],[CCCM]:[WASH]], 0))), "")</f>
        <v/>
      </c>
      <c r="BB143" s="333" t="str" cm="1">
        <f t="array" ref="BB14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3" s="276" t="str" cm="1">
        <f t="array" ref="BC14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3" s="334" t="str" cm="1">
        <f t="array" ref="BD14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3" s="276">
        <f>INDEX(tblSeverityAnalysis[Final Severity], MATCH(tblPiNAnalysis[[#This Row],[ID]],tblSeverityAnalysis[ID], 0))</f>
        <v>3</v>
      </c>
      <c r="BF143" s="61">
        <f>IF(tblPiNAnalysis[[#This Row],[Severity]]&gt;2,tblPiNAnalysis[[#This Row],[Highest PiN]],)</f>
        <v>38920.789012075693</v>
      </c>
      <c r="BG143" s="191"/>
      <c r="BH143" s="192"/>
      <c r="BI143" s="193">
        <f>COUNTIFS(tblPiNAnalysis[[#This Row],[Number of missing / zero PiNs greater than threshold - Data quality]:[Manual Flag]],"Flagged")</f>
        <v>0</v>
      </c>
      <c r="BJ143" s="96" t="str">
        <f>IF(tblPiNAnalysis[[#This Row],['# Flags]]&gt;0, "Flagged", "")</f>
        <v/>
      </c>
      <c r="BK143" s="326">
        <f>tblPiNAnalysis[[#This Row],[Preliminary PiN]]</f>
        <v>38920.789012075693</v>
      </c>
      <c r="BL143" s="331"/>
    </row>
    <row r="144" spans="1:64" x14ac:dyDescent="0.55000000000000004">
      <c r="A14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SS0802</v>
      </c>
      <c r="B144" s="316" t="s">
        <v>368</v>
      </c>
      <c r="C144" s="317" t="s">
        <v>369</v>
      </c>
      <c r="D144" s="317" t="s">
        <v>372</v>
      </c>
      <c r="E144" s="105" t="s">
        <v>373</v>
      </c>
      <c r="F144" s="100"/>
      <c r="G144" s="34"/>
      <c r="H144" s="34"/>
      <c r="I144" s="97">
        <v>175059.60932121321</v>
      </c>
      <c r="J144" s="97" t="s">
        <v>413</v>
      </c>
      <c r="K144" s="318"/>
      <c r="L144" s="319">
        <v>39838.122727658229</v>
      </c>
      <c r="M144" s="319">
        <v>82753.758453595903</v>
      </c>
      <c r="N144" s="319">
        <v>93064.484746472765</v>
      </c>
      <c r="O144" s="319">
        <v>88745.812972787884</v>
      </c>
      <c r="P144" s="319">
        <v>60142</v>
      </c>
      <c r="Q144" s="320">
        <v>61424.424323232699</v>
      </c>
      <c r="R144" s="319">
        <v>87529.804660606605</v>
      </c>
      <c r="S144" s="319">
        <v>24295</v>
      </c>
      <c r="T144" s="319">
        <v>40327</v>
      </c>
      <c r="U144" s="319">
        <v>6232</v>
      </c>
      <c r="V144" s="319">
        <v>1897</v>
      </c>
      <c r="W144" s="321" t="str">
        <f>IFERROR(IF(tblPiNAnalysis[[#This Row],[CCCM]]="", "", MROUND(tblPiNAnalysis[[#This Row],[CCCM]]/tblPiNAnalysis[[#This Row],[Affected population projection 2026]], 0.05)), "")</f>
        <v/>
      </c>
      <c r="X144" s="322">
        <f>IFERROR(IF(tblPiNAnalysis[[#This Row],[Education]]="", "", MROUND(tblPiNAnalysis[[#This Row],[Education]]/tblPiNAnalysis[[#This Row],[Affected population projection 2026]], 0.05)), "")</f>
        <v>0.25</v>
      </c>
      <c r="Y144" s="322">
        <f>IFERROR(IF(tblPiNAnalysis[[#This Row],[Nutrition]]="", "", MROUND(tblPiNAnalysis[[#This Row],[Nutrition]]/tblPiNAnalysis[[#This Row],[Affected population projection 2026]], 0.05)), "")</f>
        <v>0.45</v>
      </c>
      <c r="Z144" s="322">
        <f>IFERROR(IF(tblPiNAnalysis[[#This Row],[Food Security]]="", "", MROUND(tblPiNAnalysis[[#This Row],[Food Security]]/tblPiNAnalysis[[#This Row],[Affected population projection 2026]], 0.05)), "")</f>
        <v>0.55000000000000004</v>
      </c>
      <c r="AA144" s="322">
        <f>IFERROR(IF(tblPiNAnalysis[[#This Row],[Health]]="", "", MROUND(tblPiNAnalysis[[#This Row],[Health]]/tblPiNAnalysis[[#This Row],[Affected population projection 2026]], 0.05)), "")</f>
        <v>0.5</v>
      </c>
      <c r="AB144" s="323">
        <f>IFERROR(IF(tblPiNAnalysis[[#This Row],[Overarching Protection]]="", "", MROUND(tblPiNAnalysis[[#This Row],[Overarching Protection]]/tblPiNAnalysis[[#This Row],[Affected population projection 2026]], 0.05)), "")</f>
        <v>0.35000000000000003</v>
      </c>
      <c r="AC144" s="323">
        <f>IFERROR(IF(tblPiNAnalysis[[#This Row],[Shelter]]="", "", MROUND(tblPiNAnalysis[[#This Row],[Shelter]]/tblPiNAnalysis[[#This Row],[Affected population projection 2026]], 0.05)), "")</f>
        <v>0.35000000000000003</v>
      </c>
      <c r="AD144" s="324">
        <f>IFERROR(IF(tblPiNAnalysis[[#This Row],[WASH]]="", "", MROUND(tblPiNAnalysis[[#This Row],[WASH]]/tblPiNAnalysis[[#This Row],[Affected population projection 2026]], 0.05)), "")</f>
        <v>0.5</v>
      </c>
      <c r="AE144" s="322">
        <f>IFERROR(MROUND(tblPiNAnalysis[[#This Row],[CP]]/tblPiNAnalysis[[#This Row],[Affected population projection 2026]], 0.05), "")</f>
        <v>0.15000000000000002</v>
      </c>
      <c r="AF144" s="322">
        <f>IFERROR(MROUND(tblPiNAnalysis[[#This Row],[GBV]]/tblPiNAnalysis[[#This Row],[Affected population projection 2026]], 0.05), "")</f>
        <v>0.25</v>
      </c>
      <c r="AG144" s="322">
        <f>IFERROR(MROUND(tblPiNAnalysis[[#This Row],[Mine Action]]/tblPiNAnalysis[[#This Row],[Affected population projection 2026]], 0.05), "")</f>
        <v>0.05</v>
      </c>
      <c r="AH144" s="322">
        <f>IFERROR(MROUND(tblPiNAnalysis[[#This Row],[HLP]]/tblPiNAnalysis[[#This Row],[Affected population projection 2026]], 0.05), "")</f>
        <v>0</v>
      </c>
      <c r="AI144" s="325">
        <f>IFERROR(LARGE(tblPiNAnalysis[[#This Row],[CCCM]:[WASH]], 1), "")</f>
        <v>93064.484746472765</v>
      </c>
      <c r="AJ144" s="326" t="str" cm="1">
        <f t="array" ref="AJ144">IF(tblPiNAnalysis[[#This Row],[Highest PiN]]="", "", _xlfn.TEXTJOIN(CHAR(10), TRUE, IF(tblPiNAnalysis[[#This Row],[Highest PiN]]=tblPiNAnalysis[[#This Row],[CCCM]:[WASH]], tblPiNAnalysis[[#Headers],[CCCM]:[WASH]], "")))</f>
        <v>Food Security</v>
      </c>
      <c r="AK144" s="327">
        <f>IF(tblPiNAnalysis[[#This Row],[Highest PiN]]="", "", tblPiNAnalysis[[#This Row],[Highest PiN]]/tblPiNAnalysis[[#This Row],[Affected population projection 2026]])</f>
        <v>0.53161597416632345</v>
      </c>
      <c r="AL144" s="328" t="str">
        <f>IF(SUM(tblPiNAnalysis[[#This Row],[CCCM]:[WASH]])=0, "",IF(COUNTIF(tblPiNAnalysis[[#This Row],[CCCM]:[WASH]],"=0")+COUNTIF(tblPiNAnalysis[[#This Row],[CCCM]:[WASH]],"")&gt;=zero_pin_thresh, "Flagged", ""))</f>
        <v/>
      </c>
      <c r="AM144" s="329" t="str">
        <f>IFERROR(IF(tblPiNAnalysis[[#This Row],[Highest PiN]]="", "", IF(tblPiNAnalysis[[#This Row],[Highest sector(s'') PiN %]]&gt;=flag_pin_perc, "Flagged", "")), "")</f>
        <v/>
      </c>
      <c r="AN144" s="330" t="str" cm="1">
        <f t="array" ref="AN144">IF(tblPiNAnalysis[[#This Row],[Highest PiN]]=0, "",  IF(OR(COUNTIF(tblPiNAnalysis[[#This Row],[Highest sector(s)]],tblSubSectorPopulation[Sector])), "Flagged", ""))</f>
        <v/>
      </c>
      <c r="AO144" s="46" cm="1">
        <f t="array" ref="AO14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88745.812972787884</v>
      </c>
      <c r="AP144" s="331" t="str" cm="1">
        <f t="array" ref="AP144">IF(tblPiNAnalysis[[#This Row],[2nd Highest PiN]]="", "", _xlfn.TEXTJOIN(CHAR(10), TRUE, IF(tblPiNAnalysis[[#This Row],[2nd Highest PiN]]=tblPiNAnalysis[[#This Row],[CCCM]:[WASH]], tblPiNAnalysis[[#Headers],[CCCM]:[WASH]], "")))</f>
        <v>Health</v>
      </c>
      <c r="AQ144" s="36">
        <f>IFERROR(tblPiNAnalysis[[#This Row],[2nd Highest PiN]]/tblPiNAnalysis[[#This Row],[Affected population projection 2026]], "")</f>
        <v>0.50694625286150419</v>
      </c>
      <c r="AR144" s="46">
        <f>IFERROR(tblPiNAnalysis[[#This Row],[Highest PiN]]-tblPiNAnalysis[[#This Row],[2nd Highest PiN]], "")</f>
        <v>4318.6717736848805</v>
      </c>
      <c r="AS144" s="39">
        <f>IFERROR(((tblPiNAnalysis[[#This Row],[Highest PiN]]-tblPiNAnalysis[[#This Row],[2nd Highest PiN]])/tblPiNAnalysis[[#This Row],[2nd Highest PiN]]),"")</f>
        <v>4.8663386237828642E-2</v>
      </c>
      <c r="AT144" s="39" t="str" cm="1">
        <f t="array" ref="AT14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4" s="332" cm="1">
        <f t="array" ref="AU14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87529.804660606605</v>
      </c>
      <c r="AV144" s="190" t="str" cm="1">
        <f t="array" ref="AV144">IF(tblPiNAnalysis[[#This Row],[3rd Highest PiN]]="", "", _xlfn.TEXTJOIN(CHAR(10), TRUE, IF(tblPiNAnalysis[[#This Row],[3rd Highest PiN]]=tblPiNAnalysis[[#This Row],[CCCM]:[WASH]], tblPiNAnalysis[[#Headers],[CCCM]:[WASH]], "")))</f>
        <v>WASH</v>
      </c>
      <c r="AW144" s="190">
        <f>IFERROR(tblPiNAnalysis[[#This Row],[3rd Highest PiN]]/tblPiNAnalysis[[#This Row],[Affected population projection 2026]], "")</f>
        <v>0.5</v>
      </c>
      <c r="AX144" s="45">
        <f>IFERROR(tblPiNAnalysis[[#This Row],[Highest PiN]]-tblPiNAnalysis[[#This Row],[3rd Highest PiN]],"")</f>
        <v>5534.6800858661591</v>
      </c>
      <c r="AY144" s="39">
        <f>IFERROR(tblPiNAnalysis[[#This Row],[Difference of PiN between Highest and 3rd Highest]]/tblPiNAnalysis[[#This Row],[3rd Highest PiN]], "")</f>
        <v>6.3231948332646976E-2</v>
      </c>
      <c r="AZ144" s="330" t="str" cm="1">
        <f t="array" ref="AZ14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4" s="300" t="str" cm="1">
        <f t="array" ref="BA144">IFERROR(IF(tblPiNAnalysis[[#This Row],[ID]]="", "", INDEX(tblPiNHistorical[[CCCM]:[WASH]], MATCH(tblPiNAnalysis[[#This Row],[ID]],tblPiNHistorical[ID], 0),MATCH(_xlfn._xlws.FILTER(tblPiNAnalysis[[#Headers],[CCCM]:[WASH]], tblPiNAnalysis[[#This Row],[Highest PiN]]=tblPiNAnalysis[[#This Row],[CCCM]:[WASH]]), tblPiNHistorical[[#Headers],[CCCM]:[WASH]], 0))), "")</f>
        <v/>
      </c>
      <c r="BB144" s="333" t="str" cm="1">
        <f t="array" ref="BB14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4" s="276" t="str" cm="1">
        <f t="array" ref="BC14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4" s="334" t="str" cm="1">
        <f t="array" ref="BD14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4" s="276">
        <f>INDEX(tblSeverityAnalysis[Final Severity], MATCH(tblPiNAnalysis[[#This Row],[ID]],tblSeverityAnalysis[ID], 0))</f>
        <v>3</v>
      </c>
      <c r="BF144" s="61">
        <f>IF(tblPiNAnalysis[[#This Row],[Severity]]&gt;2,tblPiNAnalysis[[#This Row],[Highest PiN]],)</f>
        <v>93064.484746472765</v>
      </c>
      <c r="BG144" s="191"/>
      <c r="BH144" s="192"/>
      <c r="BI144" s="193">
        <f>COUNTIFS(tblPiNAnalysis[[#This Row],[Number of missing / zero PiNs greater than threshold - Data quality]:[Manual Flag]],"Flagged")</f>
        <v>0</v>
      </c>
      <c r="BJ144" s="96" t="str">
        <f>IF(tblPiNAnalysis[[#This Row],['# Flags]]&gt;0, "Flagged", "")</f>
        <v/>
      </c>
      <c r="BK144" s="326">
        <f>tblPiNAnalysis[[#This Row],[Preliminary PiN]]</f>
        <v>93064.484746472765</v>
      </c>
      <c r="BL144" s="331"/>
    </row>
    <row r="145" spans="1:64" x14ac:dyDescent="0.55000000000000004">
      <c r="A14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SS0803</v>
      </c>
      <c r="B145" s="316" t="s">
        <v>368</v>
      </c>
      <c r="C145" s="317" t="s">
        <v>369</v>
      </c>
      <c r="D145" s="317" t="s">
        <v>374</v>
      </c>
      <c r="E145" s="105" t="s">
        <v>375</v>
      </c>
      <c r="F145" s="100"/>
      <c r="G145" s="34"/>
      <c r="H145" s="34"/>
      <c r="I145" s="97">
        <v>118674.00478882086</v>
      </c>
      <c r="J145" s="97" t="s">
        <v>413</v>
      </c>
      <c r="K145" s="318"/>
      <c r="L145" s="319">
        <v>38823.275009425401</v>
      </c>
      <c r="M145" s="319">
        <v>66304.246767566918</v>
      </c>
      <c r="N145" s="319">
        <v>87510.12561893872</v>
      </c>
      <c r="O145" s="319">
        <v>50763.66976398851</v>
      </c>
      <c r="P145" s="319">
        <v>40780</v>
      </c>
      <c r="Q145" s="320">
        <v>70639.288564774324</v>
      </c>
      <c r="R145" s="319">
        <v>58238.169016736174</v>
      </c>
      <c r="S145" s="319">
        <v>38672</v>
      </c>
      <c r="T145" s="319">
        <v>26152</v>
      </c>
      <c r="U145" s="319">
        <v>4113</v>
      </c>
      <c r="V145" s="319">
        <v>2168</v>
      </c>
      <c r="W145" s="321" t="str">
        <f>IFERROR(IF(tblPiNAnalysis[[#This Row],[CCCM]]="", "", MROUND(tblPiNAnalysis[[#This Row],[CCCM]]/tblPiNAnalysis[[#This Row],[Affected population projection 2026]], 0.05)), "")</f>
        <v/>
      </c>
      <c r="X145" s="322">
        <f>IFERROR(IF(tblPiNAnalysis[[#This Row],[Education]]="", "", MROUND(tblPiNAnalysis[[#This Row],[Education]]/tblPiNAnalysis[[#This Row],[Affected population projection 2026]], 0.05)), "")</f>
        <v>0.35000000000000003</v>
      </c>
      <c r="Y145" s="322">
        <f>IFERROR(IF(tblPiNAnalysis[[#This Row],[Nutrition]]="", "", MROUND(tblPiNAnalysis[[#This Row],[Nutrition]]/tblPiNAnalysis[[#This Row],[Affected population projection 2026]], 0.05)), "")</f>
        <v>0.55000000000000004</v>
      </c>
      <c r="Z145" s="322">
        <f>IFERROR(IF(tblPiNAnalysis[[#This Row],[Food Security]]="", "", MROUND(tblPiNAnalysis[[#This Row],[Food Security]]/tblPiNAnalysis[[#This Row],[Affected population projection 2026]], 0.05)), "")</f>
        <v>0.75</v>
      </c>
      <c r="AA145" s="322">
        <f>IFERROR(IF(tblPiNAnalysis[[#This Row],[Health]]="", "", MROUND(tblPiNAnalysis[[#This Row],[Health]]/tblPiNAnalysis[[#This Row],[Affected population projection 2026]], 0.05)), "")</f>
        <v>0.45</v>
      </c>
      <c r="AB145" s="323">
        <f>IFERROR(IF(tblPiNAnalysis[[#This Row],[Overarching Protection]]="", "", MROUND(tblPiNAnalysis[[#This Row],[Overarching Protection]]/tblPiNAnalysis[[#This Row],[Affected population projection 2026]], 0.05)), "")</f>
        <v>0.35000000000000003</v>
      </c>
      <c r="AC145" s="323">
        <f>IFERROR(IF(tblPiNAnalysis[[#This Row],[Shelter]]="", "", MROUND(tblPiNAnalysis[[#This Row],[Shelter]]/tblPiNAnalysis[[#This Row],[Affected population projection 2026]], 0.05)), "")</f>
        <v>0.60000000000000009</v>
      </c>
      <c r="AD145" s="324">
        <f>IFERROR(IF(tblPiNAnalysis[[#This Row],[WASH]]="", "", MROUND(tblPiNAnalysis[[#This Row],[WASH]]/tblPiNAnalysis[[#This Row],[Affected population projection 2026]], 0.05)), "")</f>
        <v>0.5</v>
      </c>
      <c r="AE145" s="322">
        <f>IFERROR(MROUND(tblPiNAnalysis[[#This Row],[CP]]/tblPiNAnalysis[[#This Row],[Affected population projection 2026]], 0.05), "")</f>
        <v>0.35000000000000003</v>
      </c>
      <c r="AF145" s="322">
        <f>IFERROR(MROUND(tblPiNAnalysis[[#This Row],[GBV]]/tblPiNAnalysis[[#This Row],[Affected population projection 2026]], 0.05), "")</f>
        <v>0.2</v>
      </c>
      <c r="AG145" s="322">
        <f>IFERROR(MROUND(tblPiNAnalysis[[#This Row],[Mine Action]]/tblPiNAnalysis[[#This Row],[Affected population projection 2026]], 0.05), "")</f>
        <v>0.05</v>
      </c>
      <c r="AH145" s="322">
        <f>IFERROR(MROUND(tblPiNAnalysis[[#This Row],[HLP]]/tblPiNAnalysis[[#This Row],[Affected population projection 2026]], 0.05), "")</f>
        <v>0</v>
      </c>
      <c r="AI145" s="325">
        <f>IFERROR(LARGE(tblPiNAnalysis[[#This Row],[CCCM]:[WASH]], 1), "")</f>
        <v>87510.12561893872</v>
      </c>
      <c r="AJ145" s="326" t="str" cm="1">
        <f t="array" ref="AJ145">IF(tblPiNAnalysis[[#This Row],[Highest PiN]]="", "", _xlfn.TEXTJOIN(CHAR(10), TRUE, IF(tblPiNAnalysis[[#This Row],[Highest PiN]]=tblPiNAnalysis[[#This Row],[CCCM]:[WASH]], tblPiNAnalysis[[#Headers],[CCCM]:[WASH]], "")))</f>
        <v>Food Security</v>
      </c>
      <c r="AK145" s="327">
        <f>IF(tblPiNAnalysis[[#This Row],[Highest PiN]]="", "", tblPiNAnalysis[[#This Row],[Highest PiN]]/tblPiNAnalysis[[#This Row],[Affected population projection 2026]])</f>
        <v>0.7373992794349703</v>
      </c>
      <c r="AL145" s="328" t="str">
        <f>IF(SUM(tblPiNAnalysis[[#This Row],[CCCM]:[WASH]])=0, "",IF(COUNTIF(tblPiNAnalysis[[#This Row],[CCCM]:[WASH]],"=0")+COUNTIF(tblPiNAnalysis[[#This Row],[CCCM]:[WASH]],"")&gt;=zero_pin_thresh, "Flagged", ""))</f>
        <v/>
      </c>
      <c r="AM145" s="329" t="str">
        <f>IFERROR(IF(tblPiNAnalysis[[#This Row],[Highest PiN]]="", "", IF(tblPiNAnalysis[[#This Row],[Highest sector(s'') PiN %]]&gt;=flag_pin_perc, "Flagged", "")), "")</f>
        <v/>
      </c>
      <c r="AN145" s="330" t="str" cm="1">
        <f t="array" ref="AN145">IF(tblPiNAnalysis[[#This Row],[Highest PiN]]=0, "",  IF(OR(COUNTIF(tblPiNAnalysis[[#This Row],[Highest sector(s)]],tblSubSectorPopulation[Sector])), "Flagged", ""))</f>
        <v/>
      </c>
      <c r="AO145" s="46" cm="1">
        <f t="array" ref="AO14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70639.288564774324</v>
      </c>
      <c r="AP145" s="331" t="str" cm="1">
        <f t="array" ref="AP145">IF(tblPiNAnalysis[[#This Row],[2nd Highest PiN]]="", "", _xlfn.TEXTJOIN(CHAR(10), TRUE, IF(tblPiNAnalysis[[#This Row],[2nd Highest PiN]]=tblPiNAnalysis[[#This Row],[CCCM]:[WASH]], tblPiNAnalysis[[#Headers],[CCCM]:[WASH]], "")))</f>
        <v>Shelter</v>
      </c>
      <c r="AQ145" s="36">
        <f>IFERROR(tblPiNAnalysis[[#This Row],[2nd Highest PiN]]/tblPiNAnalysis[[#This Row],[Affected population projection 2026]], "")</f>
        <v>0.59523809523809523</v>
      </c>
      <c r="AR145" s="46">
        <f>IFERROR(tblPiNAnalysis[[#This Row],[Highest PiN]]-tblPiNAnalysis[[#This Row],[2nd Highest PiN]], "")</f>
        <v>16870.837054164396</v>
      </c>
      <c r="AS145" s="39">
        <f>IFERROR(((tblPiNAnalysis[[#This Row],[Highest PiN]]-tblPiNAnalysis[[#This Row],[2nd Highest PiN]])/tblPiNAnalysis[[#This Row],[2nd Highest PiN]]),"")</f>
        <v>0.23883078945075012</v>
      </c>
      <c r="AT145" s="39" t="str" cm="1">
        <f t="array" ref="AT14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5" s="332" cm="1">
        <f t="array" ref="AU14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66304.246767566918</v>
      </c>
      <c r="AV145" s="190" t="str" cm="1">
        <f t="array" ref="AV145">IF(tblPiNAnalysis[[#This Row],[3rd Highest PiN]]="", "", _xlfn.TEXTJOIN(CHAR(10), TRUE, IF(tblPiNAnalysis[[#This Row],[3rd Highest PiN]]=tblPiNAnalysis[[#This Row],[CCCM]:[WASH]], tblPiNAnalysis[[#Headers],[CCCM]:[WASH]], "")))</f>
        <v>Nutrition</v>
      </c>
      <c r="AW145" s="190">
        <f>IFERROR(tblPiNAnalysis[[#This Row],[3rd Highest PiN]]/tblPiNAnalysis[[#This Row],[Affected population projection 2026]], "")</f>
        <v>0.5587091030218001</v>
      </c>
      <c r="AX145" s="45">
        <f>IFERROR(tblPiNAnalysis[[#This Row],[Highest PiN]]-tblPiNAnalysis[[#This Row],[3rd Highest PiN]],"")</f>
        <v>21205.878851371803</v>
      </c>
      <c r="AY145" s="39">
        <f>IFERROR(tblPiNAnalysis[[#This Row],[Difference of PiN between Highest and 3rd Highest]]/tblPiNAnalysis[[#This Row],[3rd Highest PiN]], "")</f>
        <v>0.31982685702938674</v>
      </c>
      <c r="AZ145" s="330" t="str" cm="1">
        <f t="array" ref="AZ14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5" s="300" t="str" cm="1">
        <f t="array" ref="BA145">IFERROR(IF(tblPiNAnalysis[[#This Row],[ID]]="", "", INDEX(tblPiNHistorical[[CCCM]:[WASH]], MATCH(tblPiNAnalysis[[#This Row],[ID]],tblPiNHistorical[ID], 0),MATCH(_xlfn._xlws.FILTER(tblPiNAnalysis[[#Headers],[CCCM]:[WASH]], tblPiNAnalysis[[#This Row],[Highest PiN]]=tblPiNAnalysis[[#This Row],[CCCM]:[WASH]]), tblPiNHistorical[[#Headers],[CCCM]:[WASH]], 0))), "")</f>
        <v/>
      </c>
      <c r="BB145" s="333" t="str" cm="1">
        <f t="array" ref="BB14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5" s="276" t="str" cm="1">
        <f t="array" ref="BC14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5" s="334" t="str" cm="1">
        <f t="array" ref="BD14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5" s="276">
        <f>INDEX(tblSeverityAnalysis[Final Severity], MATCH(tblPiNAnalysis[[#This Row],[ID]],tblSeverityAnalysis[ID], 0))</f>
        <v>4</v>
      </c>
      <c r="BF145" s="61">
        <f>IF(tblPiNAnalysis[[#This Row],[Severity]]&gt;2,tblPiNAnalysis[[#This Row],[Highest PiN]],)</f>
        <v>87510.12561893872</v>
      </c>
      <c r="BG145" s="191"/>
      <c r="BH145" s="192"/>
      <c r="BI145" s="193">
        <f>COUNTIFS(tblPiNAnalysis[[#This Row],[Number of missing / zero PiNs greater than threshold - Data quality]:[Manual Flag]],"Flagged")</f>
        <v>0</v>
      </c>
      <c r="BJ145" s="96" t="str">
        <f>IF(tblPiNAnalysis[[#This Row],['# Flags]]&gt;0, "Flagged", "")</f>
        <v/>
      </c>
      <c r="BK145" s="326">
        <f>tblPiNAnalysis[[#This Row],[Preliminary PiN]]</f>
        <v>87510.12561893872</v>
      </c>
      <c r="BL145" s="331"/>
    </row>
    <row r="146" spans="1:64" x14ac:dyDescent="0.55000000000000004">
      <c r="A14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SS0804</v>
      </c>
      <c r="B146" s="316" t="s">
        <v>368</v>
      </c>
      <c r="C146" s="317" t="s">
        <v>369</v>
      </c>
      <c r="D146" s="317" t="s">
        <v>376</v>
      </c>
      <c r="E146" s="105" t="s">
        <v>377</v>
      </c>
      <c r="F146" s="100"/>
      <c r="G146" s="34"/>
      <c r="H146" s="34"/>
      <c r="I146" s="97">
        <v>176910.11306393327</v>
      </c>
      <c r="J146" s="97" t="s">
        <v>413</v>
      </c>
      <c r="K146" s="318"/>
      <c r="L146" s="319">
        <v>46907.008838449648</v>
      </c>
      <c r="M146" s="319">
        <v>86913.301038166988</v>
      </c>
      <c r="N146" s="319">
        <v>109863.17813807524</v>
      </c>
      <c r="O146" s="319">
        <v>79757.739660143794</v>
      </c>
      <c r="P146" s="319">
        <v>29494</v>
      </c>
      <c r="Q146" s="320">
        <v>84076.093337314829</v>
      </c>
      <c r="R146" s="319">
        <v>106473.6791588487</v>
      </c>
      <c r="S146" s="319">
        <v>22787</v>
      </c>
      <c r="T146" s="319">
        <v>25348</v>
      </c>
      <c r="U146" s="319">
        <v>5740</v>
      </c>
      <c r="V146" s="319">
        <v>2027</v>
      </c>
      <c r="W146" s="321" t="str">
        <f>IFERROR(IF(tblPiNAnalysis[[#This Row],[CCCM]]="", "", MROUND(tblPiNAnalysis[[#This Row],[CCCM]]/tblPiNAnalysis[[#This Row],[Affected population projection 2026]], 0.05)), "")</f>
        <v/>
      </c>
      <c r="X146" s="322">
        <f>IFERROR(IF(tblPiNAnalysis[[#This Row],[Education]]="", "", MROUND(tblPiNAnalysis[[#This Row],[Education]]/tblPiNAnalysis[[#This Row],[Affected population projection 2026]], 0.05)), "")</f>
        <v>0.25</v>
      </c>
      <c r="Y146" s="322">
        <f>IFERROR(IF(tblPiNAnalysis[[#This Row],[Nutrition]]="", "", MROUND(tblPiNAnalysis[[#This Row],[Nutrition]]/tblPiNAnalysis[[#This Row],[Affected population projection 2026]], 0.05)), "")</f>
        <v>0.5</v>
      </c>
      <c r="Z146" s="322">
        <f>IFERROR(IF(tblPiNAnalysis[[#This Row],[Food Security]]="", "", MROUND(tblPiNAnalysis[[#This Row],[Food Security]]/tblPiNAnalysis[[#This Row],[Affected population projection 2026]], 0.05)), "")</f>
        <v>0.60000000000000009</v>
      </c>
      <c r="AA146" s="322">
        <f>IFERROR(IF(tblPiNAnalysis[[#This Row],[Health]]="", "", MROUND(tblPiNAnalysis[[#This Row],[Health]]/tblPiNAnalysis[[#This Row],[Affected population projection 2026]], 0.05)), "")</f>
        <v>0.45</v>
      </c>
      <c r="AB146" s="323">
        <f>IFERROR(IF(tblPiNAnalysis[[#This Row],[Overarching Protection]]="", "", MROUND(tblPiNAnalysis[[#This Row],[Overarching Protection]]/tblPiNAnalysis[[#This Row],[Affected population projection 2026]], 0.05)), "")</f>
        <v>0.15000000000000002</v>
      </c>
      <c r="AC146" s="323">
        <f>IFERROR(IF(tblPiNAnalysis[[#This Row],[Shelter]]="", "", MROUND(tblPiNAnalysis[[#This Row],[Shelter]]/tblPiNAnalysis[[#This Row],[Affected population projection 2026]], 0.05)), "")</f>
        <v>0.5</v>
      </c>
      <c r="AD146" s="324">
        <f>IFERROR(IF(tblPiNAnalysis[[#This Row],[WASH]]="", "", MROUND(tblPiNAnalysis[[#This Row],[WASH]]/tblPiNAnalysis[[#This Row],[Affected population projection 2026]], 0.05)), "")</f>
        <v>0.60000000000000009</v>
      </c>
      <c r="AE146" s="322">
        <f>IFERROR(MROUND(tblPiNAnalysis[[#This Row],[CP]]/tblPiNAnalysis[[#This Row],[Affected population projection 2026]], 0.05), "")</f>
        <v>0.15000000000000002</v>
      </c>
      <c r="AF146" s="322">
        <f>IFERROR(MROUND(tblPiNAnalysis[[#This Row],[GBV]]/tblPiNAnalysis[[#This Row],[Affected population projection 2026]], 0.05), "")</f>
        <v>0.15000000000000002</v>
      </c>
      <c r="AG146" s="322">
        <f>IFERROR(MROUND(tblPiNAnalysis[[#This Row],[Mine Action]]/tblPiNAnalysis[[#This Row],[Affected population projection 2026]], 0.05), "")</f>
        <v>0.05</v>
      </c>
      <c r="AH146" s="322">
        <f>IFERROR(MROUND(tblPiNAnalysis[[#This Row],[HLP]]/tblPiNAnalysis[[#This Row],[Affected population projection 2026]], 0.05), "")</f>
        <v>0</v>
      </c>
      <c r="AI146" s="325">
        <f>IFERROR(LARGE(tblPiNAnalysis[[#This Row],[CCCM]:[WASH]], 1), "")</f>
        <v>109863.17813807524</v>
      </c>
      <c r="AJ146" s="326" t="str" cm="1">
        <f t="array" ref="AJ146">IF(tblPiNAnalysis[[#This Row],[Highest PiN]]="", "", _xlfn.TEXTJOIN(CHAR(10), TRUE, IF(tblPiNAnalysis[[#This Row],[Highest PiN]]=tblPiNAnalysis[[#This Row],[CCCM]:[WASH]], tblPiNAnalysis[[#Headers],[CCCM]:[WASH]], "")))</f>
        <v>Food Security</v>
      </c>
      <c r="AK146" s="327">
        <f>IF(tblPiNAnalysis[[#This Row],[Highest PiN]]="", "", tblPiNAnalysis[[#This Row],[Highest PiN]]/tblPiNAnalysis[[#This Row],[Affected population projection 2026]])</f>
        <v>0.62101129344918771</v>
      </c>
      <c r="AL146" s="328" t="str">
        <f>IF(SUM(tblPiNAnalysis[[#This Row],[CCCM]:[WASH]])=0, "",IF(COUNTIF(tblPiNAnalysis[[#This Row],[CCCM]:[WASH]],"=0")+COUNTIF(tblPiNAnalysis[[#This Row],[CCCM]:[WASH]],"")&gt;=zero_pin_thresh, "Flagged", ""))</f>
        <v/>
      </c>
      <c r="AM146" s="329" t="str">
        <f>IFERROR(IF(tblPiNAnalysis[[#This Row],[Highest PiN]]="", "", IF(tblPiNAnalysis[[#This Row],[Highest sector(s'') PiN %]]&gt;=flag_pin_perc, "Flagged", "")), "")</f>
        <v/>
      </c>
      <c r="AN146" s="330" t="str" cm="1">
        <f t="array" ref="AN146">IF(tblPiNAnalysis[[#This Row],[Highest PiN]]=0, "",  IF(OR(COUNTIF(tblPiNAnalysis[[#This Row],[Highest sector(s)]],tblSubSectorPopulation[Sector])), "Flagged", ""))</f>
        <v/>
      </c>
      <c r="AO146" s="46" cm="1">
        <f t="array" ref="AO14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106473.6791588487</v>
      </c>
      <c r="AP146" s="331" t="str" cm="1">
        <f t="array" ref="AP146">IF(tblPiNAnalysis[[#This Row],[2nd Highest PiN]]="", "", _xlfn.TEXTJOIN(CHAR(10), TRUE, IF(tblPiNAnalysis[[#This Row],[2nd Highest PiN]]=tblPiNAnalysis[[#This Row],[CCCM]:[WASH]], tblPiNAnalysis[[#Headers],[CCCM]:[WASH]], "")))</f>
        <v>WASH</v>
      </c>
      <c r="AQ146" s="36">
        <f>IFERROR(tblPiNAnalysis[[#This Row],[2nd Highest PiN]]/tblPiNAnalysis[[#This Row],[Affected population projection 2026]], "")</f>
        <v>0.60185185185185164</v>
      </c>
      <c r="AR146" s="46">
        <f>IFERROR(tblPiNAnalysis[[#This Row],[Highest PiN]]-tblPiNAnalysis[[#This Row],[2nd Highest PiN]], "")</f>
        <v>3389.4989792265405</v>
      </c>
      <c r="AS146" s="39">
        <f>IFERROR(((tblPiNAnalysis[[#This Row],[Highest PiN]]-tblPiNAnalysis[[#This Row],[2nd Highest PiN]])/tblPiNAnalysis[[#This Row],[2nd Highest PiN]]),"")</f>
        <v>3.1834149115573696E-2</v>
      </c>
      <c r="AT146" s="39" t="str" cm="1">
        <f t="array" ref="AT14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6" s="332" cm="1">
        <f t="array" ref="AU14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86913.301038166988</v>
      </c>
      <c r="AV146" s="190" t="str" cm="1">
        <f t="array" ref="AV146">IF(tblPiNAnalysis[[#This Row],[3rd Highest PiN]]="", "", _xlfn.TEXTJOIN(CHAR(10), TRUE, IF(tblPiNAnalysis[[#This Row],[3rd Highest PiN]]=tblPiNAnalysis[[#This Row],[CCCM]:[WASH]], tblPiNAnalysis[[#Headers],[CCCM]:[WASH]], "")))</f>
        <v>Nutrition</v>
      </c>
      <c r="AW146" s="190">
        <f>IFERROR(tblPiNAnalysis[[#This Row],[3rd Highest PiN]]/tblPiNAnalysis[[#This Row],[Affected population projection 2026]], "")</f>
        <v>0.49128509124154779</v>
      </c>
      <c r="AX146" s="45">
        <f>IFERROR(tblPiNAnalysis[[#This Row],[Highest PiN]]-tblPiNAnalysis[[#This Row],[3rd Highest PiN]],"")</f>
        <v>22949.877099908248</v>
      </c>
      <c r="AY146" s="39">
        <f>IFERROR(tblPiNAnalysis[[#This Row],[Difference of PiN between Highest and 3rd Highest]]/tblPiNAnalysis[[#This Row],[3rd Highest PiN]], "")</f>
        <v>0.26405483195063628</v>
      </c>
      <c r="AZ146" s="330" t="str" cm="1">
        <f t="array" ref="AZ14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6" s="300" t="str" cm="1">
        <f t="array" ref="BA146">IFERROR(IF(tblPiNAnalysis[[#This Row],[ID]]="", "", INDEX(tblPiNHistorical[[CCCM]:[WASH]], MATCH(tblPiNAnalysis[[#This Row],[ID]],tblPiNHistorical[ID], 0),MATCH(_xlfn._xlws.FILTER(tblPiNAnalysis[[#Headers],[CCCM]:[WASH]], tblPiNAnalysis[[#This Row],[Highest PiN]]=tblPiNAnalysis[[#This Row],[CCCM]:[WASH]]), tblPiNHistorical[[#Headers],[CCCM]:[WASH]], 0))), "")</f>
        <v/>
      </c>
      <c r="BB146" s="333" t="str" cm="1">
        <f t="array" ref="BB14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6" s="276" t="str" cm="1">
        <f t="array" ref="BC14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6" s="334" t="str" cm="1">
        <f t="array" ref="BD14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6" s="276">
        <f>INDEX(tblSeverityAnalysis[Final Severity], MATCH(tblPiNAnalysis[[#This Row],[ID]],tblSeverityAnalysis[ID], 0))</f>
        <v>3</v>
      </c>
      <c r="BF146" s="61">
        <f>IF(tblPiNAnalysis[[#This Row],[Severity]]&gt;2,tblPiNAnalysis[[#This Row],[Highest PiN]],)</f>
        <v>109863.17813807524</v>
      </c>
      <c r="BG146" s="191"/>
      <c r="BH146" s="192"/>
      <c r="BI146" s="193">
        <f>COUNTIFS(tblPiNAnalysis[[#This Row],[Number of missing / zero PiNs greater than threshold - Data quality]:[Manual Flag]],"Flagged")</f>
        <v>0</v>
      </c>
      <c r="BJ146" s="96" t="str">
        <f>IF(tblPiNAnalysis[[#This Row],['# Flags]]&gt;0, "Flagged", "")</f>
        <v/>
      </c>
      <c r="BK146" s="326">
        <f>tblPiNAnalysis[[#This Row],[Preliminary PiN]]</f>
        <v>109863.17813807524</v>
      </c>
      <c r="BL146" s="331"/>
    </row>
    <row r="147" spans="1:64" x14ac:dyDescent="0.55000000000000004">
      <c r="A14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SS0805</v>
      </c>
      <c r="B147" s="316" t="s">
        <v>368</v>
      </c>
      <c r="C147" s="317" t="s">
        <v>369</v>
      </c>
      <c r="D147" s="317" t="s">
        <v>378</v>
      </c>
      <c r="E147" s="105" t="s">
        <v>379</v>
      </c>
      <c r="F147" s="100"/>
      <c r="G147" s="34"/>
      <c r="H147" s="34"/>
      <c r="I147" s="97">
        <v>85516.790119838945</v>
      </c>
      <c r="J147" s="97" t="s">
        <v>413</v>
      </c>
      <c r="K147" s="318"/>
      <c r="L147" s="319">
        <v>13282.254049438088</v>
      </c>
      <c r="M147" s="319">
        <v>49911.369081728808</v>
      </c>
      <c r="N147" s="319">
        <v>48485.941515993887</v>
      </c>
      <c r="O147" s="319">
        <v>48757.59004222045</v>
      </c>
      <c r="P147" s="319">
        <v>29796</v>
      </c>
      <c r="Q147" s="320">
        <v>44565.087808930155</v>
      </c>
      <c r="R147" s="319">
        <v>65721.236851357709</v>
      </c>
      <c r="S147" s="319">
        <v>25125</v>
      </c>
      <c r="T147" s="319">
        <v>7795</v>
      </c>
      <c r="U147" s="319">
        <v>21597</v>
      </c>
      <c r="V147" s="319">
        <v>2029</v>
      </c>
      <c r="W147" s="321" t="str">
        <f>IFERROR(IF(tblPiNAnalysis[[#This Row],[CCCM]]="", "", MROUND(tblPiNAnalysis[[#This Row],[CCCM]]/tblPiNAnalysis[[#This Row],[Affected population projection 2026]], 0.05)), "")</f>
        <v/>
      </c>
      <c r="X147" s="322">
        <f>IFERROR(IF(tblPiNAnalysis[[#This Row],[Education]]="", "", MROUND(tblPiNAnalysis[[#This Row],[Education]]/tblPiNAnalysis[[#This Row],[Affected population projection 2026]], 0.05)), "")</f>
        <v>0.15000000000000002</v>
      </c>
      <c r="Y147" s="322">
        <f>IFERROR(IF(tblPiNAnalysis[[#This Row],[Nutrition]]="", "", MROUND(tblPiNAnalysis[[#This Row],[Nutrition]]/tblPiNAnalysis[[#This Row],[Affected population projection 2026]], 0.05)), "")</f>
        <v>0.60000000000000009</v>
      </c>
      <c r="Z147" s="322">
        <f>IFERROR(IF(tblPiNAnalysis[[#This Row],[Food Security]]="", "", MROUND(tblPiNAnalysis[[#This Row],[Food Security]]/tblPiNAnalysis[[#This Row],[Affected population projection 2026]], 0.05)), "")</f>
        <v>0.55000000000000004</v>
      </c>
      <c r="AA147" s="322">
        <f>IFERROR(IF(tblPiNAnalysis[[#This Row],[Health]]="", "", MROUND(tblPiNAnalysis[[#This Row],[Health]]/tblPiNAnalysis[[#This Row],[Affected population projection 2026]], 0.05)), "")</f>
        <v>0.55000000000000004</v>
      </c>
      <c r="AB147" s="323">
        <f>IFERROR(IF(tblPiNAnalysis[[#This Row],[Overarching Protection]]="", "", MROUND(tblPiNAnalysis[[#This Row],[Overarching Protection]]/tblPiNAnalysis[[#This Row],[Affected population projection 2026]], 0.05)), "")</f>
        <v>0.35000000000000003</v>
      </c>
      <c r="AC147" s="323">
        <f>IFERROR(IF(tblPiNAnalysis[[#This Row],[Shelter]]="", "", MROUND(tblPiNAnalysis[[#This Row],[Shelter]]/tblPiNAnalysis[[#This Row],[Affected population projection 2026]], 0.05)), "")</f>
        <v>0.5</v>
      </c>
      <c r="AD147" s="324">
        <f>IFERROR(IF(tblPiNAnalysis[[#This Row],[WASH]]="", "", MROUND(tblPiNAnalysis[[#This Row],[WASH]]/tblPiNAnalysis[[#This Row],[Affected population projection 2026]], 0.05)), "")</f>
        <v>0.75</v>
      </c>
      <c r="AE147" s="322">
        <f>IFERROR(MROUND(tblPiNAnalysis[[#This Row],[CP]]/tblPiNAnalysis[[#This Row],[Affected population projection 2026]], 0.05), "")</f>
        <v>0.30000000000000004</v>
      </c>
      <c r="AF147" s="322">
        <f>IFERROR(MROUND(tblPiNAnalysis[[#This Row],[GBV]]/tblPiNAnalysis[[#This Row],[Affected population projection 2026]], 0.05), "")</f>
        <v>0.1</v>
      </c>
      <c r="AG147" s="322">
        <f>IFERROR(MROUND(tblPiNAnalysis[[#This Row],[Mine Action]]/tblPiNAnalysis[[#This Row],[Affected population projection 2026]], 0.05), "")</f>
        <v>0.25</v>
      </c>
      <c r="AH147" s="322">
        <f>IFERROR(MROUND(tblPiNAnalysis[[#This Row],[HLP]]/tblPiNAnalysis[[#This Row],[Affected population projection 2026]], 0.05), "")</f>
        <v>0</v>
      </c>
      <c r="AI147" s="325">
        <f>IFERROR(LARGE(tblPiNAnalysis[[#This Row],[CCCM]:[WASH]], 1), "")</f>
        <v>65721.236851357709</v>
      </c>
      <c r="AJ147" s="326" t="str" cm="1">
        <f t="array" ref="AJ147">IF(tblPiNAnalysis[[#This Row],[Highest PiN]]="", "", _xlfn.TEXTJOIN(CHAR(10), TRUE, IF(tblPiNAnalysis[[#This Row],[Highest PiN]]=tblPiNAnalysis[[#This Row],[CCCM]:[WASH]], tblPiNAnalysis[[#Headers],[CCCM]:[WASH]], "")))</f>
        <v>WASH</v>
      </c>
      <c r="AK147" s="327">
        <f>IF(tblPiNAnalysis[[#This Row],[Highest PiN]]="", "", tblPiNAnalysis[[#This Row],[Highest PiN]]/tblPiNAnalysis[[#This Row],[Affected population projection 2026]])</f>
        <v>0.76851851851851849</v>
      </c>
      <c r="AL147" s="328" t="str">
        <f>IF(SUM(tblPiNAnalysis[[#This Row],[CCCM]:[WASH]])=0, "",IF(COUNTIF(tblPiNAnalysis[[#This Row],[CCCM]:[WASH]],"=0")+COUNTIF(tblPiNAnalysis[[#This Row],[CCCM]:[WASH]],"")&gt;=zero_pin_thresh, "Flagged", ""))</f>
        <v/>
      </c>
      <c r="AM147" s="329" t="str">
        <f>IFERROR(IF(tblPiNAnalysis[[#This Row],[Highest PiN]]="", "", IF(tblPiNAnalysis[[#This Row],[Highest sector(s'') PiN %]]&gt;=flag_pin_perc, "Flagged", "")), "")</f>
        <v/>
      </c>
      <c r="AN147" s="330" t="str" cm="1">
        <f t="array" ref="AN147">IF(tblPiNAnalysis[[#This Row],[Highest PiN]]=0, "",  IF(OR(COUNTIF(tblPiNAnalysis[[#This Row],[Highest sector(s)]],tblSubSectorPopulation[Sector])), "Flagged", ""))</f>
        <v/>
      </c>
      <c r="AO147" s="46" cm="1">
        <f t="array" ref="AO14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49911.369081728808</v>
      </c>
      <c r="AP147" s="331" t="str" cm="1">
        <f t="array" ref="AP147">IF(tblPiNAnalysis[[#This Row],[2nd Highest PiN]]="", "", _xlfn.TEXTJOIN(CHAR(10), TRUE, IF(tblPiNAnalysis[[#This Row],[2nd Highest PiN]]=tblPiNAnalysis[[#This Row],[CCCM]:[WASH]], tblPiNAnalysis[[#Headers],[CCCM]:[WASH]], "")))</f>
        <v>Nutrition</v>
      </c>
      <c r="AQ147" s="36">
        <f>IFERROR(tblPiNAnalysis[[#This Row],[2nd Highest PiN]]/tblPiNAnalysis[[#This Row],[Affected population projection 2026]], "")</f>
        <v>0.58364408921084987</v>
      </c>
      <c r="AR147" s="46">
        <f>IFERROR(tblPiNAnalysis[[#This Row],[Highest PiN]]-tblPiNAnalysis[[#This Row],[2nd Highest PiN]], "")</f>
        <v>15809.867769628901</v>
      </c>
      <c r="AS147" s="39">
        <f>IFERROR(((tblPiNAnalysis[[#This Row],[Highest PiN]]-tblPiNAnalysis[[#This Row],[2nd Highest PiN]])/tblPiNAnalysis[[#This Row],[2nd Highest PiN]]),"")</f>
        <v>0.31675884794385378</v>
      </c>
      <c r="AT147" s="39" t="str" cm="1">
        <f t="array" ref="AT14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7" s="332" cm="1">
        <f t="array" ref="AU14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48757.59004222045</v>
      </c>
      <c r="AV147" s="190" t="str" cm="1">
        <f t="array" ref="AV147">IF(tblPiNAnalysis[[#This Row],[3rd Highest PiN]]="", "", _xlfn.TEXTJOIN(CHAR(10), TRUE, IF(tblPiNAnalysis[[#This Row],[3rd Highest PiN]]=tblPiNAnalysis[[#This Row],[CCCM]:[WASH]], tblPiNAnalysis[[#Headers],[CCCM]:[WASH]], "")))</f>
        <v>Health</v>
      </c>
      <c r="AW147" s="190">
        <f>IFERROR(tblPiNAnalysis[[#This Row],[3rd Highest PiN]]/tblPiNAnalysis[[#This Row],[Affected population projection 2026]], "")</f>
        <v>0.57015224699025779</v>
      </c>
      <c r="AX147" s="45">
        <f>IFERROR(tblPiNAnalysis[[#This Row],[Highest PiN]]-tblPiNAnalysis[[#This Row],[3rd Highest PiN]],"")</f>
        <v>16963.646809137259</v>
      </c>
      <c r="AY147" s="39">
        <f>IFERROR(tblPiNAnalysis[[#This Row],[Difference of PiN between Highest and 3rd Highest]]/tblPiNAnalysis[[#This Row],[3rd Highest PiN]], "")</f>
        <v>0.34791807376960182</v>
      </c>
      <c r="AZ147" s="330" t="str" cm="1">
        <f t="array" ref="AZ14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7" s="300" t="str" cm="1">
        <f t="array" ref="BA147">IFERROR(IF(tblPiNAnalysis[[#This Row],[ID]]="", "", INDEX(tblPiNHistorical[[CCCM]:[WASH]], MATCH(tblPiNAnalysis[[#This Row],[ID]],tblPiNHistorical[ID], 0),MATCH(_xlfn._xlws.FILTER(tblPiNAnalysis[[#Headers],[CCCM]:[WASH]], tblPiNAnalysis[[#This Row],[Highest PiN]]=tblPiNAnalysis[[#This Row],[CCCM]:[WASH]]), tblPiNHistorical[[#Headers],[CCCM]:[WASH]], 0))), "")</f>
        <v/>
      </c>
      <c r="BB147" s="333" t="str" cm="1">
        <f t="array" ref="BB14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7" s="276" t="str" cm="1">
        <f t="array" ref="BC14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7" s="334" t="str" cm="1">
        <f t="array" ref="BD14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7" s="276">
        <f>INDEX(tblSeverityAnalysis[Final Severity], MATCH(tblPiNAnalysis[[#This Row],[ID]],tblSeverityAnalysis[ID], 0))</f>
        <v>3</v>
      </c>
      <c r="BF147" s="61">
        <f>IF(tblPiNAnalysis[[#This Row],[Severity]]&gt;2,tblPiNAnalysis[[#This Row],[Highest PiN]],)</f>
        <v>65721.236851357709</v>
      </c>
      <c r="BG147" s="191"/>
      <c r="BH147" s="192"/>
      <c r="BI147" s="193">
        <f>COUNTIFS(tblPiNAnalysis[[#This Row],[Number of missing / zero PiNs greater than threshold - Data quality]:[Manual Flag]],"Flagged")</f>
        <v>1</v>
      </c>
      <c r="BJ147" s="96" t="str">
        <f>IF(tblPiNAnalysis[[#This Row],['# Flags]]&gt;0, "Flagged", "")</f>
        <v>Flagged</v>
      </c>
      <c r="BK147" s="326">
        <f>tblPiNAnalysis[[#This Row],[Preliminary PiN]]</f>
        <v>65721.236851357709</v>
      </c>
      <c r="BL147" s="331"/>
    </row>
    <row r="148" spans="1:64" x14ac:dyDescent="0.55000000000000004">
      <c r="A14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SS0806</v>
      </c>
      <c r="B148" s="316" t="s">
        <v>368</v>
      </c>
      <c r="C148" s="317" t="s">
        <v>369</v>
      </c>
      <c r="D148" s="317" t="s">
        <v>380</v>
      </c>
      <c r="E148" s="105" t="s">
        <v>381</v>
      </c>
      <c r="F148" s="100"/>
      <c r="G148" s="34"/>
      <c r="H148" s="34"/>
      <c r="I148" s="97">
        <v>56495.39881084334</v>
      </c>
      <c r="J148" s="97" t="s">
        <v>413</v>
      </c>
      <c r="K148" s="318"/>
      <c r="L148" s="319">
        <v>6937.7479647691844</v>
      </c>
      <c r="M148" s="319">
        <v>30593.112727266733</v>
      </c>
      <c r="N148" s="319">
        <v>32963.972271729072</v>
      </c>
      <c r="O148" s="319">
        <v>34129.817761062943</v>
      </c>
      <c r="P148" s="319">
        <v>19172</v>
      </c>
      <c r="Q148" s="320">
        <v>17383.199634105644</v>
      </c>
      <c r="R148" s="319">
        <v>25632.171682697448</v>
      </c>
      <c r="S148" s="319">
        <v>17259</v>
      </c>
      <c r="T148" s="319">
        <v>12437</v>
      </c>
      <c r="U148" s="319">
        <v>2011</v>
      </c>
      <c r="V148" s="319">
        <v>1143</v>
      </c>
      <c r="W148" s="321" t="str">
        <f>IFERROR(IF(tblPiNAnalysis[[#This Row],[CCCM]]="", "", MROUND(tblPiNAnalysis[[#This Row],[CCCM]]/tblPiNAnalysis[[#This Row],[Affected population projection 2026]], 0.05)), "")</f>
        <v/>
      </c>
      <c r="X148" s="322">
        <f>IFERROR(IF(tblPiNAnalysis[[#This Row],[Education]]="", "", MROUND(tblPiNAnalysis[[#This Row],[Education]]/tblPiNAnalysis[[#This Row],[Affected population projection 2026]], 0.05)), "")</f>
        <v>0.1</v>
      </c>
      <c r="Y148" s="322">
        <f>IFERROR(IF(tblPiNAnalysis[[#This Row],[Nutrition]]="", "", MROUND(tblPiNAnalysis[[#This Row],[Nutrition]]/tblPiNAnalysis[[#This Row],[Affected population projection 2026]], 0.05)), "")</f>
        <v>0.55000000000000004</v>
      </c>
      <c r="Z148" s="322">
        <f>IFERROR(IF(tblPiNAnalysis[[#This Row],[Food Security]]="", "", MROUND(tblPiNAnalysis[[#This Row],[Food Security]]/tblPiNAnalysis[[#This Row],[Affected population projection 2026]], 0.05)), "")</f>
        <v>0.60000000000000009</v>
      </c>
      <c r="AA148" s="322">
        <f>IFERROR(IF(tblPiNAnalysis[[#This Row],[Health]]="", "", MROUND(tblPiNAnalysis[[#This Row],[Health]]/tblPiNAnalysis[[#This Row],[Affected population projection 2026]], 0.05)), "")</f>
        <v>0.60000000000000009</v>
      </c>
      <c r="AB148" s="323">
        <f>IFERROR(IF(tblPiNAnalysis[[#This Row],[Overarching Protection]]="", "", MROUND(tblPiNAnalysis[[#This Row],[Overarching Protection]]/tblPiNAnalysis[[#This Row],[Affected population projection 2026]], 0.05)), "")</f>
        <v>0.35000000000000003</v>
      </c>
      <c r="AC148" s="323">
        <f>IFERROR(IF(tblPiNAnalysis[[#This Row],[Shelter]]="", "", MROUND(tblPiNAnalysis[[#This Row],[Shelter]]/tblPiNAnalysis[[#This Row],[Affected population projection 2026]], 0.05)), "")</f>
        <v>0.30000000000000004</v>
      </c>
      <c r="AD148" s="324">
        <f>IFERROR(IF(tblPiNAnalysis[[#This Row],[WASH]]="", "", MROUND(tblPiNAnalysis[[#This Row],[WASH]]/tblPiNAnalysis[[#This Row],[Affected population projection 2026]], 0.05)), "")</f>
        <v>0.45</v>
      </c>
      <c r="AE148" s="322">
        <f>IFERROR(MROUND(tblPiNAnalysis[[#This Row],[CP]]/tblPiNAnalysis[[#This Row],[Affected population projection 2026]], 0.05), "")</f>
        <v>0.30000000000000004</v>
      </c>
      <c r="AF148" s="322">
        <f>IFERROR(MROUND(tblPiNAnalysis[[#This Row],[GBV]]/tblPiNAnalysis[[#This Row],[Affected population projection 2026]], 0.05), "")</f>
        <v>0.2</v>
      </c>
      <c r="AG148" s="322">
        <f>IFERROR(MROUND(tblPiNAnalysis[[#This Row],[Mine Action]]/tblPiNAnalysis[[#This Row],[Affected population projection 2026]], 0.05), "")</f>
        <v>0.05</v>
      </c>
      <c r="AH148" s="322">
        <f>IFERROR(MROUND(tblPiNAnalysis[[#This Row],[HLP]]/tblPiNAnalysis[[#This Row],[Affected population projection 2026]], 0.05), "")</f>
        <v>0</v>
      </c>
      <c r="AI148" s="325">
        <f>IFERROR(LARGE(tblPiNAnalysis[[#This Row],[CCCM]:[WASH]], 1), "")</f>
        <v>34129.817761062943</v>
      </c>
      <c r="AJ148" s="326" t="str" cm="1">
        <f t="array" ref="AJ148">IF(tblPiNAnalysis[[#This Row],[Highest PiN]]="", "", _xlfn.TEXTJOIN(CHAR(10), TRUE, IF(tblPiNAnalysis[[#This Row],[Highest PiN]]=tblPiNAnalysis[[#This Row],[CCCM]:[WASH]], tblPiNAnalysis[[#Headers],[CCCM]:[WASH]], "")))</f>
        <v>Health</v>
      </c>
      <c r="AK148" s="327">
        <f>IF(tblPiNAnalysis[[#This Row],[Highest PiN]]="", "", tblPiNAnalysis[[#This Row],[Highest PiN]]/tblPiNAnalysis[[#This Row],[Affected population projection 2026]])</f>
        <v>0.60411676843517204</v>
      </c>
      <c r="AL148" s="328" t="str">
        <f>IF(SUM(tblPiNAnalysis[[#This Row],[CCCM]:[WASH]])=0, "",IF(COUNTIF(tblPiNAnalysis[[#This Row],[CCCM]:[WASH]],"=0")+COUNTIF(tblPiNAnalysis[[#This Row],[CCCM]:[WASH]],"")&gt;=zero_pin_thresh, "Flagged", ""))</f>
        <v/>
      </c>
      <c r="AM148" s="329" t="str">
        <f>IFERROR(IF(tblPiNAnalysis[[#This Row],[Highest PiN]]="", "", IF(tblPiNAnalysis[[#This Row],[Highest sector(s'') PiN %]]&gt;=flag_pin_perc, "Flagged", "")), "")</f>
        <v/>
      </c>
      <c r="AN148" s="330" t="str" cm="1">
        <f t="array" ref="AN148">IF(tblPiNAnalysis[[#This Row],[Highest PiN]]=0, "",  IF(OR(COUNTIF(tblPiNAnalysis[[#This Row],[Highest sector(s)]],tblSubSectorPopulation[Sector])), "Flagged", ""))</f>
        <v/>
      </c>
      <c r="AO148" s="46" cm="1">
        <f t="array" ref="AO14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32963.972271729072</v>
      </c>
      <c r="AP148" s="331" t="str" cm="1">
        <f t="array" ref="AP148">IF(tblPiNAnalysis[[#This Row],[2nd Highest PiN]]="", "", _xlfn.TEXTJOIN(CHAR(10), TRUE, IF(tblPiNAnalysis[[#This Row],[2nd Highest PiN]]=tblPiNAnalysis[[#This Row],[CCCM]:[WASH]], tblPiNAnalysis[[#Headers],[CCCM]:[WASH]], "")))</f>
        <v>Food Security</v>
      </c>
      <c r="AQ148" s="36">
        <f>IFERROR(tblPiNAnalysis[[#This Row],[2nd Highest PiN]]/tblPiNAnalysis[[#This Row],[Affected population projection 2026]], "")</f>
        <v>0.58348065445291086</v>
      </c>
      <c r="AR148" s="46">
        <f>IFERROR(tblPiNAnalysis[[#This Row],[Highest PiN]]-tblPiNAnalysis[[#This Row],[2nd Highest PiN]], "")</f>
        <v>1165.8454893338712</v>
      </c>
      <c r="AS148" s="39">
        <f>IFERROR(((tblPiNAnalysis[[#This Row],[Highest PiN]]-tblPiNAnalysis[[#This Row],[2nd Highest PiN]])/tblPiNAnalysis[[#This Row],[2nd Highest PiN]]),"")</f>
        <v>3.5367263378441094E-2</v>
      </c>
      <c r="AT148" s="39" t="str" cm="1">
        <f t="array" ref="AT14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8" s="332" cm="1">
        <f t="array" ref="AU14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30593.112727266733</v>
      </c>
      <c r="AV148" s="190" t="str" cm="1">
        <f t="array" ref="AV148">IF(tblPiNAnalysis[[#This Row],[3rd Highest PiN]]="", "", _xlfn.TEXTJOIN(CHAR(10), TRUE, IF(tblPiNAnalysis[[#This Row],[3rd Highest PiN]]=tblPiNAnalysis[[#This Row],[CCCM]:[WASH]], tblPiNAnalysis[[#Headers],[CCCM]:[WASH]], "")))</f>
        <v>Nutrition</v>
      </c>
      <c r="AW148" s="190">
        <f>IFERROR(tblPiNAnalysis[[#This Row],[3rd Highest PiN]]/tblPiNAnalysis[[#This Row],[Affected population projection 2026]], "")</f>
        <v>0.54151512107557509</v>
      </c>
      <c r="AX148" s="45">
        <f>IFERROR(tblPiNAnalysis[[#This Row],[Highest PiN]]-tblPiNAnalysis[[#This Row],[3rd Highest PiN]],"")</f>
        <v>3536.70503379621</v>
      </c>
      <c r="AY148" s="39">
        <f>IFERROR(tblPiNAnalysis[[#This Row],[Difference of PiN between Highest and 3rd Highest]]/tblPiNAnalysis[[#This Row],[3rd Highest PiN]], "")</f>
        <v>0.11560461550040477</v>
      </c>
      <c r="AZ148" s="330" t="str" cm="1">
        <f t="array" ref="AZ14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8" s="300" t="str" cm="1">
        <f t="array" ref="BA148">IFERROR(IF(tblPiNAnalysis[[#This Row],[ID]]="", "", INDEX(tblPiNHistorical[[CCCM]:[WASH]], MATCH(tblPiNAnalysis[[#This Row],[ID]],tblPiNHistorical[ID], 0),MATCH(_xlfn._xlws.FILTER(tblPiNAnalysis[[#Headers],[CCCM]:[WASH]], tblPiNAnalysis[[#This Row],[Highest PiN]]=tblPiNAnalysis[[#This Row],[CCCM]:[WASH]]), tblPiNHistorical[[#Headers],[CCCM]:[WASH]], 0))), "")</f>
        <v/>
      </c>
      <c r="BB148" s="333" t="str" cm="1">
        <f t="array" ref="BB14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8" s="276" t="str" cm="1">
        <f t="array" ref="BC14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8" s="334" t="str" cm="1">
        <f t="array" ref="BD14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8" s="276">
        <f>INDEX(tblSeverityAnalysis[Final Severity], MATCH(tblPiNAnalysis[[#This Row],[ID]],tblSeverityAnalysis[ID], 0))</f>
        <v>4</v>
      </c>
      <c r="BF148" s="61">
        <f>IF(tblPiNAnalysis[[#This Row],[Severity]]&gt;2,tblPiNAnalysis[[#This Row],[Highest PiN]],)</f>
        <v>34129.817761062943</v>
      </c>
      <c r="BG148" s="191"/>
      <c r="BH148" s="192"/>
      <c r="BI148" s="193">
        <f>COUNTIFS(tblPiNAnalysis[[#This Row],[Number of missing / zero PiNs greater than threshold - Data quality]:[Manual Flag]],"Flagged")</f>
        <v>0</v>
      </c>
      <c r="BJ148" s="96" t="str">
        <f>IF(tblPiNAnalysis[[#This Row],['# Flags]]&gt;0, "Flagged", "")</f>
        <v/>
      </c>
      <c r="BK148" s="326">
        <f>tblPiNAnalysis[[#This Row],[Preliminary PiN]]</f>
        <v>34129.817761062943</v>
      </c>
      <c r="BL148" s="331"/>
    </row>
    <row r="149" spans="1:64" ht="24.6" x14ac:dyDescent="0.55000000000000004">
      <c r="A14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SS0901</v>
      </c>
      <c r="B149" s="316" t="s">
        <v>382</v>
      </c>
      <c r="C149" s="317" t="s">
        <v>383</v>
      </c>
      <c r="D149" s="317" t="s">
        <v>384</v>
      </c>
      <c r="E149" s="105" t="s">
        <v>385</v>
      </c>
      <c r="F149" s="100"/>
      <c r="G149" s="34"/>
      <c r="H149" s="34"/>
      <c r="I149" s="97">
        <v>178742.31540837008</v>
      </c>
      <c r="J149" s="97" t="s">
        <v>413</v>
      </c>
      <c r="K149" s="318"/>
      <c r="L149" s="319">
        <v>36544.688599892135</v>
      </c>
      <c r="M149" s="319">
        <v>71792.511876647914</v>
      </c>
      <c r="N149" s="319">
        <v>54701.095765878286</v>
      </c>
      <c r="O149" s="319">
        <v>92905.123157415932</v>
      </c>
      <c r="P149" s="319">
        <v>30952</v>
      </c>
      <c r="Q149" s="320">
        <v>70264.220539842034</v>
      </c>
      <c r="R149" s="319">
        <v>127436.650800412</v>
      </c>
      <c r="S149" s="319">
        <v>23638</v>
      </c>
      <c r="T149" s="319">
        <v>25384</v>
      </c>
      <c r="U149" s="319">
        <v>19506</v>
      </c>
      <c r="V149" s="319">
        <v>1983</v>
      </c>
      <c r="W149" s="321" t="str">
        <f>IFERROR(IF(tblPiNAnalysis[[#This Row],[CCCM]]="", "", MROUND(tblPiNAnalysis[[#This Row],[CCCM]]/tblPiNAnalysis[[#This Row],[Affected population projection 2026]], 0.05)), "")</f>
        <v/>
      </c>
      <c r="X149" s="322">
        <f>IFERROR(IF(tblPiNAnalysis[[#This Row],[Education]]="", "", MROUND(tblPiNAnalysis[[#This Row],[Education]]/tblPiNAnalysis[[#This Row],[Affected population projection 2026]], 0.05)), "")</f>
        <v>0.2</v>
      </c>
      <c r="Y149" s="322">
        <f>IFERROR(IF(tblPiNAnalysis[[#This Row],[Nutrition]]="", "", MROUND(tblPiNAnalysis[[#This Row],[Nutrition]]/tblPiNAnalysis[[#This Row],[Affected population projection 2026]], 0.05)), "")</f>
        <v>0.4</v>
      </c>
      <c r="Z149" s="322">
        <f>IFERROR(IF(tblPiNAnalysis[[#This Row],[Food Security]]="", "", MROUND(tblPiNAnalysis[[#This Row],[Food Security]]/tblPiNAnalysis[[#This Row],[Affected population projection 2026]], 0.05)), "")</f>
        <v>0.30000000000000004</v>
      </c>
      <c r="AA149" s="322">
        <f>IFERROR(IF(tblPiNAnalysis[[#This Row],[Health]]="", "", MROUND(tblPiNAnalysis[[#This Row],[Health]]/tblPiNAnalysis[[#This Row],[Affected population projection 2026]], 0.05)), "")</f>
        <v>0.5</v>
      </c>
      <c r="AB149" s="323">
        <f>IFERROR(IF(tblPiNAnalysis[[#This Row],[Overarching Protection]]="", "", MROUND(tblPiNAnalysis[[#This Row],[Overarching Protection]]/tblPiNAnalysis[[#This Row],[Affected population projection 2026]], 0.05)), "")</f>
        <v>0.15000000000000002</v>
      </c>
      <c r="AC149" s="323">
        <f>IFERROR(IF(tblPiNAnalysis[[#This Row],[Shelter]]="", "", MROUND(tblPiNAnalysis[[#This Row],[Shelter]]/tblPiNAnalysis[[#This Row],[Affected population projection 2026]], 0.05)), "")</f>
        <v>0.4</v>
      </c>
      <c r="AD149" s="324">
        <f>IFERROR(IF(tblPiNAnalysis[[#This Row],[WASH]]="", "", MROUND(tblPiNAnalysis[[#This Row],[WASH]]/tblPiNAnalysis[[#This Row],[Affected population projection 2026]], 0.05)), "")</f>
        <v>0.70000000000000007</v>
      </c>
      <c r="AE149" s="322">
        <f>IFERROR(MROUND(tblPiNAnalysis[[#This Row],[CP]]/tblPiNAnalysis[[#This Row],[Affected population projection 2026]], 0.05), "")</f>
        <v>0.15000000000000002</v>
      </c>
      <c r="AF149" s="322">
        <f>IFERROR(MROUND(tblPiNAnalysis[[#This Row],[GBV]]/tblPiNAnalysis[[#This Row],[Affected population projection 2026]], 0.05), "")</f>
        <v>0.15000000000000002</v>
      </c>
      <c r="AG149" s="322">
        <f>IFERROR(MROUND(tblPiNAnalysis[[#This Row],[Mine Action]]/tblPiNAnalysis[[#This Row],[Affected population projection 2026]], 0.05), "")</f>
        <v>0.1</v>
      </c>
      <c r="AH149" s="322">
        <f>IFERROR(MROUND(tblPiNAnalysis[[#This Row],[HLP]]/tblPiNAnalysis[[#This Row],[Affected population projection 2026]], 0.05), "")</f>
        <v>0</v>
      </c>
      <c r="AI149" s="325">
        <f>IFERROR(LARGE(tblPiNAnalysis[[#This Row],[CCCM]:[WASH]], 1), "")</f>
        <v>127436.650800412</v>
      </c>
      <c r="AJ149" s="326" t="str" cm="1">
        <f t="array" ref="AJ149">IF(tblPiNAnalysis[[#This Row],[Highest PiN]]="", "", _xlfn.TEXTJOIN(CHAR(10), TRUE, IF(tblPiNAnalysis[[#This Row],[Highest PiN]]=tblPiNAnalysis[[#This Row],[CCCM]:[WASH]], tblPiNAnalysis[[#Headers],[CCCM]:[WASH]], "")))</f>
        <v>WASH</v>
      </c>
      <c r="AK149" s="327">
        <f>IF(tblPiNAnalysis[[#This Row],[Highest PiN]]="", "", tblPiNAnalysis[[#This Row],[Highest PiN]]/tblPiNAnalysis[[#This Row],[Affected population projection 2026]])</f>
        <v>0.71296296296296291</v>
      </c>
      <c r="AL149" s="328" t="str">
        <f>IF(SUM(tblPiNAnalysis[[#This Row],[CCCM]:[WASH]])=0, "",IF(COUNTIF(tblPiNAnalysis[[#This Row],[CCCM]:[WASH]],"=0")+COUNTIF(tblPiNAnalysis[[#This Row],[CCCM]:[WASH]],"")&gt;=zero_pin_thresh, "Flagged", ""))</f>
        <v/>
      </c>
      <c r="AM149" s="329" t="str">
        <f>IFERROR(IF(tblPiNAnalysis[[#This Row],[Highest PiN]]="", "", IF(tblPiNAnalysis[[#This Row],[Highest sector(s'') PiN %]]&gt;=flag_pin_perc, "Flagged", "")), "")</f>
        <v/>
      </c>
      <c r="AN149" s="330" t="str" cm="1">
        <f t="array" ref="AN149">IF(tblPiNAnalysis[[#This Row],[Highest PiN]]=0, "",  IF(OR(COUNTIF(tblPiNAnalysis[[#This Row],[Highest sector(s)]],tblSubSectorPopulation[Sector])), "Flagged", ""))</f>
        <v/>
      </c>
      <c r="AO149" s="46" cm="1">
        <f t="array" ref="AO14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92905.123157415932</v>
      </c>
      <c r="AP149" s="331" t="str" cm="1">
        <f t="array" ref="AP149">IF(tblPiNAnalysis[[#This Row],[2nd Highest PiN]]="", "", _xlfn.TEXTJOIN(CHAR(10), TRUE, IF(tblPiNAnalysis[[#This Row],[2nd Highest PiN]]=tblPiNAnalysis[[#This Row],[CCCM]:[WASH]], tblPiNAnalysis[[#Headers],[CCCM]:[WASH]], "")))</f>
        <v>Health</v>
      </c>
      <c r="AQ149" s="36">
        <f>IFERROR(tblPiNAnalysis[[#This Row],[2nd Highest PiN]]/tblPiNAnalysis[[#This Row],[Affected population projection 2026]], "")</f>
        <v>0.51977128608386258</v>
      </c>
      <c r="AR149" s="46">
        <f>IFERROR(tblPiNAnalysis[[#This Row],[Highest PiN]]-tblPiNAnalysis[[#This Row],[2nd Highest PiN]], "")</f>
        <v>34531.527642996065</v>
      </c>
      <c r="AS149" s="39">
        <f>IFERROR(((tblPiNAnalysis[[#This Row],[Highest PiN]]-tblPiNAnalysis[[#This Row],[2nd Highest PiN]])/tblPiNAnalysis[[#This Row],[2nd Highest PiN]]),"")</f>
        <v>0.37168593581741211</v>
      </c>
      <c r="AT149" s="39" t="str" cm="1">
        <f t="array" ref="AT14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9" s="332" cm="1">
        <f t="array" ref="AU14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71792.511876647914</v>
      </c>
      <c r="AV149" s="190" t="str" cm="1">
        <f t="array" ref="AV149">IF(tblPiNAnalysis[[#This Row],[3rd Highest PiN]]="", "", _xlfn.TEXTJOIN(CHAR(10), TRUE, IF(tblPiNAnalysis[[#This Row],[3rd Highest PiN]]=tblPiNAnalysis[[#This Row],[CCCM]:[WASH]], tblPiNAnalysis[[#Headers],[CCCM]:[WASH]], "")))</f>
        <v>Nutrition</v>
      </c>
      <c r="AW149" s="190">
        <f>IFERROR(tblPiNAnalysis[[#This Row],[3rd Highest PiN]]/tblPiNAnalysis[[#This Row],[Affected population projection 2026]], "")</f>
        <v>0.40165369746175977</v>
      </c>
      <c r="AX149" s="45">
        <f>IFERROR(tblPiNAnalysis[[#This Row],[Highest PiN]]-tblPiNAnalysis[[#This Row],[3rd Highest PiN]],"")</f>
        <v>55644.138923764083</v>
      </c>
      <c r="AY149" s="39">
        <f>IFERROR(tblPiNAnalysis[[#This Row],[Difference of PiN between Highest and 3rd Highest]]/tblPiNAnalysis[[#This Row],[3rd Highest PiN]], "")</f>
        <v>0.77506884031819978</v>
      </c>
      <c r="AZ149" s="330" t="str" cm="1">
        <f t="array" ref="AZ14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9" s="300" t="str" cm="1">
        <f t="array" ref="BA149">IFERROR(IF(tblPiNAnalysis[[#This Row],[ID]]="", "", INDEX(tblPiNHistorical[[CCCM]:[WASH]], MATCH(tblPiNAnalysis[[#This Row],[ID]],tblPiNHistorical[ID], 0),MATCH(_xlfn._xlws.FILTER(tblPiNAnalysis[[#Headers],[CCCM]:[WASH]], tblPiNAnalysis[[#This Row],[Highest PiN]]=tblPiNAnalysis[[#This Row],[CCCM]:[WASH]]), tblPiNHistorical[[#Headers],[CCCM]:[WASH]], 0))), "")</f>
        <v/>
      </c>
      <c r="BB149" s="333" t="str" cm="1">
        <f t="array" ref="BB14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9" s="276" t="str" cm="1">
        <f t="array" ref="BC14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9" s="334" t="str" cm="1">
        <f t="array" ref="BD14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9" s="276">
        <f>INDEX(tblSeverityAnalysis[Final Severity], MATCH(tblPiNAnalysis[[#This Row],[ID]],tblSeverityAnalysis[ID], 0))</f>
        <v>3</v>
      </c>
      <c r="BF149" s="61">
        <f>IF(tblPiNAnalysis[[#This Row],[Severity]]&gt;2,tblPiNAnalysis[[#This Row],[Highest PiN]],)</f>
        <v>127436.650800412</v>
      </c>
      <c r="BG149" s="191"/>
      <c r="BH149" s="192"/>
      <c r="BI149" s="193">
        <f>COUNTIFS(tblPiNAnalysis[[#This Row],[Number of missing / zero PiNs greater than threshold - Data quality]:[Manual Flag]],"Flagged")</f>
        <v>2</v>
      </c>
      <c r="BJ149" s="96" t="str">
        <f>IF(tblPiNAnalysis[[#This Row],['# Flags]]&gt;0, "Flagged", "")</f>
        <v>Flagged</v>
      </c>
      <c r="BK149" s="326">
        <f>tblPiNAnalysis[[#This Row],[Preliminary PiN]]</f>
        <v>127436.650800412</v>
      </c>
      <c r="BL149" s="331"/>
    </row>
    <row r="150" spans="1:64" ht="24.6" x14ac:dyDescent="0.55000000000000004">
      <c r="A15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SS0902</v>
      </c>
      <c r="B150" s="316" t="s">
        <v>382</v>
      </c>
      <c r="C150" s="317" t="s">
        <v>383</v>
      </c>
      <c r="D150" s="317" t="s">
        <v>386</v>
      </c>
      <c r="E150" s="105" t="s">
        <v>387</v>
      </c>
      <c r="F150" s="100"/>
      <c r="G150" s="34"/>
      <c r="H150" s="34"/>
      <c r="I150" s="97">
        <v>37008.275019605207</v>
      </c>
      <c r="J150" s="97" t="s">
        <v>413</v>
      </c>
      <c r="K150" s="318"/>
      <c r="L150" s="319">
        <v>9740.8185389477185</v>
      </c>
      <c r="M150" s="319">
        <v>15260.32923411262</v>
      </c>
      <c r="N150" s="319">
        <v>19251.330016565855</v>
      </c>
      <c r="O150" s="319">
        <v>19192.902815265665</v>
      </c>
      <c r="P150" s="319">
        <v>6609</v>
      </c>
      <c r="Q150" s="320">
        <v>0</v>
      </c>
      <c r="R150" s="319">
        <v>9594.7379680457962</v>
      </c>
      <c r="S150" s="319">
        <v>5193</v>
      </c>
      <c r="T150" s="319">
        <v>5963</v>
      </c>
      <c r="U150" s="319">
        <v>4203</v>
      </c>
      <c r="V150" s="319">
        <v>425</v>
      </c>
      <c r="W150" s="321" t="str">
        <f>IFERROR(IF(tblPiNAnalysis[[#This Row],[CCCM]]="", "", MROUND(tblPiNAnalysis[[#This Row],[CCCM]]/tblPiNAnalysis[[#This Row],[Affected population projection 2026]], 0.05)), "")</f>
        <v/>
      </c>
      <c r="X150" s="322">
        <f>IFERROR(IF(tblPiNAnalysis[[#This Row],[Education]]="", "", MROUND(tblPiNAnalysis[[#This Row],[Education]]/tblPiNAnalysis[[#This Row],[Affected population projection 2026]], 0.05)), "")</f>
        <v>0.25</v>
      </c>
      <c r="Y150" s="322">
        <f>IFERROR(IF(tblPiNAnalysis[[#This Row],[Nutrition]]="", "", MROUND(tblPiNAnalysis[[#This Row],[Nutrition]]/tblPiNAnalysis[[#This Row],[Affected population projection 2026]], 0.05)), "")</f>
        <v>0.4</v>
      </c>
      <c r="Z150" s="322">
        <f>IFERROR(IF(tblPiNAnalysis[[#This Row],[Food Security]]="", "", MROUND(tblPiNAnalysis[[#This Row],[Food Security]]/tblPiNAnalysis[[#This Row],[Affected population projection 2026]], 0.05)), "")</f>
        <v>0.5</v>
      </c>
      <c r="AA150" s="322">
        <f>IFERROR(IF(tblPiNAnalysis[[#This Row],[Health]]="", "", MROUND(tblPiNAnalysis[[#This Row],[Health]]/tblPiNAnalysis[[#This Row],[Affected population projection 2026]], 0.05)), "")</f>
        <v>0.5</v>
      </c>
      <c r="AB150" s="323">
        <f>IFERROR(IF(tblPiNAnalysis[[#This Row],[Overarching Protection]]="", "", MROUND(tblPiNAnalysis[[#This Row],[Overarching Protection]]/tblPiNAnalysis[[#This Row],[Affected population projection 2026]], 0.05)), "")</f>
        <v>0.2</v>
      </c>
      <c r="AC150" s="323">
        <f>IFERROR(IF(tblPiNAnalysis[[#This Row],[Shelter]]="", "", MROUND(tblPiNAnalysis[[#This Row],[Shelter]]/tblPiNAnalysis[[#This Row],[Affected population projection 2026]], 0.05)), "")</f>
        <v>0</v>
      </c>
      <c r="AD150" s="324">
        <f>IFERROR(IF(tblPiNAnalysis[[#This Row],[WASH]]="", "", MROUND(tblPiNAnalysis[[#This Row],[WASH]]/tblPiNAnalysis[[#This Row],[Affected population projection 2026]], 0.05)), "")</f>
        <v>0.25</v>
      </c>
      <c r="AE150" s="322">
        <f>IFERROR(MROUND(tblPiNAnalysis[[#This Row],[CP]]/tblPiNAnalysis[[#This Row],[Affected population projection 2026]], 0.05), "")</f>
        <v>0.15000000000000002</v>
      </c>
      <c r="AF150" s="322">
        <f>IFERROR(MROUND(tblPiNAnalysis[[#This Row],[GBV]]/tblPiNAnalysis[[#This Row],[Affected population projection 2026]], 0.05), "")</f>
        <v>0.15000000000000002</v>
      </c>
      <c r="AG150" s="322">
        <f>IFERROR(MROUND(tblPiNAnalysis[[#This Row],[Mine Action]]/tblPiNAnalysis[[#This Row],[Affected population projection 2026]], 0.05), "")</f>
        <v>0.1</v>
      </c>
      <c r="AH150" s="322">
        <f>IFERROR(MROUND(tblPiNAnalysis[[#This Row],[HLP]]/tblPiNAnalysis[[#This Row],[Affected population projection 2026]], 0.05), "")</f>
        <v>0</v>
      </c>
      <c r="AI150" s="325">
        <f>IFERROR(LARGE(tblPiNAnalysis[[#This Row],[CCCM]:[WASH]], 1), "")</f>
        <v>19251.330016565855</v>
      </c>
      <c r="AJ150" s="326" t="str" cm="1">
        <f t="array" ref="AJ150">IF(tblPiNAnalysis[[#This Row],[Highest PiN]]="", "", _xlfn.TEXTJOIN(CHAR(10), TRUE, IF(tblPiNAnalysis[[#This Row],[Highest PiN]]=tblPiNAnalysis[[#This Row],[CCCM]:[WASH]], tblPiNAnalysis[[#Headers],[CCCM]:[WASH]], "")))</f>
        <v>Food Security</v>
      </c>
      <c r="AK150" s="327">
        <f>IF(tblPiNAnalysis[[#This Row],[Highest PiN]]="", "", tblPiNAnalysis[[#This Row],[Highest PiN]]/tblPiNAnalysis[[#This Row],[Affected population projection 2026]])</f>
        <v>0.52018987662536076</v>
      </c>
      <c r="AL150" s="328" t="str">
        <f>IF(SUM(tblPiNAnalysis[[#This Row],[CCCM]:[WASH]])=0, "",IF(COUNTIF(tblPiNAnalysis[[#This Row],[CCCM]:[WASH]],"=0")+COUNTIF(tblPiNAnalysis[[#This Row],[CCCM]:[WASH]],"")&gt;=zero_pin_thresh, "Flagged", ""))</f>
        <v>Flagged</v>
      </c>
      <c r="AM150" s="329" t="str">
        <f>IFERROR(IF(tblPiNAnalysis[[#This Row],[Highest PiN]]="", "", IF(tblPiNAnalysis[[#This Row],[Highest sector(s'') PiN %]]&gt;=flag_pin_perc, "Flagged", "")), "")</f>
        <v/>
      </c>
      <c r="AN150" s="330" t="str" cm="1">
        <f t="array" ref="AN150">IF(tblPiNAnalysis[[#This Row],[Highest PiN]]=0, "",  IF(OR(COUNTIF(tblPiNAnalysis[[#This Row],[Highest sector(s)]],tblSubSectorPopulation[Sector])), "Flagged", ""))</f>
        <v/>
      </c>
      <c r="AO150" s="46" cm="1">
        <f t="array" ref="AO15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19192.902815265665</v>
      </c>
      <c r="AP150" s="331" t="str" cm="1">
        <f t="array" ref="AP150">IF(tblPiNAnalysis[[#This Row],[2nd Highest PiN]]="", "", _xlfn.TEXTJOIN(CHAR(10), TRUE, IF(tblPiNAnalysis[[#This Row],[2nd Highest PiN]]=tblPiNAnalysis[[#This Row],[CCCM]:[WASH]], tblPiNAnalysis[[#Headers],[CCCM]:[WASH]], "")))</f>
        <v>Health</v>
      </c>
      <c r="AQ150" s="36">
        <f>IFERROR(tblPiNAnalysis[[#This Row],[2nd Highest PiN]]/tblPiNAnalysis[[#This Row],[Affected population projection 2026]], "")</f>
        <v>0.51861111616518696</v>
      </c>
      <c r="AR150" s="46">
        <f>IFERROR(tblPiNAnalysis[[#This Row],[Highest PiN]]-tblPiNAnalysis[[#This Row],[2nd Highest PiN]], "")</f>
        <v>58.427201300190063</v>
      </c>
      <c r="AS150" s="39">
        <f>IFERROR(((tblPiNAnalysis[[#This Row],[Highest PiN]]-tblPiNAnalysis[[#This Row],[2nd Highest PiN]])/tblPiNAnalysis[[#This Row],[2nd Highest PiN]]),"")</f>
        <v>3.0442086776846593E-3</v>
      </c>
      <c r="AT150" s="39" t="str" cm="1">
        <f t="array" ref="AT15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0" s="332" cm="1">
        <f t="array" ref="AU15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15260.32923411262</v>
      </c>
      <c r="AV150" s="190" t="str" cm="1">
        <f t="array" ref="AV150">IF(tblPiNAnalysis[[#This Row],[3rd Highest PiN]]="", "", _xlfn.TEXTJOIN(CHAR(10), TRUE, IF(tblPiNAnalysis[[#This Row],[3rd Highest PiN]]=tblPiNAnalysis[[#This Row],[CCCM]:[WASH]], tblPiNAnalysis[[#Headers],[CCCM]:[WASH]], "")))</f>
        <v>Nutrition</v>
      </c>
      <c r="AW150" s="190">
        <f>IFERROR(tblPiNAnalysis[[#This Row],[3rd Highest PiN]]/tblPiNAnalysis[[#This Row],[Affected population projection 2026]], "")</f>
        <v>0.41234910911217637</v>
      </c>
      <c r="AX150" s="45">
        <f>IFERROR(tblPiNAnalysis[[#This Row],[Highest PiN]]-tblPiNAnalysis[[#This Row],[3rd Highest PiN]],"")</f>
        <v>3991.0007824532349</v>
      </c>
      <c r="AY150" s="39">
        <f>IFERROR(tblPiNAnalysis[[#This Row],[Difference of PiN between Highest and 3rd Highest]]/tblPiNAnalysis[[#This Row],[3rd Highest PiN]], "")</f>
        <v>0.2615278295262356</v>
      </c>
      <c r="AZ150" s="330" t="str" cm="1">
        <f t="array" ref="AZ15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0" s="300" t="str" cm="1">
        <f t="array" ref="BA150">IFERROR(IF(tblPiNAnalysis[[#This Row],[ID]]="", "", INDEX(tblPiNHistorical[[CCCM]:[WASH]], MATCH(tblPiNAnalysis[[#This Row],[ID]],tblPiNHistorical[ID], 0),MATCH(_xlfn._xlws.FILTER(tblPiNAnalysis[[#Headers],[CCCM]:[WASH]], tblPiNAnalysis[[#This Row],[Highest PiN]]=tblPiNAnalysis[[#This Row],[CCCM]:[WASH]]), tblPiNHistorical[[#Headers],[CCCM]:[WASH]], 0))), "")</f>
        <v/>
      </c>
      <c r="BB150" s="333" t="str" cm="1">
        <f t="array" ref="BB15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0" s="276" t="str" cm="1">
        <f t="array" ref="BC15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0" s="334" t="str" cm="1">
        <f t="array" ref="BD15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0" s="276">
        <f>INDEX(tblSeverityAnalysis[Final Severity], MATCH(tblPiNAnalysis[[#This Row],[ID]],tblSeverityAnalysis[ID], 0))</f>
        <v>3</v>
      </c>
      <c r="BF150" s="61">
        <f>IF(tblPiNAnalysis[[#This Row],[Severity]]&gt;2,tblPiNAnalysis[[#This Row],[Highest PiN]],)</f>
        <v>19251.330016565855</v>
      </c>
      <c r="BG150" s="191"/>
      <c r="BH150" s="192"/>
      <c r="BI150" s="193">
        <f>COUNTIFS(tblPiNAnalysis[[#This Row],[Number of missing / zero PiNs greater than threshold - Data quality]:[Manual Flag]],"Flagged")</f>
        <v>1</v>
      </c>
      <c r="BJ150" s="96" t="str">
        <f>IF(tblPiNAnalysis[[#This Row],['# Flags]]&gt;0, "Flagged", "")</f>
        <v>Flagged</v>
      </c>
      <c r="BK150" s="326">
        <f>tblPiNAnalysis[[#This Row],[Preliminary PiN]]</f>
        <v>19251.330016565855</v>
      </c>
      <c r="BL150" s="331"/>
    </row>
    <row r="151" spans="1:64" ht="24.6" x14ac:dyDescent="0.55000000000000004">
      <c r="A15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SS0903</v>
      </c>
      <c r="B151" s="316" t="s">
        <v>382</v>
      </c>
      <c r="C151" s="317" t="s">
        <v>383</v>
      </c>
      <c r="D151" s="317" t="s">
        <v>388</v>
      </c>
      <c r="E151" s="105" t="s">
        <v>389</v>
      </c>
      <c r="F151" s="100"/>
      <c r="G151" s="34"/>
      <c r="H151" s="34"/>
      <c r="I151" s="97">
        <v>225180.53774946873</v>
      </c>
      <c r="J151" s="97" t="s">
        <v>413</v>
      </c>
      <c r="K151" s="318"/>
      <c r="L151" s="319">
        <v>30693.36830626399</v>
      </c>
      <c r="M151" s="319">
        <v>92382.929493153322</v>
      </c>
      <c r="N151" s="319">
        <v>111624.95265472641</v>
      </c>
      <c r="O151" s="319">
        <v>102556.50979852382</v>
      </c>
      <c r="P151" s="319">
        <v>35550</v>
      </c>
      <c r="Q151" s="320">
        <v>54353.922905044179</v>
      </c>
      <c r="R151" s="319">
        <v>97995.234020602133</v>
      </c>
      <c r="S151" s="319">
        <v>28618</v>
      </c>
      <c r="T151" s="319">
        <v>17997</v>
      </c>
      <c r="U151" s="319">
        <v>6897</v>
      </c>
      <c r="V151" s="319">
        <v>2269</v>
      </c>
      <c r="W151" s="321" t="str">
        <f>IFERROR(IF(tblPiNAnalysis[[#This Row],[CCCM]]="", "", MROUND(tblPiNAnalysis[[#This Row],[CCCM]]/tblPiNAnalysis[[#This Row],[Affected population projection 2026]], 0.05)), "")</f>
        <v/>
      </c>
      <c r="X151" s="322">
        <f>IFERROR(IF(tblPiNAnalysis[[#This Row],[Education]]="", "", MROUND(tblPiNAnalysis[[#This Row],[Education]]/tblPiNAnalysis[[#This Row],[Affected population projection 2026]], 0.05)), "")</f>
        <v>0.15000000000000002</v>
      </c>
      <c r="Y151" s="322">
        <f>IFERROR(IF(tblPiNAnalysis[[#This Row],[Nutrition]]="", "", MROUND(tblPiNAnalysis[[#This Row],[Nutrition]]/tblPiNAnalysis[[#This Row],[Affected population projection 2026]], 0.05)), "")</f>
        <v>0.4</v>
      </c>
      <c r="Z151" s="322">
        <f>IFERROR(IF(tblPiNAnalysis[[#This Row],[Food Security]]="", "", MROUND(tblPiNAnalysis[[#This Row],[Food Security]]/tblPiNAnalysis[[#This Row],[Affected population projection 2026]], 0.05)), "")</f>
        <v>0.5</v>
      </c>
      <c r="AA151" s="322">
        <f>IFERROR(IF(tblPiNAnalysis[[#This Row],[Health]]="", "", MROUND(tblPiNAnalysis[[#This Row],[Health]]/tblPiNAnalysis[[#This Row],[Affected population projection 2026]], 0.05)), "")</f>
        <v>0.45</v>
      </c>
      <c r="AB151" s="323">
        <f>IFERROR(IF(tblPiNAnalysis[[#This Row],[Overarching Protection]]="", "", MROUND(tblPiNAnalysis[[#This Row],[Overarching Protection]]/tblPiNAnalysis[[#This Row],[Affected population projection 2026]], 0.05)), "")</f>
        <v>0.15000000000000002</v>
      </c>
      <c r="AC151" s="323">
        <f>IFERROR(IF(tblPiNAnalysis[[#This Row],[Shelter]]="", "", MROUND(tblPiNAnalysis[[#This Row],[Shelter]]/tblPiNAnalysis[[#This Row],[Affected population projection 2026]], 0.05)), "")</f>
        <v>0.25</v>
      </c>
      <c r="AD151" s="324">
        <f>IFERROR(IF(tblPiNAnalysis[[#This Row],[WASH]]="", "", MROUND(tblPiNAnalysis[[#This Row],[WASH]]/tblPiNAnalysis[[#This Row],[Affected population projection 2026]], 0.05)), "")</f>
        <v>0.45</v>
      </c>
      <c r="AE151" s="322">
        <f>IFERROR(MROUND(tblPiNAnalysis[[#This Row],[CP]]/tblPiNAnalysis[[#This Row],[Affected population projection 2026]], 0.05), "")</f>
        <v>0.15000000000000002</v>
      </c>
      <c r="AF151" s="322">
        <f>IFERROR(MROUND(tblPiNAnalysis[[#This Row],[GBV]]/tblPiNAnalysis[[#This Row],[Affected population projection 2026]], 0.05), "")</f>
        <v>0.1</v>
      </c>
      <c r="AG151" s="322">
        <f>IFERROR(MROUND(tblPiNAnalysis[[#This Row],[Mine Action]]/tblPiNAnalysis[[#This Row],[Affected population projection 2026]], 0.05), "")</f>
        <v>0.05</v>
      </c>
      <c r="AH151" s="322">
        <f>IFERROR(MROUND(tblPiNAnalysis[[#This Row],[HLP]]/tblPiNAnalysis[[#This Row],[Affected population projection 2026]], 0.05), "")</f>
        <v>0</v>
      </c>
      <c r="AI151" s="325">
        <f>IFERROR(LARGE(tblPiNAnalysis[[#This Row],[CCCM]:[WASH]], 1), "")</f>
        <v>111624.95265472641</v>
      </c>
      <c r="AJ151" s="326" t="str" cm="1">
        <f t="array" ref="AJ151">IF(tblPiNAnalysis[[#This Row],[Highest PiN]]="", "", _xlfn.TEXTJOIN(CHAR(10), TRUE, IF(tblPiNAnalysis[[#This Row],[Highest PiN]]=tblPiNAnalysis[[#This Row],[CCCM]:[WASH]], tblPiNAnalysis[[#Headers],[CCCM]:[WASH]], "")))</f>
        <v>Food Security</v>
      </c>
      <c r="AK151" s="327">
        <f>IF(tblPiNAnalysis[[#This Row],[Highest PiN]]="", "", tblPiNAnalysis[[#This Row],[Highest PiN]]/tblPiNAnalysis[[#This Row],[Affected population projection 2026]])</f>
        <v>0.49571314541809142</v>
      </c>
      <c r="AL151" s="328" t="str">
        <f>IF(SUM(tblPiNAnalysis[[#This Row],[CCCM]:[WASH]])=0, "",IF(COUNTIF(tblPiNAnalysis[[#This Row],[CCCM]:[WASH]],"=0")+COUNTIF(tblPiNAnalysis[[#This Row],[CCCM]:[WASH]],"")&gt;=zero_pin_thresh, "Flagged", ""))</f>
        <v/>
      </c>
      <c r="AM151" s="329" t="str">
        <f>IFERROR(IF(tblPiNAnalysis[[#This Row],[Highest PiN]]="", "", IF(tblPiNAnalysis[[#This Row],[Highest sector(s'') PiN %]]&gt;=flag_pin_perc, "Flagged", "")), "")</f>
        <v/>
      </c>
      <c r="AN151" s="330" t="str" cm="1">
        <f t="array" ref="AN151">IF(tblPiNAnalysis[[#This Row],[Highest PiN]]=0, "",  IF(OR(COUNTIF(tblPiNAnalysis[[#This Row],[Highest sector(s)]],tblSubSectorPopulation[Sector])), "Flagged", ""))</f>
        <v/>
      </c>
      <c r="AO151" s="46" cm="1">
        <f t="array" ref="AO15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102556.50979852382</v>
      </c>
      <c r="AP151" s="331" t="str" cm="1">
        <f t="array" ref="AP151">IF(tblPiNAnalysis[[#This Row],[2nd Highest PiN]]="", "", _xlfn.TEXTJOIN(CHAR(10), TRUE, IF(tblPiNAnalysis[[#This Row],[2nd Highest PiN]]=tblPiNAnalysis[[#This Row],[CCCM]:[WASH]], tblPiNAnalysis[[#Headers],[CCCM]:[WASH]], "")))</f>
        <v>Health</v>
      </c>
      <c r="AQ151" s="36">
        <f>IFERROR(tblPiNAnalysis[[#This Row],[2nd Highest PiN]]/tblPiNAnalysis[[#This Row],[Affected population projection 2026]], "")</f>
        <v>0.45544126869714691</v>
      </c>
      <c r="AR151" s="46">
        <f>IFERROR(tblPiNAnalysis[[#This Row],[Highest PiN]]-tblPiNAnalysis[[#This Row],[2nd Highest PiN]], "")</f>
        <v>9068.442856202586</v>
      </c>
      <c r="AS151" s="39">
        <f>IFERROR(((tblPiNAnalysis[[#This Row],[Highest PiN]]-tblPiNAnalysis[[#This Row],[2nd Highest PiN]])/tblPiNAnalysis[[#This Row],[2nd Highest PiN]]),"")</f>
        <v>8.8423863819253282E-2</v>
      </c>
      <c r="AT151" s="39" t="str" cm="1">
        <f t="array" ref="AT15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1" s="332" cm="1">
        <f t="array" ref="AU15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97995.234020602133</v>
      </c>
      <c r="AV151" s="190" t="str" cm="1">
        <f t="array" ref="AV151">IF(tblPiNAnalysis[[#This Row],[3rd Highest PiN]]="", "", _xlfn.TEXTJOIN(CHAR(10), TRUE, IF(tblPiNAnalysis[[#This Row],[3rd Highest PiN]]=tblPiNAnalysis[[#This Row],[CCCM]:[WASH]], tblPiNAnalysis[[#Headers],[CCCM]:[WASH]], "")))</f>
        <v>WASH</v>
      </c>
      <c r="AW151" s="190">
        <f>IFERROR(tblPiNAnalysis[[#This Row],[3rd Highest PiN]]/tblPiNAnalysis[[#This Row],[Affected population projection 2026]], "")</f>
        <v>0.43518518518518517</v>
      </c>
      <c r="AX151" s="45">
        <f>IFERROR(tblPiNAnalysis[[#This Row],[Highest PiN]]-tblPiNAnalysis[[#This Row],[3rd Highest PiN]],"")</f>
        <v>13629.718634124278</v>
      </c>
      <c r="AY151" s="39">
        <f>IFERROR(tblPiNAnalysis[[#This Row],[Difference of PiN between Highest and 3rd Highest]]/tblPiNAnalysis[[#This Row],[3rd Highest PiN]], "")</f>
        <v>0.1390855256415717</v>
      </c>
      <c r="AZ151" s="330" t="str" cm="1">
        <f t="array" ref="AZ15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1" s="300" t="str" cm="1">
        <f t="array" ref="BA151">IFERROR(IF(tblPiNAnalysis[[#This Row],[ID]]="", "", INDEX(tblPiNHistorical[[CCCM]:[WASH]], MATCH(tblPiNAnalysis[[#This Row],[ID]],tblPiNHistorical[ID], 0),MATCH(_xlfn._xlws.FILTER(tblPiNAnalysis[[#Headers],[CCCM]:[WASH]], tblPiNAnalysis[[#This Row],[Highest PiN]]=tblPiNAnalysis[[#This Row],[CCCM]:[WASH]]), tblPiNHistorical[[#Headers],[CCCM]:[WASH]], 0))), "")</f>
        <v/>
      </c>
      <c r="BB151" s="333" t="str" cm="1">
        <f t="array" ref="BB15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1" s="276" t="str" cm="1">
        <f t="array" ref="BC15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1" s="334" t="str" cm="1">
        <f t="array" ref="BD15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1" s="276">
        <f>INDEX(tblSeverityAnalysis[Final Severity], MATCH(tblPiNAnalysis[[#This Row],[ID]],tblSeverityAnalysis[ID], 0))</f>
        <v>3</v>
      </c>
      <c r="BF151" s="61">
        <f>IF(tblPiNAnalysis[[#This Row],[Severity]]&gt;2,tblPiNAnalysis[[#This Row],[Highest PiN]],)</f>
        <v>111624.95265472641</v>
      </c>
      <c r="BG151" s="191"/>
      <c r="BH151" s="192"/>
      <c r="BI151" s="193">
        <f>COUNTIFS(tblPiNAnalysis[[#This Row],[Number of missing / zero PiNs greater than threshold - Data quality]:[Manual Flag]],"Flagged")</f>
        <v>0</v>
      </c>
      <c r="BJ151" s="96" t="str">
        <f>IF(tblPiNAnalysis[[#This Row],['# Flags]]&gt;0, "Flagged", "")</f>
        <v/>
      </c>
      <c r="BK151" s="326">
        <f>tblPiNAnalysis[[#This Row],[Preliminary PiN]]</f>
        <v>111624.95265472641</v>
      </c>
      <c r="BL151" s="331"/>
    </row>
    <row r="152" spans="1:64" ht="24.6" x14ac:dyDescent="0.55000000000000004">
      <c r="A15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SS1001</v>
      </c>
      <c r="B152" s="316" t="s">
        <v>390</v>
      </c>
      <c r="C152" s="317" t="s">
        <v>391</v>
      </c>
      <c r="D152" s="317" t="s">
        <v>392</v>
      </c>
      <c r="E152" s="105" t="s">
        <v>393</v>
      </c>
      <c r="F152" s="100"/>
      <c r="G152" s="34"/>
      <c r="H152" s="34"/>
      <c r="I152" s="97">
        <v>73520.181474041485</v>
      </c>
      <c r="J152" s="97" t="s">
        <v>413</v>
      </c>
      <c r="K152" s="318"/>
      <c r="L152" s="319">
        <v>16171.535877120903</v>
      </c>
      <c r="M152" s="319">
        <v>36066.523335321421</v>
      </c>
      <c r="N152" s="319">
        <v>13143.564910079635</v>
      </c>
      <c r="O152" s="319">
        <v>36337.325866056002</v>
      </c>
      <c r="P152" s="319">
        <v>12761</v>
      </c>
      <c r="Q152" s="320">
        <v>29249.964672468115</v>
      </c>
      <c r="R152" s="319">
        <v>54459.393684475173</v>
      </c>
      <c r="S152" s="319">
        <v>10407</v>
      </c>
      <c r="T152" s="319">
        <v>6929</v>
      </c>
      <c r="U152" s="319">
        <v>2732</v>
      </c>
      <c r="V152" s="319">
        <v>764</v>
      </c>
      <c r="W152" s="321" t="str">
        <f>IFERROR(IF(tblPiNAnalysis[[#This Row],[CCCM]]="", "", MROUND(tblPiNAnalysis[[#This Row],[CCCM]]/tblPiNAnalysis[[#This Row],[Affected population projection 2026]], 0.05)), "")</f>
        <v/>
      </c>
      <c r="X152" s="322">
        <f>IFERROR(IF(tblPiNAnalysis[[#This Row],[Education]]="", "", MROUND(tblPiNAnalysis[[#This Row],[Education]]/tblPiNAnalysis[[#This Row],[Affected population projection 2026]], 0.05)), "")</f>
        <v>0.2</v>
      </c>
      <c r="Y152" s="322">
        <f>IFERROR(IF(tblPiNAnalysis[[#This Row],[Nutrition]]="", "", MROUND(tblPiNAnalysis[[#This Row],[Nutrition]]/tblPiNAnalysis[[#This Row],[Affected population projection 2026]], 0.05)), "")</f>
        <v>0.5</v>
      </c>
      <c r="Z152" s="322">
        <f>IFERROR(IF(tblPiNAnalysis[[#This Row],[Food Security]]="", "", MROUND(tblPiNAnalysis[[#This Row],[Food Security]]/tblPiNAnalysis[[#This Row],[Affected population projection 2026]], 0.05)), "")</f>
        <v>0.2</v>
      </c>
      <c r="AA152" s="322">
        <f>IFERROR(IF(tblPiNAnalysis[[#This Row],[Health]]="", "", MROUND(tblPiNAnalysis[[#This Row],[Health]]/tblPiNAnalysis[[#This Row],[Affected population projection 2026]], 0.05)), "")</f>
        <v>0.5</v>
      </c>
      <c r="AB152" s="323">
        <f>IFERROR(IF(tblPiNAnalysis[[#This Row],[Overarching Protection]]="", "", MROUND(tblPiNAnalysis[[#This Row],[Overarching Protection]]/tblPiNAnalysis[[#This Row],[Affected population projection 2026]], 0.05)), "")</f>
        <v>0.15000000000000002</v>
      </c>
      <c r="AC152" s="323">
        <f>IFERROR(IF(tblPiNAnalysis[[#This Row],[Shelter]]="", "", MROUND(tblPiNAnalysis[[#This Row],[Shelter]]/tblPiNAnalysis[[#This Row],[Affected population projection 2026]], 0.05)), "")</f>
        <v>0.4</v>
      </c>
      <c r="AD152" s="324">
        <f>IFERROR(IF(tblPiNAnalysis[[#This Row],[WASH]]="", "", MROUND(tblPiNAnalysis[[#This Row],[WASH]]/tblPiNAnalysis[[#This Row],[Affected population projection 2026]], 0.05)), "")</f>
        <v>0.75</v>
      </c>
      <c r="AE152" s="322">
        <f>IFERROR(MROUND(tblPiNAnalysis[[#This Row],[CP]]/tblPiNAnalysis[[#This Row],[Affected population projection 2026]], 0.05), "")</f>
        <v>0.15000000000000002</v>
      </c>
      <c r="AF152" s="322">
        <f>IFERROR(MROUND(tblPiNAnalysis[[#This Row],[GBV]]/tblPiNAnalysis[[#This Row],[Affected population projection 2026]], 0.05), "")</f>
        <v>0.1</v>
      </c>
      <c r="AG152" s="322">
        <f>IFERROR(MROUND(tblPiNAnalysis[[#This Row],[Mine Action]]/tblPiNAnalysis[[#This Row],[Affected population projection 2026]], 0.05), "")</f>
        <v>0.05</v>
      </c>
      <c r="AH152" s="322">
        <f>IFERROR(MROUND(tblPiNAnalysis[[#This Row],[HLP]]/tblPiNAnalysis[[#This Row],[Affected population projection 2026]], 0.05), "")</f>
        <v>0</v>
      </c>
      <c r="AI152" s="325">
        <f>IFERROR(LARGE(tblPiNAnalysis[[#This Row],[CCCM]:[WASH]], 1), "")</f>
        <v>54459.393684475173</v>
      </c>
      <c r="AJ152" s="326" t="str" cm="1">
        <f t="array" ref="AJ152">IF(tblPiNAnalysis[[#This Row],[Highest PiN]]="", "", _xlfn.TEXTJOIN(CHAR(10), TRUE, IF(tblPiNAnalysis[[#This Row],[Highest PiN]]=tblPiNAnalysis[[#This Row],[CCCM]:[WASH]], tblPiNAnalysis[[#Headers],[CCCM]:[WASH]], "")))</f>
        <v>WASH</v>
      </c>
      <c r="AK152" s="327">
        <f>IF(tblPiNAnalysis[[#This Row],[Highest PiN]]="", "", tblPiNAnalysis[[#This Row],[Highest PiN]]/tblPiNAnalysis[[#This Row],[Affected population projection 2026]])</f>
        <v>0.7407407407407407</v>
      </c>
      <c r="AL152" s="328" t="str">
        <f>IF(SUM(tblPiNAnalysis[[#This Row],[CCCM]:[WASH]])=0, "",IF(COUNTIF(tblPiNAnalysis[[#This Row],[CCCM]:[WASH]],"=0")+COUNTIF(tblPiNAnalysis[[#This Row],[CCCM]:[WASH]],"")&gt;=zero_pin_thresh, "Flagged", ""))</f>
        <v/>
      </c>
      <c r="AM152" s="329" t="str">
        <f>IFERROR(IF(tblPiNAnalysis[[#This Row],[Highest PiN]]="", "", IF(tblPiNAnalysis[[#This Row],[Highest sector(s'') PiN %]]&gt;=flag_pin_perc, "Flagged", "")), "")</f>
        <v/>
      </c>
      <c r="AN152" s="330" t="str" cm="1">
        <f t="array" ref="AN152">IF(tblPiNAnalysis[[#This Row],[Highest PiN]]=0, "",  IF(OR(COUNTIF(tblPiNAnalysis[[#This Row],[Highest sector(s)]],tblSubSectorPopulation[Sector])), "Flagged", ""))</f>
        <v/>
      </c>
      <c r="AO152" s="46" cm="1">
        <f t="array" ref="AO15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36337.325866056002</v>
      </c>
      <c r="AP152" s="331" t="str" cm="1">
        <f t="array" ref="AP152">IF(tblPiNAnalysis[[#This Row],[2nd Highest PiN]]="", "", _xlfn.TEXTJOIN(CHAR(10), TRUE, IF(tblPiNAnalysis[[#This Row],[2nd Highest PiN]]=tblPiNAnalysis[[#This Row],[CCCM]:[WASH]], tblPiNAnalysis[[#Headers],[CCCM]:[WASH]], "")))</f>
        <v>Health</v>
      </c>
      <c r="AQ152" s="36">
        <f>IFERROR(tblPiNAnalysis[[#This Row],[2nd Highest PiN]]/tblPiNAnalysis[[#This Row],[Affected population projection 2026]], "")</f>
        <v>0.49424967590546537</v>
      </c>
      <c r="AR152" s="46">
        <f>IFERROR(tblPiNAnalysis[[#This Row],[Highest PiN]]-tblPiNAnalysis[[#This Row],[2nd Highest PiN]], "")</f>
        <v>18122.067818419171</v>
      </c>
      <c r="AS152" s="39">
        <f>IFERROR(((tblPiNAnalysis[[#This Row],[Highest PiN]]-tblPiNAnalysis[[#This Row],[2nd Highest PiN]])/tblPiNAnalysis[[#This Row],[2nd Highest PiN]]),"")</f>
        <v>0.49871770655934933</v>
      </c>
      <c r="AT152" s="39" t="str" cm="1">
        <f t="array" ref="AT15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52" s="332" cm="1">
        <f t="array" ref="AU15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36066.523335321421</v>
      </c>
      <c r="AV152" s="190" t="str" cm="1">
        <f t="array" ref="AV152">IF(tblPiNAnalysis[[#This Row],[3rd Highest PiN]]="", "", _xlfn.TEXTJOIN(CHAR(10), TRUE, IF(tblPiNAnalysis[[#This Row],[3rd Highest PiN]]=tblPiNAnalysis[[#This Row],[CCCM]:[WASH]], tblPiNAnalysis[[#Headers],[CCCM]:[WASH]], "")))</f>
        <v>Nutrition</v>
      </c>
      <c r="AW152" s="190">
        <f>IFERROR(tblPiNAnalysis[[#This Row],[3rd Highest PiN]]/tblPiNAnalysis[[#This Row],[Affected population projection 2026]], "")</f>
        <v>0.49056629910599164</v>
      </c>
      <c r="AX152" s="45">
        <f>IFERROR(tblPiNAnalysis[[#This Row],[Highest PiN]]-tblPiNAnalysis[[#This Row],[3rd Highest PiN]],"")</f>
        <v>18392.870349153753</v>
      </c>
      <c r="AY152" s="39">
        <f>IFERROR(tblPiNAnalysis[[#This Row],[Difference of PiN between Highest and 3rd Highest]]/tblPiNAnalysis[[#This Row],[3rd Highest PiN]], "")</f>
        <v>0.50997070546971357</v>
      </c>
      <c r="AZ152" s="330" t="str" cm="1">
        <f t="array" ref="AZ15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52" s="300" t="str" cm="1">
        <f t="array" ref="BA152">IFERROR(IF(tblPiNAnalysis[[#This Row],[ID]]="", "", INDEX(tblPiNHistorical[[CCCM]:[WASH]], MATCH(tblPiNAnalysis[[#This Row],[ID]],tblPiNHistorical[ID], 0),MATCH(_xlfn._xlws.FILTER(tblPiNAnalysis[[#Headers],[CCCM]:[WASH]], tblPiNAnalysis[[#This Row],[Highest PiN]]=tblPiNAnalysis[[#This Row],[CCCM]:[WASH]]), tblPiNHistorical[[#Headers],[CCCM]:[WASH]], 0))), "")</f>
        <v/>
      </c>
      <c r="BB152" s="333" t="str" cm="1">
        <f t="array" ref="BB15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2" s="276" t="str" cm="1">
        <f t="array" ref="BC15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2" s="334" t="str" cm="1">
        <f t="array" ref="BD15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2" s="276">
        <f>INDEX(tblSeverityAnalysis[Final Severity], MATCH(tblPiNAnalysis[[#This Row],[ID]],tblSeverityAnalysis[ID], 0))</f>
        <v>3</v>
      </c>
      <c r="BF152" s="61">
        <f>IF(tblPiNAnalysis[[#This Row],[Severity]]&gt;2,tblPiNAnalysis[[#This Row],[Highest PiN]],)</f>
        <v>54459.393684475173</v>
      </c>
      <c r="BG152" s="191"/>
      <c r="BH152" s="192"/>
      <c r="BI152" s="193">
        <f>COUNTIFS(tblPiNAnalysis[[#This Row],[Number of missing / zero PiNs greater than threshold - Data quality]:[Manual Flag]],"Flagged")</f>
        <v>2</v>
      </c>
      <c r="BJ152" s="96" t="str">
        <f>IF(tblPiNAnalysis[[#This Row],['# Flags]]&gt;0, "Flagged", "")</f>
        <v>Flagged</v>
      </c>
      <c r="BK152" s="326">
        <f>tblPiNAnalysis[[#This Row],[Preliminary PiN]]</f>
        <v>54459.393684475173</v>
      </c>
      <c r="BL152" s="331"/>
    </row>
    <row r="153" spans="1:64" ht="24.6" x14ac:dyDescent="0.55000000000000004">
      <c r="A15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SS1002</v>
      </c>
      <c r="B153" s="316" t="s">
        <v>390</v>
      </c>
      <c r="C153" s="317" t="s">
        <v>391</v>
      </c>
      <c r="D153" s="317" t="s">
        <v>394</v>
      </c>
      <c r="E153" s="105" t="s">
        <v>395</v>
      </c>
      <c r="F153" s="100"/>
      <c r="G153" s="34"/>
      <c r="H153" s="34"/>
      <c r="I153" s="97">
        <v>47140.450098552225</v>
      </c>
      <c r="J153" s="97" t="s">
        <v>413</v>
      </c>
      <c r="K153" s="318"/>
      <c r="L153" s="319">
        <v>6753.435162018789</v>
      </c>
      <c r="M153" s="319">
        <v>20826.863886890918</v>
      </c>
      <c r="N153" s="319">
        <v>11877.998300213296</v>
      </c>
      <c r="O153" s="319">
        <v>20492.844907836869</v>
      </c>
      <c r="P153" s="319">
        <v>9428</v>
      </c>
      <c r="Q153" s="320">
        <v>17495.424778844124</v>
      </c>
      <c r="R153" s="319">
        <v>40156.679713581529</v>
      </c>
      <c r="S153" s="319">
        <v>6902</v>
      </c>
      <c r="T153" s="319">
        <v>8562</v>
      </c>
      <c r="U153" s="319">
        <v>1987</v>
      </c>
      <c r="V153" s="319">
        <v>675</v>
      </c>
      <c r="W153" s="321" t="str">
        <f>IFERROR(IF(tblPiNAnalysis[[#This Row],[CCCM]]="", "", MROUND(tblPiNAnalysis[[#This Row],[CCCM]]/tblPiNAnalysis[[#This Row],[Affected population projection 2026]], 0.05)), "")</f>
        <v/>
      </c>
      <c r="X153" s="322">
        <f>IFERROR(IF(tblPiNAnalysis[[#This Row],[Education]]="", "", MROUND(tblPiNAnalysis[[#This Row],[Education]]/tblPiNAnalysis[[#This Row],[Affected population projection 2026]], 0.05)), "")</f>
        <v>0.15000000000000002</v>
      </c>
      <c r="Y153" s="322">
        <f>IFERROR(IF(tblPiNAnalysis[[#This Row],[Nutrition]]="", "", MROUND(tblPiNAnalysis[[#This Row],[Nutrition]]/tblPiNAnalysis[[#This Row],[Affected population projection 2026]], 0.05)), "")</f>
        <v>0.45</v>
      </c>
      <c r="Z153" s="322">
        <f>IFERROR(IF(tblPiNAnalysis[[#This Row],[Food Security]]="", "", MROUND(tblPiNAnalysis[[#This Row],[Food Security]]/tblPiNAnalysis[[#This Row],[Affected population projection 2026]], 0.05)), "")</f>
        <v>0.25</v>
      </c>
      <c r="AA153" s="322">
        <f>IFERROR(IF(tblPiNAnalysis[[#This Row],[Health]]="", "", MROUND(tblPiNAnalysis[[#This Row],[Health]]/tblPiNAnalysis[[#This Row],[Affected population projection 2026]], 0.05)), "")</f>
        <v>0.45</v>
      </c>
      <c r="AB153" s="323">
        <f>IFERROR(IF(tblPiNAnalysis[[#This Row],[Overarching Protection]]="", "", MROUND(tblPiNAnalysis[[#This Row],[Overarching Protection]]/tblPiNAnalysis[[#This Row],[Affected population projection 2026]], 0.05)), "")</f>
        <v>0.2</v>
      </c>
      <c r="AC153" s="323">
        <f>IFERROR(IF(tblPiNAnalysis[[#This Row],[Shelter]]="", "", MROUND(tblPiNAnalysis[[#This Row],[Shelter]]/tblPiNAnalysis[[#This Row],[Affected population projection 2026]], 0.05)), "")</f>
        <v>0.35000000000000003</v>
      </c>
      <c r="AD153" s="324">
        <f>IFERROR(IF(tblPiNAnalysis[[#This Row],[WASH]]="", "", MROUND(tblPiNAnalysis[[#This Row],[WASH]]/tblPiNAnalysis[[#This Row],[Affected population projection 2026]], 0.05)), "")</f>
        <v>0.85000000000000009</v>
      </c>
      <c r="AE153" s="322">
        <f>IFERROR(MROUND(tblPiNAnalysis[[#This Row],[CP]]/tblPiNAnalysis[[#This Row],[Affected population projection 2026]], 0.05), "")</f>
        <v>0.15000000000000002</v>
      </c>
      <c r="AF153" s="322">
        <f>IFERROR(MROUND(tblPiNAnalysis[[#This Row],[GBV]]/tblPiNAnalysis[[#This Row],[Affected population projection 2026]], 0.05), "")</f>
        <v>0.2</v>
      </c>
      <c r="AG153" s="322">
        <f>IFERROR(MROUND(tblPiNAnalysis[[#This Row],[Mine Action]]/tblPiNAnalysis[[#This Row],[Affected population projection 2026]], 0.05), "")</f>
        <v>0.05</v>
      </c>
      <c r="AH153" s="322">
        <f>IFERROR(MROUND(tblPiNAnalysis[[#This Row],[HLP]]/tblPiNAnalysis[[#This Row],[Affected population projection 2026]], 0.05), "")</f>
        <v>0</v>
      </c>
      <c r="AI153" s="325">
        <f>IFERROR(LARGE(tblPiNAnalysis[[#This Row],[CCCM]:[WASH]], 1), "")</f>
        <v>40156.679713581529</v>
      </c>
      <c r="AJ153" s="326" t="str" cm="1">
        <f t="array" ref="AJ153">IF(tblPiNAnalysis[[#This Row],[Highest PiN]]="", "", _xlfn.TEXTJOIN(CHAR(10), TRUE, IF(tblPiNAnalysis[[#This Row],[Highest PiN]]=tblPiNAnalysis[[#This Row],[CCCM]:[WASH]], tblPiNAnalysis[[#Headers],[CCCM]:[WASH]], "")))</f>
        <v>WASH</v>
      </c>
      <c r="AK153" s="327">
        <f>IF(tblPiNAnalysis[[#This Row],[Highest PiN]]="", "", tblPiNAnalysis[[#This Row],[Highest PiN]]/tblPiNAnalysis[[#This Row],[Affected population projection 2026]])</f>
        <v>0.85185185185185197</v>
      </c>
      <c r="AL153" s="328" t="str">
        <f>IF(SUM(tblPiNAnalysis[[#This Row],[CCCM]:[WASH]])=0, "",IF(COUNTIF(tblPiNAnalysis[[#This Row],[CCCM]:[WASH]],"=0")+COUNTIF(tblPiNAnalysis[[#This Row],[CCCM]:[WASH]],"")&gt;=zero_pin_thresh, "Flagged", ""))</f>
        <v/>
      </c>
      <c r="AM153" s="329" t="str">
        <f>IFERROR(IF(tblPiNAnalysis[[#This Row],[Highest PiN]]="", "", IF(tblPiNAnalysis[[#This Row],[Highest sector(s'') PiN %]]&gt;=flag_pin_perc, "Flagged", "")), "")</f>
        <v/>
      </c>
      <c r="AN153" s="330" t="str" cm="1">
        <f t="array" ref="AN153">IF(tblPiNAnalysis[[#This Row],[Highest PiN]]=0, "",  IF(OR(COUNTIF(tblPiNAnalysis[[#This Row],[Highest sector(s)]],tblSubSectorPopulation[Sector])), "Flagged", ""))</f>
        <v/>
      </c>
      <c r="AO153" s="46" cm="1">
        <f t="array" ref="AO15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20826.863886890918</v>
      </c>
      <c r="AP153" s="331" t="str" cm="1">
        <f t="array" ref="AP153">IF(tblPiNAnalysis[[#This Row],[2nd Highest PiN]]="", "", _xlfn.TEXTJOIN(CHAR(10), TRUE, IF(tblPiNAnalysis[[#This Row],[2nd Highest PiN]]=tblPiNAnalysis[[#This Row],[CCCM]:[WASH]], tblPiNAnalysis[[#Headers],[CCCM]:[WASH]], "")))</f>
        <v>Nutrition</v>
      </c>
      <c r="AQ153" s="36">
        <f>IFERROR(tblPiNAnalysis[[#This Row],[2nd Highest PiN]]/tblPiNAnalysis[[#This Row],[Affected population projection 2026]], "")</f>
        <v>0.44180451911999358</v>
      </c>
      <c r="AR153" s="46">
        <f>IFERROR(tblPiNAnalysis[[#This Row],[Highest PiN]]-tblPiNAnalysis[[#This Row],[2nd Highest PiN]], "")</f>
        <v>19329.81582669061</v>
      </c>
      <c r="AS153" s="39">
        <f>IFERROR(((tblPiNAnalysis[[#This Row],[Highest PiN]]-tblPiNAnalysis[[#This Row],[2nd Highest PiN]])/tblPiNAnalysis[[#This Row],[2nd Highest PiN]]),"")</f>
        <v>0.92811937177240611</v>
      </c>
      <c r="AT153" s="39" t="str" cm="1">
        <f t="array" ref="AT15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53" s="332" cm="1">
        <f t="array" ref="AU15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20492.844907836869</v>
      </c>
      <c r="AV153" s="190" t="str" cm="1">
        <f t="array" ref="AV153">IF(tblPiNAnalysis[[#This Row],[3rd Highest PiN]]="", "", _xlfn.TEXTJOIN(CHAR(10), TRUE, IF(tblPiNAnalysis[[#This Row],[3rd Highest PiN]]=tblPiNAnalysis[[#This Row],[CCCM]:[WASH]], tblPiNAnalysis[[#Headers],[CCCM]:[WASH]], "")))</f>
        <v>Health</v>
      </c>
      <c r="AW153" s="190">
        <f>IFERROR(tblPiNAnalysis[[#This Row],[3rd Highest PiN]]/tblPiNAnalysis[[#This Row],[Affected population projection 2026]], "")</f>
        <v>0.43471890626827603</v>
      </c>
      <c r="AX153" s="45">
        <f>IFERROR(tblPiNAnalysis[[#This Row],[Highest PiN]]-tblPiNAnalysis[[#This Row],[3rd Highest PiN]],"")</f>
        <v>19663.83480574466</v>
      </c>
      <c r="AY153" s="39">
        <f>IFERROR(tblPiNAnalysis[[#This Row],[Difference of PiN between Highest and 3rd Highest]]/tblPiNAnalysis[[#This Row],[3rd Highest PiN]], "")</f>
        <v>0.95954636333703092</v>
      </c>
      <c r="AZ153" s="330" t="str" cm="1">
        <f t="array" ref="AZ15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53" s="300" t="str" cm="1">
        <f t="array" ref="BA153">IFERROR(IF(tblPiNAnalysis[[#This Row],[ID]]="", "", INDEX(tblPiNHistorical[[CCCM]:[WASH]], MATCH(tblPiNAnalysis[[#This Row],[ID]],tblPiNHistorical[ID], 0),MATCH(_xlfn._xlws.FILTER(tblPiNAnalysis[[#Headers],[CCCM]:[WASH]], tblPiNAnalysis[[#This Row],[Highest PiN]]=tblPiNAnalysis[[#This Row],[CCCM]:[WASH]]), tblPiNHistorical[[#Headers],[CCCM]:[WASH]], 0))), "")</f>
        <v/>
      </c>
      <c r="BB153" s="333" t="str" cm="1">
        <f t="array" ref="BB15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3" s="276" t="str" cm="1">
        <f t="array" ref="BC15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3" s="334" t="str" cm="1">
        <f t="array" ref="BD15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3" s="276">
        <f>INDEX(tblSeverityAnalysis[Final Severity], MATCH(tblPiNAnalysis[[#This Row],[ID]],tblSeverityAnalysis[ID], 0))</f>
        <v>3</v>
      </c>
      <c r="BF153" s="61">
        <f>IF(tblPiNAnalysis[[#This Row],[Severity]]&gt;2,tblPiNAnalysis[[#This Row],[Highest PiN]],)</f>
        <v>40156.679713581529</v>
      </c>
      <c r="BG153" s="191"/>
      <c r="BH153" s="192"/>
      <c r="BI153" s="193">
        <f>COUNTIFS(tblPiNAnalysis[[#This Row],[Number of missing / zero PiNs greater than threshold - Data quality]:[Manual Flag]],"Flagged")</f>
        <v>2</v>
      </c>
      <c r="BJ153" s="96" t="str">
        <f>IF(tblPiNAnalysis[[#This Row],['# Flags]]&gt;0, "Flagged", "")</f>
        <v>Flagged</v>
      </c>
      <c r="BK153" s="326">
        <f>tblPiNAnalysis[[#This Row],[Preliminary PiN]]</f>
        <v>40156.679713581529</v>
      </c>
      <c r="BL153" s="331"/>
    </row>
    <row r="154" spans="1:64" ht="24.6" x14ac:dyDescent="0.55000000000000004">
      <c r="A15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SS1003</v>
      </c>
      <c r="B154" s="316" t="s">
        <v>390</v>
      </c>
      <c r="C154" s="317" t="s">
        <v>391</v>
      </c>
      <c r="D154" s="317" t="s">
        <v>396</v>
      </c>
      <c r="E154" s="105" t="s">
        <v>397</v>
      </c>
      <c r="F154" s="100"/>
      <c r="G154" s="34"/>
      <c r="H154" s="34"/>
      <c r="I154" s="97">
        <v>80255.412925910496</v>
      </c>
      <c r="J154" s="97" t="s">
        <v>413</v>
      </c>
      <c r="K154" s="318"/>
      <c r="L154" s="319">
        <v>12532.89394658379</v>
      </c>
      <c r="M154" s="319">
        <v>46265.718799877228</v>
      </c>
      <c r="N154" s="319">
        <v>20354.541316277235</v>
      </c>
      <c r="O154" s="319">
        <v>31521.004525350756</v>
      </c>
      <c r="P154" s="319">
        <v>24696</v>
      </c>
      <c r="Q154" s="320">
        <v>22224.575887175215</v>
      </c>
      <c r="R154" s="319">
        <v>57962.24266871313</v>
      </c>
      <c r="S154" s="319">
        <v>9424</v>
      </c>
      <c r="T154" s="319">
        <v>10973</v>
      </c>
      <c r="U154" s="319">
        <v>18515</v>
      </c>
      <c r="V154" s="319">
        <v>823</v>
      </c>
      <c r="W154" s="321" t="str">
        <f>IFERROR(IF(tblPiNAnalysis[[#This Row],[CCCM]]="", "", MROUND(tblPiNAnalysis[[#This Row],[CCCM]]/tblPiNAnalysis[[#This Row],[Affected population projection 2026]], 0.05)), "")</f>
        <v/>
      </c>
      <c r="X154" s="322">
        <f>IFERROR(IF(tblPiNAnalysis[[#This Row],[Education]]="", "", MROUND(tblPiNAnalysis[[#This Row],[Education]]/tblPiNAnalysis[[#This Row],[Affected population projection 2026]], 0.05)), "")</f>
        <v>0.15000000000000002</v>
      </c>
      <c r="Y154" s="322">
        <f>IFERROR(IF(tblPiNAnalysis[[#This Row],[Nutrition]]="", "", MROUND(tblPiNAnalysis[[#This Row],[Nutrition]]/tblPiNAnalysis[[#This Row],[Affected population projection 2026]], 0.05)), "")</f>
        <v>0.60000000000000009</v>
      </c>
      <c r="Z154" s="322">
        <f>IFERROR(IF(tblPiNAnalysis[[#This Row],[Food Security]]="", "", MROUND(tblPiNAnalysis[[#This Row],[Food Security]]/tblPiNAnalysis[[#This Row],[Affected population projection 2026]], 0.05)), "")</f>
        <v>0.25</v>
      </c>
      <c r="AA154" s="322">
        <f>IFERROR(IF(tblPiNAnalysis[[#This Row],[Health]]="", "", MROUND(tblPiNAnalysis[[#This Row],[Health]]/tblPiNAnalysis[[#This Row],[Affected population projection 2026]], 0.05)), "")</f>
        <v>0.4</v>
      </c>
      <c r="AB154" s="323">
        <f>IFERROR(IF(tblPiNAnalysis[[#This Row],[Overarching Protection]]="", "", MROUND(tblPiNAnalysis[[#This Row],[Overarching Protection]]/tblPiNAnalysis[[#This Row],[Affected population projection 2026]], 0.05)), "")</f>
        <v>0.30000000000000004</v>
      </c>
      <c r="AC154" s="323">
        <f>IFERROR(IF(tblPiNAnalysis[[#This Row],[Shelter]]="", "", MROUND(tblPiNAnalysis[[#This Row],[Shelter]]/tblPiNAnalysis[[#This Row],[Affected population projection 2026]], 0.05)), "")</f>
        <v>0.30000000000000004</v>
      </c>
      <c r="AD154" s="324">
        <f>IFERROR(IF(tblPiNAnalysis[[#This Row],[WASH]]="", "", MROUND(tblPiNAnalysis[[#This Row],[WASH]]/tblPiNAnalysis[[#This Row],[Affected population projection 2026]], 0.05)), "")</f>
        <v>0.70000000000000007</v>
      </c>
      <c r="AE154" s="322">
        <f>IFERROR(MROUND(tblPiNAnalysis[[#This Row],[CP]]/tblPiNAnalysis[[#This Row],[Affected population projection 2026]], 0.05), "")</f>
        <v>0.1</v>
      </c>
      <c r="AF154" s="322">
        <f>IFERROR(MROUND(tblPiNAnalysis[[#This Row],[GBV]]/tblPiNAnalysis[[#This Row],[Affected population projection 2026]], 0.05), "")</f>
        <v>0.15000000000000002</v>
      </c>
      <c r="AG154" s="322">
        <f>IFERROR(MROUND(tblPiNAnalysis[[#This Row],[Mine Action]]/tblPiNAnalysis[[#This Row],[Affected population projection 2026]], 0.05), "")</f>
        <v>0.25</v>
      </c>
      <c r="AH154" s="322">
        <f>IFERROR(MROUND(tblPiNAnalysis[[#This Row],[HLP]]/tblPiNAnalysis[[#This Row],[Affected population projection 2026]], 0.05), "")</f>
        <v>0</v>
      </c>
      <c r="AI154" s="325">
        <f>IFERROR(LARGE(tblPiNAnalysis[[#This Row],[CCCM]:[WASH]], 1), "")</f>
        <v>57962.24266871313</v>
      </c>
      <c r="AJ154" s="326" t="str" cm="1">
        <f t="array" ref="AJ154">IF(tblPiNAnalysis[[#This Row],[Highest PiN]]="", "", _xlfn.TEXTJOIN(CHAR(10), TRUE, IF(tblPiNAnalysis[[#This Row],[Highest PiN]]=tblPiNAnalysis[[#This Row],[CCCM]:[WASH]], tblPiNAnalysis[[#Headers],[CCCM]:[WASH]], "")))</f>
        <v>WASH</v>
      </c>
      <c r="AK154" s="327">
        <f>IF(tblPiNAnalysis[[#This Row],[Highest PiN]]="", "", tblPiNAnalysis[[#This Row],[Highest PiN]]/tblPiNAnalysis[[#This Row],[Affected population projection 2026]])</f>
        <v>0.7222222222222221</v>
      </c>
      <c r="AL154" s="328" t="str">
        <f>IF(SUM(tblPiNAnalysis[[#This Row],[CCCM]:[WASH]])=0, "",IF(COUNTIF(tblPiNAnalysis[[#This Row],[CCCM]:[WASH]],"=0")+COUNTIF(tblPiNAnalysis[[#This Row],[CCCM]:[WASH]],"")&gt;=zero_pin_thresh, "Flagged", ""))</f>
        <v/>
      </c>
      <c r="AM154" s="329" t="str">
        <f>IFERROR(IF(tblPiNAnalysis[[#This Row],[Highest PiN]]="", "", IF(tblPiNAnalysis[[#This Row],[Highest sector(s'') PiN %]]&gt;=flag_pin_perc, "Flagged", "")), "")</f>
        <v/>
      </c>
      <c r="AN154" s="330" t="str" cm="1">
        <f t="array" ref="AN154">IF(tblPiNAnalysis[[#This Row],[Highest PiN]]=0, "",  IF(OR(COUNTIF(tblPiNAnalysis[[#This Row],[Highest sector(s)]],tblSubSectorPopulation[Sector])), "Flagged", ""))</f>
        <v/>
      </c>
      <c r="AO154" s="46" cm="1">
        <f t="array" ref="AO15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46265.718799877228</v>
      </c>
      <c r="AP154" s="331" t="str" cm="1">
        <f t="array" ref="AP154">IF(tblPiNAnalysis[[#This Row],[2nd Highest PiN]]="", "", _xlfn.TEXTJOIN(CHAR(10), TRUE, IF(tblPiNAnalysis[[#This Row],[2nd Highest PiN]]=tblPiNAnalysis[[#This Row],[CCCM]:[WASH]], tblPiNAnalysis[[#Headers],[CCCM]:[WASH]], "")))</f>
        <v>Nutrition</v>
      </c>
      <c r="AQ154" s="36">
        <f>IFERROR(tblPiNAnalysis[[#This Row],[2nd Highest PiN]]/tblPiNAnalysis[[#This Row],[Affected population projection 2026]], "")</f>
        <v>0.57648097633723994</v>
      </c>
      <c r="AR154" s="46">
        <f>IFERROR(tblPiNAnalysis[[#This Row],[Highest PiN]]-tblPiNAnalysis[[#This Row],[2nd Highest PiN]], "")</f>
        <v>11696.523868835902</v>
      </c>
      <c r="AS154" s="39">
        <f>IFERROR(((tblPiNAnalysis[[#This Row],[Highest PiN]]-tblPiNAnalysis[[#This Row],[2nd Highest PiN]])/tblPiNAnalysis[[#This Row],[2nd Highest PiN]]),"")</f>
        <v>0.25281189122834813</v>
      </c>
      <c r="AT154" s="39" t="str" cm="1">
        <f t="array" ref="AT15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4" s="332" cm="1">
        <f t="array" ref="AU15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31521.004525350756</v>
      </c>
      <c r="AV154" s="190" t="str" cm="1">
        <f t="array" ref="AV154">IF(tblPiNAnalysis[[#This Row],[3rd Highest PiN]]="", "", _xlfn.TEXTJOIN(CHAR(10), TRUE, IF(tblPiNAnalysis[[#This Row],[3rd Highest PiN]]=tblPiNAnalysis[[#This Row],[CCCM]:[WASH]], tblPiNAnalysis[[#Headers],[CCCM]:[WASH]], "")))</f>
        <v>Health</v>
      </c>
      <c r="AW154" s="190">
        <f>IFERROR(tblPiNAnalysis[[#This Row],[3rd Highest PiN]]/tblPiNAnalysis[[#This Row],[Affected population projection 2026]], "")</f>
        <v>0.39275861124096451</v>
      </c>
      <c r="AX154" s="45">
        <f>IFERROR(tblPiNAnalysis[[#This Row],[Highest PiN]]-tblPiNAnalysis[[#This Row],[3rd Highest PiN]],"")</f>
        <v>26441.238143362374</v>
      </c>
      <c r="AY154" s="39">
        <f>IFERROR(tblPiNAnalysis[[#This Row],[Difference of PiN between Highest and 3rd Highest]]/tblPiNAnalysis[[#This Row],[3rd Highest PiN]], "")</f>
        <v>0.83884503497015839</v>
      </c>
      <c r="AZ154" s="330" t="str" cm="1">
        <f t="array" ref="AZ15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54" s="300" t="str" cm="1">
        <f t="array" ref="BA154">IFERROR(IF(tblPiNAnalysis[[#This Row],[ID]]="", "", INDEX(tblPiNHistorical[[CCCM]:[WASH]], MATCH(tblPiNAnalysis[[#This Row],[ID]],tblPiNHistorical[ID], 0),MATCH(_xlfn._xlws.FILTER(tblPiNAnalysis[[#Headers],[CCCM]:[WASH]], tblPiNAnalysis[[#This Row],[Highest PiN]]=tblPiNAnalysis[[#This Row],[CCCM]:[WASH]]), tblPiNHistorical[[#Headers],[CCCM]:[WASH]], 0))), "")</f>
        <v/>
      </c>
      <c r="BB154" s="333" t="str" cm="1">
        <f t="array" ref="BB15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4" s="276" t="str" cm="1">
        <f t="array" ref="BC15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4" s="334" t="str" cm="1">
        <f t="array" ref="BD15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4" s="276">
        <f>INDEX(tblSeverityAnalysis[Final Severity], MATCH(tblPiNAnalysis[[#This Row],[ID]],tblSeverityAnalysis[ID], 0))</f>
        <v>3</v>
      </c>
      <c r="BF154" s="61">
        <f>IF(tblPiNAnalysis[[#This Row],[Severity]]&gt;2,tblPiNAnalysis[[#This Row],[Highest PiN]],)</f>
        <v>57962.24266871313</v>
      </c>
      <c r="BG154" s="191"/>
      <c r="BH154" s="192"/>
      <c r="BI154" s="193">
        <f>COUNTIFS(tblPiNAnalysis[[#This Row],[Number of missing / zero PiNs greater than threshold - Data quality]:[Manual Flag]],"Flagged")</f>
        <v>1</v>
      </c>
      <c r="BJ154" s="96" t="str">
        <f>IF(tblPiNAnalysis[[#This Row],['# Flags]]&gt;0, "Flagged", "")</f>
        <v>Flagged</v>
      </c>
      <c r="BK154" s="326">
        <f>tblPiNAnalysis[[#This Row],[Preliminary PiN]]</f>
        <v>57962.24266871313</v>
      </c>
      <c r="BL154" s="331"/>
    </row>
    <row r="155" spans="1:64" ht="24.6" x14ac:dyDescent="0.55000000000000004">
      <c r="A15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SS1004</v>
      </c>
      <c r="B155" s="316" t="s">
        <v>390</v>
      </c>
      <c r="C155" s="317" t="s">
        <v>391</v>
      </c>
      <c r="D155" s="317" t="s">
        <v>398</v>
      </c>
      <c r="E155" s="105" t="s">
        <v>399</v>
      </c>
      <c r="F155" s="100"/>
      <c r="G155" s="34"/>
      <c r="H155" s="34"/>
      <c r="I155" s="97">
        <v>64180.342035561967</v>
      </c>
      <c r="J155" s="97" t="s">
        <v>413</v>
      </c>
      <c r="K155" s="318"/>
      <c r="L155" s="319">
        <v>1008.8636325254056</v>
      </c>
      <c r="M155" s="319">
        <v>34046.698988476506</v>
      </c>
      <c r="N155" s="319">
        <v>27608.178938631787</v>
      </c>
      <c r="O155" s="319">
        <v>30949.569079725894</v>
      </c>
      <c r="P155" s="319">
        <v>21894</v>
      </c>
      <c r="Q155" s="320">
        <v>15281.033817990945</v>
      </c>
      <c r="R155" s="319">
        <v>39815.582559098635</v>
      </c>
      <c r="S155" s="319">
        <v>9246</v>
      </c>
      <c r="T155" s="319">
        <v>8811</v>
      </c>
      <c r="U155" s="319">
        <v>13935</v>
      </c>
      <c r="V155" s="319">
        <v>1283</v>
      </c>
      <c r="W155" s="321" t="str">
        <f>IFERROR(IF(tblPiNAnalysis[[#This Row],[CCCM]]="", "", MROUND(tblPiNAnalysis[[#This Row],[CCCM]]/tblPiNAnalysis[[#This Row],[Affected population projection 2026]], 0.05)), "")</f>
        <v/>
      </c>
      <c r="X155" s="322">
        <f>IFERROR(IF(tblPiNAnalysis[[#This Row],[Education]]="", "", MROUND(tblPiNAnalysis[[#This Row],[Education]]/tblPiNAnalysis[[#This Row],[Affected population projection 2026]], 0.05)), "")</f>
        <v>0</v>
      </c>
      <c r="Y155" s="322">
        <f>IFERROR(IF(tblPiNAnalysis[[#This Row],[Nutrition]]="", "", MROUND(tblPiNAnalysis[[#This Row],[Nutrition]]/tblPiNAnalysis[[#This Row],[Affected population projection 2026]], 0.05)), "")</f>
        <v>0.55000000000000004</v>
      </c>
      <c r="Z155" s="322">
        <f>IFERROR(IF(tblPiNAnalysis[[#This Row],[Food Security]]="", "", MROUND(tblPiNAnalysis[[#This Row],[Food Security]]/tblPiNAnalysis[[#This Row],[Affected population projection 2026]], 0.05)), "")</f>
        <v>0.45</v>
      </c>
      <c r="AA155" s="322">
        <f>IFERROR(IF(tblPiNAnalysis[[#This Row],[Health]]="", "", MROUND(tblPiNAnalysis[[#This Row],[Health]]/tblPiNAnalysis[[#This Row],[Affected population projection 2026]], 0.05)), "")</f>
        <v>0.5</v>
      </c>
      <c r="AB155" s="323">
        <f>IFERROR(IF(tblPiNAnalysis[[#This Row],[Overarching Protection]]="", "", MROUND(tblPiNAnalysis[[#This Row],[Overarching Protection]]/tblPiNAnalysis[[#This Row],[Affected population projection 2026]], 0.05)), "")</f>
        <v>0.35000000000000003</v>
      </c>
      <c r="AC155" s="323">
        <f>IFERROR(IF(tblPiNAnalysis[[#This Row],[Shelter]]="", "", MROUND(tblPiNAnalysis[[#This Row],[Shelter]]/tblPiNAnalysis[[#This Row],[Affected population projection 2026]], 0.05)), "")</f>
        <v>0.25</v>
      </c>
      <c r="AD155" s="324">
        <f>IFERROR(IF(tblPiNAnalysis[[#This Row],[WASH]]="", "", MROUND(tblPiNAnalysis[[#This Row],[WASH]]/tblPiNAnalysis[[#This Row],[Affected population projection 2026]], 0.05)), "")</f>
        <v>0.60000000000000009</v>
      </c>
      <c r="AE155" s="322">
        <f>IFERROR(MROUND(tblPiNAnalysis[[#This Row],[CP]]/tblPiNAnalysis[[#This Row],[Affected population projection 2026]], 0.05), "")</f>
        <v>0.15000000000000002</v>
      </c>
      <c r="AF155" s="322">
        <f>IFERROR(MROUND(tblPiNAnalysis[[#This Row],[GBV]]/tblPiNAnalysis[[#This Row],[Affected population projection 2026]], 0.05), "")</f>
        <v>0.15000000000000002</v>
      </c>
      <c r="AG155" s="322">
        <f>IFERROR(MROUND(tblPiNAnalysis[[#This Row],[Mine Action]]/tblPiNAnalysis[[#This Row],[Affected population projection 2026]], 0.05), "")</f>
        <v>0.2</v>
      </c>
      <c r="AH155" s="322">
        <f>IFERROR(MROUND(tblPiNAnalysis[[#This Row],[HLP]]/tblPiNAnalysis[[#This Row],[Affected population projection 2026]], 0.05), "")</f>
        <v>0</v>
      </c>
      <c r="AI155" s="325">
        <f>IFERROR(LARGE(tblPiNAnalysis[[#This Row],[CCCM]:[WASH]], 1), "")</f>
        <v>39815.582559098635</v>
      </c>
      <c r="AJ155" s="326" t="str" cm="1">
        <f t="array" ref="AJ155">IF(tblPiNAnalysis[[#This Row],[Highest PiN]]="", "", _xlfn.TEXTJOIN(CHAR(10), TRUE, IF(tblPiNAnalysis[[#This Row],[Highest PiN]]=tblPiNAnalysis[[#This Row],[CCCM]:[WASH]], tblPiNAnalysis[[#Headers],[CCCM]:[WASH]], "")))</f>
        <v>WASH</v>
      </c>
      <c r="AK155" s="327">
        <f>IF(tblPiNAnalysis[[#This Row],[Highest PiN]]="", "", tblPiNAnalysis[[#This Row],[Highest PiN]]/tblPiNAnalysis[[#This Row],[Affected population projection 2026]])</f>
        <v>0.62037037037037046</v>
      </c>
      <c r="AL155" s="328" t="str">
        <f>IF(SUM(tblPiNAnalysis[[#This Row],[CCCM]:[WASH]])=0, "",IF(COUNTIF(tblPiNAnalysis[[#This Row],[CCCM]:[WASH]],"=0")+COUNTIF(tblPiNAnalysis[[#This Row],[CCCM]:[WASH]],"")&gt;=zero_pin_thresh, "Flagged", ""))</f>
        <v/>
      </c>
      <c r="AM155" s="329" t="str">
        <f>IFERROR(IF(tblPiNAnalysis[[#This Row],[Highest PiN]]="", "", IF(tblPiNAnalysis[[#This Row],[Highest sector(s'') PiN %]]&gt;=flag_pin_perc, "Flagged", "")), "")</f>
        <v/>
      </c>
      <c r="AN155" s="330" t="str" cm="1">
        <f t="array" ref="AN155">IF(tblPiNAnalysis[[#This Row],[Highest PiN]]=0, "",  IF(OR(COUNTIF(tblPiNAnalysis[[#This Row],[Highest sector(s)]],tblSubSectorPopulation[Sector])), "Flagged", ""))</f>
        <v/>
      </c>
      <c r="AO155" s="46" cm="1">
        <f t="array" ref="AO15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34046.698988476506</v>
      </c>
      <c r="AP155" s="331" t="str" cm="1">
        <f t="array" ref="AP155">IF(tblPiNAnalysis[[#This Row],[2nd Highest PiN]]="", "", _xlfn.TEXTJOIN(CHAR(10), TRUE, IF(tblPiNAnalysis[[#This Row],[2nd Highest PiN]]=tblPiNAnalysis[[#This Row],[CCCM]:[WASH]], tblPiNAnalysis[[#Headers],[CCCM]:[WASH]], "")))</f>
        <v>Nutrition</v>
      </c>
      <c r="AQ155" s="36">
        <f>IFERROR(tblPiNAnalysis[[#This Row],[2nd Highest PiN]]/tblPiNAnalysis[[#This Row],[Affected population projection 2026]], "")</f>
        <v>0.53048484798680917</v>
      </c>
      <c r="AR155" s="46">
        <f>IFERROR(tblPiNAnalysis[[#This Row],[Highest PiN]]-tblPiNAnalysis[[#This Row],[2nd Highest PiN]], "")</f>
        <v>5768.8835706221289</v>
      </c>
      <c r="AS155" s="39">
        <f>IFERROR(((tblPiNAnalysis[[#This Row],[Highest PiN]]-tblPiNAnalysis[[#This Row],[2nd Highest PiN]])/tblPiNAnalysis[[#This Row],[2nd Highest PiN]]),"")</f>
        <v>0.16944031997271375</v>
      </c>
      <c r="AT155" s="39" t="str" cm="1">
        <f t="array" ref="AT15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5" s="332" cm="1">
        <f t="array" ref="AU15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30949.569079725894</v>
      </c>
      <c r="AV155" s="190" t="str" cm="1">
        <f t="array" ref="AV155">IF(tblPiNAnalysis[[#This Row],[3rd Highest PiN]]="", "", _xlfn.TEXTJOIN(CHAR(10), TRUE, IF(tblPiNAnalysis[[#This Row],[3rd Highest PiN]]=tblPiNAnalysis[[#This Row],[CCCM]:[WASH]], tblPiNAnalysis[[#Headers],[CCCM]:[WASH]], "")))</f>
        <v>Health</v>
      </c>
      <c r="AW155" s="190">
        <f>IFERROR(tblPiNAnalysis[[#This Row],[3rd Highest PiN]]/tblPiNAnalysis[[#This Row],[Affected population projection 2026]], "")</f>
        <v>0.48222817295951637</v>
      </c>
      <c r="AX155" s="45">
        <f>IFERROR(tblPiNAnalysis[[#This Row],[Highest PiN]]-tblPiNAnalysis[[#This Row],[3rd Highest PiN]],"")</f>
        <v>8866.0134793727411</v>
      </c>
      <c r="AY155" s="39">
        <f>IFERROR(tblPiNAnalysis[[#This Row],[Difference of PiN between Highest and 3rd Highest]]/tblPiNAnalysis[[#This Row],[3rd Highest PiN]], "")</f>
        <v>0.28646645956633343</v>
      </c>
      <c r="AZ155" s="330" t="str" cm="1">
        <f t="array" ref="AZ15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5" s="300" t="str" cm="1">
        <f t="array" ref="BA155">IFERROR(IF(tblPiNAnalysis[[#This Row],[ID]]="", "", INDEX(tblPiNHistorical[[CCCM]:[WASH]], MATCH(tblPiNAnalysis[[#This Row],[ID]],tblPiNHistorical[ID], 0),MATCH(_xlfn._xlws.FILTER(tblPiNAnalysis[[#Headers],[CCCM]:[WASH]], tblPiNAnalysis[[#This Row],[Highest PiN]]=tblPiNAnalysis[[#This Row],[CCCM]:[WASH]]), tblPiNHistorical[[#Headers],[CCCM]:[WASH]], 0))), "")</f>
        <v/>
      </c>
      <c r="BB155" s="333" t="str" cm="1">
        <f t="array" ref="BB15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5" s="276" t="str" cm="1">
        <f t="array" ref="BC15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5" s="334" t="str" cm="1">
        <f t="array" ref="BD15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5" s="276">
        <f>INDEX(tblSeverityAnalysis[Final Severity], MATCH(tblPiNAnalysis[[#This Row],[ID]],tblSeverityAnalysis[ID], 0))</f>
        <v>3</v>
      </c>
      <c r="BF155" s="61">
        <f>IF(tblPiNAnalysis[[#This Row],[Severity]]&gt;2,tblPiNAnalysis[[#This Row],[Highest PiN]],)</f>
        <v>39815.582559098635</v>
      </c>
      <c r="BG155" s="191"/>
      <c r="BH155" s="192"/>
      <c r="BI155" s="193">
        <f>COUNTIFS(tblPiNAnalysis[[#This Row],[Number of missing / zero PiNs greater than threshold - Data quality]:[Manual Flag]],"Flagged")</f>
        <v>0</v>
      </c>
      <c r="BJ155" s="96" t="str">
        <f>IF(tblPiNAnalysis[[#This Row],['# Flags]]&gt;0, "Flagged", "")</f>
        <v/>
      </c>
      <c r="BK155" s="326">
        <f>tblPiNAnalysis[[#This Row],[Preliminary PiN]]</f>
        <v>39815.582559098635</v>
      </c>
      <c r="BL155" s="331"/>
    </row>
    <row r="156" spans="1:64" ht="24.6" x14ac:dyDescent="0.55000000000000004">
      <c r="A15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SS1005</v>
      </c>
      <c r="B156" s="316" t="s">
        <v>390</v>
      </c>
      <c r="C156" s="317" t="s">
        <v>391</v>
      </c>
      <c r="D156" s="317" t="s">
        <v>400</v>
      </c>
      <c r="E156" s="105" t="s">
        <v>401</v>
      </c>
      <c r="F156" s="100"/>
      <c r="G156" s="34"/>
      <c r="H156" s="34"/>
      <c r="I156" s="97">
        <v>37549.507730213714</v>
      </c>
      <c r="J156" s="97" t="s">
        <v>413</v>
      </c>
      <c r="K156" s="318"/>
      <c r="L156" s="319">
        <v>3086.1189413308048</v>
      </c>
      <c r="M156" s="319">
        <v>20359.407042341969</v>
      </c>
      <c r="N156" s="319">
        <v>14436.659785096421</v>
      </c>
      <c r="O156" s="319">
        <v>18629.294202189416</v>
      </c>
      <c r="P156" s="319">
        <v>12595</v>
      </c>
      <c r="Q156" s="320">
        <v>15461.562006558588</v>
      </c>
      <c r="R156" s="319">
        <v>14223.298382656711</v>
      </c>
      <c r="S156" s="319">
        <v>5146</v>
      </c>
      <c r="T156" s="319">
        <v>3209</v>
      </c>
      <c r="U156" s="319">
        <v>8199</v>
      </c>
      <c r="V156" s="319">
        <v>798</v>
      </c>
      <c r="W156" s="321" t="str">
        <f>IFERROR(IF(tblPiNAnalysis[[#This Row],[CCCM]]="", "", MROUND(tblPiNAnalysis[[#This Row],[CCCM]]/tblPiNAnalysis[[#This Row],[Affected population projection 2026]], 0.05)), "")</f>
        <v/>
      </c>
      <c r="X156" s="322">
        <f>IFERROR(IF(tblPiNAnalysis[[#This Row],[Education]]="", "", MROUND(tblPiNAnalysis[[#This Row],[Education]]/tblPiNAnalysis[[#This Row],[Affected population projection 2026]], 0.05)), "")</f>
        <v>0.1</v>
      </c>
      <c r="Y156" s="322">
        <f>IFERROR(IF(tblPiNAnalysis[[#This Row],[Nutrition]]="", "", MROUND(tblPiNAnalysis[[#This Row],[Nutrition]]/tblPiNAnalysis[[#This Row],[Affected population projection 2026]], 0.05)), "")</f>
        <v>0.55000000000000004</v>
      </c>
      <c r="Z156" s="322">
        <f>IFERROR(IF(tblPiNAnalysis[[#This Row],[Food Security]]="", "", MROUND(tblPiNAnalysis[[#This Row],[Food Security]]/tblPiNAnalysis[[#This Row],[Affected population projection 2026]], 0.05)), "")</f>
        <v>0.4</v>
      </c>
      <c r="AA156" s="322">
        <f>IFERROR(IF(tblPiNAnalysis[[#This Row],[Health]]="", "", MROUND(tblPiNAnalysis[[#This Row],[Health]]/tblPiNAnalysis[[#This Row],[Affected population projection 2026]], 0.05)), "")</f>
        <v>0.5</v>
      </c>
      <c r="AB156" s="323">
        <f>IFERROR(IF(tblPiNAnalysis[[#This Row],[Overarching Protection]]="", "", MROUND(tblPiNAnalysis[[#This Row],[Overarching Protection]]/tblPiNAnalysis[[#This Row],[Affected population projection 2026]], 0.05)), "")</f>
        <v>0.35000000000000003</v>
      </c>
      <c r="AC156" s="323">
        <f>IFERROR(IF(tblPiNAnalysis[[#This Row],[Shelter]]="", "", MROUND(tblPiNAnalysis[[#This Row],[Shelter]]/tblPiNAnalysis[[#This Row],[Affected population projection 2026]], 0.05)), "")</f>
        <v>0.4</v>
      </c>
      <c r="AD156" s="324">
        <f>IFERROR(IF(tblPiNAnalysis[[#This Row],[WASH]]="", "", MROUND(tblPiNAnalysis[[#This Row],[WASH]]/tblPiNAnalysis[[#This Row],[Affected population projection 2026]], 0.05)), "")</f>
        <v>0.4</v>
      </c>
      <c r="AE156" s="322">
        <f>IFERROR(MROUND(tblPiNAnalysis[[#This Row],[CP]]/tblPiNAnalysis[[#This Row],[Affected population projection 2026]], 0.05), "")</f>
        <v>0.15000000000000002</v>
      </c>
      <c r="AF156" s="322">
        <f>IFERROR(MROUND(tblPiNAnalysis[[#This Row],[GBV]]/tblPiNAnalysis[[#This Row],[Affected population projection 2026]], 0.05), "")</f>
        <v>0.1</v>
      </c>
      <c r="AG156" s="322">
        <f>IFERROR(MROUND(tblPiNAnalysis[[#This Row],[Mine Action]]/tblPiNAnalysis[[#This Row],[Affected population projection 2026]], 0.05), "")</f>
        <v>0.2</v>
      </c>
      <c r="AH156" s="322">
        <f>IFERROR(MROUND(tblPiNAnalysis[[#This Row],[HLP]]/tblPiNAnalysis[[#This Row],[Affected population projection 2026]], 0.05), "")</f>
        <v>0</v>
      </c>
      <c r="AI156" s="325">
        <f>IFERROR(LARGE(tblPiNAnalysis[[#This Row],[CCCM]:[WASH]], 1), "")</f>
        <v>20359.407042341969</v>
      </c>
      <c r="AJ156" s="326" t="str" cm="1">
        <f t="array" ref="AJ156">IF(tblPiNAnalysis[[#This Row],[Highest PiN]]="", "", _xlfn.TEXTJOIN(CHAR(10), TRUE, IF(tblPiNAnalysis[[#This Row],[Highest PiN]]=tblPiNAnalysis[[#This Row],[CCCM]:[WASH]], tblPiNAnalysis[[#Headers],[CCCM]:[WASH]], "")))</f>
        <v>Nutrition</v>
      </c>
      <c r="AK156" s="327">
        <f>IF(tblPiNAnalysis[[#This Row],[Highest PiN]]="", "", tblPiNAnalysis[[#This Row],[Highest PiN]]/tblPiNAnalysis[[#This Row],[Affected population projection 2026]])</f>
        <v>0.54220170311207683</v>
      </c>
      <c r="AL156" s="328" t="str">
        <f>IF(SUM(tblPiNAnalysis[[#This Row],[CCCM]:[WASH]])=0, "",IF(COUNTIF(tblPiNAnalysis[[#This Row],[CCCM]:[WASH]],"=0")+COUNTIF(tblPiNAnalysis[[#This Row],[CCCM]:[WASH]],"")&gt;=zero_pin_thresh, "Flagged", ""))</f>
        <v/>
      </c>
      <c r="AM156" s="329" t="str">
        <f>IFERROR(IF(tblPiNAnalysis[[#This Row],[Highest PiN]]="", "", IF(tblPiNAnalysis[[#This Row],[Highest sector(s'') PiN %]]&gt;=flag_pin_perc, "Flagged", "")), "")</f>
        <v/>
      </c>
      <c r="AN156" s="330" t="str" cm="1">
        <f t="array" ref="AN156">IF(tblPiNAnalysis[[#This Row],[Highest PiN]]=0, "",  IF(OR(COUNTIF(tblPiNAnalysis[[#This Row],[Highest sector(s)]],tblSubSectorPopulation[Sector])), "Flagged", ""))</f>
        <v/>
      </c>
      <c r="AO156" s="46" cm="1">
        <f t="array" ref="AO15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18629.294202189416</v>
      </c>
      <c r="AP156" s="331" t="str" cm="1">
        <f t="array" ref="AP156">IF(tblPiNAnalysis[[#This Row],[2nd Highest PiN]]="", "", _xlfn.TEXTJOIN(CHAR(10), TRUE, IF(tblPiNAnalysis[[#This Row],[2nd Highest PiN]]=tblPiNAnalysis[[#This Row],[CCCM]:[WASH]], tblPiNAnalysis[[#Headers],[CCCM]:[WASH]], "")))</f>
        <v>Health</v>
      </c>
      <c r="AQ156" s="36">
        <f>IFERROR(tblPiNAnalysis[[#This Row],[2nd Highest PiN]]/tblPiNAnalysis[[#This Row],[Affected population projection 2026]], "")</f>
        <v>0.49612618988343227</v>
      </c>
      <c r="AR156" s="46">
        <f>IFERROR(tblPiNAnalysis[[#This Row],[Highest PiN]]-tblPiNAnalysis[[#This Row],[2nd Highest PiN]], "")</f>
        <v>1730.112840152553</v>
      </c>
      <c r="AS156" s="39">
        <f>IFERROR(((tblPiNAnalysis[[#This Row],[Highest PiN]]-tblPiNAnalysis[[#This Row],[2nd Highest PiN]])/tblPiNAnalysis[[#This Row],[2nd Highest PiN]]),"")</f>
        <v>9.2870552226783809E-2</v>
      </c>
      <c r="AT156" s="39" t="str" cm="1">
        <f t="array" ref="AT15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6" s="332" cm="1">
        <f t="array" ref="AU15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15461.562006558588</v>
      </c>
      <c r="AV156" s="190" t="str" cm="1">
        <f t="array" ref="AV156">IF(tblPiNAnalysis[[#This Row],[3rd Highest PiN]]="", "", _xlfn.TEXTJOIN(CHAR(10), TRUE, IF(tblPiNAnalysis[[#This Row],[3rd Highest PiN]]=tblPiNAnalysis[[#This Row],[CCCM]:[WASH]], tblPiNAnalysis[[#Headers],[CCCM]:[WASH]], "")))</f>
        <v>Shelter</v>
      </c>
      <c r="AW156" s="190">
        <f>IFERROR(tblPiNAnalysis[[#This Row],[3rd Highest PiN]]/tblPiNAnalysis[[#This Row],[Affected population projection 2026]], "")</f>
        <v>0.41176470588235292</v>
      </c>
      <c r="AX156" s="45">
        <f>IFERROR(tblPiNAnalysis[[#This Row],[Highest PiN]]-tblPiNAnalysis[[#This Row],[3rd Highest PiN]],"")</f>
        <v>4897.8450357833808</v>
      </c>
      <c r="AY156" s="39">
        <f>IFERROR(tblPiNAnalysis[[#This Row],[Difference of PiN between Highest and 3rd Highest]]/tblPiNAnalysis[[#This Row],[3rd Highest PiN]], "")</f>
        <v>0.31677556470075796</v>
      </c>
      <c r="AZ156" s="330" t="str" cm="1">
        <f t="array" ref="AZ15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6" s="300" t="str" cm="1">
        <f t="array" ref="BA156">IFERROR(IF(tblPiNAnalysis[[#This Row],[ID]]="", "", INDEX(tblPiNHistorical[[CCCM]:[WASH]], MATCH(tblPiNAnalysis[[#This Row],[ID]],tblPiNHistorical[ID], 0),MATCH(_xlfn._xlws.FILTER(tblPiNAnalysis[[#Headers],[CCCM]:[WASH]], tblPiNAnalysis[[#This Row],[Highest PiN]]=tblPiNAnalysis[[#This Row],[CCCM]:[WASH]]), tblPiNHistorical[[#Headers],[CCCM]:[WASH]], 0))), "")</f>
        <v/>
      </c>
      <c r="BB156" s="333" t="str" cm="1">
        <f t="array" ref="BB15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6" s="276" t="str" cm="1">
        <f t="array" ref="BC15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6" s="334" t="str" cm="1">
        <f t="array" ref="BD15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6" s="276">
        <f>INDEX(tblSeverityAnalysis[Final Severity], MATCH(tblPiNAnalysis[[#This Row],[ID]],tblSeverityAnalysis[ID], 0))</f>
        <v>3</v>
      </c>
      <c r="BF156" s="61">
        <f>IF(tblPiNAnalysis[[#This Row],[Severity]]&gt;2,tblPiNAnalysis[[#This Row],[Highest PiN]],)</f>
        <v>20359.407042341969</v>
      </c>
      <c r="BG156" s="191"/>
      <c r="BH156" s="192"/>
      <c r="BI156" s="193">
        <f>COUNTIFS(tblPiNAnalysis[[#This Row],[Number of missing / zero PiNs greater than threshold - Data quality]:[Manual Flag]],"Flagged")</f>
        <v>0</v>
      </c>
      <c r="BJ156" s="96" t="str">
        <f>IF(tblPiNAnalysis[[#This Row],['# Flags]]&gt;0, "Flagged", "")</f>
        <v/>
      </c>
      <c r="BK156" s="326">
        <f>tblPiNAnalysis[[#This Row],[Preliminary PiN]]</f>
        <v>20359.407042341969</v>
      </c>
      <c r="BL156" s="331"/>
    </row>
    <row r="157" spans="1:64" ht="24.6" x14ac:dyDescent="0.55000000000000004">
      <c r="A15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SS1006</v>
      </c>
      <c r="B157" s="316" t="s">
        <v>390</v>
      </c>
      <c r="C157" s="317" t="s">
        <v>391</v>
      </c>
      <c r="D157" s="317" t="s">
        <v>402</v>
      </c>
      <c r="E157" s="105" t="s">
        <v>403</v>
      </c>
      <c r="F157" s="100"/>
      <c r="G157" s="34"/>
      <c r="H157" s="34"/>
      <c r="I157" s="97">
        <v>57305.25569680793</v>
      </c>
      <c r="J157" s="97" t="s">
        <v>413</v>
      </c>
      <c r="K157" s="318"/>
      <c r="L157" s="319">
        <v>4644.4763637148881</v>
      </c>
      <c r="M157" s="319">
        <v>26042.618213549027</v>
      </c>
      <c r="N157" s="319">
        <v>33121.614517212045</v>
      </c>
      <c r="O157" s="319">
        <v>26440.849003206466</v>
      </c>
      <c r="P157" s="319">
        <v>9671</v>
      </c>
      <c r="Q157" s="320">
        <v>39397.363291555448</v>
      </c>
      <c r="R157" s="319">
        <v>26530.210970744411</v>
      </c>
      <c r="S157" s="319">
        <v>7757</v>
      </c>
      <c r="T157" s="319">
        <v>8489</v>
      </c>
      <c r="U157" s="319">
        <v>6157</v>
      </c>
      <c r="V157" s="319">
        <v>605</v>
      </c>
      <c r="W157" s="321" t="str">
        <f>IFERROR(IF(tblPiNAnalysis[[#This Row],[CCCM]]="", "", MROUND(tblPiNAnalysis[[#This Row],[CCCM]]/tblPiNAnalysis[[#This Row],[Affected population projection 2026]], 0.05)), "")</f>
        <v/>
      </c>
      <c r="X157" s="322">
        <f>IFERROR(IF(tblPiNAnalysis[[#This Row],[Education]]="", "", MROUND(tblPiNAnalysis[[#This Row],[Education]]/tblPiNAnalysis[[#This Row],[Affected population projection 2026]], 0.05)), "")</f>
        <v>0.1</v>
      </c>
      <c r="Y157" s="322">
        <f>IFERROR(IF(tblPiNAnalysis[[#This Row],[Nutrition]]="", "", MROUND(tblPiNAnalysis[[#This Row],[Nutrition]]/tblPiNAnalysis[[#This Row],[Affected population projection 2026]], 0.05)), "")</f>
        <v>0.45</v>
      </c>
      <c r="Z157" s="322">
        <f>IFERROR(IF(tblPiNAnalysis[[#This Row],[Food Security]]="", "", MROUND(tblPiNAnalysis[[#This Row],[Food Security]]/tblPiNAnalysis[[#This Row],[Affected population projection 2026]], 0.05)), "")</f>
        <v>0.60000000000000009</v>
      </c>
      <c r="AA157" s="322">
        <f>IFERROR(IF(tblPiNAnalysis[[#This Row],[Health]]="", "", MROUND(tblPiNAnalysis[[#This Row],[Health]]/tblPiNAnalysis[[#This Row],[Affected population projection 2026]], 0.05)), "")</f>
        <v>0.45</v>
      </c>
      <c r="AB157" s="323">
        <f>IFERROR(IF(tblPiNAnalysis[[#This Row],[Overarching Protection]]="", "", MROUND(tblPiNAnalysis[[#This Row],[Overarching Protection]]/tblPiNAnalysis[[#This Row],[Affected population projection 2026]], 0.05)), "")</f>
        <v>0.15000000000000002</v>
      </c>
      <c r="AC157" s="323">
        <f>IFERROR(IF(tblPiNAnalysis[[#This Row],[Shelter]]="", "", MROUND(tblPiNAnalysis[[#This Row],[Shelter]]/tblPiNAnalysis[[#This Row],[Affected population projection 2026]], 0.05)), "")</f>
        <v>0.70000000000000007</v>
      </c>
      <c r="AD157" s="324">
        <f>IFERROR(IF(tblPiNAnalysis[[#This Row],[WASH]]="", "", MROUND(tblPiNAnalysis[[#This Row],[WASH]]/tblPiNAnalysis[[#This Row],[Affected population projection 2026]], 0.05)), "")</f>
        <v>0.45</v>
      </c>
      <c r="AE157" s="322">
        <f>IFERROR(MROUND(tblPiNAnalysis[[#This Row],[CP]]/tblPiNAnalysis[[#This Row],[Affected population projection 2026]], 0.05), "")</f>
        <v>0.15000000000000002</v>
      </c>
      <c r="AF157" s="322">
        <f>IFERROR(MROUND(tblPiNAnalysis[[#This Row],[GBV]]/tblPiNAnalysis[[#This Row],[Affected population projection 2026]], 0.05), "")</f>
        <v>0.15000000000000002</v>
      </c>
      <c r="AG157" s="322">
        <f>IFERROR(MROUND(tblPiNAnalysis[[#This Row],[Mine Action]]/tblPiNAnalysis[[#This Row],[Affected population projection 2026]], 0.05), "")</f>
        <v>0.1</v>
      </c>
      <c r="AH157" s="322">
        <f>IFERROR(MROUND(tblPiNAnalysis[[#This Row],[HLP]]/tblPiNAnalysis[[#This Row],[Affected population projection 2026]], 0.05), "")</f>
        <v>0</v>
      </c>
      <c r="AI157" s="325">
        <f>IFERROR(LARGE(tblPiNAnalysis[[#This Row],[CCCM]:[WASH]], 1), "")</f>
        <v>39397.363291555448</v>
      </c>
      <c r="AJ157" s="326" t="str" cm="1">
        <f t="array" ref="AJ157">IF(tblPiNAnalysis[[#This Row],[Highest PiN]]="", "", _xlfn.TEXTJOIN(CHAR(10), TRUE, IF(tblPiNAnalysis[[#This Row],[Highest PiN]]=tblPiNAnalysis[[#This Row],[CCCM]:[WASH]], tblPiNAnalysis[[#Headers],[CCCM]:[WASH]], "")))</f>
        <v>Shelter</v>
      </c>
      <c r="AK157" s="327">
        <f>IF(tblPiNAnalysis[[#This Row],[Highest PiN]]="", "", tblPiNAnalysis[[#This Row],[Highest PiN]]/tblPiNAnalysis[[#This Row],[Affected population projection 2026]])</f>
        <v>0.68749999999999989</v>
      </c>
      <c r="AL157" s="328" t="str">
        <f>IF(SUM(tblPiNAnalysis[[#This Row],[CCCM]:[WASH]])=0, "",IF(COUNTIF(tblPiNAnalysis[[#This Row],[CCCM]:[WASH]],"=0")+COUNTIF(tblPiNAnalysis[[#This Row],[CCCM]:[WASH]],"")&gt;=zero_pin_thresh, "Flagged", ""))</f>
        <v/>
      </c>
      <c r="AM157" s="329" t="str">
        <f>IFERROR(IF(tblPiNAnalysis[[#This Row],[Highest PiN]]="", "", IF(tblPiNAnalysis[[#This Row],[Highest sector(s'') PiN %]]&gt;=flag_pin_perc, "Flagged", "")), "")</f>
        <v/>
      </c>
      <c r="AN157" s="330" t="str" cm="1">
        <f t="array" ref="AN157">IF(tblPiNAnalysis[[#This Row],[Highest PiN]]=0, "",  IF(OR(COUNTIF(tblPiNAnalysis[[#This Row],[Highest sector(s)]],tblSubSectorPopulation[Sector])), "Flagged", ""))</f>
        <v/>
      </c>
      <c r="AO157" s="46" cm="1">
        <f t="array" ref="AO15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33121.614517212045</v>
      </c>
      <c r="AP157" s="331" t="str" cm="1">
        <f t="array" ref="AP157">IF(tblPiNAnalysis[[#This Row],[2nd Highest PiN]]="", "", _xlfn.TEXTJOIN(CHAR(10), TRUE, IF(tblPiNAnalysis[[#This Row],[2nd Highest PiN]]=tblPiNAnalysis[[#This Row],[CCCM]:[WASH]], tblPiNAnalysis[[#Headers],[CCCM]:[WASH]], "")))</f>
        <v>Food Security</v>
      </c>
      <c r="AQ157" s="36">
        <f>IFERROR(tblPiNAnalysis[[#This Row],[2nd Highest PiN]]/tblPiNAnalysis[[#This Row],[Affected population projection 2026]], "")</f>
        <v>0.57798563350720755</v>
      </c>
      <c r="AR157" s="46">
        <f>IFERROR(tblPiNAnalysis[[#This Row],[Highest PiN]]-tblPiNAnalysis[[#This Row],[2nd Highest PiN]], "")</f>
        <v>6275.7487743434031</v>
      </c>
      <c r="AS157" s="39">
        <f>IFERROR(((tblPiNAnalysis[[#This Row],[Highest PiN]]-tblPiNAnalysis[[#This Row],[2nd Highest PiN]])/tblPiNAnalysis[[#This Row],[2nd Highest PiN]]),"")</f>
        <v>0.18947593182941413</v>
      </c>
      <c r="AT157" s="39" t="str" cm="1">
        <f t="array" ref="AT15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7" s="332" cm="1">
        <f t="array" ref="AU15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26530.210970744411</v>
      </c>
      <c r="AV157" s="190" t="str" cm="1">
        <f t="array" ref="AV157">IF(tblPiNAnalysis[[#This Row],[3rd Highest PiN]]="", "", _xlfn.TEXTJOIN(CHAR(10), TRUE, IF(tblPiNAnalysis[[#This Row],[3rd Highest PiN]]=tblPiNAnalysis[[#This Row],[CCCM]:[WASH]], tblPiNAnalysis[[#Headers],[CCCM]:[WASH]], "")))</f>
        <v>WASH</v>
      </c>
      <c r="AW157" s="190">
        <f>IFERROR(tblPiNAnalysis[[#This Row],[3rd Highest PiN]]/tblPiNAnalysis[[#This Row],[Affected population projection 2026]], "")</f>
        <v>0.46296296296296297</v>
      </c>
      <c r="AX157" s="45">
        <f>IFERROR(tblPiNAnalysis[[#This Row],[Highest PiN]]-tblPiNAnalysis[[#This Row],[3rd Highest PiN]],"")</f>
        <v>12867.152320811037</v>
      </c>
      <c r="AY157" s="39">
        <f>IFERROR(tblPiNAnalysis[[#This Row],[Difference of PiN between Highest and 3rd Highest]]/tblPiNAnalysis[[#This Row],[3rd Highest PiN]], "")</f>
        <v>0.48499999999999993</v>
      </c>
      <c r="AZ157" s="330" t="str" cm="1">
        <f t="array" ref="AZ15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7" s="300" t="str" cm="1">
        <f t="array" ref="BA157">IFERROR(IF(tblPiNAnalysis[[#This Row],[ID]]="", "", INDEX(tblPiNHistorical[[CCCM]:[WASH]], MATCH(tblPiNAnalysis[[#This Row],[ID]],tblPiNHistorical[ID], 0),MATCH(_xlfn._xlws.FILTER(tblPiNAnalysis[[#Headers],[CCCM]:[WASH]], tblPiNAnalysis[[#This Row],[Highest PiN]]=tblPiNAnalysis[[#This Row],[CCCM]:[WASH]]), tblPiNHistorical[[#Headers],[CCCM]:[WASH]], 0))), "")</f>
        <v/>
      </c>
      <c r="BB157" s="333" t="str" cm="1">
        <f t="array" ref="BB15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7" s="276" t="str" cm="1">
        <f t="array" ref="BC15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7" s="334" t="str" cm="1">
        <f t="array" ref="BD15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7" s="276">
        <f>INDEX(tblSeverityAnalysis[Final Severity], MATCH(tblPiNAnalysis[[#This Row],[ID]],tblSeverityAnalysis[ID], 0))</f>
        <v>3</v>
      </c>
      <c r="BF157" s="61">
        <f>IF(tblPiNAnalysis[[#This Row],[Severity]]&gt;2,tblPiNAnalysis[[#This Row],[Highest PiN]],)</f>
        <v>39397.363291555448</v>
      </c>
      <c r="BG157" s="191"/>
      <c r="BH157" s="192"/>
      <c r="BI157" s="193">
        <f>COUNTIFS(tblPiNAnalysis[[#This Row],[Number of missing / zero PiNs greater than threshold - Data quality]:[Manual Flag]],"Flagged")</f>
        <v>0</v>
      </c>
      <c r="BJ157" s="96" t="str">
        <f>IF(tblPiNAnalysis[[#This Row],['# Flags]]&gt;0, "Flagged", "")</f>
        <v/>
      </c>
      <c r="BK157" s="326">
        <f>tblPiNAnalysis[[#This Row],[Preliminary PiN]]</f>
        <v>39397.363291555448</v>
      </c>
      <c r="BL157" s="331"/>
    </row>
    <row r="158" spans="1:64" ht="24.6" x14ac:dyDescent="0.55000000000000004">
      <c r="A15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SS1007</v>
      </c>
      <c r="B158" s="316" t="s">
        <v>390</v>
      </c>
      <c r="C158" s="317" t="s">
        <v>391</v>
      </c>
      <c r="D158" s="317" t="s">
        <v>404</v>
      </c>
      <c r="E158" s="105" t="s">
        <v>405</v>
      </c>
      <c r="F158" s="100"/>
      <c r="G158" s="34"/>
      <c r="H158" s="34"/>
      <c r="I158" s="97">
        <v>20533.496005228379</v>
      </c>
      <c r="J158" s="97" t="s">
        <v>413</v>
      </c>
      <c r="K158" s="318"/>
      <c r="L158" s="319">
        <v>1339.5888525842954</v>
      </c>
      <c r="M158" s="319">
        <v>8983.5200652778312</v>
      </c>
      <c r="N158" s="319">
        <v>11407.842529438098</v>
      </c>
      <c r="O158" s="319">
        <v>11103.202465375422</v>
      </c>
      <c r="P158" s="319">
        <v>6954</v>
      </c>
      <c r="Q158" s="320">
        <v>4297.7084662105908</v>
      </c>
      <c r="R158" s="319">
        <v>13688.99733681892</v>
      </c>
      <c r="S158" s="319">
        <v>2678</v>
      </c>
      <c r="T158" s="319">
        <v>2964</v>
      </c>
      <c r="U158" s="319">
        <v>692</v>
      </c>
      <c r="V158" s="319">
        <v>483</v>
      </c>
      <c r="W158" s="321" t="str">
        <f>IFERROR(IF(tblPiNAnalysis[[#This Row],[CCCM]]="", "", MROUND(tblPiNAnalysis[[#This Row],[CCCM]]/tblPiNAnalysis[[#This Row],[Affected population projection 2026]], 0.05)), "")</f>
        <v/>
      </c>
      <c r="X158" s="322">
        <f>IFERROR(IF(tblPiNAnalysis[[#This Row],[Education]]="", "", MROUND(tblPiNAnalysis[[#This Row],[Education]]/tblPiNAnalysis[[#This Row],[Affected population projection 2026]], 0.05)), "")</f>
        <v>0.05</v>
      </c>
      <c r="Y158" s="322">
        <f>IFERROR(IF(tblPiNAnalysis[[#This Row],[Nutrition]]="", "", MROUND(tblPiNAnalysis[[#This Row],[Nutrition]]/tblPiNAnalysis[[#This Row],[Affected population projection 2026]], 0.05)), "")</f>
        <v>0.45</v>
      </c>
      <c r="Z158" s="322">
        <f>IFERROR(IF(tblPiNAnalysis[[#This Row],[Food Security]]="", "", MROUND(tblPiNAnalysis[[#This Row],[Food Security]]/tblPiNAnalysis[[#This Row],[Affected population projection 2026]], 0.05)), "")</f>
        <v>0.55000000000000004</v>
      </c>
      <c r="AA158" s="322">
        <f>IFERROR(IF(tblPiNAnalysis[[#This Row],[Health]]="", "", MROUND(tblPiNAnalysis[[#This Row],[Health]]/tblPiNAnalysis[[#This Row],[Affected population projection 2026]], 0.05)), "")</f>
        <v>0.55000000000000004</v>
      </c>
      <c r="AB158" s="323">
        <f>IFERROR(IF(tblPiNAnalysis[[#This Row],[Overarching Protection]]="", "", MROUND(tblPiNAnalysis[[#This Row],[Overarching Protection]]/tblPiNAnalysis[[#This Row],[Affected population projection 2026]], 0.05)), "")</f>
        <v>0.35000000000000003</v>
      </c>
      <c r="AC158" s="323">
        <f>IFERROR(IF(tblPiNAnalysis[[#This Row],[Shelter]]="", "", MROUND(tblPiNAnalysis[[#This Row],[Shelter]]/tblPiNAnalysis[[#This Row],[Affected population projection 2026]], 0.05)), "")</f>
        <v>0.2</v>
      </c>
      <c r="AD158" s="324">
        <f>IFERROR(IF(tblPiNAnalysis[[#This Row],[WASH]]="", "", MROUND(tblPiNAnalysis[[#This Row],[WASH]]/tblPiNAnalysis[[#This Row],[Affected population projection 2026]], 0.05)), "")</f>
        <v>0.65</v>
      </c>
      <c r="AE158" s="322">
        <f>IFERROR(MROUND(tblPiNAnalysis[[#This Row],[CP]]/tblPiNAnalysis[[#This Row],[Affected population projection 2026]], 0.05), "")</f>
        <v>0.15000000000000002</v>
      </c>
      <c r="AF158" s="322">
        <f>IFERROR(MROUND(tblPiNAnalysis[[#This Row],[GBV]]/tblPiNAnalysis[[#This Row],[Affected population projection 2026]], 0.05), "")</f>
        <v>0.15000000000000002</v>
      </c>
      <c r="AG158" s="322">
        <f>IFERROR(MROUND(tblPiNAnalysis[[#This Row],[Mine Action]]/tblPiNAnalysis[[#This Row],[Affected population projection 2026]], 0.05), "")</f>
        <v>0.05</v>
      </c>
      <c r="AH158" s="322">
        <f>IFERROR(MROUND(tblPiNAnalysis[[#This Row],[HLP]]/tblPiNAnalysis[[#This Row],[Affected population projection 2026]], 0.05), "")</f>
        <v>0</v>
      </c>
      <c r="AI158" s="325">
        <f>IFERROR(LARGE(tblPiNAnalysis[[#This Row],[CCCM]:[WASH]], 1), "")</f>
        <v>13688.99733681892</v>
      </c>
      <c r="AJ158" s="326" t="str" cm="1">
        <f t="array" ref="AJ158">IF(tblPiNAnalysis[[#This Row],[Highest PiN]]="", "", _xlfn.TEXTJOIN(CHAR(10), TRUE, IF(tblPiNAnalysis[[#This Row],[Highest PiN]]=tblPiNAnalysis[[#This Row],[CCCM]:[WASH]], tblPiNAnalysis[[#Headers],[CCCM]:[WASH]], "")))</f>
        <v>WASH</v>
      </c>
      <c r="AK158" s="327">
        <f>IF(tblPiNAnalysis[[#This Row],[Highest PiN]]="", "", tblPiNAnalysis[[#This Row],[Highest PiN]]/tblPiNAnalysis[[#This Row],[Affected population projection 2026]])</f>
        <v>0.66666666666666674</v>
      </c>
      <c r="AL158" s="328" t="str">
        <f>IF(SUM(tblPiNAnalysis[[#This Row],[CCCM]:[WASH]])=0, "",IF(COUNTIF(tblPiNAnalysis[[#This Row],[CCCM]:[WASH]],"=0")+COUNTIF(tblPiNAnalysis[[#This Row],[CCCM]:[WASH]],"")&gt;=zero_pin_thresh, "Flagged", ""))</f>
        <v/>
      </c>
      <c r="AM158" s="329" t="str">
        <f>IFERROR(IF(tblPiNAnalysis[[#This Row],[Highest PiN]]="", "", IF(tblPiNAnalysis[[#This Row],[Highest sector(s'') PiN %]]&gt;=flag_pin_perc, "Flagged", "")), "")</f>
        <v/>
      </c>
      <c r="AN158" s="330" t="str" cm="1">
        <f t="array" ref="AN158">IF(tblPiNAnalysis[[#This Row],[Highest PiN]]=0, "",  IF(OR(COUNTIF(tblPiNAnalysis[[#This Row],[Highest sector(s)]],tblSubSectorPopulation[Sector])), "Flagged", ""))</f>
        <v/>
      </c>
      <c r="AO158" s="46" cm="1">
        <f t="array" ref="AO15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11407.842529438098</v>
      </c>
      <c r="AP158" s="331" t="str" cm="1">
        <f t="array" ref="AP158">IF(tblPiNAnalysis[[#This Row],[2nd Highest PiN]]="", "", _xlfn.TEXTJOIN(CHAR(10), TRUE, IF(tblPiNAnalysis[[#This Row],[2nd Highest PiN]]=tblPiNAnalysis[[#This Row],[CCCM]:[WASH]], tblPiNAnalysis[[#Headers],[CCCM]:[WASH]], "")))</f>
        <v>Food Security</v>
      </c>
      <c r="AQ158" s="36">
        <f>IFERROR(tblPiNAnalysis[[#This Row],[2nd Highest PiN]]/tblPiNAnalysis[[#This Row],[Affected population projection 2026]], "")</f>
        <v>0.55557234513466947</v>
      </c>
      <c r="AR158" s="46">
        <f>IFERROR(tblPiNAnalysis[[#This Row],[Highest PiN]]-tblPiNAnalysis[[#This Row],[2nd Highest PiN]], "")</f>
        <v>2281.1548073808226</v>
      </c>
      <c r="AS158" s="39">
        <f>IFERROR(((tblPiNAnalysis[[#This Row],[Highest PiN]]-tblPiNAnalysis[[#This Row],[2nd Highest PiN]])/tblPiNAnalysis[[#This Row],[2nd Highest PiN]]),"")</f>
        <v>0.19996373560506911</v>
      </c>
      <c r="AT158" s="39" t="str" cm="1">
        <f t="array" ref="AT15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8" s="332" cm="1">
        <f t="array" ref="AU15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11103.202465375422</v>
      </c>
      <c r="AV158" s="190" t="str" cm="1">
        <f t="array" ref="AV158">IF(tblPiNAnalysis[[#This Row],[3rd Highest PiN]]="", "", _xlfn.TEXTJOIN(CHAR(10), TRUE, IF(tblPiNAnalysis[[#This Row],[3rd Highest PiN]]=tblPiNAnalysis[[#This Row],[CCCM]:[WASH]], tblPiNAnalysis[[#Headers],[CCCM]:[WASH]], "")))</f>
        <v>Health</v>
      </c>
      <c r="AW158" s="190">
        <f>IFERROR(tblPiNAnalysis[[#This Row],[3rd Highest PiN]]/tblPiNAnalysis[[#This Row],[Affected population projection 2026]], "")</f>
        <v>0.54073609591607041</v>
      </c>
      <c r="AX158" s="45">
        <f>IFERROR(tblPiNAnalysis[[#This Row],[Highest PiN]]-tblPiNAnalysis[[#This Row],[3rd Highest PiN]],"")</f>
        <v>2585.7948714434988</v>
      </c>
      <c r="AY158" s="39">
        <f>IFERROR(tblPiNAnalysis[[#This Row],[Difference of PiN between Highest and 3rd Highest]]/tblPiNAnalysis[[#This Row],[3rd Highest PiN]], "")</f>
        <v>0.232887302515389</v>
      </c>
      <c r="AZ158" s="330" t="str" cm="1">
        <f t="array" ref="AZ15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8" s="300" t="str" cm="1">
        <f t="array" ref="BA158">IFERROR(IF(tblPiNAnalysis[[#This Row],[ID]]="", "", INDEX(tblPiNHistorical[[CCCM]:[WASH]], MATCH(tblPiNAnalysis[[#This Row],[ID]],tblPiNHistorical[ID], 0),MATCH(_xlfn._xlws.FILTER(tblPiNAnalysis[[#Headers],[CCCM]:[WASH]], tblPiNAnalysis[[#This Row],[Highest PiN]]=tblPiNAnalysis[[#This Row],[CCCM]:[WASH]]), tblPiNHistorical[[#Headers],[CCCM]:[WASH]], 0))), "")</f>
        <v/>
      </c>
      <c r="BB158" s="333" t="str" cm="1">
        <f t="array" ref="BB15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8" s="276" t="str" cm="1">
        <f t="array" ref="BC15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8" s="334" t="str" cm="1">
        <f t="array" ref="BD15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8" s="276">
        <f>INDEX(tblSeverityAnalysis[Final Severity], MATCH(tblPiNAnalysis[[#This Row],[ID]],tblSeverityAnalysis[ID], 0))</f>
        <v>4</v>
      </c>
      <c r="BF158" s="61">
        <f>IF(tblPiNAnalysis[[#This Row],[Severity]]&gt;2,tblPiNAnalysis[[#This Row],[Highest PiN]],)</f>
        <v>13688.99733681892</v>
      </c>
      <c r="BG158" s="191"/>
      <c r="BH158" s="192"/>
      <c r="BI158" s="193">
        <f>COUNTIFS(tblPiNAnalysis[[#This Row],[Number of missing / zero PiNs greater than threshold - Data quality]:[Manual Flag]],"Flagged")</f>
        <v>0</v>
      </c>
      <c r="BJ158" s="96" t="str">
        <f>IF(tblPiNAnalysis[[#This Row],['# Flags]]&gt;0, "Flagged", "")</f>
        <v/>
      </c>
      <c r="BK158" s="326">
        <f>tblPiNAnalysis[[#This Row],[Preliminary PiN]]</f>
        <v>13688.99733681892</v>
      </c>
      <c r="BL158" s="331"/>
    </row>
    <row r="159" spans="1:64" ht="24.6" x14ac:dyDescent="0.55000000000000004">
      <c r="A15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SS1008</v>
      </c>
      <c r="B159" s="316" t="s">
        <v>390</v>
      </c>
      <c r="C159" s="317" t="s">
        <v>391</v>
      </c>
      <c r="D159" s="317" t="s">
        <v>406</v>
      </c>
      <c r="E159" s="105" t="s">
        <v>407</v>
      </c>
      <c r="F159" s="100"/>
      <c r="G159" s="34"/>
      <c r="H159" s="34"/>
      <c r="I159" s="97">
        <v>65499.917413585019</v>
      </c>
      <c r="J159" s="97" t="s">
        <v>413</v>
      </c>
      <c r="K159" s="318"/>
      <c r="L159" s="319">
        <v>12547.347579515104</v>
      </c>
      <c r="M159" s="319">
        <v>35263.479435482092</v>
      </c>
      <c r="N159" s="319">
        <v>12721.227834511414</v>
      </c>
      <c r="O159" s="319">
        <v>28458.77568084903</v>
      </c>
      <c r="P159" s="319">
        <v>11528</v>
      </c>
      <c r="Q159" s="320">
        <v>46989.071188006637</v>
      </c>
      <c r="R159" s="319">
        <v>51550.860927358575</v>
      </c>
      <c r="S159" s="319">
        <v>9232</v>
      </c>
      <c r="T159" s="319">
        <v>5824</v>
      </c>
      <c r="U159" s="319">
        <v>2260</v>
      </c>
      <c r="V159" s="319">
        <v>706</v>
      </c>
      <c r="W159" s="321" t="str">
        <f>IFERROR(IF(tblPiNAnalysis[[#This Row],[CCCM]]="", "", MROUND(tblPiNAnalysis[[#This Row],[CCCM]]/tblPiNAnalysis[[#This Row],[Affected population projection 2026]], 0.05)), "")</f>
        <v/>
      </c>
      <c r="X159" s="322">
        <f>IFERROR(IF(tblPiNAnalysis[[#This Row],[Education]]="", "", MROUND(tblPiNAnalysis[[#This Row],[Education]]/tblPiNAnalysis[[#This Row],[Affected population projection 2026]], 0.05)), "")</f>
        <v>0.2</v>
      </c>
      <c r="Y159" s="322">
        <f>IFERROR(IF(tblPiNAnalysis[[#This Row],[Nutrition]]="", "", MROUND(tblPiNAnalysis[[#This Row],[Nutrition]]/tblPiNAnalysis[[#This Row],[Affected population projection 2026]], 0.05)), "")</f>
        <v>0.55000000000000004</v>
      </c>
      <c r="Z159" s="322">
        <f>IFERROR(IF(tblPiNAnalysis[[#This Row],[Food Security]]="", "", MROUND(tblPiNAnalysis[[#This Row],[Food Security]]/tblPiNAnalysis[[#This Row],[Affected population projection 2026]], 0.05)), "")</f>
        <v>0.2</v>
      </c>
      <c r="AA159" s="322">
        <f>IFERROR(IF(tblPiNAnalysis[[#This Row],[Health]]="", "", MROUND(tblPiNAnalysis[[#This Row],[Health]]/tblPiNAnalysis[[#This Row],[Affected population projection 2026]], 0.05)), "")</f>
        <v>0.45</v>
      </c>
      <c r="AB159" s="323">
        <f>IFERROR(IF(tblPiNAnalysis[[#This Row],[Overarching Protection]]="", "", MROUND(tblPiNAnalysis[[#This Row],[Overarching Protection]]/tblPiNAnalysis[[#This Row],[Affected population projection 2026]], 0.05)), "")</f>
        <v>0.2</v>
      </c>
      <c r="AC159" s="323">
        <f>IFERROR(IF(tblPiNAnalysis[[#This Row],[Shelter]]="", "", MROUND(tblPiNAnalysis[[#This Row],[Shelter]]/tblPiNAnalysis[[#This Row],[Affected population projection 2026]], 0.05)), "")</f>
        <v>0.70000000000000007</v>
      </c>
      <c r="AD159" s="324">
        <f>IFERROR(IF(tblPiNAnalysis[[#This Row],[WASH]]="", "", MROUND(tblPiNAnalysis[[#This Row],[WASH]]/tblPiNAnalysis[[#This Row],[Affected population projection 2026]], 0.05)), "")</f>
        <v>0.8</v>
      </c>
      <c r="AE159" s="322">
        <f>IFERROR(MROUND(tblPiNAnalysis[[#This Row],[CP]]/tblPiNAnalysis[[#This Row],[Affected population projection 2026]], 0.05), "")</f>
        <v>0.15000000000000002</v>
      </c>
      <c r="AF159" s="322">
        <f>IFERROR(MROUND(tblPiNAnalysis[[#This Row],[GBV]]/tblPiNAnalysis[[#This Row],[Affected population projection 2026]], 0.05), "")</f>
        <v>0.1</v>
      </c>
      <c r="AG159" s="322">
        <f>IFERROR(MROUND(tblPiNAnalysis[[#This Row],[Mine Action]]/tblPiNAnalysis[[#This Row],[Affected population projection 2026]], 0.05), "")</f>
        <v>0.05</v>
      </c>
      <c r="AH159" s="322">
        <f>IFERROR(MROUND(tblPiNAnalysis[[#This Row],[HLP]]/tblPiNAnalysis[[#This Row],[Affected population projection 2026]], 0.05), "")</f>
        <v>0</v>
      </c>
      <c r="AI159" s="325">
        <f>IFERROR(LARGE(tblPiNAnalysis[[#This Row],[CCCM]:[WASH]], 1), "")</f>
        <v>51550.860927358575</v>
      </c>
      <c r="AJ159" s="326" t="str" cm="1">
        <f t="array" ref="AJ159">IF(tblPiNAnalysis[[#This Row],[Highest PiN]]="", "", _xlfn.TEXTJOIN(CHAR(10), TRUE, IF(tblPiNAnalysis[[#This Row],[Highest PiN]]=tblPiNAnalysis[[#This Row],[CCCM]:[WASH]], tblPiNAnalysis[[#Headers],[CCCM]:[WASH]], "")))</f>
        <v>WASH</v>
      </c>
      <c r="AK159" s="327">
        <f>IF(tblPiNAnalysis[[#This Row],[Highest PiN]]="", "", tblPiNAnalysis[[#This Row],[Highest PiN]]/tblPiNAnalysis[[#This Row],[Affected population projection 2026]])</f>
        <v>0.78703703703703698</v>
      </c>
      <c r="AL159" s="328" t="str">
        <f>IF(SUM(tblPiNAnalysis[[#This Row],[CCCM]:[WASH]])=0, "",IF(COUNTIF(tblPiNAnalysis[[#This Row],[CCCM]:[WASH]],"=0")+COUNTIF(tblPiNAnalysis[[#This Row],[CCCM]:[WASH]],"")&gt;=zero_pin_thresh, "Flagged", ""))</f>
        <v/>
      </c>
      <c r="AM159" s="329" t="str">
        <f>IFERROR(IF(tblPiNAnalysis[[#This Row],[Highest PiN]]="", "", IF(tblPiNAnalysis[[#This Row],[Highest sector(s'') PiN %]]&gt;=flag_pin_perc, "Flagged", "")), "")</f>
        <v/>
      </c>
      <c r="AN159" s="330" t="str" cm="1">
        <f t="array" ref="AN159">IF(tblPiNAnalysis[[#This Row],[Highest PiN]]=0, "",  IF(OR(COUNTIF(tblPiNAnalysis[[#This Row],[Highest sector(s)]],tblSubSectorPopulation[Sector])), "Flagged", ""))</f>
        <v/>
      </c>
      <c r="AO159" s="46" cm="1">
        <f t="array" ref="AO15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46989.071188006637</v>
      </c>
      <c r="AP159" s="331" t="str" cm="1">
        <f t="array" ref="AP159">IF(tblPiNAnalysis[[#This Row],[2nd Highest PiN]]="", "", _xlfn.TEXTJOIN(CHAR(10), TRUE, IF(tblPiNAnalysis[[#This Row],[2nd Highest PiN]]=tblPiNAnalysis[[#This Row],[CCCM]:[WASH]], tblPiNAnalysis[[#Headers],[CCCM]:[WASH]], "")))</f>
        <v>Shelter</v>
      </c>
      <c r="AQ159" s="36">
        <f>IFERROR(tblPiNAnalysis[[#This Row],[2nd Highest PiN]]/tblPiNAnalysis[[#This Row],[Affected population projection 2026]], "")</f>
        <v>0.71739130434782594</v>
      </c>
      <c r="AR159" s="46">
        <f>IFERROR(tblPiNAnalysis[[#This Row],[Highest PiN]]-tblPiNAnalysis[[#This Row],[2nd Highest PiN]], "")</f>
        <v>4561.7897393519379</v>
      </c>
      <c r="AS159" s="39">
        <f>IFERROR(((tblPiNAnalysis[[#This Row],[Highest PiN]]-tblPiNAnalysis[[#This Row],[2nd Highest PiN]])/tblPiNAnalysis[[#This Row],[2nd Highest PiN]]),"")</f>
        <v>9.7081930415263806E-2</v>
      </c>
      <c r="AT159" s="39" t="str" cm="1">
        <f t="array" ref="AT15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59" s="332" cm="1">
        <f t="array" ref="AU15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35263.479435482092</v>
      </c>
      <c r="AV159" s="190" t="str" cm="1">
        <f t="array" ref="AV159">IF(tblPiNAnalysis[[#This Row],[3rd Highest PiN]]="", "", _xlfn.TEXTJOIN(CHAR(10), TRUE, IF(tblPiNAnalysis[[#This Row],[3rd Highest PiN]]=tblPiNAnalysis[[#This Row],[CCCM]:[WASH]], tblPiNAnalysis[[#Headers],[CCCM]:[WASH]], "")))</f>
        <v>Nutrition</v>
      </c>
      <c r="AW159" s="190">
        <f>IFERROR(tblPiNAnalysis[[#This Row],[3rd Highest PiN]]/tblPiNAnalysis[[#This Row],[Affected population projection 2026]], "")</f>
        <v>0.53837441065487912</v>
      </c>
      <c r="AX159" s="45">
        <f>IFERROR(tblPiNAnalysis[[#This Row],[Highest PiN]]-tblPiNAnalysis[[#This Row],[3rd Highest PiN]],"")</f>
        <v>16287.381491876484</v>
      </c>
      <c r="AY159" s="39">
        <f>IFERROR(tblPiNAnalysis[[#This Row],[Difference of PiN between Highest and 3rd Highest]]/tblPiNAnalysis[[#This Row],[3rd Highest PiN]], "")</f>
        <v>0.46187675614018198</v>
      </c>
      <c r="AZ159" s="330" t="str" cm="1">
        <f t="array" ref="AZ15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59" s="300" t="str" cm="1">
        <f t="array" ref="BA159">IFERROR(IF(tblPiNAnalysis[[#This Row],[ID]]="", "", INDEX(tblPiNHistorical[[CCCM]:[WASH]], MATCH(tblPiNAnalysis[[#This Row],[ID]],tblPiNHistorical[ID], 0),MATCH(_xlfn._xlws.FILTER(tblPiNAnalysis[[#Headers],[CCCM]:[WASH]], tblPiNAnalysis[[#This Row],[Highest PiN]]=tblPiNAnalysis[[#This Row],[CCCM]:[WASH]]), tblPiNHistorical[[#Headers],[CCCM]:[WASH]], 0))), "")</f>
        <v/>
      </c>
      <c r="BB159" s="333" t="str" cm="1">
        <f t="array" ref="BB15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59" s="276" t="str" cm="1">
        <f t="array" ref="BC15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59" s="334" t="str" cm="1">
        <f t="array" ref="BD15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9" s="276">
        <f>INDEX(tblSeverityAnalysis[Final Severity], MATCH(tblPiNAnalysis[[#This Row],[ID]],tblSeverityAnalysis[ID], 0))</f>
        <v>3</v>
      </c>
      <c r="BF159" s="61">
        <f>IF(tblPiNAnalysis[[#This Row],[Severity]]&gt;2,tblPiNAnalysis[[#This Row],[Highest PiN]],)</f>
        <v>51550.860927358575</v>
      </c>
      <c r="BG159" s="191"/>
      <c r="BH159" s="192"/>
      <c r="BI159" s="193">
        <f>COUNTIFS(tblPiNAnalysis[[#This Row],[Number of missing / zero PiNs greater than threshold - Data quality]:[Manual Flag]],"Flagged")</f>
        <v>0</v>
      </c>
      <c r="BJ159" s="96" t="str">
        <f>IF(tblPiNAnalysis[[#This Row],['# Flags]]&gt;0, "Flagged", "")</f>
        <v/>
      </c>
      <c r="BK159" s="326">
        <f>tblPiNAnalysis[[#This Row],[Preliminary PiN]]</f>
        <v>51550.860927358575</v>
      </c>
      <c r="BL159" s="331"/>
    </row>
    <row r="160" spans="1:64" ht="24.6" x14ac:dyDescent="0.55000000000000004">
      <c r="A16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SS1009</v>
      </c>
      <c r="B160" s="316" t="s">
        <v>390</v>
      </c>
      <c r="C160" s="317" t="s">
        <v>391</v>
      </c>
      <c r="D160" s="317" t="s">
        <v>408</v>
      </c>
      <c r="E160" s="105" t="s">
        <v>409</v>
      </c>
      <c r="F160" s="100"/>
      <c r="G160" s="34"/>
      <c r="H160" s="34"/>
      <c r="I160" s="97">
        <v>76119.104669093867</v>
      </c>
      <c r="J160" s="97" t="s">
        <v>413</v>
      </c>
      <c r="K160" s="318"/>
      <c r="L160" s="319">
        <v>15328.027988110762</v>
      </c>
      <c r="M160" s="319">
        <v>32825.390849720112</v>
      </c>
      <c r="N160" s="319">
        <v>32718.060704017036</v>
      </c>
      <c r="O160" s="319">
        <v>46305.191128608982</v>
      </c>
      <c r="P160" s="319">
        <v>26794</v>
      </c>
      <c r="Q160" s="320">
        <v>71842.750474200948</v>
      </c>
      <c r="R160" s="319">
        <v>58498.941551248063</v>
      </c>
      <c r="S160" s="319">
        <v>10503</v>
      </c>
      <c r="T160" s="319">
        <v>16592</v>
      </c>
      <c r="U160" s="319">
        <v>2666</v>
      </c>
      <c r="V160" s="319">
        <v>1738</v>
      </c>
      <c r="W160" s="321" t="str">
        <f>IFERROR(IF(tblPiNAnalysis[[#This Row],[CCCM]]="", "", MROUND(tblPiNAnalysis[[#This Row],[CCCM]]/tblPiNAnalysis[[#This Row],[Affected population projection 2026]], 0.05)), "")</f>
        <v/>
      </c>
      <c r="X160" s="322">
        <f>IFERROR(IF(tblPiNAnalysis[[#This Row],[Education]]="", "", MROUND(tblPiNAnalysis[[#This Row],[Education]]/tblPiNAnalysis[[#This Row],[Affected population projection 2026]], 0.05)), "")</f>
        <v>0.2</v>
      </c>
      <c r="Y160" s="322">
        <f>IFERROR(IF(tblPiNAnalysis[[#This Row],[Nutrition]]="", "", MROUND(tblPiNAnalysis[[#This Row],[Nutrition]]/tblPiNAnalysis[[#This Row],[Affected population projection 2026]], 0.05)), "")</f>
        <v>0.45</v>
      </c>
      <c r="Z160" s="322">
        <f>IFERROR(IF(tblPiNAnalysis[[#This Row],[Food Security]]="", "", MROUND(tblPiNAnalysis[[#This Row],[Food Security]]/tblPiNAnalysis[[#This Row],[Affected population projection 2026]], 0.05)), "")</f>
        <v>0.45</v>
      </c>
      <c r="AA160" s="322">
        <f>IFERROR(IF(tblPiNAnalysis[[#This Row],[Health]]="", "", MROUND(tblPiNAnalysis[[#This Row],[Health]]/tblPiNAnalysis[[#This Row],[Affected population projection 2026]], 0.05)), "")</f>
        <v>0.60000000000000009</v>
      </c>
      <c r="AB160" s="323">
        <f>IFERROR(IF(tblPiNAnalysis[[#This Row],[Overarching Protection]]="", "", MROUND(tblPiNAnalysis[[#This Row],[Overarching Protection]]/tblPiNAnalysis[[#This Row],[Affected population projection 2026]], 0.05)), "")</f>
        <v>0.35000000000000003</v>
      </c>
      <c r="AC160" s="323">
        <f>IFERROR(IF(tblPiNAnalysis[[#This Row],[Shelter]]="", "", MROUND(tblPiNAnalysis[[#This Row],[Shelter]]/tblPiNAnalysis[[#This Row],[Affected population projection 2026]], 0.05)), "")</f>
        <v>0.95000000000000007</v>
      </c>
      <c r="AD160" s="324">
        <f>IFERROR(IF(tblPiNAnalysis[[#This Row],[WASH]]="", "", MROUND(tblPiNAnalysis[[#This Row],[WASH]]/tblPiNAnalysis[[#This Row],[Affected population projection 2026]], 0.05)), "")</f>
        <v>0.75</v>
      </c>
      <c r="AE160" s="322">
        <f>IFERROR(MROUND(tblPiNAnalysis[[#This Row],[CP]]/tblPiNAnalysis[[#This Row],[Affected population projection 2026]], 0.05), "")</f>
        <v>0.15000000000000002</v>
      </c>
      <c r="AF160" s="322">
        <f>IFERROR(MROUND(tblPiNAnalysis[[#This Row],[GBV]]/tblPiNAnalysis[[#This Row],[Affected population projection 2026]], 0.05), "")</f>
        <v>0.2</v>
      </c>
      <c r="AG160" s="322">
        <f>IFERROR(MROUND(tblPiNAnalysis[[#This Row],[Mine Action]]/tblPiNAnalysis[[#This Row],[Affected population projection 2026]], 0.05), "")</f>
        <v>0.05</v>
      </c>
      <c r="AH160" s="322">
        <f>IFERROR(MROUND(tblPiNAnalysis[[#This Row],[HLP]]/tblPiNAnalysis[[#This Row],[Affected population projection 2026]], 0.05), "")</f>
        <v>0</v>
      </c>
      <c r="AI160" s="325">
        <f>IFERROR(LARGE(tblPiNAnalysis[[#This Row],[CCCM]:[WASH]], 1), "")</f>
        <v>71842.750474200948</v>
      </c>
      <c r="AJ160" s="326" t="str" cm="1">
        <f t="array" ref="AJ160">IF(tblPiNAnalysis[[#This Row],[Highest PiN]]="", "", _xlfn.TEXTJOIN(CHAR(10), TRUE, IF(tblPiNAnalysis[[#This Row],[Highest PiN]]=tblPiNAnalysis[[#This Row],[CCCM]:[WASH]], tblPiNAnalysis[[#Headers],[CCCM]:[WASH]], "")))</f>
        <v>Shelter</v>
      </c>
      <c r="AK160" s="327">
        <f>IF(tblPiNAnalysis[[#This Row],[Highest PiN]]="", "", tblPiNAnalysis[[#This Row],[Highest PiN]]/tblPiNAnalysis[[#This Row],[Affected population projection 2026]])</f>
        <v>0.9438202247191011</v>
      </c>
      <c r="AL160" s="328" t="str">
        <f>IF(SUM(tblPiNAnalysis[[#This Row],[CCCM]:[WASH]])=0, "",IF(COUNTIF(tblPiNAnalysis[[#This Row],[CCCM]:[WASH]],"=0")+COUNTIF(tblPiNAnalysis[[#This Row],[CCCM]:[WASH]],"")&gt;=zero_pin_thresh, "Flagged", ""))</f>
        <v/>
      </c>
      <c r="AM160" s="329" t="str">
        <f>IFERROR(IF(tblPiNAnalysis[[#This Row],[Highest PiN]]="", "", IF(tblPiNAnalysis[[#This Row],[Highest sector(s'') PiN %]]&gt;=flag_pin_perc, "Flagged", "")), "")</f>
        <v>Flagged</v>
      </c>
      <c r="AN160" s="330" t="str" cm="1">
        <f t="array" ref="AN160">IF(tblPiNAnalysis[[#This Row],[Highest PiN]]=0, "",  IF(OR(COUNTIF(tblPiNAnalysis[[#This Row],[Highest sector(s)]],tblSubSectorPopulation[Sector])), "Flagged", ""))</f>
        <v/>
      </c>
      <c r="AO160" s="46" cm="1">
        <f t="array" ref="AO16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58498.941551248063</v>
      </c>
      <c r="AP160" s="331" t="str" cm="1">
        <f t="array" ref="AP160">IF(tblPiNAnalysis[[#This Row],[2nd Highest PiN]]="", "", _xlfn.TEXTJOIN(CHAR(10), TRUE, IF(tblPiNAnalysis[[#This Row],[2nd Highest PiN]]=tblPiNAnalysis[[#This Row],[CCCM]:[WASH]], tblPiNAnalysis[[#Headers],[CCCM]:[WASH]], "")))</f>
        <v>WASH</v>
      </c>
      <c r="AQ160" s="36">
        <f>IFERROR(tblPiNAnalysis[[#This Row],[2nd Highest PiN]]/tblPiNAnalysis[[#This Row],[Affected population projection 2026]], "")</f>
        <v>0.76851851851851849</v>
      </c>
      <c r="AR160" s="46">
        <f>IFERROR(tblPiNAnalysis[[#This Row],[Highest PiN]]-tblPiNAnalysis[[#This Row],[2nd Highest PiN]], "")</f>
        <v>13343.808922952885</v>
      </c>
      <c r="AS160" s="39">
        <f>IFERROR(((tblPiNAnalysis[[#This Row],[Highest PiN]]-tblPiNAnalysis[[#This Row],[2nd Highest PiN]])/tblPiNAnalysis[[#This Row],[2nd Highest PiN]]),"")</f>
        <v>0.2281034249356978</v>
      </c>
      <c r="AT160" s="39" t="str" cm="1">
        <f t="array" ref="AT16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0" s="332" cm="1">
        <f t="array" ref="AU16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46305.191128608982</v>
      </c>
      <c r="AV160" s="190" t="str" cm="1">
        <f t="array" ref="AV160">IF(tblPiNAnalysis[[#This Row],[3rd Highest PiN]]="", "", _xlfn.TEXTJOIN(CHAR(10), TRUE, IF(tblPiNAnalysis[[#This Row],[3rd Highest PiN]]=tblPiNAnalysis[[#This Row],[CCCM]:[WASH]], tblPiNAnalysis[[#Headers],[CCCM]:[WASH]], "")))</f>
        <v>Health</v>
      </c>
      <c r="AW160" s="190">
        <f>IFERROR(tblPiNAnalysis[[#This Row],[3rd Highest PiN]]/tblPiNAnalysis[[#This Row],[Affected population projection 2026]], "")</f>
        <v>0.60832548320040825</v>
      </c>
      <c r="AX160" s="45">
        <f>IFERROR(tblPiNAnalysis[[#This Row],[Highest PiN]]-tblPiNAnalysis[[#This Row],[3rd Highest PiN]],"")</f>
        <v>25537.559345591966</v>
      </c>
      <c r="AY160" s="39">
        <f>IFERROR(tblPiNAnalysis[[#This Row],[Difference of PiN between Highest and 3rd Highest]]/tblPiNAnalysis[[#This Row],[3rd Highest PiN]], "")</f>
        <v>0.55150532204182956</v>
      </c>
      <c r="AZ160" s="330" t="str" cm="1">
        <f t="array" ref="AZ16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60" s="300" t="str" cm="1">
        <f t="array" ref="BA160">IFERROR(IF(tblPiNAnalysis[[#This Row],[ID]]="", "", INDEX(tblPiNHistorical[[CCCM]:[WASH]], MATCH(tblPiNAnalysis[[#This Row],[ID]],tblPiNHistorical[ID], 0),MATCH(_xlfn._xlws.FILTER(tblPiNAnalysis[[#Headers],[CCCM]:[WASH]], tblPiNAnalysis[[#This Row],[Highest PiN]]=tblPiNAnalysis[[#This Row],[CCCM]:[WASH]]), tblPiNHistorical[[#Headers],[CCCM]:[WASH]], 0))), "")</f>
        <v/>
      </c>
      <c r="BB160" s="333" t="str" cm="1">
        <f t="array" ref="BB16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0" s="276" t="str" cm="1">
        <f t="array" ref="BC16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0" s="334" t="str" cm="1">
        <f t="array" ref="BD16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0" s="276">
        <f>INDEX(tblSeverityAnalysis[Final Severity], MATCH(tblPiNAnalysis[[#This Row],[ID]],tblSeverityAnalysis[ID], 0))</f>
        <v>4</v>
      </c>
      <c r="BF160" s="61">
        <f>IF(tblPiNAnalysis[[#This Row],[Severity]]&gt;2,tblPiNAnalysis[[#This Row],[Highest PiN]],)</f>
        <v>71842.750474200948</v>
      </c>
      <c r="BG160" s="191"/>
      <c r="BH160" s="192"/>
      <c r="BI160" s="193">
        <f>COUNTIFS(tblPiNAnalysis[[#This Row],[Number of missing / zero PiNs greater than threshold - Data quality]:[Manual Flag]],"Flagged")</f>
        <v>2</v>
      </c>
      <c r="BJ160" s="96" t="str">
        <f>IF(tblPiNAnalysis[[#This Row],['# Flags]]&gt;0, "Flagged", "")</f>
        <v>Flagged</v>
      </c>
      <c r="BK160" s="326">
        <f>tblPiNAnalysis[[#This Row],[Preliminary PiN]]</f>
        <v>71842.750474200948</v>
      </c>
      <c r="BL160" s="331"/>
    </row>
    <row r="161" spans="1:64" ht="24.6" x14ac:dyDescent="0.55000000000000004">
      <c r="A16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SS1010</v>
      </c>
      <c r="B161" s="316" t="s">
        <v>390</v>
      </c>
      <c r="C161" s="317" t="s">
        <v>391</v>
      </c>
      <c r="D161" s="317" t="s">
        <v>410</v>
      </c>
      <c r="E161" s="105" t="s">
        <v>411</v>
      </c>
      <c r="F161" s="100"/>
      <c r="G161" s="34"/>
      <c r="H161" s="34"/>
      <c r="I161" s="97">
        <v>122615.70597189905</v>
      </c>
      <c r="J161" s="97" t="s">
        <v>413</v>
      </c>
      <c r="K161" s="318"/>
      <c r="L161" s="319">
        <v>22705.485969052377</v>
      </c>
      <c r="M161" s="319">
        <v>53180.637302829513</v>
      </c>
      <c r="N161" s="319">
        <v>31094.834456471111</v>
      </c>
      <c r="O161" s="319">
        <v>60015.496545281159</v>
      </c>
      <c r="P161" s="319">
        <v>43161</v>
      </c>
      <c r="Q161" s="320">
        <v>81743.803981266028</v>
      </c>
      <c r="R161" s="319">
        <v>91961.779478924291</v>
      </c>
      <c r="S161" s="319">
        <v>37469</v>
      </c>
      <c r="T161" s="319">
        <v>27623</v>
      </c>
      <c r="U161" s="319">
        <v>13479</v>
      </c>
      <c r="V161" s="319">
        <v>2728</v>
      </c>
      <c r="W161" s="321" t="str">
        <f>IFERROR(IF(tblPiNAnalysis[[#This Row],[CCCM]]="", "", MROUND(tblPiNAnalysis[[#This Row],[CCCM]]/tblPiNAnalysis[[#This Row],[Affected population projection 2026]], 0.05)), "")</f>
        <v/>
      </c>
      <c r="X161" s="322">
        <f>IFERROR(IF(tblPiNAnalysis[[#This Row],[Education]]="", "", MROUND(tblPiNAnalysis[[#This Row],[Education]]/tblPiNAnalysis[[#This Row],[Affected population projection 2026]], 0.05)), "")</f>
        <v>0.2</v>
      </c>
      <c r="Y161" s="322">
        <f>IFERROR(IF(tblPiNAnalysis[[#This Row],[Nutrition]]="", "", MROUND(tblPiNAnalysis[[#This Row],[Nutrition]]/tblPiNAnalysis[[#This Row],[Affected population projection 2026]], 0.05)), "")</f>
        <v>0.45</v>
      </c>
      <c r="Z161" s="322">
        <f>IFERROR(IF(tblPiNAnalysis[[#This Row],[Food Security]]="", "", MROUND(tblPiNAnalysis[[#This Row],[Food Security]]/tblPiNAnalysis[[#This Row],[Affected population projection 2026]], 0.05)), "")</f>
        <v>0.25</v>
      </c>
      <c r="AA161" s="322">
        <f>IFERROR(IF(tblPiNAnalysis[[#This Row],[Health]]="", "", MROUND(tblPiNAnalysis[[#This Row],[Health]]/tblPiNAnalysis[[#This Row],[Affected population projection 2026]], 0.05)), "")</f>
        <v>0.5</v>
      </c>
      <c r="AB161" s="323">
        <f>IFERROR(IF(tblPiNAnalysis[[#This Row],[Overarching Protection]]="", "", MROUND(tblPiNAnalysis[[#This Row],[Overarching Protection]]/tblPiNAnalysis[[#This Row],[Affected population projection 2026]], 0.05)), "")</f>
        <v>0.35000000000000003</v>
      </c>
      <c r="AC161" s="323">
        <f>IFERROR(IF(tblPiNAnalysis[[#This Row],[Shelter]]="", "", MROUND(tblPiNAnalysis[[#This Row],[Shelter]]/tblPiNAnalysis[[#This Row],[Affected population projection 2026]], 0.05)), "")</f>
        <v>0.65</v>
      </c>
      <c r="AD161" s="324">
        <f>IFERROR(IF(tblPiNAnalysis[[#This Row],[WASH]]="", "", MROUND(tblPiNAnalysis[[#This Row],[WASH]]/tblPiNAnalysis[[#This Row],[Affected population projection 2026]], 0.05)), "")</f>
        <v>0.75</v>
      </c>
      <c r="AE161" s="322">
        <f>IFERROR(MROUND(tblPiNAnalysis[[#This Row],[CP]]/tblPiNAnalysis[[#This Row],[Affected population projection 2026]], 0.05), "")</f>
        <v>0.30000000000000004</v>
      </c>
      <c r="AF161" s="322">
        <f>IFERROR(MROUND(tblPiNAnalysis[[#This Row],[GBV]]/tblPiNAnalysis[[#This Row],[Affected population projection 2026]], 0.05), "")</f>
        <v>0.25</v>
      </c>
      <c r="AG161" s="322">
        <f>IFERROR(MROUND(tblPiNAnalysis[[#This Row],[Mine Action]]/tblPiNAnalysis[[#This Row],[Affected population projection 2026]], 0.05), "")</f>
        <v>0.1</v>
      </c>
      <c r="AH161" s="322">
        <f>IFERROR(MROUND(tblPiNAnalysis[[#This Row],[HLP]]/tblPiNAnalysis[[#This Row],[Affected population projection 2026]], 0.05), "")</f>
        <v>0</v>
      </c>
      <c r="AI161" s="325">
        <f>IFERROR(LARGE(tblPiNAnalysis[[#This Row],[CCCM]:[WASH]], 1), "")</f>
        <v>91961.779478924291</v>
      </c>
      <c r="AJ161" s="326" t="str" cm="1">
        <f t="array" ref="AJ161">IF(tblPiNAnalysis[[#This Row],[Highest PiN]]="", "", _xlfn.TEXTJOIN(CHAR(10), TRUE, IF(tblPiNAnalysis[[#This Row],[Highest PiN]]=tblPiNAnalysis[[#This Row],[CCCM]:[WASH]], tblPiNAnalysis[[#Headers],[CCCM]:[WASH]], "")))</f>
        <v>WASH</v>
      </c>
      <c r="AK161" s="327">
        <f>IF(tblPiNAnalysis[[#This Row],[Highest PiN]]="", "", tblPiNAnalysis[[#This Row],[Highest PiN]]/tblPiNAnalysis[[#This Row],[Affected population projection 2026]])</f>
        <v>0.75</v>
      </c>
      <c r="AL161" s="328" t="str">
        <f>IF(SUM(tblPiNAnalysis[[#This Row],[CCCM]:[WASH]])=0, "",IF(COUNTIF(tblPiNAnalysis[[#This Row],[CCCM]:[WASH]],"=0")+COUNTIF(tblPiNAnalysis[[#This Row],[CCCM]:[WASH]],"")&gt;=zero_pin_thresh, "Flagged", ""))</f>
        <v/>
      </c>
      <c r="AM161" s="329" t="str">
        <f>IFERROR(IF(tblPiNAnalysis[[#This Row],[Highest PiN]]="", "", IF(tblPiNAnalysis[[#This Row],[Highest sector(s'') PiN %]]&gt;=flag_pin_perc, "Flagged", "")), "")</f>
        <v/>
      </c>
      <c r="AN161" s="330" t="str" cm="1">
        <f t="array" ref="AN161">IF(tblPiNAnalysis[[#This Row],[Highest PiN]]=0, "",  IF(OR(COUNTIF(tblPiNAnalysis[[#This Row],[Highest sector(s)]],tblSubSectorPopulation[Sector])), "Flagged", ""))</f>
        <v/>
      </c>
      <c r="AO161" s="46" cm="1">
        <f t="array" ref="AO16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81743.803981266028</v>
      </c>
      <c r="AP161" s="331" t="str" cm="1">
        <f t="array" ref="AP161">IF(tblPiNAnalysis[[#This Row],[2nd Highest PiN]]="", "", _xlfn.TEXTJOIN(CHAR(10), TRUE, IF(tblPiNAnalysis[[#This Row],[2nd Highest PiN]]=tblPiNAnalysis[[#This Row],[CCCM]:[WASH]], tblPiNAnalysis[[#Headers],[CCCM]:[WASH]], "")))</f>
        <v>Shelter</v>
      </c>
      <c r="AQ161" s="36">
        <f>IFERROR(tblPiNAnalysis[[#This Row],[2nd Highest PiN]]/tblPiNAnalysis[[#This Row],[Affected population projection 2026]], "")</f>
        <v>0.66666666666666663</v>
      </c>
      <c r="AR161" s="46">
        <f>IFERROR(tblPiNAnalysis[[#This Row],[Highest PiN]]-tblPiNAnalysis[[#This Row],[2nd Highest PiN]], "")</f>
        <v>10217.975497658263</v>
      </c>
      <c r="AS161" s="39">
        <f>IFERROR(((tblPiNAnalysis[[#This Row],[Highest PiN]]-tblPiNAnalysis[[#This Row],[2nd Highest PiN]])/tblPiNAnalysis[[#This Row],[2nd Highest PiN]]),"")</f>
        <v>0.12500000000000011</v>
      </c>
      <c r="AT161" s="39" t="str" cm="1">
        <f t="array" ref="AT16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1" s="332" cm="1">
        <f t="array" ref="AU16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60015.496545281159</v>
      </c>
      <c r="AV161" s="190" t="str" cm="1">
        <f t="array" ref="AV161">IF(tblPiNAnalysis[[#This Row],[3rd Highest PiN]]="", "", _xlfn.TEXTJOIN(CHAR(10), TRUE, IF(tblPiNAnalysis[[#This Row],[3rd Highest PiN]]=tblPiNAnalysis[[#This Row],[CCCM]:[WASH]], tblPiNAnalysis[[#Headers],[CCCM]:[WASH]], "")))</f>
        <v>Health</v>
      </c>
      <c r="AW161" s="190">
        <f>IFERROR(tblPiNAnalysis[[#This Row],[3rd Highest PiN]]/tblPiNAnalysis[[#This Row],[Affected population projection 2026]], "")</f>
        <v>0.48946010684010949</v>
      </c>
      <c r="AX161" s="45">
        <f>IFERROR(tblPiNAnalysis[[#This Row],[Highest PiN]]-tblPiNAnalysis[[#This Row],[3rd Highest PiN]],"")</f>
        <v>31946.282933643131</v>
      </c>
      <c r="AY161" s="39">
        <f>IFERROR(tblPiNAnalysis[[#This Row],[Difference of PiN between Highest and 3rd Highest]]/tblPiNAnalysis[[#This Row],[3rd Highest PiN]], "")</f>
        <v>0.5323005685629868</v>
      </c>
      <c r="AZ161" s="330" t="str" cm="1">
        <f t="array" ref="AZ16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61" s="300" t="str" cm="1">
        <f t="array" ref="BA161">IFERROR(IF(tblPiNAnalysis[[#This Row],[ID]]="", "", INDEX(tblPiNHistorical[[CCCM]:[WASH]], MATCH(tblPiNAnalysis[[#This Row],[ID]],tblPiNHistorical[ID], 0),MATCH(_xlfn._xlws.FILTER(tblPiNAnalysis[[#Headers],[CCCM]:[WASH]], tblPiNAnalysis[[#This Row],[Highest PiN]]=tblPiNAnalysis[[#This Row],[CCCM]:[WASH]]), tblPiNHistorical[[#Headers],[CCCM]:[WASH]], 0))), "")</f>
        <v/>
      </c>
      <c r="BB161" s="333" t="str" cm="1">
        <f t="array" ref="BB16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1" s="276" t="str" cm="1">
        <f t="array" ref="BC16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1" s="334" t="str" cm="1">
        <f t="array" ref="BD16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1" s="276">
        <f>INDEX(tblSeverityAnalysis[Final Severity], MATCH(tblPiNAnalysis[[#This Row],[ID]],tblSeverityAnalysis[ID], 0))</f>
        <v>3</v>
      </c>
      <c r="BF161" s="61">
        <f>IF(tblPiNAnalysis[[#This Row],[Severity]]&gt;2,tblPiNAnalysis[[#This Row],[Highest PiN]],)</f>
        <v>91961.779478924291</v>
      </c>
      <c r="BG161" s="191"/>
      <c r="BH161" s="192"/>
      <c r="BI161" s="193">
        <f>COUNTIFS(tblPiNAnalysis[[#This Row],[Number of missing / zero PiNs greater than threshold - Data quality]:[Manual Flag]],"Flagged")</f>
        <v>1</v>
      </c>
      <c r="BJ161" s="96" t="str">
        <f>IF(tblPiNAnalysis[[#This Row],['# Flags]]&gt;0, "Flagged", "")</f>
        <v>Flagged</v>
      </c>
      <c r="BK161" s="326">
        <f>tblPiNAnalysis[[#This Row],[Preliminary PiN]]</f>
        <v>91961.779478924291</v>
      </c>
      <c r="BL161" s="331"/>
    </row>
    <row r="162" spans="1:64" ht="36.9" x14ac:dyDescent="0.55000000000000004">
      <c r="A16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SS0001</v>
      </c>
      <c r="B162" s="316" t="s">
        <v>233</v>
      </c>
      <c r="C162" s="317" t="s">
        <v>234</v>
      </c>
      <c r="D162" s="317" t="s">
        <v>233</v>
      </c>
      <c r="E162" s="105" t="s">
        <v>235</v>
      </c>
      <c r="F162" s="100"/>
      <c r="G162" s="34"/>
      <c r="H162" s="34"/>
      <c r="I162" s="97">
        <v>19107.704392085096</v>
      </c>
      <c r="J162" s="97" t="s">
        <v>414</v>
      </c>
      <c r="K162" s="318">
        <v>0</v>
      </c>
      <c r="L162" s="319">
        <v>2193.5644642113693</v>
      </c>
      <c r="M162" s="319">
        <v>7075.1826001879772</v>
      </c>
      <c r="N162" s="319">
        <v>11794.500496437133</v>
      </c>
      <c r="O162" s="319">
        <v>13376.411804553156</v>
      </c>
      <c r="P162" s="319">
        <v>12835</v>
      </c>
      <c r="Q162" s="320">
        <v>3980.7717483510619</v>
      </c>
      <c r="R162" s="319">
        <v>7430.7739302553136</v>
      </c>
      <c r="S162" s="319">
        <v>7415</v>
      </c>
      <c r="T162" s="319">
        <v>7543</v>
      </c>
      <c r="U162" s="319">
        <v>0</v>
      </c>
      <c r="V162" s="319">
        <v>5389</v>
      </c>
      <c r="W162" s="321">
        <f>IFERROR(IF(tblPiNAnalysis[[#This Row],[CCCM]]="", "", MROUND(tblPiNAnalysis[[#This Row],[CCCM]]/tblPiNAnalysis[[#This Row],[Affected population projection 2026]], 0.05)), "")</f>
        <v>0</v>
      </c>
      <c r="X162" s="322">
        <f>IFERROR(IF(tblPiNAnalysis[[#This Row],[Education]]="", "", MROUND(tblPiNAnalysis[[#This Row],[Education]]/tblPiNAnalysis[[#This Row],[Affected population projection 2026]], 0.05)), "")</f>
        <v>0.1</v>
      </c>
      <c r="Y162" s="322">
        <f>IFERROR(IF(tblPiNAnalysis[[#This Row],[Nutrition]]="", "", MROUND(tblPiNAnalysis[[#This Row],[Nutrition]]/tblPiNAnalysis[[#This Row],[Affected population projection 2026]], 0.05)), "")</f>
        <v>0.35000000000000003</v>
      </c>
      <c r="Z162" s="322">
        <f>IFERROR(IF(tblPiNAnalysis[[#This Row],[Food Security]]="", "", MROUND(tblPiNAnalysis[[#This Row],[Food Security]]/tblPiNAnalysis[[#This Row],[Affected population projection 2026]], 0.05)), "")</f>
        <v>0.60000000000000009</v>
      </c>
      <c r="AA162" s="322">
        <f>IFERROR(IF(tblPiNAnalysis[[#This Row],[Health]]="", "", MROUND(tblPiNAnalysis[[#This Row],[Health]]/tblPiNAnalysis[[#This Row],[Affected population projection 2026]], 0.05)), "")</f>
        <v>0.70000000000000007</v>
      </c>
      <c r="AB162" s="323">
        <f>IFERROR(IF(tblPiNAnalysis[[#This Row],[Overarching Protection]]="", "", MROUND(tblPiNAnalysis[[#This Row],[Overarching Protection]]/tblPiNAnalysis[[#This Row],[Affected population projection 2026]], 0.05)), "")</f>
        <v>0.65</v>
      </c>
      <c r="AC162" s="323">
        <f>IFERROR(IF(tblPiNAnalysis[[#This Row],[Shelter]]="", "", MROUND(tblPiNAnalysis[[#This Row],[Shelter]]/tblPiNAnalysis[[#This Row],[Affected population projection 2026]], 0.05)), "")</f>
        <v>0.2</v>
      </c>
      <c r="AD162" s="324">
        <f>IFERROR(IF(tblPiNAnalysis[[#This Row],[WASH]]="", "", MROUND(tblPiNAnalysis[[#This Row],[WASH]]/tblPiNAnalysis[[#This Row],[Affected population projection 2026]], 0.05)), "")</f>
        <v>0.4</v>
      </c>
      <c r="AE162" s="322">
        <f>IFERROR(MROUND(tblPiNAnalysis[[#This Row],[CP]]/tblPiNAnalysis[[#This Row],[Affected population projection 2026]], 0.05), "")</f>
        <v>0.4</v>
      </c>
      <c r="AF162" s="322">
        <f>IFERROR(MROUND(tblPiNAnalysis[[#This Row],[GBV]]/tblPiNAnalysis[[#This Row],[Affected population projection 2026]], 0.05), "")</f>
        <v>0.4</v>
      </c>
      <c r="AG162" s="322">
        <f>IFERROR(MROUND(tblPiNAnalysis[[#This Row],[Mine Action]]/tblPiNAnalysis[[#This Row],[Affected population projection 2026]], 0.05), "")</f>
        <v>0</v>
      </c>
      <c r="AH162" s="322">
        <f>IFERROR(MROUND(tblPiNAnalysis[[#This Row],[HLP]]/tblPiNAnalysis[[#This Row],[Affected population projection 2026]], 0.05), "")</f>
        <v>0.30000000000000004</v>
      </c>
      <c r="AI162" s="325">
        <f>IFERROR(LARGE(tblPiNAnalysis[[#This Row],[CCCM]:[WASH]], 1), "")</f>
        <v>13376.411804553156</v>
      </c>
      <c r="AJ162" s="326" t="str" cm="1">
        <f t="array" ref="AJ162">IF(tblPiNAnalysis[[#This Row],[Highest PiN]]="", "", _xlfn.TEXTJOIN(CHAR(10), TRUE, IF(tblPiNAnalysis[[#This Row],[Highest PiN]]=tblPiNAnalysis[[#This Row],[CCCM]:[WASH]], tblPiNAnalysis[[#Headers],[CCCM]:[WASH]], "")))</f>
        <v>Health</v>
      </c>
      <c r="AK162" s="327">
        <f>IF(tblPiNAnalysis[[#This Row],[Highest PiN]]="", "", tblPiNAnalysis[[#This Row],[Highest PiN]]/tblPiNAnalysis[[#This Row],[Affected population projection 2026]])</f>
        <v>0.70005331514831326</v>
      </c>
      <c r="AL162" s="328" t="str">
        <f>IF(SUM(tblPiNAnalysis[[#This Row],[CCCM]:[WASH]])=0, "",IF(COUNTIF(tblPiNAnalysis[[#This Row],[CCCM]:[WASH]],"=0")+COUNTIF(tblPiNAnalysis[[#This Row],[CCCM]:[WASH]],"")&gt;=zero_pin_thresh, "Flagged", ""))</f>
        <v/>
      </c>
      <c r="AM162" s="329" t="str">
        <f>IFERROR(IF(tblPiNAnalysis[[#This Row],[Highest PiN]]="", "", IF(tblPiNAnalysis[[#This Row],[Highest sector(s'') PiN %]]&gt;=flag_pin_perc, "Flagged", "")), "")</f>
        <v/>
      </c>
      <c r="AN162" s="330" t="str" cm="1">
        <f t="array" ref="AN162">IF(tblPiNAnalysis[[#This Row],[Highest PiN]]=0, "",  IF(OR(COUNTIF(tblPiNAnalysis[[#This Row],[Highest sector(s)]],tblSubSectorPopulation[Sector])), "Flagged", ""))</f>
        <v/>
      </c>
      <c r="AO162" s="46" cm="1">
        <f t="array" ref="AO16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12835</v>
      </c>
      <c r="AP162" s="331" t="str" cm="1">
        <f t="array" ref="AP162">IF(tblPiNAnalysis[[#This Row],[2nd Highest PiN]]="", "", _xlfn.TEXTJOIN(CHAR(10), TRUE, IF(tblPiNAnalysis[[#This Row],[2nd Highest PiN]]=tblPiNAnalysis[[#This Row],[CCCM]:[WASH]], tblPiNAnalysis[[#Headers],[CCCM]:[WASH]], "")))</f>
        <v>Overarching Protection</v>
      </c>
      <c r="AQ162" s="36">
        <f>IFERROR(tblPiNAnalysis[[#This Row],[2nd Highest PiN]]/tblPiNAnalysis[[#This Row],[Affected population projection 2026]], "")</f>
        <v>0.67171857679128577</v>
      </c>
      <c r="AR162" s="46">
        <f>IFERROR(tblPiNAnalysis[[#This Row],[Highest PiN]]-tblPiNAnalysis[[#This Row],[2nd Highest PiN]], "")</f>
        <v>541.41180455315589</v>
      </c>
      <c r="AS162" s="39">
        <f>IFERROR(((tblPiNAnalysis[[#This Row],[Highest PiN]]-tblPiNAnalysis[[#This Row],[2nd Highest PiN]])/tblPiNAnalysis[[#This Row],[2nd Highest PiN]]),"")</f>
        <v>4.2182454581469096E-2</v>
      </c>
      <c r="AT162" s="39" t="str" cm="1">
        <f t="array" ref="AT16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2" s="332" cm="1">
        <f t="array" ref="AU16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11794.500496437133</v>
      </c>
      <c r="AV162" s="190" t="str" cm="1">
        <f t="array" ref="AV162">IF(tblPiNAnalysis[[#This Row],[3rd Highest PiN]]="", "", _xlfn.TEXTJOIN(CHAR(10), TRUE, IF(tblPiNAnalysis[[#This Row],[3rd Highest PiN]]=tblPiNAnalysis[[#This Row],[CCCM]:[WASH]], tblPiNAnalysis[[#Headers],[CCCM]:[WASH]], "")))</f>
        <v>Food Security</v>
      </c>
      <c r="AW162" s="190">
        <f>IFERROR(tblPiNAnalysis[[#This Row],[3rd Highest PiN]]/tblPiNAnalysis[[#This Row],[Affected population projection 2026]], "")</f>
        <v>0.61726412835456668</v>
      </c>
      <c r="AX162" s="45">
        <f>IFERROR(tblPiNAnalysis[[#This Row],[Highest PiN]]-tblPiNAnalysis[[#This Row],[3rd Highest PiN]],"")</f>
        <v>1581.9113081160231</v>
      </c>
      <c r="AY162" s="39">
        <f>IFERROR(tblPiNAnalysis[[#This Row],[Difference of PiN between Highest and 3rd Highest]]/tblPiNAnalysis[[#This Row],[3rd Highest PiN]], "")</f>
        <v>0.13412278956568655</v>
      </c>
      <c r="AZ162" s="330" t="str" cm="1">
        <f t="array" ref="AZ16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2" s="300" t="str" cm="1">
        <f t="array" ref="BA162">IFERROR(IF(tblPiNAnalysis[[#This Row],[ID]]="", "", INDEX(tblPiNHistorical[[CCCM]:[WASH]], MATCH(tblPiNAnalysis[[#This Row],[ID]],tblPiNHistorical[ID], 0),MATCH(_xlfn._xlws.FILTER(tblPiNAnalysis[[#Headers],[CCCM]:[WASH]], tblPiNAnalysis[[#This Row],[Highest PiN]]=tblPiNAnalysis[[#This Row],[CCCM]:[WASH]]), tblPiNHistorical[[#Headers],[CCCM]:[WASH]], 0))), "")</f>
        <v/>
      </c>
      <c r="BB162" s="333" t="str" cm="1">
        <f t="array" ref="BB16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2" s="276" t="str" cm="1">
        <f t="array" ref="BC16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2" s="334" t="str" cm="1">
        <f t="array" ref="BD16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2" s="276">
        <f>INDEX(tblSeverityAnalysis[Final Severity], MATCH(tblPiNAnalysis[[#This Row],[ID]],tblSeverityAnalysis[ID], 0))</f>
        <v>4</v>
      </c>
      <c r="BF162" s="61">
        <f>IF(tblPiNAnalysis[[#This Row],[Severity]]&gt;2,tblPiNAnalysis[[#This Row],[Highest PiN]],)</f>
        <v>13376.411804553156</v>
      </c>
      <c r="BG162" s="191"/>
      <c r="BH162" s="192"/>
      <c r="BI162" s="193">
        <f>COUNTIFS(tblPiNAnalysis[[#This Row],[Number of missing / zero PiNs greater than threshold - Data quality]:[Manual Flag]],"Flagged")</f>
        <v>0</v>
      </c>
      <c r="BJ162" s="96" t="str">
        <f>IF(tblPiNAnalysis[[#This Row],['# Flags]]&gt;0, "Flagged", "")</f>
        <v/>
      </c>
      <c r="BK162" s="326">
        <f>tblPiNAnalysis[[#This Row],[Preliminary PiN]]</f>
        <v>13376.411804553156</v>
      </c>
      <c r="BL162" s="331"/>
    </row>
    <row r="163" spans="1:64" ht="24.6" x14ac:dyDescent="0.55000000000000004">
      <c r="A16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SS0101</v>
      </c>
      <c r="B163" s="316" t="s">
        <v>236</v>
      </c>
      <c r="C163" s="317" t="s">
        <v>237</v>
      </c>
      <c r="D163" s="317" t="s">
        <v>238</v>
      </c>
      <c r="E163" s="105" t="s">
        <v>239</v>
      </c>
      <c r="F163" s="100"/>
      <c r="G163" s="34"/>
      <c r="H163" s="34"/>
      <c r="I163" s="97">
        <v>58949.896431430854</v>
      </c>
      <c r="J163" s="97" t="s">
        <v>414</v>
      </c>
      <c r="K163" s="318">
        <v>8842.4844647146274</v>
      </c>
      <c r="L163" s="319">
        <v>6550.2177419784402</v>
      </c>
      <c r="M163" s="319">
        <v>17674.597144544001</v>
      </c>
      <c r="N163" s="319">
        <v>41481.714534482526</v>
      </c>
      <c r="O163" s="319">
        <v>32691.349000802427</v>
      </c>
      <c r="P163" s="319">
        <v>36350</v>
      </c>
      <c r="Q163" s="320">
        <v>53054.906788287772</v>
      </c>
      <c r="R163" s="319">
        <v>23044.050423195691</v>
      </c>
      <c r="S163" s="319">
        <v>8153</v>
      </c>
      <c r="T163" s="319">
        <v>20565</v>
      </c>
      <c r="U163" s="319">
        <v>29625</v>
      </c>
      <c r="V163" s="319">
        <v>15576</v>
      </c>
      <c r="W163" s="321">
        <f>IFERROR(IF(tblPiNAnalysis[[#This Row],[CCCM]]="", "", MROUND(tblPiNAnalysis[[#This Row],[CCCM]]/tblPiNAnalysis[[#This Row],[Affected population projection 2026]], 0.05)), "")</f>
        <v>0.15000000000000002</v>
      </c>
      <c r="X163" s="322">
        <f>IFERROR(IF(tblPiNAnalysis[[#This Row],[Education]]="", "", MROUND(tblPiNAnalysis[[#This Row],[Education]]/tblPiNAnalysis[[#This Row],[Affected population projection 2026]], 0.05)), "")</f>
        <v>0.1</v>
      </c>
      <c r="Y163" s="322">
        <f>IFERROR(IF(tblPiNAnalysis[[#This Row],[Nutrition]]="", "", MROUND(tblPiNAnalysis[[#This Row],[Nutrition]]/tblPiNAnalysis[[#This Row],[Affected population projection 2026]], 0.05)), "")</f>
        <v>0.30000000000000004</v>
      </c>
      <c r="Z163" s="322">
        <f>IFERROR(IF(tblPiNAnalysis[[#This Row],[Food Security]]="", "", MROUND(tblPiNAnalysis[[#This Row],[Food Security]]/tblPiNAnalysis[[#This Row],[Affected population projection 2026]], 0.05)), "")</f>
        <v>0.70000000000000007</v>
      </c>
      <c r="AA163" s="322">
        <f>IFERROR(IF(tblPiNAnalysis[[#This Row],[Health]]="", "", MROUND(tblPiNAnalysis[[#This Row],[Health]]/tblPiNAnalysis[[#This Row],[Affected population projection 2026]], 0.05)), "")</f>
        <v>0.55000000000000004</v>
      </c>
      <c r="AB163" s="323">
        <f>IFERROR(IF(tblPiNAnalysis[[#This Row],[Overarching Protection]]="", "", MROUND(tblPiNAnalysis[[#This Row],[Overarching Protection]]/tblPiNAnalysis[[#This Row],[Affected population projection 2026]], 0.05)), "")</f>
        <v>0.60000000000000009</v>
      </c>
      <c r="AC163" s="323">
        <f>IFERROR(IF(tblPiNAnalysis[[#This Row],[Shelter]]="", "", MROUND(tblPiNAnalysis[[#This Row],[Shelter]]/tblPiNAnalysis[[#This Row],[Affected population projection 2026]], 0.05)), "")</f>
        <v>0.9</v>
      </c>
      <c r="AD163" s="324">
        <f>IFERROR(IF(tblPiNAnalysis[[#This Row],[WASH]]="", "", MROUND(tblPiNAnalysis[[#This Row],[WASH]]/tblPiNAnalysis[[#This Row],[Affected population projection 2026]], 0.05)), "")</f>
        <v>0.4</v>
      </c>
      <c r="AE163" s="322">
        <f>IFERROR(MROUND(tblPiNAnalysis[[#This Row],[CP]]/tblPiNAnalysis[[#This Row],[Affected population projection 2026]], 0.05), "")</f>
        <v>0.15000000000000002</v>
      </c>
      <c r="AF163" s="322">
        <f>IFERROR(MROUND(tblPiNAnalysis[[#This Row],[GBV]]/tblPiNAnalysis[[#This Row],[Affected population projection 2026]], 0.05), "")</f>
        <v>0.35000000000000003</v>
      </c>
      <c r="AG163" s="322">
        <f>IFERROR(MROUND(tblPiNAnalysis[[#This Row],[Mine Action]]/tblPiNAnalysis[[#This Row],[Affected population projection 2026]], 0.05), "")</f>
        <v>0.5</v>
      </c>
      <c r="AH163" s="322">
        <f>IFERROR(MROUND(tblPiNAnalysis[[#This Row],[HLP]]/tblPiNAnalysis[[#This Row],[Affected population projection 2026]], 0.05), "")</f>
        <v>0.25</v>
      </c>
      <c r="AI163" s="325">
        <f>IFERROR(LARGE(tblPiNAnalysis[[#This Row],[CCCM]:[WASH]], 1), "")</f>
        <v>53054.906788287772</v>
      </c>
      <c r="AJ163" s="326" t="str" cm="1">
        <f t="array" ref="AJ163">IF(tblPiNAnalysis[[#This Row],[Highest PiN]]="", "", _xlfn.TEXTJOIN(CHAR(10), TRUE, IF(tblPiNAnalysis[[#This Row],[Highest PiN]]=tblPiNAnalysis[[#This Row],[CCCM]:[WASH]], tblPiNAnalysis[[#Headers],[CCCM]:[WASH]], "")))</f>
        <v>Shelter</v>
      </c>
      <c r="AK163" s="327">
        <f>IF(tblPiNAnalysis[[#This Row],[Highest PiN]]="", "", tblPiNAnalysis[[#This Row],[Highest PiN]]/tblPiNAnalysis[[#This Row],[Affected population projection 2026]])</f>
        <v>0.9</v>
      </c>
      <c r="AL163" s="328" t="str">
        <f>IF(SUM(tblPiNAnalysis[[#This Row],[CCCM]:[WASH]])=0, "",IF(COUNTIF(tblPiNAnalysis[[#This Row],[CCCM]:[WASH]],"=0")+COUNTIF(tblPiNAnalysis[[#This Row],[CCCM]:[WASH]],"")&gt;=zero_pin_thresh, "Flagged", ""))</f>
        <v/>
      </c>
      <c r="AM163" s="329" t="str">
        <f>IFERROR(IF(tblPiNAnalysis[[#This Row],[Highest PiN]]="", "", IF(tblPiNAnalysis[[#This Row],[Highest sector(s'') PiN %]]&gt;=flag_pin_perc, "Flagged", "")), "")</f>
        <v>Flagged</v>
      </c>
      <c r="AN163" s="330" t="str" cm="1">
        <f t="array" ref="AN163">IF(tblPiNAnalysis[[#This Row],[Highest PiN]]=0, "",  IF(OR(COUNTIF(tblPiNAnalysis[[#This Row],[Highest sector(s)]],tblSubSectorPopulation[Sector])), "Flagged", ""))</f>
        <v/>
      </c>
      <c r="AO163" s="46" cm="1">
        <f t="array" ref="AO16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41481.714534482526</v>
      </c>
      <c r="AP163" s="331" t="str" cm="1">
        <f t="array" ref="AP163">IF(tblPiNAnalysis[[#This Row],[2nd Highest PiN]]="", "", _xlfn.TEXTJOIN(CHAR(10), TRUE, IF(tblPiNAnalysis[[#This Row],[2nd Highest PiN]]=tblPiNAnalysis[[#This Row],[CCCM]:[WASH]], tblPiNAnalysis[[#Headers],[CCCM]:[WASH]], "")))</f>
        <v>Food Security</v>
      </c>
      <c r="AQ163" s="36">
        <f>IFERROR(tblPiNAnalysis[[#This Row],[2nd Highest PiN]]/tblPiNAnalysis[[#This Row],[Affected population projection 2026]], "")</f>
        <v>0.70367747944617831</v>
      </c>
      <c r="AR163" s="46">
        <f>IFERROR(tblPiNAnalysis[[#This Row],[Highest PiN]]-tblPiNAnalysis[[#This Row],[2nd Highest PiN]], "")</f>
        <v>11573.192253805246</v>
      </c>
      <c r="AS163" s="39">
        <f>IFERROR(((tblPiNAnalysis[[#This Row],[Highest PiN]]-tblPiNAnalysis[[#This Row],[2nd Highest PiN]])/tblPiNAnalysis[[#This Row],[2nd Highest PiN]]),"")</f>
        <v>0.2789950315140613</v>
      </c>
      <c r="AT163" s="39" t="str" cm="1">
        <f t="array" ref="AT16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3" s="332" cm="1">
        <f t="array" ref="AU16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36350</v>
      </c>
      <c r="AV163" s="190" t="str" cm="1">
        <f t="array" ref="AV163">IF(tblPiNAnalysis[[#This Row],[3rd Highest PiN]]="", "", _xlfn.TEXTJOIN(CHAR(10), TRUE, IF(tblPiNAnalysis[[#This Row],[3rd Highest PiN]]=tblPiNAnalysis[[#This Row],[CCCM]:[WASH]], tblPiNAnalysis[[#Headers],[CCCM]:[WASH]], "")))</f>
        <v>Overarching Protection</v>
      </c>
      <c r="AW163" s="190">
        <f>IFERROR(tblPiNAnalysis[[#This Row],[3rd Highest PiN]]/tblPiNAnalysis[[#This Row],[Affected population projection 2026]], "")</f>
        <v>0.61662534118751966</v>
      </c>
      <c r="AX163" s="45">
        <f>IFERROR(tblPiNAnalysis[[#This Row],[Highest PiN]]-tblPiNAnalysis[[#This Row],[3rd Highest PiN]],"")</f>
        <v>16704.906788287772</v>
      </c>
      <c r="AY163" s="39">
        <f>IFERROR(tblPiNAnalysis[[#This Row],[Difference of PiN between Highest and 3rd Highest]]/tblPiNAnalysis[[#This Row],[3rd Highest PiN]], "")</f>
        <v>0.4595572706544091</v>
      </c>
      <c r="AZ163" s="330" t="str" cm="1">
        <f t="array" ref="AZ16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3" s="300" t="str" cm="1">
        <f t="array" ref="BA163">IFERROR(IF(tblPiNAnalysis[[#This Row],[ID]]="", "", INDEX(tblPiNHistorical[[CCCM]:[WASH]], MATCH(tblPiNAnalysis[[#This Row],[ID]],tblPiNHistorical[ID], 0),MATCH(_xlfn._xlws.FILTER(tblPiNAnalysis[[#Headers],[CCCM]:[WASH]], tblPiNAnalysis[[#This Row],[Highest PiN]]=tblPiNAnalysis[[#This Row],[CCCM]:[WASH]]), tblPiNHistorical[[#Headers],[CCCM]:[WASH]], 0))), "")</f>
        <v/>
      </c>
      <c r="BB163" s="333" t="str" cm="1">
        <f t="array" ref="BB16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3" s="276" t="str" cm="1">
        <f t="array" ref="BC16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3" s="334" t="str" cm="1">
        <f t="array" ref="BD16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3" s="276">
        <f>INDEX(tblSeverityAnalysis[Final Severity], MATCH(tblPiNAnalysis[[#This Row],[ID]],tblSeverityAnalysis[ID], 0))</f>
        <v>3</v>
      </c>
      <c r="BF163" s="61">
        <f>IF(tblPiNAnalysis[[#This Row],[Severity]]&gt;2,tblPiNAnalysis[[#This Row],[Highest PiN]],)</f>
        <v>53054.906788287772</v>
      </c>
      <c r="BG163" s="191"/>
      <c r="BH163" s="192"/>
      <c r="BI163" s="193">
        <f>COUNTIFS(tblPiNAnalysis[[#This Row],[Number of missing / zero PiNs greater than threshold - Data quality]:[Manual Flag]],"Flagged")</f>
        <v>1</v>
      </c>
      <c r="BJ163" s="96" t="str">
        <f>IF(tblPiNAnalysis[[#This Row],['# Flags]]&gt;0, "Flagged", "")</f>
        <v>Flagged</v>
      </c>
      <c r="BK163" s="326">
        <f>tblPiNAnalysis[[#This Row],[Preliminary PiN]]</f>
        <v>53054.906788287772</v>
      </c>
      <c r="BL163" s="331"/>
    </row>
    <row r="164" spans="1:64" ht="24.6" x14ac:dyDescent="0.55000000000000004">
      <c r="A16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SS0102</v>
      </c>
      <c r="B164" s="316" t="s">
        <v>236</v>
      </c>
      <c r="C164" s="317" t="s">
        <v>237</v>
      </c>
      <c r="D164" s="317" t="s">
        <v>240</v>
      </c>
      <c r="E164" s="105" t="s">
        <v>241</v>
      </c>
      <c r="F164" s="100"/>
      <c r="G164" s="34"/>
      <c r="H164" s="34"/>
      <c r="I164" s="97">
        <v>15480.714285714301</v>
      </c>
      <c r="J164" s="97" t="s">
        <v>414</v>
      </c>
      <c r="K164" s="318">
        <v>2322.1071428571449</v>
      </c>
      <c r="L164" s="319">
        <v>1156.0625891428585</v>
      </c>
      <c r="M164" s="319">
        <v>5203.6877773058141</v>
      </c>
      <c r="N164" s="319">
        <v>10719.781647911757</v>
      </c>
      <c r="O164" s="319">
        <v>8201.4928080468017</v>
      </c>
      <c r="P164" s="319">
        <v>11582</v>
      </c>
      <c r="Q164" s="320">
        <v>12115.341614906843</v>
      </c>
      <c r="R164" s="319">
        <v>12613.915343915358</v>
      </c>
      <c r="S164" s="319">
        <v>5694</v>
      </c>
      <c r="T164" s="319">
        <v>5574</v>
      </c>
      <c r="U164" s="319">
        <v>3003</v>
      </c>
      <c r="V164" s="319">
        <v>4142</v>
      </c>
      <c r="W164" s="321">
        <f>IFERROR(IF(tblPiNAnalysis[[#This Row],[CCCM]]="", "", MROUND(tblPiNAnalysis[[#This Row],[CCCM]]/tblPiNAnalysis[[#This Row],[Affected population projection 2026]], 0.05)), "")</f>
        <v>0.15000000000000002</v>
      </c>
      <c r="X164" s="322">
        <f>IFERROR(IF(tblPiNAnalysis[[#This Row],[Education]]="", "", MROUND(tblPiNAnalysis[[#This Row],[Education]]/tblPiNAnalysis[[#This Row],[Affected population projection 2026]], 0.05)), "")</f>
        <v>0.05</v>
      </c>
      <c r="Y164" s="322">
        <f>IFERROR(IF(tblPiNAnalysis[[#This Row],[Nutrition]]="", "", MROUND(tblPiNAnalysis[[#This Row],[Nutrition]]/tblPiNAnalysis[[#This Row],[Affected population projection 2026]], 0.05)), "")</f>
        <v>0.35000000000000003</v>
      </c>
      <c r="Z164" s="322">
        <f>IFERROR(IF(tblPiNAnalysis[[#This Row],[Food Security]]="", "", MROUND(tblPiNAnalysis[[#This Row],[Food Security]]/tblPiNAnalysis[[#This Row],[Affected population projection 2026]], 0.05)), "")</f>
        <v>0.70000000000000007</v>
      </c>
      <c r="AA164" s="322">
        <f>IFERROR(IF(tblPiNAnalysis[[#This Row],[Health]]="", "", MROUND(tblPiNAnalysis[[#This Row],[Health]]/tblPiNAnalysis[[#This Row],[Affected population projection 2026]], 0.05)), "")</f>
        <v>0.55000000000000004</v>
      </c>
      <c r="AB164" s="323">
        <f>IFERROR(IF(tblPiNAnalysis[[#This Row],[Overarching Protection]]="", "", MROUND(tblPiNAnalysis[[#This Row],[Overarching Protection]]/tblPiNAnalysis[[#This Row],[Affected population projection 2026]], 0.05)), "")</f>
        <v>0.75</v>
      </c>
      <c r="AC164" s="323">
        <f>IFERROR(IF(tblPiNAnalysis[[#This Row],[Shelter]]="", "", MROUND(tblPiNAnalysis[[#This Row],[Shelter]]/tblPiNAnalysis[[#This Row],[Affected population projection 2026]], 0.05)), "")</f>
        <v>0.8</v>
      </c>
      <c r="AD164" s="324">
        <f>IFERROR(IF(tblPiNAnalysis[[#This Row],[WASH]]="", "", MROUND(tblPiNAnalysis[[#This Row],[WASH]]/tblPiNAnalysis[[#This Row],[Affected population projection 2026]], 0.05)), "")</f>
        <v>0.8</v>
      </c>
      <c r="AE164" s="322">
        <f>IFERROR(MROUND(tblPiNAnalysis[[#This Row],[CP]]/tblPiNAnalysis[[#This Row],[Affected population projection 2026]], 0.05), "")</f>
        <v>0.35000000000000003</v>
      </c>
      <c r="AF164" s="322">
        <f>IFERROR(MROUND(tblPiNAnalysis[[#This Row],[GBV]]/tblPiNAnalysis[[#This Row],[Affected population projection 2026]], 0.05), "")</f>
        <v>0.35000000000000003</v>
      </c>
      <c r="AG164" s="322">
        <f>IFERROR(MROUND(tblPiNAnalysis[[#This Row],[Mine Action]]/tblPiNAnalysis[[#This Row],[Affected population projection 2026]], 0.05), "")</f>
        <v>0.2</v>
      </c>
      <c r="AH164" s="322">
        <f>IFERROR(MROUND(tblPiNAnalysis[[#This Row],[HLP]]/tblPiNAnalysis[[#This Row],[Affected population projection 2026]], 0.05), "")</f>
        <v>0.25</v>
      </c>
      <c r="AI164" s="325">
        <f>IFERROR(LARGE(tblPiNAnalysis[[#This Row],[CCCM]:[WASH]], 1), "")</f>
        <v>12613.915343915358</v>
      </c>
      <c r="AJ164" s="326" t="str" cm="1">
        <f t="array" ref="AJ164">IF(tblPiNAnalysis[[#This Row],[Highest PiN]]="", "", _xlfn.TEXTJOIN(CHAR(10), TRUE, IF(tblPiNAnalysis[[#This Row],[Highest PiN]]=tblPiNAnalysis[[#This Row],[CCCM]:[WASH]], tblPiNAnalysis[[#Headers],[CCCM]:[WASH]], "")))</f>
        <v>WASH</v>
      </c>
      <c r="AK164" s="327">
        <f>IF(tblPiNAnalysis[[#This Row],[Highest PiN]]="", "", tblPiNAnalysis[[#This Row],[Highest PiN]]/tblPiNAnalysis[[#This Row],[Affected population projection 2026]])</f>
        <v>0.81481481481481488</v>
      </c>
      <c r="AL164" s="328" t="str">
        <f>IF(SUM(tblPiNAnalysis[[#This Row],[CCCM]:[WASH]])=0, "",IF(COUNTIF(tblPiNAnalysis[[#This Row],[CCCM]:[WASH]],"=0")+COUNTIF(tblPiNAnalysis[[#This Row],[CCCM]:[WASH]],"")&gt;=zero_pin_thresh, "Flagged", ""))</f>
        <v/>
      </c>
      <c r="AM164" s="329" t="str">
        <f>IFERROR(IF(tblPiNAnalysis[[#This Row],[Highest PiN]]="", "", IF(tblPiNAnalysis[[#This Row],[Highest sector(s'') PiN %]]&gt;=flag_pin_perc, "Flagged", "")), "")</f>
        <v/>
      </c>
      <c r="AN164" s="330" t="str" cm="1">
        <f t="array" ref="AN164">IF(tblPiNAnalysis[[#This Row],[Highest PiN]]=0, "",  IF(OR(COUNTIF(tblPiNAnalysis[[#This Row],[Highest sector(s)]],tblSubSectorPopulation[Sector])), "Flagged", ""))</f>
        <v/>
      </c>
      <c r="AO164" s="46" cm="1">
        <f t="array" ref="AO16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12115.341614906843</v>
      </c>
      <c r="AP164" s="331" t="str" cm="1">
        <f t="array" ref="AP164">IF(tblPiNAnalysis[[#This Row],[2nd Highest PiN]]="", "", _xlfn.TEXTJOIN(CHAR(10), TRUE, IF(tblPiNAnalysis[[#This Row],[2nd Highest PiN]]=tblPiNAnalysis[[#This Row],[CCCM]:[WASH]], tblPiNAnalysis[[#Headers],[CCCM]:[WASH]], "")))</f>
        <v>Shelter</v>
      </c>
      <c r="AQ164" s="36">
        <f>IFERROR(tblPiNAnalysis[[#This Row],[2nd Highest PiN]]/tblPiNAnalysis[[#This Row],[Affected population projection 2026]], "")</f>
        <v>0.78260869565217384</v>
      </c>
      <c r="AR164" s="46">
        <f>IFERROR(tblPiNAnalysis[[#This Row],[Highest PiN]]-tblPiNAnalysis[[#This Row],[2nd Highest PiN]], "")</f>
        <v>498.57372900851442</v>
      </c>
      <c r="AS164" s="39">
        <f>IFERROR(((tblPiNAnalysis[[#This Row],[Highest PiN]]-tblPiNAnalysis[[#This Row],[2nd Highest PiN]])/tblPiNAnalysis[[#This Row],[2nd Highest PiN]]),"")</f>
        <v>4.1152263374485791E-2</v>
      </c>
      <c r="AT164" s="39" t="str" cm="1">
        <f t="array" ref="AT16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4" s="332" cm="1">
        <f t="array" ref="AU16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11582</v>
      </c>
      <c r="AV164" s="190" t="str" cm="1">
        <f t="array" ref="AV164">IF(tblPiNAnalysis[[#This Row],[3rd Highest PiN]]="", "", _xlfn.TEXTJOIN(CHAR(10), TRUE, IF(tblPiNAnalysis[[#This Row],[3rd Highest PiN]]=tblPiNAnalysis[[#This Row],[CCCM]:[WASH]], tblPiNAnalysis[[#Headers],[CCCM]:[WASH]], "")))</f>
        <v>Overarching Protection</v>
      </c>
      <c r="AW164" s="190">
        <f>IFERROR(tblPiNAnalysis[[#This Row],[3rd Highest PiN]]/tblPiNAnalysis[[#This Row],[Affected population projection 2026]], "")</f>
        <v>0.74815669265906815</v>
      </c>
      <c r="AX164" s="45">
        <f>IFERROR(tblPiNAnalysis[[#This Row],[Highest PiN]]-tblPiNAnalysis[[#This Row],[3rd Highest PiN]],"")</f>
        <v>1031.9153439153579</v>
      </c>
      <c r="AY164" s="39">
        <f>IFERROR(tblPiNAnalysis[[#This Row],[Difference of PiN between Highest and 3rd Highest]]/tblPiNAnalysis[[#This Row],[3rd Highest PiN]], "")</f>
        <v>8.9096472449953196E-2</v>
      </c>
      <c r="AZ164" s="330" t="str" cm="1">
        <f t="array" ref="AZ16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4" s="300" t="str" cm="1">
        <f t="array" ref="BA164">IFERROR(IF(tblPiNAnalysis[[#This Row],[ID]]="", "", INDEX(tblPiNHistorical[[CCCM]:[WASH]], MATCH(tblPiNAnalysis[[#This Row],[ID]],tblPiNHistorical[ID], 0),MATCH(_xlfn._xlws.FILTER(tblPiNAnalysis[[#Headers],[CCCM]:[WASH]], tblPiNAnalysis[[#This Row],[Highest PiN]]=tblPiNAnalysis[[#This Row],[CCCM]:[WASH]]), tblPiNHistorical[[#Headers],[CCCM]:[WASH]], 0))), "")</f>
        <v/>
      </c>
      <c r="BB164" s="333" t="str" cm="1">
        <f t="array" ref="BB16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4" s="276" t="str" cm="1">
        <f t="array" ref="BC16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4" s="334" t="str" cm="1">
        <f t="array" ref="BD16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4" s="276">
        <f>INDEX(tblSeverityAnalysis[Final Severity], MATCH(tblPiNAnalysis[[#This Row],[ID]],tblSeverityAnalysis[ID], 0))</f>
        <v>3</v>
      </c>
      <c r="BF164" s="61">
        <f>IF(tblPiNAnalysis[[#This Row],[Severity]]&gt;2,tblPiNAnalysis[[#This Row],[Highest PiN]],)</f>
        <v>12613.915343915358</v>
      </c>
      <c r="BG164" s="191"/>
      <c r="BH164" s="192"/>
      <c r="BI164" s="193">
        <f>COUNTIFS(tblPiNAnalysis[[#This Row],[Number of missing / zero PiNs greater than threshold - Data quality]:[Manual Flag]],"Flagged")</f>
        <v>0</v>
      </c>
      <c r="BJ164" s="96" t="str">
        <f>IF(tblPiNAnalysis[[#This Row],['# Flags]]&gt;0, "Flagged", "")</f>
        <v/>
      </c>
      <c r="BK164" s="326">
        <f>tblPiNAnalysis[[#This Row],[Preliminary PiN]]</f>
        <v>12613.915343915358</v>
      </c>
      <c r="BL164" s="331"/>
    </row>
    <row r="165" spans="1:64" ht="24.6" x14ac:dyDescent="0.55000000000000004">
      <c r="A16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SS0103</v>
      </c>
      <c r="B165" s="316" t="s">
        <v>236</v>
      </c>
      <c r="C165" s="317" t="s">
        <v>237</v>
      </c>
      <c r="D165" s="317" t="s">
        <v>242</v>
      </c>
      <c r="E165" s="105" t="s">
        <v>243</v>
      </c>
      <c r="F165" s="100"/>
      <c r="G165" s="34"/>
      <c r="H165" s="34"/>
      <c r="I165" s="97">
        <v>7168.4285714285697</v>
      </c>
      <c r="J165" s="97" t="s">
        <v>414</v>
      </c>
      <c r="K165" s="318">
        <v>1075.2642857142855</v>
      </c>
      <c r="L165" s="319">
        <v>946.50497171428538</v>
      </c>
      <c r="M165" s="319">
        <v>2908.6171556660938</v>
      </c>
      <c r="N165" s="319">
        <v>4522.8316267926803</v>
      </c>
      <c r="O165" s="319">
        <v>3264.6738077560167</v>
      </c>
      <c r="P165" s="319">
        <v>5734</v>
      </c>
      <c r="Q165" s="320">
        <v>4262.3088803088795</v>
      </c>
      <c r="R165" s="319">
        <v>4247.9576719576708</v>
      </c>
      <c r="S165" s="319">
        <v>1204</v>
      </c>
      <c r="T165" s="319">
        <v>874</v>
      </c>
      <c r="U165" s="319">
        <v>3432</v>
      </c>
      <c r="V165" s="319">
        <v>1827</v>
      </c>
      <c r="W165" s="321">
        <f>IFERROR(IF(tblPiNAnalysis[[#This Row],[CCCM]]="", "", MROUND(tblPiNAnalysis[[#This Row],[CCCM]]/tblPiNAnalysis[[#This Row],[Affected population projection 2026]], 0.05)), "")</f>
        <v>0.15000000000000002</v>
      </c>
      <c r="X165" s="322">
        <f>IFERROR(IF(tblPiNAnalysis[[#This Row],[Education]]="", "", MROUND(tblPiNAnalysis[[#This Row],[Education]]/tblPiNAnalysis[[#This Row],[Affected population projection 2026]], 0.05)), "")</f>
        <v>0.15000000000000002</v>
      </c>
      <c r="Y165" s="322">
        <f>IFERROR(IF(tblPiNAnalysis[[#This Row],[Nutrition]]="", "", MROUND(tblPiNAnalysis[[#This Row],[Nutrition]]/tblPiNAnalysis[[#This Row],[Affected population projection 2026]], 0.05)), "")</f>
        <v>0.4</v>
      </c>
      <c r="Z165" s="322">
        <f>IFERROR(IF(tblPiNAnalysis[[#This Row],[Food Security]]="", "", MROUND(tblPiNAnalysis[[#This Row],[Food Security]]/tblPiNAnalysis[[#This Row],[Affected population projection 2026]], 0.05)), "")</f>
        <v>0.65</v>
      </c>
      <c r="AA165" s="322">
        <f>IFERROR(IF(tblPiNAnalysis[[#This Row],[Health]]="", "", MROUND(tblPiNAnalysis[[#This Row],[Health]]/tblPiNAnalysis[[#This Row],[Affected population projection 2026]], 0.05)), "")</f>
        <v>0.45</v>
      </c>
      <c r="AB165" s="323">
        <f>IFERROR(IF(tblPiNAnalysis[[#This Row],[Overarching Protection]]="", "", MROUND(tblPiNAnalysis[[#This Row],[Overarching Protection]]/tblPiNAnalysis[[#This Row],[Affected population projection 2026]], 0.05)), "")</f>
        <v>0.8</v>
      </c>
      <c r="AC165" s="323">
        <f>IFERROR(IF(tblPiNAnalysis[[#This Row],[Shelter]]="", "", MROUND(tblPiNAnalysis[[#This Row],[Shelter]]/tblPiNAnalysis[[#This Row],[Affected population projection 2026]], 0.05)), "")</f>
        <v>0.60000000000000009</v>
      </c>
      <c r="AD165" s="324">
        <f>IFERROR(IF(tblPiNAnalysis[[#This Row],[WASH]]="", "", MROUND(tblPiNAnalysis[[#This Row],[WASH]]/tblPiNAnalysis[[#This Row],[Affected population projection 2026]], 0.05)), "")</f>
        <v>0.60000000000000009</v>
      </c>
      <c r="AE165" s="322">
        <f>IFERROR(MROUND(tblPiNAnalysis[[#This Row],[CP]]/tblPiNAnalysis[[#This Row],[Affected population projection 2026]], 0.05), "")</f>
        <v>0.15000000000000002</v>
      </c>
      <c r="AF165" s="322">
        <f>IFERROR(MROUND(tblPiNAnalysis[[#This Row],[GBV]]/tblPiNAnalysis[[#This Row],[Affected population projection 2026]], 0.05), "")</f>
        <v>0.1</v>
      </c>
      <c r="AG165" s="322">
        <f>IFERROR(MROUND(tblPiNAnalysis[[#This Row],[Mine Action]]/tblPiNAnalysis[[#This Row],[Affected population projection 2026]], 0.05), "")</f>
        <v>0.5</v>
      </c>
      <c r="AH165" s="322">
        <f>IFERROR(MROUND(tblPiNAnalysis[[#This Row],[HLP]]/tblPiNAnalysis[[#This Row],[Affected population projection 2026]], 0.05), "")</f>
        <v>0.25</v>
      </c>
      <c r="AI165" s="325">
        <f>IFERROR(LARGE(tblPiNAnalysis[[#This Row],[CCCM]:[WASH]], 1), "")</f>
        <v>5734</v>
      </c>
      <c r="AJ165" s="326" t="str" cm="1">
        <f t="array" ref="AJ165">IF(tblPiNAnalysis[[#This Row],[Highest PiN]]="", "", _xlfn.TEXTJOIN(CHAR(10), TRUE, IF(tblPiNAnalysis[[#This Row],[Highest PiN]]=tblPiNAnalysis[[#This Row],[CCCM]:[WASH]], tblPiNAnalysis[[#Headers],[CCCM]:[WASH]], "")))</f>
        <v>Overarching Protection</v>
      </c>
      <c r="AK165" s="327">
        <f>IF(tblPiNAnalysis[[#This Row],[Highest PiN]]="", "", tblPiNAnalysis[[#This Row],[Highest PiN]]/tblPiNAnalysis[[#This Row],[Affected population projection 2026]])</f>
        <v>0.7998963709918494</v>
      </c>
      <c r="AL165" s="328" t="str">
        <f>IF(SUM(tblPiNAnalysis[[#This Row],[CCCM]:[WASH]])=0, "",IF(COUNTIF(tblPiNAnalysis[[#This Row],[CCCM]:[WASH]],"=0")+COUNTIF(tblPiNAnalysis[[#This Row],[CCCM]:[WASH]],"")&gt;=zero_pin_thresh, "Flagged", ""))</f>
        <v/>
      </c>
      <c r="AM165" s="329" t="str">
        <f>IFERROR(IF(tblPiNAnalysis[[#This Row],[Highest PiN]]="", "", IF(tblPiNAnalysis[[#This Row],[Highest sector(s'') PiN %]]&gt;=flag_pin_perc, "Flagged", "")), "")</f>
        <v/>
      </c>
      <c r="AN165" s="330" t="str" cm="1">
        <f t="array" ref="AN165">IF(tblPiNAnalysis[[#This Row],[Highest PiN]]=0, "",  IF(OR(COUNTIF(tblPiNAnalysis[[#This Row],[Highest sector(s)]],tblSubSectorPopulation[Sector])), "Flagged", ""))</f>
        <v/>
      </c>
      <c r="AO165" s="46" cm="1">
        <f t="array" ref="AO16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4522.8316267926803</v>
      </c>
      <c r="AP165" s="331" t="str" cm="1">
        <f t="array" ref="AP165">IF(tblPiNAnalysis[[#This Row],[2nd Highest PiN]]="", "", _xlfn.TEXTJOIN(CHAR(10), TRUE, IF(tblPiNAnalysis[[#This Row],[2nd Highest PiN]]=tblPiNAnalysis[[#This Row],[CCCM]:[WASH]], tblPiNAnalysis[[#Headers],[CCCM]:[WASH]], "")))</f>
        <v>Food Security</v>
      </c>
      <c r="AQ165" s="36">
        <f>IFERROR(tblPiNAnalysis[[#This Row],[2nd Highest PiN]]/tblPiNAnalysis[[#This Row],[Affected population projection 2026]], "")</f>
        <v>0.63093767088919206</v>
      </c>
      <c r="AR165" s="46">
        <f>IFERROR(tblPiNAnalysis[[#This Row],[Highest PiN]]-tblPiNAnalysis[[#This Row],[2nd Highest PiN]], "")</f>
        <v>1211.1683732073197</v>
      </c>
      <c r="AS165" s="39">
        <f>IFERROR(((tblPiNAnalysis[[#This Row],[Highest PiN]]-tblPiNAnalysis[[#This Row],[2nd Highest PiN]])/tblPiNAnalysis[[#This Row],[2nd Highest PiN]]),"")</f>
        <v>0.26778984343182533</v>
      </c>
      <c r="AT165" s="39" t="str" cm="1">
        <f t="array" ref="AT16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5" s="332" cm="1">
        <f t="array" ref="AU16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4262.3088803088795</v>
      </c>
      <c r="AV165" s="190" t="str" cm="1">
        <f t="array" ref="AV165">IF(tblPiNAnalysis[[#This Row],[3rd Highest PiN]]="", "", _xlfn.TEXTJOIN(CHAR(10), TRUE, IF(tblPiNAnalysis[[#This Row],[3rd Highest PiN]]=tblPiNAnalysis[[#This Row],[CCCM]:[WASH]], tblPiNAnalysis[[#Headers],[CCCM]:[WASH]], "")))</f>
        <v>Shelter</v>
      </c>
      <c r="AW165" s="190">
        <f>IFERROR(tblPiNAnalysis[[#This Row],[3rd Highest PiN]]/tblPiNAnalysis[[#This Row],[Affected population projection 2026]], "")</f>
        <v>0.59459459459459463</v>
      </c>
      <c r="AX165" s="45">
        <f>IFERROR(tblPiNAnalysis[[#This Row],[Highest PiN]]-tblPiNAnalysis[[#This Row],[3rd Highest PiN]],"")</f>
        <v>1471.6911196911205</v>
      </c>
      <c r="AY165" s="39">
        <f>IFERROR(tblPiNAnalysis[[#This Row],[Difference of PiN between Highest and 3rd Highest]]/tblPiNAnalysis[[#This Row],[3rd Highest PiN]], "")</f>
        <v>0.3452802603044739</v>
      </c>
      <c r="AZ165" s="330" t="str" cm="1">
        <f t="array" ref="AZ16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5" s="300" t="str" cm="1">
        <f t="array" ref="BA165">IFERROR(IF(tblPiNAnalysis[[#This Row],[ID]]="", "", INDEX(tblPiNHistorical[[CCCM]:[WASH]], MATCH(tblPiNAnalysis[[#This Row],[ID]],tblPiNHistorical[ID], 0),MATCH(_xlfn._xlws.FILTER(tblPiNAnalysis[[#Headers],[CCCM]:[WASH]], tblPiNAnalysis[[#This Row],[Highest PiN]]=tblPiNAnalysis[[#This Row],[CCCM]:[WASH]]), tblPiNHistorical[[#Headers],[CCCM]:[WASH]], 0))), "")</f>
        <v/>
      </c>
      <c r="BB165" s="333" t="str" cm="1">
        <f t="array" ref="BB16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5" s="276" t="str" cm="1">
        <f t="array" ref="BC16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5" s="334" t="str" cm="1">
        <f t="array" ref="BD16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5" s="276">
        <f>INDEX(tblSeverityAnalysis[Final Severity], MATCH(tblPiNAnalysis[[#This Row],[ID]],tblSeverityAnalysis[ID], 0))</f>
        <v>3</v>
      </c>
      <c r="BF165" s="61">
        <f>IF(tblPiNAnalysis[[#This Row],[Severity]]&gt;2,tblPiNAnalysis[[#This Row],[Highest PiN]],)</f>
        <v>5734</v>
      </c>
      <c r="BG165" s="191"/>
      <c r="BH165" s="192"/>
      <c r="BI165" s="193">
        <f>COUNTIFS(tblPiNAnalysis[[#This Row],[Number of missing / zero PiNs greater than threshold - Data quality]:[Manual Flag]],"Flagged")</f>
        <v>0</v>
      </c>
      <c r="BJ165" s="96" t="str">
        <f>IF(tblPiNAnalysis[[#This Row],['# Flags]]&gt;0, "Flagged", "")</f>
        <v/>
      </c>
      <c r="BK165" s="326">
        <f>tblPiNAnalysis[[#This Row],[Preliminary PiN]]</f>
        <v>5734</v>
      </c>
      <c r="BL165" s="331"/>
    </row>
    <row r="166" spans="1:64" ht="24.6" x14ac:dyDescent="0.55000000000000004">
      <c r="A16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SS0104</v>
      </c>
      <c r="B166" s="316" t="s">
        <v>236</v>
      </c>
      <c r="C166" s="317" t="s">
        <v>237</v>
      </c>
      <c r="D166" s="317" t="s">
        <v>244</v>
      </c>
      <c r="E166" s="105" t="s">
        <v>245</v>
      </c>
      <c r="F166" s="100"/>
      <c r="G166" s="34"/>
      <c r="H166" s="34"/>
      <c r="I166" s="97">
        <v>12810</v>
      </c>
      <c r="J166" s="97" t="s">
        <v>414</v>
      </c>
      <c r="K166" s="318">
        <v>1921.5</v>
      </c>
      <c r="L166" s="319">
        <v>2267.1009900000008</v>
      </c>
      <c r="M166" s="319">
        <v>4254.9339178423834</v>
      </c>
      <c r="N166" s="319">
        <v>8702.9488718805223</v>
      </c>
      <c r="O166" s="319">
        <v>8317.7434594622391</v>
      </c>
      <c r="P166" s="319">
        <v>10248</v>
      </c>
      <c r="Q166" s="320">
        <v>6767.5471698113206</v>
      </c>
      <c r="R166" s="319">
        <v>7235.2777777777774</v>
      </c>
      <c r="S166" s="319">
        <v>5626</v>
      </c>
      <c r="T166" s="319">
        <v>1990</v>
      </c>
      <c r="U166" s="319">
        <v>6312</v>
      </c>
      <c r="V166" s="319">
        <v>3087</v>
      </c>
      <c r="W166" s="321">
        <f>IFERROR(IF(tblPiNAnalysis[[#This Row],[CCCM]]="", "", MROUND(tblPiNAnalysis[[#This Row],[CCCM]]/tblPiNAnalysis[[#This Row],[Affected population projection 2026]], 0.05)), "")</f>
        <v>0.15000000000000002</v>
      </c>
      <c r="X166" s="322">
        <f>IFERROR(IF(tblPiNAnalysis[[#This Row],[Education]]="", "", MROUND(tblPiNAnalysis[[#This Row],[Education]]/tblPiNAnalysis[[#This Row],[Affected population projection 2026]], 0.05)), "")</f>
        <v>0.2</v>
      </c>
      <c r="Y166" s="322">
        <f>IFERROR(IF(tblPiNAnalysis[[#This Row],[Nutrition]]="", "", MROUND(tblPiNAnalysis[[#This Row],[Nutrition]]/tblPiNAnalysis[[#This Row],[Affected population projection 2026]], 0.05)), "")</f>
        <v>0.35000000000000003</v>
      </c>
      <c r="Z166" s="322">
        <f>IFERROR(IF(tblPiNAnalysis[[#This Row],[Food Security]]="", "", MROUND(tblPiNAnalysis[[#This Row],[Food Security]]/tblPiNAnalysis[[#This Row],[Affected population projection 2026]], 0.05)), "")</f>
        <v>0.70000000000000007</v>
      </c>
      <c r="AA166" s="322">
        <f>IFERROR(IF(tblPiNAnalysis[[#This Row],[Health]]="", "", MROUND(tblPiNAnalysis[[#This Row],[Health]]/tblPiNAnalysis[[#This Row],[Affected population projection 2026]], 0.05)), "")</f>
        <v>0.65</v>
      </c>
      <c r="AB166" s="323">
        <f>IFERROR(IF(tblPiNAnalysis[[#This Row],[Overarching Protection]]="", "", MROUND(tblPiNAnalysis[[#This Row],[Overarching Protection]]/tblPiNAnalysis[[#This Row],[Affected population projection 2026]], 0.05)), "")</f>
        <v>0.8</v>
      </c>
      <c r="AC166" s="323">
        <f>IFERROR(IF(tblPiNAnalysis[[#This Row],[Shelter]]="", "", MROUND(tblPiNAnalysis[[#This Row],[Shelter]]/tblPiNAnalysis[[#This Row],[Affected population projection 2026]], 0.05)), "")</f>
        <v>0.55000000000000004</v>
      </c>
      <c r="AD166" s="324">
        <f>IFERROR(IF(tblPiNAnalysis[[#This Row],[WASH]]="", "", MROUND(tblPiNAnalysis[[#This Row],[WASH]]/tblPiNAnalysis[[#This Row],[Affected population projection 2026]], 0.05)), "")</f>
        <v>0.55000000000000004</v>
      </c>
      <c r="AE166" s="322">
        <f>IFERROR(MROUND(tblPiNAnalysis[[#This Row],[CP]]/tblPiNAnalysis[[#This Row],[Affected population projection 2026]], 0.05), "")</f>
        <v>0.45</v>
      </c>
      <c r="AF166" s="322">
        <f>IFERROR(MROUND(tblPiNAnalysis[[#This Row],[GBV]]/tblPiNAnalysis[[#This Row],[Affected population projection 2026]], 0.05), "")</f>
        <v>0.15000000000000002</v>
      </c>
      <c r="AG166" s="322">
        <f>IFERROR(MROUND(tblPiNAnalysis[[#This Row],[Mine Action]]/tblPiNAnalysis[[#This Row],[Affected population projection 2026]], 0.05), "")</f>
        <v>0.5</v>
      </c>
      <c r="AH166" s="322">
        <f>IFERROR(MROUND(tblPiNAnalysis[[#This Row],[HLP]]/tblPiNAnalysis[[#This Row],[Affected population projection 2026]], 0.05), "")</f>
        <v>0.25</v>
      </c>
      <c r="AI166" s="325">
        <f>IFERROR(LARGE(tblPiNAnalysis[[#This Row],[CCCM]:[WASH]], 1), "")</f>
        <v>10248</v>
      </c>
      <c r="AJ166" s="326" t="str" cm="1">
        <f t="array" ref="AJ166">IF(tblPiNAnalysis[[#This Row],[Highest PiN]]="", "", _xlfn.TEXTJOIN(CHAR(10), TRUE, IF(tblPiNAnalysis[[#This Row],[Highest PiN]]=tblPiNAnalysis[[#This Row],[CCCM]:[WASH]], tblPiNAnalysis[[#Headers],[CCCM]:[WASH]], "")))</f>
        <v>Overarching Protection</v>
      </c>
      <c r="AK166" s="327">
        <f>IF(tblPiNAnalysis[[#This Row],[Highest PiN]]="", "", tblPiNAnalysis[[#This Row],[Highest PiN]]/tblPiNAnalysis[[#This Row],[Affected population projection 2026]])</f>
        <v>0.8</v>
      </c>
      <c r="AL166" s="328" t="str">
        <f>IF(SUM(tblPiNAnalysis[[#This Row],[CCCM]:[WASH]])=0, "",IF(COUNTIF(tblPiNAnalysis[[#This Row],[CCCM]:[WASH]],"=0")+COUNTIF(tblPiNAnalysis[[#This Row],[CCCM]:[WASH]],"")&gt;=zero_pin_thresh, "Flagged", ""))</f>
        <v/>
      </c>
      <c r="AM166" s="329" t="str">
        <f>IFERROR(IF(tblPiNAnalysis[[#This Row],[Highest PiN]]="", "", IF(tblPiNAnalysis[[#This Row],[Highest sector(s'') PiN %]]&gt;=flag_pin_perc, "Flagged", "")), "")</f>
        <v/>
      </c>
      <c r="AN166" s="330" t="str" cm="1">
        <f t="array" ref="AN166">IF(tblPiNAnalysis[[#This Row],[Highest PiN]]=0, "",  IF(OR(COUNTIF(tblPiNAnalysis[[#This Row],[Highest sector(s)]],tblSubSectorPopulation[Sector])), "Flagged", ""))</f>
        <v/>
      </c>
      <c r="AO166" s="46" cm="1">
        <f t="array" ref="AO16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8702.9488718805223</v>
      </c>
      <c r="AP166" s="331" t="str" cm="1">
        <f t="array" ref="AP166">IF(tblPiNAnalysis[[#This Row],[2nd Highest PiN]]="", "", _xlfn.TEXTJOIN(CHAR(10), TRUE, IF(tblPiNAnalysis[[#This Row],[2nd Highest PiN]]=tblPiNAnalysis[[#This Row],[CCCM]:[WASH]], tblPiNAnalysis[[#Headers],[CCCM]:[WASH]], "")))</f>
        <v>Food Security</v>
      </c>
      <c r="AQ166" s="36">
        <f>IFERROR(tblPiNAnalysis[[#This Row],[2nd Highest PiN]]/tblPiNAnalysis[[#This Row],[Affected population projection 2026]], "")</f>
        <v>0.67938710943641856</v>
      </c>
      <c r="AR166" s="46">
        <f>IFERROR(tblPiNAnalysis[[#This Row],[Highest PiN]]-tblPiNAnalysis[[#This Row],[2nd Highest PiN]], "")</f>
        <v>1545.0511281194777</v>
      </c>
      <c r="AS166" s="39">
        <f>IFERROR(((tblPiNAnalysis[[#This Row],[Highest PiN]]-tblPiNAnalysis[[#This Row],[2nd Highest PiN]])/tblPiNAnalysis[[#This Row],[2nd Highest PiN]]),"")</f>
        <v>0.17753190911089714</v>
      </c>
      <c r="AT166" s="39" t="str" cm="1">
        <f t="array" ref="AT16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6" s="332" cm="1">
        <f t="array" ref="AU16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8317.7434594622391</v>
      </c>
      <c r="AV166" s="190" t="str" cm="1">
        <f t="array" ref="AV166">IF(tblPiNAnalysis[[#This Row],[3rd Highest PiN]]="", "", _xlfn.TEXTJOIN(CHAR(10), TRUE, IF(tblPiNAnalysis[[#This Row],[3rd Highest PiN]]=tblPiNAnalysis[[#This Row],[CCCM]:[WASH]], tblPiNAnalysis[[#Headers],[CCCM]:[WASH]], "")))</f>
        <v>Health</v>
      </c>
      <c r="AW166" s="190">
        <f>IFERROR(tblPiNAnalysis[[#This Row],[3rd Highest PiN]]/tblPiNAnalysis[[#This Row],[Affected population projection 2026]], "")</f>
        <v>0.64931642931008893</v>
      </c>
      <c r="AX166" s="45">
        <f>IFERROR(tblPiNAnalysis[[#This Row],[Highest PiN]]-tblPiNAnalysis[[#This Row],[3rd Highest PiN]],"")</f>
        <v>1930.2565405377609</v>
      </c>
      <c r="AY166" s="39">
        <f>IFERROR(tblPiNAnalysis[[#This Row],[Difference of PiN between Highest and 3rd Highest]]/tblPiNAnalysis[[#This Row],[3rd Highest PiN]], "")</f>
        <v>0.23206492842020837</v>
      </c>
      <c r="AZ166" s="330" t="str" cm="1">
        <f t="array" ref="AZ16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6" s="300" t="str" cm="1">
        <f t="array" ref="BA166">IFERROR(IF(tblPiNAnalysis[[#This Row],[ID]]="", "", INDEX(tblPiNHistorical[[CCCM]:[WASH]], MATCH(tblPiNAnalysis[[#This Row],[ID]],tblPiNHistorical[ID], 0),MATCH(_xlfn._xlws.FILTER(tblPiNAnalysis[[#Headers],[CCCM]:[WASH]], tblPiNAnalysis[[#This Row],[Highest PiN]]=tblPiNAnalysis[[#This Row],[CCCM]:[WASH]]), tblPiNHistorical[[#Headers],[CCCM]:[WASH]], 0))), "")</f>
        <v/>
      </c>
      <c r="BB166" s="333" t="str" cm="1">
        <f t="array" ref="BB16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6" s="276" t="str" cm="1">
        <f t="array" ref="BC16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6" s="334" t="str" cm="1">
        <f t="array" ref="BD16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6" s="276">
        <f>INDEX(tblSeverityAnalysis[Final Severity], MATCH(tblPiNAnalysis[[#This Row],[ID]],tblSeverityAnalysis[ID], 0))</f>
        <v>3</v>
      </c>
      <c r="BF166" s="61">
        <f>IF(tblPiNAnalysis[[#This Row],[Severity]]&gt;2,tblPiNAnalysis[[#This Row],[Highest PiN]],)</f>
        <v>10248</v>
      </c>
      <c r="BG166" s="191"/>
      <c r="BH166" s="192"/>
      <c r="BI166" s="193">
        <f>COUNTIFS(tblPiNAnalysis[[#This Row],[Number of missing / zero PiNs greater than threshold - Data quality]:[Manual Flag]],"Flagged")</f>
        <v>0</v>
      </c>
      <c r="BJ166" s="96" t="str">
        <f>IF(tblPiNAnalysis[[#This Row],['# Flags]]&gt;0, "Flagged", "")</f>
        <v/>
      </c>
      <c r="BK166" s="326">
        <f>tblPiNAnalysis[[#This Row],[Preliminary PiN]]</f>
        <v>10248</v>
      </c>
      <c r="BL166" s="331"/>
    </row>
    <row r="167" spans="1:64" ht="24.6" x14ac:dyDescent="0.55000000000000004">
      <c r="A16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SS0105</v>
      </c>
      <c r="B167" s="316" t="s">
        <v>236</v>
      </c>
      <c r="C167" s="317" t="s">
        <v>237</v>
      </c>
      <c r="D167" s="317" t="s">
        <v>246</v>
      </c>
      <c r="E167" s="105" t="s">
        <v>247</v>
      </c>
      <c r="F167" s="100"/>
      <c r="G167" s="34"/>
      <c r="H167" s="34"/>
      <c r="I167" s="97">
        <v>1080</v>
      </c>
      <c r="J167" s="97" t="s">
        <v>414</v>
      </c>
      <c r="K167" s="318">
        <v>162</v>
      </c>
      <c r="L167" s="319">
        <v>286.52939999999995</v>
      </c>
      <c r="M167" s="319">
        <v>317.59672063227879</v>
      </c>
      <c r="N167" s="319">
        <v>695.53313773454511</v>
      </c>
      <c r="O167" s="319">
        <v>552.33460061218318</v>
      </c>
      <c r="P167" s="319">
        <v>756</v>
      </c>
      <c r="Q167" s="320">
        <v>1080</v>
      </c>
      <c r="R167" s="319">
        <v>390</v>
      </c>
      <c r="S167" s="319">
        <v>181</v>
      </c>
      <c r="T167" s="319">
        <v>462</v>
      </c>
      <c r="U167" s="319">
        <v>645</v>
      </c>
      <c r="V167" s="319">
        <v>286</v>
      </c>
      <c r="W167" s="321">
        <f>IFERROR(IF(tblPiNAnalysis[[#This Row],[CCCM]]="", "", MROUND(tblPiNAnalysis[[#This Row],[CCCM]]/tblPiNAnalysis[[#This Row],[Affected population projection 2026]], 0.05)), "")</f>
        <v>0.15000000000000002</v>
      </c>
      <c r="X167" s="322">
        <f>IFERROR(IF(tblPiNAnalysis[[#This Row],[Education]]="", "", MROUND(tblPiNAnalysis[[#This Row],[Education]]/tblPiNAnalysis[[#This Row],[Affected population projection 2026]], 0.05)), "")</f>
        <v>0.25</v>
      </c>
      <c r="Y167" s="322">
        <f>IFERROR(IF(tblPiNAnalysis[[#This Row],[Nutrition]]="", "", MROUND(tblPiNAnalysis[[#This Row],[Nutrition]]/tblPiNAnalysis[[#This Row],[Affected population projection 2026]], 0.05)), "")</f>
        <v>0.30000000000000004</v>
      </c>
      <c r="Z167" s="322">
        <f>IFERROR(IF(tblPiNAnalysis[[#This Row],[Food Security]]="", "", MROUND(tblPiNAnalysis[[#This Row],[Food Security]]/tblPiNAnalysis[[#This Row],[Affected population projection 2026]], 0.05)), "")</f>
        <v>0.65</v>
      </c>
      <c r="AA167" s="322">
        <f>IFERROR(IF(tblPiNAnalysis[[#This Row],[Health]]="", "", MROUND(tblPiNAnalysis[[#This Row],[Health]]/tblPiNAnalysis[[#This Row],[Affected population projection 2026]], 0.05)), "")</f>
        <v>0.5</v>
      </c>
      <c r="AB167" s="323">
        <f>IFERROR(IF(tblPiNAnalysis[[#This Row],[Overarching Protection]]="", "", MROUND(tblPiNAnalysis[[#This Row],[Overarching Protection]]/tblPiNAnalysis[[#This Row],[Affected population projection 2026]], 0.05)), "")</f>
        <v>0.70000000000000007</v>
      </c>
      <c r="AC167" s="323">
        <f>IFERROR(IF(tblPiNAnalysis[[#This Row],[Shelter]]="", "", MROUND(tblPiNAnalysis[[#This Row],[Shelter]]/tblPiNAnalysis[[#This Row],[Affected population projection 2026]], 0.05)), "")</f>
        <v>1</v>
      </c>
      <c r="AD167" s="324">
        <f>IFERROR(IF(tblPiNAnalysis[[#This Row],[WASH]]="", "", MROUND(tblPiNAnalysis[[#This Row],[WASH]]/tblPiNAnalysis[[#This Row],[Affected population projection 2026]], 0.05)), "")</f>
        <v>0.35000000000000003</v>
      </c>
      <c r="AE167" s="322">
        <f>IFERROR(MROUND(tblPiNAnalysis[[#This Row],[CP]]/tblPiNAnalysis[[#This Row],[Affected population projection 2026]], 0.05), "")</f>
        <v>0.15000000000000002</v>
      </c>
      <c r="AF167" s="322">
        <f>IFERROR(MROUND(tblPiNAnalysis[[#This Row],[GBV]]/tblPiNAnalysis[[#This Row],[Affected population projection 2026]], 0.05), "")</f>
        <v>0.45</v>
      </c>
      <c r="AG167" s="322">
        <f>IFERROR(MROUND(tblPiNAnalysis[[#This Row],[Mine Action]]/tblPiNAnalysis[[#This Row],[Affected population projection 2026]], 0.05), "")</f>
        <v>0.60000000000000009</v>
      </c>
      <c r="AH167" s="322">
        <f>IFERROR(MROUND(tblPiNAnalysis[[#This Row],[HLP]]/tblPiNAnalysis[[#This Row],[Affected population projection 2026]], 0.05), "")</f>
        <v>0.25</v>
      </c>
      <c r="AI167" s="325">
        <f>IFERROR(LARGE(tblPiNAnalysis[[#This Row],[CCCM]:[WASH]], 1), "")</f>
        <v>1080</v>
      </c>
      <c r="AJ167" s="326" t="str" cm="1">
        <f t="array" ref="AJ167">IF(tblPiNAnalysis[[#This Row],[Highest PiN]]="", "", _xlfn.TEXTJOIN(CHAR(10), TRUE, IF(tblPiNAnalysis[[#This Row],[Highest PiN]]=tblPiNAnalysis[[#This Row],[CCCM]:[WASH]], tblPiNAnalysis[[#Headers],[CCCM]:[WASH]], "")))</f>
        <v>Shelter</v>
      </c>
      <c r="AK167" s="327">
        <f>IF(tblPiNAnalysis[[#This Row],[Highest PiN]]="", "", tblPiNAnalysis[[#This Row],[Highest PiN]]/tblPiNAnalysis[[#This Row],[Affected population projection 2026]])</f>
        <v>1</v>
      </c>
      <c r="AL167" s="328" t="str">
        <f>IF(SUM(tblPiNAnalysis[[#This Row],[CCCM]:[WASH]])=0, "",IF(COUNTIF(tblPiNAnalysis[[#This Row],[CCCM]:[WASH]],"=0")+COUNTIF(tblPiNAnalysis[[#This Row],[CCCM]:[WASH]],"")&gt;=zero_pin_thresh, "Flagged", ""))</f>
        <v/>
      </c>
      <c r="AM167" s="329" t="str">
        <f>IFERROR(IF(tblPiNAnalysis[[#This Row],[Highest PiN]]="", "", IF(tblPiNAnalysis[[#This Row],[Highest sector(s'') PiN %]]&gt;=flag_pin_perc, "Flagged", "")), "")</f>
        <v>Flagged</v>
      </c>
      <c r="AN167" s="330" t="str" cm="1">
        <f t="array" ref="AN167">IF(tblPiNAnalysis[[#This Row],[Highest PiN]]=0, "",  IF(OR(COUNTIF(tblPiNAnalysis[[#This Row],[Highest sector(s)]],tblSubSectorPopulation[Sector])), "Flagged", ""))</f>
        <v/>
      </c>
      <c r="AO167" s="46" cm="1">
        <f t="array" ref="AO16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756</v>
      </c>
      <c r="AP167" s="331" t="str" cm="1">
        <f t="array" ref="AP167">IF(tblPiNAnalysis[[#This Row],[2nd Highest PiN]]="", "", _xlfn.TEXTJOIN(CHAR(10), TRUE, IF(tblPiNAnalysis[[#This Row],[2nd Highest PiN]]=tblPiNAnalysis[[#This Row],[CCCM]:[WASH]], tblPiNAnalysis[[#Headers],[CCCM]:[WASH]], "")))</f>
        <v>Overarching Protection</v>
      </c>
      <c r="AQ167" s="36">
        <f>IFERROR(tblPiNAnalysis[[#This Row],[2nd Highest PiN]]/tblPiNAnalysis[[#This Row],[Affected population projection 2026]], "")</f>
        <v>0.7</v>
      </c>
      <c r="AR167" s="46">
        <f>IFERROR(tblPiNAnalysis[[#This Row],[Highest PiN]]-tblPiNAnalysis[[#This Row],[2nd Highest PiN]], "")</f>
        <v>324</v>
      </c>
      <c r="AS167" s="39">
        <f>IFERROR(((tblPiNAnalysis[[#This Row],[Highest PiN]]-tblPiNAnalysis[[#This Row],[2nd Highest PiN]])/tblPiNAnalysis[[#This Row],[2nd Highest PiN]]),"")</f>
        <v>0.42857142857142855</v>
      </c>
      <c r="AT167" s="39" t="str" cm="1">
        <f t="array" ref="AT16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67" s="332" cm="1">
        <f t="array" ref="AU16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695.53313773454511</v>
      </c>
      <c r="AV167" s="190" t="str" cm="1">
        <f t="array" ref="AV167">IF(tblPiNAnalysis[[#This Row],[3rd Highest PiN]]="", "", _xlfn.TEXTJOIN(CHAR(10), TRUE, IF(tblPiNAnalysis[[#This Row],[3rd Highest PiN]]=tblPiNAnalysis[[#This Row],[CCCM]:[WASH]], tblPiNAnalysis[[#Headers],[CCCM]:[WASH]], "")))</f>
        <v>Food Security</v>
      </c>
      <c r="AW167" s="190">
        <f>IFERROR(tblPiNAnalysis[[#This Row],[3rd Highest PiN]]/tblPiNAnalysis[[#This Row],[Affected population projection 2026]], "")</f>
        <v>0.64401216456902322</v>
      </c>
      <c r="AX167" s="45">
        <f>IFERROR(tblPiNAnalysis[[#This Row],[Highest PiN]]-tblPiNAnalysis[[#This Row],[3rd Highest PiN]],"")</f>
        <v>384.46686226545489</v>
      </c>
      <c r="AY167" s="39">
        <f>IFERROR(tblPiNAnalysis[[#This Row],[Difference of PiN between Highest and 3rd Highest]]/tblPiNAnalysis[[#This Row],[3rd Highest PiN]], "")</f>
        <v>0.55276570073673359</v>
      </c>
      <c r="AZ167" s="330" t="str" cm="1">
        <f t="array" ref="AZ16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67" s="300" t="str" cm="1">
        <f t="array" ref="BA167">IFERROR(IF(tblPiNAnalysis[[#This Row],[ID]]="", "", INDEX(tblPiNHistorical[[CCCM]:[WASH]], MATCH(tblPiNAnalysis[[#This Row],[ID]],tblPiNHistorical[ID], 0),MATCH(_xlfn._xlws.FILTER(tblPiNAnalysis[[#Headers],[CCCM]:[WASH]], tblPiNAnalysis[[#This Row],[Highest PiN]]=tblPiNAnalysis[[#This Row],[CCCM]:[WASH]]), tblPiNHistorical[[#Headers],[CCCM]:[WASH]], 0))), "")</f>
        <v/>
      </c>
      <c r="BB167" s="333" t="str" cm="1">
        <f t="array" ref="BB16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7" s="276" t="str" cm="1">
        <f t="array" ref="BC16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7" s="334" t="str" cm="1">
        <f t="array" ref="BD16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7" s="276">
        <f>INDEX(tblSeverityAnalysis[Final Severity], MATCH(tblPiNAnalysis[[#This Row],[ID]],tblSeverityAnalysis[ID], 0))</f>
        <v>3</v>
      </c>
      <c r="BF167" s="61">
        <f>IF(tblPiNAnalysis[[#This Row],[Severity]]&gt;2,tblPiNAnalysis[[#This Row],[Highest PiN]],)</f>
        <v>1080</v>
      </c>
      <c r="BG167" s="191"/>
      <c r="BH167" s="192"/>
      <c r="BI167" s="193">
        <f>COUNTIFS(tblPiNAnalysis[[#This Row],[Number of missing / zero PiNs greater than threshold - Data quality]:[Manual Flag]],"Flagged")</f>
        <v>3</v>
      </c>
      <c r="BJ167" s="96" t="str">
        <f>IF(tblPiNAnalysis[[#This Row],['# Flags]]&gt;0, "Flagged", "")</f>
        <v>Flagged</v>
      </c>
      <c r="BK167" s="326">
        <f>tblPiNAnalysis[[#This Row],[Preliminary PiN]]</f>
        <v>1080</v>
      </c>
      <c r="BL167" s="331"/>
    </row>
    <row r="168" spans="1:64" ht="24.6" x14ac:dyDescent="0.55000000000000004">
      <c r="A16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SS0106</v>
      </c>
      <c r="B168" s="316" t="s">
        <v>236</v>
      </c>
      <c r="C168" s="317" t="s">
        <v>237</v>
      </c>
      <c r="D168" s="317" t="s">
        <v>248</v>
      </c>
      <c r="E168" s="105" t="s">
        <v>249</v>
      </c>
      <c r="F168" s="100"/>
      <c r="G168" s="34"/>
      <c r="H168" s="34"/>
      <c r="I168" s="97">
        <v>29744.714285714301</v>
      </c>
      <c r="J168" s="97" t="s">
        <v>414</v>
      </c>
      <c r="K168" s="318">
        <v>4461.7071428571453</v>
      </c>
      <c r="L168" s="319">
        <v>5211.4226664285743</v>
      </c>
      <c r="M168" s="319">
        <v>10220.671070248991</v>
      </c>
      <c r="N168" s="319">
        <v>14617.10963694004</v>
      </c>
      <c r="O168" s="319">
        <v>13731.645271310555</v>
      </c>
      <c r="P168" s="319">
        <v>12526</v>
      </c>
      <c r="Q168" s="320">
        <v>12747.734693877555</v>
      </c>
      <c r="R168" s="319">
        <v>24236.433862433874</v>
      </c>
      <c r="S168" s="319">
        <v>2487</v>
      </c>
      <c r="T168" s="319">
        <v>6565</v>
      </c>
      <c r="U168" s="319">
        <v>8805</v>
      </c>
      <c r="V168" s="319">
        <v>4477</v>
      </c>
      <c r="W168" s="321">
        <f>IFERROR(IF(tblPiNAnalysis[[#This Row],[CCCM]]="", "", MROUND(tblPiNAnalysis[[#This Row],[CCCM]]/tblPiNAnalysis[[#This Row],[Affected population projection 2026]], 0.05)), "")</f>
        <v>0.15000000000000002</v>
      </c>
      <c r="X168" s="322">
        <f>IFERROR(IF(tblPiNAnalysis[[#This Row],[Education]]="", "", MROUND(tblPiNAnalysis[[#This Row],[Education]]/tblPiNAnalysis[[#This Row],[Affected population projection 2026]], 0.05)), "")</f>
        <v>0.2</v>
      </c>
      <c r="Y168" s="322">
        <f>IFERROR(IF(tblPiNAnalysis[[#This Row],[Nutrition]]="", "", MROUND(tblPiNAnalysis[[#This Row],[Nutrition]]/tblPiNAnalysis[[#This Row],[Affected population projection 2026]], 0.05)), "")</f>
        <v>0.35000000000000003</v>
      </c>
      <c r="Z168" s="322">
        <f>IFERROR(IF(tblPiNAnalysis[[#This Row],[Food Security]]="", "", MROUND(tblPiNAnalysis[[#This Row],[Food Security]]/tblPiNAnalysis[[#This Row],[Affected population projection 2026]], 0.05)), "")</f>
        <v>0.5</v>
      </c>
      <c r="AA168" s="322">
        <f>IFERROR(IF(tblPiNAnalysis[[#This Row],[Health]]="", "", MROUND(tblPiNAnalysis[[#This Row],[Health]]/tblPiNAnalysis[[#This Row],[Affected population projection 2026]], 0.05)), "")</f>
        <v>0.45</v>
      </c>
      <c r="AB168" s="323">
        <f>IFERROR(IF(tblPiNAnalysis[[#This Row],[Overarching Protection]]="", "", MROUND(tblPiNAnalysis[[#This Row],[Overarching Protection]]/tblPiNAnalysis[[#This Row],[Affected population projection 2026]], 0.05)), "")</f>
        <v>0.4</v>
      </c>
      <c r="AC168" s="323">
        <f>IFERROR(IF(tblPiNAnalysis[[#This Row],[Shelter]]="", "", MROUND(tblPiNAnalysis[[#This Row],[Shelter]]/tblPiNAnalysis[[#This Row],[Affected population projection 2026]], 0.05)), "")</f>
        <v>0.45</v>
      </c>
      <c r="AD168" s="324">
        <f>IFERROR(IF(tblPiNAnalysis[[#This Row],[WASH]]="", "", MROUND(tblPiNAnalysis[[#This Row],[WASH]]/tblPiNAnalysis[[#This Row],[Affected population projection 2026]], 0.05)), "")</f>
        <v>0.8</v>
      </c>
      <c r="AE168" s="322">
        <f>IFERROR(MROUND(tblPiNAnalysis[[#This Row],[CP]]/tblPiNAnalysis[[#This Row],[Affected population projection 2026]], 0.05), "")</f>
        <v>0.1</v>
      </c>
      <c r="AF168" s="322">
        <f>IFERROR(MROUND(tblPiNAnalysis[[#This Row],[GBV]]/tblPiNAnalysis[[#This Row],[Affected population projection 2026]], 0.05), "")</f>
        <v>0.2</v>
      </c>
      <c r="AG168" s="322">
        <f>IFERROR(MROUND(tblPiNAnalysis[[#This Row],[Mine Action]]/tblPiNAnalysis[[#This Row],[Affected population projection 2026]], 0.05), "")</f>
        <v>0.30000000000000004</v>
      </c>
      <c r="AH168" s="322">
        <f>IFERROR(MROUND(tblPiNAnalysis[[#This Row],[HLP]]/tblPiNAnalysis[[#This Row],[Affected population projection 2026]], 0.05), "")</f>
        <v>0.15000000000000002</v>
      </c>
      <c r="AI168" s="325">
        <f>IFERROR(LARGE(tblPiNAnalysis[[#This Row],[CCCM]:[WASH]], 1), "")</f>
        <v>24236.433862433874</v>
      </c>
      <c r="AJ168" s="326" t="str" cm="1">
        <f t="array" ref="AJ168">IF(tblPiNAnalysis[[#This Row],[Highest PiN]]="", "", _xlfn.TEXTJOIN(CHAR(10), TRUE, IF(tblPiNAnalysis[[#This Row],[Highest PiN]]=tblPiNAnalysis[[#This Row],[CCCM]:[WASH]], tblPiNAnalysis[[#Headers],[CCCM]:[WASH]], "")))</f>
        <v>WASH</v>
      </c>
      <c r="AK168" s="327">
        <f>IF(tblPiNAnalysis[[#This Row],[Highest PiN]]="", "", tblPiNAnalysis[[#This Row],[Highest PiN]]/tblPiNAnalysis[[#This Row],[Affected population projection 2026]])</f>
        <v>0.81481481481481477</v>
      </c>
      <c r="AL168" s="328" t="str">
        <f>IF(SUM(tblPiNAnalysis[[#This Row],[CCCM]:[WASH]])=0, "",IF(COUNTIF(tblPiNAnalysis[[#This Row],[CCCM]:[WASH]],"=0")+COUNTIF(tblPiNAnalysis[[#This Row],[CCCM]:[WASH]],"")&gt;=zero_pin_thresh, "Flagged", ""))</f>
        <v/>
      </c>
      <c r="AM168" s="329" t="str">
        <f>IFERROR(IF(tblPiNAnalysis[[#This Row],[Highest PiN]]="", "", IF(tblPiNAnalysis[[#This Row],[Highest sector(s'') PiN %]]&gt;=flag_pin_perc, "Flagged", "")), "")</f>
        <v/>
      </c>
      <c r="AN168" s="330" t="str" cm="1">
        <f t="array" ref="AN168">IF(tblPiNAnalysis[[#This Row],[Highest PiN]]=0, "",  IF(OR(COUNTIF(tblPiNAnalysis[[#This Row],[Highest sector(s)]],tblSubSectorPopulation[Sector])), "Flagged", ""))</f>
        <v/>
      </c>
      <c r="AO168" s="46" cm="1">
        <f t="array" ref="AO16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14617.10963694004</v>
      </c>
      <c r="AP168" s="331" t="str" cm="1">
        <f t="array" ref="AP168">IF(tblPiNAnalysis[[#This Row],[2nd Highest PiN]]="", "", _xlfn.TEXTJOIN(CHAR(10), TRUE, IF(tblPiNAnalysis[[#This Row],[2nd Highest PiN]]=tblPiNAnalysis[[#This Row],[CCCM]:[WASH]], tblPiNAnalysis[[#Headers],[CCCM]:[WASH]], "")))</f>
        <v>Food Security</v>
      </c>
      <c r="AQ168" s="36">
        <f>IFERROR(tblPiNAnalysis[[#This Row],[2nd Highest PiN]]/tblPiNAnalysis[[#This Row],[Affected population projection 2026]], "")</f>
        <v>0.49141872725804936</v>
      </c>
      <c r="AR168" s="46">
        <f>IFERROR(tblPiNAnalysis[[#This Row],[Highest PiN]]-tblPiNAnalysis[[#This Row],[2nd Highest PiN]], "")</f>
        <v>9619.3242254938341</v>
      </c>
      <c r="AS168" s="39">
        <f>IFERROR(((tblPiNAnalysis[[#This Row],[Highest PiN]]-tblPiNAnalysis[[#This Row],[2nd Highest PiN]])/tblPiNAnalysis[[#This Row],[2nd Highest PiN]]),"")</f>
        <v>0.65808661660333234</v>
      </c>
      <c r="AT168" s="39" t="str" cm="1">
        <f t="array" ref="AT16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68" s="332" cm="1">
        <f t="array" ref="AU16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13731.645271310555</v>
      </c>
      <c r="AV168" s="190" t="str" cm="1">
        <f t="array" ref="AV168">IF(tblPiNAnalysis[[#This Row],[3rd Highest PiN]]="", "", _xlfn.TEXTJOIN(CHAR(10), TRUE, IF(tblPiNAnalysis[[#This Row],[3rd Highest PiN]]=tblPiNAnalysis[[#This Row],[CCCM]:[WASH]], tblPiNAnalysis[[#Headers],[CCCM]:[WASH]], "")))</f>
        <v>Health</v>
      </c>
      <c r="AW168" s="190">
        <f>IFERROR(tblPiNAnalysis[[#This Row],[3rd Highest PiN]]/tblPiNAnalysis[[#This Row],[Affected population projection 2026]], "")</f>
        <v>0.46164993011566924</v>
      </c>
      <c r="AX168" s="45">
        <f>IFERROR(tblPiNAnalysis[[#This Row],[Highest PiN]]-tblPiNAnalysis[[#This Row],[3rd Highest PiN]],"")</f>
        <v>10504.788591123319</v>
      </c>
      <c r="AY168" s="39">
        <f>IFERROR(tblPiNAnalysis[[#This Row],[Difference of PiN between Highest and 3rd Highest]]/tblPiNAnalysis[[#This Row],[3rd Highest PiN]], "")</f>
        <v>0.76500582294176434</v>
      </c>
      <c r="AZ168" s="330" t="str" cm="1">
        <f t="array" ref="AZ16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68" s="300" t="str" cm="1">
        <f t="array" ref="BA168">IFERROR(IF(tblPiNAnalysis[[#This Row],[ID]]="", "", INDEX(tblPiNHistorical[[CCCM]:[WASH]], MATCH(tblPiNAnalysis[[#This Row],[ID]],tblPiNHistorical[ID], 0),MATCH(_xlfn._xlws.FILTER(tblPiNAnalysis[[#Headers],[CCCM]:[WASH]], tblPiNAnalysis[[#This Row],[Highest PiN]]=tblPiNAnalysis[[#This Row],[CCCM]:[WASH]]), tblPiNHistorical[[#Headers],[CCCM]:[WASH]], 0))), "")</f>
        <v/>
      </c>
      <c r="BB168" s="333" t="str" cm="1">
        <f t="array" ref="BB16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8" s="276" t="str" cm="1">
        <f t="array" ref="BC16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8" s="334" t="str" cm="1">
        <f t="array" ref="BD16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8" s="276">
        <f>INDEX(tblSeverityAnalysis[Final Severity], MATCH(tblPiNAnalysis[[#This Row],[ID]],tblSeverityAnalysis[ID], 0))</f>
        <v>3</v>
      </c>
      <c r="BF168" s="61">
        <f>IF(tblPiNAnalysis[[#This Row],[Severity]]&gt;2,tblPiNAnalysis[[#This Row],[Highest PiN]],)</f>
        <v>24236.433862433874</v>
      </c>
      <c r="BG168" s="191"/>
      <c r="BH168" s="192"/>
      <c r="BI168" s="193">
        <f>COUNTIFS(tblPiNAnalysis[[#This Row],[Number of missing / zero PiNs greater than threshold - Data quality]:[Manual Flag]],"Flagged")</f>
        <v>2</v>
      </c>
      <c r="BJ168" s="96" t="str">
        <f>IF(tblPiNAnalysis[[#This Row],['# Flags]]&gt;0, "Flagged", "")</f>
        <v>Flagged</v>
      </c>
      <c r="BK168" s="326">
        <f>tblPiNAnalysis[[#This Row],[Preliminary PiN]]</f>
        <v>24236.433862433874</v>
      </c>
      <c r="BL168" s="331"/>
    </row>
    <row r="169" spans="1:64" ht="24.6" x14ac:dyDescent="0.55000000000000004">
      <c r="A16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SS0201</v>
      </c>
      <c r="B169" s="316" t="s">
        <v>250</v>
      </c>
      <c r="C169" s="317" t="s">
        <v>251</v>
      </c>
      <c r="D169" s="317" t="s">
        <v>252</v>
      </c>
      <c r="E169" s="105" t="s">
        <v>253</v>
      </c>
      <c r="F169" s="100"/>
      <c r="G169" s="34"/>
      <c r="H169" s="34"/>
      <c r="I169" s="97">
        <v>2130</v>
      </c>
      <c r="J169" s="97" t="s">
        <v>414</v>
      </c>
      <c r="K169" s="318">
        <v>319.5</v>
      </c>
      <c r="L169" s="319">
        <v>696.26717999999994</v>
      </c>
      <c r="M169" s="319">
        <v>845.92589592819127</v>
      </c>
      <c r="N169" s="319">
        <v>1368.8514530202656</v>
      </c>
      <c r="O169" s="319">
        <v>933.32470616313424</v>
      </c>
      <c r="P169" s="319">
        <v>1491</v>
      </c>
      <c r="Q169" s="320">
        <v>0</v>
      </c>
      <c r="R169" s="319">
        <v>1597.5000000000002</v>
      </c>
      <c r="S169" s="319">
        <v>363</v>
      </c>
      <c r="T169" s="319">
        <v>323</v>
      </c>
      <c r="U169" s="319">
        <v>417</v>
      </c>
      <c r="V169" s="319">
        <v>561</v>
      </c>
      <c r="W169" s="321">
        <f>IFERROR(IF(tblPiNAnalysis[[#This Row],[CCCM]]="", "", MROUND(tblPiNAnalysis[[#This Row],[CCCM]]/tblPiNAnalysis[[#This Row],[Affected population projection 2026]], 0.05)), "")</f>
        <v>0.15000000000000002</v>
      </c>
      <c r="X169" s="322">
        <f>IFERROR(IF(tblPiNAnalysis[[#This Row],[Education]]="", "", MROUND(tblPiNAnalysis[[#This Row],[Education]]/tblPiNAnalysis[[#This Row],[Affected population projection 2026]], 0.05)), "")</f>
        <v>0.35000000000000003</v>
      </c>
      <c r="Y169" s="322">
        <f>IFERROR(IF(tblPiNAnalysis[[#This Row],[Nutrition]]="", "", MROUND(tblPiNAnalysis[[#This Row],[Nutrition]]/tblPiNAnalysis[[#This Row],[Affected population projection 2026]], 0.05)), "")</f>
        <v>0.4</v>
      </c>
      <c r="Z169" s="322">
        <f>IFERROR(IF(tblPiNAnalysis[[#This Row],[Food Security]]="", "", MROUND(tblPiNAnalysis[[#This Row],[Food Security]]/tblPiNAnalysis[[#This Row],[Affected population projection 2026]], 0.05)), "")</f>
        <v>0.65</v>
      </c>
      <c r="AA169" s="322">
        <f>IFERROR(IF(tblPiNAnalysis[[#This Row],[Health]]="", "", MROUND(tblPiNAnalysis[[#This Row],[Health]]/tblPiNAnalysis[[#This Row],[Affected population projection 2026]], 0.05)), "")</f>
        <v>0.45</v>
      </c>
      <c r="AB169" s="323">
        <f>IFERROR(IF(tblPiNAnalysis[[#This Row],[Overarching Protection]]="", "", MROUND(tblPiNAnalysis[[#This Row],[Overarching Protection]]/tblPiNAnalysis[[#This Row],[Affected population projection 2026]], 0.05)), "")</f>
        <v>0.70000000000000007</v>
      </c>
      <c r="AC169" s="323">
        <f>IFERROR(IF(tblPiNAnalysis[[#This Row],[Shelter]]="", "", MROUND(tblPiNAnalysis[[#This Row],[Shelter]]/tblPiNAnalysis[[#This Row],[Affected population projection 2026]], 0.05)), "")</f>
        <v>0</v>
      </c>
      <c r="AD169" s="324">
        <f>IFERROR(IF(tblPiNAnalysis[[#This Row],[WASH]]="", "", MROUND(tblPiNAnalysis[[#This Row],[WASH]]/tblPiNAnalysis[[#This Row],[Affected population projection 2026]], 0.05)), "")</f>
        <v>0.75</v>
      </c>
      <c r="AE169" s="322">
        <f>IFERROR(MROUND(tblPiNAnalysis[[#This Row],[CP]]/tblPiNAnalysis[[#This Row],[Affected population projection 2026]], 0.05), "")</f>
        <v>0.15000000000000002</v>
      </c>
      <c r="AF169" s="322">
        <f>IFERROR(MROUND(tblPiNAnalysis[[#This Row],[GBV]]/tblPiNAnalysis[[#This Row],[Affected population projection 2026]], 0.05), "")</f>
        <v>0.15000000000000002</v>
      </c>
      <c r="AG169" s="322">
        <f>IFERROR(MROUND(tblPiNAnalysis[[#This Row],[Mine Action]]/tblPiNAnalysis[[#This Row],[Affected population projection 2026]], 0.05), "")</f>
        <v>0.2</v>
      </c>
      <c r="AH169" s="322">
        <f>IFERROR(MROUND(tblPiNAnalysis[[#This Row],[HLP]]/tblPiNAnalysis[[#This Row],[Affected population projection 2026]], 0.05), "")</f>
        <v>0.25</v>
      </c>
      <c r="AI169" s="325">
        <f>IFERROR(LARGE(tblPiNAnalysis[[#This Row],[CCCM]:[WASH]], 1), "")</f>
        <v>1597.5000000000002</v>
      </c>
      <c r="AJ169" s="326" t="str" cm="1">
        <f t="array" ref="AJ169">IF(tblPiNAnalysis[[#This Row],[Highest PiN]]="", "", _xlfn.TEXTJOIN(CHAR(10), TRUE, IF(tblPiNAnalysis[[#This Row],[Highest PiN]]=tblPiNAnalysis[[#This Row],[CCCM]:[WASH]], tblPiNAnalysis[[#Headers],[CCCM]:[WASH]], "")))</f>
        <v>WASH</v>
      </c>
      <c r="AK169" s="327">
        <f>IF(tblPiNAnalysis[[#This Row],[Highest PiN]]="", "", tblPiNAnalysis[[#This Row],[Highest PiN]]/tblPiNAnalysis[[#This Row],[Affected population projection 2026]])</f>
        <v>0.75000000000000011</v>
      </c>
      <c r="AL169" s="328" t="str">
        <f>IF(SUM(tblPiNAnalysis[[#This Row],[CCCM]:[WASH]])=0, "",IF(COUNTIF(tblPiNAnalysis[[#This Row],[CCCM]:[WASH]],"=0")+COUNTIF(tblPiNAnalysis[[#This Row],[CCCM]:[WASH]],"")&gt;=zero_pin_thresh, "Flagged", ""))</f>
        <v/>
      </c>
      <c r="AM169" s="329" t="str">
        <f>IFERROR(IF(tblPiNAnalysis[[#This Row],[Highest PiN]]="", "", IF(tblPiNAnalysis[[#This Row],[Highest sector(s'') PiN %]]&gt;=flag_pin_perc, "Flagged", "")), "")</f>
        <v/>
      </c>
      <c r="AN169" s="330" t="str" cm="1">
        <f t="array" ref="AN169">IF(tblPiNAnalysis[[#This Row],[Highest PiN]]=0, "",  IF(OR(COUNTIF(tblPiNAnalysis[[#This Row],[Highest sector(s)]],tblSubSectorPopulation[Sector])), "Flagged", ""))</f>
        <v/>
      </c>
      <c r="AO169" s="46" cm="1">
        <f t="array" ref="AO16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1491</v>
      </c>
      <c r="AP169" s="331" t="str" cm="1">
        <f t="array" ref="AP169">IF(tblPiNAnalysis[[#This Row],[2nd Highest PiN]]="", "", _xlfn.TEXTJOIN(CHAR(10), TRUE, IF(tblPiNAnalysis[[#This Row],[2nd Highest PiN]]=tblPiNAnalysis[[#This Row],[CCCM]:[WASH]], tblPiNAnalysis[[#Headers],[CCCM]:[WASH]], "")))</f>
        <v>Overarching Protection</v>
      </c>
      <c r="AQ169" s="36">
        <f>IFERROR(tblPiNAnalysis[[#This Row],[2nd Highest PiN]]/tblPiNAnalysis[[#This Row],[Affected population projection 2026]], "")</f>
        <v>0.7</v>
      </c>
      <c r="AR169" s="46">
        <f>IFERROR(tblPiNAnalysis[[#This Row],[Highest PiN]]-tblPiNAnalysis[[#This Row],[2nd Highest PiN]], "")</f>
        <v>106.50000000000023</v>
      </c>
      <c r="AS169" s="39">
        <f>IFERROR(((tblPiNAnalysis[[#This Row],[Highest PiN]]-tblPiNAnalysis[[#This Row],[2nd Highest PiN]])/tblPiNAnalysis[[#This Row],[2nd Highest PiN]]),"")</f>
        <v>7.1428571428571577E-2</v>
      </c>
      <c r="AT169" s="39" t="str" cm="1">
        <f t="array" ref="AT16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9" s="332" cm="1">
        <f t="array" ref="AU16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1368.8514530202656</v>
      </c>
      <c r="AV169" s="190" t="str" cm="1">
        <f t="array" ref="AV169">IF(tblPiNAnalysis[[#This Row],[3rd Highest PiN]]="", "", _xlfn.TEXTJOIN(CHAR(10), TRUE, IF(tblPiNAnalysis[[#This Row],[3rd Highest PiN]]=tblPiNAnalysis[[#This Row],[CCCM]:[WASH]], tblPiNAnalysis[[#Headers],[CCCM]:[WASH]], "")))</f>
        <v>Food Security</v>
      </c>
      <c r="AW169" s="190">
        <f>IFERROR(tblPiNAnalysis[[#This Row],[3rd Highest PiN]]/tblPiNAnalysis[[#This Row],[Affected population projection 2026]], "")</f>
        <v>0.64265326432876313</v>
      </c>
      <c r="AX169" s="45">
        <f>IFERROR(tblPiNAnalysis[[#This Row],[Highest PiN]]-tblPiNAnalysis[[#This Row],[3rd Highest PiN]],"")</f>
        <v>228.64854697973465</v>
      </c>
      <c r="AY169" s="39">
        <f>IFERROR(tblPiNAnalysis[[#This Row],[Difference of PiN between Highest and 3rd Highest]]/tblPiNAnalysis[[#This Row],[3rd Highest PiN]], "")</f>
        <v>0.16703678582160189</v>
      </c>
      <c r="AZ169" s="330" t="str" cm="1">
        <f t="array" ref="AZ16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9" s="300" t="str" cm="1">
        <f t="array" ref="BA169">IFERROR(IF(tblPiNAnalysis[[#This Row],[ID]]="", "", INDEX(tblPiNHistorical[[CCCM]:[WASH]], MATCH(tblPiNAnalysis[[#This Row],[ID]],tblPiNHistorical[ID], 0),MATCH(_xlfn._xlws.FILTER(tblPiNAnalysis[[#Headers],[CCCM]:[WASH]], tblPiNAnalysis[[#This Row],[Highest PiN]]=tblPiNAnalysis[[#This Row],[CCCM]:[WASH]]), tblPiNHistorical[[#Headers],[CCCM]:[WASH]], 0))), "")</f>
        <v/>
      </c>
      <c r="BB169" s="333" t="str" cm="1">
        <f t="array" ref="BB16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69" s="276" t="str" cm="1">
        <f t="array" ref="BC16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9" s="334" t="str" cm="1">
        <f t="array" ref="BD16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9" s="276">
        <f>INDEX(tblSeverityAnalysis[Final Severity], MATCH(tblPiNAnalysis[[#This Row],[ID]],tblSeverityAnalysis[ID], 0))</f>
        <v>3</v>
      </c>
      <c r="BF169" s="61">
        <f>IF(tblPiNAnalysis[[#This Row],[Severity]]&gt;2,tblPiNAnalysis[[#This Row],[Highest PiN]],)</f>
        <v>1597.5000000000002</v>
      </c>
      <c r="BG169" s="191"/>
      <c r="BH169" s="192"/>
      <c r="BI169" s="193">
        <f>COUNTIFS(tblPiNAnalysis[[#This Row],[Number of missing / zero PiNs greater than threshold - Data quality]:[Manual Flag]],"Flagged")</f>
        <v>0</v>
      </c>
      <c r="BJ169" s="96" t="str">
        <f>IF(tblPiNAnalysis[[#This Row],['# Flags]]&gt;0, "Flagged", "")</f>
        <v/>
      </c>
      <c r="BK169" s="326">
        <f>tblPiNAnalysis[[#This Row],[Preliminary PiN]]</f>
        <v>1597.5000000000002</v>
      </c>
      <c r="BL169" s="331"/>
    </row>
    <row r="170" spans="1:64" ht="24.6" x14ac:dyDescent="0.55000000000000004">
      <c r="A17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SS0202</v>
      </c>
      <c r="B170" s="316" t="s">
        <v>250</v>
      </c>
      <c r="C170" s="317" t="s">
        <v>251</v>
      </c>
      <c r="D170" s="317" t="s">
        <v>254</v>
      </c>
      <c r="E170" s="105" t="s">
        <v>255</v>
      </c>
      <c r="F170" s="100"/>
      <c r="G170" s="34"/>
      <c r="H170" s="34"/>
      <c r="I170" s="97">
        <v>3437.4285714285702</v>
      </c>
      <c r="J170" s="97" t="s">
        <v>414</v>
      </c>
      <c r="K170" s="318">
        <v>515.61428571428553</v>
      </c>
      <c r="L170" s="319">
        <v>150.03000742857137</v>
      </c>
      <c r="M170" s="319">
        <v>1394.2955478144281</v>
      </c>
      <c r="N170" s="319">
        <v>1534.5901199845798</v>
      </c>
      <c r="O170" s="319">
        <v>1935.2460542695972</v>
      </c>
      <c r="P170" s="319">
        <v>2406</v>
      </c>
      <c r="Q170" s="320">
        <v>264.41758241758231</v>
      </c>
      <c r="R170" s="319">
        <v>1671.4102228047179</v>
      </c>
      <c r="S170" s="319">
        <v>574</v>
      </c>
      <c r="T170" s="319">
        <v>1525</v>
      </c>
      <c r="U170" s="319">
        <v>1805</v>
      </c>
      <c r="V170" s="319">
        <v>946</v>
      </c>
      <c r="W170" s="321">
        <f>IFERROR(IF(tblPiNAnalysis[[#This Row],[CCCM]]="", "", MROUND(tblPiNAnalysis[[#This Row],[CCCM]]/tblPiNAnalysis[[#This Row],[Affected population projection 2026]], 0.05)), "")</f>
        <v>0.15000000000000002</v>
      </c>
      <c r="X170" s="322">
        <f>IFERROR(IF(tblPiNAnalysis[[#This Row],[Education]]="", "", MROUND(tblPiNAnalysis[[#This Row],[Education]]/tblPiNAnalysis[[#This Row],[Affected population projection 2026]], 0.05)), "")</f>
        <v>0.05</v>
      </c>
      <c r="Y170" s="322">
        <f>IFERROR(IF(tblPiNAnalysis[[#This Row],[Nutrition]]="", "", MROUND(tblPiNAnalysis[[#This Row],[Nutrition]]/tblPiNAnalysis[[#This Row],[Affected population projection 2026]], 0.05)), "")</f>
        <v>0.4</v>
      </c>
      <c r="Z170" s="322">
        <f>IFERROR(IF(tblPiNAnalysis[[#This Row],[Food Security]]="", "", MROUND(tblPiNAnalysis[[#This Row],[Food Security]]/tblPiNAnalysis[[#This Row],[Affected population projection 2026]], 0.05)), "")</f>
        <v>0.45</v>
      </c>
      <c r="AA170" s="322">
        <f>IFERROR(IF(tblPiNAnalysis[[#This Row],[Health]]="", "", MROUND(tblPiNAnalysis[[#This Row],[Health]]/tblPiNAnalysis[[#This Row],[Affected population projection 2026]], 0.05)), "")</f>
        <v>0.55000000000000004</v>
      </c>
      <c r="AB170" s="323">
        <f>IFERROR(IF(tblPiNAnalysis[[#This Row],[Overarching Protection]]="", "", MROUND(tblPiNAnalysis[[#This Row],[Overarching Protection]]/tblPiNAnalysis[[#This Row],[Affected population projection 2026]], 0.05)), "")</f>
        <v>0.70000000000000007</v>
      </c>
      <c r="AC170" s="323">
        <f>IFERROR(IF(tblPiNAnalysis[[#This Row],[Shelter]]="", "", MROUND(tblPiNAnalysis[[#This Row],[Shelter]]/tblPiNAnalysis[[#This Row],[Affected population projection 2026]], 0.05)), "")</f>
        <v>0.1</v>
      </c>
      <c r="AD170" s="324">
        <f>IFERROR(IF(tblPiNAnalysis[[#This Row],[WASH]]="", "", MROUND(tblPiNAnalysis[[#This Row],[WASH]]/tblPiNAnalysis[[#This Row],[Affected population projection 2026]], 0.05)), "")</f>
        <v>0.5</v>
      </c>
      <c r="AE170" s="322">
        <f>IFERROR(MROUND(tblPiNAnalysis[[#This Row],[CP]]/tblPiNAnalysis[[#This Row],[Affected population projection 2026]], 0.05), "")</f>
        <v>0.15000000000000002</v>
      </c>
      <c r="AF170" s="322">
        <f>IFERROR(MROUND(tblPiNAnalysis[[#This Row],[GBV]]/tblPiNAnalysis[[#This Row],[Affected population projection 2026]], 0.05), "")</f>
        <v>0.45</v>
      </c>
      <c r="AG170" s="322">
        <f>IFERROR(MROUND(tblPiNAnalysis[[#This Row],[Mine Action]]/tblPiNAnalysis[[#This Row],[Affected population projection 2026]], 0.05), "")</f>
        <v>0.55000000000000004</v>
      </c>
      <c r="AH170" s="322">
        <f>IFERROR(MROUND(tblPiNAnalysis[[#This Row],[HLP]]/tblPiNAnalysis[[#This Row],[Affected population projection 2026]], 0.05), "")</f>
        <v>0.30000000000000004</v>
      </c>
      <c r="AI170" s="325">
        <f>IFERROR(LARGE(tblPiNAnalysis[[#This Row],[CCCM]:[WASH]], 1), "")</f>
        <v>2406</v>
      </c>
      <c r="AJ170" s="326" t="str" cm="1">
        <f t="array" ref="AJ170">IF(tblPiNAnalysis[[#This Row],[Highest PiN]]="", "", _xlfn.TEXTJOIN(CHAR(10), TRUE, IF(tblPiNAnalysis[[#This Row],[Highest PiN]]=tblPiNAnalysis[[#This Row],[CCCM]:[WASH]], tblPiNAnalysis[[#Headers],[CCCM]:[WASH]], "")))</f>
        <v>Overarching Protection</v>
      </c>
      <c r="AK170" s="327">
        <f>IF(tblPiNAnalysis[[#This Row],[Highest PiN]]="", "", tblPiNAnalysis[[#This Row],[Highest PiN]]/tblPiNAnalysis[[#This Row],[Affected population projection 2026]])</f>
        <v>0.69994181697282043</v>
      </c>
      <c r="AL170" s="328" t="str">
        <f>IF(SUM(tblPiNAnalysis[[#This Row],[CCCM]:[WASH]])=0, "",IF(COUNTIF(tblPiNAnalysis[[#This Row],[CCCM]:[WASH]],"=0")+COUNTIF(tblPiNAnalysis[[#This Row],[CCCM]:[WASH]],"")&gt;=zero_pin_thresh, "Flagged", ""))</f>
        <v/>
      </c>
      <c r="AM170" s="329" t="str">
        <f>IFERROR(IF(tblPiNAnalysis[[#This Row],[Highest PiN]]="", "", IF(tblPiNAnalysis[[#This Row],[Highest sector(s'') PiN %]]&gt;=flag_pin_perc, "Flagged", "")), "")</f>
        <v/>
      </c>
      <c r="AN170" s="330" t="str" cm="1">
        <f t="array" ref="AN170">IF(tblPiNAnalysis[[#This Row],[Highest PiN]]=0, "",  IF(OR(COUNTIF(tblPiNAnalysis[[#This Row],[Highest sector(s)]],tblSubSectorPopulation[Sector])), "Flagged", ""))</f>
        <v/>
      </c>
      <c r="AO170" s="46" cm="1">
        <f t="array" ref="AO17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1935.2460542695972</v>
      </c>
      <c r="AP170" s="331" t="str" cm="1">
        <f t="array" ref="AP170">IF(tblPiNAnalysis[[#This Row],[2nd Highest PiN]]="", "", _xlfn.TEXTJOIN(CHAR(10), TRUE, IF(tblPiNAnalysis[[#This Row],[2nd Highest PiN]]=tblPiNAnalysis[[#This Row],[CCCM]:[WASH]], tblPiNAnalysis[[#Headers],[CCCM]:[WASH]], "")))</f>
        <v>Health</v>
      </c>
      <c r="AQ170" s="36">
        <f>IFERROR(tblPiNAnalysis[[#This Row],[2nd Highest PiN]]/tblPiNAnalysis[[#This Row],[Affected population projection 2026]], "")</f>
        <v>0.56299236887570381</v>
      </c>
      <c r="AR170" s="46">
        <f>IFERROR(tblPiNAnalysis[[#This Row],[Highest PiN]]-tblPiNAnalysis[[#This Row],[2nd Highest PiN]], "")</f>
        <v>470.75394573040285</v>
      </c>
      <c r="AS170" s="39">
        <f>IFERROR(((tblPiNAnalysis[[#This Row],[Highest PiN]]-tblPiNAnalysis[[#This Row],[2nd Highest PiN]])/tblPiNAnalysis[[#This Row],[2nd Highest PiN]]),"")</f>
        <v>0.24325276090438813</v>
      </c>
      <c r="AT170" s="39" t="str" cm="1">
        <f t="array" ref="AT17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0" s="332" cm="1">
        <f t="array" ref="AU17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1671.4102228047179</v>
      </c>
      <c r="AV170" s="190" t="str" cm="1">
        <f t="array" ref="AV170">IF(tblPiNAnalysis[[#This Row],[3rd Highest PiN]]="", "", _xlfn.TEXTJOIN(CHAR(10), TRUE, IF(tblPiNAnalysis[[#This Row],[3rd Highest PiN]]=tblPiNAnalysis[[#This Row],[CCCM]:[WASH]], tblPiNAnalysis[[#Headers],[CCCM]:[WASH]], "")))</f>
        <v>WASH</v>
      </c>
      <c r="AW170" s="190">
        <f>IFERROR(tblPiNAnalysis[[#This Row],[3rd Highest PiN]]/tblPiNAnalysis[[#This Row],[Affected population projection 2026]], "")</f>
        <v>0.48623853211009183</v>
      </c>
      <c r="AX170" s="45">
        <f>IFERROR(tblPiNAnalysis[[#This Row],[Highest PiN]]-tblPiNAnalysis[[#This Row],[3rd Highest PiN]],"")</f>
        <v>734.58977719528207</v>
      </c>
      <c r="AY170" s="39">
        <f>IFERROR(tblPiNAnalysis[[#This Row],[Difference of PiN between Highest and 3rd Highest]]/tblPiNAnalysis[[#This Row],[3rd Highest PiN]], "")</f>
        <v>0.43950298207617766</v>
      </c>
      <c r="AZ170" s="330" t="str" cm="1">
        <f t="array" ref="AZ17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0" s="300" t="str" cm="1">
        <f t="array" ref="BA170">IFERROR(IF(tblPiNAnalysis[[#This Row],[ID]]="", "", INDEX(tblPiNHistorical[[CCCM]:[WASH]], MATCH(tblPiNAnalysis[[#This Row],[ID]],tblPiNHistorical[ID], 0),MATCH(_xlfn._xlws.FILTER(tblPiNAnalysis[[#Headers],[CCCM]:[WASH]], tblPiNAnalysis[[#This Row],[Highest PiN]]=tblPiNAnalysis[[#This Row],[CCCM]:[WASH]]), tblPiNHistorical[[#Headers],[CCCM]:[WASH]], 0))), "")</f>
        <v/>
      </c>
      <c r="BB170" s="333" t="str" cm="1">
        <f t="array" ref="BB17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0" s="276" t="str" cm="1">
        <f t="array" ref="BC17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0" s="334" t="str" cm="1">
        <f t="array" ref="BD17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0" s="276">
        <f>INDEX(tblSeverityAnalysis[Final Severity], MATCH(tblPiNAnalysis[[#This Row],[ID]],tblSeverityAnalysis[ID], 0))</f>
        <v>3</v>
      </c>
      <c r="BF170" s="61">
        <f>IF(tblPiNAnalysis[[#This Row],[Severity]]&gt;2,tblPiNAnalysis[[#This Row],[Highest PiN]],)</f>
        <v>2406</v>
      </c>
      <c r="BG170" s="191"/>
      <c r="BH170" s="192"/>
      <c r="BI170" s="193">
        <f>COUNTIFS(tblPiNAnalysis[[#This Row],[Number of missing / zero PiNs greater than threshold - Data quality]:[Manual Flag]],"Flagged")</f>
        <v>0</v>
      </c>
      <c r="BJ170" s="96" t="str">
        <f>IF(tblPiNAnalysis[[#This Row],['# Flags]]&gt;0, "Flagged", "")</f>
        <v/>
      </c>
      <c r="BK170" s="326">
        <f>tblPiNAnalysis[[#This Row],[Preliminary PiN]]</f>
        <v>2406</v>
      </c>
      <c r="BL170" s="331"/>
    </row>
    <row r="171" spans="1:64" ht="24.6" x14ac:dyDescent="0.55000000000000004">
      <c r="A17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SS0203</v>
      </c>
      <c r="B171" s="316" t="s">
        <v>250</v>
      </c>
      <c r="C171" s="317" t="s">
        <v>251</v>
      </c>
      <c r="D171" s="317" t="s">
        <v>256</v>
      </c>
      <c r="E171" s="105" t="s">
        <v>257</v>
      </c>
      <c r="F171" s="100"/>
      <c r="G171" s="34"/>
      <c r="H171" s="34"/>
      <c r="I171" s="97">
        <v>3548.7142857142862</v>
      </c>
      <c r="J171" s="97" t="s">
        <v>414</v>
      </c>
      <c r="K171" s="318">
        <v>532.30714285714294</v>
      </c>
      <c r="L171" s="319">
        <v>1212.2408000000003</v>
      </c>
      <c r="M171" s="319">
        <v>1379.4360186047193</v>
      </c>
      <c r="N171" s="319">
        <v>2530.4016282633802</v>
      </c>
      <c r="O171" s="319">
        <v>1376.5308603151145</v>
      </c>
      <c r="P171" s="319">
        <v>2090</v>
      </c>
      <c r="Q171" s="320">
        <v>0</v>
      </c>
      <c r="R171" s="319">
        <v>2825.828042328043</v>
      </c>
      <c r="S171" s="319">
        <v>1171</v>
      </c>
      <c r="T171" s="319">
        <v>1149</v>
      </c>
      <c r="U171" s="319">
        <v>1461</v>
      </c>
      <c r="V171" s="319">
        <v>955</v>
      </c>
      <c r="W171" s="321">
        <f>IFERROR(IF(tblPiNAnalysis[[#This Row],[CCCM]]="", "", MROUND(tblPiNAnalysis[[#This Row],[CCCM]]/tblPiNAnalysis[[#This Row],[Affected population projection 2026]], 0.05)), "")</f>
        <v>0.15000000000000002</v>
      </c>
      <c r="X171" s="322">
        <f>IFERROR(IF(tblPiNAnalysis[[#This Row],[Education]]="", "", MROUND(tblPiNAnalysis[[#This Row],[Education]]/tblPiNAnalysis[[#This Row],[Affected population projection 2026]], 0.05)), "")</f>
        <v>0.35000000000000003</v>
      </c>
      <c r="Y171" s="322">
        <f>IFERROR(IF(tblPiNAnalysis[[#This Row],[Nutrition]]="", "", MROUND(tblPiNAnalysis[[#This Row],[Nutrition]]/tblPiNAnalysis[[#This Row],[Affected population projection 2026]], 0.05)), "")</f>
        <v>0.4</v>
      </c>
      <c r="Z171" s="322">
        <f>IFERROR(IF(tblPiNAnalysis[[#This Row],[Food Security]]="", "", MROUND(tblPiNAnalysis[[#This Row],[Food Security]]/tblPiNAnalysis[[#This Row],[Affected population projection 2026]], 0.05)), "")</f>
        <v>0.70000000000000007</v>
      </c>
      <c r="AA171" s="322">
        <f>IFERROR(IF(tblPiNAnalysis[[#This Row],[Health]]="", "", MROUND(tblPiNAnalysis[[#This Row],[Health]]/tblPiNAnalysis[[#This Row],[Affected population projection 2026]], 0.05)), "")</f>
        <v>0.4</v>
      </c>
      <c r="AB171" s="323">
        <f>IFERROR(IF(tblPiNAnalysis[[#This Row],[Overarching Protection]]="", "", MROUND(tblPiNAnalysis[[#This Row],[Overarching Protection]]/tblPiNAnalysis[[#This Row],[Affected population projection 2026]], 0.05)), "")</f>
        <v>0.60000000000000009</v>
      </c>
      <c r="AC171" s="323">
        <f>IFERROR(IF(tblPiNAnalysis[[#This Row],[Shelter]]="", "", MROUND(tblPiNAnalysis[[#This Row],[Shelter]]/tblPiNAnalysis[[#This Row],[Affected population projection 2026]], 0.05)), "")</f>
        <v>0</v>
      </c>
      <c r="AD171" s="324">
        <f>IFERROR(IF(tblPiNAnalysis[[#This Row],[WASH]]="", "", MROUND(tblPiNAnalysis[[#This Row],[WASH]]/tblPiNAnalysis[[#This Row],[Affected population projection 2026]], 0.05)), "")</f>
        <v>0.8</v>
      </c>
      <c r="AE171" s="322">
        <f>IFERROR(MROUND(tblPiNAnalysis[[#This Row],[CP]]/tblPiNAnalysis[[#This Row],[Affected population projection 2026]], 0.05), "")</f>
        <v>0.35000000000000003</v>
      </c>
      <c r="AF171" s="322">
        <f>IFERROR(MROUND(tblPiNAnalysis[[#This Row],[GBV]]/tblPiNAnalysis[[#This Row],[Affected population projection 2026]], 0.05), "")</f>
        <v>0.30000000000000004</v>
      </c>
      <c r="AG171" s="322">
        <f>IFERROR(MROUND(tblPiNAnalysis[[#This Row],[Mine Action]]/tblPiNAnalysis[[#This Row],[Affected population projection 2026]], 0.05), "")</f>
        <v>0.4</v>
      </c>
      <c r="AH171" s="322">
        <f>IFERROR(MROUND(tblPiNAnalysis[[#This Row],[HLP]]/tblPiNAnalysis[[#This Row],[Affected population projection 2026]], 0.05), "")</f>
        <v>0.25</v>
      </c>
      <c r="AI171" s="325">
        <f>IFERROR(LARGE(tblPiNAnalysis[[#This Row],[CCCM]:[WASH]], 1), "")</f>
        <v>2825.828042328043</v>
      </c>
      <c r="AJ171" s="326" t="str" cm="1">
        <f t="array" ref="AJ171">IF(tblPiNAnalysis[[#This Row],[Highest PiN]]="", "", _xlfn.TEXTJOIN(CHAR(10), TRUE, IF(tblPiNAnalysis[[#This Row],[Highest PiN]]=tblPiNAnalysis[[#This Row],[CCCM]:[WASH]], tblPiNAnalysis[[#Headers],[CCCM]:[WASH]], "")))</f>
        <v>WASH</v>
      </c>
      <c r="AK171" s="327">
        <f>IF(tblPiNAnalysis[[#This Row],[Highest PiN]]="", "", tblPiNAnalysis[[#This Row],[Highest PiN]]/tblPiNAnalysis[[#This Row],[Affected population projection 2026]])</f>
        <v>0.79629629629629639</v>
      </c>
      <c r="AL171" s="328" t="str">
        <f>IF(SUM(tblPiNAnalysis[[#This Row],[CCCM]:[WASH]])=0, "",IF(COUNTIF(tblPiNAnalysis[[#This Row],[CCCM]:[WASH]],"=0")+COUNTIF(tblPiNAnalysis[[#This Row],[CCCM]:[WASH]],"")&gt;=zero_pin_thresh, "Flagged", ""))</f>
        <v/>
      </c>
      <c r="AM171" s="329" t="str">
        <f>IFERROR(IF(tblPiNAnalysis[[#This Row],[Highest PiN]]="", "", IF(tblPiNAnalysis[[#This Row],[Highest sector(s'') PiN %]]&gt;=flag_pin_perc, "Flagged", "")), "")</f>
        <v/>
      </c>
      <c r="AN171" s="330" t="str" cm="1">
        <f t="array" ref="AN171">IF(tblPiNAnalysis[[#This Row],[Highest PiN]]=0, "",  IF(OR(COUNTIF(tblPiNAnalysis[[#This Row],[Highest sector(s)]],tblSubSectorPopulation[Sector])), "Flagged", ""))</f>
        <v/>
      </c>
      <c r="AO171" s="46" cm="1">
        <f t="array" ref="AO17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2530.4016282633802</v>
      </c>
      <c r="AP171" s="331" t="str" cm="1">
        <f t="array" ref="AP171">IF(tblPiNAnalysis[[#This Row],[2nd Highest PiN]]="", "", _xlfn.TEXTJOIN(CHAR(10), TRUE, IF(tblPiNAnalysis[[#This Row],[2nd Highest PiN]]=tblPiNAnalysis[[#This Row],[CCCM]:[WASH]], tblPiNAnalysis[[#Headers],[CCCM]:[WASH]], "")))</f>
        <v>Food Security</v>
      </c>
      <c r="AQ171" s="36">
        <f>IFERROR(tblPiNAnalysis[[#This Row],[2nd Highest PiN]]/tblPiNAnalysis[[#This Row],[Affected population projection 2026]], "")</f>
        <v>0.71304743761699041</v>
      </c>
      <c r="AR171" s="46">
        <f>IFERROR(tblPiNAnalysis[[#This Row],[Highest PiN]]-tblPiNAnalysis[[#This Row],[2nd Highest PiN]], "")</f>
        <v>295.42641406466282</v>
      </c>
      <c r="AS171" s="39">
        <f>IFERROR(((tblPiNAnalysis[[#This Row],[Highest PiN]]-tblPiNAnalysis[[#This Row],[2nd Highest PiN]])/tblPiNAnalysis[[#This Row],[2nd Highest PiN]]),"")</f>
        <v>0.11675079985915697</v>
      </c>
      <c r="AT171" s="39" t="str" cm="1">
        <f t="array" ref="AT17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1" s="332" cm="1">
        <f t="array" ref="AU17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2090</v>
      </c>
      <c r="AV171" s="190" t="str" cm="1">
        <f t="array" ref="AV171">IF(tblPiNAnalysis[[#This Row],[3rd Highest PiN]]="", "", _xlfn.TEXTJOIN(CHAR(10), TRUE, IF(tblPiNAnalysis[[#This Row],[3rd Highest PiN]]=tblPiNAnalysis[[#This Row],[CCCM]:[WASH]], tblPiNAnalysis[[#Headers],[CCCM]:[WASH]], "")))</f>
        <v>Overarching Protection</v>
      </c>
      <c r="AW171" s="190">
        <f>IFERROR(tblPiNAnalysis[[#This Row],[3rd Highest PiN]]/tblPiNAnalysis[[#This Row],[Affected population projection 2026]], "")</f>
        <v>0.58894569461776891</v>
      </c>
      <c r="AX171" s="45">
        <f>IFERROR(tblPiNAnalysis[[#This Row],[Highest PiN]]-tblPiNAnalysis[[#This Row],[3rd Highest PiN]],"")</f>
        <v>735.82804232804301</v>
      </c>
      <c r="AY171" s="39">
        <f>IFERROR(tblPiNAnalysis[[#This Row],[Difference of PiN between Highest and 3rd Highest]]/tblPiNAnalysis[[#This Row],[3rd Highest PiN]], "")</f>
        <v>0.35207083364978137</v>
      </c>
      <c r="AZ171" s="330" t="str" cm="1">
        <f t="array" ref="AZ17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1" s="300" t="str" cm="1">
        <f t="array" ref="BA171">IFERROR(IF(tblPiNAnalysis[[#This Row],[ID]]="", "", INDEX(tblPiNHistorical[[CCCM]:[WASH]], MATCH(tblPiNAnalysis[[#This Row],[ID]],tblPiNHistorical[ID], 0),MATCH(_xlfn._xlws.FILTER(tblPiNAnalysis[[#Headers],[CCCM]:[WASH]], tblPiNAnalysis[[#This Row],[Highest PiN]]=tblPiNAnalysis[[#This Row],[CCCM]:[WASH]]), tblPiNHistorical[[#Headers],[CCCM]:[WASH]], 0))), "")</f>
        <v/>
      </c>
      <c r="BB171" s="333" t="str" cm="1">
        <f t="array" ref="BB17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1" s="276" t="str" cm="1">
        <f t="array" ref="BC17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1" s="334" t="str" cm="1">
        <f t="array" ref="BD17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1" s="276">
        <f>INDEX(tblSeverityAnalysis[Final Severity], MATCH(tblPiNAnalysis[[#This Row],[ID]],tblSeverityAnalysis[ID], 0))</f>
        <v>3</v>
      </c>
      <c r="BF171" s="61">
        <f>IF(tblPiNAnalysis[[#This Row],[Severity]]&gt;2,tblPiNAnalysis[[#This Row],[Highest PiN]],)</f>
        <v>2825.828042328043</v>
      </c>
      <c r="BG171" s="191"/>
      <c r="BH171" s="192"/>
      <c r="BI171" s="193">
        <f>COUNTIFS(tblPiNAnalysis[[#This Row],[Number of missing / zero PiNs greater than threshold - Data quality]:[Manual Flag]],"Flagged")</f>
        <v>0</v>
      </c>
      <c r="BJ171" s="96" t="str">
        <f>IF(tblPiNAnalysis[[#This Row],['# Flags]]&gt;0, "Flagged", "")</f>
        <v/>
      </c>
      <c r="BK171" s="326">
        <f>tblPiNAnalysis[[#This Row],[Preliminary PiN]]</f>
        <v>2825.828042328043</v>
      </c>
      <c r="BL171" s="331"/>
    </row>
    <row r="172" spans="1:64" ht="24.6" x14ac:dyDescent="0.55000000000000004">
      <c r="A17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SS0204</v>
      </c>
      <c r="B172" s="316" t="s">
        <v>250</v>
      </c>
      <c r="C172" s="317" t="s">
        <v>251</v>
      </c>
      <c r="D172" s="317" t="s">
        <v>258</v>
      </c>
      <c r="E172" s="105" t="s">
        <v>259</v>
      </c>
      <c r="F172" s="100"/>
      <c r="G172" s="34"/>
      <c r="H172" s="34"/>
      <c r="I172" s="97">
        <v>3</v>
      </c>
      <c r="J172" s="97" t="s">
        <v>414</v>
      </c>
      <c r="K172" s="318">
        <v>0.44999999999999996</v>
      </c>
      <c r="L172" s="319">
        <v>1.137</v>
      </c>
      <c r="M172" s="319">
        <v>1.129330574868685</v>
      </c>
      <c r="N172" s="319">
        <v>2.128098076136046</v>
      </c>
      <c r="O172" s="319">
        <v>1.067681687297547</v>
      </c>
      <c r="P172" s="319">
        <v>2</v>
      </c>
      <c r="Q172" s="320">
        <v>0</v>
      </c>
      <c r="R172" s="319">
        <v>1.5412844036697249</v>
      </c>
      <c r="S172" s="319">
        <v>1</v>
      </c>
      <c r="T172" s="319">
        <v>1</v>
      </c>
      <c r="U172" s="319">
        <v>1</v>
      </c>
      <c r="V172" s="319">
        <v>1</v>
      </c>
      <c r="W172" s="321">
        <f>IFERROR(IF(tblPiNAnalysis[[#This Row],[CCCM]]="", "", MROUND(tblPiNAnalysis[[#This Row],[CCCM]]/tblPiNAnalysis[[#This Row],[Affected population projection 2026]], 0.05)), "")</f>
        <v>0.15000000000000002</v>
      </c>
      <c r="X172" s="322">
        <f>IFERROR(IF(tblPiNAnalysis[[#This Row],[Education]]="", "", MROUND(tblPiNAnalysis[[#This Row],[Education]]/tblPiNAnalysis[[#This Row],[Affected population projection 2026]], 0.05)), "")</f>
        <v>0.4</v>
      </c>
      <c r="Y172" s="322">
        <f>IFERROR(IF(tblPiNAnalysis[[#This Row],[Nutrition]]="", "", MROUND(tblPiNAnalysis[[#This Row],[Nutrition]]/tblPiNAnalysis[[#This Row],[Affected population projection 2026]], 0.05)), "")</f>
        <v>0.4</v>
      </c>
      <c r="Z172" s="322">
        <f>IFERROR(IF(tblPiNAnalysis[[#This Row],[Food Security]]="", "", MROUND(tblPiNAnalysis[[#This Row],[Food Security]]/tblPiNAnalysis[[#This Row],[Affected population projection 2026]], 0.05)), "")</f>
        <v>0.70000000000000007</v>
      </c>
      <c r="AA172" s="322">
        <f>IFERROR(IF(tblPiNAnalysis[[#This Row],[Health]]="", "", MROUND(tblPiNAnalysis[[#This Row],[Health]]/tblPiNAnalysis[[#This Row],[Affected population projection 2026]], 0.05)), "")</f>
        <v>0.35000000000000003</v>
      </c>
      <c r="AB172" s="323">
        <f>IFERROR(IF(tblPiNAnalysis[[#This Row],[Overarching Protection]]="", "", MROUND(tblPiNAnalysis[[#This Row],[Overarching Protection]]/tblPiNAnalysis[[#This Row],[Affected population projection 2026]], 0.05)), "")</f>
        <v>0.65</v>
      </c>
      <c r="AC172" s="323">
        <f>IFERROR(IF(tblPiNAnalysis[[#This Row],[Shelter]]="", "", MROUND(tblPiNAnalysis[[#This Row],[Shelter]]/tblPiNAnalysis[[#This Row],[Affected population projection 2026]], 0.05)), "")</f>
        <v>0</v>
      </c>
      <c r="AD172" s="324">
        <f>IFERROR(IF(tblPiNAnalysis[[#This Row],[WASH]]="", "", MROUND(tblPiNAnalysis[[#This Row],[WASH]]/tblPiNAnalysis[[#This Row],[Affected population projection 2026]], 0.05)), "")</f>
        <v>0.5</v>
      </c>
      <c r="AE172" s="322">
        <f>IFERROR(MROUND(tblPiNAnalysis[[#This Row],[CP]]/tblPiNAnalysis[[#This Row],[Affected population projection 2026]], 0.05), "")</f>
        <v>0.35000000000000003</v>
      </c>
      <c r="AF172" s="322">
        <f>IFERROR(MROUND(tblPiNAnalysis[[#This Row],[GBV]]/tblPiNAnalysis[[#This Row],[Affected population projection 2026]], 0.05), "")</f>
        <v>0.35000000000000003</v>
      </c>
      <c r="AG172" s="322">
        <f>IFERROR(MROUND(tblPiNAnalysis[[#This Row],[Mine Action]]/tblPiNAnalysis[[#This Row],[Affected population projection 2026]], 0.05), "")</f>
        <v>0.35000000000000003</v>
      </c>
      <c r="AH172" s="322">
        <f>IFERROR(MROUND(tblPiNAnalysis[[#This Row],[HLP]]/tblPiNAnalysis[[#This Row],[Affected population projection 2026]], 0.05), "")</f>
        <v>0.35000000000000003</v>
      </c>
      <c r="AI172" s="325">
        <f>IFERROR(LARGE(tblPiNAnalysis[[#This Row],[CCCM]:[WASH]], 1), "")</f>
        <v>2.128098076136046</v>
      </c>
      <c r="AJ172" s="326" t="str" cm="1">
        <f t="array" ref="AJ172">IF(tblPiNAnalysis[[#This Row],[Highest PiN]]="", "", _xlfn.TEXTJOIN(CHAR(10), TRUE, IF(tblPiNAnalysis[[#This Row],[Highest PiN]]=tblPiNAnalysis[[#This Row],[CCCM]:[WASH]], tblPiNAnalysis[[#Headers],[CCCM]:[WASH]], "")))</f>
        <v>Food Security</v>
      </c>
      <c r="AK172" s="327">
        <f>IF(tblPiNAnalysis[[#This Row],[Highest PiN]]="", "", tblPiNAnalysis[[#This Row],[Highest PiN]]/tblPiNAnalysis[[#This Row],[Affected population projection 2026]])</f>
        <v>0.70936602537868199</v>
      </c>
      <c r="AL172" s="328" t="str">
        <f>IF(SUM(tblPiNAnalysis[[#This Row],[CCCM]:[WASH]])=0, "",IF(COUNTIF(tblPiNAnalysis[[#This Row],[CCCM]:[WASH]],"=0")+COUNTIF(tblPiNAnalysis[[#This Row],[CCCM]:[WASH]],"")&gt;=zero_pin_thresh, "Flagged", ""))</f>
        <v/>
      </c>
      <c r="AM172" s="329" t="str">
        <f>IFERROR(IF(tblPiNAnalysis[[#This Row],[Highest PiN]]="", "", IF(tblPiNAnalysis[[#This Row],[Highest sector(s'') PiN %]]&gt;=flag_pin_perc, "Flagged", "")), "")</f>
        <v/>
      </c>
      <c r="AN172" s="330" t="str" cm="1">
        <f t="array" ref="AN172">IF(tblPiNAnalysis[[#This Row],[Highest PiN]]=0, "",  IF(OR(COUNTIF(tblPiNAnalysis[[#This Row],[Highest sector(s)]],tblSubSectorPopulation[Sector])), "Flagged", ""))</f>
        <v/>
      </c>
      <c r="AO172" s="46" cm="1">
        <f t="array" ref="AO17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v>
      </c>
      <c r="AP172" s="331" t="str" cm="1">
        <f t="array" ref="AP172">IF(tblPiNAnalysis[[#This Row],[2nd Highest PiN]]="", "", _xlfn.TEXTJOIN(CHAR(10), TRUE, IF(tblPiNAnalysis[[#This Row],[2nd Highest PiN]]=tblPiNAnalysis[[#This Row],[CCCM]:[WASH]], tblPiNAnalysis[[#Headers],[CCCM]:[WASH]], "")))</f>
        <v>Overarching Protection</v>
      </c>
      <c r="AQ172" s="36">
        <f>IFERROR(tblPiNAnalysis[[#This Row],[2nd Highest PiN]]/tblPiNAnalysis[[#This Row],[Affected population projection 2026]], "")</f>
        <v>0.66666666666666663</v>
      </c>
      <c r="AR172" s="46">
        <f>IFERROR(tblPiNAnalysis[[#This Row],[Highest PiN]]-tblPiNAnalysis[[#This Row],[2nd Highest PiN]], "")</f>
        <v>0.12809807613604596</v>
      </c>
      <c r="AS172" s="39">
        <f>IFERROR(((tblPiNAnalysis[[#This Row],[Highest PiN]]-tblPiNAnalysis[[#This Row],[2nd Highest PiN]])/tblPiNAnalysis[[#This Row],[2nd Highest PiN]]),"")</f>
        <v>6.4049038068022979E-2</v>
      </c>
      <c r="AT172" s="39" t="str" cm="1">
        <f t="array" ref="AT17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2" s="332" cm="1">
        <f t="array" ref="AU17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1.5412844036697249</v>
      </c>
      <c r="AV172" s="190" t="str" cm="1">
        <f t="array" ref="AV172">IF(tblPiNAnalysis[[#This Row],[3rd Highest PiN]]="", "", _xlfn.TEXTJOIN(CHAR(10), TRUE, IF(tblPiNAnalysis[[#This Row],[3rd Highest PiN]]=tblPiNAnalysis[[#This Row],[CCCM]:[WASH]], tblPiNAnalysis[[#Headers],[CCCM]:[WASH]], "")))</f>
        <v>WASH</v>
      </c>
      <c r="AW172" s="190">
        <f>IFERROR(tblPiNAnalysis[[#This Row],[3rd Highest PiN]]/tblPiNAnalysis[[#This Row],[Affected population projection 2026]], "")</f>
        <v>0.51376146788990829</v>
      </c>
      <c r="AX172" s="45">
        <f>IFERROR(tblPiNAnalysis[[#This Row],[Highest PiN]]-tblPiNAnalysis[[#This Row],[3rd Highest PiN]],"")</f>
        <v>0.5868136724663211</v>
      </c>
      <c r="AY172" s="39">
        <f>IFERROR(tblPiNAnalysis[[#This Row],[Difference of PiN between Highest and 3rd Highest]]/tblPiNAnalysis[[#This Row],[3rd Highest PiN]], "")</f>
        <v>0.38073029939779163</v>
      </c>
      <c r="AZ172" s="330" t="str" cm="1">
        <f t="array" ref="AZ17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2" s="300" t="str" cm="1">
        <f t="array" ref="BA172">IFERROR(IF(tblPiNAnalysis[[#This Row],[ID]]="", "", INDEX(tblPiNHistorical[[CCCM]:[WASH]], MATCH(tblPiNAnalysis[[#This Row],[ID]],tblPiNHistorical[ID], 0),MATCH(_xlfn._xlws.FILTER(tblPiNAnalysis[[#Headers],[CCCM]:[WASH]], tblPiNAnalysis[[#This Row],[Highest PiN]]=tblPiNAnalysis[[#This Row],[CCCM]:[WASH]]), tblPiNHistorical[[#Headers],[CCCM]:[WASH]], 0))), "")</f>
        <v/>
      </c>
      <c r="BB172" s="333" t="str" cm="1">
        <f t="array" ref="BB17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2" s="276" t="str" cm="1">
        <f t="array" ref="BC17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2" s="334" t="str" cm="1">
        <f t="array" ref="BD17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2" s="276">
        <f>INDEX(tblSeverityAnalysis[Final Severity], MATCH(tblPiNAnalysis[[#This Row],[ID]],tblSeverityAnalysis[ID], 0))</f>
        <v>3</v>
      </c>
      <c r="BF172" s="61">
        <f>IF(tblPiNAnalysis[[#This Row],[Severity]]&gt;2,tblPiNAnalysis[[#This Row],[Highest PiN]],)</f>
        <v>2.128098076136046</v>
      </c>
      <c r="BG172" s="191"/>
      <c r="BH172" s="192"/>
      <c r="BI172" s="193">
        <f>COUNTIFS(tblPiNAnalysis[[#This Row],[Number of missing / zero PiNs greater than threshold - Data quality]:[Manual Flag]],"Flagged")</f>
        <v>0</v>
      </c>
      <c r="BJ172" s="96" t="str">
        <f>IF(tblPiNAnalysis[[#This Row],['# Flags]]&gt;0, "Flagged", "")</f>
        <v/>
      </c>
      <c r="BK172" s="326">
        <f>tblPiNAnalysis[[#This Row],[Preliminary PiN]]</f>
        <v>2.128098076136046</v>
      </c>
      <c r="BL172" s="331"/>
    </row>
    <row r="173" spans="1:64" ht="24.6" x14ac:dyDescent="0.55000000000000004">
      <c r="A17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SS0205</v>
      </c>
      <c r="B173" s="316" t="s">
        <v>250</v>
      </c>
      <c r="C173" s="317" t="s">
        <v>251</v>
      </c>
      <c r="D173" s="317" t="s">
        <v>260</v>
      </c>
      <c r="E173" s="105" t="s">
        <v>261</v>
      </c>
      <c r="F173" s="100"/>
      <c r="G173" s="34"/>
      <c r="H173" s="34"/>
      <c r="I173" s="97">
        <v>9189.5714285714294</v>
      </c>
      <c r="J173" s="97" t="s">
        <v>414</v>
      </c>
      <c r="K173" s="318">
        <v>1378.4357142857143</v>
      </c>
      <c r="L173" s="319">
        <v>2282.200657657143</v>
      </c>
      <c r="M173" s="319">
        <v>3303.0990262308942</v>
      </c>
      <c r="N173" s="319">
        <v>4060.5776790519863</v>
      </c>
      <c r="O173" s="319">
        <v>4484.9662664830139</v>
      </c>
      <c r="P173" s="319">
        <v>5391</v>
      </c>
      <c r="Q173" s="320">
        <v>0</v>
      </c>
      <c r="R173" s="319">
        <v>9104.4828042328045</v>
      </c>
      <c r="S173" s="319">
        <v>3183</v>
      </c>
      <c r="T173" s="319">
        <v>1165</v>
      </c>
      <c r="U173" s="319">
        <v>3587</v>
      </c>
      <c r="V173" s="319">
        <v>2292</v>
      </c>
      <c r="W173" s="321">
        <f>IFERROR(IF(tblPiNAnalysis[[#This Row],[CCCM]]="", "", MROUND(tblPiNAnalysis[[#This Row],[CCCM]]/tblPiNAnalysis[[#This Row],[Affected population projection 2026]], 0.05)), "")</f>
        <v>0.15000000000000002</v>
      </c>
      <c r="X173" s="322">
        <f>IFERROR(IF(tblPiNAnalysis[[#This Row],[Education]]="", "", MROUND(tblPiNAnalysis[[#This Row],[Education]]/tblPiNAnalysis[[#This Row],[Affected population projection 2026]], 0.05)), "")</f>
        <v>0.25</v>
      </c>
      <c r="Y173" s="322">
        <f>IFERROR(IF(tblPiNAnalysis[[#This Row],[Nutrition]]="", "", MROUND(tblPiNAnalysis[[#This Row],[Nutrition]]/tblPiNAnalysis[[#This Row],[Affected population projection 2026]], 0.05)), "")</f>
        <v>0.35000000000000003</v>
      </c>
      <c r="Z173" s="322">
        <f>IFERROR(IF(tblPiNAnalysis[[#This Row],[Food Security]]="", "", MROUND(tblPiNAnalysis[[#This Row],[Food Security]]/tblPiNAnalysis[[#This Row],[Affected population projection 2026]], 0.05)), "")</f>
        <v>0.45</v>
      </c>
      <c r="AA173" s="322">
        <f>IFERROR(IF(tblPiNAnalysis[[#This Row],[Health]]="", "", MROUND(tblPiNAnalysis[[#This Row],[Health]]/tblPiNAnalysis[[#This Row],[Affected population projection 2026]], 0.05)), "")</f>
        <v>0.5</v>
      </c>
      <c r="AB173" s="323">
        <f>IFERROR(IF(tblPiNAnalysis[[#This Row],[Overarching Protection]]="", "", MROUND(tblPiNAnalysis[[#This Row],[Overarching Protection]]/tblPiNAnalysis[[#This Row],[Affected population projection 2026]], 0.05)), "")</f>
        <v>0.60000000000000009</v>
      </c>
      <c r="AC173" s="323">
        <f>IFERROR(IF(tblPiNAnalysis[[#This Row],[Shelter]]="", "", MROUND(tblPiNAnalysis[[#This Row],[Shelter]]/tblPiNAnalysis[[#This Row],[Affected population projection 2026]], 0.05)), "")</f>
        <v>0</v>
      </c>
      <c r="AD173" s="324">
        <f>IFERROR(IF(tblPiNAnalysis[[#This Row],[WASH]]="", "", MROUND(tblPiNAnalysis[[#This Row],[WASH]]/tblPiNAnalysis[[#This Row],[Affected population projection 2026]], 0.05)), "")</f>
        <v>1</v>
      </c>
      <c r="AE173" s="322">
        <f>IFERROR(MROUND(tblPiNAnalysis[[#This Row],[CP]]/tblPiNAnalysis[[#This Row],[Affected population projection 2026]], 0.05), "")</f>
        <v>0.35000000000000003</v>
      </c>
      <c r="AF173" s="322">
        <f>IFERROR(MROUND(tblPiNAnalysis[[#This Row],[GBV]]/tblPiNAnalysis[[#This Row],[Affected population projection 2026]], 0.05), "")</f>
        <v>0.15000000000000002</v>
      </c>
      <c r="AG173" s="322">
        <f>IFERROR(MROUND(tblPiNAnalysis[[#This Row],[Mine Action]]/tblPiNAnalysis[[#This Row],[Affected population projection 2026]], 0.05), "")</f>
        <v>0.4</v>
      </c>
      <c r="AH173" s="322">
        <f>IFERROR(MROUND(tblPiNAnalysis[[#This Row],[HLP]]/tblPiNAnalysis[[#This Row],[Affected population projection 2026]], 0.05), "")</f>
        <v>0.25</v>
      </c>
      <c r="AI173" s="325">
        <f>IFERROR(LARGE(tblPiNAnalysis[[#This Row],[CCCM]:[WASH]], 1), "")</f>
        <v>9104.4828042328045</v>
      </c>
      <c r="AJ173" s="326" t="str" cm="1">
        <f t="array" ref="AJ173">IF(tblPiNAnalysis[[#This Row],[Highest PiN]]="", "", _xlfn.TEXTJOIN(CHAR(10), TRUE, IF(tblPiNAnalysis[[#This Row],[Highest PiN]]=tblPiNAnalysis[[#This Row],[CCCM]:[WASH]], tblPiNAnalysis[[#Headers],[CCCM]:[WASH]], "")))</f>
        <v>WASH</v>
      </c>
      <c r="AK173" s="327">
        <f>IF(tblPiNAnalysis[[#This Row],[Highest PiN]]="", "", tblPiNAnalysis[[#This Row],[Highest PiN]]/tblPiNAnalysis[[#This Row],[Affected population projection 2026]])</f>
        <v>0.9907407407407407</v>
      </c>
      <c r="AL173" s="328" t="str">
        <f>IF(SUM(tblPiNAnalysis[[#This Row],[CCCM]:[WASH]])=0, "",IF(COUNTIF(tblPiNAnalysis[[#This Row],[CCCM]:[WASH]],"=0")+COUNTIF(tblPiNAnalysis[[#This Row],[CCCM]:[WASH]],"")&gt;=zero_pin_thresh, "Flagged", ""))</f>
        <v/>
      </c>
      <c r="AM173" s="329" t="str">
        <f>IFERROR(IF(tblPiNAnalysis[[#This Row],[Highest PiN]]="", "", IF(tblPiNAnalysis[[#This Row],[Highest sector(s'') PiN %]]&gt;=flag_pin_perc, "Flagged", "")), "")</f>
        <v>Flagged</v>
      </c>
      <c r="AN173" s="330" t="str" cm="1">
        <f t="array" ref="AN173">IF(tblPiNAnalysis[[#This Row],[Highest PiN]]=0, "",  IF(OR(COUNTIF(tblPiNAnalysis[[#This Row],[Highest sector(s)]],tblSubSectorPopulation[Sector])), "Flagged", ""))</f>
        <v/>
      </c>
      <c r="AO173" s="46" cm="1">
        <f t="array" ref="AO17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5391</v>
      </c>
      <c r="AP173" s="331" t="str" cm="1">
        <f t="array" ref="AP173">IF(tblPiNAnalysis[[#This Row],[2nd Highest PiN]]="", "", _xlfn.TEXTJOIN(CHAR(10), TRUE, IF(tblPiNAnalysis[[#This Row],[2nd Highest PiN]]=tblPiNAnalysis[[#This Row],[CCCM]:[WASH]], tblPiNAnalysis[[#Headers],[CCCM]:[WASH]], "")))</f>
        <v>Overarching Protection</v>
      </c>
      <c r="AQ173" s="36">
        <f>IFERROR(tblPiNAnalysis[[#This Row],[2nd Highest PiN]]/tblPiNAnalysis[[#This Row],[Affected population projection 2026]], "")</f>
        <v>0.58664324467175522</v>
      </c>
      <c r="AR173" s="46">
        <f>IFERROR(tblPiNAnalysis[[#This Row],[Highest PiN]]-tblPiNAnalysis[[#This Row],[2nd Highest PiN]], "")</f>
        <v>3713.4828042328045</v>
      </c>
      <c r="AS173" s="39">
        <f>IFERROR(((tblPiNAnalysis[[#This Row],[Highest PiN]]-tblPiNAnalysis[[#This Row],[2nd Highest PiN]])/tblPiNAnalysis[[#This Row],[2nd Highest PiN]]),"")</f>
        <v>0.68883005086863369</v>
      </c>
      <c r="AT173" s="39" t="str" cm="1">
        <f t="array" ref="AT17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73" s="332" cm="1">
        <f t="array" ref="AU17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4484.9662664830139</v>
      </c>
      <c r="AV173" s="190" t="str" cm="1">
        <f t="array" ref="AV173">IF(tblPiNAnalysis[[#This Row],[3rd Highest PiN]]="", "", _xlfn.TEXTJOIN(CHAR(10), TRUE, IF(tblPiNAnalysis[[#This Row],[3rd Highest PiN]]=tblPiNAnalysis[[#This Row],[CCCM]:[WASH]], tblPiNAnalysis[[#Headers],[CCCM]:[WASH]], "")))</f>
        <v>Health</v>
      </c>
      <c r="AW173" s="190">
        <f>IFERROR(tblPiNAnalysis[[#This Row],[3rd Highest PiN]]/tblPiNAnalysis[[#This Row],[Affected population projection 2026]], "")</f>
        <v>0.48804955719031035</v>
      </c>
      <c r="AX173" s="45">
        <f>IFERROR(tblPiNAnalysis[[#This Row],[Highest PiN]]-tblPiNAnalysis[[#This Row],[3rd Highest PiN]],"")</f>
        <v>4619.5165377497906</v>
      </c>
      <c r="AY173" s="39">
        <f>IFERROR(tblPiNAnalysis[[#This Row],[Difference of PiN between Highest and 3rd Highest]]/tblPiNAnalysis[[#This Row],[3rd Highest PiN]], "")</f>
        <v>1.0300002861275226</v>
      </c>
      <c r="AZ173" s="330" t="str" cm="1">
        <f t="array" ref="AZ17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73" s="300" t="str" cm="1">
        <f t="array" ref="BA173">IFERROR(IF(tblPiNAnalysis[[#This Row],[ID]]="", "", INDEX(tblPiNHistorical[[CCCM]:[WASH]], MATCH(tblPiNAnalysis[[#This Row],[ID]],tblPiNHistorical[ID], 0),MATCH(_xlfn._xlws.FILTER(tblPiNAnalysis[[#Headers],[CCCM]:[WASH]], tblPiNAnalysis[[#This Row],[Highest PiN]]=tblPiNAnalysis[[#This Row],[CCCM]:[WASH]]), tblPiNHistorical[[#Headers],[CCCM]:[WASH]], 0))), "")</f>
        <v/>
      </c>
      <c r="BB173" s="333" t="str" cm="1">
        <f t="array" ref="BB17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3" s="276" t="str" cm="1">
        <f t="array" ref="BC17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3" s="334" t="str" cm="1">
        <f t="array" ref="BD17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3" s="276">
        <f>INDEX(tblSeverityAnalysis[Final Severity], MATCH(tblPiNAnalysis[[#This Row],[ID]],tblSeverityAnalysis[ID], 0))</f>
        <v>3</v>
      </c>
      <c r="BF173" s="61">
        <f>IF(tblPiNAnalysis[[#This Row],[Severity]]&gt;2,tblPiNAnalysis[[#This Row],[Highest PiN]],)</f>
        <v>9104.4828042328045</v>
      </c>
      <c r="BG173" s="191"/>
      <c r="BH173" s="192"/>
      <c r="BI173" s="193">
        <f>COUNTIFS(tblPiNAnalysis[[#This Row],[Number of missing / zero PiNs greater than threshold - Data quality]:[Manual Flag]],"Flagged")</f>
        <v>3</v>
      </c>
      <c r="BJ173" s="96" t="str">
        <f>IF(tblPiNAnalysis[[#This Row],['# Flags]]&gt;0, "Flagged", "")</f>
        <v>Flagged</v>
      </c>
      <c r="BK173" s="326">
        <f>tblPiNAnalysis[[#This Row],[Preliminary PiN]]</f>
        <v>9104.4828042328045</v>
      </c>
      <c r="BL173" s="331"/>
    </row>
    <row r="174" spans="1:64" ht="24.6" x14ac:dyDescent="0.55000000000000004">
      <c r="A17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SS0206</v>
      </c>
      <c r="B174" s="316" t="s">
        <v>250</v>
      </c>
      <c r="C174" s="317" t="s">
        <v>251</v>
      </c>
      <c r="D174" s="317" t="s">
        <v>262</v>
      </c>
      <c r="E174" s="105" t="s">
        <v>263</v>
      </c>
      <c r="F174" s="100"/>
      <c r="G174" s="34"/>
      <c r="H174" s="34"/>
      <c r="I174" s="97">
        <v>5555.8571428571404</v>
      </c>
      <c r="J174" s="97" t="s">
        <v>414</v>
      </c>
      <c r="K174" s="318">
        <v>833.37857142857104</v>
      </c>
      <c r="L174" s="319">
        <v>297.01612285714276</v>
      </c>
      <c r="M174" s="319">
        <v>1813.2198107737402</v>
      </c>
      <c r="N174" s="319">
        <v>3810.5358411483567</v>
      </c>
      <c r="O174" s="319">
        <v>2302.1554547108562</v>
      </c>
      <c r="P174" s="319">
        <v>3812</v>
      </c>
      <c r="Q174" s="320">
        <v>3472.4107142857129</v>
      </c>
      <c r="R174" s="319">
        <v>1624.8261455525599</v>
      </c>
      <c r="S174" s="319">
        <v>886</v>
      </c>
      <c r="T174" s="319">
        <v>2161</v>
      </c>
      <c r="U174" s="319">
        <v>1087</v>
      </c>
      <c r="V174" s="319">
        <v>1556</v>
      </c>
      <c r="W174" s="321">
        <f>IFERROR(IF(tblPiNAnalysis[[#This Row],[CCCM]]="", "", MROUND(tblPiNAnalysis[[#This Row],[CCCM]]/tblPiNAnalysis[[#This Row],[Affected population projection 2026]], 0.05)), "")</f>
        <v>0.15000000000000002</v>
      </c>
      <c r="X174" s="322">
        <f>IFERROR(IF(tblPiNAnalysis[[#This Row],[Education]]="", "", MROUND(tblPiNAnalysis[[#This Row],[Education]]/tblPiNAnalysis[[#This Row],[Affected population projection 2026]], 0.05)), "")</f>
        <v>0.05</v>
      </c>
      <c r="Y174" s="322">
        <f>IFERROR(IF(tblPiNAnalysis[[#This Row],[Nutrition]]="", "", MROUND(tblPiNAnalysis[[#This Row],[Nutrition]]/tblPiNAnalysis[[#This Row],[Affected population projection 2026]], 0.05)), "")</f>
        <v>0.35000000000000003</v>
      </c>
      <c r="Z174" s="322">
        <f>IFERROR(IF(tblPiNAnalysis[[#This Row],[Food Security]]="", "", MROUND(tblPiNAnalysis[[#This Row],[Food Security]]/tblPiNAnalysis[[#This Row],[Affected population projection 2026]], 0.05)), "")</f>
        <v>0.70000000000000007</v>
      </c>
      <c r="AA174" s="322">
        <f>IFERROR(IF(tblPiNAnalysis[[#This Row],[Health]]="", "", MROUND(tblPiNAnalysis[[#This Row],[Health]]/tblPiNAnalysis[[#This Row],[Affected population projection 2026]], 0.05)), "")</f>
        <v>0.4</v>
      </c>
      <c r="AB174" s="323">
        <f>IFERROR(IF(tblPiNAnalysis[[#This Row],[Overarching Protection]]="", "", MROUND(tblPiNAnalysis[[#This Row],[Overarching Protection]]/tblPiNAnalysis[[#This Row],[Affected population projection 2026]], 0.05)), "")</f>
        <v>0.70000000000000007</v>
      </c>
      <c r="AC174" s="323">
        <f>IFERROR(IF(tblPiNAnalysis[[#This Row],[Shelter]]="", "", MROUND(tblPiNAnalysis[[#This Row],[Shelter]]/tblPiNAnalysis[[#This Row],[Affected population projection 2026]], 0.05)), "")</f>
        <v>0.65</v>
      </c>
      <c r="AD174" s="324">
        <f>IFERROR(IF(tblPiNAnalysis[[#This Row],[WASH]]="", "", MROUND(tblPiNAnalysis[[#This Row],[WASH]]/tblPiNAnalysis[[#This Row],[Affected population projection 2026]], 0.05)), "")</f>
        <v>0.30000000000000004</v>
      </c>
      <c r="AE174" s="322">
        <f>IFERROR(MROUND(tblPiNAnalysis[[#This Row],[CP]]/tblPiNAnalysis[[#This Row],[Affected population projection 2026]], 0.05), "")</f>
        <v>0.15000000000000002</v>
      </c>
      <c r="AF174" s="322">
        <f>IFERROR(MROUND(tblPiNAnalysis[[#This Row],[GBV]]/tblPiNAnalysis[[#This Row],[Affected population projection 2026]], 0.05), "")</f>
        <v>0.4</v>
      </c>
      <c r="AG174" s="322">
        <f>IFERROR(MROUND(tblPiNAnalysis[[#This Row],[Mine Action]]/tblPiNAnalysis[[#This Row],[Affected population projection 2026]], 0.05), "")</f>
        <v>0.2</v>
      </c>
      <c r="AH174" s="322">
        <f>IFERROR(MROUND(tblPiNAnalysis[[#This Row],[HLP]]/tblPiNAnalysis[[#This Row],[Affected population projection 2026]], 0.05), "")</f>
        <v>0.30000000000000004</v>
      </c>
      <c r="AI174" s="325">
        <f>IFERROR(LARGE(tblPiNAnalysis[[#This Row],[CCCM]:[WASH]], 1), "")</f>
        <v>3812</v>
      </c>
      <c r="AJ174" s="326" t="str" cm="1">
        <f t="array" ref="AJ174">IF(tblPiNAnalysis[[#This Row],[Highest PiN]]="", "", _xlfn.TEXTJOIN(CHAR(10), TRUE, IF(tblPiNAnalysis[[#This Row],[Highest PiN]]=tblPiNAnalysis[[#This Row],[CCCM]:[WASH]], tblPiNAnalysis[[#Headers],[CCCM]:[WASH]], "")))</f>
        <v>Overarching Protection</v>
      </c>
      <c r="AK174" s="327">
        <f>IF(tblPiNAnalysis[[#This Row],[Highest PiN]]="", "", tblPiNAnalysis[[#This Row],[Highest PiN]]/tblPiNAnalysis[[#This Row],[Affected population projection 2026]])</f>
        <v>0.68612275333624773</v>
      </c>
      <c r="AL174" s="328" t="str">
        <f>IF(SUM(tblPiNAnalysis[[#This Row],[CCCM]:[WASH]])=0, "",IF(COUNTIF(tblPiNAnalysis[[#This Row],[CCCM]:[WASH]],"=0")+COUNTIF(tblPiNAnalysis[[#This Row],[CCCM]:[WASH]],"")&gt;=zero_pin_thresh, "Flagged", ""))</f>
        <v/>
      </c>
      <c r="AM174" s="329" t="str">
        <f>IFERROR(IF(tblPiNAnalysis[[#This Row],[Highest PiN]]="", "", IF(tblPiNAnalysis[[#This Row],[Highest sector(s'') PiN %]]&gt;=flag_pin_perc, "Flagged", "")), "")</f>
        <v/>
      </c>
      <c r="AN174" s="330" t="str" cm="1">
        <f t="array" ref="AN174">IF(tblPiNAnalysis[[#This Row],[Highest PiN]]=0, "",  IF(OR(COUNTIF(tblPiNAnalysis[[#This Row],[Highest sector(s)]],tblSubSectorPopulation[Sector])), "Flagged", ""))</f>
        <v/>
      </c>
      <c r="AO174" s="46" cm="1">
        <f t="array" ref="AO17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3810.5358411483567</v>
      </c>
      <c r="AP174" s="331" t="str" cm="1">
        <f t="array" ref="AP174">IF(tblPiNAnalysis[[#This Row],[2nd Highest PiN]]="", "", _xlfn.TEXTJOIN(CHAR(10), TRUE, IF(tblPiNAnalysis[[#This Row],[2nd Highest PiN]]=tblPiNAnalysis[[#This Row],[CCCM]:[WASH]], tblPiNAnalysis[[#Headers],[CCCM]:[WASH]], "")))</f>
        <v>Food Security</v>
      </c>
      <c r="AQ174" s="36">
        <f>IFERROR(tblPiNAnalysis[[#This Row],[2nd Highest PiN]]/tblPiNAnalysis[[#This Row],[Affected population projection 2026]], "")</f>
        <v>0.68585921904909897</v>
      </c>
      <c r="AR174" s="46">
        <f>IFERROR(tblPiNAnalysis[[#This Row],[Highest PiN]]-tblPiNAnalysis[[#This Row],[2nd Highest PiN]], "")</f>
        <v>1.464158851643333</v>
      </c>
      <c r="AS174" s="39">
        <f>IFERROR(((tblPiNAnalysis[[#This Row],[Highest PiN]]-tblPiNAnalysis[[#This Row],[2nd Highest PiN]])/tblPiNAnalysis[[#This Row],[2nd Highest PiN]]),"")</f>
        <v>3.8423962211101757E-4</v>
      </c>
      <c r="AT174" s="39" t="str" cm="1">
        <f t="array" ref="AT17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4" s="332" cm="1">
        <f t="array" ref="AU17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3472.4107142857129</v>
      </c>
      <c r="AV174" s="190" t="str" cm="1">
        <f t="array" ref="AV174">IF(tblPiNAnalysis[[#This Row],[3rd Highest PiN]]="", "", _xlfn.TEXTJOIN(CHAR(10), TRUE, IF(tblPiNAnalysis[[#This Row],[3rd Highest PiN]]=tblPiNAnalysis[[#This Row],[CCCM]:[WASH]], tblPiNAnalysis[[#Headers],[CCCM]:[WASH]], "")))</f>
        <v>Shelter</v>
      </c>
      <c r="AW174" s="190">
        <f>IFERROR(tblPiNAnalysis[[#This Row],[3rd Highest PiN]]/tblPiNAnalysis[[#This Row],[Affected population projection 2026]], "")</f>
        <v>0.625</v>
      </c>
      <c r="AX174" s="45">
        <f>IFERROR(tblPiNAnalysis[[#This Row],[Highest PiN]]-tblPiNAnalysis[[#This Row],[3rd Highest PiN]],"")</f>
        <v>339.58928571428714</v>
      </c>
      <c r="AY174" s="39">
        <f>IFERROR(tblPiNAnalysis[[#This Row],[Difference of PiN between Highest and 3rd Highest]]/tblPiNAnalysis[[#This Row],[3rd Highest PiN]], "")</f>
        <v>9.7796405337996384E-2</v>
      </c>
      <c r="AZ174" s="330" t="str" cm="1">
        <f t="array" ref="AZ17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4" s="300" t="str" cm="1">
        <f t="array" ref="BA174">IFERROR(IF(tblPiNAnalysis[[#This Row],[ID]]="", "", INDEX(tblPiNHistorical[[CCCM]:[WASH]], MATCH(tblPiNAnalysis[[#This Row],[ID]],tblPiNHistorical[ID], 0),MATCH(_xlfn._xlws.FILTER(tblPiNAnalysis[[#Headers],[CCCM]:[WASH]], tblPiNAnalysis[[#This Row],[Highest PiN]]=tblPiNAnalysis[[#This Row],[CCCM]:[WASH]]), tblPiNHistorical[[#Headers],[CCCM]:[WASH]], 0))), "")</f>
        <v/>
      </c>
      <c r="BB174" s="333" t="str" cm="1">
        <f t="array" ref="BB17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4" s="276" t="str" cm="1">
        <f t="array" ref="BC17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4" s="334" t="str" cm="1">
        <f t="array" ref="BD17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4" s="276">
        <f>INDEX(tblSeverityAnalysis[Final Severity], MATCH(tblPiNAnalysis[[#This Row],[ID]],tblSeverityAnalysis[ID], 0))</f>
        <v>3</v>
      </c>
      <c r="BF174" s="61">
        <f>IF(tblPiNAnalysis[[#This Row],[Severity]]&gt;2,tblPiNAnalysis[[#This Row],[Highest PiN]],)</f>
        <v>3812</v>
      </c>
      <c r="BG174" s="191"/>
      <c r="BH174" s="192"/>
      <c r="BI174" s="193">
        <f>COUNTIFS(tblPiNAnalysis[[#This Row],[Number of missing / zero PiNs greater than threshold - Data quality]:[Manual Flag]],"Flagged")</f>
        <v>0</v>
      </c>
      <c r="BJ174" s="96" t="str">
        <f>IF(tblPiNAnalysis[[#This Row],['# Flags]]&gt;0, "Flagged", "")</f>
        <v/>
      </c>
      <c r="BK174" s="326">
        <f>tblPiNAnalysis[[#This Row],[Preliminary PiN]]</f>
        <v>3812</v>
      </c>
      <c r="BL174" s="331"/>
    </row>
    <row r="175" spans="1:64" ht="24.6" x14ac:dyDescent="0.55000000000000004">
      <c r="A17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SS0207</v>
      </c>
      <c r="B175" s="316" t="s">
        <v>250</v>
      </c>
      <c r="C175" s="317" t="s">
        <v>251</v>
      </c>
      <c r="D175" s="317" t="s">
        <v>264</v>
      </c>
      <c r="E175" s="105" t="s">
        <v>265</v>
      </c>
      <c r="F175" s="100"/>
      <c r="G175" s="34"/>
      <c r="H175" s="34"/>
      <c r="I175" s="97">
        <v>33159.142857142899</v>
      </c>
      <c r="J175" s="97" t="s">
        <v>414</v>
      </c>
      <c r="K175" s="318">
        <v>4973.871428571435</v>
      </c>
      <c r="L175" s="319">
        <v>2180.8337188285741</v>
      </c>
      <c r="M175" s="319">
        <v>10792.352511601137</v>
      </c>
      <c r="N175" s="319">
        <v>8030.1261699276547</v>
      </c>
      <c r="O175" s="319">
        <v>17319.565796218794</v>
      </c>
      <c r="P175" s="319">
        <v>21427</v>
      </c>
      <c r="Q175" s="320">
        <v>3789.6163265306172</v>
      </c>
      <c r="R175" s="319">
        <v>11466.245660881188</v>
      </c>
      <c r="S175" s="319">
        <v>4285</v>
      </c>
      <c r="T175" s="319">
        <v>12490</v>
      </c>
      <c r="U175" s="319">
        <v>20694</v>
      </c>
      <c r="V175" s="319">
        <v>10758</v>
      </c>
      <c r="W175" s="321">
        <f>IFERROR(IF(tblPiNAnalysis[[#This Row],[CCCM]]="", "", MROUND(tblPiNAnalysis[[#This Row],[CCCM]]/tblPiNAnalysis[[#This Row],[Affected population projection 2026]], 0.05)), "")</f>
        <v>0.15000000000000002</v>
      </c>
      <c r="X175" s="322">
        <f>IFERROR(IF(tblPiNAnalysis[[#This Row],[Education]]="", "", MROUND(tblPiNAnalysis[[#This Row],[Education]]/tblPiNAnalysis[[#This Row],[Affected population projection 2026]], 0.05)), "")</f>
        <v>0.05</v>
      </c>
      <c r="Y175" s="322">
        <f>IFERROR(IF(tblPiNAnalysis[[#This Row],[Nutrition]]="", "", MROUND(tblPiNAnalysis[[#This Row],[Nutrition]]/tblPiNAnalysis[[#This Row],[Affected population projection 2026]], 0.05)), "")</f>
        <v>0.35000000000000003</v>
      </c>
      <c r="Z175" s="322">
        <f>IFERROR(IF(tblPiNAnalysis[[#This Row],[Food Security]]="", "", MROUND(tblPiNAnalysis[[#This Row],[Food Security]]/tblPiNAnalysis[[#This Row],[Affected population projection 2026]], 0.05)), "")</f>
        <v>0.25</v>
      </c>
      <c r="AA175" s="322">
        <f>IFERROR(IF(tblPiNAnalysis[[#This Row],[Health]]="", "", MROUND(tblPiNAnalysis[[#This Row],[Health]]/tblPiNAnalysis[[#This Row],[Affected population projection 2026]], 0.05)), "")</f>
        <v>0.5</v>
      </c>
      <c r="AB175" s="323">
        <f>IFERROR(IF(tblPiNAnalysis[[#This Row],[Overarching Protection]]="", "", MROUND(tblPiNAnalysis[[#This Row],[Overarching Protection]]/tblPiNAnalysis[[#This Row],[Affected population projection 2026]], 0.05)), "")</f>
        <v>0.65</v>
      </c>
      <c r="AC175" s="323">
        <f>IFERROR(IF(tblPiNAnalysis[[#This Row],[Shelter]]="", "", MROUND(tblPiNAnalysis[[#This Row],[Shelter]]/tblPiNAnalysis[[#This Row],[Affected population projection 2026]], 0.05)), "")</f>
        <v>0.1</v>
      </c>
      <c r="AD175" s="324">
        <f>IFERROR(IF(tblPiNAnalysis[[#This Row],[WASH]]="", "", MROUND(tblPiNAnalysis[[#This Row],[WASH]]/tblPiNAnalysis[[#This Row],[Affected population projection 2026]], 0.05)), "")</f>
        <v>0.35000000000000003</v>
      </c>
      <c r="AE175" s="322">
        <f>IFERROR(MROUND(tblPiNAnalysis[[#This Row],[CP]]/tblPiNAnalysis[[#This Row],[Affected population projection 2026]], 0.05), "")</f>
        <v>0.15000000000000002</v>
      </c>
      <c r="AF175" s="322">
        <f>IFERROR(MROUND(tblPiNAnalysis[[#This Row],[GBV]]/tblPiNAnalysis[[#This Row],[Affected population projection 2026]], 0.05), "")</f>
        <v>0.4</v>
      </c>
      <c r="AG175" s="322">
        <f>IFERROR(MROUND(tblPiNAnalysis[[#This Row],[Mine Action]]/tblPiNAnalysis[[#This Row],[Affected population projection 2026]], 0.05), "")</f>
        <v>0.60000000000000009</v>
      </c>
      <c r="AH175" s="322">
        <f>IFERROR(MROUND(tblPiNAnalysis[[#This Row],[HLP]]/tblPiNAnalysis[[#This Row],[Affected population projection 2026]], 0.05), "")</f>
        <v>0.30000000000000004</v>
      </c>
      <c r="AI175" s="325">
        <f>IFERROR(LARGE(tblPiNAnalysis[[#This Row],[CCCM]:[WASH]], 1), "")</f>
        <v>21427</v>
      </c>
      <c r="AJ175" s="326" t="str" cm="1">
        <f t="array" ref="AJ175">IF(tblPiNAnalysis[[#This Row],[Highest PiN]]="", "", _xlfn.TEXTJOIN(CHAR(10), TRUE, IF(tblPiNAnalysis[[#This Row],[Highest PiN]]=tblPiNAnalysis[[#This Row],[CCCM]:[WASH]], tblPiNAnalysis[[#Headers],[CCCM]:[WASH]], "")))</f>
        <v>Overarching Protection</v>
      </c>
      <c r="AK175" s="327">
        <f>IF(tblPiNAnalysis[[#This Row],[Highest PiN]]="", "", tblPiNAnalysis[[#This Row],[Highest PiN]]/tblPiNAnalysis[[#This Row],[Affected population projection 2026]])</f>
        <v>0.64618678752681791</v>
      </c>
      <c r="AL175" s="328" t="str">
        <f>IF(SUM(tblPiNAnalysis[[#This Row],[CCCM]:[WASH]])=0, "",IF(COUNTIF(tblPiNAnalysis[[#This Row],[CCCM]:[WASH]],"=0")+COUNTIF(tblPiNAnalysis[[#This Row],[CCCM]:[WASH]],"")&gt;=zero_pin_thresh, "Flagged", ""))</f>
        <v/>
      </c>
      <c r="AM175" s="329" t="str">
        <f>IFERROR(IF(tblPiNAnalysis[[#This Row],[Highest PiN]]="", "", IF(tblPiNAnalysis[[#This Row],[Highest sector(s'') PiN %]]&gt;=flag_pin_perc, "Flagged", "")), "")</f>
        <v/>
      </c>
      <c r="AN175" s="330" t="str" cm="1">
        <f t="array" ref="AN175">IF(tblPiNAnalysis[[#This Row],[Highest PiN]]=0, "",  IF(OR(COUNTIF(tblPiNAnalysis[[#This Row],[Highest sector(s)]],tblSubSectorPopulation[Sector])), "Flagged", ""))</f>
        <v/>
      </c>
      <c r="AO175" s="46" cm="1">
        <f t="array" ref="AO17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17319.565796218794</v>
      </c>
      <c r="AP175" s="331" t="str" cm="1">
        <f t="array" ref="AP175">IF(tblPiNAnalysis[[#This Row],[2nd Highest PiN]]="", "", _xlfn.TEXTJOIN(CHAR(10), TRUE, IF(tblPiNAnalysis[[#This Row],[2nd Highest PiN]]=tblPiNAnalysis[[#This Row],[CCCM]:[WASH]], tblPiNAnalysis[[#Headers],[CCCM]:[WASH]], "")))</f>
        <v>Health</v>
      </c>
      <c r="AQ175" s="36">
        <f>IFERROR(tblPiNAnalysis[[#This Row],[2nd Highest PiN]]/tblPiNAnalysis[[#This Row],[Affected population projection 2026]], "")</f>
        <v>0.52231645042320329</v>
      </c>
      <c r="AR175" s="46">
        <f>IFERROR(tblPiNAnalysis[[#This Row],[Highest PiN]]-tblPiNAnalysis[[#This Row],[2nd Highest PiN]], "")</f>
        <v>4107.4342037812057</v>
      </c>
      <c r="AS175" s="39">
        <f>IFERROR(((tblPiNAnalysis[[#This Row],[Highest PiN]]-tblPiNAnalysis[[#This Row],[2nd Highest PiN]])/tblPiNAnalysis[[#This Row],[2nd Highest PiN]]),"")</f>
        <v>0.23715572619481837</v>
      </c>
      <c r="AT175" s="39" t="str" cm="1">
        <f t="array" ref="AT17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5" s="332" cm="1">
        <f t="array" ref="AU17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11466.245660881188</v>
      </c>
      <c r="AV175" s="190" t="str" cm="1">
        <f t="array" ref="AV175">IF(tblPiNAnalysis[[#This Row],[3rd Highest PiN]]="", "", _xlfn.TEXTJOIN(CHAR(10), TRUE, IF(tblPiNAnalysis[[#This Row],[3rd Highest PiN]]=tblPiNAnalysis[[#This Row],[CCCM]:[WASH]], tblPiNAnalysis[[#Headers],[CCCM]:[WASH]], "")))</f>
        <v>WASH</v>
      </c>
      <c r="AW175" s="190">
        <f>IFERROR(tblPiNAnalysis[[#This Row],[3rd Highest PiN]]/tblPiNAnalysis[[#This Row],[Affected population projection 2026]], "")</f>
        <v>0.34579439252336447</v>
      </c>
      <c r="AX175" s="45">
        <f>IFERROR(tblPiNAnalysis[[#This Row],[Highest PiN]]-tblPiNAnalysis[[#This Row],[3rd Highest PiN]],"")</f>
        <v>9960.7543391188119</v>
      </c>
      <c r="AY175" s="39">
        <f>IFERROR(tblPiNAnalysis[[#This Row],[Difference of PiN between Highest and 3rd Highest]]/tblPiNAnalysis[[#This Row],[3rd Highest PiN]], "")</f>
        <v>0.86870233149647358</v>
      </c>
      <c r="AZ175" s="330" t="str" cm="1">
        <f t="array" ref="AZ17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75" s="300" t="str" cm="1">
        <f t="array" ref="BA175">IFERROR(IF(tblPiNAnalysis[[#This Row],[ID]]="", "", INDEX(tblPiNHistorical[[CCCM]:[WASH]], MATCH(tblPiNAnalysis[[#This Row],[ID]],tblPiNHistorical[ID], 0),MATCH(_xlfn._xlws.FILTER(tblPiNAnalysis[[#Headers],[CCCM]:[WASH]], tblPiNAnalysis[[#This Row],[Highest PiN]]=tblPiNAnalysis[[#This Row],[CCCM]:[WASH]]), tblPiNHistorical[[#Headers],[CCCM]:[WASH]], 0))), "")</f>
        <v/>
      </c>
      <c r="BB175" s="333" t="str" cm="1">
        <f t="array" ref="BB17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5" s="276" t="str" cm="1">
        <f t="array" ref="BC17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5" s="334" t="str" cm="1">
        <f t="array" ref="BD17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5" s="276">
        <f>INDEX(tblSeverityAnalysis[Final Severity], MATCH(tblPiNAnalysis[[#This Row],[ID]],tblSeverityAnalysis[ID], 0))</f>
        <v>3</v>
      </c>
      <c r="BF175" s="61">
        <f>IF(tblPiNAnalysis[[#This Row],[Severity]]&gt;2,tblPiNAnalysis[[#This Row],[Highest PiN]],)</f>
        <v>21427</v>
      </c>
      <c r="BG175" s="191"/>
      <c r="BH175" s="192"/>
      <c r="BI175" s="193">
        <f>COUNTIFS(tblPiNAnalysis[[#This Row],[Number of missing / zero PiNs greater than threshold - Data quality]:[Manual Flag]],"Flagged")</f>
        <v>1</v>
      </c>
      <c r="BJ175" s="96" t="str">
        <f>IF(tblPiNAnalysis[[#This Row],['# Flags]]&gt;0, "Flagged", "")</f>
        <v>Flagged</v>
      </c>
      <c r="BK175" s="326">
        <f>tblPiNAnalysis[[#This Row],[Preliminary PiN]]</f>
        <v>21427</v>
      </c>
      <c r="BL175" s="331"/>
    </row>
    <row r="176" spans="1:64" ht="24.6" x14ac:dyDescent="0.55000000000000004">
      <c r="A17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SS0208</v>
      </c>
      <c r="B176" s="316" t="s">
        <v>250</v>
      </c>
      <c r="C176" s="317" t="s">
        <v>251</v>
      </c>
      <c r="D176" s="317" t="s">
        <v>266</v>
      </c>
      <c r="E176" s="105" t="s">
        <v>267</v>
      </c>
      <c r="F176" s="100"/>
      <c r="G176" s="34"/>
      <c r="H176" s="34"/>
      <c r="I176" s="97">
        <v>9209.5714285714294</v>
      </c>
      <c r="J176" s="97" t="s">
        <v>414</v>
      </c>
      <c r="K176" s="318">
        <v>1381.4357142857143</v>
      </c>
      <c r="L176" s="319">
        <v>1030.3484322857144</v>
      </c>
      <c r="M176" s="319">
        <v>4488.2800443609649</v>
      </c>
      <c r="N176" s="319">
        <v>5171.175513848053</v>
      </c>
      <c r="O176" s="319">
        <v>7293.5618992240752</v>
      </c>
      <c r="P176" s="319">
        <v>5385</v>
      </c>
      <c r="Q176" s="320">
        <v>7367.6571428571442</v>
      </c>
      <c r="R176" s="319">
        <v>6362.976623376624</v>
      </c>
      <c r="S176" s="319">
        <v>491</v>
      </c>
      <c r="T176" s="319">
        <v>3575</v>
      </c>
      <c r="U176" s="319">
        <v>4750</v>
      </c>
      <c r="V176" s="319">
        <v>2143</v>
      </c>
      <c r="W176" s="321">
        <f>IFERROR(IF(tblPiNAnalysis[[#This Row],[CCCM]]="", "", MROUND(tblPiNAnalysis[[#This Row],[CCCM]]/tblPiNAnalysis[[#This Row],[Affected population projection 2026]], 0.05)), "")</f>
        <v>0.15000000000000002</v>
      </c>
      <c r="X176" s="322">
        <f>IFERROR(IF(tblPiNAnalysis[[#This Row],[Education]]="", "", MROUND(tblPiNAnalysis[[#This Row],[Education]]/tblPiNAnalysis[[#This Row],[Affected population projection 2026]], 0.05)), "")</f>
        <v>0.1</v>
      </c>
      <c r="Y176" s="322">
        <f>IFERROR(IF(tblPiNAnalysis[[#This Row],[Nutrition]]="", "", MROUND(tblPiNAnalysis[[#This Row],[Nutrition]]/tblPiNAnalysis[[#This Row],[Affected population projection 2026]], 0.05)), "")</f>
        <v>0.5</v>
      </c>
      <c r="Z176" s="322">
        <f>IFERROR(IF(tblPiNAnalysis[[#This Row],[Food Security]]="", "", MROUND(tblPiNAnalysis[[#This Row],[Food Security]]/tblPiNAnalysis[[#This Row],[Affected population projection 2026]], 0.05)), "")</f>
        <v>0.55000000000000004</v>
      </c>
      <c r="AA176" s="322">
        <f>IFERROR(IF(tblPiNAnalysis[[#This Row],[Health]]="", "", MROUND(tblPiNAnalysis[[#This Row],[Health]]/tblPiNAnalysis[[#This Row],[Affected population projection 2026]], 0.05)), "")</f>
        <v>0.8</v>
      </c>
      <c r="AB176" s="323">
        <f>IFERROR(IF(tblPiNAnalysis[[#This Row],[Overarching Protection]]="", "", MROUND(tblPiNAnalysis[[#This Row],[Overarching Protection]]/tblPiNAnalysis[[#This Row],[Affected population projection 2026]], 0.05)), "")</f>
        <v>0.60000000000000009</v>
      </c>
      <c r="AC176" s="323">
        <f>IFERROR(IF(tblPiNAnalysis[[#This Row],[Shelter]]="", "", MROUND(tblPiNAnalysis[[#This Row],[Shelter]]/tblPiNAnalysis[[#This Row],[Affected population projection 2026]], 0.05)), "")</f>
        <v>0.8</v>
      </c>
      <c r="AD176" s="324">
        <f>IFERROR(IF(tblPiNAnalysis[[#This Row],[WASH]]="", "", MROUND(tblPiNAnalysis[[#This Row],[WASH]]/tblPiNAnalysis[[#This Row],[Affected population projection 2026]], 0.05)), "")</f>
        <v>0.70000000000000007</v>
      </c>
      <c r="AE176" s="322">
        <f>IFERROR(MROUND(tblPiNAnalysis[[#This Row],[CP]]/tblPiNAnalysis[[#This Row],[Affected population projection 2026]], 0.05), "")</f>
        <v>0.05</v>
      </c>
      <c r="AF176" s="322">
        <f>IFERROR(MROUND(tblPiNAnalysis[[#This Row],[GBV]]/tblPiNAnalysis[[#This Row],[Affected population projection 2026]], 0.05), "")</f>
        <v>0.4</v>
      </c>
      <c r="AG176" s="322">
        <f>IFERROR(MROUND(tblPiNAnalysis[[#This Row],[Mine Action]]/tblPiNAnalysis[[#This Row],[Affected population projection 2026]], 0.05), "")</f>
        <v>0.5</v>
      </c>
      <c r="AH176" s="322">
        <f>IFERROR(MROUND(tblPiNAnalysis[[#This Row],[HLP]]/tblPiNAnalysis[[#This Row],[Affected population projection 2026]], 0.05), "")</f>
        <v>0.25</v>
      </c>
      <c r="AI176" s="325">
        <f>IFERROR(LARGE(tblPiNAnalysis[[#This Row],[CCCM]:[WASH]], 1), "")</f>
        <v>7367.6571428571442</v>
      </c>
      <c r="AJ176" s="326" t="str" cm="1">
        <f t="array" ref="AJ176">IF(tblPiNAnalysis[[#This Row],[Highest PiN]]="", "", _xlfn.TEXTJOIN(CHAR(10), TRUE, IF(tblPiNAnalysis[[#This Row],[Highest PiN]]=tblPiNAnalysis[[#This Row],[CCCM]:[WASH]], tblPiNAnalysis[[#Headers],[CCCM]:[WASH]], "")))</f>
        <v>Shelter</v>
      </c>
      <c r="AK176" s="327">
        <f>IF(tblPiNAnalysis[[#This Row],[Highest PiN]]="", "", tblPiNAnalysis[[#This Row],[Highest PiN]]/tblPiNAnalysis[[#This Row],[Affected population projection 2026]])</f>
        <v>0.8</v>
      </c>
      <c r="AL176" s="328" t="str">
        <f>IF(SUM(tblPiNAnalysis[[#This Row],[CCCM]:[WASH]])=0, "",IF(COUNTIF(tblPiNAnalysis[[#This Row],[CCCM]:[WASH]],"=0")+COUNTIF(tblPiNAnalysis[[#This Row],[CCCM]:[WASH]],"")&gt;=zero_pin_thresh, "Flagged", ""))</f>
        <v/>
      </c>
      <c r="AM176" s="329" t="str">
        <f>IFERROR(IF(tblPiNAnalysis[[#This Row],[Highest PiN]]="", "", IF(tblPiNAnalysis[[#This Row],[Highest sector(s'') PiN %]]&gt;=flag_pin_perc, "Flagged", "")), "")</f>
        <v/>
      </c>
      <c r="AN176" s="330" t="str" cm="1">
        <f t="array" ref="AN176">IF(tblPiNAnalysis[[#This Row],[Highest PiN]]=0, "",  IF(OR(COUNTIF(tblPiNAnalysis[[#This Row],[Highest sector(s)]],tblSubSectorPopulation[Sector])), "Flagged", ""))</f>
        <v/>
      </c>
      <c r="AO176" s="46" cm="1">
        <f t="array" ref="AO17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7293.5618992240752</v>
      </c>
      <c r="AP176" s="331" t="str" cm="1">
        <f t="array" ref="AP176">IF(tblPiNAnalysis[[#This Row],[2nd Highest PiN]]="", "", _xlfn.TEXTJOIN(CHAR(10), TRUE, IF(tblPiNAnalysis[[#This Row],[2nd Highest PiN]]=tblPiNAnalysis[[#This Row],[CCCM]:[WASH]], tblPiNAnalysis[[#Headers],[CCCM]:[WASH]], "")))</f>
        <v>Health</v>
      </c>
      <c r="AQ176" s="36">
        <f>IFERROR(tblPiNAnalysis[[#This Row],[2nd Highest PiN]]/tblPiNAnalysis[[#This Row],[Affected population projection 2026]], "")</f>
        <v>0.79195453944760141</v>
      </c>
      <c r="AR176" s="46">
        <f>IFERROR(tblPiNAnalysis[[#This Row],[Highest PiN]]-tblPiNAnalysis[[#This Row],[2nd Highest PiN]], "")</f>
        <v>74.095243633069003</v>
      </c>
      <c r="AS176" s="39">
        <f>IFERROR(((tblPiNAnalysis[[#This Row],[Highest PiN]]-tblPiNAnalysis[[#This Row],[2nd Highest PiN]])/tblPiNAnalysis[[#This Row],[2nd Highest PiN]]),"")</f>
        <v>1.0158992911399246E-2</v>
      </c>
      <c r="AT176" s="39" t="str" cm="1">
        <f t="array" ref="AT17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6" s="332" cm="1">
        <f t="array" ref="AU17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6362.976623376624</v>
      </c>
      <c r="AV176" s="190" t="str" cm="1">
        <f t="array" ref="AV176">IF(tblPiNAnalysis[[#This Row],[3rd Highest PiN]]="", "", _xlfn.TEXTJOIN(CHAR(10), TRUE, IF(tblPiNAnalysis[[#This Row],[3rd Highest PiN]]=tblPiNAnalysis[[#This Row],[CCCM]:[WASH]], tblPiNAnalysis[[#Headers],[CCCM]:[WASH]], "")))</f>
        <v>WASH</v>
      </c>
      <c r="AW176" s="190">
        <f>IFERROR(tblPiNAnalysis[[#This Row],[3rd Highest PiN]]/tblPiNAnalysis[[#This Row],[Affected population projection 2026]], "")</f>
        <v>0.69090909090909092</v>
      </c>
      <c r="AX176" s="45">
        <f>IFERROR(tblPiNAnalysis[[#This Row],[Highest PiN]]-tblPiNAnalysis[[#This Row],[3rd Highest PiN]],"")</f>
        <v>1004.6805194805202</v>
      </c>
      <c r="AY176" s="39">
        <f>IFERROR(tblPiNAnalysis[[#This Row],[Difference of PiN between Highest and 3rd Highest]]/tblPiNAnalysis[[#This Row],[3rd Highest PiN]], "")</f>
        <v>0.15789473684210537</v>
      </c>
      <c r="AZ176" s="330" t="str" cm="1">
        <f t="array" ref="AZ17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6" s="300" t="str" cm="1">
        <f t="array" ref="BA176">IFERROR(IF(tblPiNAnalysis[[#This Row],[ID]]="", "", INDEX(tblPiNHistorical[[CCCM]:[WASH]], MATCH(tblPiNAnalysis[[#This Row],[ID]],tblPiNHistorical[ID], 0),MATCH(_xlfn._xlws.FILTER(tblPiNAnalysis[[#Headers],[CCCM]:[WASH]], tblPiNAnalysis[[#This Row],[Highest PiN]]=tblPiNAnalysis[[#This Row],[CCCM]:[WASH]]), tblPiNHistorical[[#Headers],[CCCM]:[WASH]], 0))), "")</f>
        <v/>
      </c>
      <c r="BB176" s="333" t="str" cm="1">
        <f t="array" ref="BB17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6" s="276" t="str" cm="1">
        <f t="array" ref="BC17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6" s="334" t="str" cm="1">
        <f t="array" ref="BD17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6" s="276">
        <f>INDEX(tblSeverityAnalysis[Final Severity], MATCH(tblPiNAnalysis[[#This Row],[ID]],tblSeverityAnalysis[ID], 0))</f>
        <v>3</v>
      </c>
      <c r="BF176" s="61">
        <f>IF(tblPiNAnalysis[[#This Row],[Severity]]&gt;2,tblPiNAnalysis[[#This Row],[Highest PiN]],)</f>
        <v>7367.6571428571442</v>
      </c>
      <c r="BG176" s="191"/>
      <c r="BH176" s="192"/>
      <c r="BI176" s="193">
        <f>COUNTIFS(tblPiNAnalysis[[#This Row],[Number of missing / zero PiNs greater than threshold - Data quality]:[Manual Flag]],"Flagged")</f>
        <v>0</v>
      </c>
      <c r="BJ176" s="96" t="str">
        <f>IF(tblPiNAnalysis[[#This Row],['# Flags]]&gt;0, "Flagged", "")</f>
        <v/>
      </c>
      <c r="BK176" s="326">
        <f>tblPiNAnalysis[[#This Row],[Preliminary PiN]]</f>
        <v>7367.6571428571442</v>
      </c>
      <c r="BL176" s="331"/>
    </row>
    <row r="177" spans="1:64" x14ac:dyDescent="0.55000000000000004">
      <c r="A17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SS0301</v>
      </c>
      <c r="B177" s="316" t="s">
        <v>268</v>
      </c>
      <c r="C177" s="317" t="s">
        <v>269</v>
      </c>
      <c r="D177" s="317" t="s">
        <v>270</v>
      </c>
      <c r="E177" s="105" t="s">
        <v>271</v>
      </c>
      <c r="F177" s="100"/>
      <c r="G177" s="34"/>
      <c r="H177" s="34"/>
      <c r="I177" s="97">
        <v>6904.2601395402035</v>
      </c>
      <c r="J177" s="97" t="s">
        <v>414</v>
      </c>
      <c r="K177" s="318">
        <v>1035.6390209310305</v>
      </c>
      <c r="L177" s="319">
        <v>1361.7410358417935</v>
      </c>
      <c r="M177" s="319">
        <v>3071.9868399525189</v>
      </c>
      <c r="N177" s="319">
        <v>5932.133306451582</v>
      </c>
      <c r="O177" s="319">
        <v>3695.9172905173059</v>
      </c>
      <c r="P177" s="319">
        <v>5270</v>
      </c>
      <c r="Q177" s="320">
        <v>6904.2601395402035</v>
      </c>
      <c r="R177" s="319">
        <v>3452.1300697701017</v>
      </c>
      <c r="S177" s="319">
        <v>2716</v>
      </c>
      <c r="T177" s="319">
        <v>2549</v>
      </c>
      <c r="U177" s="319">
        <v>3653</v>
      </c>
      <c r="V177" s="319">
        <v>1827</v>
      </c>
      <c r="W177" s="321">
        <f>IFERROR(IF(tblPiNAnalysis[[#This Row],[CCCM]]="", "", MROUND(tblPiNAnalysis[[#This Row],[CCCM]]/tblPiNAnalysis[[#This Row],[Affected population projection 2026]], 0.05)), "")</f>
        <v>0.15000000000000002</v>
      </c>
      <c r="X177" s="322">
        <f>IFERROR(IF(tblPiNAnalysis[[#This Row],[Education]]="", "", MROUND(tblPiNAnalysis[[#This Row],[Education]]/tblPiNAnalysis[[#This Row],[Affected population projection 2026]], 0.05)), "")</f>
        <v>0.2</v>
      </c>
      <c r="Y177" s="322">
        <f>IFERROR(IF(tblPiNAnalysis[[#This Row],[Nutrition]]="", "", MROUND(tblPiNAnalysis[[#This Row],[Nutrition]]/tblPiNAnalysis[[#This Row],[Affected population projection 2026]], 0.05)), "")</f>
        <v>0.45</v>
      </c>
      <c r="Z177" s="322">
        <f>IFERROR(IF(tblPiNAnalysis[[#This Row],[Food Security]]="", "", MROUND(tblPiNAnalysis[[#This Row],[Food Security]]/tblPiNAnalysis[[#This Row],[Affected population projection 2026]], 0.05)), "")</f>
        <v>0.85000000000000009</v>
      </c>
      <c r="AA177" s="322">
        <f>IFERROR(IF(tblPiNAnalysis[[#This Row],[Health]]="", "", MROUND(tblPiNAnalysis[[#This Row],[Health]]/tblPiNAnalysis[[#This Row],[Affected population projection 2026]], 0.05)), "")</f>
        <v>0.55000000000000004</v>
      </c>
      <c r="AB177" s="323">
        <f>IFERROR(IF(tblPiNAnalysis[[#This Row],[Overarching Protection]]="", "", MROUND(tblPiNAnalysis[[#This Row],[Overarching Protection]]/tblPiNAnalysis[[#This Row],[Affected population projection 2026]], 0.05)), "")</f>
        <v>0.75</v>
      </c>
      <c r="AC177" s="323">
        <f>IFERROR(IF(tblPiNAnalysis[[#This Row],[Shelter]]="", "", MROUND(tblPiNAnalysis[[#This Row],[Shelter]]/tblPiNAnalysis[[#This Row],[Affected population projection 2026]], 0.05)), "")</f>
        <v>1</v>
      </c>
      <c r="AD177" s="324">
        <f>IFERROR(IF(tblPiNAnalysis[[#This Row],[WASH]]="", "", MROUND(tblPiNAnalysis[[#This Row],[WASH]]/tblPiNAnalysis[[#This Row],[Affected population projection 2026]], 0.05)), "")</f>
        <v>0.5</v>
      </c>
      <c r="AE177" s="322">
        <f>IFERROR(MROUND(tblPiNAnalysis[[#This Row],[CP]]/tblPiNAnalysis[[#This Row],[Affected population projection 2026]], 0.05), "")</f>
        <v>0.4</v>
      </c>
      <c r="AF177" s="322">
        <f>IFERROR(MROUND(tblPiNAnalysis[[#This Row],[GBV]]/tblPiNAnalysis[[#This Row],[Affected population projection 2026]], 0.05), "")</f>
        <v>0.35000000000000003</v>
      </c>
      <c r="AG177" s="322">
        <f>IFERROR(MROUND(tblPiNAnalysis[[#This Row],[Mine Action]]/tblPiNAnalysis[[#This Row],[Affected population projection 2026]], 0.05), "")</f>
        <v>0.55000000000000004</v>
      </c>
      <c r="AH177" s="322">
        <f>IFERROR(MROUND(tblPiNAnalysis[[#This Row],[HLP]]/tblPiNAnalysis[[#This Row],[Affected population projection 2026]], 0.05), "")</f>
        <v>0.25</v>
      </c>
      <c r="AI177" s="325">
        <f>IFERROR(LARGE(tblPiNAnalysis[[#This Row],[CCCM]:[WASH]], 1), "")</f>
        <v>6904.2601395402035</v>
      </c>
      <c r="AJ177" s="326" t="str" cm="1">
        <f t="array" ref="AJ177">IF(tblPiNAnalysis[[#This Row],[Highest PiN]]="", "", _xlfn.TEXTJOIN(CHAR(10), TRUE, IF(tblPiNAnalysis[[#This Row],[Highest PiN]]=tblPiNAnalysis[[#This Row],[CCCM]:[WASH]], tblPiNAnalysis[[#Headers],[CCCM]:[WASH]], "")))</f>
        <v>Shelter</v>
      </c>
      <c r="AK177" s="327">
        <f>IF(tblPiNAnalysis[[#This Row],[Highest PiN]]="", "", tblPiNAnalysis[[#This Row],[Highest PiN]]/tblPiNAnalysis[[#This Row],[Affected population projection 2026]])</f>
        <v>1</v>
      </c>
      <c r="AL177" s="328" t="str">
        <f>IF(SUM(tblPiNAnalysis[[#This Row],[CCCM]:[WASH]])=0, "",IF(COUNTIF(tblPiNAnalysis[[#This Row],[CCCM]:[WASH]],"=0")+COUNTIF(tblPiNAnalysis[[#This Row],[CCCM]:[WASH]],"")&gt;=zero_pin_thresh, "Flagged", ""))</f>
        <v/>
      </c>
      <c r="AM177" s="329" t="str">
        <f>IFERROR(IF(tblPiNAnalysis[[#This Row],[Highest PiN]]="", "", IF(tblPiNAnalysis[[#This Row],[Highest sector(s'') PiN %]]&gt;=flag_pin_perc, "Flagged", "")), "")</f>
        <v>Flagged</v>
      </c>
      <c r="AN177" s="330" t="str" cm="1">
        <f t="array" ref="AN177">IF(tblPiNAnalysis[[#This Row],[Highest PiN]]=0, "",  IF(OR(COUNTIF(tblPiNAnalysis[[#This Row],[Highest sector(s)]],tblSubSectorPopulation[Sector])), "Flagged", ""))</f>
        <v/>
      </c>
      <c r="AO177" s="46" cm="1">
        <f t="array" ref="AO17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5932.133306451582</v>
      </c>
      <c r="AP177" s="331" t="str" cm="1">
        <f t="array" ref="AP177">IF(tblPiNAnalysis[[#This Row],[2nd Highest PiN]]="", "", _xlfn.TEXTJOIN(CHAR(10), TRUE, IF(tblPiNAnalysis[[#This Row],[2nd Highest PiN]]=tblPiNAnalysis[[#This Row],[CCCM]:[WASH]], tblPiNAnalysis[[#Headers],[CCCM]:[WASH]], "")))</f>
        <v>Food Security</v>
      </c>
      <c r="AQ177" s="36">
        <f>IFERROR(tblPiNAnalysis[[#This Row],[2nd Highest PiN]]/tblPiNAnalysis[[#This Row],[Affected population projection 2026]], "")</f>
        <v>0.85919898534510297</v>
      </c>
      <c r="AR177" s="46">
        <f>IFERROR(tblPiNAnalysis[[#This Row],[Highest PiN]]-tblPiNAnalysis[[#This Row],[2nd Highest PiN]], "")</f>
        <v>972.12683308862142</v>
      </c>
      <c r="AS177" s="39">
        <f>IFERROR(((tblPiNAnalysis[[#This Row],[Highest PiN]]-tblPiNAnalysis[[#This Row],[2nd Highest PiN]])/tblPiNAnalysis[[#This Row],[2nd Highest PiN]]),"")</f>
        <v>0.16387474503166846</v>
      </c>
      <c r="AT177" s="39" t="str" cm="1">
        <f t="array" ref="AT17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7" s="332" cm="1">
        <f t="array" ref="AU17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5270</v>
      </c>
      <c r="AV177" s="190" t="str" cm="1">
        <f t="array" ref="AV177">IF(tblPiNAnalysis[[#This Row],[3rd Highest PiN]]="", "", _xlfn.TEXTJOIN(CHAR(10), TRUE, IF(tblPiNAnalysis[[#This Row],[3rd Highest PiN]]=tblPiNAnalysis[[#This Row],[CCCM]:[WASH]], tblPiNAnalysis[[#Headers],[CCCM]:[WASH]], "")))</f>
        <v>Overarching Protection</v>
      </c>
      <c r="AW177" s="190">
        <f>IFERROR(tblPiNAnalysis[[#This Row],[3rd Highest PiN]]/tblPiNAnalysis[[#This Row],[Affected population projection 2026]], "")</f>
        <v>0.76329684766932338</v>
      </c>
      <c r="AX177" s="45">
        <f>IFERROR(tblPiNAnalysis[[#This Row],[Highest PiN]]-tblPiNAnalysis[[#This Row],[3rd Highest PiN]],"")</f>
        <v>1634.2601395402035</v>
      </c>
      <c r="AY177" s="39">
        <f>IFERROR(tblPiNAnalysis[[#This Row],[Difference of PiN between Highest and 3rd Highest]]/tblPiNAnalysis[[#This Row],[3rd Highest PiN]], "")</f>
        <v>0.31010628833779952</v>
      </c>
      <c r="AZ177" s="330" t="str" cm="1">
        <f t="array" ref="AZ17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7" s="300" t="str" cm="1">
        <f t="array" ref="BA177">IFERROR(IF(tblPiNAnalysis[[#This Row],[ID]]="", "", INDEX(tblPiNHistorical[[CCCM]:[WASH]], MATCH(tblPiNAnalysis[[#This Row],[ID]],tblPiNHistorical[ID], 0),MATCH(_xlfn._xlws.FILTER(tblPiNAnalysis[[#Headers],[CCCM]:[WASH]], tblPiNAnalysis[[#This Row],[Highest PiN]]=tblPiNAnalysis[[#This Row],[CCCM]:[WASH]]), tblPiNHistorical[[#Headers],[CCCM]:[WASH]], 0))), "")</f>
        <v/>
      </c>
      <c r="BB177" s="333" t="str" cm="1">
        <f t="array" ref="BB17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7" s="276" t="str" cm="1">
        <f t="array" ref="BC17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7" s="334" t="str" cm="1">
        <f t="array" ref="BD17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7" s="276">
        <f>INDEX(tblSeverityAnalysis[Final Severity], MATCH(tblPiNAnalysis[[#This Row],[ID]],tblSeverityAnalysis[ID], 0))</f>
        <v>4</v>
      </c>
      <c r="BF177" s="61">
        <f>IF(tblPiNAnalysis[[#This Row],[Severity]]&gt;2,tblPiNAnalysis[[#This Row],[Highest PiN]],)</f>
        <v>6904.2601395402035</v>
      </c>
      <c r="BG177" s="191"/>
      <c r="BH177" s="192"/>
      <c r="BI177" s="193">
        <f>COUNTIFS(tblPiNAnalysis[[#This Row],[Number of missing / zero PiNs greater than threshold - Data quality]:[Manual Flag]],"Flagged")</f>
        <v>1</v>
      </c>
      <c r="BJ177" s="96" t="str">
        <f>IF(tblPiNAnalysis[[#This Row],['# Flags]]&gt;0, "Flagged", "")</f>
        <v>Flagged</v>
      </c>
      <c r="BK177" s="326">
        <f>tblPiNAnalysis[[#This Row],[Preliminary PiN]]</f>
        <v>6904.2601395402035</v>
      </c>
      <c r="BL177" s="331"/>
    </row>
    <row r="178" spans="1:64" x14ac:dyDescent="0.55000000000000004">
      <c r="A17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SS0302</v>
      </c>
      <c r="B178" s="316" t="s">
        <v>268</v>
      </c>
      <c r="C178" s="317" t="s">
        <v>269</v>
      </c>
      <c r="D178" s="317" t="s">
        <v>272</v>
      </c>
      <c r="E178" s="105" t="s">
        <v>273</v>
      </c>
      <c r="F178" s="100"/>
      <c r="G178" s="34"/>
      <c r="H178" s="34"/>
      <c r="I178" s="97">
        <v>19402.803122498015</v>
      </c>
      <c r="J178" s="97" t="s">
        <v>414</v>
      </c>
      <c r="K178" s="318">
        <v>2910.4204683747021</v>
      </c>
      <c r="L178" s="319">
        <v>2673.8614927052067</v>
      </c>
      <c r="M178" s="319">
        <v>6433.0138549927296</v>
      </c>
      <c r="N178" s="319">
        <v>14354.844208934554</v>
      </c>
      <c r="O178" s="319">
        <v>8711.9275669939452</v>
      </c>
      <c r="P178" s="319">
        <v>13028</v>
      </c>
      <c r="Q178" s="320">
        <v>11906.265552441964</v>
      </c>
      <c r="R178" s="319">
        <v>16563.368519205622</v>
      </c>
      <c r="S178" s="319">
        <v>7271</v>
      </c>
      <c r="T178" s="319">
        <v>9062</v>
      </c>
      <c r="U178" s="319">
        <v>1592</v>
      </c>
      <c r="V178" s="319">
        <v>5926</v>
      </c>
      <c r="W178" s="321">
        <f>IFERROR(IF(tblPiNAnalysis[[#This Row],[CCCM]]="", "", MROUND(tblPiNAnalysis[[#This Row],[CCCM]]/tblPiNAnalysis[[#This Row],[Affected population projection 2026]], 0.05)), "")</f>
        <v>0.15000000000000002</v>
      </c>
      <c r="X178" s="322">
        <f>IFERROR(IF(tblPiNAnalysis[[#This Row],[Education]]="", "", MROUND(tblPiNAnalysis[[#This Row],[Education]]/tblPiNAnalysis[[#This Row],[Affected population projection 2026]], 0.05)), "")</f>
        <v>0.15000000000000002</v>
      </c>
      <c r="Y178" s="322">
        <f>IFERROR(IF(tblPiNAnalysis[[#This Row],[Nutrition]]="", "", MROUND(tblPiNAnalysis[[#This Row],[Nutrition]]/tblPiNAnalysis[[#This Row],[Affected population projection 2026]], 0.05)), "")</f>
        <v>0.35000000000000003</v>
      </c>
      <c r="Z178" s="322">
        <f>IFERROR(IF(tblPiNAnalysis[[#This Row],[Food Security]]="", "", MROUND(tblPiNAnalysis[[#This Row],[Food Security]]/tblPiNAnalysis[[#This Row],[Affected population projection 2026]], 0.05)), "")</f>
        <v>0.75</v>
      </c>
      <c r="AA178" s="322">
        <f>IFERROR(IF(tblPiNAnalysis[[#This Row],[Health]]="", "", MROUND(tblPiNAnalysis[[#This Row],[Health]]/tblPiNAnalysis[[#This Row],[Affected population projection 2026]], 0.05)), "")</f>
        <v>0.45</v>
      </c>
      <c r="AB178" s="323">
        <f>IFERROR(IF(tblPiNAnalysis[[#This Row],[Overarching Protection]]="", "", MROUND(tblPiNAnalysis[[#This Row],[Overarching Protection]]/tblPiNAnalysis[[#This Row],[Affected population projection 2026]], 0.05)), "")</f>
        <v>0.65</v>
      </c>
      <c r="AC178" s="323">
        <f>IFERROR(IF(tblPiNAnalysis[[#This Row],[Shelter]]="", "", MROUND(tblPiNAnalysis[[#This Row],[Shelter]]/tblPiNAnalysis[[#This Row],[Affected population projection 2026]], 0.05)), "")</f>
        <v>0.60000000000000009</v>
      </c>
      <c r="AD178" s="324">
        <f>IFERROR(IF(tblPiNAnalysis[[#This Row],[WASH]]="", "", MROUND(tblPiNAnalysis[[#This Row],[WASH]]/tblPiNAnalysis[[#This Row],[Affected population projection 2026]], 0.05)), "")</f>
        <v>0.85000000000000009</v>
      </c>
      <c r="AE178" s="322">
        <f>IFERROR(MROUND(tblPiNAnalysis[[#This Row],[CP]]/tblPiNAnalysis[[#This Row],[Affected population projection 2026]], 0.05), "")</f>
        <v>0.35000000000000003</v>
      </c>
      <c r="AF178" s="322">
        <f>IFERROR(MROUND(tblPiNAnalysis[[#This Row],[GBV]]/tblPiNAnalysis[[#This Row],[Affected population projection 2026]], 0.05), "")</f>
        <v>0.45</v>
      </c>
      <c r="AG178" s="322">
        <f>IFERROR(MROUND(tblPiNAnalysis[[#This Row],[Mine Action]]/tblPiNAnalysis[[#This Row],[Affected population projection 2026]], 0.05), "")</f>
        <v>0.1</v>
      </c>
      <c r="AH178" s="322">
        <f>IFERROR(MROUND(tblPiNAnalysis[[#This Row],[HLP]]/tblPiNAnalysis[[#This Row],[Affected population projection 2026]], 0.05), "")</f>
        <v>0.30000000000000004</v>
      </c>
      <c r="AI178" s="325">
        <f>IFERROR(LARGE(tblPiNAnalysis[[#This Row],[CCCM]:[WASH]], 1), "")</f>
        <v>16563.368519205622</v>
      </c>
      <c r="AJ178" s="326" t="str" cm="1">
        <f t="array" ref="AJ178">IF(tblPiNAnalysis[[#This Row],[Highest PiN]]="", "", _xlfn.TEXTJOIN(CHAR(10), TRUE, IF(tblPiNAnalysis[[#This Row],[Highest PiN]]=tblPiNAnalysis[[#This Row],[CCCM]:[WASH]], tblPiNAnalysis[[#Headers],[CCCM]:[WASH]], "")))</f>
        <v>WASH</v>
      </c>
      <c r="AK178" s="327">
        <f>IF(tblPiNAnalysis[[#This Row],[Highest PiN]]="", "", tblPiNAnalysis[[#This Row],[Highest PiN]]/tblPiNAnalysis[[#This Row],[Affected population projection 2026]])</f>
        <v>0.85365853658536583</v>
      </c>
      <c r="AL178" s="328" t="str">
        <f>IF(SUM(tblPiNAnalysis[[#This Row],[CCCM]:[WASH]])=0, "",IF(COUNTIF(tblPiNAnalysis[[#This Row],[CCCM]:[WASH]],"=0")+COUNTIF(tblPiNAnalysis[[#This Row],[CCCM]:[WASH]],"")&gt;=zero_pin_thresh, "Flagged", ""))</f>
        <v/>
      </c>
      <c r="AM178" s="329" t="str">
        <f>IFERROR(IF(tblPiNAnalysis[[#This Row],[Highest PiN]]="", "", IF(tblPiNAnalysis[[#This Row],[Highest sector(s'') PiN %]]&gt;=flag_pin_perc, "Flagged", "")), "")</f>
        <v/>
      </c>
      <c r="AN178" s="330" t="str" cm="1">
        <f t="array" ref="AN178">IF(tblPiNAnalysis[[#This Row],[Highest PiN]]=0, "",  IF(OR(COUNTIF(tblPiNAnalysis[[#This Row],[Highest sector(s)]],tblSubSectorPopulation[Sector])), "Flagged", ""))</f>
        <v/>
      </c>
      <c r="AO178" s="46" cm="1">
        <f t="array" ref="AO17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14354.844208934554</v>
      </c>
      <c r="AP178" s="331" t="str" cm="1">
        <f t="array" ref="AP178">IF(tblPiNAnalysis[[#This Row],[2nd Highest PiN]]="", "", _xlfn.TEXTJOIN(CHAR(10), TRUE, IF(tblPiNAnalysis[[#This Row],[2nd Highest PiN]]=tblPiNAnalysis[[#This Row],[CCCM]:[WASH]], tblPiNAnalysis[[#Headers],[CCCM]:[WASH]], "")))</f>
        <v>Food Security</v>
      </c>
      <c r="AQ178" s="36">
        <f>IFERROR(tblPiNAnalysis[[#This Row],[2nd Highest PiN]]/tblPiNAnalysis[[#This Row],[Affected population projection 2026]], "")</f>
        <v>0.7398335239659144</v>
      </c>
      <c r="AR178" s="46">
        <f>IFERROR(tblPiNAnalysis[[#This Row],[Highest PiN]]-tblPiNAnalysis[[#This Row],[2nd Highest PiN]], "")</f>
        <v>2208.5243102710683</v>
      </c>
      <c r="AS178" s="39">
        <f>IFERROR(((tblPiNAnalysis[[#This Row],[Highest PiN]]-tblPiNAnalysis[[#This Row],[2nd Highest PiN]])/tblPiNAnalysis[[#This Row],[2nd Highest PiN]]),"")</f>
        <v>0.15385219638235206</v>
      </c>
      <c r="AT178" s="39" t="str" cm="1">
        <f t="array" ref="AT17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78" s="332" cm="1">
        <f t="array" ref="AU17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13028</v>
      </c>
      <c r="AV178" s="190" t="str" cm="1">
        <f t="array" ref="AV178">IF(tblPiNAnalysis[[#This Row],[3rd Highest PiN]]="", "", _xlfn.TEXTJOIN(CHAR(10), TRUE, IF(tblPiNAnalysis[[#This Row],[3rd Highest PiN]]=tblPiNAnalysis[[#This Row],[CCCM]:[WASH]], tblPiNAnalysis[[#Headers],[CCCM]:[WASH]], "")))</f>
        <v>Overarching Protection</v>
      </c>
      <c r="AW178" s="190">
        <f>IFERROR(tblPiNAnalysis[[#This Row],[3rd Highest PiN]]/tblPiNAnalysis[[#This Row],[Affected population projection 2026]], "")</f>
        <v>0.6714493734615965</v>
      </c>
      <c r="AX178" s="45">
        <f>IFERROR(tblPiNAnalysis[[#This Row],[Highest PiN]]-tblPiNAnalysis[[#This Row],[3rd Highest PiN]],"")</f>
        <v>3535.3685192056219</v>
      </c>
      <c r="AY178" s="39">
        <f>IFERROR(tblPiNAnalysis[[#This Row],[Difference of PiN between Highest and 3rd Highest]]/tblPiNAnalysis[[#This Row],[3rd Highest PiN]], "")</f>
        <v>0.27136694191016442</v>
      </c>
      <c r="AZ178" s="330" t="str" cm="1">
        <f t="array" ref="AZ17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78" s="300" t="str" cm="1">
        <f t="array" ref="BA178">IFERROR(IF(tblPiNAnalysis[[#This Row],[ID]]="", "", INDEX(tblPiNHistorical[[CCCM]:[WASH]], MATCH(tblPiNAnalysis[[#This Row],[ID]],tblPiNHistorical[ID], 0),MATCH(_xlfn._xlws.FILTER(tblPiNAnalysis[[#Headers],[CCCM]:[WASH]], tblPiNAnalysis[[#This Row],[Highest PiN]]=tblPiNAnalysis[[#This Row],[CCCM]:[WASH]]), tblPiNHistorical[[#Headers],[CCCM]:[WASH]], 0))), "")</f>
        <v/>
      </c>
      <c r="BB178" s="333" t="str" cm="1">
        <f t="array" ref="BB17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8" s="276" t="str" cm="1">
        <f t="array" ref="BC17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8" s="334" t="str" cm="1">
        <f t="array" ref="BD17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8" s="276">
        <f>INDEX(tblSeverityAnalysis[Final Severity], MATCH(tblPiNAnalysis[[#This Row],[ID]],tblSeverityAnalysis[ID], 0))</f>
        <v>4</v>
      </c>
      <c r="BF178" s="61">
        <f>IF(tblPiNAnalysis[[#This Row],[Severity]]&gt;2,tblPiNAnalysis[[#This Row],[Highest PiN]],)</f>
        <v>16563.368519205622</v>
      </c>
      <c r="BG178" s="191"/>
      <c r="BH178" s="192"/>
      <c r="BI178" s="193">
        <f>COUNTIFS(tblPiNAnalysis[[#This Row],[Number of missing / zero PiNs greater than threshold - Data quality]:[Manual Flag]],"Flagged")</f>
        <v>0</v>
      </c>
      <c r="BJ178" s="96" t="str">
        <f>IF(tblPiNAnalysis[[#This Row],['# Flags]]&gt;0, "Flagged", "")</f>
        <v/>
      </c>
      <c r="BK178" s="326">
        <f>tblPiNAnalysis[[#This Row],[Preliminary PiN]]</f>
        <v>16563.368519205622</v>
      </c>
      <c r="BL178" s="331"/>
    </row>
    <row r="179" spans="1:64" x14ac:dyDescent="0.55000000000000004">
      <c r="A17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SS0303</v>
      </c>
      <c r="B179" s="316" t="s">
        <v>268</v>
      </c>
      <c r="C179" s="317" t="s">
        <v>269</v>
      </c>
      <c r="D179" s="317" t="s">
        <v>274</v>
      </c>
      <c r="E179" s="105" t="s">
        <v>275</v>
      </c>
      <c r="F179" s="100"/>
      <c r="G179" s="34"/>
      <c r="H179" s="34"/>
      <c r="I179" s="97">
        <v>16703</v>
      </c>
      <c r="J179" s="97" t="s">
        <v>414</v>
      </c>
      <c r="K179" s="318">
        <v>2505.4499999999998</v>
      </c>
      <c r="L179" s="319">
        <v>3377.8476900000001</v>
      </c>
      <c r="M179" s="319">
        <v>6415.9295294799977</v>
      </c>
      <c r="N179" s="319">
        <v>3990.7633766061545</v>
      </c>
      <c r="O179" s="319">
        <v>9278.9643798115412</v>
      </c>
      <c r="P179" s="319">
        <v>11075</v>
      </c>
      <c r="Q179" s="320">
        <v>16703</v>
      </c>
      <c r="R179" s="319">
        <v>7887.5277777777774</v>
      </c>
      <c r="S179" s="319">
        <v>6861</v>
      </c>
      <c r="T179" s="319">
        <v>2199</v>
      </c>
      <c r="U179" s="319">
        <v>3125</v>
      </c>
      <c r="V179" s="319">
        <v>4166</v>
      </c>
      <c r="W179" s="321">
        <f>IFERROR(IF(tblPiNAnalysis[[#This Row],[CCCM]]="", "", MROUND(tblPiNAnalysis[[#This Row],[CCCM]]/tblPiNAnalysis[[#This Row],[Affected population projection 2026]], 0.05)), "")</f>
        <v>0.15000000000000002</v>
      </c>
      <c r="X179" s="322">
        <f>IFERROR(IF(tblPiNAnalysis[[#This Row],[Education]]="", "", MROUND(tblPiNAnalysis[[#This Row],[Education]]/tblPiNAnalysis[[#This Row],[Affected population projection 2026]], 0.05)), "")</f>
        <v>0.2</v>
      </c>
      <c r="Y179" s="322">
        <f>IFERROR(IF(tblPiNAnalysis[[#This Row],[Nutrition]]="", "", MROUND(tblPiNAnalysis[[#This Row],[Nutrition]]/tblPiNAnalysis[[#This Row],[Affected population projection 2026]], 0.05)), "")</f>
        <v>0.4</v>
      </c>
      <c r="Z179" s="322">
        <f>IFERROR(IF(tblPiNAnalysis[[#This Row],[Food Security]]="", "", MROUND(tblPiNAnalysis[[#This Row],[Food Security]]/tblPiNAnalysis[[#This Row],[Affected population projection 2026]], 0.05)), "")</f>
        <v>0.25</v>
      </c>
      <c r="AA179" s="322">
        <f>IFERROR(IF(tblPiNAnalysis[[#This Row],[Health]]="", "", MROUND(tblPiNAnalysis[[#This Row],[Health]]/tblPiNAnalysis[[#This Row],[Affected population projection 2026]], 0.05)), "")</f>
        <v>0.55000000000000004</v>
      </c>
      <c r="AB179" s="323">
        <f>IFERROR(IF(tblPiNAnalysis[[#This Row],[Overarching Protection]]="", "", MROUND(tblPiNAnalysis[[#This Row],[Overarching Protection]]/tblPiNAnalysis[[#This Row],[Affected population projection 2026]], 0.05)), "")</f>
        <v>0.65</v>
      </c>
      <c r="AC179" s="323">
        <f>IFERROR(IF(tblPiNAnalysis[[#This Row],[Shelter]]="", "", MROUND(tblPiNAnalysis[[#This Row],[Shelter]]/tblPiNAnalysis[[#This Row],[Affected population projection 2026]], 0.05)), "")</f>
        <v>1</v>
      </c>
      <c r="AD179" s="324">
        <f>IFERROR(IF(tblPiNAnalysis[[#This Row],[WASH]]="", "", MROUND(tblPiNAnalysis[[#This Row],[WASH]]/tblPiNAnalysis[[#This Row],[Affected population projection 2026]], 0.05)), "")</f>
        <v>0.45</v>
      </c>
      <c r="AE179" s="322">
        <f>IFERROR(MROUND(tblPiNAnalysis[[#This Row],[CP]]/tblPiNAnalysis[[#This Row],[Affected population projection 2026]], 0.05), "")</f>
        <v>0.4</v>
      </c>
      <c r="AF179" s="322">
        <f>IFERROR(MROUND(tblPiNAnalysis[[#This Row],[GBV]]/tblPiNAnalysis[[#This Row],[Affected population projection 2026]], 0.05), "")</f>
        <v>0.15000000000000002</v>
      </c>
      <c r="AG179" s="322">
        <f>IFERROR(MROUND(tblPiNAnalysis[[#This Row],[Mine Action]]/tblPiNAnalysis[[#This Row],[Affected population projection 2026]], 0.05), "")</f>
        <v>0.2</v>
      </c>
      <c r="AH179" s="322">
        <f>IFERROR(MROUND(tblPiNAnalysis[[#This Row],[HLP]]/tblPiNAnalysis[[#This Row],[Affected population projection 2026]], 0.05), "")</f>
        <v>0.25</v>
      </c>
      <c r="AI179" s="325">
        <f>IFERROR(LARGE(tblPiNAnalysis[[#This Row],[CCCM]:[WASH]], 1), "")</f>
        <v>16703</v>
      </c>
      <c r="AJ179" s="326" t="str" cm="1">
        <f t="array" ref="AJ179">IF(tblPiNAnalysis[[#This Row],[Highest PiN]]="", "", _xlfn.TEXTJOIN(CHAR(10), TRUE, IF(tblPiNAnalysis[[#This Row],[Highest PiN]]=tblPiNAnalysis[[#This Row],[CCCM]:[WASH]], tblPiNAnalysis[[#Headers],[CCCM]:[WASH]], "")))</f>
        <v>Shelter</v>
      </c>
      <c r="AK179" s="327">
        <f>IF(tblPiNAnalysis[[#This Row],[Highest PiN]]="", "", tblPiNAnalysis[[#This Row],[Highest PiN]]/tblPiNAnalysis[[#This Row],[Affected population projection 2026]])</f>
        <v>1</v>
      </c>
      <c r="AL179" s="328" t="str">
        <f>IF(SUM(tblPiNAnalysis[[#This Row],[CCCM]:[WASH]])=0, "",IF(COUNTIF(tblPiNAnalysis[[#This Row],[CCCM]:[WASH]],"=0")+COUNTIF(tblPiNAnalysis[[#This Row],[CCCM]:[WASH]],"")&gt;=zero_pin_thresh, "Flagged", ""))</f>
        <v/>
      </c>
      <c r="AM179" s="329" t="str">
        <f>IFERROR(IF(tblPiNAnalysis[[#This Row],[Highest PiN]]="", "", IF(tblPiNAnalysis[[#This Row],[Highest sector(s'') PiN %]]&gt;=flag_pin_perc, "Flagged", "")), "")</f>
        <v>Flagged</v>
      </c>
      <c r="AN179" s="330" t="str" cm="1">
        <f t="array" ref="AN179">IF(tblPiNAnalysis[[#This Row],[Highest PiN]]=0, "",  IF(OR(COUNTIF(tblPiNAnalysis[[#This Row],[Highest sector(s)]],tblSubSectorPopulation[Sector])), "Flagged", ""))</f>
        <v/>
      </c>
      <c r="AO179" s="46" cm="1">
        <f t="array" ref="AO17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11075</v>
      </c>
      <c r="AP179" s="331" t="str" cm="1">
        <f t="array" ref="AP179">IF(tblPiNAnalysis[[#This Row],[2nd Highest PiN]]="", "", _xlfn.TEXTJOIN(CHAR(10), TRUE, IF(tblPiNAnalysis[[#This Row],[2nd Highest PiN]]=tblPiNAnalysis[[#This Row],[CCCM]:[WASH]], tblPiNAnalysis[[#Headers],[CCCM]:[WASH]], "")))</f>
        <v>Overarching Protection</v>
      </c>
      <c r="AQ179" s="36">
        <f>IFERROR(tblPiNAnalysis[[#This Row],[2nd Highest PiN]]/tblPiNAnalysis[[#This Row],[Affected population projection 2026]], "")</f>
        <v>0.66305454110040107</v>
      </c>
      <c r="AR179" s="46">
        <f>IFERROR(tblPiNAnalysis[[#This Row],[Highest PiN]]-tblPiNAnalysis[[#This Row],[2nd Highest PiN]], "")</f>
        <v>5628</v>
      </c>
      <c r="AS179" s="39">
        <f>IFERROR(((tblPiNAnalysis[[#This Row],[Highest PiN]]-tblPiNAnalysis[[#This Row],[2nd Highest PiN]])/tblPiNAnalysis[[#This Row],[2nd Highest PiN]]),"")</f>
        <v>0.50817155756207677</v>
      </c>
      <c r="AT179" s="39" t="str" cm="1">
        <f t="array" ref="AT17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79" s="332" cm="1">
        <f t="array" ref="AU17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9278.9643798115412</v>
      </c>
      <c r="AV179" s="190" t="str" cm="1">
        <f t="array" ref="AV179">IF(tblPiNAnalysis[[#This Row],[3rd Highest PiN]]="", "", _xlfn.TEXTJOIN(CHAR(10), TRUE, IF(tblPiNAnalysis[[#This Row],[3rd Highest PiN]]=tblPiNAnalysis[[#This Row],[CCCM]:[WASH]], tblPiNAnalysis[[#Headers],[CCCM]:[WASH]], "")))</f>
        <v>Health</v>
      </c>
      <c r="AW179" s="190">
        <f>IFERROR(tblPiNAnalysis[[#This Row],[3rd Highest PiN]]/tblPiNAnalysis[[#This Row],[Affected population projection 2026]], "")</f>
        <v>0.55552681433344553</v>
      </c>
      <c r="AX179" s="45">
        <f>IFERROR(tblPiNAnalysis[[#This Row],[Highest PiN]]-tblPiNAnalysis[[#This Row],[3rd Highest PiN]],"")</f>
        <v>7424.0356201884588</v>
      </c>
      <c r="AY179" s="39">
        <f>IFERROR(tblPiNAnalysis[[#This Row],[Difference of PiN between Highest and 3rd Highest]]/tblPiNAnalysis[[#This Row],[3rd Highest PiN]], "")</f>
        <v>0.800093126377455</v>
      </c>
      <c r="AZ179" s="330" t="str" cm="1">
        <f t="array" ref="AZ17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79" s="300" t="str" cm="1">
        <f t="array" ref="BA179">IFERROR(IF(tblPiNAnalysis[[#This Row],[ID]]="", "", INDEX(tblPiNHistorical[[CCCM]:[WASH]], MATCH(tblPiNAnalysis[[#This Row],[ID]],tblPiNHistorical[ID], 0),MATCH(_xlfn._xlws.FILTER(tblPiNAnalysis[[#Headers],[CCCM]:[WASH]], tblPiNAnalysis[[#This Row],[Highest PiN]]=tblPiNAnalysis[[#This Row],[CCCM]:[WASH]]), tblPiNHistorical[[#Headers],[CCCM]:[WASH]], 0))), "")</f>
        <v/>
      </c>
      <c r="BB179" s="333" t="str" cm="1">
        <f t="array" ref="BB17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9" s="276" t="str" cm="1">
        <f t="array" ref="BC17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79" s="334" t="str" cm="1">
        <f t="array" ref="BD17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9" s="276">
        <f>INDEX(tblSeverityAnalysis[Final Severity], MATCH(tblPiNAnalysis[[#This Row],[ID]],tblSeverityAnalysis[ID], 0))</f>
        <v>3</v>
      </c>
      <c r="BF179" s="61">
        <f>IF(tblPiNAnalysis[[#This Row],[Severity]]&gt;2,tblPiNAnalysis[[#This Row],[Highest PiN]],)</f>
        <v>16703</v>
      </c>
      <c r="BG179" s="191"/>
      <c r="BH179" s="192"/>
      <c r="BI179" s="193">
        <f>COUNTIFS(tblPiNAnalysis[[#This Row],[Number of missing / zero PiNs greater than threshold - Data quality]:[Manual Flag]],"Flagged")</f>
        <v>3</v>
      </c>
      <c r="BJ179" s="96" t="str">
        <f>IF(tblPiNAnalysis[[#This Row],['# Flags]]&gt;0, "Flagged", "")</f>
        <v>Flagged</v>
      </c>
      <c r="BK179" s="326">
        <f>tblPiNAnalysis[[#This Row],[Preliminary PiN]]</f>
        <v>16703</v>
      </c>
      <c r="BL179" s="331"/>
    </row>
    <row r="180" spans="1:64" x14ac:dyDescent="0.55000000000000004">
      <c r="A18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SS0304</v>
      </c>
      <c r="B180" s="316" t="s">
        <v>268</v>
      </c>
      <c r="C180" s="317" t="s">
        <v>269</v>
      </c>
      <c r="D180" s="317" t="s">
        <v>276</v>
      </c>
      <c r="E180" s="105" t="s">
        <v>277</v>
      </c>
      <c r="F180" s="100"/>
      <c r="G180" s="34"/>
      <c r="H180" s="34"/>
      <c r="I180" s="97">
        <v>1206</v>
      </c>
      <c r="J180" s="97" t="s">
        <v>414</v>
      </c>
      <c r="K180" s="318">
        <v>180.9</v>
      </c>
      <c r="L180" s="319">
        <v>196.24273199999999</v>
      </c>
      <c r="M180" s="319">
        <v>456.88047877546308</v>
      </c>
      <c r="N180" s="319">
        <v>1059.5901370629763</v>
      </c>
      <c r="O180" s="319">
        <v>888.41415553740876</v>
      </c>
      <c r="P180" s="319">
        <v>965</v>
      </c>
      <c r="Q180" s="320">
        <v>0</v>
      </c>
      <c r="R180" s="319">
        <v>1161.3333333333333</v>
      </c>
      <c r="S180" s="319">
        <v>499</v>
      </c>
      <c r="T180" s="319">
        <v>477</v>
      </c>
      <c r="U180" s="319">
        <v>587</v>
      </c>
      <c r="V180" s="319">
        <v>318</v>
      </c>
      <c r="W180" s="321">
        <f>IFERROR(IF(tblPiNAnalysis[[#This Row],[CCCM]]="", "", MROUND(tblPiNAnalysis[[#This Row],[CCCM]]/tblPiNAnalysis[[#This Row],[Affected population projection 2026]], 0.05)), "")</f>
        <v>0.15000000000000002</v>
      </c>
      <c r="X180" s="322">
        <f>IFERROR(IF(tblPiNAnalysis[[#This Row],[Education]]="", "", MROUND(tblPiNAnalysis[[#This Row],[Education]]/tblPiNAnalysis[[#This Row],[Affected population projection 2026]], 0.05)), "")</f>
        <v>0.15000000000000002</v>
      </c>
      <c r="Y180" s="322">
        <f>IFERROR(IF(tblPiNAnalysis[[#This Row],[Nutrition]]="", "", MROUND(tblPiNAnalysis[[#This Row],[Nutrition]]/tblPiNAnalysis[[#This Row],[Affected population projection 2026]], 0.05)), "")</f>
        <v>0.4</v>
      </c>
      <c r="Z180" s="322">
        <f>IFERROR(IF(tblPiNAnalysis[[#This Row],[Food Security]]="", "", MROUND(tblPiNAnalysis[[#This Row],[Food Security]]/tblPiNAnalysis[[#This Row],[Affected population projection 2026]], 0.05)), "")</f>
        <v>0.9</v>
      </c>
      <c r="AA180" s="322">
        <f>IFERROR(IF(tblPiNAnalysis[[#This Row],[Health]]="", "", MROUND(tblPiNAnalysis[[#This Row],[Health]]/tblPiNAnalysis[[#This Row],[Affected population projection 2026]], 0.05)), "")</f>
        <v>0.75</v>
      </c>
      <c r="AB180" s="323">
        <f>IFERROR(IF(tblPiNAnalysis[[#This Row],[Overarching Protection]]="", "", MROUND(tblPiNAnalysis[[#This Row],[Overarching Protection]]/tblPiNAnalysis[[#This Row],[Affected population projection 2026]], 0.05)), "")</f>
        <v>0.8</v>
      </c>
      <c r="AC180" s="323">
        <f>IFERROR(IF(tblPiNAnalysis[[#This Row],[Shelter]]="", "", MROUND(tblPiNAnalysis[[#This Row],[Shelter]]/tblPiNAnalysis[[#This Row],[Affected population projection 2026]], 0.05)), "")</f>
        <v>0</v>
      </c>
      <c r="AD180" s="324">
        <f>IFERROR(IF(tblPiNAnalysis[[#This Row],[WASH]]="", "", MROUND(tblPiNAnalysis[[#This Row],[WASH]]/tblPiNAnalysis[[#This Row],[Affected population projection 2026]], 0.05)), "")</f>
        <v>0.95000000000000007</v>
      </c>
      <c r="AE180" s="322">
        <f>IFERROR(MROUND(tblPiNAnalysis[[#This Row],[CP]]/tblPiNAnalysis[[#This Row],[Affected population projection 2026]], 0.05), "")</f>
        <v>0.4</v>
      </c>
      <c r="AF180" s="322">
        <f>IFERROR(MROUND(tblPiNAnalysis[[#This Row],[GBV]]/tblPiNAnalysis[[#This Row],[Affected population projection 2026]], 0.05), "")</f>
        <v>0.4</v>
      </c>
      <c r="AG180" s="322">
        <f>IFERROR(MROUND(tblPiNAnalysis[[#This Row],[Mine Action]]/tblPiNAnalysis[[#This Row],[Affected population projection 2026]], 0.05), "")</f>
        <v>0.5</v>
      </c>
      <c r="AH180" s="322">
        <f>IFERROR(MROUND(tblPiNAnalysis[[#This Row],[HLP]]/tblPiNAnalysis[[#This Row],[Affected population projection 2026]], 0.05), "")</f>
        <v>0.25</v>
      </c>
      <c r="AI180" s="325">
        <f>IFERROR(LARGE(tblPiNAnalysis[[#This Row],[CCCM]:[WASH]], 1), "")</f>
        <v>1161.3333333333333</v>
      </c>
      <c r="AJ180" s="326" t="str" cm="1">
        <f t="array" ref="AJ180">IF(tblPiNAnalysis[[#This Row],[Highest PiN]]="", "", _xlfn.TEXTJOIN(CHAR(10), TRUE, IF(tblPiNAnalysis[[#This Row],[Highest PiN]]=tblPiNAnalysis[[#This Row],[CCCM]:[WASH]], tblPiNAnalysis[[#Headers],[CCCM]:[WASH]], "")))</f>
        <v>WASH</v>
      </c>
      <c r="AK180" s="327">
        <f>IF(tblPiNAnalysis[[#This Row],[Highest PiN]]="", "", tblPiNAnalysis[[#This Row],[Highest PiN]]/tblPiNAnalysis[[#This Row],[Affected population projection 2026]])</f>
        <v>0.96296296296296291</v>
      </c>
      <c r="AL180" s="328" t="str">
        <f>IF(SUM(tblPiNAnalysis[[#This Row],[CCCM]:[WASH]])=0, "",IF(COUNTIF(tblPiNAnalysis[[#This Row],[CCCM]:[WASH]],"=0")+COUNTIF(tblPiNAnalysis[[#This Row],[CCCM]:[WASH]],"")&gt;=zero_pin_thresh, "Flagged", ""))</f>
        <v/>
      </c>
      <c r="AM180" s="329" t="str">
        <f>IFERROR(IF(tblPiNAnalysis[[#This Row],[Highest PiN]]="", "", IF(tblPiNAnalysis[[#This Row],[Highest sector(s'') PiN %]]&gt;=flag_pin_perc, "Flagged", "")), "")</f>
        <v>Flagged</v>
      </c>
      <c r="AN180" s="330" t="str" cm="1">
        <f t="array" ref="AN180">IF(tblPiNAnalysis[[#This Row],[Highest PiN]]=0, "",  IF(OR(COUNTIF(tblPiNAnalysis[[#This Row],[Highest sector(s)]],tblSubSectorPopulation[Sector])), "Flagged", ""))</f>
        <v/>
      </c>
      <c r="AO180" s="46" cm="1">
        <f t="array" ref="AO18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1059.5901370629763</v>
      </c>
      <c r="AP180" s="331" t="str" cm="1">
        <f t="array" ref="AP180">IF(tblPiNAnalysis[[#This Row],[2nd Highest PiN]]="", "", _xlfn.TEXTJOIN(CHAR(10), TRUE, IF(tblPiNAnalysis[[#This Row],[2nd Highest PiN]]=tblPiNAnalysis[[#This Row],[CCCM]:[WASH]], tblPiNAnalysis[[#Headers],[CCCM]:[WASH]], "")))</f>
        <v>Food Security</v>
      </c>
      <c r="AQ180" s="36">
        <f>IFERROR(tblPiNAnalysis[[#This Row],[2nd Highest PiN]]/tblPiNAnalysis[[#This Row],[Affected population projection 2026]], "")</f>
        <v>0.87859878695105831</v>
      </c>
      <c r="AR180" s="46">
        <f>IFERROR(tblPiNAnalysis[[#This Row],[Highest PiN]]-tblPiNAnalysis[[#This Row],[2nd Highest PiN]], "")</f>
        <v>101.74319627035698</v>
      </c>
      <c r="AS180" s="39">
        <f>IFERROR(((tblPiNAnalysis[[#This Row],[Highest PiN]]-tblPiNAnalysis[[#This Row],[2nd Highest PiN]])/tblPiNAnalysis[[#This Row],[2nd Highest PiN]]),"")</f>
        <v>9.602127531346577E-2</v>
      </c>
      <c r="AT180" s="39" t="str" cm="1">
        <f t="array" ref="AT18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0" s="332" cm="1">
        <f t="array" ref="AU18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965</v>
      </c>
      <c r="AV180" s="190" t="str" cm="1">
        <f t="array" ref="AV180">IF(tblPiNAnalysis[[#This Row],[3rd Highest PiN]]="", "", _xlfn.TEXTJOIN(CHAR(10), TRUE, IF(tblPiNAnalysis[[#This Row],[3rd Highest PiN]]=tblPiNAnalysis[[#This Row],[CCCM]:[WASH]], tblPiNAnalysis[[#Headers],[CCCM]:[WASH]], "")))</f>
        <v>Overarching Protection</v>
      </c>
      <c r="AW180" s="190">
        <f>IFERROR(tblPiNAnalysis[[#This Row],[3rd Highest PiN]]/tblPiNAnalysis[[#This Row],[Affected population projection 2026]], "")</f>
        <v>0.80016583747927028</v>
      </c>
      <c r="AX180" s="45">
        <f>IFERROR(tblPiNAnalysis[[#This Row],[Highest PiN]]-tblPiNAnalysis[[#This Row],[3rd Highest PiN]],"")</f>
        <v>196.33333333333326</v>
      </c>
      <c r="AY180" s="39">
        <f>IFERROR(tblPiNAnalysis[[#This Row],[Difference of PiN between Highest and 3rd Highest]]/tblPiNAnalysis[[#This Row],[3rd Highest PiN]], "")</f>
        <v>0.20345423143350597</v>
      </c>
      <c r="AZ180" s="330" t="str" cm="1">
        <f t="array" ref="AZ18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0" s="300" t="str" cm="1">
        <f t="array" ref="BA180">IFERROR(IF(tblPiNAnalysis[[#This Row],[ID]]="", "", INDEX(tblPiNHistorical[[CCCM]:[WASH]], MATCH(tblPiNAnalysis[[#This Row],[ID]],tblPiNHistorical[ID], 0),MATCH(_xlfn._xlws.FILTER(tblPiNAnalysis[[#Headers],[CCCM]:[WASH]], tblPiNAnalysis[[#This Row],[Highest PiN]]=tblPiNAnalysis[[#This Row],[CCCM]:[WASH]]), tblPiNHistorical[[#Headers],[CCCM]:[WASH]], 0))), "")</f>
        <v/>
      </c>
      <c r="BB180" s="333" t="str" cm="1">
        <f t="array" ref="BB18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0" s="276" t="str" cm="1">
        <f t="array" ref="BC18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0" s="334" t="str" cm="1">
        <f t="array" ref="BD18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0" s="276">
        <f>INDEX(tblSeverityAnalysis[Final Severity], MATCH(tblPiNAnalysis[[#This Row],[ID]],tblSeverityAnalysis[ID], 0))</f>
        <v>4</v>
      </c>
      <c r="BF180" s="61">
        <f>IF(tblPiNAnalysis[[#This Row],[Severity]]&gt;2,tblPiNAnalysis[[#This Row],[Highest PiN]],)</f>
        <v>1161.3333333333333</v>
      </c>
      <c r="BG180" s="191"/>
      <c r="BH180" s="192"/>
      <c r="BI180" s="193">
        <f>COUNTIFS(tblPiNAnalysis[[#This Row],[Number of missing / zero PiNs greater than threshold - Data quality]:[Manual Flag]],"Flagged")</f>
        <v>1</v>
      </c>
      <c r="BJ180" s="96" t="str">
        <f>IF(tblPiNAnalysis[[#This Row],['# Flags]]&gt;0, "Flagged", "")</f>
        <v>Flagged</v>
      </c>
      <c r="BK180" s="326">
        <f>tblPiNAnalysis[[#This Row],[Preliminary PiN]]</f>
        <v>1161.3333333333333</v>
      </c>
      <c r="BL180" s="331"/>
    </row>
    <row r="181" spans="1:64" x14ac:dyDescent="0.55000000000000004">
      <c r="A18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SS0305</v>
      </c>
      <c r="B181" s="316" t="s">
        <v>268</v>
      </c>
      <c r="C181" s="317" t="s">
        <v>269</v>
      </c>
      <c r="D181" s="317" t="s">
        <v>278</v>
      </c>
      <c r="E181" s="105" t="s">
        <v>279</v>
      </c>
      <c r="F181" s="100"/>
      <c r="G181" s="34"/>
      <c r="H181" s="34"/>
      <c r="I181" s="97">
        <v>9262.1428571428605</v>
      </c>
      <c r="J181" s="97" t="s">
        <v>414</v>
      </c>
      <c r="K181" s="318">
        <v>1389.3214285714291</v>
      </c>
      <c r="L181" s="319">
        <v>887.40590714285759</v>
      </c>
      <c r="M181" s="319">
        <v>3511.5721042289201</v>
      </c>
      <c r="N181" s="319">
        <v>6460.6905099793312</v>
      </c>
      <c r="O181" s="319">
        <v>6160.8436802923252</v>
      </c>
      <c r="P181" s="319">
        <v>6483</v>
      </c>
      <c r="Q181" s="320">
        <v>9262.1428571428605</v>
      </c>
      <c r="R181" s="319">
        <v>4373.7896825396838</v>
      </c>
      <c r="S181" s="319">
        <v>3895</v>
      </c>
      <c r="T181" s="319">
        <v>4069</v>
      </c>
      <c r="U181" s="319">
        <v>1893</v>
      </c>
      <c r="V181" s="319">
        <v>2594</v>
      </c>
      <c r="W181" s="321">
        <f>IFERROR(IF(tblPiNAnalysis[[#This Row],[CCCM]]="", "", MROUND(tblPiNAnalysis[[#This Row],[CCCM]]/tblPiNAnalysis[[#This Row],[Affected population projection 2026]], 0.05)), "")</f>
        <v>0.15000000000000002</v>
      </c>
      <c r="X181" s="322">
        <f>IFERROR(IF(tblPiNAnalysis[[#This Row],[Education]]="", "", MROUND(tblPiNAnalysis[[#This Row],[Education]]/tblPiNAnalysis[[#This Row],[Affected population projection 2026]], 0.05)), "")</f>
        <v>0.1</v>
      </c>
      <c r="Y181" s="322">
        <f>IFERROR(IF(tblPiNAnalysis[[#This Row],[Nutrition]]="", "", MROUND(tblPiNAnalysis[[#This Row],[Nutrition]]/tblPiNAnalysis[[#This Row],[Affected population projection 2026]], 0.05)), "")</f>
        <v>0.4</v>
      </c>
      <c r="Z181" s="322">
        <f>IFERROR(IF(tblPiNAnalysis[[#This Row],[Food Security]]="", "", MROUND(tblPiNAnalysis[[#This Row],[Food Security]]/tblPiNAnalysis[[#This Row],[Affected population projection 2026]], 0.05)), "")</f>
        <v>0.70000000000000007</v>
      </c>
      <c r="AA181" s="322">
        <f>IFERROR(IF(tblPiNAnalysis[[#This Row],[Health]]="", "", MROUND(tblPiNAnalysis[[#This Row],[Health]]/tblPiNAnalysis[[#This Row],[Affected population projection 2026]], 0.05)), "")</f>
        <v>0.65</v>
      </c>
      <c r="AB181" s="323">
        <f>IFERROR(IF(tblPiNAnalysis[[#This Row],[Overarching Protection]]="", "", MROUND(tblPiNAnalysis[[#This Row],[Overarching Protection]]/tblPiNAnalysis[[#This Row],[Affected population projection 2026]], 0.05)), "")</f>
        <v>0.70000000000000007</v>
      </c>
      <c r="AC181" s="323">
        <f>IFERROR(IF(tblPiNAnalysis[[#This Row],[Shelter]]="", "", MROUND(tblPiNAnalysis[[#This Row],[Shelter]]/tblPiNAnalysis[[#This Row],[Affected population projection 2026]], 0.05)), "")</f>
        <v>1</v>
      </c>
      <c r="AD181" s="324">
        <f>IFERROR(IF(tblPiNAnalysis[[#This Row],[WASH]]="", "", MROUND(tblPiNAnalysis[[#This Row],[WASH]]/tblPiNAnalysis[[#This Row],[Affected population projection 2026]], 0.05)), "")</f>
        <v>0.45</v>
      </c>
      <c r="AE181" s="322">
        <f>IFERROR(MROUND(tblPiNAnalysis[[#This Row],[CP]]/tblPiNAnalysis[[#This Row],[Affected population projection 2026]], 0.05), "")</f>
        <v>0.4</v>
      </c>
      <c r="AF181" s="322">
        <f>IFERROR(MROUND(tblPiNAnalysis[[#This Row],[GBV]]/tblPiNAnalysis[[#This Row],[Affected population projection 2026]], 0.05), "")</f>
        <v>0.45</v>
      </c>
      <c r="AG181" s="322">
        <f>IFERROR(MROUND(tblPiNAnalysis[[#This Row],[Mine Action]]/tblPiNAnalysis[[#This Row],[Affected population projection 2026]], 0.05), "")</f>
        <v>0.2</v>
      </c>
      <c r="AH181" s="322">
        <f>IFERROR(MROUND(tblPiNAnalysis[[#This Row],[HLP]]/tblPiNAnalysis[[#This Row],[Affected population projection 2026]], 0.05), "")</f>
        <v>0.30000000000000004</v>
      </c>
      <c r="AI181" s="325">
        <f>IFERROR(LARGE(tblPiNAnalysis[[#This Row],[CCCM]:[WASH]], 1), "")</f>
        <v>9262.1428571428605</v>
      </c>
      <c r="AJ181" s="326" t="str" cm="1">
        <f t="array" ref="AJ181">IF(tblPiNAnalysis[[#This Row],[Highest PiN]]="", "", _xlfn.TEXTJOIN(CHAR(10), TRUE, IF(tblPiNAnalysis[[#This Row],[Highest PiN]]=tblPiNAnalysis[[#This Row],[CCCM]:[WASH]], tblPiNAnalysis[[#Headers],[CCCM]:[WASH]], "")))</f>
        <v>Shelter</v>
      </c>
      <c r="AK181" s="327">
        <f>IF(tblPiNAnalysis[[#This Row],[Highest PiN]]="", "", tblPiNAnalysis[[#This Row],[Highest PiN]]/tblPiNAnalysis[[#This Row],[Affected population projection 2026]])</f>
        <v>1</v>
      </c>
      <c r="AL181" s="328" t="str">
        <f>IF(SUM(tblPiNAnalysis[[#This Row],[CCCM]:[WASH]])=0, "",IF(COUNTIF(tblPiNAnalysis[[#This Row],[CCCM]:[WASH]],"=0")+COUNTIF(tblPiNAnalysis[[#This Row],[CCCM]:[WASH]],"")&gt;=zero_pin_thresh, "Flagged", ""))</f>
        <v/>
      </c>
      <c r="AM181" s="329" t="str">
        <f>IFERROR(IF(tblPiNAnalysis[[#This Row],[Highest PiN]]="", "", IF(tblPiNAnalysis[[#This Row],[Highest sector(s'') PiN %]]&gt;=flag_pin_perc, "Flagged", "")), "")</f>
        <v>Flagged</v>
      </c>
      <c r="AN181" s="330" t="str" cm="1">
        <f t="array" ref="AN181">IF(tblPiNAnalysis[[#This Row],[Highest PiN]]=0, "",  IF(OR(COUNTIF(tblPiNAnalysis[[#This Row],[Highest sector(s)]],tblSubSectorPopulation[Sector])), "Flagged", ""))</f>
        <v/>
      </c>
      <c r="AO181" s="46" cm="1">
        <f t="array" ref="AO18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6483</v>
      </c>
      <c r="AP181" s="331" t="str" cm="1">
        <f t="array" ref="AP181">IF(tblPiNAnalysis[[#This Row],[2nd Highest PiN]]="", "", _xlfn.TEXTJOIN(CHAR(10), TRUE, IF(tblPiNAnalysis[[#This Row],[2nd Highest PiN]]=tblPiNAnalysis[[#This Row],[CCCM]:[WASH]], tblPiNAnalysis[[#Headers],[CCCM]:[WASH]], "")))</f>
        <v>Overarching Protection</v>
      </c>
      <c r="AQ181" s="36">
        <f>IFERROR(tblPiNAnalysis[[#This Row],[2nd Highest PiN]]/tblPiNAnalysis[[#This Row],[Affected population projection 2026]], "")</f>
        <v>0.69994601681190693</v>
      </c>
      <c r="AR181" s="46">
        <f>IFERROR(tblPiNAnalysis[[#This Row],[Highest PiN]]-tblPiNAnalysis[[#This Row],[2nd Highest PiN]], "")</f>
        <v>2779.1428571428605</v>
      </c>
      <c r="AS181" s="39">
        <f>IFERROR(((tblPiNAnalysis[[#This Row],[Highest PiN]]-tblPiNAnalysis[[#This Row],[2nd Highest PiN]])/tblPiNAnalysis[[#This Row],[2nd Highest PiN]]),"")</f>
        <v>0.42868160683986745</v>
      </c>
      <c r="AT181" s="39" t="str" cm="1">
        <f t="array" ref="AT18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81" s="332" cm="1">
        <f t="array" ref="AU18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6460.6905099793312</v>
      </c>
      <c r="AV181" s="190" t="str" cm="1">
        <f t="array" ref="AV181">IF(tblPiNAnalysis[[#This Row],[3rd Highest PiN]]="", "", _xlfn.TEXTJOIN(CHAR(10), TRUE, IF(tblPiNAnalysis[[#This Row],[3rd Highest PiN]]=tblPiNAnalysis[[#This Row],[CCCM]:[WASH]], tblPiNAnalysis[[#Headers],[CCCM]:[WASH]], "")))</f>
        <v>Food Security</v>
      </c>
      <c r="AW181" s="190">
        <f>IFERROR(tblPiNAnalysis[[#This Row],[3rd Highest PiN]]/tblPiNAnalysis[[#This Row],[Affected population projection 2026]], "")</f>
        <v>0.6975373420198242</v>
      </c>
      <c r="AX181" s="45">
        <f>IFERROR(tblPiNAnalysis[[#This Row],[Highest PiN]]-tblPiNAnalysis[[#This Row],[3rd Highest PiN]],"")</f>
        <v>2801.4523471635293</v>
      </c>
      <c r="AY181" s="39">
        <f>IFERROR(tblPiNAnalysis[[#This Row],[Difference of PiN between Highest and 3rd Highest]]/tblPiNAnalysis[[#This Row],[3rd Highest PiN]], "")</f>
        <v>0.43361500490332133</v>
      </c>
      <c r="AZ181" s="330" t="str" cm="1">
        <f t="array" ref="AZ18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1" s="300" t="str" cm="1">
        <f t="array" ref="BA181">IFERROR(IF(tblPiNAnalysis[[#This Row],[ID]]="", "", INDEX(tblPiNHistorical[[CCCM]:[WASH]], MATCH(tblPiNAnalysis[[#This Row],[ID]],tblPiNHistorical[ID], 0),MATCH(_xlfn._xlws.FILTER(tblPiNAnalysis[[#Headers],[CCCM]:[WASH]], tblPiNAnalysis[[#This Row],[Highest PiN]]=tblPiNAnalysis[[#This Row],[CCCM]:[WASH]]), tblPiNHistorical[[#Headers],[CCCM]:[WASH]], 0))), "")</f>
        <v/>
      </c>
      <c r="BB181" s="333" t="str" cm="1">
        <f t="array" ref="BB18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1" s="276" t="str" cm="1">
        <f t="array" ref="BC18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1" s="334" t="str" cm="1">
        <f t="array" ref="BD18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1" s="276">
        <f>INDEX(tblSeverityAnalysis[Final Severity], MATCH(tblPiNAnalysis[[#This Row],[ID]],tblSeverityAnalysis[ID], 0))</f>
        <v>4</v>
      </c>
      <c r="BF181" s="61">
        <f>IF(tblPiNAnalysis[[#This Row],[Severity]]&gt;2,tblPiNAnalysis[[#This Row],[Highest PiN]],)</f>
        <v>9262.1428571428605</v>
      </c>
      <c r="BG181" s="191"/>
      <c r="BH181" s="192"/>
      <c r="BI181" s="193">
        <f>COUNTIFS(tblPiNAnalysis[[#This Row],[Number of missing / zero PiNs greater than threshold - Data quality]:[Manual Flag]],"Flagged")</f>
        <v>2</v>
      </c>
      <c r="BJ181" s="96" t="str">
        <f>IF(tblPiNAnalysis[[#This Row],['# Flags]]&gt;0, "Flagged", "")</f>
        <v>Flagged</v>
      </c>
      <c r="BK181" s="326">
        <f>tblPiNAnalysis[[#This Row],[Preliminary PiN]]</f>
        <v>9262.1428571428605</v>
      </c>
      <c r="BL181" s="331"/>
    </row>
    <row r="182" spans="1:64" x14ac:dyDescent="0.55000000000000004">
      <c r="A18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SS0306</v>
      </c>
      <c r="B182" s="316" t="s">
        <v>268</v>
      </c>
      <c r="C182" s="317" t="s">
        <v>269</v>
      </c>
      <c r="D182" s="317" t="s">
        <v>280</v>
      </c>
      <c r="E182" s="105" t="s">
        <v>281</v>
      </c>
      <c r="F182" s="100"/>
      <c r="G182" s="34"/>
      <c r="H182" s="34"/>
      <c r="I182" s="97">
        <v>33686.173990621071</v>
      </c>
      <c r="J182" s="97" t="s">
        <v>414</v>
      </c>
      <c r="K182" s="318">
        <v>5052.9260985931605</v>
      </c>
      <c r="L182" s="319">
        <v>12598.62907249228</v>
      </c>
      <c r="M182" s="319">
        <v>11379.993898109744</v>
      </c>
      <c r="N182" s="319">
        <v>29223.698286312181</v>
      </c>
      <c r="O182" s="319">
        <v>21940.109943774314</v>
      </c>
      <c r="P182" s="319">
        <v>25587</v>
      </c>
      <c r="Q182" s="320">
        <v>33686.173990621071</v>
      </c>
      <c r="R182" s="319">
        <v>26512.26656669251</v>
      </c>
      <c r="S182" s="319">
        <v>13439</v>
      </c>
      <c r="T182" s="319">
        <v>12962</v>
      </c>
      <c r="U182" s="319">
        <v>16295</v>
      </c>
      <c r="V182" s="319">
        <v>8514</v>
      </c>
      <c r="W182" s="321">
        <f>IFERROR(IF(tblPiNAnalysis[[#This Row],[CCCM]]="", "", MROUND(tblPiNAnalysis[[#This Row],[CCCM]]/tblPiNAnalysis[[#This Row],[Affected population projection 2026]], 0.05)), "")</f>
        <v>0.15000000000000002</v>
      </c>
      <c r="X182" s="322">
        <f>IFERROR(IF(tblPiNAnalysis[[#This Row],[Education]]="", "", MROUND(tblPiNAnalysis[[#This Row],[Education]]/tblPiNAnalysis[[#This Row],[Affected population projection 2026]], 0.05)), "")</f>
        <v>0.35000000000000003</v>
      </c>
      <c r="Y182" s="322">
        <f>IFERROR(IF(tblPiNAnalysis[[#This Row],[Nutrition]]="", "", MROUND(tblPiNAnalysis[[#This Row],[Nutrition]]/tblPiNAnalysis[[#This Row],[Affected population projection 2026]], 0.05)), "")</f>
        <v>0.35000000000000003</v>
      </c>
      <c r="Z182" s="322">
        <f>IFERROR(IF(tblPiNAnalysis[[#This Row],[Food Security]]="", "", MROUND(tblPiNAnalysis[[#This Row],[Food Security]]/tblPiNAnalysis[[#This Row],[Affected population projection 2026]], 0.05)), "")</f>
        <v>0.85000000000000009</v>
      </c>
      <c r="AA182" s="322">
        <f>IFERROR(IF(tblPiNAnalysis[[#This Row],[Health]]="", "", MROUND(tblPiNAnalysis[[#This Row],[Health]]/tblPiNAnalysis[[#This Row],[Affected population projection 2026]], 0.05)), "")</f>
        <v>0.65</v>
      </c>
      <c r="AB182" s="323">
        <f>IFERROR(IF(tblPiNAnalysis[[#This Row],[Overarching Protection]]="", "", MROUND(tblPiNAnalysis[[#This Row],[Overarching Protection]]/tblPiNAnalysis[[#This Row],[Affected population projection 2026]], 0.05)), "")</f>
        <v>0.75</v>
      </c>
      <c r="AC182" s="323">
        <f>IFERROR(IF(tblPiNAnalysis[[#This Row],[Shelter]]="", "", MROUND(tblPiNAnalysis[[#This Row],[Shelter]]/tblPiNAnalysis[[#This Row],[Affected population projection 2026]], 0.05)), "")</f>
        <v>1</v>
      </c>
      <c r="AD182" s="324">
        <f>IFERROR(IF(tblPiNAnalysis[[#This Row],[WASH]]="", "", MROUND(tblPiNAnalysis[[#This Row],[WASH]]/tblPiNAnalysis[[#This Row],[Affected population projection 2026]], 0.05)), "")</f>
        <v>0.8</v>
      </c>
      <c r="AE182" s="322">
        <f>IFERROR(MROUND(tblPiNAnalysis[[#This Row],[CP]]/tblPiNAnalysis[[#This Row],[Affected population projection 2026]], 0.05), "")</f>
        <v>0.4</v>
      </c>
      <c r="AF182" s="322">
        <f>IFERROR(MROUND(tblPiNAnalysis[[#This Row],[GBV]]/tblPiNAnalysis[[#This Row],[Affected population projection 2026]], 0.05), "")</f>
        <v>0.4</v>
      </c>
      <c r="AG182" s="322">
        <f>IFERROR(MROUND(tblPiNAnalysis[[#This Row],[Mine Action]]/tblPiNAnalysis[[#This Row],[Affected population projection 2026]], 0.05), "")</f>
        <v>0.5</v>
      </c>
      <c r="AH182" s="322">
        <f>IFERROR(MROUND(tblPiNAnalysis[[#This Row],[HLP]]/tblPiNAnalysis[[#This Row],[Affected population projection 2026]], 0.05), "")</f>
        <v>0.25</v>
      </c>
      <c r="AI182" s="325">
        <f>IFERROR(LARGE(tblPiNAnalysis[[#This Row],[CCCM]:[WASH]], 1), "")</f>
        <v>33686.173990621071</v>
      </c>
      <c r="AJ182" s="326" t="str" cm="1">
        <f t="array" ref="AJ182">IF(tblPiNAnalysis[[#This Row],[Highest PiN]]="", "", _xlfn.TEXTJOIN(CHAR(10), TRUE, IF(tblPiNAnalysis[[#This Row],[Highest PiN]]=tblPiNAnalysis[[#This Row],[CCCM]:[WASH]], tblPiNAnalysis[[#Headers],[CCCM]:[WASH]], "")))</f>
        <v>Shelter</v>
      </c>
      <c r="AK182" s="327">
        <f>IF(tblPiNAnalysis[[#This Row],[Highest PiN]]="", "", tblPiNAnalysis[[#This Row],[Highest PiN]]/tblPiNAnalysis[[#This Row],[Affected population projection 2026]])</f>
        <v>1</v>
      </c>
      <c r="AL182" s="328" t="str">
        <f>IF(SUM(tblPiNAnalysis[[#This Row],[CCCM]:[WASH]])=0, "",IF(COUNTIF(tblPiNAnalysis[[#This Row],[CCCM]:[WASH]],"=0")+COUNTIF(tblPiNAnalysis[[#This Row],[CCCM]:[WASH]],"")&gt;=zero_pin_thresh, "Flagged", ""))</f>
        <v/>
      </c>
      <c r="AM182" s="329" t="str">
        <f>IFERROR(IF(tblPiNAnalysis[[#This Row],[Highest PiN]]="", "", IF(tblPiNAnalysis[[#This Row],[Highest sector(s'') PiN %]]&gt;=flag_pin_perc, "Flagged", "")), "")</f>
        <v>Flagged</v>
      </c>
      <c r="AN182" s="330" t="str" cm="1">
        <f t="array" ref="AN182">IF(tblPiNAnalysis[[#This Row],[Highest PiN]]=0, "",  IF(OR(COUNTIF(tblPiNAnalysis[[#This Row],[Highest sector(s)]],tblSubSectorPopulation[Sector])), "Flagged", ""))</f>
        <v/>
      </c>
      <c r="AO182" s="46" cm="1">
        <f t="array" ref="AO18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29223.698286312181</v>
      </c>
      <c r="AP182" s="331" t="str" cm="1">
        <f t="array" ref="AP182">IF(tblPiNAnalysis[[#This Row],[2nd Highest PiN]]="", "", _xlfn.TEXTJOIN(CHAR(10), TRUE, IF(tblPiNAnalysis[[#This Row],[2nd Highest PiN]]=tblPiNAnalysis[[#This Row],[CCCM]:[WASH]], tblPiNAnalysis[[#Headers],[CCCM]:[WASH]], "")))</f>
        <v>Food Security</v>
      </c>
      <c r="AQ182" s="36">
        <f>IFERROR(tblPiNAnalysis[[#This Row],[2nd Highest PiN]]/tblPiNAnalysis[[#This Row],[Affected population projection 2026]], "")</f>
        <v>0.86752797436861373</v>
      </c>
      <c r="AR182" s="46">
        <f>IFERROR(tblPiNAnalysis[[#This Row],[Highest PiN]]-tblPiNAnalysis[[#This Row],[2nd Highest PiN]], "")</f>
        <v>4462.4757043088903</v>
      </c>
      <c r="AS182" s="39">
        <f>IFERROR(((tblPiNAnalysis[[#This Row],[Highest PiN]]-tblPiNAnalysis[[#This Row],[2nd Highest PiN]])/tblPiNAnalysis[[#This Row],[2nd Highest PiN]]),"")</f>
        <v>0.15270058089803878</v>
      </c>
      <c r="AT182" s="39" t="str" cm="1">
        <f t="array" ref="AT18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2" s="332" cm="1">
        <f t="array" ref="AU18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26512.26656669251</v>
      </c>
      <c r="AV182" s="190" t="str" cm="1">
        <f t="array" ref="AV182">IF(tblPiNAnalysis[[#This Row],[3rd Highest PiN]]="", "", _xlfn.TEXTJOIN(CHAR(10), TRUE, IF(tblPiNAnalysis[[#This Row],[3rd Highest PiN]]=tblPiNAnalysis[[#This Row],[CCCM]:[WASH]], tblPiNAnalysis[[#Headers],[CCCM]:[WASH]], "")))</f>
        <v>WASH</v>
      </c>
      <c r="AW182" s="190">
        <f>IFERROR(tblPiNAnalysis[[#This Row],[3rd Highest PiN]]/tblPiNAnalysis[[#This Row],[Affected population projection 2026]], "")</f>
        <v>0.78703703703703698</v>
      </c>
      <c r="AX182" s="45">
        <f>IFERROR(tblPiNAnalysis[[#This Row],[Highest PiN]]-tblPiNAnalysis[[#This Row],[3rd Highest PiN]],"")</f>
        <v>7173.9074239285619</v>
      </c>
      <c r="AY182" s="39">
        <f>IFERROR(tblPiNAnalysis[[#This Row],[Difference of PiN between Highest and 3rd Highest]]/tblPiNAnalysis[[#This Row],[3rd Highest PiN]], "")</f>
        <v>0.27058823529411768</v>
      </c>
      <c r="AZ182" s="330" t="str" cm="1">
        <f t="array" ref="AZ18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2" s="300" t="str" cm="1">
        <f t="array" ref="BA182">IFERROR(IF(tblPiNAnalysis[[#This Row],[ID]]="", "", INDEX(tblPiNHistorical[[CCCM]:[WASH]], MATCH(tblPiNAnalysis[[#This Row],[ID]],tblPiNHistorical[ID], 0),MATCH(_xlfn._xlws.FILTER(tblPiNAnalysis[[#Headers],[CCCM]:[WASH]], tblPiNAnalysis[[#This Row],[Highest PiN]]=tblPiNAnalysis[[#This Row],[CCCM]:[WASH]]), tblPiNHistorical[[#Headers],[CCCM]:[WASH]], 0))), "")</f>
        <v/>
      </c>
      <c r="BB182" s="333" t="str" cm="1">
        <f t="array" ref="BB18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2" s="276" t="str" cm="1">
        <f t="array" ref="BC18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2" s="334" t="str" cm="1">
        <f t="array" ref="BD18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2" s="276">
        <f>INDEX(tblSeverityAnalysis[Final Severity], MATCH(tblPiNAnalysis[[#This Row],[ID]],tblSeverityAnalysis[ID], 0))</f>
        <v>5</v>
      </c>
      <c r="BF182" s="61">
        <f>IF(tblPiNAnalysis[[#This Row],[Severity]]&gt;2,tblPiNAnalysis[[#This Row],[Highest PiN]],)</f>
        <v>33686.173990621071</v>
      </c>
      <c r="BG182" s="191"/>
      <c r="BH182" s="192"/>
      <c r="BI182" s="193">
        <f>COUNTIFS(tblPiNAnalysis[[#This Row],[Number of missing / zero PiNs greater than threshold - Data quality]:[Manual Flag]],"Flagged")</f>
        <v>1</v>
      </c>
      <c r="BJ182" s="96" t="str">
        <f>IF(tblPiNAnalysis[[#This Row],['# Flags]]&gt;0, "Flagged", "")</f>
        <v>Flagged</v>
      </c>
      <c r="BK182" s="326">
        <f>tblPiNAnalysis[[#This Row],[Preliminary PiN]]</f>
        <v>33686.173990621071</v>
      </c>
      <c r="BL182" s="331"/>
    </row>
    <row r="183" spans="1:64" x14ac:dyDescent="0.55000000000000004">
      <c r="A18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SS0307</v>
      </c>
      <c r="B183" s="316" t="s">
        <v>268</v>
      </c>
      <c r="C183" s="317" t="s">
        <v>269</v>
      </c>
      <c r="D183" s="317" t="s">
        <v>282</v>
      </c>
      <c r="E183" s="105" t="s">
        <v>283</v>
      </c>
      <c r="F183" s="100"/>
      <c r="G183" s="34"/>
      <c r="H183" s="34"/>
      <c r="I183" s="97">
        <v>13146.5714285714</v>
      </c>
      <c r="J183" s="97" t="s">
        <v>414</v>
      </c>
      <c r="K183" s="318">
        <v>1971.9857142857099</v>
      </c>
      <c r="L183" s="319">
        <v>4569.4931850857047</v>
      </c>
      <c r="M183" s="319">
        <v>5483.8445101092939</v>
      </c>
      <c r="N183" s="319">
        <v>9851.9936448832923</v>
      </c>
      <c r="O183" s="319">
        <v>9268.3704100687301</v>
      </c>
      <c r="P183" s="319">
        <v>8751</v>
      </c>
      <c r="Q183" s="320">
        <v>9465.5314285714085</v>
      </c>
      <c r="R183" s="319">
        <v>9007.8359788359612</v>
      </c>
      <c r="S183" s="319">
        <v>5474</v>
      </c>
      <c r="T183" s="319">
        <v>4586</v>
      </c>
      <c r="U183" s="319">
        <v>978</v>
      </c>
      <c r="V183" s="319">
        <v>3116</v>
      </c>
      <c r="W183" s="321">
        <f>IFERROR(IF(tblPiNAnalysis[[#This Row],[CCCM]]="", "", MROUND(tblPiNAnalysis[[#This Row],[CCCM]]/tblPiNAnalysis[[#This Row],[Affected population projection 2026]], 0.05)), "")</f>
        <v>0.15000000000000002</v>
      </c>
      <c r="X183" s="322">
        <f>IFERROR(IF(tblPiNAnalysis[[#This Row],[Education]]="", "", MROUND(tblPiNAnalysis[[#This Row],[Education]]/tblPiNAnalysis[[#This Row],[Affected population projection 2026]], 0.05)), "")</f>
        <v>0.35000000000000003</v>
      </c>
      <c r="Y183" s="322">
        <f>IFERROR(IF(tblPiNAnalysis[[#This Row],[Nutrition]]="", "", MROUND(tblPiNAnalysis[[#This Row],[Nutrition]]/tblPiNAnalysis[[#This Row],[Affected population projection 2026]], 0.05)), "")</f>
        <v>0.4</v>
      </c>
      <c r="Z183" s="322">
        <f>IFERROR(IF(tblPiNAnalysis[[#This Row],[Food Security]]="", "", MROUND(tblPiNAnalysis[[#This Row],[Food Security]]/tblPiNAnalysis[[#This Row],[Affected population projection 2026]], 0.05)), "")</f>
        <v>0.75</v>
      </c>
      <c r="AA183" s="322">
        <f>IFERROR(IF(tblPiNAnalysis[[#This Row],[Health]]="", "", MROUND(tblPiNAnalysis[[#This Row],[Health]]/tblPiNAnalysis[[#This Row],[Affected population projection 2026]], 0.05)), "")</f>
        <v>0.70000000000000007</v>
      </c>
      <c r="AB183" s="323">
        <f>IFERROR(IF(tblPiNAnalysis[[#This Row],[Overarching Protection]]="", "", MROUND(tblPiNAnalysis[[#This Row],[Overarching Protection]]/tblPiNAnalysis[[#This Row],[Affected population projection 2026]], 0.05)), "")</f>
        <v>0.65</v>
      </c>
      <c r="AC183" s="323">
        <f>IFERROR(IF(tblPiNAnalysis[[#This Row],[Shelter]]="", "", MROUND(tblPiNAnalysis[[#This Row],[Shelter]]/tblPiNAnalysis[[#This Row],[Affected population projection 2026]], 0.05)), "")</f>
        <v>0.70000000000000007</v>
      </c>
      <c r="AD183" s="324">
        <f>IFERROR(IF(tblPiNAnalysis[[#This Row],[WASH]]="", "", MROUND(tblPiNAnalysis[[#This Row],[WASH]]/tblPiNAnalysis[[#This Row],[Affected population projection 2026]], 0.05)), "")</f>
        <v>0.70000000000000007</v>
      </c>
      <c r="AE183" s="322">
        <f>IFERROR(MROUND(tblPiNAnalysis[[#This Row],[CP]]/tblPiNAnalysis[[#This Row],[Affected population projection 2026]], 0.05), "")</f>
        <v>0.4</v>
      </c>
      <c r="AF183" s="322">
        <f>IFERROR(MROUND(tblPiNAnalysis[[#This Row],[GBV]]/tblPiNAnalysis[[#This Row],[Affected population projection 2026]], 0.05), "")</f>
        <v>0.35000000000000003</v>
      </c>
      <c r="AG183" s="322">
        <f>IFERROR(MROUND(tblPiNAnalysis[[#This Row],[Mine Action]]/tblPiNAnalysis[[#This Row],[Affected population projection 2026]], 0.05), "")</f>
        <v>0.05</v>
      </c>
      <c r="AH183" s="322">
        <f>IFERROR(MROUND(tblPiNAnalysis[[#This Row],[HLP]]/tblPiNAnalysis[[#This Row],[Affected population projection 2026]], 0.05), "")</f>
        <v>0.25</v>
      </c>
      <c r="AI183" s="325">
        <f>IFERROR(LARGE(tblPiNAnalysis[[#This Row],[CCCM]:[WASH]], 1), "")</f>
        <v>9851.9936448832923</v>
      </c>
      <c r="AJ183" s="326" t="str" cm="1">
        <f t="array" ref="AJ183">IF(tblPiNAnalysis[[#This Row],[Highest PiN]]="", "", _xlfn.TEXTJOIN(CHAR(10), TRUE, IF(tblPiNAnalysis[[#This Row],[Highest PiN]]=tblPiNAnalysis[[#This Row],[CCCM]:[WASH]], tblPiNAnalysis[[#Headers],[CCCM]:[WASH]], "")))</f>
        <v>Food Security</v>
      </c>
      <c r="AK183" s="327">
        <f>IF(tblPiNAnalysis[[#This Row],[Highest PiN]]="", "", tblPiNAnalysis[[#This Row],[Highest PiN]]/tblPiNAnalysis[[#This Row],[Affected population projection 2026]])</f>
        <v>0.74939642616416224</v>
      </c>
      <c r="AL183" s="328" t="str">
        <f>IF(SUM(tblPiNAnalysis[[#This Row],[CCCM]:[WASH]])=0, "",IF(COUNTIF(tblPiNAnalysis[[#This Row],[CCCM]:[WASH]],"=0")+COUNTIF(tblPiNAnalysis[[#This Row],[CCCM]:[WASH]],"")&gt;=zero_pin_thresh, "Flagged", ""))</f>
        <v/>
      </c>
      <c r="AM183" s="329" t="str">
        <f>IFERROR(IF(tblPiNAnalysis[[#This Row],[Highest PiN]]="", "", IF(tblPiNAnalysis[[#This Row],[Highest sector(s'') PiN %]]&gt;=flag_pin_perc, "Flagged", "")), "")</f>
        <v/>
      </c>
      <c r="AN183" s="330" t="str" cm="1">
        <f t="array" ref="AN183">IF(tblPiNAnalysis[[#This Row],[Highest PiN]]=0, "",  IF(OR(COUNTIF(tblPiNAnalysis[[#This Row],[Highest sector(s)]],tblSubSectorPopulation[Sector])), "Flagged", ""))</f>
        <v/>
      </c>
      <c r="AO183" s="46" cm="1">
        <f t="array" ref="AO18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9465.5314285714085</v>
      </c>
      <c r="AP183" s="331" t="str" cm="1">
        <f t="array" ref="AP183">IF(tblPiNAnalysis[[#This Row],[2nd Highest PiN]]="", "", _xlfn.TEXTJOIN(CHAR(10), TRUE, IF(tblPiNAnalysis[[#This Row],[2nd Highest PiN]]=tblPiNAnalysis[[#This Row],[CCCM]:[WASH]], tblPiNAnalysis[[#Headers],[CCCM]:[WASH]], "")))</f>
        <v>Shelter</v>
      </c>
      <c r="AQ183" s="36">
        <f>IFERROR(tblPiNAnalysis[[#This Row],[2nd Highest PiN]]/tblPiNAnalysis[[#This Row],[Affected population projection 2026]], "")</f>
        <v>0.72</v>
      </c>
      <c r="AR183" s="46">
        <f>IFERROR(tblPiNAnalysis[[#This Row],[Highest PiN]]-tblPiNAnalysis[[#This Row],[2nd Highest PiN]], "")</f>
        <v>386.46221631188382</v>
      </c>
      <c r="AS183" s="39">
        <f>IFERROR(((tblPiNAnalysis[[#This Row],[Highest PiN]]-tblPiNAnalysis[[#This Row],[2nd Highest PiN]])/tblPiNAnalysis[[#This Row],[2nd Highest PiN]]),"")</f>
        <v>4.0828369672447531E-2</v>
      </c>
      <c r="AT183" s="39" t="str" cm="1">
        <f t="array" ref="AT18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3" s="332" cm="1">
        <f t="array" ref="AU18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9268.3704100687301</v>
      </c>
      <c r="AV183" s="190" t="str" cm="1">
        <f t="array" ref="AV183">IF(tblPiNAnalysis[[#This Row],[3rd Highest PiN]]="", "", _xlfn.TEXTJOIN(CHAR(10), TRUE, IF(tblPiNAnalysis[[#This Row],[3rd Highest PiN]]=tblPiNAnalysis[[#This Row],[CCCM]:[WASH]], tblPiNAnalysis[[#Headers],[CCCM]:[WASH]], "")))</f>
        <v>Health</v>
      </c>
      <c r="AW183" s="190">
        <f>IFERROR(tblPiNAnalysis[[#This Row],[3rd Highest PiN]]/tblPiNAnalysis[[#This Row],[Affected population projection 2026]], "")</f>
        <v>0.70500285648057348</v>
      </c>
      <c r="AX183" s="45">
        <f>IFERROR(tblPiNAnalysis[[#This Row],[Highest PiN]]-tblPiNAnalysis[[#This Row],[3rd Highest PiN]],"")</f>
        <v>583.62323481456224</v>
      </c>
      <c r="AY183" s="39">
        <f>IFERROR(tblPiNAnalysis[[#This Row],[Difference of PiN between Highest and 3rd Highest]]/tblPiNAnalysis[[#This Row],[3rd Highest PiN]], "")</f>
        <v>6.2969347252300245E-2</v>
      </c>
      <c r="AZ183" s="330" t="str" cm="1">
        <f t="array" ref="AZ18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3" s="300" t="str" cm="1">
        <f t="array" ref="BA183">IFERROR(IF(tblPiNAnalysis[[#This Row],[ID]]="", "", INDEX(tblPiNHistorical[[CCCM]:[WASH]], MATCH(tblPiNAnalysis[[#This Row],[ID]],tblPiNHistorical[ID], 0),MATCH(_xlfn._xlws.FILTER(tblPiNAnalysis[[#Headers],[CCCM]:[WASH]], tblPiNAnalysis[[#This Row],[Highest PiN]]=tblPiNAnalysis[[#This Row],[CCCM]:[WASH]]), tblPiNHistorical[[#Headers],[CCCM]:[WASH]], 0))), "")</f>
        <v/>
      </c>
      <c r="BB183" s="333" t="str" cm="1">
        <f t="array" ref="BB18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3" s="276" t="str" cm="1">
        <f t="array" ref="BC18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3" s="334" t="str" cm="1">
        <f t="array" ref="BD18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3" s="276">
        <f>INDEX(tblSeverityAnalysis[Final Severity], MATCH(tblPiNAnalysis[[#This Row],[ID]],tblSeverityAnalysis[ID], 0))</f>
        <v>3</v>
      </c>
      <c r="BF183" s="61">
        <f>IF(tblPiNAnalysis[[#This Row],[Severity]]&gt;2,tblPiNAnalysis[[#This Row],[Highest PiN]],)</f>
        <v>9851.9936448832923</v>
      </c>
      <c r="BG183" s="191"/>
      <c r="BH183" s="192"/>
      <c r="BI183" s="193">
        <f>COUNTIFS(tblPiNAnalysis[[#This Row],[Number of missing / zero PiNs greater than threshold - Data quality]:[Manual Flag]],"Flagged")</f>
        <v>0</v>
      </c>
      <c r="BJ183" s="96" t="str">
        <f>IF(tblPiNAnalysis[[#This Row],['# Flags]]&gt;0, "Flagged", "")</f>
        <v/>
      </c>
      <c r="BK183" s="326">
        <f>tblPiNAnalysis[[#This Row],[Preliminary PiN]]</f>
        <v>9851.9936448832923</v>
      </c>
      <c r="BL183" s="331"/>
    </row>
    <row r="184" spans="1:64" x14ac:dyDescent="0.55000000000000004">
      <c r="A18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SS0308</v>
      </c>
      <c r="B184" s="316" t="s">
        <v>268</v>
      </c>
      <c r="C184" s="317" t="s">
        <v>269</v>
      </c>
      <c r="D184" s="317" t="s">
        <v>284</v>
      </c>
      <c r="E184" s="105" t="s">
        <v>285</v>
      </c>
      <c r="F184" s="100"/>
      <c r="G184" s="34"/>
      <c r="H184" s="34"/>
      <c r="I184" s="97">
        <v>4238</v>
      </c>
      <c r="J184" s="97" t="s">
        <v>414</v>
      </c>
      <c r="K184" s="318">
        <v>635.69999999999993</v>
      </c>
      <c r="L184" s="319">
        <v>1214.4158519999999</v>
      </c>
      <c r="M184" s="319">
        <v>1970.6236557123259</v>
      </c>
      <c r="N184" s="319">
        <v>3385.7427540437307</v>
      </c>
      <c r="O184" s="319">
        <v>2581.3377959227432</v>
      </c>
      <c r="P184" s="319">
        <v>2967</v>
      </c>
      <c r="Q184" s="320">
        <v>2421.7142857142858</v>
      </c>
      <c r="R184" s="319">
        <v>3453.1851851851857</v>
      </c>
      <c r="S184" s="319">
        <v>1724</v>
      </c>
      <c r="T184" s="319">
        <v>2015</v>
      </c>
      <c r="U184" s="319">
        <v>358</v>
      </c>
      <c r="V184" s="319">
        <v>1328</v>
      </c>
      <c r="W184" s="321">
        <f>IFERROR(IF(tblPiNAnalysis[[#This Row],[CCCM]]="", "", MROUND(tblPiNAnalysis[[#This Row],[CCCM]]/tblPiNAnalysis[[#This Row],[Affected population projection 2026]], 0.05)), "")</f>
        <v>0.15000000000000002</v>
      </c>
      <c r="X184" s="322">
        <f>IFERROR(IF(tblPiNAnalysis[[#This Row],[Education]]="", "", MROUND(tblPiNAnalysis[[#This Row],[Education]]/tblPiNAnalysis[[#This Row],[Affected population projection 2026]], 0.05)), "")</f>
        <v>0.30000000000000004</v>
      </c>
      <c r="Y184" s="322">
        <f>IFERROR(IF(tblPiNAnalysis[[#This Row],[Nutrition]]="", "", MROUND(tblPiNAnalysis[[#This Row],[Nutrition]]/tblPiNAnalysis[[#This Row],[Affected population projection 2026]], 0.05)), "")</f>
        <v>0.45</v>
      </c>
      <c r="Z184" s="322">
        <f>IFERROR(IF(tblPiNAnalysis[[#This Row],[Food Security]]="", "", MROUND(tblPiNAnalysis[[#This Row],[Food Security]]/tblPiNAnalysis[[#This Row],[Affected population projection 2026]], 0.05)), "")</f>
        <v>0.8</v>
      </c>
      <c r="AA184" s="322">
        <f>IFERROR(IF(tblPiNAnalysis[[#This Row],[Health]]="", "", MROUND(tblPiNAnalysis[[#This Row],[Health]]/tblPiNAnalysis[[#This Row],[Affected population projection 2026]], 0.05)), "")</f>
        <v>0.60000000000000009</v>
      </c>
      <c r="AB184" s="323">
        <f>IFERROR(IF(tblPiNAnalysis[[#This Row],[Overarching Protection]]="", "", MROUND(tblPiNAnalysis[[#This Row],[Overarching Protection]]/tblPiNAnalysis[[#This Row],[Affected population projection 2026]], 0.05)), "")</f>
        <v>0.70000000000000007</v>
      </c>
      <c r="AC184" s="323">
        <f>IFERROR(IF(tblPiNAnalysis[[#This Row],[Shelter]]="", "", MROUND(tblPiNAnalysis[[#This Row],[Shelter]]/tblPiNAnalysis[[#This Row],[Affected population projection 2026]], 0.05)), "")</f>
        <v>0.55000000000000004</v>
      </c>
      <c r="AD184" s="324">
        <f>IFERROR(IF(tblPiNAnalysis[[#This Row],[WASH]]="", "", MROUND(tblPiNAnalysis[[#This Row],[WASH]]/tblPiNAnalysis[[#This Row],[Affected population projection 2026]], 0.05)), "")</f>
        <v>0.8</v>
      </c>
      <c r="AE184" s="322">
        <f>IFERROR(MROUND(tblPiNAnalysis[[#This Row],[CP]]/tblPiNAnalysis[[#This Row],[Affected population projection 2026]], 0.05), "")</f>
        <v>0.4</v>
      </c>
      <c r="AF184" s="322">
        <f>IFERROR(MROUND(tblPiNAnalysis[[#This Row],[GBV]]/tblPiNAnalysis[[#This Row],[Affected population projection 2026]], 0.05), "")</f>
        <v>0.5</v>
      </c>
      <c r="AG184" s="322">
        <f>IFERROR(MROUND(tblPiNAnalysis[[#This Row],[Mine Action]]/tblPiNAnalysis[[#This Row],[Affected population projection 2026]], 0.05), "")</f>
        <v>0.1</v>
      </c>
      <c r="AH184" s="322">
        <f>IFERROR(MROUND(tblPiNAnalysis[[#This Row],[HLP]]/tblPiNAnalysis[[#This Row],[Affected population projection 2026]], 0.05), "")</f>
        <v>0.30000000000000004</v>
      </c>
      <c r="AI184" s="325">
        <f>IFERROR(LARGE(tblPiNAnalysis[[#This Row],[CCCM]:[WASH]], 1), "")</f>
        <v>3453.1851851851857</v>
      </c>
      <c r="AJ184" s="326" t="str" cm="1">
        <f t="array" ref="AJ184">IF(tblPiNAnalysis[[#This Row],[Highest PiN]]="", "", _xlfn.TEXTJOIN(CHAR(10), TRUE, IF(tblPiNAnalysis[[#This Row],[Highest PiN]]=tblPiNAnalysis[[#This Row],[CCCM]:[WASH]], tblPiNAnalysis[[#Headers],[CCCM]:[WASH]], "")))</f>
        <v>WASH</v>
      </c>
      <c r="AK184" s="327">
        <f>IF(tblPiNAnalysis[[#This Row],[Highest PiN]]="", "", tblPiNAnalysis[[#This Row],[Highest PiN]]/tblPiNAnalysis[[#This Row],[Affected population projection 2026]])</f>
        <v>0.81481481481481488</v>
      </c>
      <c r="AL184" s="328" t="str">
        <f>IF(SUM(tblPiNAnalysis[[#This Row],[CCCM]:[WASH]])=0, "",IF(COUNTIF(tblPiNAnalysis[[#This Row],[CCCM]:[WASH]],"=0")+COUNTIF(tblPiNAnalysis[[#This Row],[CCCM]:[WASH]],"")&gt;=zero_pin_thresh, "Flagged", ""))</f>
        <v/>
      </c>
      <c r="AM184" s="329" t="str">
        <f>IFERROR(IF(tblPiNAnalysis[[#This Row],[Highest PiN]]="", "", IF(tblPiNAnalysis[[#This Row],[Highest sector(s'') PiN %]]&gt;=flag_pin_perc, "Flagged", "")), "")</f>
        <v/>
      </c>
      <c r="AN184" s="330" t="str" cm="1">
        <f t="array" ref="AN184">IF(tblPiNAnalysis[[#This Row],[Highest PiN]]=0, "",  IF(OR(COUNTIF(tblPiNAnalysis[[#This Row],[Highest sector(s)]],tblSubSectorPopulation[Sector])), "Flagged", ""))</f>
        <v/>
      </c>
      <c r="AO184" s="46" cm="1">
        <f t="array" ref="AO18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3385.7427540437307</v>
      </c>
      <c r="AP184" s="331" t="str" cm="1">
        <f t="array" ref="AP184">IF(tblPiNAnalysis[[#This Row],[2nd Highest PiN]]="", "", _xlfn.TEXTJOIN(CHAR(10), TRUE, IF(tblPiNAnalysis[[#This Row],[2nd Highest PiN]]=tblPiNAnalysis[[#This Row],[CCCM]:[WASH]], tblPiNAnalysis[[#Headers],[CCCM]:[WASH]], "")))</f>
        <v>Food Security</v>
      </c>
      <c r="AQ184" s="36">
        <f>IFERROR(tblPiNAnalysis[[#This Row],[2nd Highest PiN]]/tblPiNAnalysis[[#This Row],[Affected population projection 2026]], "")</f>
        <v>0.798901074573792</v>
      </c>
      <c r="AR184" s="46">
        <f>IFERROR(tblPiNAnalysis[[#This Row],[Highest PiN]]-tblPiNAnalysis[[#This Row],[2nd Highest PiN]], "")</f>
        <v>67.442431141455017</v>
      </c>
      <c r="AS184" s="39">
        <f>IFERROR(((tblPiNAnalysis[[#This Row],[Highest PiN]]-tblPiNAnalysis[[#This Row],[2nd Highest PiN]])/tblPiNAnalysis[[#This Row],[2nd Highest PiN]]),"")</f>
        <v>1.9919537909637634E-2</v>
      </c>
      <c r="AT184" s="39" t="str" cm="1">
        <f t="array" ref="AT18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4" s="332" cm="1">
        <f t="array" ref="AU18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2967</v>
      </c>
      <c r="AV184" s="190" t="str" cm="1">
        <f t="array" ref="AV184">IF(tblPiNAnalysis[[#This Row],[3rd Highest PiN]]="", "", _xlfn.TEXTJOIN(CHAR(10), TRUE, IF(tblPiNAnalysis[[#This Row],[3rd Highest PiN]]=tblPiNAnalysis[[#This Row],[CCCM]:[WASH]], tblPiNAnalysis[[#Headers],[CCCM]:[WASH]], "")))</f>
        <v>Overarching Protection</v>
      </c>
      <c r="AW184" s="190">
        <f>IFERROR(tblPiNAnalysis[[#This Row],[3rd Highest PiN]]/tblPiNAnalysis[[#This Row],[Affected population projection 2026]], "")</f>
        <v>0.70009438414346392</v>
      </c>
      <c r="AX184" s="45">
        <f>IFERROR(tblPiNAnalysis[[#This Row],[Highest PiN]]-tblPiNAnalysis[[#This Row],[3rd Highest PiN]],"")</f>
        <v>486.18518518518567</v>
      </c>
      <c r="AY184" s="39">
        <f>IFERROR(tblPiNAnalysis[[#This Row],[Difference of PiN between Highest and 3rd Highest]]/tblPiNAnalysis[[#This Row],[3rd Highest PiN]], "")</f>
        <v>0.16386423497984012</v>
      </c>
      <c r="AZ184" s="330" t="str" cm="1">
        <f t="array" ref="AZ18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4" s="300" t="str" cm="1">
        <f t="array" ref="BA184">IFERROR(IF(tblPiNAnalysis[[#This Row],[ID]]="", "", INDEX(tblPiNHistorical[[CCCM]:[WASH]], MATCH(tblPiNAnalysis[[#This Row],[ID]],tblPiNHistorical[ID], 0),MATCH(_xlfn._xlws.FILTER(tblPiNAnalysis[[#Headers],[CCCM]:[WASH]], tblPiNAnalysis[[#This Row],[Highest PiN]]=tblPiNAnalysis[[#This Row],[CCCM]:[WASH]]), tblPiNHistorical[[#Headers],[CCCM]:[WASH]], 0))), "")</f>
        <v/>
      </c>
      <c r="BB184" s="333" t="str" cm="1">
        <f t="array" ref="BB18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4" s="276" t="str" cm="1">
        <f t="array" ref="BC18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4" s="334" t="str" cm="1">
        <f t="array" ref="BD18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4" s="276">
        <f>INDEX(tblSeverityAnalysis[Final Severity], MATCH(tblPiNAnalysis[[#This Row],[ID]],tblSeverityAnalysis[ID], 0))</f>
        <v>4</v>
      </c>
      <c r="BF184" s="61">
        <f>IF(tblPiNAnalysis[[#This Row],[Severity]]&gt;2,tblPiNAnalysis[[#This Row],[Highest PiN]],)</f>
        <v>3453.1851851851857</v>
      </c>
      <c r="BG184" s="191"/>
      <c r="BH184" s="192"/>
      <c r="BI184" s="193">
        <f>COUNTIFS(tblPiNAnalysis[[#This Row],[Number of missing / zero PiNs greater than threshold - Data quality]:[Manual Flag]],"Flagged")</f>
        <v>0</v>
      </c>
      <c r="BJ184" s="96" t="str">
        <f>IF(tblPiNAnalysis[[#This Row],['# Flags]]&gt;0, "Flagged", "")</f>
        <v/>
      </c>
      <c r="BK184" s="326">
        <f>tblPiNAnalysis[[#This Row],[Preliminary PiN]]</f>
        <v>3453.1851851851857</v>
      </c>
      <c r="BL184" s="331"/>
    </row>
    <row r="185" spans="1:64" x14ac:dyDescent="0.55000000000000004">
      <c r="A18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SS0309</v>
      </c>
      <c r="B185" s="316" t="s">
        <v>268</v>
      </c>
      <c r="C185" s="317" t="s">
        <v>269</v>
      </c>
      <c r="D185" s="317" t="s">
        <v>286</v>
      </c>
      <c r="E185" s="105" t="s">
        <v>287</v>
      </c>
      <c r="F185" s="100"/>
      <c r="G185" s="34"/>
      <c r="H185" s="34"/>
      <c r="I185" s="97">
        <v>2811.1428571428601</v>
      </c>
      <c r="J185" s="97" t="s">
        <v>414</v>
      </c>
      <c r="K185" s="318">
        <v>421.67142857142898</v>
      </c>
      <c r="L185" s="319">
        <v>360.98447657142896</v>
      </c>
      <c r="M185" s="319">
        <v>968.04437881706997</v>
      </c>
      <c r="N185" s="319">
        <v>1897.3825367609311</v>
      </c>
      <c r="O185" s="319">
        <v>1777.6937221190433</v>
      </c>
      <c r="P185" s="319">
        <v>1968</v>
      </c>
      <c r="Q185" s="320">
        <v>2409.5510204081656</v>
      </c>
      <c r="R185" s="319">
        <v>103.16120576671047</v>
      </c>
      <c r="S185" s="319">
        <v>1148</v>
      </c>
      <c r="T185" s="319">
        <v>1063</v>
      </c>
      <c r="U185" s="319">
        <v>1532</v>
      </c>
      <c r="V185" s="319">
        <v>840</v>
      </c>
      <c r="W185" s="321">
        <f>IFERROR(IF(tblPiNAnalysis[[#This Row],[CCCM]]="", "", MROUND(tblPiNAnalysis[[#This Row],[CCCM]]/tblPiNAnalysis[[#This Row],[Affected population projection 2026]], 0.05)), "")</f>
        <v>0.15000000000000002</v>
      </c>
      <c r="X185" s="322">
        <f>IFERROR(IF(tblPiNAnalysis[[#This Row],[Education]]="", "", MROUND(tblPiNAnalysis[[#This Row],[Education]]/tblPiNAnalysis[[#This Row],[Affected population projection 2026]], 0.05)), "")</f>
        <v>0.15000000000000002</v>
      </c>
      <c r="Y185" s="322">
        <f>IFERROR(IF(tblPiNAnalysis[[#This Row],[Nutrition]]="", "", MROUND(tblPiNAnalysis[[#This Row],[Nutrition]]/tblPiNAnalysis[[#This Row],[Affected population projection 2026]], 0.05)), "")</f>
        <v>0.35000000000000003</v>
      </c>
      <c r="Z185" s="322">
        <f>IFERROR(IF(tblPiNAnalysis[[#This Row],[Food Security]]="", "", MROUND(tblPiNAnalysis[[#This Row],[Food Security]]/tblPiNAnalysis[[#This Row],[Affected population projection 2026]], 0.05)), "")</f>
        <v>0.65</v>
      </c>
      <c r="AA185" s="322">
        <f>IFERROR(IF(tblPiNAnalysis[[#This Row],[Health]]="", "", MROUND(tblPiNAnalysis[[#This Row],[Health]]/tblPiNAnalysis[[#This Row],[Affected population projection 2026]], 0.05)), "")</f>
        <v>0.65</v>
      </c>
      <c r="AB185" s="323">
        <f>IFERROR(IF(tblPiNAnalysis[[#This Row],[Overarching Protection]]="", "", MROUND(tblPiNAnalysis[[#This Row],[Overarching Protection]]/tblPiNAnalysis[[#This Row],[Affected population projection 2026]], 0.05)), "")</f>
        <v>0.70000000000000007</v>
      </c>
      <c r="AC185" s="323">
        <f>IFERROR(IF(tblPiNAnalysis[[#This Row],[Shelter]]="", "", MROUND(tblPiNAnalysis[[#This Row],[Shelter]]/tblPiNAnalysis[[#This Row],[Affected population projection 2026]], 0.05)), "")</f>
        <v>0.85000000000000009</v>
      </c>
      <c r="AD185" s="324">
        <f>IFERROR(IF(tblPiNAnalysis[[#This Row],[WASH]]="", "", MROUND(tblPiNAnalysis[[#This Row],[WASH]]/tblPiNAnalysis[[#This Row],[Affected population projection 2026]], 0.05)), "")</f>
        <v>0.05</v>
      </c>
      <c r="AE185" s="322">
        <f>IFERROR(MROUND(tblPiNAnalysis[[#This Row],[CP]]/tblPiNAnalysis[[#This Row],[Affected population projection 2026]], 0.05), "")</f>
        <v>0.4</v>
      </c>
      <c r="AF185" s="322">
        <f>IFERROR(MROUND(tblPiNAnalysis[[#This Row],[GBV]]/tblPiNAnalysis[[#This Row],[Affected population projection 2026]], 0.05), "")</f>
        <v>0.4</v>
      </c>
      <c r="AG185" s="322">
        <f>IFERROR(MROUND(tblPiNAnalysis[[#This Row],[Mine Action]]/tblPiNAnalysis[[#This Row],[Affected population projection 2026]], 0.05), "")</f>
        <v>0.55000000000000004</v>
      </c>
      <c r="AH185" s="322">
        <f>IFERROR(MROUND(tblPiNAnalysis[[#This Row],[HLP]]/tblPiNAnalysis[[#This Row],[Affected population projection 2026]], 0.05), "")</f>
        <v>0.30000000000000004</v>
      </c>
      <c r="AI185" s="325">
        <f>IFERROR(LARGE(tblPiNAnalysis[[#This Row],[CCCM]:[WASH]], 1), "")</f>
        <v>2409.5510204081656</v>
      </c>
      <c r="AJ185" s="326" t="str" cm="1">
        <f t="array" ref="AJ185">IF(tblPiNAnalysis[[#This Row],[Highest PiN]]="", "", _xlfn.TEXTJOIN(CHAR(10), TRUE, IF(tblPiNAnalysis[[#This Row],[Highest PiN]]=tblPiNAnalysis[[#This Row],[CCCM]:[WASH]], tblPiNAnalysis[[#Headers],[CCCM]:[WASH]], "")))</f>
        <v>Shelter</v>
      </c>
      <c r="AK185" s="327">
        <f>IF(tblPiNAnalysis[[#This Row],[Highest PiN]]="", "", tblPiNAnalysis[[#This Row],[Highest PiN]]/tblPiNAnalysis[[#This Row],[Affected population projection 2026]])</f>
        <v>0.8571428571428571</v>
      </c>
      <c r="AL185" s="328" t="str">
        <f>IF(SUM(tblPiNAnalysis[[#This Row],[CCCM]:[WASH]])=0, "",IF(COUNTIF(tblPiNAnalysis[[#This Row],[CCCM]:[WASH]],"=0")+COUNTIF(tblPiNAnalysis[[#This Row],[CCCM]:[WASH]],"")&gt;=zero_pin_thresh, "Flagged", ""))</f>
        <v/>
      </c>
      <c r="AM185" s="329" t="str">
        <f>IFERROR(IF(tblPiNAnalysis[[#This Row],[Highest PiN]]="", "", IF(tblPiNAnalysis[[#This Row],[Highest sector(s'') PiN %]]&gt;=flag_pin_perc, "Flagged", "")), "")</f>
        <v/>
      </c>
      <c r="AN185" s="330" t="str" cm="1">
        <f t="array" ref="AN185">IF(tblPiNAnalysis[[#This Row],[Highest PiN]]=0, "",  IF(OR(COUNTIF(tblPiNAnalysis[[#This Row],[Highest sector(s)]],tblSubSectorPopulation[Sector])), "Flagged", ""))</f>
        <v/>
      </c>
      <c r="AO185" s="46" cm="1">
        <f t="array" ref="AO18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1968</v>
      </c>
      <c r="AP185" s="331" t="str" cm="1">
        <f t="array" ref="AP185">IF(tblPiNAnalysis[[#This Row],[2nd Highest PiN]]="", "", _xlfn.TEXTJOIN(CHAR(10), TRUE, IF(tblPiNAnalysis[[#This Row],[2nd Highest PiN]]=tblPiNAnalysis[[#This Row],[CCCM]:[WASH]], tblPiNAnalysis[[#Headers],[CCCM]:[WASH]], "")))</f>
        <v>Overarching Protection</v>
      </c>
      <c r="AQ185" s="36">
        <f>IFERROR(tblPiNAnalysis[[#This Row],[2nd Highest PiN]]/tblPiNAnalysis[[#This Row],[Affected population projection 2026]], "")</f>
        <v>0.7000711454416092</v>
      </c>
      <c r="AR185" s="46">
        <f>IFERROR(tblPiNAnalysis[[#This Row],[Highest PiN]]-tblPiNAnalysis[[#This Row],[2nd Highest PiN]], "")</f>
        <v>441.55102040816564</v>
      </c>
      <c r="AS185" s="39">
        <f>IFERROR(((tblPiNAnalysis[[#This Row],[Highest PiN]]-tblPiNAnalysis[[#This Row],[2nd Highest PiN]])/tblPiNAnalysis[[#This Row],[2nd Highest PiN]]),"")</f>
        <v>0.22436535589845816</v>
      </c>
      <c r="AT185" s="39" t="str" cm="1">
        <f t="array" ref="AT18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5" s="332" cm="1">
        <f t="array" ref="AU18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1897.3825367609311</v>
      </c>
      <c r="AV185" s="190" t="str" cm="1">
        <f t="array" ref="AV185">IF(tblPiNAnalysis[[#This Row],[3rd Highest PiN]]="", "", _xlfn.TEXTJOIN(CHAR(10), TRUE, IF(tblPiNAnalysis[[#This Row],[3rd Highest PiN]]=tblPiNAnalysis[[#This Row],[CCCM]:[WASH]], tblPiNAnalysis[[#Headers],[CCCM]:[WASH]], "")))</f>
        <v>Food Security</v>
      </c>
      <c r="AW185" s="190">
        <f>IFERROR(tblPiNAnalysis[[#This Row],[3rd Highest PiN]]/tblPiNAnalysis[[#This Row],[Affected population projection 2026]], "")</f>
        <v>0.6749505924040301</v>
      </c>
      <c r="AX185" s="45">
        <f>IFERROR(tblPiNAnalysis[[#This Row],[Highest PiN]]-tblPiNAnalysis[[#This Row],[3rd Highest PiN]],"")</f>
        <v>512.16848364723455</v>
      </c>
      <c r="AY185" s="39">
        <f>IFERROR(tblPiNAnalysis[[#This Row],[Difference of PiN between Highest and 3rd Highest]]/tblPiNAnalysis[[#This Row],[3rd Highest PiN]], "")</f>
        <v>0.26993422450359961</v>
      </c>
      <c r="AZ185" s="330" t="str" cm="1">
        <f t="array" ref="AZ18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5" s="300" t="str" cm="1">
        <f t="array" ref="BA185">IFERROR(IF(tblPiNAnalysis[[#This Row],[ID]]="", "", INDEX(tblPiNHistorical[[CCCM]:[WASH]], MATCH(tblPiNAnalysis[[#This Row],[ID]],tblPiNHistorical[ID], 0),MATCH(_xlfn._xlws.FILTER(tblPiNAnalysis[[#Headers],[CCCM]:[WASH]], tblPiNAnalysis[[#This Row],[Highest PiN]]=tblPiNAnalysis[[#This Row],[CCCM]:[WASH]]), tblPiNHistorical[[#Headers],[CCCM]:[WASH]], 0))), "")</f>
        <v/>
      </c>
      <c r="BB185" s="333" t="str" cm="1">
        <f t="array" ref="BB18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5" s="276" t="str" cm="1">
        <f t="array" ref="BC18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5" s="334" t="str" cm="1">
        <f t="array" ref="BD18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5" s="276">
        <f>INDEX(tblSeverityAnalysis[Final Severity], MATCH(tblPiNAnalysis[[#This Row],[ID]],tblSeverityAnalysis[ID], 0))</f>
        <v>3</v>
      </c>
      <c r="BF185" s="61">
        <f>IF(tblPiNAnalysis[[#This Row],[Severity]]&gt;2,tblPiNAnalysis[[#This Row],[Highest PiN]],)</f>
        <v>2409.5510204081656</v>
      </c>
      <c r="BG185" s="191"/>
      <c r="BH185" s="192"/>
      <c r="BI185" s="193">
        <f>COUNTIFS(tblPiNAnalysis[[#This Row],[Number of missing / zero PiNs greater than threshold - Data quality]:[Manual Flag]],"Flagged")</f>
        <v>0</v>
      </c>
      <c r="BJ185" s="96" t="str">
        <f>IF(tblPiNAnalysis[[#This Row],['# Flags]]&gt;0, "Flagged", "")</f>
        <v/>
      </c>
      <c r="BK185" s="326">
        <f>tblPiNAnalysis[[#This Row],[Preliminary PiN]]</f>
        <v>2409.5510204081656</v>
      </c>
      <c r="BL185" s="331"/>
    </row>
    <row r="186" spans="1:64" x14ac:dyDescent="0.55000000000000004">
      <c r="A18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SS0310</v>
      </c>
      <c r="B186" s="316" t="s">
        <v>268</v>
      </c>
      <c r="C186" s="317" t="s">
        <v>269</v>
      </c>
      <c r="D186" s="317" t="s">
        <v>288</v>
      </c>
      <c r="E186" s="105" t="s">
        <v>289</v>
      </c>
      <c r="F186" s="100"/>
      <c r="G186" s="34"/>
      <c r="H186" s="34"/>
      <c r="I186" s="97">
        <v>5169</v>
      </c>
      <c r="J186" s="97" t="s">
        <v>414</v>
      </c>
      <c r="K186" s="318">
        <v>775.35</v>
      </c>
      <c r="L186" s="319">
        <v>1679.9250000000002</v>
      </c>
      <c r="M186" s="319">
        <v>1993.9602399046814</v>
      </c>
      <c r="N186" s="319">
        <v>3785.552719244839</v>
      </c>
      <c r="O186" s="319">
        <v>2881.5912221645549</v>
      </c>
      <c r="P186" s="319">
        <v>3546</v>
      </c>
      <c r="Q186" s="320">
        <v>5169</v>
      </c>
      <c r="R186" s="319">
        <v>3446</v>
      </c>
      <c r="S186" s="319">
        <v>1935</v>
      </c>
      <c r="T186" s="319">
        <v>2128</v>
      </c>
      <c r="U186" s="319">
        <v>2519</v>
      </c>
      <c r="V186" s="319">
        <v>1753</v>
      </c>
      <c r="W186" s="321">
        <f>IFERROR(IF(tblPiNAnalysis[[#This Row],[CCCM]]="", "", MROUND(tblPiNAnalysis[[#This Row],[CCCM]]/tblPiNAnalysis[[#This Row],[Affected population projection 2026]], 0.05)), "")</f>
        <v>0.15000000000000002</v>
      </c>
      <c r="X186" s="322">
        <f>IFERROR(IF(tblPiNAnalysis[[#This Row],[Education]]="", "", MROUND(tblPiNAnalysis[[#This Row],[Education]]/tblPiNAnalysis[[#This Row],[Affected population projection 2026]], 0.05)), "")</f>
        <v>0.35000000000000003</v>
      </c>
      <c r="Y186" s="322">
        <f>IFERROR(IF(tblPiNAnalysis[[#This Row],[Nutrition]]="", "", MROUND(tblPiNAnalysis[[#This Row],[Nutrition]]/tblPiNAnalysis[[#This Row],[Affected population projection 2026]], 0.05)), "")</f>
        <v>0.4</v>
      </c>
      <c r="Z186" s="322">
        <f>IFERROR(IF(tblPiNAnalysis[[#This Row],[Food Security]]="", "", MROUND(tblPiNAnalysis[[#This Row],[Food Security]]/tblPiNAnalysis[[#This Row],[Affected population projection 2026]], 0.05)), "")</f>
        <v>0.75</v>
      </c>
      <c r="AA186" s="322">
        <f>IFERROR(IF(tblPiNAnalysis[[#This Row],[Health]]="", "", MROUND(tblPiNAnalysis[[#This Row],[Health]]/tblPiNAnalysis[[#This Row],[Affected population projection 2026]], 0.05)), "")</f>
        <v>0.55000000000000004</v>
      </c>
      <c r="AB186" s="323">
        <f>IFERROR(IF(tblPiNAnalysis[[#This Row],[Overarching Protection]]="", "", MROUND(tblPiNAnalysis[[#This Row],[Overarching Protection]]/tblPiNAnalysis[[#This Row],[Affected population projection 2026]], 0.05)), "")</f>
        <v>0.70000000000000007</v>
      </c>
      <c r="AC186" s="323">
        <f>IFERROR(IF(tblPiNAnalysis[[#This Row],[Shelter]]="", "", MROUND(tblPiNAnalysis[[#This Row],[Shelter]]/tblPiNAnalysis[[#This Row],[Affected population projection 2026]], 0.05)), "")</f>
        <v>1</v>
      </c>
      <c r="AD186" s="324">
        <f>IFERROR(IF(tblPiNAnalysis[[#This Row],[WASH]]="", "", MROUND(tblPiNAnalysis[[#This Row],[WASH]]/tblPiNAnalysis[[#This Row],[Affected population projection 2026]], 0.05)), "")</f>
        <v>0.65</v>
      </c>
      <c r="AE186" s="322">
        <f>IFERROR(MROUND(tblPiNAnalysis[[#This Row],[CP]]/tblPiNAnalysis[[#This Row],[Affected population projection 2026]], 0.05), "")</f>
        <v>0.35000000000000003</v>
      </c>
      <c r="AF186" s="322">
        <f>IFERROR(MROUND(tblPiNAnalysis[[#This Row],[GBV]]/tblPiNAnalysis[[#This Row],[Affected population projection 2026]], 0.05), "")</f>
        <v>0.4</v>
      </c>
      <c r="AG186" s="322">
        <f>IFERROR(MROUND(tblPiNAnalysis[[#This Row],[Mine Action]]/tblPiNAnalysis[[#This Row],[Affected population projection 2026]], 0.05), "")</f>
        <v>0.5</v>
      </c>
      <c r="AH186" s="322">
        <f>IFERROR(MROUND(tblPiNAnalysis[[#This Row],[HLP]]/tblPiNAnalysis[[#This Row],[Affected population projection 2026]], 0.05), "")</f>
        <v>0.35000000000000003</v>
      </c>
      <c r="AI186" s="325">
        <f>IFERROR(LARGE(tblPiNAnalysis[[#This Row],[CCCM]:[WASH]], 1), "")</f>
        <v>5169</v>
      </c>
      <c r="AJ186" s="326" t="str" cm="1">
        <f t="array" ref="AJ186">IF(tblPiNAnalysis[[#This Row],[Highest PiN]]="", "", _xlfn.TEXTJOIN(CHAR(10), TRUE, IF(tblPiNAnalysis[[#This Row],[Highest PiN]]=tblPiNAnalysis[[#This Row],[CCCM]:[WASH]], tblPiNAnalysis[[#Headers],[CCCM]:[WASH]], "")))</f>
        <v>Shelter</v>
      </c>
      <c r="AK186" s="327">
        <f>IF(tblPiNAnalysis[[#This Row],[Highest PiN]]="", "", tblPiNAnalysis[[#This Row],[Highest PiN]]/tblPiNAnalysis[[#This Row],[Affected population projection 2026]])</f>
        <v>1</v>
      </c>
      <c r="AL186" s="328" t="str">
        <f>IF(SUM(tblPiNAnalysis[[#This Row],[CCCM]:[WASH]])=0, "",IF(COUNTIF(tblPiNAnalysis[[#This Row],[CCCM]:[WASH]],"=0")+COUNTIF(tblPiNAnalysis[[#This Row],[CCCM]:[WASH]],"")&gt;=zero_pin_thresh, "Flagged", ""))</f>
        <v/>
      </c>
      <c r="AM186" s="329" t="str">
        <f>IFERROR(IF(tblPiNAnalysis[[#This Row],[Highest PiN]]="", "", IF(tblPiNAnalysis[[#This Row],[Highest sector(s'') PiN %]]&gt;=flag_pin_perc, "Flagged", "")), "")</f>
        <v>Flagged</v>
      </c>
      <c r="AN186" s="330" t="str" cm="1">
        <f t="array" ref="AN186">IF(tblPiNAnalysis[[#This Row],[Highest PiN]]=0, "",  IF(OR(COUNTIF(tblPiNAnalysis[[#This Row],[Highest sector(s)]],tblSubSectorPopulation[Sector])), "Flagged", ""))</f>
        <v/>
      </c>
      <c r="AO186" s="46" cm="1">
        <f t="array" ref="AO18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3785.552719244839</v>
      </c>
      <c r="AP186" s="331" t="str" cm="1">
        <f t="array" ref="AP186">IF(tblPiNAnalysis[[#This Row],[2nd Highest PiN]]="", "", _xlfn.TEXTJOIN(CHAR(10), TRUE, IF(tblPiNAnalysis[[#This Row],[2nd Highest PiN]]=tblPiNAnalysis[[#This Row],[CCCM]:[WASH]], tblPiNAnalysis[[#Headers],[CCCM]:[WASH]], "")))</f>
        <v>Food Security</v>
      </c>
      <c r="AQ186" s="36">
        <f>IFERROR(tblPiNAnalysis[[#This Row],[2nd Highest PiN]]/tblPiNAnalysis[[#This Row],[Affected population projection 2026]], "")</f>
        <v>0.73235688126230203</v>
      </c>
      <c r="AR186" s="46">
        <f>IFERROR(tblPiNAnalysis[[#This Row],[Highest PiN]]-tblPiNAnalysis[[#This Row],[2nd Highest PiN]], "")</f>
        <v>1383.447280755161</v>
      </c>
      <c r="AS186" s="39">
        <f>IFERROR(((tblPiNAnalysis[[#This Row],[Highest PiN]]-tblPiNAnalysis[[#This Row],[2nd Highest PiN]])/tblPiNAnalysis[[#This Row],[2nd Highest PiN]]),"")</f>
        <v>0.36545450119398631</v>
      </c>
      <c r="AT186" s="39" t="str" cm="1">
        <f t="array" ref="AT18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86" s="332" cm="1">
        <f t="array" ref="AU18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3546</v>
      </c>
      <c r="AV186" s="190" t="str" cm="1">
        <f t="array" ref="AV186">IF(tblPiNAnalysis[[#This Row],[3rd Highest PiN]]="", "", _xlfn.TEXTJOIN(CHAR(10), TRUE, IF(tblPiNAnalysis[[#This Row],[3rd Highest PiN]]=tblPiNAnalysis[[#This Row],[CCCM]:[WASH]], tblPiNAnalysis[[#Headers],[CCCM]:[WASH]], "")))</f>
        <v>Overarching Protection</v>
      </c>
      <c r="AW186" s="190">
        <f>IFERROR(tblPiNAnalysis[[#This Row],[3rd Highest PiN]]/tblPiNAnalysis[[#This Row],[Affected population projection 2026]], "")</f>
        <v>0.68601276842716197</v>
      </c>
      <c r="AX186" s="45">
        <f>IFERROR(tblPiNAnalysis[[#This Row],[Highest PiN]]-tblPiNAnalysis[[#This Row],[3rd Highest PiN]],"")</f>
        <v>1623</v>
      </c>
      <c r="AY186" s="39">
        <f>IFERROR(tblPiNAnalysis[[#This Row],[Difference of PiN between Highest and 3rd Highest]]/tblPiNAnalysis[[#This Row],[3rd Highest PiN]], "")</f>
        <v>0.45769881556683589</v>
      </c>
      <c r="AZ186" s="330" t="str" cm="1">
        <f t="array" ref="AZ18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6" s="300" t="str" cm="1">
        <f t="array" ref="BA186">IFERROR(IF(tblPiNAnalysis[[#This Row],[ID]]="", "", INDEX(tblPiNHistorical[[CCCM]:[WASH]], MATCH(tblPiNAnalysis[[#This Row],[ID]],tblPiNHistorical[ID], 0),MATCH(_xlfn._xlws.FILTER(tblPiNAnalysis[[#Headers],[CCCM]:[WASH]], tblPiNAnalysis[[#This Row],[Highest PiN]]=tblPiNAnalysis[[#This Row],[CCCM]:[WASH]]), tblPiNHistorical[[#Headers],[CCCM]:[WASH]], 0))), "")</f>
        <v/>
      </c>
      <c r="BB186" s="333" t="str" cm="1">
        <f t="array" ref="BB18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6" s="276" t="str" cm="1">
        <f t="array" ref="BC18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6" s="334" t="str" cm="1">
        <f t="array" ref="BD18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6" s="276">
        <f>INDEX(tblSeverityAnalysis[Final Severity], MATCH(tblPiNAnalysis[[#This Row],[ID]],tblSeverityAnalysis[ID], 0))</f>
        <v>4</v>
      </c>
      <c r="BF186" s="61">
        <f>IF(tblPiNAnalysis[[#This Row],[Severity]]&gt;2,tblPiNAnalysis[[#This Row],[Highest PiN]],)</f>
        <v>5169</v>
      </c>
      <c r="BG186" s="191"/>
      <c r="BH186" s="192"/>
      <c r="BI186" s="193">
        <f>COUNTIFS(tblPiNAnalysis[[#This Row],[Number of missing / zero PiNs greater than threshold - Data quality]:[Manual Flag]],"Flagged")</f>
        <v>2</v>
      </c>
      <c r="BJ186" s="96" t="str">
        <f>IF(tblPiNAnalysis[[#This Row],['# Flags]]&gt;0, "Flagged", "")</f>
        <v>Flagged</v>
      </c>
      <c r="BK186" s="326">
        <f>tblPiNAnalysis[[#This Row],[Preliminary PiN]]</f>
        <v>5169</v>
      </c>
      <c r="BL186" s="331"/>
    </row>
    <row r="187" spans="1:64" x14ac:dyDescent="0.55000000000000004">
      <c r="A18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SS0311</v>
      </c>
      <c r="B187" s="316" t="s">
        <v>268</v>
      </c>
      <c r="C187" s="317" t="s">
        <v>269</v>
      </c>
      <c r="D187" s="317" t="s">
        <v>290</v>
      </c>
      <c r="E187" s="105" t="s">
        <v>291</v>
      </c>
      <c r="F187" s="100"/>
      <c r="G187" s="34"/>
      <c r="H187" s="34"/>
      <c r="I187" s="97">
        <v>5651</v>
      </c>
      <c r="J187" s="97" t="s">
        <v>414</v>
      </c>
      <c r="K187" s="318">
        <v>847.65</v>
      </c>
      <c r="L187" s="319">
        <v>1011.709832</v>
      </c>
      <c r="M187" s="319">
        <v>2883.8874975250328</v>
      </c>
      <c r="N187" s="319">
        <v>4605.4988278610399</v>
      </c>
      <c r="O187" s="319">
        <v>2709.270100011081</v>
      </c>
      <c r="P187" s="319">
        <v>3697</v>
      </c>
      <c r="Q187" s="320">
        <v>2825.5</v>
      </c>
      <c r="R187" s="319">
        <v>4709.166666666667</v>
      </c>
      <c r="S187" s="319">
        <v>2309</v>
      </c>
      <c r="T187" s="319">
        <v>2142</v>
      </c>
      <c r="U187" s="319">
        <v>425</v>
      </c>
      <c r="V187" s="319">
        <v>1325</v>
      </c>
      <c r="W187" s="321">
        <f>IFERROR(IF(tblPiNAnalysis[[#This Row],[CCCM]]="", "", MROUND(tblPiNAnalysis[[#This Row],[CCCM]]/tblPiNAnalysis[[#This Row],[Affected population projection 2026]], 0.05)), "")</f>
        <v>0.15000000000000002</v>
      </c>
      <c r="X187" s="322">
        <f>IFERROR(IF(tblPiNAnalysis[[#This Row],[Education]]="", "", MROUND(tblPiNAnalysis[[#This Row],[Education]]/tblPiNAnalysis[[#This Row],[Affected population projection 2026]], 0.05)), "")</f>
        <v>0.2</v>
      </c>
      <c r="Y187" s="322">
        <f>IFERROR(IF(tblPiNAnalysis[[#This Row],[Nutrition]]="", "", MROUND(tblPiNAnalysis[[#This Row],[Nutrition]]/tblPiNAnalysis[[#This Row],[Affected population projection 2026]], 0.05)), "")</f>
        <v>0.5</v>
      </c>
      <c r="Z187" s="322">
        <f>IFERROR(IF(tblPiNAnalysis[[#This Row],[Food Security]]="", "", MROUND(tblPiNAnalysis[[#This Row],[Food Security]]/tblPiNAnalysis[[#This Row],[Affected population projection 2026]], 0.05)), "")</f>
        <v>0.8</v>
      </c>
      <c r="AA187" s="322">
        <f>IFERROR(IF(tblPiNAnalysis[[#This Row],[Health]]="", "", MROUND(tblPiNAnalysis[[#This Row],[Health]]/tblPiNAnalysis[[#This Row],[Affected population projection 2026]], 0.05)), "")</f>
        <v>0.5</v>
      </c>
      <c r="AB187" s="323">
        <f>IFERROR(IF(tblPiNAnalysis[[#This Row],[Overarching Protection]]="", "", MROUND(tblPiNAnalysis[[#This Row],[Overarching Protection]]/tblPiNAnalysis[[#This Row],[Affected population projection 2026]], 0.05)), "")</f>
        <v>0.65</v>
      </c>
      <c r="AC187" s="323">
        <f>IFERROR(IF(tblPiNAnalysis[[#This Row],[Shelter]]="", "", MROUND(tblPiNAnalysis[[#This Row],[Shelter]]/tblPiNAnalysis[[#This Row],[Affected population projection 2026]], 0.05)), "")</f>
        <v>0.5</v>
      </c>
      <c r="AD187" s="324">
        <f>IFERROR(IF(tblPiNAnalysis[[#This Row],[WASH]]="", "", MROUND(tblPiNAnalysis[[#This Row],[WASH]]/tblPiNAnalysis[[#This Row],[Affected population projection 2026]], 0.05)), "")</f>
        <v>0.85000000000000009</v>
      </c>
      <c r="AE187" s="322">
        <f>IFERROR(MROUND(tblPiNAnalysis[[#This Row],[CP]]/tblPiNAnalysis[[#This Row],[Affected population projection 2026]], 0.05), "")</f>
        <v>0.4</v>
      </c>
      <c r="AF187" s="322">
        <f>IFERROR(MROUND(tblPiNAnalysis[[#This Row],[GBV]]/tblPiNAnalysis[[#This Row],[Affected population projection 2026]], 0.05), "")</f>
        <v>0.4</v>
      </c>
      <c r="AG187" s="322">
        <f>IFERROR(MROUND(tblPiNAnalysis[[#This Row],[Mine Action]]/tblPiNAnalysis[[#This Row],[Affected population projection 2026]], 0.05), "")</f>
        <v>0.1</v>
      </c>
      <c r="AH187" s="322">
        <f>IFERROR(MROUND(tblPiNAnalysis[[#This Row],[HLP]]/tblPiNAnalysis[[#This Row],[Affected population projection 2026]], 0.05), "")</f>
        <v>0.25</v>
      </c>
      <c r="AI187" s="325">
        <f>IFERROR(LARGE(tblPiNAnalysis[[#This Row],[CCCM]:[WASH]], 1), "")</f>
        <v>4709.166666666667</v>
      </c>
      <c r="AJ187" s="326" t="str" cm="1">
        <f t="array" ref="AJ187">IF(tblPiNAnalysis[[#This Row],[Highest PiN]]="", "", _xlfn.TEXTJOIN(CHAR(10), TRUE, IF(tblPiNAnalysis[[#This Row],[Highest PiN]]=tblPiNAnalysis[[#This Row],[CCCM]:[WASH]], tblPiNAnalysis[[#Headers],[CCCM]:[WASH]], "")))</f>
        <v>WASH</v>
      </c>
      <c r="AK187" s="327">
        <f>IF(tblPiNAnalysis[[#This Row],[Highest PiN]]="", "", tblPiNAnalysis[[#This Row],[Highest PiN]]/tblPiNAnalysis[[#This Row],[Affected population projection 2026]])</f>
        <v>0.83333333333333337</v>
      </c>
      <c r="AL187" s="328" t="str">
        <f>IF(SUM(tblPiNAnalysis[[#This Row],[CCCM]:[WASH]])=0, "",IF(COUNTIF(tblPiNAnalysis[[#This Row],[CCCM]:[WASH]],"=0")+COUNTIF(tblPiNAnalysis[[#This Row],[CCCM]:[WASH]],"")&gt;=zero_pin_thresh, "Flagged", ""))</f>
        <v/>
      </c>
      <c r="AM187" s="329" t="str">
        <f>IFERROR(IF(tblPiNAnalysis[[#This Row],[Highest PiN]]="", "", IF(tblPiNAnalysis[[#This Row],[Highest sector(s'') PiN %]]&gt;=flag_pin_perc, "Flagged", "")), "")</f>
        <v/>
      </c>
      <c r="AN187" s="330" t="str" cm="1">
        <f t="array" ref="AN187">IF(tblPiNAnalysis[[#This Row],[Highest PiN]]=0, "",  IF(OR(COUNTIF(tblPiNAnalysis[[#This Row],[Highest sector(s)]],tblSubSectorPopulation[Sector])), "Flagged", ""))</f>
        <v/>
      </c>
      <c r="AO187" s="46" cm="1">
        <f t="array" ref="AO18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4605.4988278610399</v>
      </c>
      <c r="AP187" s="331" t="str" cm="1">
        <f t="array" ref="AP187">IF(tblPiNAnalysis[[#This Row],[2nd Highest PiN]]="", "", _xlfn.TEXTJOIN(CHAR(10), TRUE, IF(tblPiNAnalysis[[#This Row],[2nd Highest PiN]]=tblPiNAnalysis[[#This Row],[CCCM]:[WASH]], tblPiNAnalysis[[#Headers],[CCCM]:[WASH]], "")))</f>
        <v>Food Security</v>
      </c>
      <c r="AQ187" s="36">
        <f>IFERROR(tblPiNAnalysis[[#This Row],[2nd Highest PiN]]/tblPiNAnalysis[[#This Row],[Affected population projection 2026]], "")</f>
        <v>0.81498829018953101</v>
      </c>
      <c r="AR187" s="46">
        <f>IFERROR(tblPiNAnalysis[[#This Row],[Highest PiN]]-tblPiNAnalysis[[#This Row],[2nd Highest PiN]], "")</f>
        <v>103.66783880562707</v>
      </c>
      <c r="AS187" s="39">
        <f>IFERROR(((tblPiNAnalysis[[#This Row],[Highest PiN]]-tblPiNAnalysis[[#This Row],[2nd Highest PiN]])/tblPiNAnalysis[[#This Row],[2nd Highest PiN]]),"")</f>
        <v>2.2509578805771657E-2</v>
      </c>
      <c r="AT187" s="39" t="str" cm="1">
        <f t="array" ref="AT18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7" s="332" cm="1">
        <f t="array" ref="AU18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3697</v>
      </c>
      <c r="AV187" s="190" t="str" cm="1">
        <f t="array" ref="AV187">IF(tblPiNAnalysis[[#This Row],[3rd Highest PiN]]="", "", _xlfn.TEXTJOIN(CHAR(10), TRUE, IF(tblPiNAnalysis[[#This Row],[3rd Highest PiN]]=tblPiNAnalysis[[#This Row],[CCCM]:[WASH]], tblPiNAnalysis[[#Headers],[CCCM]:[WASH]], "")))</f>
        <v>Overarching Protection</v>
      </c>
      <c r="AW187" s="190">
        <f>IFERROR(tblPiNAnalysis[[#This Row],[3rd Highest PiN]]/tblPiNAnalysis[[#This Row],[Affected population projection 2026]], "")</f>
        <v>0.65422049194832776</v>
      </c>
      <c r="AX187" s="45">
        <f>IFERROR(tblPiNAnalysis[[#This Row],[Highest PiN]]-tblPiNAnalysis[[#This Row],[3rd Highest PiN]],"")</f>
        <v>1012.166666666667</v>
      </c>
      <c r="AY187" s="39">
        <f>IFERROR(tblPiNAnalysis[[#This Row],[Difference of PiN between Highest and 3rd Highest]]/tblPiNAnalysis[[#This Row],[3rd Highest PiN]], "")</f>
        <v>0.2737805427824363</v>
      </c>
      <c r="AZ187" s="330" t="str" cm="1">
        <f t="array" ref="AZ18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7" s="300" t="str" cm="1">
        <f t="array" ref="BA187">IFERROR(IF(tblPiNAnalysis[[#This Row],[ID]]="", "", INDEX(tblPiNHistorical[[CCCM]:[WASH]], MATCH(tblPiNAnalysis[[#This Row],[ID]],tblPiNHistorical[ID], 0),MATCH(_xlfn._xlws.FILTER(tblPiNAnalysis[[#Headers],[CCCM]:[WASH]], tblPiNAnalysis[[#This Row],[Highest PiN]]=tblPiNAnalysis[[#This Row],[CCCM]:[WASH]]), tblPiNHistorical[[#Headers],[CCCM]:[WASH]], 0))), "")</f>
        <v/>
      </c>
      <c r="BB187" s="333" t="str" cm="1">
        <f t="array" ref="BB18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7" s="276" t="str" cm="1">
        <f t="array" ref="BC18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7" s="334" t="str" cm="1">
        <f t="array" ref="BD18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7" s="276">
        <f>INDEX(tblSeverityAnalysis[Final Severity], MATCH(tblPiNAnalysis[[#This Row],[ID]],tblSeverityAnalysis[ID], 0))</f>
        <v>4</v>
      </c>
      <c r="BF187" s="61">
        <f>IF(tblPiNAnalysis[[#This Row],[Severity]]&gt;2,tblPiNAnalysis[[#This Row],[Highest PiN]],)</f>
        <v>4709.166666666667</v>
      </c>
      <c r="BG187" s="191"/>
      <c r="BH187" s="192"/>
      <c r="BI187" s="193">
        <f>COUNTIFS(tblPiNAnalysis[[#This Row],[Number of missing / zero PiNs greater than threshold - Data quality]:[Manual Flag]],"Flagged")</f>
        <v>0</v>
      </c>
      <c r="BJ187" s="96" t="str">
        <f>IF(tblPiNAnalysis[[#This Row],['# Flags]]&gt;0, "Flagged", "")</f>
        <v/>
      </c>
      <c r="BK187" s="326">
        <f>tblPiNAnalysis[[#This Row],[Preliminary PiN]]</f>
        <v>4709.166666666667</v>
      </c>
      <c r="BL187" s="331"/>
    </row>
    <row r="188" spans="1:64" x14ac:dyDescent="0.55000000000000004">
      <c r="A18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SS0401</v>
      </c>
      <c r="B188" s="316" t="s">
        <v>292</v>
      </c>
      <c r="C188" s="317" t="s">
        <v>293</v>
      </c>
      <c r="D188" s="317" t="s">
        <v>294</v>
      </c>
      <c r="E188" s="105" t="s">
        <v>295</v>
      </c>
      <c r="F188" s="100"/>
      <c r="G188" s="34"/>
      <c r="H188" s="34"/>
      <c r="I188" s="97">
        <v>3073.7142857142899</v>
      </c>
      <c r="J188" s="97" t="s">
        <v>414</v>
      </c>
      <c r="K188" s="318">
        <v>461.05714285714345</v>
      </c>
      <c r="L188" s="319">
        <v>1177.512279428573</v>
      </c>
      <c r="M188" s="319">
        <v>1052.8543594749599</v>
      </c>
      <c r="N188" s="319">
        <v>1997.7222828758775</v>
      </c>
      <c r="O188" s="319">
        <v>1503.2260174378218</v>
      </c>
      <c r="P188" s="319">
        <v>615</v>
      </c>
      <c r="Q188" s="320">
        <v>2195.5102040816355</v>
      </c>
      <c r="R188" s="319">
        <v>2305.2857142857174</v>
      </c>
      <c r="S188" s="319">
        <v>253</v>
      </c>
      <c r="T188" s="319">
        <v>514</v>
      </c>
      <c r="U188" s="319">
        <v>293</v>
      </c>
      <c r="V188" s="319">
        <v>457</v>
      </c>
      <c r="W188" s="321">
        <f>IFERROR(IF(tblPiNAnalysis[[#This Row],[CCCM]]="", "", MROUND(tblPiNAnalysis[[#This Row],[CCCM]]/tblPiNAnalysis[[#This Row],[Affected population projection 2026]], 0.05)), "")</f>
        <v>0.15000000000000002</v>
      </c>
      <c r="X188" s="322">
        <f>IFERROR(IF(tblPiNAnalysis[[#This Row],[Education]]="", "", MROUND(tblPiNAnalysis[[#This Row],[Education]]/tblPiNAnalysis[[#This Row],[Affected population projection 2026]], 0.05)), "")</f>
        <v>0.4</v>
      </c>
      <c r="Y188" s="322">
        <f>IFERROR(IF(tblPiNAnalysis[[#This Row],[Nutrition]]="", "", MROUND(tblPiNAnalysis[[#This Row],[Nutrition]]/tblPiNAnalysis[[#This Row],[Affected population projection 2026]], 0.05)), "")</f>
        <v>0.35000000000000003</v>
      </c>
      <c r="Z188" s="322">
        <f>IFERROR(IF(tblPiNAnalysis[[#This Row],[Food Security]]="", "", MROUND(tblPiNAnalysis[[#This Row],[Food Security]]/tblPiNAnalysis[[#This Row],[Affected population projection 2026]], 0.05)), "")</f>
        <v>0.65</v>
      </c>
      <c r="AA188" s="322">
        <f>IFERROR(IF(tblPiNAnalysis[[#This Row],[Health]]="", "", MROUND(tblPiNAnalysis[[#This Row],[Health]]/tblPiNAnalysis[[#This Row],[Affected population projection 2026]], 0.05)), "")</f>
        <v>0.5</v>
      </c>
      <c r="AB188" s="323">
        <f>IFERROR(IF(tblPiNAnalysis[[#This Row],[Overarching Protection]]="", "", MROUND(tblPiNAnalysis[[#This Row],[Overarching Protection]]/tblPiNAnalysis[[#This Row],[Affected population projection 2026]], 0.05)), "")</f>
        <v>0.2</v>
      </c>
      <c r="AC188" s="323">
        <f>IFERROR(IF(tblPiNAnalysis[[#This Row],[Shelter]]="", "", MROUND(tblPiNAnalysis[[#This Row],[Shelter]]/tblPiNAnalysis[[#This Row],[Affected population projection 2026]], 0.05)), "")</f>
        <v>0.70000000000000007</v>
      </c>
      <c r="AD188" s="324">
        <f>IFERROR(IF(tblPiNAnalysis[[#This Row],[WASH]]="", "", MROUND(tblPiNAnalysis[[#This Row],[WASH]]/tblPiNAnalysis[[#This Row],[Affected population projection 2026]], 0.05)), "")</f>
        <v>0.75</v>
      </c>
      <c r="AE188" s="322">
        <f>IFERROR(MROUND(tblPiNAnalysis[[#This Row],[CP]]/tblPiNAnalysis[[#This Row],[Affected population projection 2026]], 0.05), "")</f>
        <v>0.1</v>
      </c>
      <c r="AF188" s="322">
        <f>IFERROR(MROUND(tblPiNAnalysis[[#This Row],[GBV]]/tblPiNAnalysis[[#This Row],[Affected population projection 2026]], 0.05), "")</f>
        <v>0.15000000000000002</v>
      </c>
      <c r="AG188" s="322">
        <f>IFERROR(MROUND(tblPiNAnalysis[[#This Row],[Mine Action]]/tblPiNAnalysis[[#This Row],[Affected population projection 2026]], 0.05), "")</f>
        <v>0.1</v>
      </c>
      <c r="AH188" s="322">
        <f>IFERROR(MROUND(tblPiNAnalysis[[#This Row],[HLP]]/tblPiNAnalysis[[#This Row],[Affected population projection 2026]], 0.05), "")</f>
        <v>0.15000000000000002</v>
      </c>
      <c r="AI188" s="325">
        <f>IFERROR(LARGE(tblPiNAnalysis[[#This Row],[CCCM]:[WASH]], 1), "")</f>
        <v>2305.2857142857174</v>
      </c>
      <c r="AJ188" s="326" t="str" cm="1">
        <f t="array" ref="AJ188">IF(tblPiNAnalysis[[#This Row],[Highest PiN]]="", "", _xlfn.TEXTJOIN(CHAR(10), TRUE, IF(tblPiNAnalysis[[#This Row],[Highest PiN]]=tblPiNAnalysis[[#This Row],[CCCM]:[WASH]], tblPiNAnalysis[[#Headers],[CCCM]:[WASH]], "")))</f>
        <v>WASH</v>
      </c>
      <c r="AK188" s="327">
        <f>IF(tblPiNAnalysis[[#This Row],[Highest PiN]]="", "", tblPiNAnalysis[[#This Row],[Highest PiN]]/tblPiNAnalysis[[#This Row],[Affected population projection 2026]])</f>
        <v>0.75</v>
      </c>
      <c r="AL188" s="328" t="str">
        <f>IF(SUM(tblPiNAnalysis[[#This Row],[CCCM]:[WASH]])=0, "",IF(COUNTIF(tblPiNAnalysis[[#This Row],[CCCM]:[WASH]],"=0")+COUNTIF(tblPiNAnalysis[[#This Row],[CCCM]:[WASH]],"")&gt;=zero_pin_thresh, "Flagged", ""))</f>
        <v/>
      </c>
      <c r="AM188" s="329" t="str">
        <f>IFERROR(IF(tblPiNAnalysis[[#This Row],[Highest PiN]]="", "", IF(tblPiNAnalysis[[#This Row],[Highest sector(s'') PiN %]]&gt;=flag_pin_perc, "Flagged", "")), "")</f>
        <v/>
      </c>
      <c r="AN188" s="330" t="str" cm="1">
        <f t="array" ref="AN188">IF(tblPiNAnalysis[[#This Row],[Highest PiN]]=0, "",  IF(OR(COUNTIF(tblPiNAnalysis[[#This Row],[Highest sector(s)]],tblSubSectorPopulation[Sector])), "Flagged", ""))</f>
        <v/>
      </c>
      <c r="AO188" s="46" cm="1">
        <f t="array" ref="AO18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2195.5102040816355</v>
      </c>
      <c r="AP188" s="331" t="str" cm="1">
        <f t="array" ref="AP188">IF(tblPiNAnalysis[[#This Row],[2nd Highest PiN]]="", "", _xlfn.TEXTJOIN(CHAR(10), TRUE, IF(tblPiNAnalysis[[#This Row],[2nd Highest PiN]]=tblPiNAnalysis[[#This Row],[CCCM]:[WASH]], tblPiNAnalysis[[#Headers],[CCCM]:[WASH]], "")))</f>
        <v>Shelter</v>
      </c>
      <c r="AQ188" s="36">
        <f>IFERROR(tblPiNAnalysis[[#This Row],[2nd Highest PiN]]/tblPiNAnalysis[[#This Row],[Affected population projection 2026]], "")</f>
        <v>0.71428571428571419</v>
      </c>
      <c r="AR188" s="46">
        <f>IFERROR(tblPiNAnalysis[[#This Row],[Highest PiN]]-tblPiNAnalysis[[#This Row],[2nd Highest PiN]], "")</f>
        <v>109.77551020408191</v>
      </c>
      <c r="AS188" s="39">
        <f>IFERROR(((tblPiNAnalysis[[#This Row],[Highest PiN]]-tblPiNAnalysis[[#This Row],[2nd Highest PiN]])/tblPiNAnalysis[[#This Row],[2nd Highest PiN]]),"")</f>
        <v>5.0000000000000065E-2</v>
      </c>
      <c r="AT188" s="39" t="str" cm="1">
        <f t="array" ref="AT18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8" s="332" cm="1">
        <f t="array" ref="AU18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1997.7222828758775</v>
      </c>
      <c r="AV188" s="190" t="str" cm="1">
        <f t="array" ref="AV188">IF(tblPiNAnalysis[[#This Row],[3rd Highest PiN]]="", "", _xlfn.TEXTJOIN(CHAR(10), TRUE, IF(tblPiNAnalysis[[#This Row],[3rd Highest PiN]]=tblPiNAnalysis[[#This Row],[CCCM]:[WASH]], tblPiNAnalysis[[#Headers],[CCCM]:[WASH]], "")))</f>
        <v>Food Security</v>
      </c>
      <c r="AW188" s="190">
        <f>IFERROR(tblPiNAnalysis[[#This Row],[3rd Highest PiN]]/tblPiNAnalysis[[#This Row],[Affected population projection 2026]], "")</f>
        <v>0.64993753393433362</v>
      </c>
      <c r="AX188" s="45">
        <f>IFERROR(tblPiNAnalysis[[#This Row],[Highest PiN]]-tblPiNAnalysis[[#This Row],[3rd Highest PiN]],"")</f>
        <v>307.56343140983995</v>
      </c>
      <c r="AY188" s="39">
        <f>IFERROR(tblPiNAnalysis[[#This Row],[Difference of PiN between Highest and 3rd Highest]]/tblPiNAnalysis[[#This Row],[3rd Highest PiN]], "")</f>
        <v>0.15395705101065316</v>
      </c>
      <c r="AZ188" s="330" t="str" cm="1">
        <f t="array" ref="AZ18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8" s="300" t="str" cm="1">
        <f t="array" ref="BA188">IFERROR(IF(tblPiNAnalysis[[#This Row],[ID]]="", "", INDEX(tblPiNHistorical[[CCCM]:[WASH]], MATCH(tblPiNAnalysis[[#This Row],[ID]],tblPiNHistorical[ID], 0),MATCH(_xlfn._xlws.FILTER(tblPiNAnalysis[[#Headers],[CCCM]:[WASH]], tblPiNAnalysis[[#This Row],[Highest PiN]]=tblPiNAnalysis[[#This Row],[CCCM]:[WASH]]), tblPiNHistorical[[#Headers],[CCCM]:[WASH]], 0))), "")</f>
        <v/>
      </c>
      <c r="BB188" s="333" t="str" cm="1">
        <f t="array" ref="BB18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8" s="276" t="str" cm="1">
        <f t="array" ref="BC18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8" s="334" t="str" cm="1">
        <f t="array" ref="BD18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8" s="276">
        <f>INDEX(tblSeverityAnalysis[Final Severity], MATCH(tblPiNAnalysis[[#This Row],[ID]],tblSeverityAnalysis[ID], 0))</f>
        <v>3</v>
      </c>
      <c r="BF188" s="61">
        <f>IF(tblPiNAnalysis[[#This Row],[Severity]]&gt;2,tblPiNAnalysis[[#This Row],[Highest PiN]],)</f>
        <v>2305.2857142857174</v>
      </c>
      <c r="BG188" s="191"/>
      <c r="BH188" s="192"/>
      <c r="BI188" s="193">
        <f>COUNTIFS(tblPiNAnalysis[[#This Row],[Number of missing / zero PiNs greater than threshold - Data quality]:[Manual Flag]],"Flagged")</f>
        <v>0</v>
      </c>
      <c r="BJ188" s="96" t="str">
        <f>IF(tblPiNAnalysis[[#This Row],['# Flags]]&gt;0, "Flagged", "")</f>
        <v/>
      </c>
      <c r="BK188" s="326">
        <f>tblPiNAnalysis[[#This Row],[Preliminary PiN]]</f>
        <v>2305.2857142857174</v>
      </c>
      <c r="BL188" s="331"/>
    </row>
    <row r="189" spans="1:64" x14ac:dyDescent="0.55000000000000004">
      <c r="A18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SS0402</v>
      </c>
      <c r="B189" s="316" t="s">
        <v>292</v>
      </c>
      <c r="C189" s="317" t="s">
        <v>293</v>
      </c>
      <c r="D189" s="317" t="s">
        <v>296</v>
      </c>
      <c r="E189" s="105" t="s">
        <v>297</v>
      </c>
      <c r="F189" s="100"/>
      <c r="G189" s="34"/>
      <c r="H189" s="34"/>
      <c r="I189" s="97">
        <v>1148</v>
      </c>
      <c r="J189" s="97" t="s">
        <v>414</v>
      </c>
      <c r="K189" s="318">
        <v>172.2</v>
      </c>
      <c r="L189" s="319">
        <v>321.59727599999997</v>
      </c>
      <c r="M189" s="319">
        <v>371.57061407088617</v>
      </c>
      <c r="N189" s="319">
        <v>594.83372983899699</v>
      </c>
      <c r="O189" s="319">
        <v>481.21173161292643</v>
      </c>
      <c r="P189" s="319">
        <v>230</v>
      </c>
      <c r="Q189" s="320">
        <v>765.33333333333337</v>
      </c>
      <c r="R189" s="319">
        <v>754.7037037037037</v>
      </c>
      <c r="S189" s="319">
        <v>186</v>
      </c>
      <c r="T189" s="319">
        <v>176</v>
      </c>
      <c r="U189" s="319">
        <v>90</v>
      </c>
      <c r="V189" s="319">
        <v>97</v>
      </c>
      <c r="W189" s="321">
        <f>IFERROR(IF(tblPiNAnalysis[[#This Row],[CCCM]]="", "", MROUND(tblPiNAnalysis[[#This Row],[CCCM]]/tblPiNAnalysis[[#This Row],[Affected population projection 2026]], 0.05)), "")</f>
        <v>0.15000000000000002</v>
      </c>
      <c r="X189" s="322">
        <f>IFERROR(IF(tblPiNAnalysis[[#This Row],[Education]]="", "", MROUND(tblPiNAnalysis[[#This Row],[Education]]/tblPiNAnalysis[[#This Row],[Affected population projection 2026]], 0.05)), "")</f>
        <v>0.30000000000000004</v>
      </c>
      <c r="Y189" s="322">
        <f>IFERROR(IF(tblPiNAnalysis[[#This Row],[Nutrition]]="", "", MROUND(tblPiNAnalysis[[#This Row],[Nutrition]]/tblPiNAnalysis[[#This Row],[Affected population projection 2026]], 0.05)), "")</f>
        <v>0.30000000000000004</v>
      </c>
      <c r="Z189" s="322">
        <f>IFERROR(IF(tblPiNAnalysis[[#This Row],[Food Security]]="", "", MROUND(tblPiNAnalysis[[#This Row],[Food Security]]/tblPiNAnalysis[[#This Row],[Affected population projection 2026]], 0.05)), "")</f>
        <v>0.5</v>
      </c>
      <c r="AA189" s="322">
        <f>IFERROR(IF(tblPiNAnalysis[[#This Row],[Health]]="", "", MROUND(tblPiNAnalysis[[#This Row],[Health]]/tblPiNAnalysis[[#This Row],[Affected population projection 2026]], 0.05)), "")</f>
        <v>0.4</v>
      </c>
      <c r="AB189" s="323">
        <f>IFERROR(IF(tblPiNAnalysis[[#This Row],[Overarching Protection]]="", "", MROUND(tblPiNAnalysis[[#This Row],[Overarching Protection]]/tblPiNAnalysis[[#This Row],[Affected population projection 2026]], 0.05)), "")</f>
        <v>0.2</v>
      </c>
      <c r="AC189" s="323">
        <f>IFERROR(IF(tblPiNAnalysis[[#This Row],[Shelter]]="", "", MROUND(tblPiNAnalysis[[#This Row],[Shelter]]/tblPiNAnalysis[[#This Row],[Affected population projection 2026]], 0.05)), "")</f>
        <v>0.65</v>
      </c>
      <c r="AD189" s="324">
        <f>IFERROR(IF(tblPiNAnalysis[[#This Row],[WASH]]="", "", MROUND(tblPiNAnalysis[[#This Row],[WASH]]/tblPiNAnalysis[[#This Row],[Affected population projection 2026]], 0.05)), "")</f>
        <v>0.65</v>
      </c>
      <c r="AE189" s="322">
        <f>IFERROR(MROUND(tblPiNAnalysis[[#This Row],[CP]]/tblPiNAnalysis[[#This Row],[Affected population projection 2026]], 0.05), "")</f>
        <v>0.15000000000000002</v>
      </c>
      <c r="AF189" s="322">
        <f>IFERROR(MROUND(tblPiNAnalysis[[#This Row],[GBV]]/tblPiNAnalysis[[#This Row],[Affected population projection 2026]], 0.05), "")</f>
        <v>0.15000000000000002</v>
      </c>
      <c r="AG189" s="322">
        <f>IFERROR(MROUND(tblPiNAnalysis[[#This Row],[Mine Action]]/tblPiNAnalysis[[#This Row],[Affected population projection 2026]], 0.05), "")</f>
        <v>0.1</v>
      </c>
      <c r="AH189" s="322">
        <f>IFERROR(MROUND(tblPiNAnalysis[[#This Row],[HLP]]/tblPiNAnalysis[[#This Row],[Affected population projection 2026]], 0.05), "")</f>
        <v>0.1</v>
      </c>
      <c r="AI189" s="325">
        <f>IFERROR(LARGE(tblPiNAnalysis[[#This Row],[CCCM]:[WASH]], 1), "")</f>
        <v>765.33333333333337</v>
      </c>
      <c r="AJ189" s="326" t="str" cm="1">
        <f t="array" ref="AJ189">IF(tblPiNAnalysis[[#This Row],[Highest PiN]]="", "", _xlfn.TEXTJOIN(CHAR(10), TRUE, IF(tblPiNAnalysis[[#This Row],[Highest PiN]]=tblPiNAnalysis[[#This Row],[CCCM]:[WASH]], tblPiNAnalysis[[#Headers],[CCCM]:[WASH]], "")))</f>
        <v>Shelter</v>
      </c>
      <c r="AK189" s="327">
        <f>IF(tblPiNAnalysis[[#This Row],[Highest PiN]]="", "", tblPiNAnalysis[[#This Row],[Highest PiN]]/tblPiNAnalysis[[#This Row],[Affected population projection 2026]])</f>
        <v>0.66666666666666674</v>
      </c>
      <c r="AL189" s="328" t="str">
        <f>IF(SUM(tblPiNAnalysis[[#This Row],[CCCM]:[WASH]])=0, "",IF(COUNTIF(tblPiNAnalysis[[#This Row],[CCCM]:[WASH]],"=0")+COUNTIF(tblPiNAnalysis[[#This Row],[CCCM]:[WASH]],"")&gt;=zero_pin_thresh, "Flagged", ""))</f>
        <v/>
      </c>
      <c r="AM189" s="329" t="str">
        <f>IFERROR(IF(tblPiNAnalysis[[#This Row],[Highest PiN]]="", "", IF(tblPiNAnalysis[[#This Row],[Highest sector(s'') PiN %]]&gt;=flag_pin_perc, "Flagged", "")), "")</f>
        <v/>
      </c>
      <c r="AN189" s="330" t="str" cm="1">
        <f t="array" ref="AN189">IF(tblPiNAnalysis[[#This Row],[Highest PiN]]=0, "",  IF(OR(COUNTIF(tblPiNAnalysis[[#This Row],[Highest sector(s)]],tblSubSectorPopulation[Sector])), "Flagged", ""))</f>
        <v/>
      </c>
      <c r="AO189" s="46" cm="1">
        <f t="array" ref="AO18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754.7037037037037</v>
      </c>
      <c r="AP189" s="331" t="str" cm="1">
        <f t="array" ref="AP189">IF(tblPiNAnalysis[[#This Row],[2nd Highest PiN]]="", "", _xlfn.TEXTJOIN(CHAR(10), TRUE, IF(tblPiNAnalysis[[#This Row],[2nd Highest PiN]]=tblPiNAnalysis[[#This Row],[CCCM]:[WASH]], tblPiNAnalysis[[#Headers],[CCCM]:[WASH]], "")))</f>
        <v>WASH</v>
      </c>
      <c r="AQ189" s="36">
        <f>IFERROR(tblPiNAnalysis[[#This Row],[2nd Highest PiN]]/tblPiNAnalysis[[#This Row],[Affected population projection 2026]], "")</f>
        <v>0.65740740740740744</v>
      </c>
      <c r="AR189" s="46">
        <f>IFERROR(tblPiNAnalysis[[#This Row],[Highest PiN]]-tblPiNAnalysis[[#This Row],[2nd Highest PiN]], "")</f>
        <v>10.629629629629676</v>
      </c>
      <c r="AS189" s="39">
        <f>IFERROR(((tblPiNAnalysis[[#This Row],[Highest PiN]]-tblPiNAnalysis[[#This Row],[2nd Highest PiN]])/tblPiNAnalysis[[#This Row],[2nd Highest PiN]]),"")</f>
        <v>1.4084507042253582E-2</v>
      </c>
      <c r="AT189" s="39" t="str" cm="1">
        <f t="array" ref="AT18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9" s="332" cm="1">
        <f t="array" ref="AU18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594.83372983899699</v>
      </c>
      <c r="AV189" s="190" t="str" cm="1">
        <f t="array" ref="AV189">IF(tblPiNAnalysis[[#This Row],[3rd Highest PiN]]="", "", _xlfn.TEXTJOIN(CHAR(10), TRUE, IF(tblPiNAnalysis[[#This Row],[3rd Highest PiN]]=tblPiNAnalysis[[#This Row],[CCCM]:[WASH]], tblPiNAnalysis[[#Headers],[CCCM]:[WASH]], "")))</f>
        <v>Food Security</v>
      </c>
      <c r="AW189" s="190">
        <f>IFERROR(tblPiNAnalysis[[#This Row],[3rd Highest PiN]]/tblPiNAnalysis[[#This Row],[Affected population projection 2026]], "")</f>
        <v>0.51814784829180927</v>
      </c>
      <c r="AX189" s="45">
        <f>IFERROR(tblPiNAnalysis[[#This Row],[Highest PiN]]-tblPiNAnalysis[[#This Row],[3rd Highest PiN]],"")</f>
        <v>170.49960349433638</v>
      </c>
      <c r="AY189" s="39">
        <f>IFERROR(tblPiNAnalysis[[#This Row],[Difference of PiN between Highest and 3rd Highest]]/tblPiNAnalysis[[#This Row],[3rd Highest PiN]], "")</f>
        <v>0.28663405409186415</v>
      </c>
      <c r="AZ189" s="330" t="str" cm="1">
        <f t="array" ref="AZ18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89" s="300" t="str" cm="1">
        <f t="array" ref="BA189">IFERROR(IF(tblPiNAnalysis[[#This Row],[ID]]="", "", INDEX(tblPiNHistorical[[CCCM]:[WASH]], MATCH(tblPiNAnalysis[[#This Row],[ID]],tblPiNHistorical[ID], 0),MATCH(_xlfn._xlws.FILTER(tblPiNAnalysis[[#Headers],[CCCM]:[WASH]], tblPiNAnalysis[[#This Row],[Highest PiN]]=tblPiNAnalysis[[#This Row],[CCCM]:[WASH]]), tblPiNHistorical[[#Headers],[CCCM]:[WASH]], 0))), "")</f>
        <v/>
      </c>
      <c r="BB189" s="333" t="str" cm="1">
        <f t="array" ref="BB18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9" s="276" t="str" cm="1">
        <f t="array" ref="BC18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89" s="334" t="str" cm="1">
        <f t="array" ref="BD18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9" s="276">
        <f>INDEX(tblSeverityAnalysis[Final Severity], MATCH(tblPiNAnalysis[[#This Row],[ID]],tblSeverityAnalysis[ID], 0))</f>
        <v>3</v>
      </c>
      <c r="BF189" s="61">
        <f>IF(tblPiNAnalysis[[#This Row],[Severity]]&gt;2,tblPiNAnalysis[[#This Row],[Highest PiN]],)</f>
        <v>765.33333333333337</v>
      </c>
      <c r="BG189" s="191"/>
      <c r="BH189" s="192"/>
      <c r="BI189" s="193">
        <f>COUNTIFS(tblPiNAnalysis[[#This Row],[Number of missing / zero PiNs greater than threshold - Data quality]:[Manual Flag]],"Flagged")</f>
        <v>0</v>
      </c>
      <c r="BJ189" s="96" t="str">
        <f>IF(tblPiNAnalysis[[#This Row],['# Flags]]&gt;0, "Flagged", "")</f>
        <v/>
      </c>
      <c r="BK189" s="326">
        <f>tblPiNAnalysis[[#This Row],[Preliminary PiN]]</f>
        <v>765.33333333333337</v>
      </c>
      <c r="BL189" s="331"/>
    </row>
    <row r="190" spans="1:64" x14ac:dyDescent="0.55000000000000004">
      <c r="A19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SS0403</v>
      </c>
      <c r="B190" s="316" t="s">
        <v>292</v>
      </c>
      <c r="C190" s="317" t="s">
        <v>293</v>
      </c>
      <c r="D190" s="317" t="s">
        <v>298</v>
      </c>
      <c r="E190" s="105" t="s">
        <v>299</v>
      </c>
      <c r="F190" s="100"/>
      <c r="G190" s="34"/>
      <c r="H190" s="34"/>
      <c r="I190" s="97">
        <v>2881</v>
      </c>
      <c r="J190" s="97" t="s">
        <v>414</v>
      </c>
      <c r="K190" s="318">
        <v>432.15</v>
      </c>
      <c r="L190" s="319">
        <v>759.80612999999994</v>
      </c>
      <c r="M190" s="319">
        <v>923.91164896721557</v>
      </c>
      <c r="N190" s="319">
        <v>2057.9427616123767</v>
      </c>
      <c r="O190" s="319">
        <v>1444.4431475936408</v>
      </c>
      <c r="P190" s="319">
        <v>576</v>
      </c>
      <c r="Q190" s="320">
        <v>2016.6999999999998</v>
      </c>
      <c r="R190" s="319">
        <v>1400.8532110091742</v>
      </c>
      <c r="S190" s="319">
        <v>195</v>
      </c>
      <c r="T190" s="319">
        <v>414</v>
      </c>
      <c r="U190" s="319">
        <v>226</v>
      </c>
      <c r="V190" s="319">
        <v>213</v>
      </c>
      <c r="W190" s="321">
        <f>IFERROR(IF(tblPiNAnalysis[[#This Row],[CCCM]]="", "", MROUND(tblPiNAnalysis[[#This Row],[CCCM]]/tblPiNAnalysis[[#This Row],[Affected population projection 2026]], 0.05)), "")</f>
        <v>0.15000000000000002</v>
      </c>
      <c r="X190" s="322">
        <f>IFERROR(IF(tblPiNAnalysis[[#This Row],[Education]]="", "", MROUND(tblPiNAnalysis[[#This Row],[Education]]/tblPiNAnalysis[[#This Row],[Affected population projection 2026]], 0.05)), "")</f>
        <v>0.25</v>
      </c>
      <c r="Y190" s="322">
        <f>IFERROR(IF(tblPiNAnalysis[[#This Row],[Nutrition]]="", "", MROUND(tblPiNAnalysis[[#This Row],[Nutrition]]/tblPiNAnalysis[[#This Row],[Affected population projection 2026]], 0.05)), "")</f>
        <v>0.30000000000000004</v>
      </c>
      <c r="Z190" s="322">
        <f>IFERROR(IF(tblPiNAnalysis[[#This Row],[Food Security]]="", "", MROUND(tblPiNAnalysis[[#This Row],[Food Security]]/tblPiNAnalysis[[#This Row],[Affected population projection 2026]], 0.05)), "")</f>
        <v>0.70000000000000007</v>
      </c>
      <c r="AA190" s="322">
        <f>IFERROR(IF(tblPiNAnalysis[[#This Row],[Health]]="", "", MROUND(tblPiNAnalysis[[#This Row],[Health]]/tblPiNAnalysis[[#This Row],[Affected population projection 2026]], 0.05)), "")</f>
        <v>0.5</v>
      </c>
      <c r="AB190" s="323">
        <f>IFERROR(IF(tblPiNAnalysis[[#This Row],[Overarching Protection]]="", "", MROUND(tblPiNAnalysis[[#This Row],[Overarching Protection]]/tblPiNAnalysis[[#This Row],[Affected population projection 2026]], 0.05)), "")</f>
        <v>0.2</v>
      </c>
      <c r="AC190" s="323">
        <f>IFERROR(IF(tblPiNAnalysis[[#This Row],[Shelter]]="", "", MROUND(tblPiNAnalysis[[#This Row],[Shelter]]/tblPiNAnalysis[[#This Row],[Affected population projection 2026]], 0.05)), "")</f>
        <v>0.70000000000000007</v>
      </c>
      <c r="AD190" s="324">
        <f>IFERROR(IF(tblPiNAnalysis[[#This Row],[WASH]]="", "", MROUND(tblPiNAnalysis[[#This Row],[WASH]]/tblPiNAnalysis[[#This Row],[Affected population projection 2026]], 0.05)), "")</f>
        <v>0.5</v>
      </c>
      <c r="AE190" s="322">
        <f>IFERROR(MROUND(tblPiNAnalysis[[#This Row],[CP]]/tblPiNAnalysis[[#This Row],[Affected population projection 2026]], 0.05), "")</f>
        <v>0.05</v>
      </c>
      <c r="AF190" s="322">
        <f>IFERROR(MROUND(tblPiNAnalysis[[#This Row],[GBV]]/tblPiNAnalysis[[#This Row],[Affected population projection 2026]], 0.05), "")</f>
        <v>0.15000000000000002</v>
      </c>
      <c r="AG190" s="322">
        <f>IFERROR(MROUND(tblPiNAnalysis[[#This Row],[Mine Action]]/tblPiNAnalysis[[#This Row],[Affected population projection 2026]], 0.05), "")</f>
        <v>0.1</v>
      </c>
      <c r="AH190" s="322">
        <f>IFERROR(MROUND(tblPiNAnalysis[[#This Row],[HLP]]/tblPiNAnalysis[[#This Row],[Affected population projection 2026]], 0.05), "")</f>
        <v>0.05</v>
      </c>
      <c r="AI190" s="325">
        <f>IFERROR(LARGE(tblPiNAnalysis[[#This Row],[CCCM]:[WASH]], 1), "")</f>
        <v>2057.9427616123767</v>
      </c>
      <c r="AJ190" s="326" t="str" cm="1">
        <f t="array" ref="AJ190">IF(tblPiNAnalysis[[#This Row],[Highest PiN]]="", "", _xlfn.TEXTJOIN(CHAR(10), TRUE, IF(tblPiNAnalysis[[#This Row],[Highest PiN]]=tblPiNAnalysis[[#This Row],[CCCM]:[WASH]], tblPiNAnalysis[[#Headers],[CCCM]:[WASH]], "")))</f>
        <v>Food Security</v>
      </c>
      <c r="AK190" s="327">
        <f>IF(tblPiNAnalysis[[#This Row],[Highest PiN]]="", "", tblPiNAnalysis[[#This Row],[Highest PiN]]/tblPiNAnalysis[[#This Row],[Affected population projection 2026]])</f>
        <v>0.71431543270127618</v>
      </c>
      <c r="AL190" s="328" t="str">
        <f>IF(SUM(tblPiNAnalysis[[#This Row],[CCCM]:[WASH]])=0, "",IF(COUNTIF(tblPiNAnalysis[[#This Row],[CCCM]:[WASH]],"=0")+COUNTIF(tblPiNAnalysis[[#This Row],[CCCM]:[WASH]],"")&gt;=zero_pin_thresh, "Flagged", ""))</f>
        <v/>
      </c>
      <c r="AM190" s="329" t="str">
        <f>IFERROR(IF(tblPiNAnalysis[[#This Row],[Highest PiN]]="", "", IF(tblPiNAnalysis[[#This Row],[Highest sector(s'') PiN %]]&gt;=flag_pin_perc, "Flagged", "")), "")</f>
        <v/>
      </c>
      <c r="AN190" s="330" t="str" cm="1">
        <f t="array" ref="AN190">IF(tblPiNAnalysis[[#This Row],[Highest PiN]]=0, "",  IF(OR(COUNTIF(tblPiNAnalysis[[#This Row],[Highest sector(s)]],tblSubSectorPopulation[Sector])), "Flagged", ""))</f>
        <v/>
      </c>
      <c r="AO190" s="46" cm="1">
        <f t="array" ref="AO19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2016.6999999999998</v>
      </c>
      <c r="AP190" s="331" t="str" cm="1">
        <f t="array" ref="AP190">IF(tblPiNAnalysis[[#This Row],[2nd Highest PiN]]="", "", _xlfn.TEXTJOIN(CHAR(10), TRUE, IF(tblPiNAnalysis[[#This Row],[2nd Highest PiN]]=tblPiNAnalysis[[#This Row],[CCCM]:[WASH]], tblPiNAnalysis[[#Headers],[CCCM]:[WASH]], "")))</f>
        <v>Shelter</v>
      </c>
      <c r="AQ190" s="36">
        <f>IFERROR(tblPiNAnalysis[[#This Row],[2nd Highest PiN]]/tblPiNAnalysis[[#This Row],[Affected population projection 2026]], "")</f>
        <v>0.7</v>
      </c>
      <c r="AR190" s="46">
        <f>IFERROR(tblPiNAnalysis[[#This Row],[Highest PiN]]-tblPiNAnalysis[[#This Row],[2nd Highest PiN]], "")</f>
        <v>41.242761612376853</v>
      </c>
      <c r="AS190" s="39">
        <f>IFERROR(((tblPiNAnalysis[[#This Row],[Highest PiN]]-tblPiNAnalysis[[#This Row],[2nd Highest PiN]])/tblPiNAnalysis[[#This Row],[2nd Highest PiN]]),"")</f>
        <v>2.0450618144680348E-2</v>
      </c>
      <c r="AT190" s="39" t="str" cm="1">
        <f t="array" ref="AT19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0" s="332" cm="1">
        <f t="array" ref="AU19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1444.4431475936408</v>
      </c>
      <c r="AV190" s="190" t="str" cm="1">
        <f t="array" ref="AV190">IF(tblPiNAnalysis[[#This Row],[3rd Highest PiN]]="", "", _xlfn.TEXTJOIN(CHAR(10), TRUE, IF(tblPiNAnalysis[[#This Row],[3rd Highest PiN]]=tblPiNAnalysis[[#This Row],[CCCM]:[WASH]], tblPiNAnalysis[[#Headers],[CCCM]:[WASH]], "")))</f>
        <v>Health</v>
      </c>
      <c r="AW190" s="190">
        <f>IFERROR(tblPiNAnalysis[[#This Row],[3rd Highest PiN]]/tblPiNAnalysis[[#This Row],[Affected population projection 2026]], "")</f>
        <v>0.50136867323625156</v>
      </c>
      <c r="AX190" s="45">
        <f>IFERROR(tblPiNAnalysis[[#This Row],[Highest PiN]]-tblPiNAnalysis[[#This Row],[3rd Highest PiN]],"")</f>
        <v>613.49961401873588</v>
      </c>
      <c r="AY190" s="39">
        <f>IFERROR(tblPiNAnalysis[[#This Row],[Difference of PiN between Highest and 3rd Highest]]/tblPiNAnalysis[[#This Row],[3rd Highest PiN]], "")</f>
        <v>0.42473088334476228</v>
      </c>
      <c r="AZ190" s="330" t="str" cm="1">
        <f t="array" ref="AZ19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0" s="300" t="str" cm="1">
        <f t="array" ref="BA190">IFERROR(IF(tblPiNAnalysis[[#This Row],[ID]]="", "", INDEX(tblPiNHistorical[[CCCM]:[WASH]], MATCH(tblPiNAnalysis[[#This Row],[ID]],tblPiNHistorical[ID], 0),MATCH(_xlfn._xlws.FILTER(tblPiNAnalysis[[#Headers],[CCCM]:[WASH]], tblPiNAnalysis[[#This Row],[Highest PiN]]=tblPiNAnalysis[[#This Row],[CCCM]:[WASH]]), tblPiNHistorical[[#Headers],[CCCM]:[WASH]], 0))), "")</f>
        <v/>
      </c>
      <c r="BB190" s="333" t="str" cm="1">
        <f t="array" ref="BB19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0" s="276" t="str" cm="1">
        <f t="array" ref="BC19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0" s="334" t="str" cm="1">
        <f t="array" ref="BD19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0" s="276">
        <f>INDEX(tblSeverityAnalysis[Final Severity], MATCH(tblPiNAnalysis[[#This Row],[ID]],tblSeverityAnalysis[ID], 0))</f>
        <v>3</v>
      </c>
      <c r="BF190" s="61">
        <f>IF(tblPiNAnalysis[[#This Row],[Severity]]&gt;2,tblPiNAnalysis[[#This Row],[Highest PiN]],)</f>
        <v>2057.9427616123767</v>
      </c>
      <c r="BG190" s="191"/>
      <c r="BH190" s="192"/>
      <c r="BI190" s="193">
        <f>COUNTIFS(tblPiNAnalysis[[#This Row],[Number of missing / zero PiNs greater than threshold - Data quality]:[Manual Flag]],"Flagged")</f>
        <v>0</v>
      </c>
      <c r="BJ190" s="96" t="str">
        <f>IF(tblPiNAnalysis[[#This Row],['# Flags]]&gt;0, "Flagged", "")</f>
        <v/>
      </c>
      <c r="BK190" s="326">
        <f>tblPiNAnalysis[[#This Row],[Preliminary PiN]]</f>
        <v>2057.9427616123767</v>
      </c>
      <c r="BL190" s="331"/>
    </row>
    <row r="191" spans="1:64" x14ac:dyDescent="0.55000000000000004">
      <c r="A19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SS0404</v>
      </c>
      <c r="B191" s="316" t="s">
        <v>292</v>
      </c>
      <c r="C191" s="317" t="s">
        <v>293</v>
      </c>
      <c r="D191" s="317" t="s">
        <v>300</v>
      </c>
      <c r="E191" s="105" t="s">
        <v>301</v>
      </c>
      <c r="F191" s="100"/>
      <c r="G191" s="34"/>
      <c r="H191" s="34"/>
      <c r="I191" s="97">
        <v>6622</v>
      </c>
      <c r="J191" s="97" t="s">
        <v>414</v>
      </c>
      <c r="K191" s="318">
        <v>993.3</v>
      </c>
      <c r="L191" s="319">
        <v>947.95916600000021</v>
      </c>
      <c r="M191" s="319">
        <v>2165.0515374071806</v>
      </c>
      <c r="N191" s="319">
        <v>5086.8524596533507</v>
      </c>
      <c r="O191" s="319">
        <v>2405.4919920601465</v>
      </c>
      <c r="P191" s="319">
        <v>897</v>
      </c>
      <c r="Q191" s="320">
        <v>6376.7407407407409</v>
      </c>
      <c r="R191" s="319">
        <v>3556.2592592592591</v>
      </c>
      <c r="S191" s="319">
        <v>780</v>
      </c>
      <c r="T191" s="319">
        <v>722</v>
      </c>
      <c r="U191" s="319">
        <v>361</v>
      </c>
      <c r="V191" s="319">
        <v>337</v>
      </c>
      <c r="W191" s="321">
        <f>IFERROR(IF(tblPiNAnalysis[[#This Row],[CCCM]]="", "", MROUND(tblPiNAnalysis[[#This Row],[CCCM]]/tblPiNAnalysis[[#This Row],[Affected population projection 2026]], 0.05)), "")</f>
        <v>0.15000000000000002</v>
      </c>
      <c r="X191" s="322">
        <f>IFERROR(IF(tblPiNAnalysis[[#This Row],[Education]]="", "", MROUND(tblPiNAnalysis[[#This Row],[Education]]/tblPiNAnalysis[[#This Row],[Affected population projection 2026]], 0.05)), "")</f>
        <v>0.15000000000000002</v>
      </c>
      <c r="Y191" s="322">
        <f>IFERROR(IF(tblPiNAnalysis[[#This Row],[Nutrition]]="", "", MROUND(tblPiNAnalysis[[#This Row],[Nutrition]]/tblPiNAnalysis[[#This Row],[Affected population projection 2026]], 0.05)), "")</f>
        <v>0.35000000000000003</v>
      </c>
      <c r="Z191" s="322">
        <f>IFERROR(IF(tblPiNAnalysis[[#This Row],[Food Security]]="", "", MROUND(tblPiNAnalysis[[#This Row],[Food Security]]/tblPiNAnalysis[[#This Row],[Affected population projection 2026]], 0.05)), "")</f>
        <v>0.75</v>
      </c>
      <c r="AA191" s="322">
        <f>IFERROR(IF(tblPiNAnalysis[[#This Row],[Health]]="", "", MROUND(tblPiNAnalysis[[#This Row],[Health]]/tblPiNAnalysis[[#This Row],[Affected population projection 2026]], 0.05)), "")</f>
        <v>0.35000000000000003</v>
      </c>
      <c r="AB191" s="323">
        <f>IFERROR(IF(tblPiNAnalysis[[#This Row],[Overarching Protection]]="", "", MROUND(tblPiNAnalysis[[#This Row],[Overarching Protection]]/tblPiNAnalysis[[#This Row],[Affected population projection 2026]], 0.05)), "")</f>
        <v>0.15000000000000002</v>
      </c>
      <c r="AC191" s="323">
        <f>IFERROR(IF(tblPiNAnalysis[[#This Row],[Shelter]]="", "", MROUND(tblPiNAnalysis[[#This Row],[Shelter]]/tblPiNAnalysis[[#This Row],[Affected population projection 2026]], 0.05)), "")</f>
        <v>0.95000000000000007</v>
      </c>
      <c r="AD191" s="324">
        <f>IFERROR(IF(tblPiNAnalysis[[#This Row],[WASH]]="", "", MROUND(tblPiNAnalysis[[#This Row],[WASH]]/tblPiNAnalysis[[#This Row],[Affected population projection 2026]], 0.05)), "")</f>
        <v>0.55000000000000004</v>
      </c>
      <c r="AE191" s="322">
        <f>IFERROR(MROUND(tblPiNAnalysis[[#This Row],[CP]]/tblPiNAnalysis[[#This Row],[Affected population projection 2026]], 0.05), "")</f>
        <v>0.1</v>
      </c>
      <c r="AF191" s="322">
        <f>IFERROR(MROUND(tblPiNAnalysis[[#This Row],[GBV]]/tblPiNAnalysis[[#This Row],[Affected population projection 2026]], 0.05), "")</f>
        <v>0.1</v>
      </c>
      <c r="AG191" s="322">
        <f>IFERROR(MROUND(tblPiNAnalysis[[#This Row],[Mine Action]]/tblPiNAnalysis[[#This Row],[Affected population projection 2026]], 0.05), "")</f>
        <v>0.05</v>
      </c>
      <c r="AH191" s="322">
        <f>IFERROR(MROUND(tblPiNAnalysis[[#This Row],[HLP]]/tblPiNAnalysis[[#This Row],[Affected population projection 2026]], 0.05), "")</f>
        <v>0.05</v>
      </c>
      <c r="AI191" s="325">
        <f>IFERROR(LARGE(tblPiNAnalysis[[#This Row],[CCCM]:[WASH]], 1), "")</f>
        <v>6376.7407407407409</v>
      </c>
      <c r="AJ191" s="326" t="str" cm="1">
        <f t="array" ref="AJ191">IF(tblPiNAnalysis[[#This Row],[Highest PiN]]="", "", _xlfn.TEXTJOIN(CHAR(10), TRUE, IF(tblPiNAnalysis[[#This Row],[Highest PiN]]=tblPiNAnalysis[[#This Row],[CCCM]:[WASH]], tblPiNAnalysis[[#Headers],[CCCM]:[WASH]], "")))</f>
        <v>Shelter</v>
      </c>
      <c r="AK191" s="327">
        <f>IF(tblPiNAnalysis[[#This Row],[Highest PiN]]="", "", tblPiNAnalysis[[#This Row],[Highest PiN]]/tblPiNAnalysis[[#This Row],[Affected population projection 2026]])</f>
        <v>0.96296296296296302</v>
      </c>
      <c r="AL191" s="328" t="str">
        <f>IF(SUM(tblPiNAnalysis[[#This Row],[CCCM]:[WASH]])=0, "",IF(COUNTIF(tblPiNAnalysis[[#This Row],[CCCM]:[WASH]],"=0")+COUNTIF(tblPiNAnalysis[[#This Row],[CCCM]:[WASH]],"")&gt;=zero_pin_thresh, "Flagged", ""))</f>
        <v/>
      </c>
      <c r="AM191" s="329" t="str">
        <f>IFERROR(IF(tblPiNAnalysis[[#This Row],[Highest PiN]]="", "", IF(tblPiNAnalysis[[#This Row],[Highest sector(s'') PiN %]]&gt;=flag_pin_perc, "Flagged", "")), "")</f>
        <v>Flagged</v>
      </c>
      <c r="AN191" s="330" t="str" cm="1">
        <f t="array" ref="AN191">IF(tblPiNAnalysis[[#This Row],[Highest PiN]]=0, "",  IF(OR(COUNTIF(tblPiNAnalysis[[#This Row],[Highest sector(s)]],tblSubSectorPopulation[Sector])), "Flagged", ""))</f>
        <v/>
      </c>
      <c r="AO191" s="46" cm="1">
        <f t="array" ref="AO19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5086.8524596533507</v>
      </c>
      <c r="AP191" s="331" t="str" cm="1">
        <f t="array" ref="AP191">IF(tblPiNAnalysis[[#This Row],[2nd Highest PiN]]="", "", _xlfn.TEXTJOIN(CHAR(10), TRUE, IF(tblPiNAnalysis[[#This Row],[2nd Highest PiN]]=tblPiNAnalysis[[#This Row],[CCCM]:[WASH]], tblPiNAnalysis[[#Headers],[CCCM]:[WASH]], "")))</f>
        <v>Food Security</v>
      </c>
      <c r="AQ191" s="36">
        <f>IFERROR(tblPiNAnalysis[[#This Row],[2nd Highest PiN]]/tblPiNAnalysis[[#This Row],[Affected population projection 2026]], "")</f>
        <v>0.76817463902950023</v>
      </c>
      <c r="AR191" s="46">
        <f>IFERROR(tblPiNAnalysis[[#This Row],[Highest PiN]]-tblPiNAnalysis[[#This Row],[2nd Highest PiN]], "")</f>
        <v>1289.8882810873902</v>
      </c>
      <c r="AS191" s="39">
        <f>IFERROR(((tblPiNAnalysis[[#This Row],[Highest PiN]]-tblPiNAnalysis[[#This Row],[2nd Highest PiN]])/tblPiNAnalysis[[#This Row],[2nd Highest PiN]]),"")</f>
        <v>0.25357296900553139</v>
      </c>
      <c r="AT191" s="39" t="str" cm="1">
        <f t="array" ref="AT19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1" s="332" cm="1">
        <f t="array" ref="AU19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3556.2592592592591</v>
      </c>
      <c r="AV191" s="190" t="str" cm="1">
        <f t="array" ref="AV191">IF(tblPiNAnalysis[[#This Row],[3rd Highest PiN]]="", "", _xlfn.TEXTJOIN(CHAR(10), TRUE, IF(tblPiNAnalysis[[#This Row],[3rd Highest PiN]]=tblPiNAnalysis[[#This Row],[CCCM]:[WASH]], tblPiNAnalysis[[#Headers],[CCCM]:[WASH]], "")))</f>
        <v>WASH</v>
      </c>
      <c r="AW191" s="190">
        <f>IFERROR(tblPiNAnalysis[[#This Row],[3rd Highest PiN]]/tblPiNAnalysis[[#This Row],[Affected population projection 2026]], "")</f>
        <v>0.53703703703703698</v>
      </c>
      <c r="AX191" s="45">
        <f>IFERROR(tblPiNAnalysis[[#This Row],[Highest PiN]]-tblPiNAnalysis[[#This Row],[3rd Highest PiN]],"")</f>
        <v>2820.4814814814818</v>
      </c>
      <c r="AY191" s="39">
        <f>IFERROR(tblPiNAnalysis[[#This Row],[Difference of PiN between Highest and 3rd Highest]]/tblPiNAnalysis[[#This Row],[3rd Highest PiN]], "")</f>
        <v>0.79310344827586221</v>
      </c>
      <c r="AZ191" s="330" t="str" cm="1">
        <f t="array" ref="AZ19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91" s="300" t="str" cm="1">
        <f t="array" ref="BA191">IFERROR(IF(tblPiNAnalysis[[#This Row],[ID]]="", "", INDEX(tblPiNHistorical[[CCCM]:[WASH]], MATCH(tblPiNAnalysis[[#This Row],[ID]],tblPiNHistorical[ID], 0),MATCH(_xlfn._xlws.FILTER(tblPiNAnalysis[[#Headers],[CCCM]:[WASH]], tblPiNAnalysis[[#This Row],[Highest PiN]]=tblPiNAnalysis[[#This Row],[CCCM]:[WASH]]), tblPiNHistorical[[#Headers],[CCCM]:[WASH]], 0))), "")</f>
        <v/>
      </c>
      <c r="BB191" s="333" t="str" cm="1">
        <f t="array" ref="BB19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1" s="276" t="str" cm="1">
        <f t="array" ref="BC191">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1" s="334" t="str" cm="1">
        <f t="array" ref="BD19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1" s="276">
        <f>INDEX(tblSeverityAnalysis[Final Severity], MATCH(tblPiNAnalysis[[#This Row],[ID]],tblSeverityAnalysis[ID], 0))</f>
        <v>3</v>
      </c>
      <c r="BF191" s="61">
        <f>IF(tblPiNAnalysis[[#This Row],[Severity]]&gt;2,tblPiNAnalysis[[#This Row],[Highest PiN]],)</f>
        <v>6376.7407407407409</v>
      </c>
      <c r="BG191" s="191"/>
      <c r="BH191" s="192"/>
      <c r="BI191" s="193">
        <f>COUNTIFS(tblPiNAnalysis[[#This Row],[Number of missing / zero PiNs greater than threshold - Data quality]:[Manual Flag]],"Flagged")</f>
        <v>2</v>
      </c>
      <c r="BJ191" s="96" t="str">
        <f>IF(tblPiNAnalysis[[#This Row],['# Flags]]&gt;0, "Flagged", "")</f>
        <v>Flagged</v>
      </c>
      <c r="BK191" s="326">
        <f>tblPiNAnalysis[[#This Row],[Preliminary PiN]]</f>
        <v>6376.7407407407409</v>
      </c>
      <c r="BL191" s="331"/>
    </row>
    <row r="192" spans="1:64" x14ac:dyDescent="0.55000000000000004">
      <c r="A19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SS0405</v>
      </c>
      <c r="B192" s="316" t="s">
        <v>292</v>
      </c>
      <c r="C192" s="317" t="s">
        <v>293</v>
      </c>
      <c r="D192" s="317" t="s">
        <v>302</v>
      </c>
      <c r="E192" s="105" t="s">
        <v>303</v>
      </c>
      <c r="F192" s="100"/>
      <c r="G192" s="34"/>
      <c r="H192" s="34"/>
      <c r="I192" s="97">
        <v>3719.2857142857101</v>
      </c>
      <c r="J192" s="97" t="s">
        <v>414</v>
      </c>
      <c r="K192" s="318">
        <v>557.89285714285654</v>
      </c>
      <c r="L192" s="319">
        <v>1011.3890835714274</v>
      </c>
      <c r="M192" s="319">
        <v>1192.4882419904961</v>
      </c>
      <c r="N192" s="319">
        <v>2637.7840017036069</v>
      </c>
      <c r="O192" s="319">
        <v>1985.571157549577</v>
      </c>
      <c r="P192" s="319">
        <v>710</v>
      </c>
      <c r="Q192" s="320">
        <v>1969.033613445376</v>
      </c>
      <c r="R192" s="319">
        <v>688.75661375661298</v>
      </c>
      <c r="S192" s="319">
        <v>556</v>
      </c>
      <c r="T192" s="319">
        <v>518</v>
      </c>
      <c r="U192" s="319">
        <v>299</v>
      </c>
      <c r="V192" s="319">
        <v>288</v>
      </c>
      <c r="W192" s="321">
        <f>IFERROR(IF(tblPiNAnalysis[[#This Row],[CCCM]]="", "", MROUND(tblPiNAnalysis[[#This Row],[CCCM]]/tblPiNAnalysis[[#This Row],[Affected population projection 2026]], 0.05)), "")</f>
        <v>0.15000000000000002</v>
      </c>
      <c r="X192" s="322">
        <f>IFERROR(IF(tblPiNAnalysis[[#This Row],[Education]]="", "", MROUND(tblPiNAnalysis[[#This Row],[Education]]/tblPiNAnalysis[[#This Row],[Affected population projection 2026]], 0.05)), "")</f>
        <v>0.25</v>
      </c>
      <c r="Y192" s="322">
        <f>IFERROR(IF(tblPiNAnalysis[[#This Row],[Nutrition]]="", "", MROUND(tblPiNAnalysis[[#This Row],[Nutrition]]/tblPiNAnalysis[[#This Row],[Affected population projection 2026]], 0.05)), "")</f>
        <v>0.30000000000000004</v>
      </c>
      <c r="Z192" s="322">
        <f>IFERROR(IF(tblPiNAnalysis[[#This Row],[Food Security]]="", "", MROUND(tblPiNAnalysis[[#This Row],[Food Security]]/tblPiNAnalysis[[#This Row],[Affected population projection 2026]], 0.05)), "")</f>
        <v>0.70000000000000007</v>
      </c>
      <c r="AA192" s="322">
        <f>IFERROR(IF(tblPiNAnalysis[[#This Row],[Health]]="", "", MROUND(tblPiNAnalysis[[#This Row],[Health]]/tblPiNAnalysis[[#This Row],[Affected population projection 2026]], 0.05)), "")</f>
        <v>0.55000000000000004</v>
      </c>
      <c r="AB192" s="323">
        <f>IFERROR(IF(tblPiNAnalysis[[#This Row],[Overarching Protection]]="", "", MROUND(tblPiNAnalysis[[#This Row],[Overarching Protection]]/tblPiNAnalysis[[#This Row],[Affected population projection 2026]], 0.05)), "")</f>
        <v>0.2</v>
      </c>
      <c r="AC192" s="323">
        <f>IFERROR(IF(tblPiNAnalysis[[#This Row],[Shelter]]="", "", MROUND(tblPiNAnalysis[[#This Row],[Shelter]]/tblPiNAnalysis[[#This Row],[Affected population projection 2026]], 0.05)), "")</f>
        <v>0.55000000000000004</v>
      </c>
      <c r="AD192" s="324">
        <f>IFERROR(IF(tblPiNAnalysis[[#This Row],[WASH]]="", "", MROUND(tblPiNAnalysis[[#This Row],[WASH]]/tblPiNAnalysis[[#This Row],[Affected population projection 2026]], 0.05)), "")</f>
        <v>0.2</v>
      </c>
      <c r="AE192" s="322">
        <f>IFERROR(MROUND(tblPiNAnalysis[[#This Row],[CP]]/tblPiNAnalysis[[#This Row],[Affected population projection 2026]], 0.05), "")</f>
        <v>0.15000000000000002</v>
      </c>
      <c r="AF192" s="322">
        <f>IFERROR(MROUND(tblPiNAnalysis[[#This Row],[GBV]]/tblPiNAnalysis[[#This Row],[Affected population projection 2026]], 0.05), "")</f>
        <v>0.15000000000000002</v>
      </c>
      <c r="AG192" s="322">
        <f>IFERROR(MROUND(tblPiNAnalysis[[#This Row],[Mine Action]]/tblPiNAnalysis[[#This Row],[Affected population projection 2026]], 0.05), "")</f>
        <v>0.1</v>
      </c>
      <c r="AH192" s="322">
        <f>IFERROR(MROUND(tblPiNAnalysis[[#This Row],[HLP]]/tblPiNAnalysis[[#This Row],[Affected population projection 2026]], 0.05), "")</f>
        <v>0.1</v>
      </c>
      <c r="AI192" s="325">
        <f>IFERROR(LARGE(tblPiNAnalysis[[#This Row],[CCCM]:[WASH]], 1), "")</f>
        <v>2637.7840017036069</v>
      </c>
      <c r="AJ192" s="326" t="str" cm="1">
        <f t="array" ref="AJ192">IF(tblPiNAnalysis[[#This Row],[Highest PiN]]="", "", _xlfn.TEXTJOIN(CHAR(10), TRUE, IF(tblPiNAnalysis[[#This Row],[Highest PiN]]=tblPiNAnalysis[[#This Row],[CCCM]:[WASH]], tblPiNAnalysis[[#Headers],[CCCM]:[WASH]], "")))</f>
        <v>Food Security</v>
      </c>
      <c r="AK192" s="327">
        <f>IF(tblPiNAnalysis[[#This Row],[Highest PiN]]="", "", tblPiNAnalysis[[#This Row],[Highest PiN]]/tblPiNAnalysis[[#This Row],[Affected population projection 2026]])</f>
        <v>0.70921789944018698</v>
      </c>
      <c r="AL192" s="328" t="str">
        <f>IF(SUM(tblPiNAnalysis[[#This Row],[CCCM]:[WASH]])=0, "",IF(COUNTIF(tblPiNAnalysis[[#This Row],[CCCM]:[WASH]],"=0")+COUNTIF(tblPiNAnalysis[[#This Row],[CCCM]:[WASH]],"")&gt;=zero_pin_thresh, "Flagged", ""))</f>
        <v/>
      </c>
      <c r="AM192" s="329" t="str">
        <f>IFERROR(IF(tblPiNAnalysis[[#This Row],[Highest PiN]]="", "", IF(tblPiNAnalysis[[#This Row],[Highest sector(s'') PiN %]]&gt;=flag_pin_perc, "Flagged", "")), "")</f>
        <v/>
      </c>
      <c r="AN192" s="330" t="str" cm="1">
        <f t="array" ref="AN192">IF(tblPiNAnalysis[[#This Row],[Highest PiN]]=0, "",  IF(OR(COUNTIF(tblPiNAnalysis[[#This Row],[Highest sector(s)]],tblSubSectorPopulation[Sector])), "Flagged", ""))</f>
        <v/>
      </c>
      <c r="AO192" s="46" cm="1">
        <f t="array" ref="AO19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1985.571157549577</v>
      </c>
      <c r="AP192" s="331" t="str" cm="1">
        <f t="array" ref="AP192">IF(tblPiNAnalysis[[#This Row],[2nd Highest PiN]]="", "", _xlfn.TEXTJOIN(CHAR(10), TRUE, IF(tblPiNAnalysis[[#This Row],[2nd Highest PiN]]=tblPiNAnalysis[[#This Row],[CCCM]:[WASH]], tblPiNAnalysis[[#Headers],[CCCM]:[WASH]], "")))</f>
        <v>Health</v>
      </c>
      <c r="AQ192" s="36">
        <f>IFERROR(tblPiNAnalysis[[#This Row],[2nd Highest PiN]]/tblPiNAnalysis[[#This Row],[Affected population projection 2026]], "")</f>
        <v>0.53385819484720776</v>
      </c>
      <c r="AR192" s="46">
        <f>IFERROR(tblPiNAnalysis[[#This Row],[Highest PiN]]-tblPiNAnalysis[[#This Row],[2nd Highest PiN]], "")</f>
        <v>652.21284415402988</v>
      </c>
      <c r="AS192" s="39">
        <f>IFERROR(((tblPiNAnalysis[[#This Row],[Highest PiN]]-tblPiNAnalysis[[#This Row],[2nd Highest PiN]])/tblPiNAnalysis[[#This Row],[2nd Highest PiN]]),"")</f>
        <v>0.3284761876572258</v>
      </c>
      <c r="AT192" s="39" t="str" cm="1">
        <f t="array" ref="AT19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92" s="332" cm="1">
        <f t="array" ref="AU19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1969.033613445376</v>
      </c>
      <c r="AV192" s="190" t="str" cm="1">
        <f t="array" ref="AV192">IF(tblPiNAnalysis[[#This Row],[3rd Highest PiN]]="", "", _xlfn.TEXTJOIN(CHAR(10), TRUE, IF(tblPiNAnalysis[[#This Row],[3rd Highest PiN]]=tblPiNAnalysis[[#This Row],[CCCM]:[WASH]], tblPiNAnalysis[[#Headers],[CCCM]:[WASH]], "")))</f>
        <v>Shelter</v>
      </c>
      <c r="AW192" s="190">
        <f>IFERROR(tblPiNAnalysis[[#This Row],[3rd Highest PiN]]/tblPiNAnalysis[[#This Row],[Affected population projection 2026]], "")</f>
        <v>0.52941176470588236</v>
      </c>
      <c r="AX192" s="45">
        <f>IFERROR(tblPiNAnalysis[[#This Row],[Highest PiN]]-tblPiNAnalysis[[#This Row],[3rd Highest PiN]],"")</f>
        <v>668.75038825823094</v>
      </c>
      <c r="AY192" s="39">
        <f>IFERROR(tblPiNAnalysis[[#This Row],[Difference of PiN between Highest and 3rd Highest]]/tblPiNAnalysis[[#This Row],[3rd Highest PiN]], "")</f>
        <v>0.33963381005368659</v>
      </c>
      <c r="AZ192" s="330" t="str" cm="1">
        <f t="array" ref="AZ19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2" s="300" t="str" cm="1">
        <f t="array" ref="BA192">IFERROR(IF(tblPiNAnalysis[[#This Row],[ID]]="", "", INDEX(tblPiNHistorical[[CCCM]:[WASH]], MATCH(tblPiNAnalysis[[#This Row],[ID]],tblPiNHistorical[ID], 0),MATCH(_xlfn._xlws.FILTER(tblPiNAnalysis[[#Headers],[CCCM]:[WASH]], tblPiNAnalysis[[#This Row],[Highest PiN]]=tblPiNAnalysis[[#This Row],[CCCM]:[WASH]]), tblPiNHistorical[[#Headers],[CCCM]:[WASH]], 0))), "")</f>
        <v/>
      </c>
      <c r="BB192" s="333" t="str" cm="1">
        <f t="array" ref="BB19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2" s="276" t="str" cm="1">
        <f t="array" ref="BC19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2" s="334" t="str" cm="1">
        <f t="array" ref="BD19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2" s="276">
        <f>INDEX(tblSeverityAnalysis[Final Severity], MATCH(tblPiNAnalysis[[#This Row],[ID]],tblSeverityAnalysis[ID], 0))</f>
        <v>3</v>
      </c>
      <c r="BF192" s="61">
        <f>IF(tblPiNAnalysis[[#This Row],[Severity]]&gt;2,tblPiNAnalysis[[#This Row],[Highest PiN]],)</f>
        <v>2637.7840017036069</v>
      </c>
      <c r="BG192" s="191"/>
      <c r="BH192" s="192"/>
      <c r="BI192" s="193">
        <f>COUNTIFS(tblPiNAnalysis[[#This Row],[Number of missing / zero PiNs greater than threshold - Data quality]:[Manual Flag]],"Flagged")</f>
        <v>1</v>
      </c>
      <c r="BJ192" s="96" t="str">
        <f>IF(tblPiNAnalysis[[#This Row],['# Flags]]&gt;0, "Flagged", "")</f>
        <v>Flagged</v>
      </c>
      <c r="BK192" s="326">
        <f>tblPiNAnalysis[[#This Row],[Preliminary PiN]]</f>
        <v>2637.7840017036069</v>
      </c>
      <c r="BL192" s="331"/>
    </row>
    <row r="193" spans="1:64" x14ac:dyDescent="0.55000000000000004">
      <c r="A19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SS0406</v>
      </c>
      <c r="B193" s="316" t="s">
        <v>292</v>
      </c>
      <c r="C193" s="317" t="s">
        <v>293</v>
      </c>
      <c r="D193" s="317" t="s">
        <v>304</v>
      </c>
      <c r="E193" s="105" t="s">
        <v>305</v>
      </c>
      <c r="F193" s="100"/>
      <c r="G193" s="34"/>
      <c r="H193" s="34"/>
      <c r="I193" s="97">
        <v>2968</v>
      </c>
      <c r="J193" s="97" t="s">
        <v>414</v>
      </c>
      <c r="K193" s="318">
        <v>445.2</v>
      </c>
      <c r="L193" s="319">
        <v>455.83434400000004</v>
      </c>
      <c r="M193" s="319">
        <v>1048.5404930660732</v>
      </c>
      <c r="N193" s="319">
        <v>746.35716709411224</v>
      </c>
      <c r="O193" s="319">
        <v>1461.1602558181589</v>
      </c>
      <c r="P193" s="319">
        <v>594</v>
      </c>
      <c r="Q193" s="320">
        <v>1826.4615384615383</v>
      </c>
      <c r="R193" s="319">
        <v>1648.8888888888889</v>
      </c>
      <c r="S193" s="319">
        <v>496</v>
      </c>
      <c r="T193" s="319">
        <v>435</v>
      </c>
      <c r="U193" s="319">
        <v>221</v>
      </c>
      <c r="V193" s="319">
        <v>236</v>
      </c>
      <c r="W193" s="321">
        <f>IFERROR(IF(tblPiNAnalysis[[#This Row],[CCCM]]="", "", MROUND(tblPiNAnalysis[[#This Row],[CCCM]]/tblPiNAnalysis[[#This Row],[Affected population projection 2026]], 0.05)), "")</f>
        <v>0.15000000000000002</v>
      </c>
      <c r="X193" s="322">
        <f>IFERROR(IF(tblPiNAnalysis[[#This Row],[Education]]="", "", MROUND(tblPiNAnalysis[[#This Row],[Education]]/tblPiNAnalysis[[#This Row],[Affected population projection 2026]], 0.05)), "")</f>
        <v>0.15000000000000002</v>
      </c>
      <c r="Y193" s="322">
        <f>IFERROR(IF(tblPiNAnalysis[[#This Row],[Nutrition]]="", "", MROUND(tblPiNAnalysis[[#This Row],[Nutrition]]/tblPiNAnalysis[[#This Row],[Affected population projection 2026]], 0.05)), "")</f>
        <v>0.35000000000000003</v>
      </c>
      <c r="Z193" s="322">
        <f>IFERROR(IF(tblPiNAnalysis[[#This Row],[Food Security]]="", "", MROUND(tblPiNAnalysis[[#This Row],[Food Security]]/tblPiNAnalysis[[#This Row],[Affected population projection 2026]], 0.05)), "")</f>
        <v>0.25</v>
      </c>
      <c r="AA193" s="322">
        <f>IFERROR(IF(tblPiNAnalysis[[#This Row],[Health]]="", "", MROUND(tblPiNAnalysis[[#This Row],[Health]]/tblPiNAnalysis[[#This Row],[Affected population projection 2026]], 0.05)), "")</f>
        <v>0.5</v>
      </c>
      <c r="AB193" s="323">
        <f>IFERROR(IF(tblPiNAnalysis[[#This Row],[Overarching Protection]]="", "", MROUND(tblPiNAnalysis[[#This Row],[Overarching Protection]]/tblPiNAnalysis[[#This Row],[Affected population projection 2026]], 0.05)), "")</f>
        <v>0.2</v>
      </c>
      <c r="AC193" s="323">
        <f>IFERROR(IF(tblPiNAnalysis[[#This Row],[Shelter]]="", "", MROUND(tblPiNAnalysis[[#This Row],[Shelter]]/tblPiNAnalysis[[#This Row],[Affected population projection 2026]], 0.05)), "")</f>
        <v>0.60000000000000009</v>
      </c>
      <c r="AD193" s="324">
        <f>IFERROR(IF(tblPiNAnalysis[[#This Row],[WASH]]="", "", MROUND(tblPiNAnalysis[[#This Row],[WASH]]/tblPiNAnalysis[[#This Row],[Affected population projection 2026]], 0.05)), "")</f>
        <v>0.55000000000000004</v>
      </c>
      <c r="AE193" s="322">
        <f>IFERROR(MROUND(tblPiNAnalysis[[#This Row],[CP]]/tblPiNAnalysis[[#This Row],[Affected population projection 2026]], 0.05), "")</f>
        <v>0.15000000000000002</v>
      </c>
      <c r="AF193" s="322">
        <f>IFERROR(MROUND(tblPiNAnalysis[[#This Row],[GBV]]/tblPiNAnalysis[[#This Row],[Affected population projection 2026]], 0.05), "")</f>
        <v>0.15000000000000002</v>
      </c>
      <c r="AG193" s="322">
        <f>IFERROR(MROUND(tblPiNAnalysis[[#This Row],[Mine Action]]/tblPiNAnalysis[[#This Row],[Affected population projection 2026]], 0.05), "")</f>
        <v>0.05</v>
      </c>
      <c r="AH193" s="322">
        <f>IFERROR(MROUND(tblPiNAnalysis[[#This Row],[HLP]]/tblPiNAnalysis[[#This Row],[Affected population projection 2026]], 0.05), "")</f>
        <v>0.1</v>
      </c>
      <c r="AI193" s="325">
        <f>IFERROR(LARGE(tblPiNAnalysis[[#This Row],[CCCM]:[WASH]], 1), "")</f>
        <v>1826.4615384615383</v>
      </c>
      <c r="AJ193" s="326" t="str" cm="1">
        <f t="array" ref="AJ193">IF(tblPiNAnalysis[[#This Row],[Highest PiN]]="", "", _xlfn.TEXTJOIN(CHAR(10), TRUE, IF(tblPiNAnalysis[[#This Row],[Highest PiN]]=tblPiNAnalysis[[#This Row],[CCCM]:[WASH]], tblPiNAnalysis[[#Headers],[CCCM]:[WASH]], "")))</f>
        <v>Shelter</v>
      </c>
      <c r="AK193" s="327">
        <f>IF(tblPiNAnalysis[[#This Row],[Highest PiN]]="", "", tblPiNAnalysis[[#This Row],[Highest PiN]]/tblPiNAnalysis[[#This Row],[Affected population projection 2026]])</f>
        <v>0.61538461538461531</v>
      </c>
      <c r="AL193" s="328" t="str">
        <f>IF(SUM(tblPiNAnalysis[[#This Row],[CCCM]:[WASH]])=0, "",IF(COUNTIF(tblPiNAnalysis[[#This Row],[CCCM]:[WASH]],"=0")+COUNTIF(tblPiNAnalysis[[#This Row],[CCCM]:[WASH]],"")&gt;=zero_pin_thresh, "Flagged", ""))</f>
        <v/>
      </c>
      <c r="AM193" s="329" t="str">
        <f>IFERROR(IF(tblPiNAnalysis[[#This Row],[Highest PiN]]="", "", IF(tblPiNAnalysis[[#This Row],[Highest sector(s'') PiN %]]&gt;=flag_pin_perc, "Flagged", "")), "")</f>
        <v/>
      </c>
      <c r="AN193" s="330" t="str" cm="1">
        <f t="array" ref="AN193">IF(tblPiNAnalysis[[#This Row],[Highest PiN]]=0, "",  IF(OR(COUNTIF(tblPiNAnalysis[[#This Row],[Highest sector(s)]],tblSubSectorPopulation[Sector])), "Flagged", ""))</f>
        <v/>
      </c>
      <c r="AO193" s="46" cm="1">
        <f t="array" ref="AO19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1648.8888888888889</v>
      </c>
      <c r="AP193" s="331" t="str" cm="1">
        <f t="array" ref="AP193">IF(tblPiNAnalysis[[#This Row],[2nd Highest PiN]]="", "", _xlfn.TEXTJOIN(CHAR(10), TRUE, IF(tblPiNAnalysis[[#This Row],[2nd Highest PiN]]=tblPiNAnalysis[[#This Row],[CCCM]:[WASH]], tblPiNAnalysis[[#Headers],[CCCM]:[WASH]], "")))</f>
        <v>WASH</v>
      </c>
      <c r="AQ193" s="36">
        <f>IFERROR(tblPiNAnalysis[[#This Row],[2nd Highest PiN]]/tblPiNAnalysis[[#This Row],[Affected population projection 2026]], "")</f>
        <v>0.55555555555555558</v>
      </c>
      <c r="AR193" s="46">
        <f>IFERROR(tblPiNAnalysis[[#This Row],[Highest PiN]]-tblPiNAnalysis[[#This Row],[2nd Highest PiN]], "")</f>
        <v>177.57264957264942</v>
      </c>
      <c r="AS193" s="39">
        <f>IFERROR(((tblPiNAnalysis[[#This Row],[Highest PiN]]-tblPiNAnalysis[[#This Row],[2nd Highest PiN]])/tblPiNAnalysis[[#This Row],[2nd Highest PiN]]),"")</f>
        <v>0.1076923076923076</v>
      </c>
      <c r="AT193" s="39" t="str" cm="1">
        <f t="array" ref="AT19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3" s="332" cm="1">
        <f t="array" ref="AU19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1461.1602558181589</v>
      </c>
      <c r="AV193" s="190" t="str" cm="1">
        <f t="array" ref="AV193">IF(tblPiNAnalysis[[#This Row],[3rd Highest PiN]]="", "", _xlfn.TEXTJOIN(CHAR(10), TRUE, IF(tblPiNAnalysis[[#This Row],[3rd Highest PiN]]=tblPiNAnalysis[[#This Row],[CCCM]:[WASH]], tblPiNAnalysis[[#Headers],[CCCM]:[WASH]], "")))</f>
        <v>Health</v>
      </c>
      <c r="AW193" s="190">
        <f>IFERROR(tblPiNAnalysis[[#This Row],[3rd Highest PiN]]/tblPiNAnalysis[[#This Row],[Affected population projection 2026]], "")</f>
        <v>0.49230466840234466</v>
      </c>
      <c r="AX193" s="45">
        <f>IFERROR(tblPiNAnalysis[[#This Row],[Highest PiN]]-tblPiNAnalysis[[#This Row],[3rd Highest PiN]],"")</f>
        <v>365.30128264337941</v>
      </c>
      <c r="AY193" s="39">
        <f>IFERROR(tblPiNAnalysis[[#This Row],[Difference of PiN between Highest and 3rd Highest]]/tblPiNAnalysis[[#This Row],[3rd Highest PiN]], "")</f>
        <v>0.25000767793183193</v>
      </c>
      <c r="AZ193" s="330" t="str" cm="1">
        <f t="array" ref="AZ19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3" s="300" t="str" cm="1">
        <f t="array" ref="BA193">IFERROR(IF(tblPiNAnalysis[[#This Row],[ID]]="", "", INDEX(tblPiNHistorical[[CCCM]:[WASH]], MATCH(tblPiNAnalysis[[#This Row],[ID]],tblPiNHistorical[ID], 0),MATCH(_xlfn._xlws.FILTER(tblPiNAnalysis[[#Headers],[CCCM]:[WASH]], tblPiNAnalysis[[#This Row],[Highest PiN]]=tblPiNAnalysis[[#This Row],[CCCM]:[WASH]]), tblPiNHistorical[[#Headers],[CCCM]:[WASH]], 0))), "")</f>
        <v/>
      </c>
      <c r="BB193" s="333" t="str" cm="1">
        <f t="array" ref="BB19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3" s="276" t="str" cm="1">
        <f t="array" ref="BC193">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3" s="334" t="str" cm="1">
        <f t="array" ref="BD19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3" s="276">
        <f>INDEX(tblSeverityAnalysis[Final Severity], MATCH(tblPiNAnalysis[[#This Row],[ID]],tblSeverityAnalysis[ID], 0))</f>
        <v>3</v>
      </c>
      <c r="BF193" s="61">
        <f>IF(tblPiNAnalysis[[#This Row],[Severity]]&gt;2,tblPiNAnalysis[[#This Row],[Highest PiN]],)</f>
        <v>1826.4615384615383</v>
      </c>
      <c r="BG193" s="191"/>
      <c r="BH193" s="192"/>
      <c r="BI193" s="193">
        <f>COUNTIFS(tblPiNAnalysis[[#This Row],[Number of missing / zero PiNs greater than threshold - Data quality]:[Manual Flag]],"Flagged")</f>
        <v>0</v>
      </c>
      <c r="BJ193" s="96" t="str">
        <f>IF(tblPiNAnalysis[[#This Row],['# Flags]]&gt;0, "Flagged", "")</f>
        <v/>
      </c>
      <c r="BK193" s="326">
        <f>tblPiNAnalysis[[#This Row],[Preliminary PiN]]</f>
        <v>1826.4615384615383</v>
      </c>
      <c r="BL193" s="331"/>
    </row>
    <row r="194" spans="1:64" x14ac:dyDescent="0.55000000000000004">
      <c r="A19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SS0407</v>
      </c>
      <c r="B194" s="316" t="s">
        <v>292</v>
      </c>
      <c r="C194" s="317" t="s">
        <v>293</v>
      </c>
      <c r="D194" s="317" t="s">
        <v>306</v>
      </c>
      <c r="E194" s="105" t="s">
        <v>307</v>
      </c>
      <c r="F194" s="100"/>
      <c r="G194" s="34"/>
      <c r="H194" s="34"/>
      <c r="I194" s="97">
        <v>3047.871016813448</v>
      </c>
      <c r="J194" s="97" t="s">
        <v>414</v>
      </c>
      <c r="K194" s="318">
        <v>457.18065252201717</v>
      </c>
      <c r="L194" s="319">
        <v>507.92770495196112</v>
      </c>
      <c r="M194" s="319">
        <v>983.45046112189311</v>
      </c>
      <c r="N194" s="319">
        <v>2284.4551779585386</v>
      </c>
      <c r="O194" s="319">
        <v>1173.8051731432633</v>
      </c>
      <c r="P194" s="319">
        <v>2062</v>
      </c>
      <c r="Q194" s="320">
        <v>2216.6334667734168</v>
      </c>
      <c r="R194" s="319">
        <v>2031.9140112089651</v>
      </c>
      <c r="S194" s="319">
        <v>395</v>
      </c>
      <c r="T194" s="319">
        <v>430</v>
      </c>
      <c r="U194" s="319">
        <v>1403</v>
      </c>
      <c r="V194" s="319">
        <v>1134</v>
      </c>
      <c r="W194" s="321">
        <f>IFERROR(IF(tblPiNAnalysis[[#This Row],[CCCM]]="", "", MROUND(tblPiNAnalysis[[#This Row],[CCCM]]/tblPiNAnalysis[[#This Row],[Affected population projection 2026]], 0.05)), "")</f>
        <v>0.15000000000000002</v>
      </c>
      <c r="X194" s="322">
        <f>IFERROR(IF(tblPiNAnalysis[[#This Row],[Education]]="", "", MROUND(tblPiNAnalysis[[#This Row],[Education]]/tblPiNAnalysis[[#This Row],[Affected population projection 2026]], 0.05)), "")</f>
        <v>0.15000000000000002</v>
      </c>
      <c r="Y194" s="322">
        <f>IFERROR(IF(tblPiNAnalysis[[#This Row],[Nutrition]]="", "", MROUND(tblPiNAnalysis[[#This Row],[Nutrition]]/tblPiNAnalysis[[#This Row],[Affected population projection 2026]], 0.05)), "")</f>
        <v>0.30000000000000004</v>
      </c>
      <c r="Z194" s="322">
        <f>IFERROR(IF(tblPiNAnalysis[[#This Row],[Food Security]]="", "", MROUND(tblPiNAnalysis[[#This Row],[Food Security]]/tblPiNAnalysis[[#This Row],[Affected population projection 2026]], 0.05)), "")</f>
        <v>0.75</v>
      </c>
      <c r="AA194" s="322">
        <f>IFERROR(IF(tblPiNAnalysis[[#This Row],[Health]]="", "", MROUND(tblPiNAnalysis[[#This Row],[Health]]/tblPiNAnalysis[[#This Row],[Affected population projection 2026]], 0.05)), "")</f>
        <v>0.4</v>
      </c>
      <c r="AB194" s="323">
        <f>IFERROR(IF(tblPiNAnalysis[[#This Row],[Overarching Protection]]="", "", MROUND(tblPiNAnalysis[[#This Row],[Overarching Protection]]/tblPiNAnalysis[[#This Row],[Affected population projection 2026]], 0.05)), "")</f>
        <v>0.70000000000000007</v>
      </c>
      <c r="AC194" s="323">
        <f>IFERROR(IF(tblPiNAnalysis[[#This Row],[Shelter]]="", "", MROUND(tblPiNAnalysis[[#This Row],[Shelter]]/tblPiNAnalysis[[#This Row],[Affected population projection 2026]], 0.05)), "")</f>
        <v>0.75</v>
      </c>
      <c r="AD194" s="324">
        <f>IFERROR(IF(tblPiNAnalysis[[#This Row],[WASH]]="", "", MROUND(tblPiNAnalysis[[#This Row],[WASH]]/tblPiNAnalysis[[#This Row],[Affected population projection 2026]], 0.05)), "")</f>
        <v>0.65</v>
      </c>
      <c r="AE194" s="322">
        <f>IFERROR(MROUND(tblPiNAnalysis[[#This Row],[CP]]/tblPiNAnalysis[[#This Row],[Affected population projection 2026]], 0.05), "")</f>
        <v>0.15000000000000002</v>
      </c>
      <c r="AF194" s="322">
        <f>IFERROR(MROUND(tblPiNAnalysis[[#This Row],[GBV]]/tblPiNAnalysis[[#This Row],[Affected population projection 2026]], 0.05), "")</f>
        <v>0.15000000000000002</v>
      </c>
      <c r="AG194" s="322">
        <f>IFERROR(MROUND(tblPiNAnalysis[[#This Row],[Mine Action]]/tblPiNAnalysis[[#This Row],[Affected population projection 2026]], 0.05), "")</f>
        <v>0.45</v>
      </c>
      <c r="AH194" s="322">
        <f>IFERROR(MROUND(tblPiNAnalysis[[#This Row],[HLP]]/tblPiNAnalysis[[#This Row],[Affected population projection 2026]], 0.05), "")</f>
        <v>0.35000000000000003</v>
      </c>
      <c r="AI194" s="325">
        <f>IFERROR(LARGE(tblPiNAnalysis[[#This Row],[CCCM]:[WASH]], 1), "")</f>
        <v>2284.4551779585386</v>
      </c>
      <c r="AJ194" s="326" t="str" cm="1">
        <f t="array" ref="AJ194">IF(tblPiNAnalysis[[#This Row],[Highest PiN]]="", "", _xlfn.TEXTJOIN(CHAR(10), TRUE, IF(tblPiNAnalysis[[#This Row],[Highest PiN]]=tblPiNAnalysis[[#This Row],[CCCM]:[WASH]], tblPiNAnalysis[[#Headers],[CCCM]:[WASH]], "")))</f>
        <v>Food Security</v>
      </c>
      <c r="AK194" s="327">
        <f>IF(tblPiNAnalysis[[#This Row],[Highest PiN]]="", "", tblPiNAnalysis[[#This Row],[Highest PiN]]/tblPiNAnalysis[[#This Row],[Affected population projection 2026]])</f>
        <v>0.7495248865048556</v>
      </c>
      <c r="AL194" s="328" t="str">
        <f>IF(SUM(tblPiNAnalysis[[#This Row],[CCCM]:[WASH]])=0, "",IF(COUNTIF(tblPiNAnalysis[[#This Row],[CCCM]:[WASH]],"=0")+COUNTIF(tblPiNAnalysis[[#This Row],[CCCM]:[WASH]],"")&gt;=zero_pin_thresh, "Flagged", ""))</f>
        <v/>
      </c>
      <c r="AM194" s="329" t="str">
        <f>IFERROR(IF(tblPiNAnalysis[[#This Row],[Highest PiN]]="", "", IF(tblPiNAnalysis[[#This Row],[Highest sector(s'') PiN %]]&gt;=flag_pin_perc, "Flagged", "")), "")</f>
        <v/>
      </c>
      <c r="AN194" s="330" t="str" cm="1">
        <f t="array" ref="AN194">IF(tblPiNAnalysis[[#This Row],[Highest PiN]]=0, "",  IF(OR(COUNTIF(tblPiNAnalysis[[#This Row],[Highest sector(s)]],tblSubSectorPopulation[Sector])), "Flagged", ""))</f>
        <v/>
      </c>
      <c r="AO194" s="46" cm="1">
        <f t="array" ref="AO19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2216.6334667734168</v>
      </c>
      <c r="AP194" s="331" t="str" cm="1">
        <f t="array" ref="AP194">IF(tblPiNAnalysis[[#This Row],[2nd Highest PiN]]="", "", _xlfn.TEXTJOIN(CHAR(10), TRUE, IF(tblPiNAnalysis[[#This Row],[2nd Highest PiN]]=tblPiNAnalysis[[#This Row],[CCCM]:[WASH]], tblPiNAnalysis[[#Headers],[CCCM]:[WASH]], "")))</f>
        <v>Shelter</v>
      </c>
      <c r="AQ194" s="36">
        <f>IFERROR(tblPiNAnalysis[[#This Row],[2nd Highest PiN]]/tblPiNAnalysis[[#This Row],[Affected population projection 2026]], "")</f>
        <v>0.72727272727272729</v>
      </c>
      <c r="AR194" s="46">
        <f>IFERROR(tblPiNAnalysis[[#This Row],[Highest PiN]]-tblPiNAnalysis[[#This Row],[2nd Highest PiN]], "")</f>
        <v>67.821711185121785</v>
      </c>
      <c r="AS194" s="39">
        <f>IFERROR(((tblPiNAnalysis[[#This Row],[Highest PiN]]-tblPiNAnalysis[[#This Row],[2nd Highest PiN]])/tblPiNAnalysis[[#This Row],[2nd Highest PiN]]),"")</f>
        <v>3.0596718944176478E-2</v>
      </c>
      <c r="AT194" s="39" t="str" cm="1">
        <f t="array" ref="AT19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4" s="332" cm="1">
        <f t="array" ref="AU19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2062</v>
      </c>
      <c r="AV194" s="190" t="str" cm="1">
        <f t="array" ref="AV194">IF(tblPiNAnalysis[[#This Row],[3rd Highest PiN]]="", "", _xlfn.TEXTJOIN(CHAR(10), TRUE, IF(tblPiNAnalysis[[#This Row],[3rd Highest PiN]]=tblPiNAnalysis[[#This Row],[CCCM]:[WASH]], tblPiNAnalysis[[#Headers],[CCCM]:[WASH]], "")))</f>
        <v>Overarching Protection</v>
      </c>
      <c r="AW194" s="190">
        <f>IFERROR(tblPiNAnalysis[[#This Row],[3rd Highest PiN]]/tblPiNAnalysis[[#This Row],[Affected population projection 2026]], "")</f>
        <v>0.67653781561787441</v>
      </c>
      <c r="AX194" s="45">
        <f>IFERROR(tblPiNAnalysis[[#This Row],[Highest PiN]]-tblPiNAnalysis[[#This Row],[3rd Highest PiN]],"")</f>
        <v>222.45517795853857</v>
      </c>
      <c r="AY194" s="39">
        <f>IFERROR(tblPiNAnalysis[[#This Row],[Difference of PiN between Highest and 3rd Highest]]/tblPiNAnalysis[[#This Row],[3rd Highest PiN]], "")</f>
        <v>0.10788320948522724</v>
      </c>
      <c r="AZ194" s="330" t="str" cm="1">
        <f t="array" ref="AZ19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4" s="300" t="str" cm="1">
        <f t="array" ref="BA194">IFERROR(IF(tblPiNAnalysis[[#This Row],[ID]]="", "", INDEX(tblPiNHistorical[[CCCM]:[WASH]], MATCH(tblPiNAnalysis[[#This Row],[ID]],tblPiNHistorical[ID], 0),MATCH(_xlfn._xlws.FILTER(tblPiNAnalysis[[#Headers],[CCCM]:[WASH]], tblPiNAnalysis[[#This Row],[Highest PiN]]=tblPiNAnalysis[[#This Row],[CCCM]:[WASH]]), tblPiNHistorical[[#Headers],[CCCM]:[WASH]], 0))), "")</f>
        <v/>
      </c>
      <c r="BB194" s="333" t="str" cm="1">
        <f t="array" ref="BB19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4" s="276" t="str" cm="1">
        <f t="array" ref="BC19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4" s="334" t="str" cm="1">
        <f t="array" ref="BD19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4" s="276">
        <f>INDEX(tblSeverityAnalysis[Final Severity], MATCH(tblPiNAnalysis[[#This Row],[ID]],tblSeverityAnalysis[ID], 0))</f>
        <v>3</v>
      </c>
      <c r="BF194" s="61">
        <f>IF(tblPiNAnalysis[[#This Row],[Severity]]&gt;2,tblPiNAnalysis[[#This Row],[Highest PiN]],)</f>
        <v>2284.4551779585386</v>
      </c>
      <c r="BG194" s="191"/>
      <c r="BH194" s="192"/>
      <c r="BI194" s="193">
        <f>COUNTIFS(tblPiNAnalysis[[#This Row],[Number of missing / zero PiNs greater than threshold - Data quality]:[Manual Flag]],"Flagged")</f>
        <v>0</v>
      </c>
      <c r="BJ194" s="96" t="str">
        <f>IF(tblPiNAnalysis[[#This Row],['# Flags]]&gt;0, "Flagged", "")</f>
        <v/>
      </c>
      <c r="BK194" s="326">
        <f>tblPiNAnalysis[[#This Row],[Preliminary PiN]]</f>
        <v>2284.4551779585386</v>
      </c>
      <c r="BL194" s="331"/>
    </row>
    <row r="195" spans="1:64" x14ac:dyDescent="0.55000000000000004">
      <c r="A19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SS0408</v>
      </c>
      <c r="B195" s="316" t="s">
        <v>292</v>
      </c>
      <c r="C195" s="317" t="s">
        <v>293</v>
      </c>
      <c r="D195" s="317" t="s">
        <v>308</v>
      </c>
      <c r="E195" s="105" t="s">
        <v>309</v>
      </c>
      <c r="F195" s="100"/>
      <c r="G195" s="34"/>
      <c r="H195" s="34"/>
      <c r="I195" s="97">
        <v>5119.8571428571404</v>
      </c>
      <c r="J195" s="97" t="s">
        <v>414</v>
      </c>
      <c r="K195" s="318">
        <v>767.97857142857106</v>
      </c>
      <c r="L195" s="319">
        <v>1060.8548794285709</v>
      </c>
      <c r="M195" s="319">
        <v>1649.1679405392335</v>
      </c>
      <c r="N195" s="319">
        <v>3259.6310042964874</v>
      </c>
      <c r="O195" s="319">
        <v>2043.5933195983814</v>
      </c>
      <c r="P195" s="319">
        <v>1018</v>
      </c>
      <c r="Q195" s="320">
        <v>4188.9740259740229</v>
      </c>
      <c r="R195" s="319">
        <v>3318.4259259259243</v>
      </c>
      <c r="S195" s="319">
        <v>788</v>
      </c>
      <c r="T195" s="319">
        <v>805</v>
      </c>
      <c r="U195" s="319">
        <v>420</v>
      </c>
      <c r="V195" s="319">
        <v>457</v>
      </c>
      <c r="W195" s="321">
        <f>IFERROR(IF(tblPiNAnalysis[[#This Row],[CCCM]]="", "", MROUND(tblPiNAnalysis[[#This Row],[CCCM]]/tblPiNAnalysis[[#This Row],[Affected population projection 2026]], 0.05)), "")</f>
        <v>0.15000000000000002</v>
      </c>
      <c r="X195" s="322">
        <f>IFERROR(IF(tblPiNAnalysis[[#This Row],[Education]]="", "", MROUND(tblPiNAnalysis[[#This Row],[Education]]/tblPiNAnalysis[[#This Row],[Affected population projection 2026]], 0.05)), "")</f>
        <v>0.2</v>
      </c>
      <c r="Y195" s="322">
        <f>IFERROR(IF(tblPiNAnalysis[[#This Row],[Nutrition]]="", "", MROUND(tblPiNAnalysis[[#This Row],[Nutrition]]/tblPiNAnalysis[[#This Row],[Affected population projection 2026]], 0.05)), "")</f>
        <v>0.30000000000000004</v>
      </c>
      <c r="Z195" s="322">
        <f>IFERROR(IF(tblPiNAnalysis[[#This Row],[Food Security]]="", "", MROUND(tblPiNAnalysis[[#This Row],[Food Security]]/tblPiNAnalysis[[#This Row],[Affected population projection 2026]], 0.05)), "")</f>
        <v>0.65</v>
      </c>
      <c r="AA195" s="322">
        <f>IFERROR(IF(tblPiNAnalysis[[#This Row],[Health]]="", "", MROUND(tblPiNAnalysis[[#This Row],[Health]]/tblPiNAnalysis[[#This Row],[Affected population projection 2026]], 0.05)), "")</f>
        <v>0.4</v>
      </c>
      <c r="AB195" s="323">
        <f>IFERROR(IF(tblPiNAnalysis[[#This Row],[Overarching Protection]]="", "", MROUND(tblPiNAnalysis[[#This Row],[Overarching Protection]]/tblPiNAnalysis[[#This Row],[Affected population projection 2026]], 0.05)), "")</f>
        <v>0.2</v>
      </c>
      <c r="AC195" s="323">
        <f>IFERROR(IF(tblPiNAnalysis[[#This Row],[Shelter]]="", "", MROUND(tblPiNAnalysis[[#This Row],[Shelter]]/tblPiNAnalysis[[#This Row],[Affected population projection 2026]], 0.05)), "")</f>
        <v>0.8</v>
      </c>
      <c r="AD195" s="324">
        <f>IFERROR(IF(tblPiNAnalysis[[#This Row],[WASH]]="", "", MROUND(tblPiNAnalysis[[#This Row],[WASH]]/tblPiNAnalysis[[#This Row],[Affected population projection 2026]], 0.05)), "")</f>
        <v>0.65</v>
      </c>
      <c r="AE195" s="322">
        <f>IFERROR(MROUND(tblPiNAnalysis[[#This Row],[CP]]/tblPiNAnalysis[[#This Row],[Affected population projection 2026]], 0.05), "")</f>
        <v>0.15000000000000002</v>
      </c>
      <c r="AF195" s="322">
        <f>IFERROR(MROUND(tblPiNAnalysis[[#This Row],[GBV]]/tblPiNAnalysis[[#This Row],[Affected population projection 2026]], 0.05), "")</f>
        <v>0.15000000000000002</v>
      </c>
      <c r="AG195" s="322">
        <f>IFERROR(MROUND(tblPiNAnalysis[[#This Row],[Mine Action]]/tblPiNAnalysis[[#This Row],[Affected population projection 2026]], 0.05), "")</f>
        <v>0.1</v>
      </c>
      <c r="AH195" s="322">
        <f>IFERROR(MROUND(tblPiNAnalysis[[#This Row],[HLP]]/tblPiNAnalysis[[#This Row],[Affected population projection 2026]], 0.05), "")</f>
        <v>0.1</v>
      </c>
      <c r="AI195" s="325">
        <f>IFERROR(LARGE(tblPiNAnalysis[[#This Row],[CCCM]:[WASH]], 1), "")</f>
        <v>4188.9740259740229</v>
      </c>
      <c r="AJ195" s="326" t="str" cm="1">
        <f t="array" ref="AJ195">IF(tblPiNAnalysis[[#This Row],[Highest PiN]]="", "", _xlfn.TEXTJOIN(CHAR(10), TRUE, IF(tblPiNAnalysis[[#This Row],[Highest PiN]]=tblPiNAnalysis[[#This Row],[CCCM]:[WASH]], tblPiNAnalysis[[#Headers],[CCCM]:[WASH]], "")))</f>
        <v>Shelter</v>
      </c>
      <c r="AK195" s="327">
        <f>IF(tblPiNAnalysis[[#This Row],[Highest PiN]]="", "", tblPiNAnalysis[[#This Row],[Highest PiN]]/tblPiNAnalysis[[#This Row],[Affected population projection 2026]])</f>
        <v>0.81818181818181801</v>
      </c>
      <c r="AL195" s="328" t="str">
        <f>IF(SUM(tblPiNAnalysis[[#This Row],[CCCM]:[WASH]])=0, "",IF(COUNTIF(tblPiNAnalysis[[#This Row],[CCCM]:[WASH]],"=0")+COUNTIF(tblPiNAnalysis[[#This Row],[CCCM]:[WASH]],"")&gt;=zero_pin_thresh, "Flagged", ""))</f>
        <v/>
      </c>
      <c r="AM195" s="329" t="str">
        <f>IFERROR(IF(tblPiNAnalysis[[#This Row],[Highest PiN]]="", "", IF(tblPiNAnalysis[[#This Row],[Highest sector(s'') PiN %]]&gt;=flag_pin_perc, "Flagged", "")), "")</f>
        <v/>
      </c>
      <c r="AN195" s="330" t="str" cm="1">
        <f t="array" ref="AN195">IF(tblPiNAnalysis[[#This Row],[Highest PiN]]=0, "",  IF(OR(COUNTIF(tblPiNAnalysis[[#This Row],[Highest sector(s)]],tblSubSectorPopulation[Sector])), "Flagged", ""))</f>
        <v/>
      </c>
      <c r="AO195" s="46" cm="1">
        <f t="array" ref="AO19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3318.4259259259243</v>
      </c>
      <c r="AP195" s="331" t="str" cm="1">
        <f t="array" ref="AP195">IF(tblPiNAnalysis[[#This Row],[2nd Highest PiN]]="", "", _xlfn.TEXTJOIN(CHAR(10), TRUE, IF(tblPiNAnalysis[[#This Row],[2nd Highest PiN]]=tblPiNAnalysis[[#This Row],[CCCM]:[WASH]], tblPiNAnalysis[[#Headers],[CCCM]:[WASH]], "")))</f>
        <v>WASH</v>
      </c>
      <c r="AQ195" s="36">
        <f>IFERROR(tblPiNAnalysis[[#This Row],[2nd Highest PiN]]/tblPiNAnalysis[[#This Row],[Affected population projection 2026]], "")</f>
        <v>0.64814814814814814</v>
      </c>
      <c r="AR195" s="46">
        <f>IFERROR(tblPiNAnalysis[[#This Row],[Highest PiN]]-tblPiNAnalysis[[#This Row],[2nd Highest PiN]], "")</f>
        <v>870.5481000480986</v>
      </c>
      <c r="AS195" s="39">
        <f>IFERROR(((tblPiNAnalysis[[#This Row],[Highest PiN]]-tblPiNAnalysis[[#This Row],[2nd Highest PiN]])/tblPiNAnalysis[[#This Row],[2nd Highest PiN]]),"")</f>
        <v>0.26233766233766204</v>
      </c>
      <c r="AT195" s="39" t="str" cm="1">
        <f t="array" ref="AT19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5" s="332" cm="1">
        <f t="array" ref="AU19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3259.6310042964874</v>
      </c>
      <c r="AV195" s="190" t="str" cm="1">
        <f t="array" ref="AV195">IF(tblPiNAnalysis[[#This Row],[3rd Highest PiN]]="", "", _xlfn.TEXTJOIN(CHAR(10), TRUE, IF(tblPiNAnalysis[[#This Row],[3rd Highest PiN]]=tblPiNAnalysis[[#This Row],[CCCM]:[WASH]], tblPiNAnalysis[[#Headers],[CCCM]:[WASH]], "")))</f>
        <v>Food Security</v>
      </c>
      <c r="AW195" s="190">
        <f>IFERROR(tblPiNAnalysis[[#This Row],[3rd Highest PiN]]/tblPiNAnalysis[[#This Row],[Affected population projection 2026]], "")</f>
        <v>0.63666444460156313</v>
      </c>
      <c r="AX195" s="45">
        <f>IFERROR(tblPiNAnalysis[[#This Row],[Highest PiN]]-tblPiNAnalysis[[#This Row],[3rd Highest PiN]],"")</f>
        <v>929.34302167753549</v>
      </c>
      <c r="AY195" s="39">
        <f>IFERROR(tblPiNAnalysis[[#This Row],[Difference of PiN between Highest and 3rd Highest]]/tblPiNAnalysis[[#This Row],[3rd Highest PiN]], "")</f>
        <v>0.2851068174442376</v>
      </c>
      <c r="AZ195" s="330" t="str" cm="1">
        <f t="array" ref="AZ19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5" s="300" t="str" cm="1">
        <f t="array" ref="BA195">IFERROR(IF(tblPiNAnalysis[[#This Row],[ID]]="", "", INDEX(tblPiNHistorical[[CCCM]:[WASH]], MATCH(tblPiNAnalysis[[#This Row],[ID]],tblPiNHistorical[ID], 0),MATCH(_xlfn._xlws.FILTER(tblPiNAnalysis[[#Headers],[CCCM]:[WASH]], tblPiNAnalysis[[#This Row],[Highest PiN]]=tblPiNAnalysis[[#This Row],[CCCM]:[WASH]]), tblPiNHistorical[[#Headers],[CCCM]:[WASH]], 0))), "")</f>
        <v/>
      </c>
      <c r="BB195" s="333" t="str" cm="1">
        <f t="array" ref="BB19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5" s="276" t="str" cm="1">
        <f t="array" ref="BC195">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5" s="334" t="str" cm="1">
        <f t="array" ref="BD19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5" s="276">
        <f>INDEX(tblSeverityAnalysis[Final Severity], MATCH(tblPiNAnalysis[[#This Row],[ID]],tblSeverityAnalysis[ID], 0))</f>
        <v>3</v>
      </c>
      <c r="BF195" s="61">
        <f>IF(tblPiNAnalysis[[#This Row],[Severity]]&gt;2,tblPiNAnalysis[[#This Row],[Highest PiN]],)</f>
        <v>4188.9740259740229</v>
      </c>
      <c r="BG195" s="191"/>
      <c r="BH195" s="192"/>
      <c r="BI195" s="193">
        <f>COUNTIFS(tblPiNAnalysis[[#This Row],[Number of missing / zero PiNs greater than threshold - Data quality]:[Manual Flag]],"Flagged")</f>
        <v>0</v>
      </c>
      <c r="BJ195" s="96" t="str">
        <f>IF(tblPiNAnalysis[[#This Row],['# Flags]]&gt;0, "Flagged", "")</f>
        <v/>
      </c>
      <c r="BK195" s="326">
        <f>tblPiNAnalysis[[#This Row],[Preliminary PiN]]</f>
        <v>4188.9740259740229</v>
      </c>
      <c r="BL195" s="331"/>
    </row>
    <row r="196" spans="1:64" ht="24.6" x14ac:dyDescent="0.55000000000000004">
      <c r="A19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SS0501</v>
      </c>
      <c r="B196" s="316" t="s">
        <v>310</v>
      </c>
      <c r="C196" s="317" t="s">
        <v>311</v>
      </c>
      <c r="D196" s="317" t="s">
        <v>312</v>
      </c>
      <c r="E196" s="105" t="s">
        <v>313</v>
      </c>
      <c r="F196" s="100"/>
      <c r="G196" s="34"/>
      <c r="H196" s="34"/>
      <c r="I196" s="97">
        <v>16513.487018186021</v>
      </c>
      <c r="J196" s="97" t="s">
        <v>414</v>
      </c>
      <c r="K196" s="318">
        <v>2477.0230527279032</v>
      </c>
      <c r="L196" s="319">
        <v>2865.5160456203439</v>
      </c>
      <c r="M196" s="319">
        <v>11446.945548084152</v>
      </c>
      <c r="N196" s="319">
        <v>9983.9878224402255</v>
      </c>
      <c r="O196" s="319">
        <v>13603.717947460118</v>
      </c>
      <c r="P196" s="319">
        <v>10867</v>
      </c>
      <c r="Q196" s="320">
        <v>8615.7323573144458</v>
      </c>
      <c r="R196" s="319">
        <v>10803.21580628992</v>
      </c>
      <c r="S196" s="319">
        <v>6480</v>
      </c>
      <c r="T196" s="319">
        <v>6123</v>
      </c>
      <c r="U196" s="319">
        <v>1239</v>
      </c>
      <c r="V196" s="319">
        <v>4539</v>
      </c>
      <c r="W196" s="321">
        <f>IFERROR(IF(tblPiNAnalysis[[#This Row],[CCCM]]="", "", MROUND(tblPiNAnalysis[[#This Row],[CCCM]]/tblPiNAnalysis[[#This Row],[Affected population projection 2026]], 0.05)), "")</f>
        <v>0.15000000000000002</v>
      </c>
      <c r="X196" s="322">
        <f>IFERROR(IF(tblPiNAnalysis[[#This Row],[Education]]="", "", MROUND(tblPiNAnalysis[[#This Row],[Education]]/tblPiNAnalysis[[#This Row],[Affected population projection 2026]], 0.05)), "")</f>
        <v>0.15000000000000002</v>
      </c>
      <c r="Y196" s="322">
        <f>IFERROR(IF(tblPiNAnalysis[[#This Row],[Nutrition]]="", "", MROUND(tblPiNAnalysis[[#This Row],[Nutrition]]/tblPiNAnalysis[[#This Row],[Affected population projection 2026]], 0.05)), "")</f>
        <v>0.70000000000000007</v>
      </c>
      <c r="Z196" s="322">
        <f>IFERROR(IF(tblPiNAnalysis[[#This Row],[Food Security]]="", "", MROUND(tblPiNAnalysis[[#This Row],[Food Security]]/tblPiNAnalysis[[#This Row],[Affected population projection 2026]], 0.05)), "")</f>
        <v>0.60000000000000009</v>
      </c>
      <c r="AA196" s="322">
        <f>IFERROR(IF(tblPiNAnalysis[[#This Row],[Health]]="", "", MROUND(tblPiNAnalysis[[#This Row],[Health]]/tblPiNAnalysis[[#This Row],[Affected population projection 2026]], 0.05)), "")</f>
        <v>0.8</v>
      </c>
      <c r="AB196" s="323">
        <f>IFERROR(IF(tblPiNAnalysis[[#This Row],[Overarching Protection]]="", "", MROUND(tblPiNAnalysis[[#This Row],[Overarching Protection]]/tblPiNAnalysis[[#This Row],[Affected population projection 2026]], 0.05)), "")</f>
        <v>0.65</v>
      </c>
      <c r="AC196" s="323">
        <f>IFERROR(IF(tblPiNAnalysis[[#This Row],[Shelter]]="", "", MROUND(tblPiNAnalysis[[#This Row],[Shelter]]/tblPiNAnalysis[[#This Row],[Affected population projection 2026]], 0.05)), "")</f>
        <v>0.5</v>
      </c>
      <c r="AD196" s="324">
        <f>IFERROR(IF(tblPiNAnalysis[[#This Row],[WASH]]="", "", MROUND(tblPiNAnalysis[[#This Row],[WASH]]/tblPiNAnalysis[[#This Row],[Affected population projection 2026]], 0.05)), "")</f>
        <v>0.65</v>
      </c>
      <c r="AE196" s="322">
        <f>IFERROR(MROUND(tblPiNAnalysis[[#This Row],[CP]]/tblPiNAnalysis[[#This Row],[Affected population projection 2026]], 0.05), "")</f>
        <v>0.4</v>
      </c>
      <c r="AF196" s="322">
        <f>IFERROR(MROUND(tblPiNAnalysis[[#This Row],[GBV]]/tblPiNAnalysis[[#This Row],[Affected population projection 2026]], 0.05), "")</f>
        <v>0.35000000000000003</v>
      </c>
      <c r="AG196" s="322">
        <f>IFERROR(MROUND(tblPiNAnalysis[[#This Row],[Mine Action]]/tblPiNAnalysis[[#This Row],[Affected population projection 2026]], 0.05), "")</f>
        <v>0.1</v>
      </c>
      <c r="AH196" s="322">
        <f>IFERROR(MROUND(tblPiNAnalysis[[#This Row],[HLP]]/tblPiNAnalysis[[#This Row],[Affected population projection 2026]], 0.05), "")</f>
        <v>0.25</v>
      </c>
      <c r="AI196" s="325">
        <f>IFERROR(LARGE(tblPiNAnalysis[[#This Row],[CCCM]:[WASH]], 1), "")</f>
        <v>13603.717947460118</v>
      </c>
      <c r="AJ196" s="326" t="str" cm="1">
        <f t="array" ref="AJ196">IF(tblPiNAnalysis[[#This Row],[Highest PiN]]="", "", _xlfn.TEXTJOIN(CHAR(10), TRUE, IF(tblPiNAnalysis[[#This Row],[Highest PiN]]=tblPiNAnalysis[[#This Row],[CCCM]:[WASH]], tblPiNAnalysis[[#Headers],[CCCM]:[WASH]], "")))</f>
        <v>Health</v>
      </c>
      <c r="AK196" s="327">
        <f>IF(tblPiNAnalysis[[#This Row],[Highest PiN]]="", "", tblPiNAnalysis[[#This Row],[Highest PiN]]/tblPiNAnalysis[[#This Row],[Affected population projection 2026]])</f>
        <v>0.82379438894272161</v>
      </c>
      <c r="AL196" s="328" t="str">
        <f>IF(SUM(tblPiNAnalysis[[#This Row],[CCCM]:[WASH]])=0, "",IF(COUNTIF(tblPiNAnalysis[[#This Row],[CCCM]:[WASH]],"=0")+COUNTIF(tblPiNAnalysis[[#This Row],[CCCM]:[WASH]],"")&gt;=zero_pin_thresh, "Flagged", ""))</f>
        <v/>
      </c>
      <c r="AM196" s="329" t="str">
        <f>IFERROR(IF(tblPiNAnalysis[[#This Row],[Highest PiN]]="", "", IF(tblPiNAnalysis[[#This Row],[Highest sector(s'') PiN %]]&gt;=flag_pin_perc, "Flagged", "")), "")</f>
        <v/>
      </c>
      <c r="AN196" s="330" t="str" cm="1">
        <f t="array" ref="AN196">IF(tblPiNAnalysis[[#This Row],[Highest PiN]]=0, "",  IF(OR(COUNTIF(tblPiNAnalysis[[#This Row],[Highest sector(s)]],tblSubSectorPopulation[Sector])), "Flagged", ""))</f>
        <v/>
      </c>
      <c r="AO196" s="46" cm="1">
        <f t="array" ref="AO19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11446.945548084152</v>
      </c>
      <c r="AP196" s="331" t="str" cm="1">
        <f t="array" ref="AP196">IF(tblPiNAnalysis[[#This Row],[2nd Highest PiN]]="", "", _xlfn.TEXTJOIN(CHAR(10), TRUE, IF(tblPiNAnalysis[[#This Row],[2nd Highest PiN]]=tblPiNAnalysis[[#This Row],[CCCM]:[WASH]], tblPiNAnalysis[[#Headers],[CCCM]:[WASH]], "")))</f>
        <v>Nutrition</v>
      </c>
      <c r="AQ196" s="36">
        <f>IFERROR(tblPiNAnalysis[[#This Row],[2nd Highest PiN]]/tblPiNAnalysis[[#This Row],[Affected population projection 2026]], "")</f>
        <v>0.69318766747918392</v>
      </c>
      <c r="AR196" s="46">
        <f>IFERROR(tblPiNAnalysis[[#This Row],[Highest PiN]]-tblPiNAnalysis[[#This Row],[2nd Highest PiN]], "")</f>
        <v>2156.7723993759664</v>
      </c>
      <c r="AS196" s="39">
        <f>IFERROR(((tblPiNAnalysis[[#This Row],[Highest PiN]]-tblPiNAnalysis[[#This Row],[2nd Highest PiN]])/tblPiNAnalysis[[#This Row],[2nd Highest PiN]]),"")</f>
        <v>0.188414664009382</v>
      </c>
      <c r="AT196" s="39" t="str" cm="1">
        <f t="array" ref="AT19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6" s="332" cm="1">
        <f t="array" ref="AU19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10867</v>
      </c>
      <c r="AV196" s="190" t="str" cm="1">
        <f t="array" ref="AV196">IF(tblPiNAnalysis[[#This Row],[3rd Highest PiN]]="", "", _xlfn.TEXTJOIN(CHAR(10), TRUE, IF(tblPiNAnalysis[[#This Row],[3rd Highest PiN]]=tblPiNAnalysis[[#This Row],[CCCM]:[WASH]], tblPiNAnalysis[[#Headers],[CCCM]:[WASH]], "")))</f>
        <v>Overarching Protection</v>
      </c>
      <c r="AW196" s="190">
        <f>IFERROR(tblPiNAnalysis[[#This Row],[3rd Highest PiN]]/tblPiNAnalysis[[#This Row],[Affected population projection 2026]], "")</f>
        <v>0.65806815895591031</v>
      </c>
      <c r="AX196" s="45">
        <f>IFERROR(tblPiNAnalysis[[#This Row],[Highest PiN]]-tblPiNAnalysis[[#This Row],[3rd Highest PiN]],"")</f>
        <v>2736.717947460118</v>
      </c>
      <c r="AY196" s="39">
        <f>IFERROR(tblPiNAnalysis[[#This Row],[Difference of PiN between Highest and 3rd Highest]]/tblPiNAnalysis[[#This Row],[3rd Highest PiN]], "")</f>
        <v>0.25183748481274665</v>
      </c>
      <c r="AZ196" s="330" t="str" cm="1">
        <f t="array" ref="AZ19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6" s="300" t="str" cm="1">
        <f t="array" ref="BA196">IFERROR(IF(tblPiNAnalysis[[#This Row],[ID]]="", "", INDEX(tblPiNHistorical[[CCCM]:[WASH]], MATCH(tblPiNAnalysis[[#This Row],[ID]],tblPiNHistorical[ID], 0),MATCH(_xlfn._xlws.FILTER(tblPiNAnalysis[[#Headers],[CCCM]:[WASH]], tblPiNAnalysis[[#This Row],[Highest PiN]]=tblPiNAnalysis[[#This Row],[CCCM]:[WASH]]), tblPiNHistorical[[#Headers],[CCCM]:[WASH]], 0))), "")</f>
        <v/>
      </c>
      <c r="BB196" s="333" t="str" cm="1">
        <f t="array" ref="BB19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6" s="276" t="str" cm="1">
        <f t="array" ref="BC19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6" s="334" t="str" cm="1">
        <f t="array" ref="BD19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6" s="276">
        <f>INDEX(tblSeverityAnalysis[Final Severity], MATCH(tblPiNAnalysis[[#This Row],[ID]],tblSeverityAnalysis[ID], 0))</f>
        <v>3</v>
      </c>
      <c r="BF196" s="61">
        <f>IF(tblPiNAnalysis[[#This Row],[Severity]]&gt;2,tblPiNAnalysis[[#This Row],[Highest PiN]],)</f>
        <v>13603.717947460118</v>
      </c>
      <c r="BG196" s="191"/>
      <c r="BH196" s="192"/>
      <c r="BI196" s="193">
        <f>COUNTIFS(tblPiNAnalysis[[#This Row],[Number of missing / zero PiNs greater than threshold - Data quality]:[Manual Flag]],"Flagged")</f>
        <v>0</v>
      </c>
      <c r="BJ196" s="96" t="str">
        <f>IF(tblPiNAnalysis[[#This Row],['# Flags]]&gt;0, "Flagged", "")</f>
        <v/>
      </c>
      <c r="BK196" s="326">
        <f>tblPiNAnalysis[[#This Row],[Preliminary PiN]]</f>
        <v>13603.717947460118</v>
      </c>
      <c r="BL196" s="331"/>
    </row>
    <row r="197" spans="1:64" ht="24.6" x14ac:dyDescent="0.55000000000000004">
      <c r="A19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SS0502</v>
      </c>
      <c r="B197" s="316" t="s">
        <v>310</v>
      </c>
      <c r="C197" s="317" t="s">
        <v>311</v>
      </c>
      <c r="D197" s="317" t="s">
        <v>314</v>
      </c>
      <c r="E197" s="105" t="s">
        <v>315</v>
      </c>
      <c r="F197" s="100"/>
      <c r="G197" s="34"/>
      <c r="H197" s="34"/>
      <c r="I197" s="97">
        <v>84624.371794578474</v>
      </c>
      <c r="J197" s="97" t="s">
        <v>414</v>
      </c>
      <c r="K197" s="318">
        <v>12693.655769186771</v>
      </c>
      <c r="L197" s="319">
        <v>31034.769764707813</v>
      </c>
      <c r="M197" s="319">
        <v>32647.120414096447</v>
      </c>
      <c r="N197" s="319">
        <v>65204.331159042034</v>
      </c>
      <c r="O197" s="319">
        <v>35747.875154623791</v>
      </c>
      <c r="P197" s="319">
        <v>56110</v>
      </c>
      <c r="Q197" s="320">
        <v>84624.371794578474</v>
      </c>
      <c r="R197" s="319">
        <v>34476.59591630975</v>
      </c>
      <c r="S197" s="319">
        <v>34575</v>
      </c>
      <c r="T197" s="319">
        <v>30427</v>
      </c>
      <c r="U197" s="319">
        <v>15410</v>
      </c>
      <c r="V197" s="319">
        <v>21673</v>
      </c>
      <c r="W197" s="321">
        <f>IFERROR(IF(tblPiNAnalysis[[#This Row],[CCCM]]="", "", MROUND(tblPiNAnalysis[[#This Row],[CCCM]]/tblPiNAnalysis[[#This Row],[Affected population projection 2026]], 0.05)), "")</f>
        <v>0.15000000000000002</v>
      </c>
      <c r="X197" s="322">
        <f>IFERROR(IF(tblPiNAnalysis[[#This Row],[Education]]="", "", MROUND(tblPiNAnalysis[[#This Row],[Education]]/tblPiNAnalysis[[#This Row],[Affected population projection 2026]], 0.05)), "")</f>
        <v>0.35000000000000003</v>
      </c>
      <c r="Y197" s="322">
        <f>IFERROR(IF(tblPiNAnalysis[[#This Row],[Nutrition]]="", "", MROUND(tblPiNAnalysis[[#This Row],[Nutrition]]/tblPiNAnalysis[[#This Row],[Affected population projection 2026]], 0.05)), "")</f>
        <v>0.4</v>
      </c>
      <c r="Z197" s="322">
        <f>IFERROR(IF(tblPiNAnalysis[[#This Row],[Food Security]]="", "", MROUND(tblPiNAnalysis[[#This Row],[Food Security]]/tblPiNAnalysis[[#This Row],[Affected population projection 2026]], 0.05)), "")</f>
        <v>0.75</v>
      </c>
      <c r="AA197" s="322">
        <f>IFERROR(IF(tblPiNAnalysis[[#This Row],[Health]]="", "", MROUND(tblPiNAnalysis[[#This Row],[Health]]/tblPiNAnalysis[[#This Row],[Affected population projection 2026]], 0.05)), "")</f>
        <v>0.4</v>
      </c>
      <c r="AB197" s="323">
        <f>IFERROR(IF(tblPiNAnalysis[[#This Row],[Overarching Protection]]="", "", MROUND(tblPiNAnalysis[[#This Row],[Overarching Protection]]/tblPiNAnalysis[[#This Row],[Affected population projection 2026]], 0.05)), "")</f>
        <v>0.65</v>
      </c>
      <c r="AC197" s="323">
        <f>IFERROR(IF(tblPiNAnalysis[[#This Row],[Shelter]]="", "", MROUND(tblPiNAnalysis[[#This Row],[Shelter]]/tblPiNAnalysis[[#This Row],[Affected population projection 2026]], 0.05)), "")</f>
        <v>1</v>
      </c>
      <c r="AD197" s="324">
        <f>IFERROR(IF(tblPiNAnalysis[[#This Row],[WASH]]="", "", MROUND(tblPiNAnalysis[[#This Row],[WASH]]/tblPiNAnalysis[[#This Row],[Affected population projection 2026]], 0.05)), "")</f>
        <v>0.4</v>
      </c>
      <c r="AE197" s="322">
        <f>IFERROR(MROUND(tblPiNAnalysis[[#This Row],[CP]]/tblPiNAnalysis[[#This Row],[Affected population projection 2026]], 0.05), "")</f>
        <v>0.4</v>
      </c>
      <c r="AF197" s="322">
        <f>IFERROR(MROUND(tblPiNAnalysis[[#This Row],[GBV]]/tblPiNAnalysis[[#This Row],[Affected population projection 2026]], 0.05), "")</f>
        <v>0.35000000000000003</v>
      </c>
      <c r="AG197" s="322">
        <f>IFERROR(MROUND(tblPiNAnalysis[[#This Row],[Mine Action]]/tblPiNAnalysis[[#This Row],[Affected population projection 2026]], 0.05), "")</f>
        <v>0.2</v>
      </c>
      <c r="AH197" s="322">
        <f>IFERROR(MROUND(tblPiNAnalysis[[#This Row],[HLP]]/tblPiNAnalysis[[#This Row],[Affected population projection 2026]], 0.05), "")</f>
        <v>0.25</v>
      </c>
      <c r="AI197" s="325">
        <f>IFERROR(LARGE(tblPiNAnalysis[[#This Row],[CCCM]:[WASH]], 1), "")</f>
        <v>84624.371794578474</v>
      </c>
      <c r="AJ197" s="326" t="str" cm="1">
        <f t="array" ref="AJ197">IF(tblPiNAnalysis[[#This Row],[Highest PiN]]="", "", _xlfn.TEXTJOIN(CHAR(10), TRUE, IF(tblPiNAnalysis[[#This Row],[Highest PiN]]=tblPiNAnalysis[[#This Row],[CCCM]:[WASH]], tblPiNAnalysis[[#Headers],[CCCM]:[WASH]], "")))</f>
        <v>Shelter</v>
      </c>
      <c r="AK197" s="327">
        <f>IF(tblPiNAnalysis[[#This Row],[Highest PiN]]="", "", tblPiNAnalysis[[#This Row],[Highest PiN]]/tblPiNAnalysis[[#This Row],[Affected population projection 2026]])</f>
        <v>1</v>
      </c>
      <c r="AL197" s="328" t="str">
        <f>IF(SUM(tblPiNAnalysis[[#This Row],[CCCM]:[WASH]])=0, "",IF(COUNTIF(tblPiNAnalysis[[#This Row],[CCCM]:[WASH]],"=0")+COUNTIF(tblPiNAnalysis[[#This Row],[CCCM]:[WASH]],"")&gt;=zero_pin_thresh, "Flagged", ""))</f>
        <v/>
      </c>
      <c r="AM197" s="329" t="str">
        <f>IFERROR(IF(tblPiNAnalysis[[#This Row],[Highest PiN]]="", "", IF(tblPiNAnalysis[[#This Row],[Highest sector(s'') PiN %]]&gt;=flag_pin_perc, "Flagged", "")), "")</f>
        <v>Flagged</v>
      </c>
      <c r="AN197" s="330" t="str" cm="1">
        <f t="array" ref="AN197">IF(tblPiNAnalysis[[#This Row],[Highest PiN]]=0, "",  IF(OR(COUNTIF(tblPiNAnalysis[[#This Row],[Highest sector(s)]],tblSubSectorPopulation[Sector])), "Flagged", ""))</f>
        <v/>
      </c>
      <c r="AO197" s="46" cm="1">
        <f t="array" ref="AO19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65204.331159042034</v>
      </c>
      <c r="AP197" s="331" t="str" cm="1">
        <f t="array" ref="AP197">IF(tblPiNAnalysis[[#This Row],[2nd Highest PiN]]="", "", _xlfn.TEXTJOIN(CHAR(10), TRUE, IF(tblPiNAnalysis[[#This Row],[2nd Highest PiN]]=tblPiNAnalysis[[#This Row],[CCCM]:[WASH]], tblPiNAnalysis[[#Headers],[CCCM]:[WASH]], "")))</f>
        <v>Food Security</v>
      </c>
      <c r="AQ197" s="36">
        <f>IFERROR(tblPiNAnalysis[[#This Row],[2nd Highest PiN]]/tblPiNAnalysis[[#This Row],[Affected population projection 2026]], "")</f>
        <v>0.77051480296151986</v>
      </c>
      <c r="AR197" s="46">
        <f>IFERROR(tblPiNAnalysis[[#This Row],[Highest PiN]]-tblPiNAnalysis[[#This Row],[2nd Highest PiN]], "")</f>
        <v>19420.040635536439</v>
      </c>
      <c r="AS197" s="39">
        <f>IFERROR(((tblPiNAnalysis[[#This Row],[Highest PiN]]-tblPiNAnalysis[[#This Row],[2nd Highest PiN]])/tblPiNAnalysis[[#This Row],[2nd Highest PiN]]),"")</f>
        <v>0.29783359924616631</v>
      </c>
      <c r="AT197" s="39" t="str" cm="1">
        <f t="array" ref="AT19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7" s="332" cm="1">
        <f t="array" ref="AU19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56110</v>
      </c>
      <c r="AV197" s="190" t="str" cm="1">
        <f t="array" ref="AV197">IF(tblPiNAnalysis[[#This Row],[3rd Highest PiN]]="", "", _xlfn.TEXTJOIN(CHAR(10), TRUE, IF(tblPiNAnalysis[[#This Row],[3rd Highest PiN]]=tblPiNAnalysis[[#This Row],[CCCM]:[WASH]], tblPiNAnalysis[[#Headers],[CCCM]:[WASH]], "")))</f>
        <v>Overarching Protection</v>
      </c>
      <c r="AW197" s="190">
        <f>IFERROR(tblPiNAnalysis[[#This Row],[3rd Highest PiN]]/tblPiNAnalysis[[#This Row],[Affected population projection 2026]], "")</f>
        <v>0.66304775811162631</v>
      </c>
      <c r="AX197" s="45">
        <f>IFERROR(tblPiNAnalysis[[#This Row],[Highest PiN]]-tblPiNAnalysis[[#This Row],[3rd Highest PiN]],"")</f>
        <v>28514.371794578474</v>
      </c>
      <c r="AY197" s="39">
        <f>IFERROR(tblPiNAnalysis[[#This Row],[Difference of PiN between Highest and 3rd Highest]]/tblPiNAnalysis[[#This Row],[3rd Highest PiN]], "")</f>
        <v>0.50818698618033276</v>
      </c>
      <c r="AZ197" s="330" t="str" cm="1">
        <f t="array" ref="AZ19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97" s="300" t="str" cm="1">
        <f t="array" ref="BA197">IFERROR(IF(tblPiNAnalysis[[#This Row],[ID]]="", "", INDEX(tblPiNHistorical[[CCCM]:[WASH]], MATCH(tblPiNAnalysis[[#This Row],[ID]],tblPiNHistorical[ID], 0),MATCH(_xlfn._xlws.FILTER(tblPiNAnalysis[[#Headers],[CCCM]:[WASH]], tblPiNAnalysis[[#This Row],[Highest PiN]]=tblPiNAnalysis[[#This Row],[CCCM]:[WASH]]), tblPiNHistorical[[#Headers],[CCCM]:[WASH]], 0))), "")</f>
        <v/>
      </c>
      <c r="BB197" s="333" t="str" cm="1">
        <f t="array" ref="BB19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7" s="276" t="str" cm="1">
        <f t="array" ref="BC197">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7" s="334" t="str" cm="1">
        <f t="array" ref="BD19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7" s="276">
        <f>INDEX(tblSeverityAnalysis[Final Severity], MATCH(tblPiNAnalysis[[#This Row],[ID]],tblSeverityAnalysis[ID], 0))</f>
        <v>4</v>
      </c>
      <c r="BF197" s="61">
        <f>IF(tblPiNAnalysis[[#This Row],[Severity]]&gt;2,tblPiNAnalysis[[#This Row],[Highest PiN]],)</f>
        <v>84624.371794578474</v>
      </c>
      <c r="BG197" s="191"/>
      <c r="BH197" s="192"/>
      <c r="BI197" s="193">
        <f>COUNTIFS(tblPiNAnalysis[[#This Row],[Number of missing / zero PiNs greater than threshold - Data quality]:[Manual Flag]],"Flagged")</f>
        <v>2</v>
      </c>
      <c r="BJ197" s="96" t="str">
        <f>IF(tblPiNAnalysis[[#This Row],['# Flags]]&gt;0, "Flagged", "")</f>
        <v>Flagged</v>
      </c>
      <c r="BK197" s="326">
        <f>tblPiNAnalysis[[#This Row],[Preliminary PiN]]</f>
        <v>84624.371794578474</v>
      </c>
      <c r="BL197" s="331"/>
    </row>
    <row r="198" spans="1:64" ht="24.6" x14ac:dyDescent="0.55000000000000004">
      <c r="A19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SS0503</v>
      </c>
      <c r="B198" s="316" t="s">
        <v>310</v>
      </c>
      <c r="C198" s="317" t="s">
        <v>311</v>
      </c>
      <c r="D198" s="317" t="s">
        <v>316</v>
      </c>
      <c r="E198" s="105" t="s">
        <v>317</v>
      </c>
      <c r="F198" s="100"/>
      <c r="G198" s="34"/>
      <c r="H198" s="34"/>
      <c r="I198" s="97">
        <v>62262.159201647075</v>
      </c>
      <c r="J198" s="97" t="s">
        <v>414</v>
      </c>
      <c r="K198" s="318">
        <v>9339.3238802470605</v>
      </c>
      <c r="L198" s="319">
        <v>16288.117062810563</v>
      </c>
      <c r="M198" s="319">
        <v>34228.428664160019</v>
      </c>
      <c r="N198" s="319">
        <v>44721.274699100119</v>
      </c>
      <c r="O198" s="319">
        <v>28481.445195627231</v>
      </c>
      <c r="P198" s="319">
        <v>40492</v>
      </c>
      <c r="Q198" s="320">
        <v>48677.688103105895</v>
      </c>
      <c r="R198" s="319">
        <v>15565.539800411769</v>
      </c>
      <c r="S198" s="319">
        <v>24870</v>
      </c>
      <c r="T198" s="319">
        <v>23448</v>
      </c>
      <c r="U198" s="319">
        <v>28970</v>
      </c>
      <c r="V198" s="319">
        <v>15856</v>
      </c>
      <c r="W198" s="321">
        <f>IFERROR(IF(tblPiNAnalysis[[#This Row],[CCCM]]="", "", MROUND(tblPiNAnalysis[[#This Row],[CCCM]]/tblPiNAnalysis[[#This Row],[Affected population projection 2026]], 0.05)), "")</f>
        <v>0.15000000000000002</v>
      </c>
      <c r="X198" s="322">
        <f>IFERROR(IF(tblPiNAnalysis[[#This Row],[Education]]="", "", MROUND(tblPiNAnalysis[[#This Row],[Education]]/tblPiNAnalysis[[#This Row],[Affected population projection 2026]], 0.05)), "")</f>
        <v>0.25</v>
      </c>
      <c r="Y198" s="322">
        <f>IFERROR(IF(tblPiNAnalysis[[#This Row],[Nutrition]]="", "", MROUND(tblPiNAnalysis[[#This Row],[Nutrition]]/tblPiNAnalysis[[#This Row],[Affected population projection 2026]], 0.05)), "")</f>
        <v>0.55000000000000004</v>
      </c>
      <c r="Z198" s="322">
        <f>IFERROR(IF(tblPiNAnalysis[[#This Row],[Food Security]]="", "", MROUND(tblPiNAnalysis[[#This Row],[Food Security]]/tblPiNAnalysis[[#This Row],[Affected population projection 2026]], 0.05)), "")</f>
        <v>0.70000000000000007</v>
      </c>
      <c r="AA198" s="322">
        <f>IFERROR(IF(tblPiNAnalysis[[#This Row],[Health]]="", "", MROUND(tblPiNAnalysis[[#This Row],[Health]]/tblPiNAnalysis[[#This Row],[Affected population projection 2026]], 0.05)), "")</f>
        <v>0.45</v>
      </c>
      <c r="AB198" s="323">
        <f>IFERROR(IF(tblPiNAnalysis[[#This Row],[Overarching Protection]]="", "", MROUND(tblPiNAnalysis[[#This Row],[Overarching Protection]]/tblPiNAnalysis[[#This Row],[Affected population projection 2026]], 0.05)), "")</f>
        <v>0.65</v>
      </c>
      <c r="AC198" s="323">
        <f>IFERROR(IF(tblPiNAnalysis[[#This Row],[Shelter]]="", "", MROUND(tblPiNAnalysis[[#This Row],[Shelter]]/tblPiNAnalysis[[#This Row],[Affected population projection 2026]], 0.05)), "")</f>
        <v>0.8</v>
      </c>
      <c r="AD198" s="324">
        <f>IFERROR(IF(tblPiNAnalysis[[#This Row],[WASH]]="", "", MROUND(tblPiNAnalysis[[#This Row],[WASH]]/tblPiNAnalysis[[#This Row],[Affected population projection 2026]], 0.05)), "")</f>
        <v>0.25</v>
      </c>
      <c r="AE198" s="322">
        <f>IFERROR(MROUND(tblPiNAnalysis[[#This Row],[CP]]/tblPiNAnalysis[[#This Row],[Affected population projection 2026]], 0.05), "")</f>
        <v>0.4</v>
      </c>
      <c r="AF198" s="322">
        <f>IFERROR(MROUND(tblPiNAnalysis[[#This Row],[GBV]]/tblPiNAnalysis[[#This Row],[Affected population projection 2026]], 0.05), "")</f>
        <v>0.4</v>
      </c>
      <c r="AG198" s="322">
        <f>IFERROR(MROUND(tblPiNAnalysis[[#This Row],[Mine Action]]/tblPiNAnalysis[[#This Row],[Affected population projection 2026]], 0.05), "")</f>
        <v>0.45</v>
      </c>
      <c r="AH198" s="322">
        <f>IFERROR(MROUND(tblPiNAnalysis[[#This Row],[HLP]]/tblPiNAnalysis[[#This Row],[Affected population projection 2026]], 0.05), "")</f>
        <v>0.25</v>
      </c>
      <c r="AI198" s="325">
        <f>IFERROR(LARGE(tblPiNAnalysis[[#This Row],[CCCM]:[WASH]], 1), "")</f>
        <v>48677.688103105895</v>
      </c>
      <c r="AJ198" s="326" t="str" cm="1">
        <f t="array" ref="AJ198">IF(tblPiNAnalysis[[#This Row],[Highest PiN]]="", "", _xlfn.TEXTJOIN(CHAR(10), TRUE, IF(tblPiNAnalysis[[#This Row],[Highest PiN]]=tblPiNAnalysis[[#This Row],[CCCM]:[WASH]], tblPiNAnalysis[[#Headers],[CCCM]:[WASH]], "")))</f>
        <v>Shelter</v>
      </c>
      <c r="AK198" s="327">
        <f>IF(tblPiNAnalysis[[#This Row],[Highest PiN]]="", "", tblPiNAnalysis[[#This Row],[Highest PiN]]/tblPiNAnalysis[[#This Row],[Affected population projection 2026]])</f>
        <v>0.78181818181818186</v>
      </c>
      <c r="AL198" s="328" t="str">
        <f>IF(SUM(tblPiNAnalysis[[#This Row],[CCCM]:[WASH]])=0, "",IF(COUNTIF(tblPiNAnalysis[[#This Row],[CCCM]:[WASH]],"=0")+COUNTIF(tblPiNAnalysis[[#This Row],[CCCM]:[WASH]],"")&gt;=zero_pin_thresh, "Flagged", ""))</f>
        <v/>
      </c>
      <c r="AM198" s="329" t="str">
        <f>IFERROR(IF(tblPiNAnalysis[[#This Row],[Highest PiN]]="", "", IF(tblPiNAnalysis[[#This Row],[Highest sector(s'') PiN %]]&gt;=flag_pin_perc, "Flagged", "")), "")</f>
        <v/>
      </c>
      <c r="AN198" s="330" t="str" cm="1">
        <f t="array" ref="AN198">IF(tblPiNAnalysis[[#This Row],[Highest PiN]]=0, "",  IF(OR(COUNTIF(tblPiNAnalysis[[#This Row],[Highest sector(s)]],tblSubSectorPopulation[Sector])), "Flagged", ""))</f>
        <v/>
      </c>
      <c r="AO198" s="46" cm="1">
        <f t="array" ref="AO19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44721.274699100119</v>
      </c>
      <c r="AP198" s="331" t="str" cm="1">
        <f t="array" ref="AP198">IF(tblPiNAnalysis[[#This Row],[2nd Highest PiN]]="", "", _xlfn.TEXTJOIN(CHAR(10), TRUE, IF(tblPiNAnalysis[[#This Row],[2nd Highest PiN]]=tblPiNAnalysis[[#This Row],[CCCM]:[WASH]], tblPiNAnalysis[[#Headers],[CCCM]:[WASH]], "")))</f>
        <v>Food Security</v>
      </c>
      <c r="AQ198" s="36">
        <f>IFERROR(tblPiNAnalysis[[#This Row],[2nd Highest PiN]]/tblPiNAnalysis[[#This Row],[Affected population projection 2026]], "")</f>
        <v>0.71827375202749266</v>
      </c>
      <c r="AR198" s="46">
        <f>IFERROR(tblPiNAnalysis[[#This Row],[Highest PiN]]-tblPiNAnalysis[[#This Row],[2nd Highest PiN]], "")</f>
        <v>3956.4134040057761</v>
      </c>
      <c r="AS198" s="39">
        <f>IFERROR(((tblPiNAnalysis[[#This Row],[Highest PiN]]-tblPiNAnalysis[[#This Row],[2nd Highest PiN]])/tblPiNAnalysis[[#This Row],[2nd Highest PiN]]),"")</f>
        <v>8.8468261037411511E-2</v>
      </c>
      <c r="AT198" s="39" t="str" cm="1">
        <f t="array" ref="AT19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8" s="332" cm="1">
        <f t="array" ref="AU19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40492</v>
      </c>
      <c r="AV198" s="190" t="str" cm="1">
        <f t="array" ref="AV198">IF(tblPiNAnalysis[[#This Row],[3rd Highest PiN]]="", "", _xlfn.TEXTJOIN(CHAR(10), TRUE, IF(tblPiNAnalysis[[#This Row],[3rd Highest PiN]]=tblPiNAnalysis[[#This Row],[CCCM]:[WASH]], tblPiNAnalysis[[#Headers],[CCCM]:[WASH]], "")))</f>
        <v>Overarching Protection</v>
      </c>
      <c r="AW198" s="190">
        <f>IFERROR(tblPiNAnalysis[[#This Row],[3rd Highest PiN]]/tblPiNAnalysis[[#This Row],[Affected population projection 2026]], "")</f>
        <v>0.65034686427850108</v>
      </c>
      <c r="AX198" s="45">
        <f>IFERROR(tblPiNAnalysis[[#This Row],[Highest PiN]]-tblPiNAnalysis[[#This Row],[3rd Highest PiN]],"")</f>
        <v>8185.6881031058947</v>
      </c>
      <c r="AY198" s="39">
        <f>IFERROR(tblPiNAnalysis[[#This Row],[Difference of PiN between Highest and 3rd Highest]]/tblPiNAnalysis[[#This Row],[3rd Highest PiN]], "")</f>
        <v>0.20215568761992234</v>
      </c>
      <c r="AZ198" s="330" t="str" cm="1">
        <f t="array" ref="AZ19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8" s="300" t="str" cm="1">
        <f t="array" ref="BA198">IFERROR(IF(tblPiNAnalysis[[#This Row],[ID]]="", "", INDEX(tblPiNHistorical[[CCCM]:[WASH]], MATCH(tblPiNAnalysis[[#This Row],[ID]],tblPiNHistorical[ID], 0),MATCH(_xlfn._xlws.FILTER(tblPiNAnalysis[[#Headers],[CCCM]:[WASH]], tblPiNAnalysis[[#This Row],[Highest PiN]]=tblPiNAnalysis[[#This Row],[CCCM]:[WASH]]), tblPiNHistorical[[#Headers],[CCCM]:[WASH]], 0))), "")</f>
        <v/>
      </c>
      <c r="BB198" s="333" t="str" cm="1">
        <f t="array" ref="BB19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8" s="276" t="str" cm="1">
        <f t="array" ref="BC19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8" s="334" t="str" cm="1">
        <f t="array" ref="BD19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8" s="276">
        <f>INDEX(tblSeverityAnalysis[Final Severity], MATCH(tblPiNAnalysis[[#This Row],[ID]],tblSeverityAnalysis[ID], 0))</f>
        <v>3</v>
      </c>
      <c r="BF198" s="61">
        <f>IF(tblPiNAnalysis[[#This Row],[Severity]]&gt;2,tblPiNAnalysis[[#This Row],[Highest PiN]],)</f>
        <v>48677.688103105895</v>
      </c>
      <c r="BG198" s="191"/>
      <c r="BH198" s="192"/>
      <c r="BI198" s="193">
        <f>COUNTIFS(tblPiNAnalysis[[#This Row],[Number of missing / zero PiNs greater than threshold - Data quality]:[Manual Flag]],"Flagged")</f>
        <v>0</v>
      </c>
      <c r="BJ198" s="96" t="str">
        <f>IF(tblPiNAnalysis[[#This Row],['# Flags]]&gt;0, "Flagged", "")</f>
        <v/>
      </c>
      <c r="BK198" s="326">
        <f>tblPiNAnalysis[[#This Row],[Preliminary PiN]]</f>
        <v>48677.688103105895</v>
      </c>
      <c r="BL198" s="331"/>
    </row>
    <row r="199" spans="1:64" ht="24.6" x14ac:dyDescent="0.55000000000000004">
      <c r="A19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SS0504</v>
      </c>
      <c r="B199" s="316" t="s">
        <v>310</v>
      </c>
      <c r="C199" s="317" t="s">
        <v>311</v>
      </c>
      <c r="D199" s="317" t="s">
        <v>318</v>
      </c>
      <c r="E199" s="105" t="s">
        <v>319</v>
      </c>
      <c r="F199" s="100"/>
      <c r="G199" s="34"/>
      <c r="H199" s="34"/>
      <c r="I199" s="97">
        <v>8876.9955392885731</v>
      </c>
      <c r="J199" s="97" t="s">
        <v>414</v>
      </c>
      <c r="K199" s="318">
        <v>1331.549330893286</v>
      </c>
      <c r="L199" s="319">
        <v>1619.496873698959</v>
      </c>
      <c r="M199" s="319">
        <v>4116.9543189771584</v>
      </c>
      <c r="N199" s="319">
        <v>6742.2447544422866</v>
      </c>
      <c r="O199" s="319">
        <v>4186.3245334297198</v>
      </c>
      <c r="P199" s="319">
        <v>6115</v>
      </c>
      <c r="Q199" s="320">
        <v>5743.9382901279005</v>
      </c>
      <c r="R199" s="319">
        <v>5084.0974452289101</v>
      </c>
      <c r="S199" s="319">
        <v>3559</v>
      </c>
      <c r="T199" s="319">
        <v>3249</v>
      </c>
      <c r="U199" s="319">
        <v>680</v>
      </c>
      <c r="V199" s="319">
        <v>2612</v>
      </c>
      <c r="W199" s="321">
        <f>IFERROR(IF(tblPiNAnalysis[[#This Row],[CCCM]]="", "", MROUND(tblPiNAnalysis[[#This Row],[CCCM]]/tblPiNAnalysis[[#This Row],[Affected population projection 2026]], 0.05)), "")</f>
        <v>0.15000000000000002</v>
      </c>
      <c r="X199" s="322">
        <f>IFERROR(IF(tblPiNAnalysis[[#This Row],[Education]]="", "", MROUND(tblPiNAnalysis[[#This Row],[Education]]/tblPiNAnalysis[[#This Row],[Affected population projection 2026]], 0.05)), "")</f>
        <v>0.2</v>
      </c>
      <c r="Y199" s="322">
        <f>IFERROR(IF(tblPiNAnalysis[[#This Row],[Nutrition]]="", "", MROUND(tblPiNAnalysis[[#This Row],[Nutrition]]/tblPiNAnalysis[[#This Row],[Affected population projection 2026]], 0.05)), "")</f>
        <v>0.45</v>
      </c>
      <c r="Z199" s="322">
        <f>IFERROR(IF(tblPiNAnalysis[[#This Row],[Food Security]]="", "", MROUND(tblPiNAnalysis[[#This Row],[Food Security]]/tblPiNAnalysis[[#This Row],[Affected population projection 2026]], 0.05)), "")</f>
        <v>0.75</v>
      </c>
      <c r="AA199" s="322">
        <f>IFERROR(IF(tblPiNAnalysis[[#This Row],[Health]]="", "", MROUND(tblPiNAnalysis[[#This Row],[Health]]/tblPiNAnalysis[[#This Row],[Affected population projection 2026]], 0.05)), "")</f>
        <v>0.45</v>
      </c>
      <c r="AB199" s="323">
        <f>IFERROR(IF(tblPiNAnalysis[[#This Row],[Overarching Protection]]="", "", MROUND(tblPiNAnalysis[[#This Row],[Overarching Protection]]/tblPiNAnalysis[[#This Row],[Affected population projection 2026]], 0.05)), "")</f>
        <v>0.70000000000000007</v>
      </c>
      <c r="AC199" s="323">
        <f>IFERROR(IF(tblPiNAnalysis[[#This Row],[Shelter]]="", "", MROUND(tblPiNAnalysis[[#This Row],[Shelter]]/tblPiNAnalysis[[#This Row],[Affected population projection 2026]], 0.05)), "")</f>
        <v>0.65</v>
      </c>
      <c r="AD199" s="324">
        <f>IFERROR(IF(tblPiNAnalysis[[#This Row],[WASH]]="", "", MROUND(tblPiNAnalysis[[#This Row],[WASH]]/tblPiNAnalysis[[#This Row],[Affected population projection 2026]], 0.05)), "")</f>
        <v>0.55000000000000004</v>
      </c>
      <c r="AE199" s="322">
        <f>IFERROR(MROUND(tblPiNAnalysis[[#This Row],[CP]]/tblPiNAnalysis[[#This Row],[Affected population projection 2026]], 0.05), "")</f>
        <v>0.4</v>
      </c>
      <c r="AF199" s="322">
        <f>IFERROR(MROUND(tblPiNAnalysis[[#This Row],[GBV]]/tblPiNAnalysis[[#This Row],[Affected population projection 2026]], 0.05), "")</f>
        <v>0.35000000000000003</v>
      </c>
      <c r="AG199" s="322">
        <f>IFERROR(MROUND(tblPiNAnalysis[[#This Row],[Mine Action]]/tblPiNAnalysis[[#This Row],[Affected population projection 2026]], 0.05), "")</f>
        <v>0.1</v>
      </c>
      <c r="AH199" s="322">
        <f>IFERROR(MROUND(tblPiNAnalysis[[#This Row],[HLP]]/tblPiNAnalysis[[#This Row],[Affected population projection 2026]], 0.05), "")</f>
        <v>0.30000000000000004</v>
      </c>
      <c r="AI199" s="325">
        <f>IFERROR(LARGE(tblPiNAnalysis[[#This Row],[CCCM]:[WASH]], 1), "")</f>
        <v>6742.2447544422866</v>
      </c>
      <c r="AJ199" s="326" t="str" cm="1">
        <f t="array" ref="AJ199">IF(tblPiNAnalysis[[#This Row],[Highest PiN]]="", "", _xlfn.TEXTJOIN(CHAR(10), TRUE, IF(tblPiNAnalysis[[#This Row],[Highest PiN]]=tblPiNAnalysis[[#This Row],[CCCM]:[WASH]], tblPiNAnalysis[[#Headers],[CCCM]:[WASH]], "")))</f>
        <v>Food Security</v>
      </c>
      <c r="AK199" s="327">
        <f>IF(tblPiNAnalysis[[#This Row],[Highest PiN]]="", "", tblPiNAnalysis[[#This Row],[Highest PiN]]/tblPiNAnalysis[[#This Row],[Affected population projection 2026]])</f>
        <v>0.75951877238215093</v>
      </c>
      <c r="AL199" s="328" t="str">
        <f>IF(SUM(tblPiNAnalysis[[#This Row],[CCCM]:[WASH]])=0, "",IF(COUNTIF(tblPiNAnalysis[[#This Row],[CCCM]:[WASH]],"=0")+COUNTIF(tblPiNAnalysis[[#This Row],[CCCM]:[WASH]],"")&gt;=zero_pin_thresh, "Flagged", ""))</f>
        <v/>
      </c>
      <c r="AM199" s="329" t="str">
        <f>IFERROR(IF(tblPiNAnalysis[[#This Row],[Highest PiN]]="", "", IF(tblPiNAnalysis[[#This Row],[Highest sector(s'') PiN %]]&gt;=flag_pin_perc, "Flagged", "")), "")</f>
        <v/>
      </c>
      <c r="AN199" s="330" t="str" cm="1">
        <f t="array" ref="AN199">IF(tblPiNAnalysis[[#This Row],[Highest PiN]]=0, "",  IF(OR(COUNTIF(tblPiNAnalysis[[#This Row],[Highest sector(s)]],tblSubSectorPopulation[Sector])), "Flagged", ""))</f>
        <v/>
      </c>
      <c r="AO199" s="46" cm="1">
        <f t="array" ref="AO19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6115</v>
      </c>
      <c r="AP199" s="331" t="str" cm="1">
        <f t="array" ref="AP199">IF(tblPiNAnalysis[[#This Row],[2nd Highest PiN]]="", "", _xlfn.TEXTJOIN(CHAR(10), TRUE, IF(tblPiNAnalysis[[#This Row],[2nd Highest PiN]]=tblPiNAnalysis[[#This Row],[CCCM]:[WASH]], tblPiNAnalysis[[#Headers],[CCCM]:[WASH]], "")))</f>
        <v>Overarching Protection</v>
      </c>
      <c r="AQ199" s="36">
        <f>IFERROR(tblPiNAnalysis[[#This Row],[2nd Highest PiN]]/tblPiNAnalysis[[#This Row],[Affected population projection 2026]], "")</f>
        <v>0.688859194863364</v>
      </c>
      <c r="AR199" s="46">
        <f>IFERROR(tblPiNAnalysis[[#This Row],[Highest PiN]]-tblPiNAnalysis[[#This Row],[2nd Highest PiN]], "")</f>
        <v>627.24475444228665</v>
      </c>
      <c r="AS199" s="39">
        <f>IFERROR(((tblPiNAnalysis[[#This Row],[Highest PiN]]-tblPiNAnalysis[[#This Row],[2nd Highest PiN]])/tblPiNAnalysis[[#This Row],[2nd Highest PiN]]),"")</f>
        <v>0.10257477586954811</v>
      </c>
      <c r="AT199" s="39" t="str" cm="1">
        <f t="array" ref="AT19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99" s="332" cm="1">
        <f t="array" ref="AU19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5743.9382901279005</v>
      </c>
      <c r="AV199" s="190" t="str" cm="1">
        <f t="array" ref="AV199">IF(tblPiNAnalysis[[#This Row],[3rd Highest PiN]]="", "", _xlfn.TEXTJOIN(CHAR(10), TRUE, IF(tblPiNAnalysis[[#This Row],[3rd Highest PiN]]=tblPiNAnalysis[[#This Row],[CCCM]:[WASH]], tblPiNAnalysis[[#Headers],[CCCM]:[WASH]], "")))</f>
        <v>Shelter</v>
      </c>
      <c r="AW199" s="190">
        <f>IFERROR(tblPiNAnalysis[[#This Row],[3rd Highest PiN]]/tblPiNAnalysis[[#This Row],[Affected population projection 2026]], "")</f>
        <v>0.6470588235294118</v>
      </c>
      <c r="AX199" s="45">
        <f>IFERROR(tblPiNAnalysis[[#This Row],[Highest PiN]]-tblPiNAnalysis[[#This Row],[3rd Highest PiN]],"")</f>
        <v>998.30646431438618</v>
      </c>
      <c r="AY199" s="39">
        <f>IFERROR(tblPiNAnalysis[[#This Row],[Difference of PiN between Highest and 3rd Highest]]/tblPiNAnalysis[[#This Row],[3rd Highest PiN]], "")</f>
        <v>0.17380173913605135</v>
      </c>
      <c r="AZ199" s="330" t="str" cm="1">
        <f t="array" ref="AZ19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99" s="300" t="str" cm="1">
        <f t="array" ref="BA199">IFERROR(IF(tblPiNAnalysis[[#This Row],[ID]]="", "", INDEX(tblPiNHistorical[[CCCM]:[WASH]], MATCH(tblPiNAnalysis[[#This Row],[ID]],tblPiNHistorical[ID], 0),MATCH(_xlfn._xlws.FILTER(tblPiNAnalysis[[#Headers],[CCCM]:[WASH]], tblPiNAnalysis[[#This Row],[Highest PiN]]=tblPiNAnalysis[[#This Row],[CCCM]:[WASH]]), tblPiNHistorical[[#Headers],[CCCM]:[WASH]], 0))), "")</f>
        <v/>
      </c>
      <c r="BB199" s="333" t="str" cm="1">
        <f t="array" ref="BB19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99" s="276" t="str" cm="1">
        <f t="array" ref="BC199">IFERROR(IF(tblPiNAnalysis[[#This Row],[ID]]="", "", INDEX(tblPiNHistorical[[CCCM]:[WASH]], MATCH(tblPiNAnalysis[[#This Row],[ID]],tblPiNHistorical[ID], 0),MATCH(_xlfn._xlws.FILTER(tblPiNAnalysis[[#Headers],[CCCM]:[WASH]], tblPiNAnalysis[[#This Row],[2nd Highest PiN]]=tblPiNAnalysis[[#This Row],[CCCM]:[WASH]]), tblPiNHistorical[[#Headers],[CCCM]:[WASH]], 0))), "")</f>
        <v/>
      </c>
      <c r="BD199" s="334" t="str" cm="1">
        <f t="array" ref="BD19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9" s="276">
        <f>INDEX(tblSeverityAnalysis[Final Severity], MATCH(tblPiNAnalysis[[#This Row],[ID]],tblSeverityAnalysis[ID], 0))</f>
        <v>3</v>
      </c>
      <c r="BF199" s="61">
        <f>IF(tblPiNAnalysis[[#This Row],[Severity]]&gt;2,tblPiNAnalysis[[#This Row],[Highest PiN]],)</f>
        <v>6742.2447544422866</v>
      </c>
      <c r="BG199" s="191"/>
      <c r="BH199" s="192"/>
      <c r="BI199" s="193">
        <f>COUNTIFS(tblPiNAnalysis[[#This Row],[Number of missing / zero PiNs greater than threshold - Data quality]:[Manual Flag]],"Flagged")</f>
        <v>0</v>
      </c>
      <c r="BJ199" s="96" t="str">
        <f>IF(tblPiNAnalysis[[#This Row],['# Flags]]&gt;0, "Flagged", "")</f>
        <v/>
      </c>
      <c r="BK199" s="326">
        <f>tblPiNAnalysis[[#This Row],[Preliminary PiN]]</f>
        <v>6742.2447544422866</v>
      </c>
      <c r="BL199" s="331"/>
    </row>
    <row r="200" spans="1:64" ht="24.6" x14ac:dyDescent="0.55000000000000004">
      <c r="A20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SS0505</v>
      </c>
      <c r="B200" s="316" t="s">
        <v>310</v>
      </c>
      <c r="C200" s="317" t="s">
        <v>311</v>
      </c>
      <c r="D200" s="317" t="s">
        <v>320</v>
      </c>
      <c r="E200" s="105" t="s">
        <v>321</v>
      </c>
      <c r="F200" s="100"/>
      <c r="G200" s="34"/>
      <c r="H200" s="34"/>
      <c r="I200" s="97">
        <v>46727.292920050364</v>
      </c>
      <c r="J200" s="97" t="s">
        <v>414</v>
      </c>
      <c r="K200" s="318">
        <v>7009.0939380075542</v>
      </c>
      <c r="L200" s="319">
        <v>7320.8584363701311</v>
      </c>
      <c r="M200" s="319">
        <v>16160.236825051841</v>
      </c>
      <c r="N200" s="319">
        <v>31614.397795641988</v>
      </c>
      <c r="O200" s="319">
        <v>19880.916593575854</v>
      </c>
      <c r="P200" s="319">
        <v>31590</v>
      </c>
      <c r="Q200" s="320">
        <v>32349.664329265637</v>
      </c>
      <c r="R200" s="319">
        <v>18005.011950845092</v>
      </c>
      <c r="S200" s="319">
        <v>18661</v>
      </c>
      <c r="T200" s="319">
        <v>15958</v>
      </c>
      <c r="U200" s="319">
        <v>3438</v>
      </c>
      <c r="V200" s="319">
        <v>3745</v>
      </c>
      <c r="W200" s="321">
        <f>IFERROR(IF(tblPiNAnalysis[[#This Row],[CCCM]]="", "", MROUND(tblPiNAnalysis[[#This Row],[CCCM]]/tblPiNAnalysis[[#This Row],[Affected population projection 2026]], 0.05)), "")</f>
        <v>0.15000000000000002</v>
      </c>
      <c r="X200" s="322">
        <f>IFERROR(IF(tblPiNAnalysis[[#This Row],[Education]]="", "", MROUND(tblPiNAnalysis[[#This Row],[Education]]/tblPiNAnalysis[[#This Row],[Affected population projection 2026]], 0.05)), "")</f>
        <v>0.15000000000000002</v>
      </c>
      <c r="Y200" s="322">
        <f>IFERROR(IF(tblPiNAnalysis[[#This Row],[Nutrition]]="", "", MROUND(tblPiNAnalysis[[#This Row],[Nutrition]]/tblPiNAnalysis[[#This Row],[Affected population projection 2026]], 0.05)), "")</f>
        <v>0.35000000000000003</v>
      </c>
      <c r="Z200" s="322">
        <f>IFERROR(IF(tblPiNAnalysis[[#This Row],[Food Security]]="", "", MROUND(tblPiNAnalysis[[#This Row],[Food Security]]/tblPiNAnalysis[[#This Row],[Affected population projection 2026]], 0.05)), "")</f>
        <v>0.70000000000000007</v>
      </c>
      <c r="AA200" s="322">
        <f>IFERROR(IF(tblPiNAnalysis[[#This Row],[Health]]="", "", MROUND(tblPiNAnalysis[[#This Row],[Health]]/tblPiNAnalysis[[#This Row],[Affected population projection 2026]], 0.05)), "")</f>
        <v>0.45</v>
      </c>
      <c r="AB200" s="323">
        <f>IFERROR(IF(tblPiNAnalysis[[#This Row],[Overarching Protection]]="", "", MROUND(tblPiNAnalysis[[#This Row],[Overarching Protection]]/tblPiNAnalysis[[#This Row],[Affected population projection 2026]], 0.05)), "")</f>
        <v>0.70000000000000007</v>
      </c>
      <c r="AC200" s="323">
        <f>IFERROR(IF(tblPiNAnalysis[[#This Row],[Shelter]]="", "", MROUND(tblPiNAnalysis[[#This Row],[Shelter]]/tblPiNAnalysis[[#This Row],[Affected population projection 2026]], 0.05)), "")</f>
        <v>0.70000000000000007</v>
      </c>
      <c r="AD200" s="324">
        <f>IFERROR(IF(tblPiNAnalysis[[#This Row],[WASH]]="", "", MROUND(tblPiNAnalysis[[#This Row],[WASH]]/tblPiNAnalysis[[#This Row],[Affected population projection 2026]], 0.05)), "")</f>
        <v>0.4</v>
      </c>
      <c r="AE200" s="322">
        <f>IFERROR(MROUND(tblPiNAnalysis[[#This Row],[CP]]/tblPiNAnalysis[[#This Row],[Affected population projection 2026]], 0.05), "")</f>
        <v>0.4</v>
      </c>
      <c r="AF200" s="322">
        <f>IFERROR(MROUND(tblPiNAnalysis[[#This Row],[GBV]]/tblPiNAnalysis[[#This Row],[Affected population projection 2026]], 0.05), "")</f>
        <v>0.35000000000000003</v>
      </c>
      <c r="AG200" s="322">
        <f>IFERROR(MROUND(tblPiNAnalysis[[#This Row],[Mine Action]]/tblPiNAnalysis[[#This Row],[Affected population projection 2026]], 0.05), "")</f>
        <v>0.05</v>
      </c>
      <c r="AH200" s="322">
        <f>IFERROR(MROUND(tblPiNAnalysis[[#This Row],[HLP]]/tblPiNAnalysis[[#This Row],[Affected population projection 2026]], 0.05), "")</f>
        <v>0.1</v>
      </c>
      <c r="AI200" s="325">
        <f>IFERROR(LARGE(tblPiNAnalysis[[#This Row],[CCCM]:[WASH]], 1), "")</f>
        <v>32349.664329265637</v>
      </c>
      <c r="AJ200" s="326" t="str" cm="1">
        <f t="array" ref="AJ200">IF(tblPiNAnalysis[[#This Row],[Highest PiN]]="", "", _xlfn.TEXTJOIN(CHAR(10), TRUE, IF(tblPiNAnalysis[[#This Row],[Highest PiN]]=tblPiNAnalysis[[#This Row],[CCCM]:[WASH]], tblPiNAnalysis[[#Headers],[CCCM]:[WASH]], "")))</f>
        <v>Shelter</v>
      </c>
      <c r="AK200" s="327">
        <f>IF(tblPiNAnalysis[[#This Row],[Highest PiN]]="", "", tblPiNAnalysis[[#This Row],[Highest PiN]]/tblPiNAnalysis[[#This Row],[Affected population projection 2026]])</f>
        <v>0.69230769230769229</v>
      </c>
      <c r="AL200" s="328" t="str">
        <f>IF(SUM(tblPiNAnalysis[[#This Row],[CCCM]:[WASH]])=0, "",IF(COUNTIF(tblPiNAnalysis[[#This Row],[CCCM]:[WASH]],"=0")+COUNTIF(tblPiNAnalysis[[#This Row],[CCCM]:[WASH]],"")&gt;=zero_pin_thresh, "Flagged", ""))</f>
        <v/>
      </c>
      <c r="AM200" s="329" t="str">
        <f>IFERROR(IF(tblPiNAnalysis[[#This Row],[Highest PiN]]="", "", IF(tblPiNAnalysis[[#This Row],[Highest sector(s'') PiN %]]&gt;=flag_pin_perc, "Flagged", "")), "")</f>
        <v/>
      </c>
      <c r="AN200" s="330" t="str" cm="1">
        <f t="array" ref="AN200">IF(tblPiNAnalysis[[#This Row],[Highest PiN]]=0, "",  IF(OR(COUNTIF(tblPiNAnalysis[[#This Row],[Highest sector(s)]],tblSubSectorPopulation[Sector])), "Flagged", ""))</f>
        <v/>
      </c>
      <c r="AO200" s="46" cm="1">
        <f t="array" ref="AO20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31614.397795641988</v>
      </c>
      <c r="AP200" s="331" t="str" cm="1">
        <f t="array" ref="AP200">IF(tblPiNAnalysis[[#This Row],[2nd Highest PiN]]="", "", _xlfn.TEXTJOIN(CHAR(10), TRUE, IF(tblPiNAnalysis[[#This Row],[2nd Highest PiN]]=tblPiNAnalysis[[#This Row],[CCCM]:[WASH]], tblPiNAnalysis[[#Headers],[CCCM]:[WASH]], "")))</f>
        <v>Food Security</v>
      </c>
      <c r="AQ200" s="36">
        <f>IFERROR(tblPiNAnalysis[[#This Row],[2nd Highest PiN]]/tblPiNAnalysis[[#This Row],[Affected population projection 2026]], "")</f>
        <v>0.67657242309614873</v>
      </c>
      <c r="AR200" s="46">
        <f>IFERROR(tblPiNAnalysis[[#This Row],[Highest PiN]]-tblPiNAnalysis[[#This Row],[2nd Highest PiN]], "")</f>
        <v>735.26653362364959</v>
      </c>
      <c r="AS200" s="39">
        <f>IFERROR(((tblPiNAnalysis[[#This Row],[Highest PiN]]-tblPiNAnalysis[[#This Row],[2nd Highest PiN]])/tblPiNAnalysis[[#This Row],[2nd Highest PiN]]),"")</f>
        <v>2.3257331623916154E-2</v>
      </c>
      <c r="AT200" s="39" t="str" cm="1">
        <f t="array" ref="AT20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0" s="332" cm="1">
        <f t="array" ref="AU20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31590</v>
      </c>
      <c r="AV200" s="190" t="str" cm="1">
        <f t="array" ref="AV200">IF(tblPiNAnalysis[[#This Row],[3rd Highest PiN]]="", "", _xlfn.TEXTJOIN(CHAR(10), TRUE, IF(tblPiNAnalysis[[#This Row],[3rd Highest PiN]]=tblPiNAnalysis[[#This Row],[CCCM]:[WASH]], tblPiNAnalysis[[#Headers],[CCCM]:[WASH]], "")))</f>
        <v>Overarching Protection</v>
      </c>
      <c r="AW200" s="190">
        <f>IFERROR(tblPiNAnalysis[[#This Row],[3rd Highest PiN]]/tblPiNAnalysis[[#This Row],[Affected population projection 2026]], "")</f>
        <v>0.67605029150843332</v>
      </c>
      <c r="AX200" s="45">
        <f>IFERROR(tblPiNAnalysis[[#This Row],[Highest PiN]]-tblPiNAnalysis[[#This Row],[3rd Highest PiN]],"")</f>
        <v>759.66432926563721</v>
      </c>
      <c r="AY200" s="39">
        <f>IFERROR(tblPiNAnalysis[[#This Row],[Difference of PiN between Highest and 3rd Highest]]/tblPiNAnalysis[[#This Row],[3rd Highest PiN]], "")</f>
        <v>2.4047620426262652E-2</v>
      </c>
      <c r="AZ200" s="330" t="str" cm="1">
        <f t="array" ref="AZ20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0" s="300" t="str" cm="1">
        <f t="array" ref="BA200">IFERROR(IF(tblPiNAnalysis[[#This Row],[ID]]="", "", INDEX(tblPiNHistorical[[CCCM]:[WASH]], MATCH(tblPiNAnalysis[[#This Row],[ID]],tblPiNHistorical[ID], 0),MATCH(_xlfn._xlws.FILTER(tblPiNAnalysis[[#Headers],[CCCM]:[WASH]], tblPiNAnalysis[[#This Row],[Highest PiN]]=tblPiNAnalysis[[#This Row],[CCCM]:[WASH]]), tblPiNHistorical[[#Headers],[CCCM]:[WASH]], 0))), "")</f>
        <v/>
      </c>
      <c r="BB200" s="333" t="str" cm="1">
        <f t="array" ref="BB20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0" s="276" t="str" cm="1">
        <f t="array" ref="BC20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0" s="334" t="str" cm="1">
        <f t="array" ref="BD20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0" s="276">
        <f>INDEX(tblSeverityAnalysis[Final Severity], MATCH(tblPiNAnalysis[[#This Row],[ID]],tblSeverityAnalysis[ID], 0))</f>
        <v>3</v>
      </c>
      <c r="BF200" s="61">
        <f>IF(tblPiNAnalysis[[#This Row],[Severity]]&gt;2,tblPiNAnalysis[[#This Row],[Highest PiN]],)</f>
        <v>32349.664329265637</v>
      </c>
      <c r="BG200" s="191"/>
      <c r="BH200" s="192"/>
      <c r="BI200" s="193">
        <f>COUNTIFS(tblPiNAnalysis[[#This Row],[Number of missing / zero PiNs greater than threshold - Data quality]:[Manual Flag]],"Flagged")</f>
        <v>0</v>
      </c>
      <c r="BJ200" s="96" t="str">
        <f>IF(tblPiNAnalysis[[#This Row],['# Flags]]&gt;0, "Flagged", "")</f>
        <v/>
      </c>
      <c r="BK200" s="326">
        <f>tblPiNAnalysis[[#This Row],[Preliminary PiN]]</f>
        <v>32349.664329265637</v>
      </c>
      <c r="BL200" s="331"/>
    </row>
    <row r="201" spans="1:64" x14ac:dyDescent="0.55000000000000004">
      <c r="A20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SS0601</v>
      </c>
      <c r="B201" s="316" t="s">
        <v>322</v>
      </c>
      <c r="C201" s="317" t="s">
        <v>323</v>
      </c>
      <c r="D201" s="317" t="s">
        <v>324</v>
      </c>
      <c r="E201" s="105" t="s">
        <v>325</v>
      </c>
      <c r="F201" s="100"/>
      <c r="G201" s="34"/>
      <c r="H201" s="34"/>
      <c r="I201" s="97">
        <v>1708.2679972549467</v>
      </c>
      <c r="J201" s="97" t="s">
        <v>414</v>
      </c>
      <c r="K201" s="318">
        <v>256.24019958824198</v>
      </c>
      <c r="L201" s="319">
        <v>136.01639778463226</v>
      </c>
      <c r="M201" s="319">
        <v>670.13670661903291</v>
      </c>
      <c r="N201" s="319">
        <v>1064.7716969540184</v>
      </c>
      <c r="O201" s="319">
        <v>865.88797530309</v>
      </c>
      <c r="P201" s="319">
        <v>328</v>
      </c>
      <c r="Q201" s="320">
        <v>1087.0796346167842</v>
      </c>
      <c r="R201" s="319">
        <v>442.88429558461581</v>
      </c>
      <c r="S201" s="319">
        <v>158</v>
      </c>
      <c r="T201" s="319">
        <v>260</v>
      </c>
      <c r="U201" s="319">
        <v>152</v>
      </c>
      <c r="V201" s="319">
        <v>217</v>
      </c>
      <c r="W201" s="321">
        <f>IFERROR(IF(tblPiNAnalysis[[#This Row],[CCCM]]="", "", MROUND(tblPiNAnalysis[[#This Row],[CCCM]]/tblPiNAnalysis[[#This Row],[Affected population projection 2026]], 0.05)), "")</f>
        <v>0.15000000000000002</v>
      </c>
      <c r="X201" s="322">
        <f>IFERROR(IF(tblPiNAnalysis[[#This Row],[Education]]="", "", MROUND(tblPiNAnalysis[[#This Row],[Education]]/tblPiNAnalysis[[#This Row],[Affected population projection 2026]], 0.05)), "")</f>
        <v>0.1</v>
      </c>
      <c r="Y201" s="322">
        <f>IFERROR(IF(tblPiNAnalysis[[#This Row],[Nutrition]]="", "", MROUND(tblPiNAnalysis[[#This Row],[Nutrition]]/tblPiNAnalysis[[#This Row],[Affected population projection 2026]], 0.05)), "")</f>
        <v>0.4</v>
      </c>
      <c r="Z201" s="322">
        <f>IFERROR(IF(tblPiNAnalysis[[#This Row],[Food Security]]="", "", MROUND(tblPiNAnalysis[[#This Row],[Food Security]]/tblPiNAnalysis[[#This Row],[Affected population projection 2026]], 0.05)), "")</f>
        <v>0.60000000000000009</v>
      </c>
      <c r="AA201" s="322">
        <f>IFERROR(IF(tblPiNAnalysis[[#This Row],[Health]]="", "", MROUND(tblPiNAnalysis[[#This Row],[Health]]/tblPiNAnalysis[[#This Row],[Affected population projection 2026]], 0.05)), "")</f>
        <v>0.5</v>
      </c>
      <c r="AB201" s="323">
        <f>IFERROR(IF(tblPiNAnalysis[[#This Row],[Overarching Protection]]="", "", MROUND(tblPiNAnalysis[[#This Row],[Overarching Protection]]/tblPiNAnalysis[[#This Row],[Affected population projection 2026]], 0.05)), "")</f>
        <v>0.2</v>
      </c>
      <c r="AC201" s="323">
        <f>IFERROR(IF(tblPiNAnalysis[[#This Row],[Shelter]]="", "", MROUND(tblPiNAnalysis[[#This Row],[Shelter]]/tblPiNAnalysis[[#This Row],[Affected population projection 2026]], 0.05)), "")</f>
        <v>0.65</v>
      </c>
      <c r="AD201" s="324">
        <f>IFERROR(IF(tblPiNAnalysis[[#This Row],[WASH]]="", "", MROUND(tblPiNAnalysis[[#This Row],[WASH]]/tblPiNAnalysis[[#This Row],[Affected population projection 2026]], 0.05)), "")</f>
        <v>0.25</v>
      </c>
      <c r="AE201" s="322">
        <f>IFERROR(MROUND(tblPiNAnalysis[[#This Row],[CP]]/tblPiNAnalysis[[#This Row],[Affected population projection 2026]], 0.05), "")</f>
        <v>0.1</v>
      </c>
      <c r="AF201" s="322">
        <f>IFERROR(MROUND(tblPiNAnalysis[[#This Row],[GBV]]/tblPiNAnalysis[[#This Row],[Affected population projection 2026]], 0.05), "")</f>
        <v>0.15000000000000002</v>
      </c>
      <c r="AG201" s="322">
        <f>IFERROR(MROUND(tblPiNAnalysis[[#This Row],[Mine Action]]/tblPiNAnalysis[[#This Row],[Affected population projection 2026]], 0.05), "")</f>
        <v>0.1</v>
      </c>
      <c r="AH201" s="322">
        <f>IFERROR(MROUND(tblPiNAnalysis[[#This Row],[HLP]]/tblPiNAnalysis[[#This Row],[Affected population projection 2026]], 0.05), "")</f>
        <v>0.15000000000000002</v>
      </c>
      <c r="AI201" s="325">
        <f>IFERROR(LARGE(tblPiNAnalysis[[#This Row],[CCCM]:[WASH]], 1), "")</f>
        <v>1087.0796346167842</v>
      </c>
      <c r="AJ201" s="326" t="str" cm="1">
        <f t="array" ref="AJ201">IF(tblPiNAnalysis[[#This Row],[Highest PiN]]="", "", _xlfn.TEXTJOIN(CHAR(10), TRUE, IF(tblPiNAnalysis[[#This Row],[Highest PiN]]=tblPiNAnalysis[[#This Row],[CCCM]:[WASH]], tblPiNAnalysis[[#Headers],[CCCM]:[WASH]], "")))</f>
        <v>Shelter</v>
      </c>
      <c r="AK201" s="327">
        <f>IF(tblPiNAnalysis[[#This Row],[Highest PiN]]="", "", tblPiNAnalysis[[#This Row],[Highest PiN]]/tblPiNAnalysis[[#This Row],[Affected population projection 2026]])</f>
        <v>0.63636363636363635</v>
      </c>
      <c r="AL201" s="328" t="str">
        <f>IF(SUM(tblPiNAnalysis[[#This Row],[CCCM]:[WASH]])=0, "",IF(COUNTIF(tblPiNAnalysis[[#This Row],[CCCM]:[WASH]],"=0")+COUNTIF(tblPiNAnalysis[[#This Row],[CCCM]:[WASH]],"")&gt;=zero_pin_thresh, "Flagged", ""))</f>
        <v/>
      </c>
      <c r="AM201" s="329" t="str">
        <f>IFERROR(IF(tblPiNAnalysis[[#This Row],[Highest PiN]]="", "", IF(tblPiNAnalysis[[#This Row],[Highest sector(s'') PiN %]]&gt;=flag_pin_perc, "Flagged", "")), "")</f>
        <v/>
      </c>
      <c r="AN201" s="330" t="str" cm="1">
        <f t="array" ref="AN201">IF(tblPiNAnalysis[[#This Row],[Highest PiN]]=0, "",  IF(OR(COUNTIF(tblPiNAnalysis[[#This Row],[Highest sector(s)]],tblSubSectorPopulation[Sector])), "Flagged", ""))</f>
        <v/>
      </c>
      <c r="AO201" s="46" cm="1">
        <f t="array" ref="AO20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1064.7716969540184</v>
      </c>
      <c r="AP201" s="331" t="str" cm="1">
        <f t="array" ref="AP201">IF(tblPiNAnalysis[[#This Row],[2nd Highest PiN]]="", "", _xlfn.TEXTJOIN(CHAR(10), TRUE, IF(tblPiNAnalysis[[#This Row],[2nd Highest PiN]]=tblPiNAnalysis[[#This Row],[CCCM]:[WASH]], tblPiNAnalysis[[#Headers],[CCCM]:[WASH]], "")))</f>
        <v>Food Security</v>
      </c>
      <c r="AQ201" s="36">
        <f>IFERROR(tblPiNAnalysis[[#This Row],[2nd Highest PiN]]/tblPiNAnalysis[[#This Row],[Affected population projection 2026]], "")</f>
        <v>0.62330483194968433</v>
      </c>
      <c r="AR201" s="46">
        <f>IFERROR(tblPiNAnalysis[[#This Row],[Highest PiN]]-tblPiNAnalysis[[#This Row],[2nd Highest PiN]], "")</f>
        <v>22.30793766276588</v>
      </c>
      <c r="AS201" s="39">
        <f>IFERROR(((tblPiNAnalysis[[#This Row],[Highest PiN]]-tblPiNAnalysis[[#This Row],[2nd Highest PiN]])/tblPiNAnalysis[[#This Row],[2nd Highest PiN]]),"")</f>
        <v>2.0950911567786758E-2</v>
      </c>
      <c r="AT201" s="39" t="str" cm="1">
        <f t="array" ref="AT20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1" s="332" cm="1">
        <f t="array" ref="AU20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865.88797530309</v>
      </c>
      <c r="AV201" s="190" t="str" cm="1">
        <f t="array" ref="AV201">IF(tblPiNAnalysis[[#This Row],[3rd Highest PiN]]="", "", _xlfn.TEXTJOIN(CHAR(10), TRUE, IF(tblPiNAnalysis[[#This Row],[3rd Highest PiN]]=tblPiNAnalysis[[#This Row],[CCCM]:[WASH]], tblPiNAnalysis[[#Headers],[CCCM]:[WASH]], "")))</f>
        <v>Health</v>
      </c>
      <c r="AW201" s="190">
        <f>IFERROR(tblPiNAnalysis[[#This Row],[3rd Highest PiN]]/tblPiNAnalysis[[#This Row],[Affected population projection 2026]], "")</f>
        <v>0.50688063974417619</v>
      </c>
      <c r="AX201" s="45">
        <f>IFERROR(tblPiNAnalysis[[#This Row],[Highest PiN]]-tblPiNAnalysis[[#This Row],[3rd Highest PiN]],"")</f>
        <v>221.19165931369423</v>
      </c>
      <c r="AY201" s="39">
        <f>IFERROR(tblPiNAnalysis[[#This Row],[Difference of PiN between Highest and 3rd Highest]]/tblPiNAnalysis[[#This Row],[3rd Highest PiN]], "")</f>
        <v>0.25545066523907978</v>
      </c>
      <c r="AZ201" s="330" t="str" cm="1">
        <f t="array" ref="AZ20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1" s="300" t="str" cm="1">
        <f t="array" ref="BA201">IFERROR(IF(tblPiNAnalysis[[#This Row],[ID]]="", "", INDEX(tblPiNHistorical[[CCCM]:[WASH]], MATCH(tblPiNAnalysis[[#This Row],[ID]],tblPiNHistorical[ID], 0),MATCH(_xlfn._xlws.FILTER(tblPiNAnalysis[[#Headers],[CCCM]:[WASH]], tblPiNAnalysis[[#This Row],[Highest PiN]]=tblPiNAnalysis[[#This Row],[CCCM]:[WASH]]), tblPiNHistorical[[#Headers],[CCCM]:[WASH]], 0))), "")</f>
        <v/>
      </c>
      <c r="BB201" s="333" t="str" cm="1">
        <f t="array" ref="BB20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1" s="276" t="str" cm="1">
        <f t="array" ref="BC20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1" s="334" t="str" cm="1">
        <f t="array" ref="BD20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1" s="276">
        <f>INDEX(tblSeverityAnalysis[Final Severity], MATCH(tblPiNAnalysis[[#This Row],[ID]],tblSeverityAnalysis[ID], 0))</f>
        <v>3</v>
      </c>
      <c r="BF201" s="61">
        <f>IF(tblPiNAnalysis[[#This Row],[Severity]]&gt;2,tblPiNAnalysis[[#This Row],[Highest PiN]],)</f>
        <v>1087.0796346167842</v>
      </c>
      <c r="BG201" s="191"/>
      <c r="BH201" s="192"/>
      <c r="BI201" s="193">
        <f>COUNTIFS(tblPiNAnalysis[[#This Row],[Number of missing / zero PiNs greater than threshold - Data quality]:[Manual Flag]],"Flagged")</f>
        <v>0</v>
      </c>
      <c r="BJ201" s="96" t="str">
        <f>IF(tblPiNAnalysis[[#This Row],['# Flags]]&gt;0, "Flagged", "")</f>
        <v/>
      </c>
      <c r="BK201" s="326">
        <f>tblPiNAnalysis[[#This Row],[Preliminary PiN]]</f>
        <v>1087.0796346167842</v>
      </c>
      <c r="BL201" s="331"/>
    </row>
    <row r="202" spans="1:64" x14ac:dyDescent="0.55000000000000004">
      <c r="A20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SS0602</v>
      </c>
      <c r="B202" s="316" t="s">
        <v>322</v>
      </c>
      <c r="C202" s="317" t="s">
        <v>323</v>
      </c>
      <c r="D202" s="317" t="s">
        <v>326</v>
      </c>
      <c r="E202" s="105" t="s">
        <v>327</v>
      </c>
      <c r="F202" s="100"/>
      <c r="G202" s="34"/>
      <c r="H202" s="34"/>
      <c r="I202" s="97">
        <v>1810</v>
      </c>
      <c r="J202" s="97" t="s">
        <v>414</v>
      </c>
      <c r="K202" s="318">
        <v>271.5</v>
      </c>
      <c r="L202" s="319">
        <v>412.36668899999995</v>
      </c>
      <c r="M202" s="319">
        <v>625.62933932243084</v>
      </c>
      <c r="N202" s="319">
        <v>1490.6764099812244</v>
      </c>
      <c r="O202" s="319">
        <v>929.94220239263655</v>
      </c>
      <c r="P202" s="319">
        <v>1267</v>
      </c>
      <c r="Q202" s="320">
        <v>1086</v>
      </c>
      <c r="R202" s="319">
        <v>938.51851851851836</v>
      </c>
      <c r="S202" s="319">
        <v>626</v>
      </c>
      <c r="T202" s="319">
        <v>700</v>
      </c>
      <c r="U202" s="319">
        <v>145</v>
      </c>
      <c r="V202" s="319">
        <v>697</v>
      </c>
      <c r="W202" s="321">
        <f>IFERROR(IF(tblPiNAnalysis[[#This Row],[CCCM]]="", "", MROUND(tblPiNAnalysis[[#This Row],[CCCM]]/tblPiNAnalysis[[#This Row],[Affected population projection 2026]], 0.05)), "")</f>
        <v>0.15000000000000002</v>
      </c>
      <c r="X202" s="322">
        <f>IFERROR(IF(tblPiNAnalysis[[#This Row],[Education]]="", "", MROUND(tblPiNAnalysis[[#This Row],[Education]]/tblPiNAnalysis[[#This Row],[Affected population projection 2026]], 0.05)), "")</f>
        <v>0.25</v>
      </c>
      <c r="Y202" s="322">
        <f>IFERROR(IF(tblPiNAnalysis[[#This Row],[Nutrition]]="", "", MROUND(tblPiNAnalysis[[#This Row],[Nutrition]]/tblPiNAnalysis[[#This Row],[Affected population projection 2026]], 0.05)), "")</f>
        <v>0.35000000000000003</v>
      </c>
      <c r="Z202" s="322">
        <f>IFERROR(IF(tblPiNAnalysis[[#This Row],[Food Security]]="", "", MROUND(tblPiNAnalysis[[#This Row],[Food Security]]/tblPiNAnalysis[[#This Row],[Affected population projection 2026]], 0.05)), "")</f>
        <v>0.8</v>
      </c>
      <c r="AA202" s="322">
        <f>IFERROR(IF(tblPiNAnalysis[[#This Row],[Health]]="", "", MROUND(tblPiNAnalysis[[#This Row],[Health]]/tblPiNAnalysis[[#This Row],[Affected population projection 2026]], 0.05)), "")</f>
        <v>0.5</v>
      </c>
      <c r="AB202" s="323">
        <f>IFERROR(IF(tblPiNAnalysis[[#This Row],[Overarching Protection]]="", "", MROUND(tblPiNAnalysis[[#This Row],[Overarching Protection]]/tblPiNAnalysis[[#This Row],[Affected population projection 2026]], 0.05)), "")</f>
        <v>0.70000000000000007</v>
      </c>
      <c r="AC202" s="323">
        <f>IFERROR(IF(tblPiNAnalysis[[#This Row],[Shelter]]="", "", MROUND(tblPiNAnalysis[[#This Row],[Shelter]]/tblPiNAnalysis[[#This Row],[Affected population projection 2026]], 0.05)), "")</f>
        <v>0.60000000000000009</v>
      </c>
      <c r="AD202" s="324">
        <f>IFERROR(IF(tblPiNAnalysis[[#This Row],[WASH]]="", "", MROUND(tblPiNAnalysis[[#This Row],[WASH]]/tblPiNAnalysis[[#This Row],[Affected population projection 2026]], 0.05)), "")</f>
        <v>0.5</v>
      </c>
      <c r="AE202" s="322">
        <f>IFERROR(MROUND(tblPiNAnalysis[[#This Row],[CP]]/tblPiNAnalysis[[#This Row],[Affected population projection 2026]], 0.05), "")</f>
        <v>0.35000000000000003</v>
      </c>
      <c r="AF202" s="322">
        <f>IFERROR(MROUND(tblPiNAnalysis[[#This Row],[GBV]]/tblPiNAnalysis[[#This Row],[Affected population projection 2026]], 0.05), "")</f>
        <v>0.4</v>
      </c>
      <c r="AG202" s="322">
        <f>IFERROR(MROUND(tblPiNAnalysis[[#This Row],[Mine Action]]/tblPiNAnalysis[[#This Row],[Affected population projection 2026]], 0.05), "")</f>
        <v>0.1</v>
      </c>
      <c r="AH202" s="322">
        <f>IFERROR(MROUND(tblPiNAnalysis[[#This Row],[HLP]]/tblPiNAnalysis[[#This Row],[Affected population projection 2026]], 0.05), "")</f>
        <v>0.4</v>
      </c>
      <c r="AI202" s="325">
        <f>IFERROR(LARGE(tblPiNAnalysis[[#This Row],[CCCM]:[WASH]], 1), "")</f>
        <v>1490.6764099812244</v>
      </c>
      <c r="AJ202" s="326" t="str" cm="1">
        <f t="array" ref="AJ202">IF(tblPiNAnalysis[[#This Row],[Highest PiN]]="", "", _xlfn.TEXTJOIN(CHAR(10), TRUE, IF(tblPiNAnalysis[[#This Row],[Highest PiN]]=tblPiNAnalysis[[#This Row],[CCCM]:[WASH]], tblPiNAnalysis[[#Headers],[CCCM]:[WASH]], "")))</f>
        <v>Food Security</v>
      </c>
      <c r="AK202" s="327">
        <f>IF(tblPiNAnalysis[[#This Row],[Highest PiN]]="", "", tblPiNAnalysis[[#This Row],[Highest PiN]]/tblPiNAnalysis[[#This Row],[Affected population projection 2026]])</f>
        <v>0.82357812706144995</v>
      </c>
      <c r="AL202" s="328" t="str">
        <f>IF(SUM(tblPiNAnalysis[[#This Row],[CCCM]:[WASH]])=0, "",IF(COUNTIF(tblPiNAnalysis[[#This Row],[CCCM]:[WASH]],"=0")+COUNTIF(tblPiNAnalysis[[#This Row],[CCCM]:[WASH]],"")&gt;=zero_pin_thresh, "Flagged", ""))</f>
        <v/>
      </c>
      <c r="AM202" s="329" t="str">
        <f>IFERROR(IF(tblPiNAnalysis[[#This Row],[Highest PiN]]="", "", IF(tblPiNAnalysis[[#This Row],[Highest sector(s'') PiN %]]&gt;=flag_pin_perc, "Flagged", "")), "")</f>
        <v/>
      </c>
      <c r="AN202" s="330" t="str" cm="1">
        <f t="array" ref="AN202">IF(tblPiNAnalysis[[#This Row],[Highest PiN]]=0, "",  IF(OR(COUNTIF(tblPiNAnalysis[[#This Row],[Highest sector(s)]],tblSubSectorPopulation[Sector])), "Flagged", ""))</f>
        <v/>
      </c>
      <c r="AO202" s="46" cm="1">
        <f t="array" ref="AO20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1267</v>
      </c>
      <c r="AP202" s="331" t="str" cm="1">
        <f t="array" ref="AP202">IF(tblPiNAnalysis[[#This Row],[2nd Highest PiN]]="", "", _xlfn.TEXTJOIN(CHAR(10), TRUE, IF(tblPiNAnalysis[[#This Row],[2nd Highest PiN]]=tblPiNAnalysis[[#This Row],[CCCM]:[WASH]], tblPiNAnalysis[[#Headers],[CCCM]:[WASH]], "")))</f>
        <v>Overarching Protection</v>
      </c>
      <c r="AQ202" s="36">
        <f>IFERROR(tblPiNAnalysis[[#This Row],[2nd Highest PiN]]/tblPiNAnalysis[[#This Row],[Affected population projection 2026]], "")</f>
        <v>0.7</v>
      </c>
      <c r="AR202" s="46">
        <f>IFERROR(tblPiNAnalysis[[#This Row],[Highest PiN]]-tblPiNAnalysis[[#This Row],[2nd Highest PiN]], "")</f>
        <v>223.67640998122442</v>
      </c>
      <c r="AS202" s="39">
        <f>IFERROR(((tblPiNAnalysis[[#This Row],[Highest PiN]]-tblPiNAnalysis[[#This Row],[2nd Highest PiN]])/tblPiNAnalysis[[#This Row],[2nd Highest PiN]]),"")</f>
        <v>0.17654018151635709</v>
      </c>
      <c r="AT202" s="39" t="str" cm="1">
        <f t="array" ref="AT20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2" s="332" cm="1">
        <f t="array" ref="AU20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1086</v>
      </c>
      <c r="AV202" s="190" t="str" cm="1">
        <f t="array" ref="AV202">IF(tblPiNAnalysis[[#This Row],[3rd Highest PiN]]="", "", _xlfn.TEXTJOIN(CHAR(10), TRUE, IF(tblPiNAnalysis[[#This Row],[3rd Highest PiN]]=tblPiNAnalysis[[#This Row],[CCCM]:[WASH]], tblPiNAnalysis[[#Headers],[CCCM]:[WASH]], "")))</f>
        <v>Shelter</v>
      </c>
      <c r="AW202" s="190">
        <f>IFERROR(tblPiNAnalysis[[#This Row],[3rd Highest PiN]]/tblPiNAnalysis[[#This Row],[Affected population projection 2026]], "")</f>
        <v>0.6</v>
      </c>
      <c r="AX202" s="45">
        <f>IFERROR(tblPiNAnalysis[[#This Row],[Highest PiN]]-tblPiNAnalysis[[#This Row],[3rd Highest PiN]],"")</f>
        <v>404.67640998122442</v>
      </c>
      <c r="AY202" s="39">
        <f>IFERROR(tblPiNAnalysis[[#This Row],[Difference of PiN between Highest and 3rd Highest]]/tblPiNAnalysis[[#This Row],[3rd Highest PiN]], "")</f>
        <v>0.37263021176908329</v>
      </c>
      <c r="AZ202" s="330" t="str" cm="1">
        <f t="array" ref="AZ20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2" s="300" t="str" cm="1">
        <f t="array" ref="BA202">IFERROR(IF(tblPiNAnalysis[[#This Row],[ID]]="", "", INDEX(tblPiNHistorical[[CCCM]:[WASH]], MATCH(tblPiNAnalysis[[#This Row],[ID]],tblPiNHistorical[ID], 0),MATCH(_xlfn._xlws.FILTER(tblPiNAnalysis[[#Headers],[CCCM]:[WASH]], tblPiNAnalysis[[#This Row],[Highest PiN]]=tblPiNAnalysis[[#This Row],[CCCM]:[WASH]]), tblPiNHistorical[[#Headers],[CCCM]:[WASH]], 0))), "")</f>
        <v/>
      </c>
      <c r="BB202" s="333" t="str" cm="1">
        <f t="array" ref="BB20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2" s="276" t="str" cm="1">
        <f t="array" ref="BC20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2" s="334" t="str" cm="1">
        <f t="array" ref="BD20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2" s="276">
        <f>INDEX(tblSeverityAnalysis[Final Severity], MATCH(tblPiNAnalysis[[#This Row],[ID]],tblSeverityAnalysis[ID], 0))</f>
        <v>3</v>
      </c>
      <c r="BF202" s="61">
        <f>IF(tblPiNAnalysis[[#This Row],[Severity]]&gt;2,tblPiNAnalysis[[#This Row],[Highest PiN]],)</f>
        <v>1490.6764099812244</v>
      </c>
      <c r="BG202" s="191"/>
      <c r="BH202" s="192"/>
      <c r="BI202" s="193">
        <f>COUNTIFS(tblPiNAnalysis[[#This Row],[Number of missing / zero PiNs greater than threshold - Data quality]:[Manual Flag]],"Flagged")</f>
        <v>0</v>
      </c>
      <c r="BJ202" s="96" t="str">
        <f>IF(tblPiNAnalysis[[#This Row],['# Flags]]&gt;0, "Flagged", "")</f>
        <v/>
      </c>
      <c r="BK202" s="326">
        <f>tblPiNAnalysis[[#This Row],[Preliminary PiN]]</f>
        <v>1490.6764099812244</v>
      </c>
      <c r="BL202" s="331"/>
    </row>
    <row r="203" spans="1:64" x14ac:dyDescent="0.55000000000000004">
      <c r="A20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SS0603</v>
      </c>
      <c r="B203" s="316" t="s">
        <v>322</v>
      </c>
      <c r="C203" s="317" t="s">
        <v>323</v>
      </c>
      <c r="D203" s="317" t="s">
        <v>328</v>
      </c>
      <c r="E203" s="105" t="s">
        <v>329</v>
      </c>
      <c r="F203" s="100"/>
      <c r="G203" s="34"/>
      <c r="H203" s="34"/>
      <c r="I203" s="97">
        <v>7417</v>
      </c>
      <c r="J203" s="97" t="s">
        <v>414</v>
      </c>
      <c r="K203" s="318">
        <v>1112.55</v>
      </c>
      <c r="L203" s="319">
        <v>2667.0360114</v>
      </c>
      <c r="M203" s="319">
        <v>2854.2276968868132</v>
      </c>
      <c r="N203" s="319">
        <v>6114.9134977443282</v>
      </c>
      <c r="O203" s="319">
        <v>3802.4327491574586</v>
      </c>
      <c r="P203" s="319">
        <v>4825</v>
      </c>
      <c r="Q203" s="320">
        <v>285.26923076923077</v>
      </c>
      <c r="R203" s="319">
        <v>4463.9351851851852</v>
      </c>
      <c r="S203" s="319">
        <v>2725</v>
      </c>
      <c r="T203" s="319">
        <v>2791</v>
      </c>
      <c r="U203" s="319">
        <v>563</v>
      </c>
      <c r="V203" s="319">
        <v>2212</v>
      </c>
      <c r="W203" s="321">
        <f>IFERROR(IF(tblPiNAnalysis[[#This Row],[CCCM]]="", "", MROUND(tblPiNAnalysis[[#This Row],[CCCM]]/tblPiNAnalysis[[#This Row],[Affected population projection 2026]], 0.05)), "")</f>
        <v>0.15000000000000002</v>
      </c>
      <c r="X203" s="322">
        <f>IFERROR(IF(tblPiNAnalysis[[#This Row],[Education]]="", "", MROUND(tblPiNAnalysis[[#This Row],[Education]]/tblPiNAnalysis[[#This Row],[Affected population projection 2026]], 0.05)), "")</f>
        <v>0.35000000000000003</v>
      </c>
      <c r="Y203" s="322">
        <f>IFERROR(IF(tblPiNAnalysis[[#This Row],[Nutrition]]="", "", MROUND(tblPiNAnalysis[[#This Row],[Nutrition]]/tblPiNAnalysis[[#This Row],[Affected population projection 2026]], 0.05)), "")</f>
        <v>0.4</v>
      </c>
      <c r="Z203" s="322">
        <f>IFERROR(IF(tblPiNAnalysis[[#This Row],[Food Security]]="", "", MROUND(tblPiNAnalysis[[#This Row],[Food Security]]/tblPiNAnalysis[[#This Row],[Affected population projection 2026]], 0.05)), "")</f>
        <v>0.8</v>
      </c>
      <c r="AA203" s="322">
        <f>IFERROR(IF(tblPiNAnalysis[[#This Row],[Health]]="", "", MROUND(tblPiNAnalysis[[#This Row],[Health]]/tblPiNAnalysis[[#This Row],[Affected population projection 2026]], 0.05)), "")</f>
        <v>0.5</v>
      </c>
      <c r="AB203" s="323">
        <f>IFERROR(IF(tblPiNAnalysis[[#This Row],[Overarching Protection]]="", "", MROUND(tblPiNAnalysis[[#This Row],[Overarching Protection]]/tblPiNAnalysis[[#This Row],[Affected population projection 2026]], 0.05)), "")</f>
        <v>0.65</v>
      </c>
      <c r="AC203" s="323">
        <f>IFERROR(IF(tblPiNAnalysis[[#This Row],[Shelter]]="", "", MROUND(tblPiNAnalysis[[#This Row],[Shelter]]/tblPiNAnalysis[[#This Row],[Affected population projection 2026]], 0.05)), "")</f>
        <v>0.05</v>
      </c>
      <c r="AD203" s="324">
        <f>IFERROR(IF(tblPiNAnalysis[[#This Row],[WASH]]="", "", MROUND(tblPiNAnalysis[[#This Row],[WASH]]/tblPiNAnalysis[[#This Row],[Affected population projection 2026]], 0.05)), "")</f>
        <v>0.60000000000000009</v>
      </c>
      <c r="AE203" s="322">
        <f>IFERROR(MROUND(tblPiNAnalysis[[#This Row],[CP]]/tblPiNAnalysis[[#This Row],[Affected population projection 2026]], 0.05), "")</f>
        <v>0.35000000000000003</v>
      </c>
      <c r="AF203" s="322">
        <f>IFERROR(MROUND(tblPiNAnalysis[[#This Row],[GBV]]/tblPiNAnalysis[[#This Row],[Affected population projection 2026]], 0.05), "")</f>
        <v>0.4</v>
      </c>
      <c r="AG203" s="322">
        <f>IFERROR(MROUND(tblPiNAnalysis[[#This Row],[Mine Action]]/tblPiNAnalysis[[#This Row],[Affected population projection 2026]], 0.05), "")</f>
        <v>0.1</v>
      </c>
      <c r="AH203" s="322">
        <f>IFERROR(MROUND(tblPiNAnalysis[[#This Row],[HLP]]/tblPiNAnalysis[[#This Row],[Affected population projection 2026]], 0.05), "")</f>
        <v>0.30000000000000004</v>
      </c>
      <c r="AI203" s="325">
        <f>IFERROR(LARGE(tblPiNAnalysis[[#This Row],[CCCM]:[WASH]], 1), "")</f>
        <v>6114.9134977443282</v>
      </c>
      <c r="AJ203" s="326" t="str" cm="1">
        <f t="array" ref="AJ203">IF(tblPiNAnalysis[[#This Row],[Highest PiN]]="", "", _xlfn.TEXTJOIN(CHAR(10), TRUE, IF(tblPiNAnalysis[[#This Row],[Highest PiN]]=tblPiNAnalysis[[#This Row],[CCCM]:[WASH]], tblPiNAnalysis[[#Headers],[CCCM]:[WASH]], "")))</f>
        <v>Food Security</v>
      </c>
      <c r="AK203" s="327">
        <f>IF(tblPiNAnalysis[[#This Row],[Highest PiN]]="", "", tblPiNAnalysis[[#This Row],[Highest PiN]]/tblPiNAnalysis[[#This Row],[Affected population projection 2026]])</f>
        <v>0.82444566505923256</v>
      </c>
      <c r="AL203" s="328" t="str">
        <f>IF(SUM(tblPiNAnalysis[[#This Row],[CCCM]:[WASH]])=0, "",IF(COUNTIF(tblPiNAnalysis[[#This Row],[CCCM]:[WASH]],"=0")+COUNTIF(tblPiNAnalysis[[#This Row],[CCCM]:[WASH]],"")&gt;=zero_pin_thresh, "Flagged", ""))</f>
        <v/>
      </c>
      <c r="AM203" s="329" t="str">
        <f>IFERROR(IF(tblPiNAnalysis[[#This Row],[Highest PiN]]="", "", IF(tblPiNAnalysis[[#This Row],[Highest sector(s'') PiN %]]&gt;=flag_pin_perc, "Flagged", "")), "")</f>
        <v/>
      </c>
      <c r="AN203" s="330" t="str" cm="1">
        <f t="array" ref="AN203">IF(tblPiNAnalysis[[#This Row],[Highest PiN]]=0, "",  IF(OR(COUNTIF(tblPiNAnalysis[[#This Row],[Highest sector(s)]],tblSubSectorPopulation[Sector])), "Flagged", ""))</f>
        <v/>
      </c>
      <c r="AO203" s="46" cm="1">
        <f t="array" ref="AO20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4825</v>
      </c>
      <c r="AP203" s="331" t="str" cm="1">
        <f t="array" ref="AP203">IF(tblPiNAnalysis[[#This Row],[2nd Highest PiN]]="", "", _xlfn.TEXTJOIN(CHAR(10), TRUE, IF(tblPiNAnalysis[[#This Row],[2nd Highest PiN]]=tblPiNAnalysis[[#This Row],[CCCM]:[WASH]], tblPiNAnalysis[[#Headers],[CCCM]:[WASH]], "")))</f>
        <v>Overarching Protection</v>
      </c>
      <c r="AQ203" s="36">
        <f>IFERROR(tblPiNAnalysis[[#This Row],[2nd Highest PiN]]/tblPiNAnalysis[[#This Row],[Affected population projection 2026]], "")</f>
        <v>0.65053256033436702</v>
      </c>
      <c r="AR203" s="46">
        <f>IFERROR(tblPiNAnalysis[[#This Row],[Highest PiN]]-tblPiNAnalysis[[#This Row],[2nd Highest PiN]], "")</f>
        <v>1289.9134977443282</v>
      </c>
      <c r="AS203" s="39">
        <f>IFERROR(((tblPiNAnalysis[[#This Row],[Highest PiN]]-tblPiNAnalysis[[#This Row],[2nd Highest PiN]])/tblPiNAnalysis[[#This Row],[2nd Highest PiN]]),"")</f>
        <v>0.26733958502473121</v>
      </c>
      <c r="AT203" s="39" t="str" cm="1">
        <f t="array" ref="AT20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3" s="332" cm="1">
        <f t="array" ref="AU20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4463.9351851851852</v>
      </c>
      <c r="AV203" s="190" t="str" cm="1">
        <f t="array" ref="AV203">IF(tblPiNAnalysis[[#This Row],[3rd Highest PiN]]="", "", _xlfn.TEXTJOIN(CHAR(10), TRUE, IF(tblPiNAnalysis[[#This Row],[3rd Highest PiN]]=tblPiNAnalysis[[#This Row],[CCCM]:[WASH]], tblPiNAnalysis[[#Headers],[CCCM]:[WASH]], "")))</f>
        <v>WASH</v>
      </c>
      <c r="AW203" s="190">
        <f>IFERROR(tblPiNAnalysis[[#This Row],[3rd Highest PiN]]/tblPiNAnalysis[[#This Row],[Affected population projection 2026]], "")</f>
        <v>0.60185185185185186</v>
      </c>
      <c r="AX203" s="45">
        <f>IFERROR(tblPiNAnalysis[[#This Row],[Highest PiN]]-tblPiNAnalysis[[#This Row],[3rd Highest PiN]],"")</f>
        <v>1650.978312559143</v>
      </c>
      <c r="AY203" s="39">
        <f>IFERROR(tblPiNAnalysis[[#This Row],[Difference of PiN between Highest and 3rd Highest]]/tblPiNAnalysis[[#This Row],[3rd Highest PiN]], "")</f>
        <v>0.36984818194457109</v>
      </c>
      <c r="AZ203" s="330" t="str" cm="1">
        <f t="array" ref="AZ20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3" s="300" t="str" cm="1">
        <f t="array" ref="BA203">IFERROR(IF(tblPiNAnalysis[[#This Row],[ID]]="", "", INDEX(tblPiNHistorical[[CCCM]:[WASH]], MATCH(tblPiNAnalysis[[#This Row],[ID]],tblPiNHistorical[ID], 0),MATCH(_xlfn._xlws.FILTER(tblPiNAnalysis[[#Headers],[CCCM]:[WASH]], tblPiNAnalysis[[#This Row],[Highest PiN]]=tblPiNAnalysis[[#This Row],[CCCM]:[WASH]]), tblPiNHistorical[[#Headers],[CCCM]:[WASH]], 0))), "")</f>
        <v/>
      </c>
      <c r="BB203" s="333" t="str" cm="1">
        <f t="array" ref="BB20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3" s="276" t="str" cm="1">
        <f t="array" ref="BC203">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3" s="334" t="str" cm="1">
        <f t="array" ref="BD20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3" s="276">
        <f>INDEX(tblSeverityAnalysis[Final Severity], MATCH(tblPiNAnalysis[[#This Row],[ID]],tblSeverityAnalysis[ID], 0))</f>
        <v>3</v>
      </c>
      <c r="BF203" s="61">
        <f>IF(tblPiNAnalysis[[#This Row],[Severity]]&gt;2,tblPiNAnalysis[[#This Row],[Highest PiN]],)</f>
        <v>6114.9134977443282</v>
      </c>
      <c r="BG203" s="191"/>
      <c r="BH203" s="192"/>
      <c r="BI203" s="193">
        <f>COUNTIFS(tblPiNAnalysis[[#This Row],[Number of missing / zero PiNs greater than threshold - Data quality]:[Manual Flag]],"Flagged")</f>
        <v>0</v>
      </c>
      <c r="BJ203" s="96" t="str">
        <f>IF(tblPiNAnalysis[[#This Row],['# Flags]]&gt;0, "Flagged", "")</f>
        <v/>
      </c>
      <c r="BK203" s="326">
        <f>tblPiNAnalysis[[#This Row],[Preliminary PiN]]</f>
        <v>6114.9134977443282</v>
      </c>
      <c r="BL203" s="331"/>
    </row>
    <row r="204" spans="1:64" x14ac:dyDescent="0.55000000000000004">
      <c r="A20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SS0604</v>
      </c>
      <c r="B204" s="316" t="s">
        <v>322</v>
      </c>
      <c r="C204" s="317" t="s">
        <v>323</v>
      </c>
      <c r="D204" s="317" t="s">
        <v>330</v>
      </c>
      <c r="E204" s="105" t="s">
        <v>331</v>
      </c>
      <c r="F204" s="100"/>
      <c r="G204" s="34"/>
      <c r="H204" s="34"/>
      <c r="I204" s="97">
        <v>5041.023996339929</v>
      </c>
      <c r="J204" s="97" t="s">
        <v>414</v>
      </c>
      <c r="K204" s="318">
        <v>756.1535994509893</v>
      </c>
      <c r="L204" s="319">
        <v>983.45841246995303</v>
      </c>
      <c r="M204" s="319">
        <v>1713.8548458301896</v>
      </c>
      <c r="N204" s="319">
        <v>3635.4409748010257</v>
      </c>
      <c r="O204" s="319">
        <v>2796.0794612320165</v>
      </c>
      <c r="P204" s="319">
        <v>3474</v>
      </c>
      <c r="Q204" s="320">
        <v>4602.6740836147183</v>
      </c>
      <c r="R204" s="319">
        <v>1820.3697764560852</v>
      </c>
      <c r="S204" s="319">
        <v>2072</v>
      </c>
      <c r="T204" s="319">
        <v>1887</v>
      </c>
      <c r="U204" s="319">
        <v>410</v>
      </c>
      <c r="V204" s="319">
        <v>1392</v>
      </c>
      <c r="W204" s="321">
        <f>IFERROR(IF(tblPiNAnalysis[[#This Row],[CCCM]]="", "", MROUND(tblPiNAnalysis[[#This Row],[CCCM]]/tblPiNAnalysis[[#This Row],[Affected population projection 2026]], 0.05)), "")</f>
        <v>0.15000000000000002</v>
      </c>
      <c r="X204" s="322">
        <f>IFERROR(IF(tblPiNAnalysis[[#This Row],[Education]]="", "", MROUND(tblPiNAnalysis[[#This Row],[Education]]/tblPiNAnalysis[[#This Row],[Affected population projection 2026]], 0.05)), "")</f>
        <v>0.2</v>
      </c>
      <c r="Y204" s="322">
        <f>IFERROR(IF(tblPiNAnalysis[[#This Row],[Nutrition]]="", "", MROUND(tblPiNAnalysis[[#This Row],[Nutrition]]/tblPiNAnalysis[[#This Row],[Affected population projection 2026]], 0.05)), "")</f>
        <v>0.35000000000000003</v>
      </c>
      <c r="Z204" s="322">
        <f>IFERROR(IF(tblPiNAnalysis[[#This Row],[Food Security]]="", "", MROUND(tblPiNAnalysis[[#This Row],[Food Security]]/tblPiNAnalysis[[#This Row],[Affected population projection 2026]], 0.05)), "")</f>
        <v>0.70000000000000007</v>
      </c>
      <c r="AA204" s="322">
        <f>IFERROR(IF(tblPiNAnalysis[[#This Row],[Health]]="", "", MROUND(tblPiNAnalysis[[#This Row],[Health]]/tblPiNAnalysis[[#This Row],[Affected population projection 2026]], 0.05)), "")</f>
        <v>0.55000000000000004</v>
      </c>
      <c r="AB204" s="323">
        <f>IFERROR(IF(tblPiNAnalysis[[#This Row],[Overarching Protection]]="", "", MROUND(tblPiNAnalysis[[#This Row],[Overarching Protection]]/tblPiNAnalysis[[#This Row],[Affected population projection 2026]], 0.05)), "")</f>
        <v>0.70000000000000007</v>
      </c>
      <c r="AC204" s="323">
        <f>IFERROR(IF(tblPiNAnalysis[[#This Row],[Shelter]]="", "", MROUND(tblPiNAnalysis[[#This Row],[Shelter]]/tblPiNAnalysis[[#This Row],[Affected population projection 2026]], 0.05)), "")</f>
        <v>0.9</v>
      </c>
      <c r="AD204" s="324">
        <f>IFERROR(IF(tblPiNAnalysis[[#This Row],[WASH]]="", "", MROUND(tblPiNAnalysis[[#This Row],[WASH]]/tblPiNAnalysis[[#This Row],[Affected population projection 2026]], 0.05)), "")</f>
        <v>0.35000000000000003</v>
      </c>
      <c r="AE204" s="322">
        <f>IFERROR(MROUND(tblPiNAnalysis[[#This Row],[CP]]/tblPiNAnalysis[[#This Row],[Affected population projection 2026]], 0.05), "")</f>
        <v>0.4</v>
      </c>
      <c r="AF204" s="322">
        <f>IFERROR(MROUND(tblPiNAnalysis[[#This Row],[GBV]]/tblPiNAnalysis[[#This Row],[Affected population projection 2026]], 0.05), "")</f>
        <v>0.35000000000000003</v>
      </c>
      <c r="AG204" s="322">
        <f>IFERROR(MROUND(tblPiNAnalysis[[#This Row],[Mine Action]]/tblPiNAnalysis[[#This Row],[Affected population projection 2026]], 0.05), "")</f>
        <v>0.1</v>
      </c>
      <c r="AH204" s="322">
        <f>IFERROR(MROUND(tblPiNAnalysis[[#This Row],[HLP]]/tblPiNAnalysis[[#This Row],[Affected population projection 2026]], 0.05), "")</f>
        <v>0.30000000000000004</v>
      </c>
      <c r="AI204" s="325">
        <f>IFERROR(LARGE(tblPiNAnalysis[[#This Row],[CCCM]:[WASH]], 1), "")</f>
        <v>4602.6740836147183</v>
      </c>
      <c r="AJ204" s="326" t="str" cm="1">
        <f t="array" ref="AJ204">IF(tblPiNAnalysis[[#This Row],[Highest PiN]]="", "", _xlfn.TEXTJOIN(CHAR(10), TRUE, IF(tblPiNAnalysis[[#This Row],[Highest PiN]]=tblPiNAnalysis[[#This Row],[CCCM]:[WASH]], tblPiNAnalysis[[#Headers],[CCCM]:[WASH]], "")))</f>
        <v>Shelter</v>
      </c>
      <c r="AK204" s="327">
        <f>IF(tblPiNAnalysis[[#This Row],[Highest PiN]]="", "", tblPiNAnalysis[[#This Row],[Highest PiN]]/tblPiNAnalysis[[#This Row],[Affected population projection 2026]])</f>
        <v>0.91304347826086962</v>
      </c>
      <c r="AL204" s="328" t="str">
        <f>IF(SUM(tblPiNAnalysis[[#This Row],[CCCM]:[WASH]])=0, "",IF(COUNTIF(tblPiNAnalysis[[#This Row],[CCCM]:[WASH]],"=0")+COUNTIF(tblPiNAnalysis[[#This Row],[CCCM]:[WASH]],"")&gt;=zero_pin_thresh, "Flagged", ""))</f>
        <v/>
      </c>
      <c r="AM204" s="329" t="str">
        <f>IFERROR(IF(tblPiNAnalysis[[#This Row],[Highest PiN]]="", "", IF(tblPiNAnalysis[[#This Row],[Highest sector(s'') PiN %]]&gt;=flag_pin_perc, "Flagged", "")), "")</f>
        <v>Flagged</v>
      </c>
      <c r="AN204" s="330" t="str" cm="1">
        <f t="array" ref="AN204">IF(tblPiNAnalysis[[#This Row],[Highest PiN]]=0, "",  IF(OR(COUNTIF(tblPiNAnalysis[[#This Row],[Highest sector(s)]],tblSubSectorPopulation[Sector])), "Flagged", ""))</f>
        <v/>
      </c>
      <c r="AO204" s="46" cm="1">
        <f t="array" ref="AO20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3635.4409748010257</v>
      </c>
      <c r="AP204" s="331" t="str" cm="1">
        <f t="array" ref="AP204">IF(tblPiNAnalysis[[#This Row],[2nd Highest PiN]]="", "", _xlfn.TEXTJOIN(CHAR(10), TRUE, IF(tblPiNAnalysis[[#This Row],[2nd Highest PiN]]=tblPiNAnalysis[[#This Row],[CCCM]:[WASH]], tblPiNAnalysis[[#Headers],[CCCM]:[WASH]], "")))</f>
        <v>Food Security</v>
      </c>
      <c r="AQ204" s="36">
        <f>IFERROR(tblPiNAnalysis[[#This Row],[2nd Highest PiN]]/tblPiNAnalysis[[#This Row],[Affected population projection 2026]], "")</f>
        <v>0.72117113059580018</v>
      </c>
      <c r="AR204" s="46">
        <f>IFERROR(tblPiNAnalysis[[#This Row],[Highest PiN]]-tblPiNAnalysis[[#This Row],[2nd Highest PiN]], "")</f>
        <v>967.23310881369252</v>
      </c>
      <c r="AS204" s="39">
        <f>IFERROR(((tblPiNAnalysis[[#This Row],[Highest PiN]]-tblPiNAnalysis[[#This Row],[2nd Highest PiN]])/tblPiNAnalysis[[#This Row],[2nd Highest PiN]]),"")</f>
        <v>0.26605661198133768</v>
      </c>
      <c r="AT204" s="39" t="str" cm="1">
        <f t="array" ref="AT20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4" s="332" cm="1">
        <f t="array" ref="AU20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3474</v>
      </c>
      <c r="AV204" s="190" t="str" cm="1">
        <f t="array" ref="AV204">IF(tblPiNAnalysis[[#This Row],[3rd Highest PiN]]="", "", _xlfn.TEXTJOIN(CHAR(10), TRUE, IF(tblPiNAnalysis[[#This Row],[3rd Highest PiN]]=tblPiNAnalysis[[#This Row],[CCCM]:[WASH]], tblPiNAnalysis[[#Headers],[CCCM]:[WASH]], "")))</f>
        <v>Overarching Protection</v>
      </c>
      <c r="AW204" s="190">
        <f>IFERROR(tblPiNAnalysis[[#This Row],[3rd Highest PiN]]/tblPiNAnalysis[[#This Row],[Affected population projection 2026]], "")</f>
        <v>0.68914569788247826</v>
      </c>
      <c r="AX204" s="45">
        <f>IFERROR(tblPiNAnalysis[[#This Row],[Highest PiN]]-tblPiNAnalysis[[#This Row],[3rd Highest PiN]],"")</f>
        <v>1128.6740836147183</v>
      </c>
      <c r="AY204" s="39">
        <f>IFERROR(tblPiNAnalysis[[#This Row],[Difference of PiN between Highest and 3rd Highest]]/tblPiNAnalysis[[#This Row],[3rd Highest PiN]], "")</f>
        <v>0.32489179148379915</v>
      </c>
      <c r="AZ204" s="330" t="str" cm="1">
        <f t="array" ref="AZ20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4" s="300" t="str" cm="1">
        <f t="array" ref="BA204">IFERROR(IF(tblPiNAnalysis[[#This Row],[ID]]="", "", INDEX(tblPiNHistorical[[CCCM]:[WASH]], MATCH(tblPiNAnalysis[[#This Row],[ID]],tblPiNHistorical[ID], 0),MATCH(_xlfn._xlws.FILTER(tblPiNAnalysis[[#Headers],[CCCM]:[WASH]], tblPiNAnalysis[[#This Row],[Highest PiN]]=tblPiNAnalysis[[#This Row],[CCCM]:[WASH]]), tblPiNHistorical[[#Headers],[CCCM]:[WASH]], 0))), "")</f>
        <v/>
      </c>
      <c r="BB204" s="333" t="str" cm="1">
        <f t="array" ref="BB20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4" s="276" t="str" cm="1">
        <f t="array" ref="BC204">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4" s="334" t="str" cm="1">
        <f t="array" ref="BD20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4" s="276">
        <f>INDEX(tblSeverityAnalysis[Final Severity], MATCH(tblPiNAnalysis[[#This Row],[ID]],tblSeverityAnalysis[ID], 0))</f>
        <v>3</v>
      </c>
      <c r="BF204" s="61">
        <f>IF(tblPiNAnalysis[[#This Row],[Severity]]&gt;2,tblPiNAnalysis[[#This Row],[Highest PiN]],)</f>
        <v>4602.6740836147183</v>
      </c>
      <c r="BG204" s="191"/>
      <c r="BH204" s="192"/>
      <c r="BI204" s="193">
        <f>COUNTIFS(tblPiNAnalysis[[#This Row],[Number of missing / zero PiNs greater than threshold - Data quality]:[Manual Flag]],"Flagged")</f>
        <v>1</v>
      </c>
      <c r="BJ204" s="96" t="str">
        <f>IF(tblPiNAnalysis[[#This Row],['# Flags]]&gt;0, "Flagged", "")</f>
        <v>Flagged</v>
      </c>
      <c r="BK204" s="326">
        <f>tblPiNAnalysis[[#This Row],[Preliminary PiN]]</f>
        <v>4602.6740836147183</v>
      </c>
      <c r="BL204" s="331"/>
    </row>
    <row r="205" spans="1:64" x14ac:dyDescent="0.55000000000000004">
      <c r="A20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SS0605</v>
      </c>
      <c r="B205" s="316" t="s">
        <v>322</v>
      </c>
      <c r="C205" s="317" t="s">
        <v>323</v>
      </c>
      <c r="D205" s="317" t="s">
        <v>332</v>
      </c>
      <c r="E205" s="105" t="s">
        <v>333</v>
      </c>
      <c r="F205" s="100"/>
      <c r="G205" s="34"/>
      <c r="H205" s="34"/>
      <c r="I205" s="97">
        <v>3069.1428571428601</v>
      </c>
      <c r="J205" s="97" t="s">
        <v>414</v>
      </c>
      <c r="K205" s="318">
        <v>460.37142857142902</v>
      </c>
      <c r="L205" s="319">
        <v>597.15391828571489</v>
      </c>
      <c r="M205" s="319">
        <v>1293.574292400795</v>
      </c>
      <c r="N205" s="319">
        <v>2299.4820891862373</v>
      </c>
      <c r="O205" s="319">
        <v>1473.0465205838257</v>
      </c>
      <c r="P205" s="319">
        <v>2142</v>
      </c>
      <c r="Q205" s="320">
        <v>3069.1428571428601</v>
      </c>
      <c r="R205" s="319">
        <v>1250.3915343915355</v>
      </c>
      <c r="S205" s="319">
        <v>503</v>
      </c>
      <c r="T205" s="319">
        <v>1073</v>
      </c>
      <c r="U205" s="319">
        <v>242</v>
      </c>
      <c r="V205" s="319">
        <v>750</v>
      </c>
      <c r="W205" s="321">
        <f>IFERROR(IF(tblPiNAnalysis[[#This Row],[CCCM]]="", "", MROUND(tblPiNAnalysis[[#This Row],[CCCM]]/tblPiNAnalysis[[#This Row],[Affected population projection 2026]], 0.05)), "")</f>
        <v>0.15000000000000002</v>
      </c>
      <c r="X205" s="322">
        <f>IFERROR(IF(tblPiNAnalysis[[#This Row],[Education]]="", "", MROUND(tblPiNAnalysis[[#This Row],[Education]]/tblPiNAnalysis[[#This Row],[Affected population projection 2026]], 0.05)), "")</f>
        <v>0.2</v>
      </c>
      <c r="Y205" s="322">
        <f>IFERROR(IF(tblPiNAnalysis[[#This Row],[Nutrition]]="", "", MROUND(tblPiNAnalysis[[#This Row],[Nutrition]]/tblPiNAnalysis[[#This Row],[Affected population projection 2026]], 0.05)), "")</f>
        <v>0.4</v>
      </c>
      <c r="Z205" s="322">
        <f>IFERROR(IF(tblPiNAnalysis[[#This Row],[Food Security]]="", "", MROUND(tblPiNAnalysis[[#This Row],[Food Security]]/tblPiNAnalysis[[#This Row],[Affected population projection 2026]], 0.05)), "")</f>
        <v>0.75</v>
      </c>
      <c r="AA205" s="322">
        <f>IFERROR(IF(tblPiNAnalysis[[#This Row],[Health]]="", "", MROUND(tblPiNAnalysis[[#This Row],[Health]]/tblPiNAnalysis[[#This Row],[Affected population projection 2026]], 0.05)), "")</f>
        <v>0.5</v>
      </c>
      <c r="AB205" s="323">
        <f>IFERROR(IF(tblPiNAnalysis[[#This Row],[Overarching Protection]]="", "", MROUND(tblPiNAnalysis[[#This Row],[Overarching Protection]]/tblPiNAnalysis[[#This Row],[Affected population projection 2026]], 0.05)), "")</f>
        <v>0.70000000000000007</v>
      </c>
      <c r="AC205" s="323">
        <f>IFERROR(IF(tblPiNAnalysis[[#This Row],[Shelter]]="", "", MROUND(tblPiNAnalysis[[#This Row],[Shelter]]/tblPiNAnalysis[[#This Row],[Affected population projection 2026]], 0.05)), "")</f>
        <v>1</v>
      </c>
      <c r="AD205" s="324">
        <f>IFERROR(IF(tblPiNAnalysis[[#This Row],[WASH]]="", "", MROUND(tblPiNAnalysis[[#This Row],[WASH]]/tblPiNAnalysis[[#This Row],[Affected population projection 2026]], 0.05)), "")</f>
        <v>0.4</v>
      </c>
      <c r="AE205" s="322">
        <f>IFERROR(MROUND(tblPiNAnalysis[[#This Row],[CP]]/tblPiNAnalysis[[#This Row],[Affected population projection 2026]], 0.05), "")</f>
        <v>0.15000000000000002</v>
      </c>
      <c r="AF205" s="322">
        <f>IFERROR(MROUND(tblPiNAnalysis[[#This Row],[GBV]]/tblPiNAnalysis[[#This Row],[Affected population projection 2026]], 0.05), "")</f>
        <v>0.35000000000000003</v>
      </c>
      <c r="AG205" s="322">
        <f>IFERROR(MROUND(tblPiNAnalysis[[#This Row],[Mine Action]]/tblPiNAnalysis[[#This Row],[Affected population projection 2026]], 0.05), "")</f>
        <v>0.1</v>
      </c>
      <c r="AH205" s="322">
        <f>IFERROR(MROUND(tblPiNAnalysis[[#This Row],[HLP]]/tblPiNAnalysis[[#This Row],[Affected population projection 2026]], 0.05), "")</f>
        <v>0.25</v>
      </c>
      <c r="AI205" s="325">
        <f>IFERROR(LARGE(tblPiNAnalysis[[#This Row],[CCCM]:[WASH]], 1), "")</f>
        <v>3069.1428571428601</v>
      </c>
      <c r="AJ205" s="326" t="str" cm="1">
        <f t="array" ref="AJ205">IF(tblPiNAnalysis[[#This Row],[Highest PiN]]="", "", _xlfn.TEXTJOIN(CHAR(10), TRUE, IF(tblPiNAnalysis[[#This Row],[Highest PiN]]=tblPiNAnalysis[[#This Row],[CCCM]:[WASH]], tblPiNAnalysis[[#Headers],[CCCM]:[WASH]], "")))</f>
        <v>Shelter</v>
      </c>
      <c r="AK205" s="327">
        <f>IF(tblPiNAnalysis[[#This Row],[Highest PiN]]="", "", tblPiNAnalysis[[#This Row],[Highest PiN]]/tblPiNAnalysis[[#This Row],[Affected population projection 2026]])</f>
        <v>1</v>
      </c>
      <c r="AL205" s="328" t="str">
        <f>IF(SUM(tblPiNAnalysis[[#This Row],[CCCM]:[WASH]])=0, "",IF(COUNTIF(tblPiNAnalysis[[#This Row],[CCCM]:[WASH]],"=0")+COUNTIF(tblPiNAnalysis[[#This Row],[CCCM]:[WASH]],"")&gt;=zero_pin_thresh, "Flagged", ""))</f>
        <v/>
      </c>
      <c r="AM205" s="329" t="str">
        <f>IFERROR(IF(tblPiNAnalysis[[#This Row],[Highest PiN]]="", "", IF(tblPiNAnalysis[[#This Row],[Highest sector(s'') PiN %]]&gt;=flag_pin_perc, "Flagged", "")), "")</f>
        <v>Flagged</v>
      </c>
      <c r="AN205" s="330" t="str" cm="1">
        <f t="array" ref="AN205">IF(tblPiNAnalysis[[#This Row],[Highest PiN]]=0, "",  IF(OR(COUNTIF(tblPiNAnalysis[[#This Row],[Highest sector(s)]],tblSubSectorPopulation[Sector])), "Flagged", ""))</f>
        <v/>
      </c>
      <c r="AO205" s="46" cm="1">
        <f t="array" ref="AO20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2299.4820891862373</v>
      </c>
      <c r="AP205" s="331" t="str" cm="1">
        <f t="array" ref="AP205">IF(tblPiNAnalysis[[#This Row],[2nd Highest PiN]]="", "", _xlfn.TEXTJOIN(CHAR(10), TRUE, IF(tblPiNAnalysis[[#This Row],[2nd Highest PiN]]=tblPiNAnalysis[[#This Row],[CCCM]:[WASH]], tblPiNAnalysis[[#Headers],[CCCM]:[WASH]], "")))</f>
        <v>Food Security</v>
      </c>
      <c r="AQ205" s="36">
        <f>IFERROR(tblPiNAnalysis[[#This Row],[2nd Highest PiN]]/tblPiNAnalysis[[#This Row],[Affected population projection 2026]], "")</f>
        <v>0.74922615082403865</v>
      </c>
      <c r="AR205" s="46">
        <f>IFERROR(tblPiNAnalysis[[#This Row],[Highest PiN]]-tblPiNAnalysis[[#This Row],[2nd Highest PiN]], "")</f>
        <v>769.66076795662275</v>
      </c>
      <c r="AS205" s="39">
        <f>IFERROR(((tblPiNAnalysis[[#This Row],[Highest PiN]]-tblPiNAnalysis[[#This Row],[2nd Highest PiN]])/tblPiNAnalysis[[#This Row],[2nd Highest PiN]]),"")</f>
        <v>0.33471048614646859</v>
      </c>
      <c r="AT205" s="39" t="str" cm="1">
        <f t="array" ref="AT20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05" s="332" cm="1">
        <f t="array" ref="AU20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2142</v>
      </c>
      <c r="AV205" s="190" t="str" cm="1">
        <f t="array" ref="AV205">IF(tblPiNAnalysis[[#This Row],[3rd Highest PiN]]="", "", _xlfn.TEXTJOIN(CHAR(10), TRUE, IF(tblPiNAnalysis[[#This Row],[3rd Highest PiN]]=tblPiNAnalysis[[#This Row],[CCCM]:[WASH]], tblPiNAnalysis[[#Headers],[CCCM]:[WASH]], "")))</f>
        <v>Overarching Protection</v>
      </c>
      <c r="AW205" s="190">
        <f>IFERROR(tblPiNAnalysis[[#This Row],[3rd Highest PiN]]/tblPiNAnalysis[[#This Row],[Affected population projection 2026]], "")</f>
        <v>0.69791472723887482</v>
      </c>
      <c r="AX205" s="45">
        <f>IFERROR(tblPiNAnalysis[[#This Row],[Highest PiN]]-tblPiNAnalysis[[#This Row],[3rd Highest PiN]],"")</f>
        <v>927.14285714286007</v>
      </c>
      <c r="AY205" s="39">
        <f>IFERROR(tblPiNAnalysis[[#This Row],[Difference of PiN between Highest and 3rd Highest]]/tblPiNAnalysis[[#This Row],[3rd Highest PiN]], "")</f>
        <v>0.4328398025877031</v>
      </c>
      <c r="AZ205" s="330" t="str" cm="1">
        <f t="array" ref="AZ20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5" s="300" t="str" cm="1">
        <f t="array" ref="BA205">IFERROR(IF(tblPiNAnalysis[[#This Row],[ID]]="", "", INDEX(tblPiNHistorical[[CCCM]:[WASH]], MATCH(tblPiNAnalysis[[#This Row],[ID]],tblPiNHistorical[ID], 0),MATCH(_xlfn._xlws.FILTER(tblPiNAnalysis[[#Headers],[CCCM]:[WASH]], tblPiNAnalysis[[#This Row],[Highest PiN]]=tblPiNAnalysis[[#This Row],[CCCM]:[WASH]]), tblPiNHistorical[[#Headers],[CCCM]:[WASH]], 0))), "")</f>
        <v/>
      </c>
      <c r="BB205" s="333" t="str" cm="1">
        <f t="array" ref="BB20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5" s="276" t="str" cm="1">
        <f t="array" ref="BC20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5" s="334" t="str" cm="1">
        <f t="array" ref="BD20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5" s="276">
        <f>INDEX(tblSeverityAnalysis[Final Severity], MATCH(tblPiNAnalysis[[#This Row],[ID]],tblSeverityAnalysis[ID], 0))</f>
        <v>4</v>
      </c>
      <c r="BF205" s="61">
        <f>IF(tblPiNAnalysis[[#This Row],[Severity]]&gt;2,tblPiNAnalysis[[#This Row],[Highest PiN]],)</f>
        <v>3069.1428571428601</v>
      </c>
      <c r="BG205" s="191"/>
      <c r="BH205" s="192"/>
      <c r="BI205" s="193">
        <f>COUNTIFS(tblPiNAnalysis[[#This Row],[Number of missing / zero PiNs greater than threshold - Data quality]:[Manual Flag]],"Flagged")</f>
        <v>2</v>
      </c>
      <c r="BJ205" s="96" t="str">
        <f>IF(tblPiNAnalysis[[#This Row],['# Flags]]&gt;0, "Flagged", "")</f>
        <v>Flagged</v>
      </c>
      <c r="BK205" s="326">
        <f>tblPiNAnalysis[[#This Row],[Preliminary PiN]]</f>
        <v>3069.1428571428601</v>
      </c>
      <c r="BL205" s="331"/>
    </row>
    <row r="206" spans="1:64" x14ac:dyDescent="0.55000000000000004">
      <c r="A20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SS0606</v>
      </c>
      <c r="B206" s="316" t="s">
        <v>322</v>
      </c>
      <c r="C206" s="317" t="s">
        <v>323</v>
      </c>
      <c r="D206" s="317" t="s">
        <v>334</v>
      </c>
      <c r="E206" s="105" t="s">
        <v>335</v>
      </c>
      <c r="F206" s="100"/>
      <c r="G206" s="34"/>
      <c r="H206" s="34"/>
      <c r="I206" s="97">
        <v>7050.3021159784967</v>
      </c>
      <c r="J206" s="97" t="s">
        <v>414</v>
      </c>
      <c r="K206" s="318">
        <v>1057.5453173967744</v>
      </c>
      <c r="L206" s="319">
        <v>2157.4559002084634</v>
      </c>
      <c r="M206" s="319">
        <v>2577.4022617242485</v>
      </c>
      <c r="N206" s="319">
        <v>4656.3863132350816</v>
      </c>
      <c r="O206" s="319">
        <v>3806.9093414081844</v>
      </c>
      <c r="P206" s="319">
        <v>4717</v>
      </c>
      <c r="Q206" s="320">
        <v>2769.7615455629812</v>
      </c>
      <c r="R206" s="319">
        <v>3002.9064568056565</v>
      </c>
      <c r="S206" s="319">
        <v>3041</v>
      </c>
      <c r="T206" s="319">
        <v>2622</v>
      </c>
      <c r="U206" s="319">
        <v>534</v>
      </c>
      <c r="V206" s="319">
        <v>1706</v>
      </c>
      <c r="W206" s="321">
        <f>IFERROR(IF(tblPiNAnalysis[[#This Row],[CCCM]]="", "", MROUND(tblPiNAnalysis[[#This Row],[CCCM]]/tblPiNAnalysis[[#This Row],[Affected population projection 2026]], 0.05)), "")</f>
        <v>0.15000000000000002</v>
      </c>
      <c r="X206" s="322">
        <f>IFERROR(IF(tblPiNAnalysis[[#This Row],[Education]]="", "", MROUND(tblPiNAnalysis[[#This Row],[Education]]/tblPiNAnalysis[[#This Row],[Affected population projection 2026]], 0.05)), "")</f>
        <v>0.30000000000000004</v>
      </c>
      <c r="Y206" s="322">
        <f>IFERROR(IF(tblPiNAnalysis[[#This Row],[Nutrition]]="", "", MROUND(tblPiNAnalysis[[#This Row],[Nutrition]]/tblPiNAnalysis[[#This Row],[Affected population projection 2026]], 0.05)), "")</f>
        <v>0.35000000000000003</v>
      </c>
      <c r="Z206" s="322">
        <f>IFERROR(IF(tblPiNAnalysis[[#This Row],[Food Security]]="", "", MROUND(tblPiNAnalysis[[#This Row],[Food Security]]/tblPiNAnalysis[[#This Row],[Affected population projection 2026]], 0.05)), "")</f>
        <v>0.65</v>
      </c>
      <c r="AA206" s="322">
        <f>IFERROR(IF(tblPiNAnalysis[[#This Row],[Health]]="", "", MROUND(tblPiNAnalysis[[#This Row],[Health]]/tblPiNAnalysis[[#This Row],[Affected population projection 2026]], 0.05)), "")</f>
        <v>0.55000000000000004</v>
      </c>
      <c r="AB206" s="323">
        <f>IFERROR(IF(tblPiNAnalysis[[#This Row],[Overarching Protection]]="", "", MROUND(tblPiNAnalysis[[#This Row],[Overarching Protection]]/tblPiNAnalysis[[#This Row],[Affected population projection 2026]], 0.05)), "")</f>
        <v>0.65</v>
      </c>
      <c r="AC206" s="323">
        <f>IFERROR(IF(tblPiNAnalysis[[#This Row],[Shelter]]="", "", MROUND(tblPiNAnalysis[[#This Row],[Shelter]]/tblPiNAnalysis[[#This Row],[Affected population projection 2026]], 0.05)), "")</f>
        <v>0.4</v>
      </c>
      <c r="AD206" s="324">
        <f>IFERROR(IF(tblPiNAnalysis[[#This Row],[WASH]]="", "", MROUND(tblPiNAnalysis[[#This Row],[WASH]]/tblPiNAnalysis[[#This Row],[Affected population projection 2026]], 0.05)), "")</f>
        <v>0.45</v>
      </c>
      <c r="AE206" s="322">
        <f>IFERROR(MROUND(tblPiNAnalysis[[#This Row],[CP]]/tblPiNAnalysis[[#This Row],[Affected population projection 2026]], 0.05), "")</f>
        <v>0.45</v>
      </c>
      <c r="AF206" s="322">
        <f>IFERROR(MROUND(tblPiNAnalysis[[#This Row],[GBV]]/tblPiNAnalysis[[#This Row],[Affected population projection 2026]], 0.05), "")</f>
        <v>0.35000000000000003</v>
      </c>
      <c r="AG206" s="322">
        <f>IFERROR(MROUND(tblPiNAnalysis[[#This Row],[Mine Action]]/tblPiNAnalysis[[#This Row],[Affected population projection 2026]], 0.05), "")</f>
        <v>0.1</v>
      </c>
      <c r="AH206" s="322">
        <f>IFERROR(MROUND(tblPiNAnalysis[[#This Row],[HLP]]/tblPiNAnalysis[[#This Row],[Affected population projection 2026]], 0.05), "")</f>
        <v>0.25</v>
      </c>
      <c r="AI206" s="325">
        <f>IFERROR(LARGE(tblPiNAnalysis[[#This Row],[CCCM]:[WASH]], 1), "")</f>
        <v>4717</v>
      </c>
      <c r="AJ206" s="326" t="str" cm="1">
        <f t="array" ref="AJ206">IF(tblPiNAnalysis[[#This Row],[Highest PiN]]="", "", _xlfn.TEXTJOIN(CHAR(10), TRUE, IF(tblPiNAnalysis[[#This Row],[Highest PiN]]=tblPiNAnalysis[[#This Row],[CCCM]:[WASH]], tblPiNAnalysis[[#Headers],[CCCM]:[WASH]], "")))</f>
        <v>Overarching Protection</v>
      </c>
      <c r="AK206" s="327">
        <f>IF(tblPiNAnalysis[[#This Row],[Highest PiN]]="", "", tblPiNAnalysis[[#This Row],[Highest PiN]]/tblPiNAnalysis[[#This Row],[Affected population projection 2026]])</f>
        <v>0.66904934319191756</v>
      </c>
      <c r="AL206" s="328" t="str">
        <f>IF(SUM(tblPiNAnalysis[[#This Row],[CCCM]:[WASH]])=0, "",IF(COUNTIF(tblPiNAnalysis[[#This Row],[CCCM]:[WASH]],"=0")+COUNTIF(tblPiNAnalysis[[#This Row],[CCCM]:[WASH]],"")&gt;=zero_pin_thresh, "Flagged", ""))</f>
        <v/>
      </c>
      <c r="AM206" s="329" t="str">
        <f>IFERROR(IF(tblPiNAnalysis[[#This Row],[Highest PiN]]="", "", IF(tblPiNAnalysis[[#This Row],[Highest sector(s'') PiN %]]&gt;=flag_pin_perc, "Flagged", "")), "")</f>
        <v/>
      </c>
      <c r="AN206" s="330" t="str" cm="1">
        <f t="array" ref="AN206">IF(tblPiNAnalysis[[#This Row],[Highest PiN]]=0, "",  IF(OR(COUNTIF(tblPiNAnalysis[[#This Row],[Highest sector(s)]],tblSubSectorPopulation[Sector])), "Flagged", ""))</f>
        <v/>
      </c>
      <c r="AO206" s="46" cm="1">
        <f t="array" ref="AO20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4656.3863132350816</v>
      </c>
      <c r="AP206" s="331" t="str" cm="1">
        <f t="array" ref="AP206">IF(tblPiNAnalysis[[#This Row],[2nd Highest PiN]]="", "", _xlfn.TEXTJOIN(CHAR(10), TRUE, IF(tblPiNAnalysis[[#This Row],[2nd Highest PiN]]=tblPiNAnalysis[[#This Row],[CCCM]:[WASH]], tblPiNAnalysis[[#Headers],[CCCM]:[WASH]], "")))</f>
        <v>Food Security</v>
      </c>
      <c r="AQ206" s="36">
        <f>IFERROR(tblPiNAnalysis[[#This Row],[2nd Highest PiN]]/tblPiNAnalysis[[#This Row],[Affected population projection 2026]], "")</f>
        <v>0.6604520255496642</v>
      </c>
      <c r="AR206" s="46">
        <f>IFERROR(tblPiNAnalysis[[#This Row],[Highest PiN]]-tblPiNAnalysis[[#This Row],[2nd Highest PiN]], "")</f>
        <v>60.613686764918384</v>
      </c>
      <c r="AS206" s="39">
        <f>IFERROR(((tblPiNAnalysis[[#This Row],[Highest PiN]]-tblPiNAnalysis[[#This Row],[2nd Highest PiN]])/tblPiNAnalysis[[#This Row],[2nd Highest PiN]]),"")</f>
        <v>1.3017323453733434E-2</v>
      </c>
      <c r="AT206" s="39" t="str" cm="1">
        <f t="array" ref="AT20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6" s="332" cm="1">
        <f t="array" ref="AU20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3806.9093414081844</v>
      </c>
      <c r="AV206" s="190" t="str" cm="1">
        <f t="array" ref="AV206">IF(tblPiNAnalysis[[#This Row],[3rd Highest PiN]]="", "", _xlfn.TEXTJOIN(CHAR(10), TRUE, IF(tblPiNAnalysis[[#This Row],[3rd Highest PiN]]=tblPiNAnalysis[[#This Row],[CCCM]:[WASH]], tblPiNAnalysis[[#Headers],[CCCM]:[WASH]], "")))</f>
        <v>Health</v>
      </c>
      <c r="AW206" s="190">
        <f>IFERROR(tblPiNAnalysis[[#This Row],[3rd Highest PiN]]/tblPiNAnalysis[[#This Row],[Affected population projection 2026]], "")</f>
        <v>0.53996400136958267</v>
      </c>
      <c r="AX206" s="45">
        <f>IFERROR(tblPiNAnalysis[[#This Row],[Highest PiN]]-tblPiNAnalysis[[#This Row],[3rd Highest PiN]],"")</f>
        <v>910.09065859181555</v>
      </c>
      <c r="AY206" s="39">
        <f>IFERROR(tblPiNAnalysis[[#This Row],[Difference of PiN between Highest and 3rd Highest]]/tblPiNAnalysis[[#This Row],[3rd Highest PiN]], "")</f>
        <v>0.23906286621870826</v>
      </c>
      <c r="AZ206" s="330" t="str" cm="1">
        <f t="array" ref="AZ20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6" s="300" t="str" cm="1">
        <f t="array" ref="BA206">IFERROR(IF(tblPiNAnalysis[[#This Row],[ID]]="", "", INDEX(tblPiNHistorical[[CCCM]:[WASH]], MATCH(tblPiNAnalysis[[#This Row],[ID]],tblPiNHistorical[ID], 0),MATCH(_xlfn._xlws.FILTER(tblPiNAnalysis[[#Headers],[CCCM]:[WASH]], tblPiNAnalysis[[#This Row],[Highest PiN]]=tblPiNAnalysis[[#This Row],[CCCM]:[WASH]]), tblPiNHistorical[[#Headers],[CCCM]:[WASH]], 0))), "")</f>
        <v/>
      </c>
      <c r="BB206" s="333" t="str" cm="1">
        <f t="array" ref="BB20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6" s="276" t="str" cm="1">
        <f t="array" ref="BC206">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6" s="334" t="str" cm="1">
        <f t="array" ref="BD20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6" s="276">
        <f>INDEX(tblSeverityAnalysis[Final Severity], MATCH(tblPiNAnalysis[[#This Row],[ID]],tblSeverityAnalysis[ID], 0))</f>
        <v>3</v>
      </c>
      <c r="BF206" s="61">
        <f>IF(tblPiNAnalysis[[#This Row],[Severity]]&gt;2,tblPiNAnalysis[[#This Row],[Highest PiN]],)</f>
        <v>4717</v>
      </c>
      <c r="BG206" s="191"/>
      <c r="BH206" s="192"/>
      <c r="BI206" s="193">
        <f>COUNTIFS(tblPiNAnalysis[[#This Row],[Number of missing / zero PiNs greater than threshold - Data quality]:[Manual Flag]],"Flagged")</f>
        <v>0</v>
      </c>
      <c r="BJ206" s="96" t="str">
        <f>IF(tblPiNAnalysis[[#This Row],['# Flags]]&gt;0, "Flagged", "")</f>
        <v/>
      </c>
      <c r="BK206" s="326">
        <f>tblPiNAnalysis[[#This Row],[Preliminary PiN]]</f>
        <v>4717</v>
      </c>
      <c r="BL206" s="331"/>
    </row>
    <row r="207" spans="1:64" x14ac:dyDescent="0.55000000000000004">
      <c r="A20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SS0607</v>
      </c>
      <c r="B207" s="316" t="s">
        <v>322</v>
      </c>
      <c r="C207" s="317" t="s">
        <v>323</v>
      </c>
      <c r="D207" s="317" t="s">
        <v>336</v>
      </c>
      <c r="E207" s="105" t="s">
        <v>337</v>
      </c>
      <c r="F207" s="100"/>
      <c r="G207" s="34"/>
      <c r="H207" s="34"/>
      <c r="I207" s="97">
        <v>3636</v>
      </c>
      <c r="J207" s="97" t="s">
        <v>414</v>
      </c>
      <c r="K207" s="318">
        <v>545.4</v>
      </c>
      <c r="L207" s="319">
        <v>688.46932800000013</v>
      </c>
      <c r="M207" s="319">
        <v>1418.8092270233087</v>
      </c>
      <c r="N207" s="319">
        <v>2665.0680294809003</v>
      </c>
      <c r="O207" s="319">
        <v>2336.2567443257749</v>
      </c>
      <c r="P207" s="319">
        <v>2445</v>
      </c>
      <c r="Q207" s="320">
        <v>3636</v>
      </c>
      <c r="R207" s="319">
        <v>1919</v>
      </c>
      <c r="S207" s="319">
        <v>1412</v>
      </c>
      <c r="T207" s="319">
        <v>1408</v>
      </c>
      <c r="U207" s="319">
        <v>284</v>
      </c>
      <c r="V207" s="319">
        <v>1015</v>
      </c>
      <c r="W207" s="321">
        <f>IFERROR(IF(tblPiNAnalysis[[#This Row],[CCCM]]="", "", MROUND(tblPiNAnalysis[[#This Row],[CCCM]]/tblPiNAnalysis[[#This Row],[Affected population projection 2026]], 0.05)), "")</f>
        <v>0.15000000000000002</v>
      </c>
      <c r="X207" s="322">
        <f>IFERROR(IF(tblPiNAnalysis[[#This Row],[Education]]="", "", MROUND(tblPiNAnalysis[[#This Row],[Education]]/tblPiNAnalysis[[#This Row],[Affected population projection 2026]], 0.05)), "")</f>
        <v>0.2</v>
      </c>
      <c r="Y207" s="322">
        <f>IFERROR(IF(tblPiNAnalysis[[#This Row],[Nutrition]]="", "", MROUND(tblPiNAnalysis[[#This Row],[Nutrition]]/tblPiNAnalysis[[#This Row],[Affected population projection 2026]], 0.05)), "")</f>
        <v>0.4</v>
      </c>
      <c r="Z207" s="322">
        <f>IFERROR(IF(tblPiNAnalysis[[#This Row],[Food Security]]="", "", MROUND(tblPiNAnalysis[[#This Row],[Food Security]]/tblPiNAnalysis[[#This Row],[Affected population projection 2026]], 0.05)), "")</f>
        <v>0.75</v>
      </c>
      <c r="AA207" s="322">
        <f>IFERROR(IF(tblPiNAnalysis[[#This Row],[Health]]="", "", MROUND(tblPiNAnalysis[[#This Row],[Health]]/tblPiNAnalysis[[#This Row],[Affected population projection 2026]], 0.05)), "")</f>
        <v>0.65</v>
      </c>
      <c r="AB207" s="323">
        <f>IFERROR(IF(tblPiNAnalysis[[#This Row],[Overarching Protection]]="", "", MROUND(tblPiNAnalysis[[#This Row],[Overarching Protection]]/tblPiNAnalysis[[#This Row],[Affected population projection 2026]], 0.05)), "")</f>
        <v>0.65</v>
      </c>
      <c r="AC207" s="323">
        <f>IFERROR(IF(tblPiNAnalysis[[#This Row],[Shelter]]="", "", MROUND(tblPiNAnalysis[[#This Row],[Shelter]]/tblPiNAnalysis[[#This Row],[Affected population projection 2026]], 0.05)), "")</f>
        <v>1</v>
      </c>
      <c r="AD207" s="324">
        <f>IFERROR(IF(tblPiNAnalysis[[#This Row],[WASH]]="", "", MROUND(tblPiNAnalysis[[#This Row],[WASH]]/tblPiNAnalysis[[#This Row],[Affected population projection 2026]], 0.05)), "")</f>
        <v>0.55000000000000004</v>
      </c>
      <c r="AE207" s="322">
        <f>IFERROR(MROUND(tblPiNAnalysis[[#This Row],[CP]]/tblPiNAnalysis[[#This Row],[Affected population projection 2026]], 0.05), "")</f>
        <v>0.4</v>
      </c>
      <c r="AF207" s="322">
        <f>IFERROR(MROUND(tblPiNAnalysis[[#This Row],[GBV]]/tblPiNAnalysis[[#This Row],[Affected population projection 2026]], 0.05), "")</f>
        <v>0.4</v>
      </c>
      <c r="AG207" s="322">
        <f>IFERROR(MROUND(tblPiNAnalysis[[#This Row],[Mine Action]]/tblPiNAnalysis[[#This Row],[Affected population projection 2026]], 0.05), "")</f>
        <v>0.1</v>
      </c>
      <c r="AH207" s="322">
        <f>IFERROR(MROUND(tblPiNAnalysis[[#This Row],[HLP]]/tblPiNAnalysis[[#This Row],[Affected population projection 2026]], 0.05), "")</f>
        <v>0.30000000000000004</v>
      </c>
      <c r="AI207" s="325">
        <f>IFERROR(LARGE(tblPiNAnalysis[[#This Row],[CCCM]:[WASH]], 1), "")</f>
        <v>3636</v>
      </c>
      <c r="AJ207" s="326" t="str" cm="1">
        <f t="array" ref="AJ207">IF(tblPiNAnalysis[[#This Row],[Highest PiN]]="", "", _xlfn.TEXTJOIN(CHAR(10), TRUE, IF(tblPiNAnalysis[[#This Row],[Highest PiN]]=tblPiNAnalysis[[#This Row],[CCCM]:[WASH]], tblPiNAnalysis[[#Headers],[CCCM]:[WASH]], "")))</f>
        <v>Shelter</v>
      </c>
      <c r="AK207" s="327">
        <f>IF(tblPiNAnalysis[[#This Row],[Highest PiN]]="", "", tblPiNAnalysis[[#This Row],[Highest PiN]]/tblPiNAnalysis[[#This Row],[Affected population projection 2026]])</f>
        <v>1</v>
      </c>
      <c r="AL207" s="328" t="str">
        <f>IF(SUM(tblPiNAnalysis[[#This Row],[CCCM]:[WASH]])=0, "",IF(COUNTIF(tblPiNAnalysis[[#This Row],[CCCM]:[WASH]],"=0")+COUNTIF(tblPiNAnalysis[[#This Row],[CCCM]:[WASH]],"")&gt;=zero_pin_thresh, "Flagged", ""))</f>
        <v/>
      </c>
      <c r="AM207" s="329" t="str">
        <f>IFERROR(IF(tblPiNAnalysis[[#This Row],[Highest PiN]]="", "", IF(tblPiNAnalysis[[#This Row],[Highest sector(s'') PiN %]]&gt;=flag_pin_perc, "Flagged", "")), "")</f>
        <v>Flagged</v>
      </c>
      <c r="AN207" s="330" t="str" cm="1">
        <f t="array" ref="AN207">IF(tblPiNAnalysis[[#This Row],[Highest PiN]]=0, "",  IF(OR(COUNTIF(tblPiNAnalysis[[#This Row],[Highest sector(s)]],tblSubSectorPopulation[Sector])), "Flagged", ""))</f>
        <v/>
      </c>
      <c r="AO207" s="46" cm="1">
        <f t="array" ref="AO20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2665.0680294809003</v>
      </c>
      <c r="AP207" s="331" t="str" cm="1">
        <f t="array" ref="AP207">IF(tblPiNAnalysis[[#This Row],[2nd Highest PiN]]="", "", _xlfn.TEXTJOIN(CHAR(10), TRUE, IF(tblPiNAnalysis[[#This Row],[2nd Highest PiN]]=tblPiNAnalysis[[#This Row],[CCCM]:[WASH]], tblPiNAnalysis[[#Headers],[CCCM]:[WASH]], "")))</f>
        <v>Food Security</v>
      </c>
      <c r="AQ207" s="36">
        <f>IFERROR(tblPiNAnalysis[[#This Row],[2nd Highest PiN]]/tblPiNAnalysis[[#This Row],[Affected population projection 2026]], "")</f>
        <v>0.73296700480772836</v>
      </c>
      <c r="AR207" s="46">
        <f>IFERROR(tblPiNAnalysis[[#This Row],[Highest PiN]]-tblPiNAnalysis[[#This Row],[2nd Highest PiN]], "")</f>
        <v>970.93197051909965</v>
      </c>
      <c r="AS207" s="39">
        <f>IFERROR(((tblPiNAnalysis[[#This Row],[Highest PiN]]-tblPiNAnalysis[[#This Row],[2nd Highest PiN]])/tblPiNAnalysis[[#This Row],[2nd Highest PiN]]),"")</f>
        <v>0.36431789349415478</v>
      </c>
      <c r="AT207" s="39" t="str" cm="1">
        <f t="array" ref="AT20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07" s="332" cm="1">
        <f t="array" ref="AU20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2445</v>
      </c>
      <c r="AV207" s="190" t="str" cm="1">
        <f t="array" ref="AV207">IF(tblPiNAnalysis[[#This Row],[3rd Highest PiN]]="", "", _xlfn.TEXTJOIN(CHAR(10), TRUE, IF(tblPiNAnalysis[[#This Row],[3rd Highest PiN]]=tblPiNAnalysis[[#This Row],[CCCM]:[WASH]], tblPiNAnalysis[[#Headers],[CCCM]:[WASH]], "")))</f>
        <v>Overarching Protection</v>
      </c>
      <c r="AW207" s="190">
        <f>IFERROR(tblPiNAnalysis[[#This Row],[3rd Highest PiN]]/tblPiNAnalysis[[#This Row],[Affected population projection 2026]], "")</f>
        <v>0.67244224422442245</v>
      </c>
      <c r="AX207" s="45">
        <f>IFERROR(tblPiNAnalysis[[#This Row],[Highest PiN]]-tblPiNAnalysis[[#This Row],[3rd Highest PiN]],"")</f>
        <v>1191</v>
      </c>
      <c r="AY207" s="39">
        <f>IFERROR(tblPiNAnalysis[[#This Row],[Difference of PiN between Highest and 3rd Highest]]/tblPiNAnalysis[[#This Row],[3rd Highest PiN]], "")</f>
        <v>0.48711656441717793</v>
      </c>
      <c r="AZ207" s="330" t="str" cm="1">
        <f t="array" ref="AZ20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07" s="300" t="str" cm="1">
        <f t="array" ref="BA207">IFERROR(IF(tblPiNAnalysis[[#This Row],[ID]]="", "", INDEX(tblPiNHistorical[[CCCM]:[WASH]], MATCH(tblPiNAnalysis[[#This Row],[ID]],tblPiNHistorical[ID], 0),MATCH(_xlfn._xlws.FILTER(tblPiNAnalysis[[#Headers],[CCCM]:[WASH]], tblPiNAnalysis[[#This Row],[Highest PiN]]=tblPiNAnalysis[[#This Row],[CCCM]:[WASH]]), tblPiNHistorical[[#Headers],[CCCM]:[WASH]], 0))), "")</f>
        <v/>
      </c>
      <c r="BB207" s="333" t="str" cm="1">
        <f t="array" ref="BB20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7" s="276" t="str" cm="1">
        <f t="array" ref="BC207">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7" s="334" t="str" cm="1">
        <f t="array" ref="BD20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7" s="276">
        <f>INDEX(tblSeverityAnalysis[Final Severity], MATCH(tblPiNAnalysis[[#This Row],[ID]],tblSeverityAnalysis[ID], 0))</f>
        <v>4</v>
      </c>
      <c r="BF207" s="61">
        <f>IF(tblPiNAnalysis[[#This Row],[Severity]]&gt;2,tblPiNAnalysis[[#This Row],[Highest PiN]],)</f>
        <v>3636</v>
      </c>
      <c r="BG207" s="191"/>
      <c r="BH207" s="192"/>
      <c r="BI207" s="193">
        <f>COUNTIFS(tblPiNAnalysis[[#This Row],[Number of missing / zero PiNs greater than threshold - Data quality]:[Manual Flag]],"Flagged")</f>
        <v>2</v>
      </c>
      <c r="BJ207" s="96" t="str">
        <f>IF(tblPiNAnalysis[[#This Row],['# Flags]]&gt;0, "Flagged", "")</f>
        <v>Flagged</v>
      </c>
      <c r="BK207" s="326">
        <f>tblPiNAnalysis[[#This Row],[Preliminary PiN]]</f>
        <v>3636</v>
      </c>
      <c r="BL207" s="331"/>
    </row>
    <row r="208" spans="1:64" x14ac:dyDescent="0.55000000000000004">
      <c r="A20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SS0608</v>
      </c>
      <c r="B208" s="316" t="s">
        <v>322</v>
      </c>
      <c r="C208" s="317" t="s">
        <v>323</v>
      </c>
      <c r="D208" s="317" t="s">
        <v>338</v>
      </c>
      <c r="E208" s="105" t="s">
        <v>339</v>
      </c>
      <c r="F208" s="100"/>
      <c r="G208" s="34"/>
      <c r="H208" s="34"/>
      <c r="I208" s="97">
        <v>3515.9389111289033</v>
      </c>
      <c r="J208" s="97" t="s">
        <v>414</v>
      </c>
      <c r="K208" s="318">
        <v>527.3908366693355</v>
      </c>
      <c r="L208" s="319">
        <v>188.39455467502003</v>
      </c>
      <c r="M208" s="319">
        <v>1347.609100074098</v>
      </c>
      <c r="N208" s="319">
        <v>2224.6482399145461</v>
      </c>
      <c r="O208" s="319">
        <v>3142.4968348686766</v>
      </c>
      <c r="P208" s="319">
        <v>703</v>
      </c>
      <c r="Q208" s="320">
        <v>878.98472778222583</v>
      </c>
      <c r="R208" s="319">
        <v>1483.7907331369684</v>
      </c>
      <c r="S208" s="319">
        <v>507</v>
      </c>
      <c r="T208" s="319">
        <v>531</v>
      </c>
      <c r="U208" s="319">
        <v>285</v>
      </c>
      <c r="V208" s="319">
        <v>349</v>
      </c>
      <c r="W208" s="321">
        <f>IFERROR(IF(tblPiNAnalysis[[#This Row],[CCCM]]="", "", MROUND(tblPiNAnalysis[[#This Row],[CCCM]]/tblPiNAnalysis[[#This Row],[Affected population projection 2026]], 0.05)), "")</f>
        <v>0.15000000000000002</v>
      </c>
      <c r="X208" s="322">
        <f>IFERROR(IF(tblPiNAnalysis[[#This Row],[Education]]="", "", MROUND(tblPiNAnalysis[[#This Row],[Education]]/tblPiNAnalysis[[#This Row],[Affected population projection 2026]], 0.05)), "")</f>
        <v>0.05</v>
      </c>
      <c r="Y208" s="322">
        <f>IFERROR(IF(tblPiNAnalysis[[#This Row],[Nutrition]]="", "", MROUND(tblPiNAnalysis[[#This Row],[Nutrition]]/tblPiNAnalysis[[#This Row],[Affected population projection 2026]], 0.05)), "")</f>
        <v>0.4</v>
      </c>
      <c r="Z208" s="322">
        <f>IFERROR(IF(tblPiNAnalysis[[#This Row],[Food Security]]="", "", MROUND(tblPiNAnalysis[[#This Row],[Food Security]]/tblPiNAnalysis[[#This Row],[Affected population projection 2026]], 0.05)), "")</f>
        <v>0.65</v>
      </c>
      <c r="AA208" s="322">
        <f>IFERROR(IF(tblPiNAnalysis[[#This Row],[Health]]="", "", MROUND(tblPiNAnalysis[[#This Row],[Health]]/tblPiNAnalysis[[#This Row],[Affected population projection 2026]], 0.05)), "")</f>
        <v>0.9</v>
      </c>
      <c r="AB208" s="323">
        <f>IFERROR(IF(tblPiNAnalysis[[#This Row],[Overarching Protection]]="", "", MROUND(tblPiNAnalysis[[#This Row],[Overarching Protection]]/tblPiNAnalysis[[#This Row],[Affected population projection 2026]], 0.05)), "")</f>
        <v>0.2</v>
      </c>
      <c r="AC208" s="323">
        <f>IFERROR(IF(tblPiNAnalysis[[#This Row],[Shelter]]="", "", MROUND(tblPiNAnalysis[[#This Row],[Shelter]]/tblPiNAnalysis[[#This Row],[Affected population projection 2026]], 0.05)), "")</f>
        <v>0.25</v>
      </c>
      <c r="AD208" s="324">
        <f>IFERROR(IF(tblPiNAnalysis[[#This Row],[WASH]]="", "", MROUND(tblPiNAnalysis[[#This Row],[WASH]]/tblPiNAnalysis[[#This Row],[Affected population projection 2026]], 0.05)), "")</f>
        <v>0.4</v>
      </c>
      <c r="AE208" s="322">
        <f>IFERROR(MROUND(tblPiNAnalysis[[#This Row],[CP]]/tblPiNAnalysis[[#This Row],[Affected population projection 2026]], 0.05), "")</f>
        <v>0.15000000000000002</v>
      </c>
      <c r="AF208" s="322">
        <f>IFERROR(MROUND(tblPiNAnalysis[[#This Row],[GBV]]/tblPiNAnalysis[[#This Row],[Affected population projection 2026]], 0.05), "")</f>
        <v>0.15000000000000002</v>
      </c>
      <c r="AG208" s="322">
        <f>IFERROR(MROUND(tblPiNAnalysis[[#This Row],[Mine Action]]/tblPiNAnalysis[[#This Row],[Affected population projection 2026]], 0.05), "")</f>
        <v>0.1</v>
      </c>
      <c r="AH208" s="322">
        <f>IFERROR(MROUND(tblPiNAnalysis[[#This Row],[HLP]]/tblPiNAnalysis[[#This Row],[Affected population projection 2026]], 0.05), "")</f>
        <v>0.1</v>
      </c>
      <c r="AI208" s="325">
        <f>IFERROR(LARGE(tblPiNAnalysis[[#This Row],[CCCM]:[WASH]], 1), "")</f>
        <v>3142.4968348686766</v>
      </c>
      <c r="AJ208" s="326" t="str" cm="1">
        <f t="array" ref="AJ208">IF(tblPiNAnalysis[[#This Row],[Highest PiN]]="", "", _xlfn.TEXTJOIN(CHAR(10), TRUE, IF(tblPiNAnalysis[[#This Row],[Highest PiN]]=tblPiNAnalysis[[#This Row],[CCCM]:[WASH]], tblPiNAnalysis[[#Headers],[CCCM]:[WASH]], "")))</f>
        <v>Health</v>
      </c>
      <c r="AK208" s="327">
        <f>IF(tblPiNAnalysis[[#This Row],[Highest PiN]]="", "", tblPiNAnalysis[[#This Row],[Highest PiN]]/tblPiNAnalysis[[#This Row],[Affected population projection 2026]])</f>
        <v>0.89378595996700028</v>
      </c>
      <c r="AL208" s="328" t="str">
        <f>IF(SUM(tblPiNAnalysis[[#This Row],[CCCM]:[WASH]])=0, "",IF(COUNTIF(tblPiNAnalysis[[#This Row],[CCCM]:[WASH]],"=0")+COUNTIF(tblPiNAnalysis[[#This Row],[CCCM]:[WASH]],"")&gt;=zero_pin_thresh, "Flagged", ""))</f>
        <v/>
      </c>
      <c r="AM208" s="329" t="str">
        <f>IFERROR(IF(tblPiNAnalysis[[#This Row],[Highest PiN]]="", "", IF(tblPiNAnalysis[[#This Row],[Highest sector(s'') PiN %]]&gt;=flag_pin_perc, "Flagged", "")), "")</f>
        <v/>
      </c>
      <c r="AN208" s="330" t="str" cm="1">
        <f t="array" ref="AN208">IF(tblPiNAnalysis[[#This Row],[Highest PiN]]=0, "",  IF(OR(COUNTIF(tblPiNAnalysis[[#This Row],[Highest sector(s)]],tblSubSectorPopulation[Sector])), "Flagged", ""))</f>
        <v/>
      </c>
      <c r="AO208" s="46" cm="1">
        <f t="array" ref="AO20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2224.6482399145461</v>
      </c>
      <c r="AP208" s="331" t="str" cm="1">
        <f t="array" ref="AP208">IF(tblPiNAnalysis[[#This Row],[2nd Highest PiN]]="", "", _xlfn.TEXTJOIN(CHAR(10), TRUE, IF(tblPiNAnalysis[[#This Row],[2nd Highest PiN]]=tblPiNAnalysis[[#This Row],[CCCM]:[WASH]], tblPiNAnalysis[[#Headers],[CCCM]:[WASH]], "")))</f>
        <v>Food Security</v>
      </c>
      <c r="AQ208" s="36">
        <f>IFERROR(tblPiNAnalysis[[#This Row],[2nd Highest PiN]]/tblPiNAnalysis[[#This Row],[Affected population projection 2026]], "")</f>
        <v>0.63273233584148147</v>
      </c>
      <c r="AR208" s="46">
        <f>IFERROR(tblPiNAnalysis[[#This Row],[Highest PiN]]-tblPiNAnalysis[[#This Row],[2nd Highest PiN]], "")</f>
        <v>917.84859495413048</v>
      </c>
      <c r="AS208" s="39">
        <f>IFERROR(((tblPiNAnalysis[[#This Row],[Highest PiN]]-tblPiNAnalysis[[#This Row],[2nd Highest PiN]])/tblPiNAnalysis[[#This Row],[2nd Highest PiN]]),"")</f>
        <v>0.41258144927639756</v>
      </c>
      <c r="AT208" s="39" t="str" cm="1">
        <f t="array" ref="AT20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08" s="332" cm="1">
        <f t="array" ref="AU20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1483.7907331369684</v>
      </c>
      <c r="AV208" s="190" t="str" cm="1">
        <f t="array" ref="AV208">IF(tblPiNAnalysis[[#This Row],[3rd Highest PiN]]="", "", _xlfn.TEXTJOIN(CHAR(10), TRUE, IF(tblPiNAnalysis[[#This Row],[3rd Highest PiN]]=tblPiNAnalysis[[#This Row],[CCCM]:[WASH]], tblPiNAnalysis[[#Headers],[CCCM]:[WASH]], "")))</f>
        <v>WASH</v>
      </c>
      <c r="AW208" s="190">
        <f>IFERROR(tblPiNAnalysis[[#This Row],[3rd Highest PiN]]/tblPiNAnalysis[[#This Row],[Affected population projection 2026]], "")</f>
        <v>0.42201834862385318</v>
      </c>
      <c r="AX208" s="45">
        <f>IFERROR(tblPiNAnalysis[[#This Row],[Highest PiN]]-tblPiNAnalysis[[#This Row],[3rd Highest PiN]],"")</f>
        <v>1658.7061017317083</v>
      </c>
      <c r="AY208" s="39">
        <f>IFERROR(tblPiNAnalysis[[#This Row],[Difference of PiN between Highest and 3rd Highest]]/tblPiNAnalysis[[#This Row],[3rd Highest PiN]], "")</f>
        <v>1.1178841225305007</v>
      </c>
      <c r="AZ208" s="330" t="str" cm="1">
        <f t="array" ref="AZ20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08" s="300" t="str" cm="1">
        <f t="array" ref="BA208">IFERROR(IF(tblPiNAnalysis[[#This Row],[ID]]="", "", INDEX(tblPiNHistorical[[CCCM]:[WASH]], MATCH(tblPiNAnalysis[[#This Row],[ID]],tblPiNHistorical[ID], 0),MATCH(_xlfn._xlws.FILTER(tblPiNAnalysis[[#Headers],[CCCM]:[WASH]], tblPiNAnalysis[[#This Row],[Highest PiN]]=tblPiNAnalysis[[#This Row],[CCCM]:[WASH]]), tblPiNHistorical[[#Headers],[CCCM]:[WASH]], 0))), "")</f>
        <v/>
      </c>
      <c r="BB208" s="333" t="str" cm="1">
        <f t="array" ref="BB20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8" s="276" t="str" cm="1">
        <f t="array" ref="BC208">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8" s="334" t="str" cm="1">
        <f t="array" ref="BD20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8" s="276">
        <f>INDEX(tblSeverityAnalysis[Final Severity], MATCH(tblPiNAnalysis[[#This Row],[ID]],tblSeverityAnalysis[ID], 0))</f>
        <v>3</v>
      </c>
      <c r="BF208" s="61">
        <f>IF(tblPiNAnalysis[[#This Row],[Severity]]&gt;2,tblPiNAnalysis[[#This Row],[Highest PiN]],)</f>
        <v>3142.4968348686766</v>
      </c>
      <c r="BG208" s="191"/>
      <c r="BH208" s="192"/>
      <c r="BI208" s="193">
        <f>COUNTIFS(tblPiNAnalysis[[#This Row],[Number of missing / zero PiNs greater than threshold - Data quality]:[Manual Flag]],"Flagged")</f>
        <v>2</v>
      </c>
      <c r="BJ208" s="96" t="str">
        <f>IF(tblPiNAnalysis[[#This Row],['# Flags]]&gt;0, "Flagged", "")</f>
        <v>Flagged</v>
      </c>
      <c r="BK208" s="326">
        <f>tblPiNAnalysis[[#This Row],[Preliminary PiN]]</f>
        <v>3142.4968348686766</v>
      </c>
      <c r="BL208" s="331"/>
    </row>
    <row r="209" spans="1:64" x14ac:dyDescent="0.55000000000000004">
      <c r="A20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SS0609</v>
      </c>
      <c r="B209" s="316" t="s">
        <v>322</v>
      </c>
      <c r="C209" s="317" t="s">
        <v>323</v>
      </c>
      <c r="D209" s="317" t="s">
        <v>340</v>
      </c>
      <c r="E209" s="105" t="s">
        <v>341</v>
      </c>
      <c r="F209" s="100"/>
      <c r="G209" s="34"/>
      <c r="H209" s="34"/>
      <c r="I209" s="97">
        <v>13224.062358458195</v>
      </c>
      <c r="J209" s="97" t="s">
        <v>414</v>
      </c>
      <c r="K209" s="318">
        <v>1983.6093537687293</v>
      </c>
      <c r="L209" s="319">
        <v>3641.3751662125778</v>
      </c>
      <c r="M209" s="319">
        <v>4210.7443991140663</v>
      </c>
      <c r="N209" s="319">
        <v>10965.324618021728</v>
      </c>
      <c r="O209" s="319">
        <v>8362.3019895435882</v>
      </c>
      <c r="P209" s="319">
        <v>7772</v>
      </c>
      <c r="Q209" s="320">
        <v>13224.062358458195</v>
      </c>
      <c r="R209" s="319">
        <v>6244.6961137163698</v>
      </c>
      <c r="S209" s="319">
        <v>4711</v>
      </c>
      <c r="T209" s="319">
        <v>4459</v>
      </c>
      <c r="U209" s="319">
        <v>2261</v>
      </c>
      <c r="V209" s="319">
        <v>3222</v>
      </c>
      <c r="W209" s="321">
        <f>IFERROR(IF(tblPiNAnalysis[[#This Row],[CCCM]]="", "", MROUND(tblPiNAnalysis[[#This Row],[CCCM]]/tblPiNAnalysis[[#This Row],[Affected population projection 2026]], 0.05)), "")</f>
        <v>0.15000000000000002</v>
      </c>
      <c r="X209" s="322">
        <f>IFERROR(IF(tblPiNAnalysis[[#This Row],[Education]]="", "", MROUND(tblPiNAnalysis[[#This Row],[Education]]/tblPiNAnalysis[[#This Row],[Affected population projection 2026]], 0.05)), "")</f>
        <v>0.30000000000000004</v>
      </c>
      <c r="Y209" s="322">
        <f>IFERROR(IF(tblPiNAnalysis[[#This Row],[Nutrition]]="", "", MROUND(tblPiNAnalysis[[#This Row],[Nutrition]]/tblPiNAnalysis[[#This Row],[Affected population projection 2026]], 0.05)), "")</f>
        <v>0.30000000000000004</v>
      </c>
      <c r="Z209" s="322">
        <f>IFERROR(IF(tblPiNAnalysis[[#This Row],[Food Security]]="", "", MROUND(tblPiNAnalysis[[#This Row],[Food Security]]/tblPiNAnalysis[[#This Row],[Affected population projection 2026]], 0.05)), "")</f>
        <v>0.85000000000000009</v>
      </c>
      <c r="AA209" s="322">
        <f>IFERROR(IF(tblPiNAnalysis[[#This Row],[Health]]="", "", MROUND(tblPiNAnalysis[[#This Row],[Health]]/tblPiNAnalysis[[#This Row],[Affected population projection 2026]], 0.05)), "")</f>
        <v>0.65</v>
      </c>
      <c r="AB209" s="323">
        <f>IFERROR(IF(tblPiNAnalysis[[#This Row],[Overarching Protection]]="", "", MROUND(tblPiNAnalysis[[#This Row],[Overarching Protection]]/tblPiNAnalysis[[#This Row],[Affected population projection 2026]], 0.05)), "")</f>
        <v>0.60000000000000009</v>
      </c>
      <c r="AC209" s="323">
        <f>IFERROR(IF(tblPiNAnalysis[[#This Row],[Shelter]]="", "", MROUND(tblPiNAnalysis[[#This Row],[Shelter]]/tblPiNAnalysis[[#This Row],[Affected population projection 2026]], 0.05)), "")</f>
        <v>1</v>
      </c>
      <c r="AD209" s="324">
        <f>IFERROR(IF(tblPiNAnalysis[[#This Row],[WASH]]="", "", MROUND(tblPiNAnalysis[[#This Row],[WASH]]/tblPiNAnalysis[[#This Row],[Affected population projection 2026]], 0.05)), "")</f>
        <v>0.45</v>
      </c>
      <c r="AE209" s="322">
        <f>IFERROR(MROUND(tblPiNAnalysis[[#This Row],[CP]]/tblPiNAnalysis[[#This Row],[Affected population projection 2026]], 0.05), "")</f>
        <v>0.35000000000000003</v>
      </c>
      <c r="AF209" s="322">
        <f>IFERROR(MROUND(tblPiNAnalysis[[#This Row],[GBV]]/tblPiNAnalysis[[#This Row],[Affected population projection 2026]], 0.05), "")</f>
        <v>0.35000000000000003</v>
      </c>
      <c r="AG209" s="322">
        <f>IFERROR(MROUND(tblPiNAnalysis[[#This Row],[Mine Action]]/tblPiNAnalysis[[#This Row],[Affected population projection 2026]], 0.05), "")</f>
        <v>0.15000000000000002</v>
      </c>
      <c r="AH209" s="322">
        <f>IFERROR(MROUND(tblPiNAnalysis[[#This Row],[HLP]]/tblPiNAnalysis[[#This Row],[Affected population projection 2026]], 0.05), "")</f>
        <v>0.25</v>
      </c>
      <c r="AI209" s="325">
        <f>IFERROR(LARGE(tblPiNAnalysis[[#This Row],[CCCM]:[WASH]], 1), "")</f>
        <v>13224.062358458195</v>
      </c>
      <c r="AJ209" s="326" t="str" cm="1">
        <f t="array" ref="AJ209">IF(tblPiNAnalysis[[#This Row],[Highest PiN]]="", "", _xlfn.TEXTJOIN(CHAR(10), TRUE, IF(tblPiNAnalysis[[#This Row],[Highest PiN]]=tblPiNAnalysis[[#This Row],[CCCM]:[WASH]], tblPiNAnalysis[[#Headers],[CCCM]:[WASH]], "")))</f>
        <v>Shelter</v>
      </c>
      <c r="AK209" s="327">
        <f>IF(tblPiNAnalysis[[#This Row],[Highest PiN]]="", "", tblPiNAnalysis[[#This Row],[Highest PiN]]/tblPiNAnalysis[[#This Row],[Affected population projection 2026]])</f>
        <v>1</v>
      </c>
      <c r="AL209" s="328" t="str">
        <f>IF(SUM(tblPiNAnalysis[[#This Row],[CCCM]:[WASH]])=0, "",IF(COUNTIF(tblPiNAnalysis[[#This Row],[CCCM]:[WASH]],"=0")+COUNTIF(tblPiNAnalysis[[#This Row],[CCCM]:[WASH]],"")&gt;=zero_pin_thresh, "Flagged", ""))</f>
        <v/>
      </c>
      <c r="AM209" s="329" t="str">
        <f>IFERROR(IF(tblPiNAnalysis[[#This Row],[Highest PiN]]="", "", IF(tblPiNAnalysis[[#This Row],[Highest sector(s'') PiN %]]&gt;=flag_pin_perc, "Flagged", "")), "")</f>
        <v>Flagged</v>
      </c>
      <c r="AN209" s="330" t="str" cm="1">
        <f t="array" ref="AN209">IF(tblPiNAnalysis[[#This Row],[Highest PiN]]=0, "",  IF(OR(COUNTIF(tblPiNAnalysis[[#This Row],[Highest sector(s)]],tblSubSectorPopulation[Sector])), "Flagged", ""))</f>
        <v/>
      </c>
      <c r="AO209" s="46" cm="1">
        <f t="array" ref="AO20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10965.324618021728</v>
      </c>
      <c r="AP209" s="331" t="str" cm="1">
        <f t="array" ref="AP209">IF(tblPiNAnalysis[[#This Row],[2nd Highest PiN]]="", "", _xlfn.TEXTJOIN(CHAR(10), TRUE, IF(tblPiNAnalysis[[#This Row],[2nd Highest PiN]]=tblPiNAnalysis[[#This Row],[CCCM]:[WASH]], tblPiNAnalysis[[#Headers],[CCCM]:[WASH]], "")))</f>
        <v>Food Security</v>
      </c>
      <c r="AQ209" s="36">
        <f>IFERROR(tblPiNAnalysis[[#This Row],[2nd Highest PiN]]/tblPiNAnalysis[[#This Row],[Affected population projection 2026]], "")</f>
        <v>0.8291948662060139</v>
      </c>
      <c r="AR209" s="46">
        <f>IFERROR(tblPiNAnalysis[[#This Row],[Highest PiN]]-tblPiNAnalysis[[#This Row],[2nd Highest PiN]], "")</f>
        <v>2258.737740436467</v>
      </c>
      <c r="AS209" s="39">
        <f>IFERROR(((tblPiNAnalysis[[#This Row],[Highest PiN]]-tblPiNAnalysis[[#This Row],[2nd Highest PiN]])/tblPiNAnalysis[[#This Row],[2nd Highest PiN]]),"")</f>
        <v>0.20598913567266278</v>
      </c>
      <c r="AT209" s="39" t="str" cm="1">
        <f t="array" ref="AT20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9" s="332" cm="1">
        <f t="array" ref="AU20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8362.3019895435882</v>
      </c>
      <c r="AV209" s="190" t="str" cm="1">
        <f t="array" ref="AV209">IF(tblPiNAnalysis[[#This Row],[3rd Highest PiN]]="", "", _xlfn.TEXTJOIN(CHAR(10), TRUE, IF(tblPiNAnalysis[[#This Row],[3rd Highest PiN]]=tblPiNAnalysis[[#This Row],[CCCM]:[WASH]], tblPiNAnalysis[[#Headers],[CCCM]:[WASH]], "")))</f>
        <v>Health</v>
      </c>
      <c r="AW209" s="190">
        <f>IFERROR(tblPiNAnalysis[[#This Row],[3rd Highest PiN]]/tblPiNAnalysis[[#This Row],[Affected population projection 2026]], "")</f>
        <v>0.63235500278740031</v>
      </c>
      <c r="AX209" s="45">
        <f>IFERROR(tblPiNAnalysis[[#This Row],[Highest PiN]]-tblPiNAnalysis[[#This Row],[3rd Highest PiN]],"")</f>
        <v>4861.7603689146072</v>
      </c>
      <c r="AY209" s="39">
        <f>IFERROR(tblPiNAnalysis[[#This Row],[Difference of PiN between Highest and 3rd Highest]]/tblPiNAnalysis[[#This Row],[3rd Highest PiN]], "")</f>
        <v>0.58139019315421314</v>
      </c>
      <c r="AZ209" s="330" t="str" cm="1">
        <f t="array" ref="AZ20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09" s="300" t="str" cm="1">
        <f t="array" ref="BA209">IFERROR(IF(tblPiNAnalysis[[#This Row],[ID]]="", "", INDEX(tblPiNHistorical[[CCCM]:[WASH]], MATCH(tblPiNAnalysis[[#This Row],[ID]],tblPiNHistorical[ID], 0),MATCH(_xlfn._xlws.FILTER(tblPiNAnalysis[[#Headers],[CCCM]:[WASH]], tblPiNAnalysis[[#This Row],[Highest PiN]]=tblPiNAnalysis[[#This Row],[CCCM]:[WASH]]), tblPiNHistorical[[#Headers],[CCCM]:[WASH]], 0))), "")</f>
        <v/>
      </c>
      <c r="BB209" s="333" t="str" cm="1">
        <f t="array" ref="BB20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9" s="276" t="str" cm="1">
        <f t="array" ref="BC209">IFERROR(IF(tblPiNAnalysis[[#This Row],[ID]]="", "", INDEX(tblPiNHistorical[[CCCM]:[WASH]], MATCH(tblPiNAnalysis[[#This Row],[ID]],tblPiNHistorical[ID], 0),MATCH(_xlfn._xlws.FILTER(tblPiNAnalysis[[#Headers],[CCCM]:[WASH]], tblPiNAnalysis[[#This Row],[2nd Highest PiN]]=tblPiNAnalysis[[#This Row],[CCCM]:[WASH]]), tblPiNHistorical[[#Headers],[CCCM]:[WASH]], 0))), "")</f>
        <v/>
      </c>
      <c r="BD209" s="334" t="str" cm="1">
        <f t="array" ref="BD20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9" s="276">
        <f>INDEX(tblSeverityAnalysis[Final Severity], MATCH(tblPiNAnalysis[[#This Row],[ID]],tblSeverityAnalysis[ID], 0))</f>
        <v>4</v>
      </c>
      <c r="BF209" s="61">
        <f>IF(tblPiNAnalysis[[#This Row],[Severity]]&gt;2,tblPiNAnalysis[[#This Row],[Highest PiN]],)</f>
        <v>13224.062358458195</v>
      </c>
      <c r="BG209" s="191"/>
      <c r="BH209" s="192"/>
      <c r="BI209" s="193">
        <f>COUNTIFS(tblPiNAnalysis[[#This Row],[Number of missing / zero PiNs greater than threshold - Data quality]:[Manual Flag]],"Flagged")</f>
        <v>2</v>
      </c>
      <c r="BJ209" s="96" t="str">
        <f>IF(tblPiNAnalysis[[#This Row],['# Flags]]&gt;0, "Flagged", "")</f>
        <v>Flagged</v>
      </c>
      <c r="BK209" s="326">
        <f>tblPiNAnalysis[[#This Row],[Preliminary PiN]]</f>
        <v>13224.062358458195</v>
      </c>
      <c r="BL209" s="331"/>
    </row>
    <row r="210" spans="1:64" x14ac:dyDescent="0.55000000000000004">
      <c r="A21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SS0701</v>
      </c>
      <c r="B210" s="316" t="s">
        <v>342</v>
      </c>
      <c r="C210" s="317" t="s">
        <v>343</v>
      </c>
      <c r="D210" s="317" t="s">
        <v>344</v>
      </c>
      <c r="E210" s="105" t="s">
        <v>345</v>
      </c>
      <c r="F210" s="100"/>
      <c r="G210" s="34"/>
      <c r="H210" s="34"/>
      <c r="I210" s="97">
        <v>4961</v>
      </c>
      <c r="J210" s="97" t="s">
        <v>414</v>
      </c>
      <c r="K210" s="318">
        <v>744.15</v>
      </c>
      <c r="L210" s="319">
        <v>397.55469600000004</v>
      </c>
      <c r="M210" s="319">
        <v>2733.7680235374769</v>
      </c>
      <c r="N210" s="319">
        <v>3999.4205137166382</v>
      </c>
      <c r="O210" s="319">
        <v>2450.9402045196935</v>
      </c>
      <c r="P210" s="319">
        <v>940</v>
      </c>
      <c r="Q210" s="320">
        <v>1954.3333333333333</v>
      </c>
      <c r="R210" s="319">
        <v>4455.7129629629626</v>
      </c>
      <c r="S210" s="319">
        <v>759</v>
      </c>
      <c r="T210" s="319">
        <v>717</v>
      </c>
      <c r="U210" s="319">
        <v>381</v>
      </c>
      <c r="V210" s="319">
        <v>384</v>
      </c>
      <c r="W210" s="321">
        <f>IFERROR(IF(tblPiNAnalysis[[#This Row],[CCCM]]="", "", MROUND(tblPiNAnalysis[[#This Row],[CCCM]]/tblPiNAnalysis[[#This Row],[Affected population projection 2026]], 0.05)), "")</f>
        <v>0.15000000000000002</v>
      </c>
      <c r="X210" s="322">
        <f>IFERROR(IF(tblPiNAnalysis[[#This Row],[Education]]="", "", MROUND(tblPiNAnalysis[[#This Row],[Education]]/tblPiNAnalysis[[#This Row],[Affected population projection 2026]], 0.05)), "")</f>
        <v>0.1</v>
      </c>
      <c r="Y210" s="322">
        <f>IFERROR(IF(tblPiNAnalysis[[#This Row],[Nutrition]]="", "", MROUND(tblPiNAnalysis[[#This Row],[Nutrition]]/tblPiNAnalysis[[#This Row],[Affected population projection 2026]], 0.05)), "")</f>
        <v>0.55000000000000004</v>
      </c>
      <c r="Z210" s="322">
        <f>IFERROR(IF(tblPiNAnalysis[[#This Row],[Food Security]]="", "", MROUND(tblPiNAnalysis[[#This Row],[Food Security]]/tblPiNAnalysis[[#This Row],[Affected population projection 2026]], 0.05)), "")</f>
        <v>0.8</v>
      </c>
      <c r="AA210" s="322">
        <f>IFERROR(IF(tblPiNAnalysis[[#This Row],[Health]]="", "", MROUND(tblPiNAnalysis[[#This Row],[Health]]/tblPiNAnalysis[[#This Row],[Affected population projection 2026]], 0.05)), "")</f>
        <v>0.5</v>
      </c>
      <c r="AB210" s="323">
        <f>IFERROR(IF(tblPiNAnalysis[[#This Row],[Overarching Protection]]="", "", MROUND(tblPiNAnalysis[[#This Row],[Overarching Protection]]/tblPiNAnalysis[[#This Row],[Affected population projection 2026]], 0.05)), "")</f>
        <v>0.2</v>
      </c>
      <c r="AC210" s="323">
        <f>IFERROR(IF(tblPiNAnalysis[[#This Row],[Shelter]]="", "", MROUND(tblPiNAnalysis[[#This Row],[Shelter]]/tblPiNAnalysis[[#This Row],[Affected population projection 2026]], 0.05)), "")</f>
        <v>0.4</v>
      </c>
      <c r="AD210" s="324">
        <f>IFERROR(IF(tblPiNAnalysis[[#This Row],[WASH]]="", "", MROUND(tblPiNAnalysis[[#This Row],[WASH]]/tblPiNAnalysis[[#This Row],[Affected population projection 2026]], 0.05)), "")</f>
        <v>0.9</v>
      </c>
      <c r="AE210" s="322">
        <f>IFERROR(MROUND(tblPiNAnalysis[[#This Row],[CP]]/tblPiNAnalysis[[#This Row],[Affected population projection 2026]], 0.05), "")</f>
        <v>0.15000000000000002</v>
      </c>
      <c r="AF210" s="322">
        <f>IFERROR(MROUND(tblPiNAnalysis[[#This Row],[GBV]]/tblPiNAnalysis[[#This Row],[Affected population projection 2026]], 0.05), "")</f>
        <v>0.15000000000000002</v>
      </c>
      <c r="AG210" s="322">
        <f>IFERROR(MROUND(tblPiNAnalysis[[#This Row],[Mine Action]]/tblPiNAnalysis[[#This Row],[Affected population projection 2026]], 0.05), "")</f>
        <v>0.1</v>
      </c>
      <c r="AH210" s="322">
        <f>IFERROR(MROUND(tblPiNAnalysis[[#This Row],[HLP]]/tblPiNAnalysis[[#This Row],[Affected population projection 2026]], 0.05), "")</f>
        <v>0.1</v>
      </c>
      <c r="AI210" s="325">
        <f>IFERROR(LARGE(tblPiNAnalysis[[#This Row],[CCCM]:[WASH]], 1), "")</f>
        <v>4455.7129629629626</v>
      </c>
      <c r="AJ210" s="326" t="str" cm="1">
        <f t="array" ref="AJ210">IF(tblPiNAnalysis[[#This Row],[Highest PiN]]="", "", _xlfn.TEXTJOIN(CHAR(10), TRUE, IF(tblPiNAnalysis[[#This Row],[Highest PiN]]=tblPiNAnalysis[[#This Row],[CCCM]:[WASH]], tblPiNAnalysis[[#Headers],[CCCM]:[WASH]], "")))</f>
        <v>WASH</v>
      </c>
      <c r="AK210" s="327">
        <f>IF(tblPiNAnalysis[[#This Row],[Highest PiN]]="", "", tblPiNAnalysis[[#This Row],[Highest PiN]]/tblPiNAnalysis[[#This Row],[Affected population projection 2026]])</f>
        <v>0.89814814814814803</v>
      </c>
      <c r="AL210" s="328" t="str">
        <f>IF(SUM(tblPiNAnalysis[[#This Row],[CCCM]:[WASH]])=0, "",IF(COUNTIF(tblPiNAnalysis[[#This Row],[CCCM]:[WASH]],"=0")+COUNTIF(tblPiNAnalysis[[#This Row],[CCCM]:[WASH]],"")&gt;=zero_pin_thresh, "Flagged", ""))</f>
        <v/>
      </c>
      <c r="AM210" s="329" t="str">
        <f>IFERROR(IF(tblPiNAnalysis[[#This Row],[Highest PiN]]="", "", IF(tblPiNAnalysis[[#This Row],[Highest sector(s'') PiN %]]&gt;=flag_pin_perc, "Flagged", "")), "")</f>
        <v/>
      </c>
      <c r="AN210" s="330" t="str" cm="1">
        <f t="array" ref="AN210">IF(tblPiNAnalysis[[#This Row],[Highest PiN]]=0, "",  IF(OR(COUNTIF(tblPiNAnalysis[[#This Row],[Highest sector(s)]],tblSubSectorPopulation[Sector])), "Flagged", ""))</f>
        <v/>
      </c>
      <c r="AO210" s="46" cm="1">
        <f t="array" ref="AO2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3999.4205137166382</v>
      </c>
      <c r="AP210" s="331" t="str" cm="1">
        <f t="array" ref="AP210">IF(tblPiNAnalysis[[#This Row],[2nd Highest PiN]]="", "", _xlfn.TEXTJOIN(CHAR(10), TRUE, IF(tblPiNAnalysis[[#This Row],[2nd Highest PiN]]=tblPiNAnalysis[[#This Row],[CCCM]:[WASH]], tblPiNAnalysis[[#Headers],[CCCM]:[WASH]], "")))</f>
        <v>Food Security</v>
      </c>
      <c r="AQ210" s="36">
        <f>IFERROR(tblPiNAnalysis[[#This Row],[2nd Highest PiN]]/tblPiNAnalysis[[#This Row],[Affected population projection 2026]], "")</f>
        <v>0.80617224626418826</v>
      </c>
      <c r="AR210" s="46">
        <f>IFERROR(tblPiNAnalysis[[#This Row],[Highest PiN]]-tblPiNAnalysis[[#This Row],[2nd Highest PiN]], "")</f>
        <v>456.2924492463244</v>
      </c>
      <c r="AS210" s="39">
        <f>IFERROR(((tblPiNAnalysis[[#This Row],[Highest PiN]]-tblPiNAnalysis[[#This Row],[2nd Highest PiN]])/tblPiNAnalysis[[#This Row],[2nd Highest PiN]]),"")</f>
        <v>0.11408964065703971</v>
      </c>
      <c r="AT210" s="39" t="str" cm="1">
        <f t="array" ref="AT2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0" s="332" cm="1">
        <f t="array" ref="AU2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2733.7680235374769</v>
      </c>
      <c r="AV210" s="190" t="str" cm="1">
        <f t="array" ref="AV210">IF(tblPiNAnalysis[[#This Row],[3rd Highest PiN]]="", "", _xlfn.TEXTJOIN(CHAR(10), TRUE, IF(tblPiNAnalysis[[#This Row],[3rd Highest PiN]]=tblPiNAnalysis[[#This Row],[CCCM]:[WASH]], tblPiNAnalysis[[#Headers],[CCCM]:[WASH]], "")))</f>
        <v>Nutrition</v>
      </c>
      <c r="AW210" s="190">
        <f>IFERROR(tblPiNAnalysis[[#This Row],[3rd Highest PiN]]/tblPiNAnalysis[[#This Row],[Affected population projection 2026]], "")</f>
        <v>0.55105180881626226</v>
      </c>
      <c r="AX210" s="45">
        <f>IFERROR(tblPiNAnalysis[[#This Row],[Highest PiN]]-tblPiNAnalysis[[#This Row],[3rd Highest PiN]],"")</f>
        <v>1721.9449394254857</v>
      </c>
      <c r="AY210" s="39">
        <f>IFERROR(tblPiNAnalysis[[#This Row],[Difference of PiN between Highest and 3rd Highest]]/tblPiNAnalysis[[#This Row],[3rd Highest PiN]], "")</f>
        <v>0.6298796842305957</v>
      </c>
      <c r="AZ210" s="330" t="str" cm="1">
        <f t="array" ref="AZ2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10" s="300" t="str" cm="1">
        <f t="array" ref="BA210">IFERROR(IF(tblPiNAnalysis[[#This Row],[ID]]="", "", INDEX(tblPiNHistorical[[CCCM]:[WASH]], MATCH(tblPiNAnalysis[[#This Row],[ID]],tblPiNHistorical[ID], 0),MATCH(_xlfn._xlws.FILTER(tblPiNAnalysis[[#Headers],[CCCM]:[WASH]], tblPiNAnalysis[[#This Row],[Highest PiN]]=tblPiNAnalysis[[#This Row],[CCCM]:[WASH]]), tblPiNHistorical[[#Headers],[CCCM]:[WASH]], 0))), "")</f>
        <v/>
      </c>
      <c r="BB210" s="333" t="str" cm="1">
        <f t="array" ref="BB2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0" s="276" t="str" cm="1">
        <f t="array" ref="BC21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0" s="334" t="str" cm="1">
        <f t="array" ref="BD2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0" s="276">
        <f>INDEX(tblSeverityAnalysis[Final Severity], MATCH(tblPiNAnalysis[[#This Row],[ID]],tblSeverityAnalysis[ID], 0))</f>
        <v>4</v>
      </c>
      <c r="BF210" s="61">
        <f>IF(tblPiNAnalysis[[#This Row],[Severity]]&gt;2,tblPiNAnalysis[[#This Row],[Highest PiN]],)</f>
        <v>4455.7129629629626</v>
      </c>
      <c r="BG210" s="191"/>
      <c r="BH210" s="192"/>
      <c r="BI210" s="193">
        <f>COUNTIFS(tblPiNAnalysis[[#This Row],[Number of missing / zero PiNs greater than threshold - Data quality]:[Manual Flag]],"Flagged")</f>
        <v>1</v>
      </c>
      <c r="BJ210" s="96" t="str">
        <f>IF(tblPiNAnalysis[[#This Row],['# Flags]]&gt;0, "Flagged", "")</f>
        <v>Flagged</v>
      </c>
      <c r="BK210" s="326">
        <f>tblPiNAnalysis[[#This Row],[Preliminary PiN]]</f>
        <v>4455.7129629629626</v>
      </c>
      <c r="BL210" s="331"/>
    </row>
    <row r="211" spans="1:64" x14ac:dyDescent="0.55000000000000004">
      <c r="A21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SS0702</v>
      </c>
      <c r="B211" s="316" t="s">
        <v>342</v>
      </c>
      <c r="C211" s="317" t="s">
        <v>343</v>
      </c>
      <c r="D211" s="317" t="s">
        <v>346</v>
      </c>
      <c r="E211" s="105" t="s">
        <v>347</v>
      </c>
      <c r="F211" s="100"/>
      <c r="G211" s="34"/>
      <c r="H211" s="34"/>
      <c r="I211" s="97">
        <v>14416.589191353083</v>
      </c>
      <c r="J211" s="97" t="s">
        <v>414</v>
      </c>
      <c r="K211" s="318">
        <v>2162.4883787029626</v>
      </c>
      <c r="L211" s="319">
        <v>4916.7489105325858</v>
      </c>
      <c r="M211" s="319">
        <v>4643.2566401440918</v>
      </c>
      <c r="N211" s="319">
        <v>9982.5972806473583</v>
      </c>
      <c r="O211" s="319">
        <v>6346.7178879007397</v>
      </c>
      <c r="P211" s="319">
        <v>9757</v>
      </c>
      <c r="Q211" s="320">
        <v>8148.506934243047</v>
      </c>
      <c r="R211" s="319">
        <v>13755.277760557072</v>
      </c>
      <c r="S211" s="319">
        <v>4987</v>
      </c>
      <c r="T211" s="319">
        <v>7384</v>
      </c>
      <c r="U211" s="319">
        <v>7375</v>
      </c>
      <c r="V211" s="319">
        <v>5328</v>
      </c>
      <c r="W211" s="321">
        <f>IFERROR(IF(tblPiNAnalysis[[#This Row],[CCCM]]="", "", MROUND(tblPiNAnalysis[[#This Row],[CCCM]]/tblPiNAnalysis[[#This Row],[Affected population projection 2026]], 0.05)), "")</f>
        <v>0.15000000000000002</v>
      </c>
      <c r="X211" s="322">
        <f>IFERROR(IF(tblPiNAnalysis[[#This Row],[Education]]="", "", MROUND(tblPiNAnalysis[[#This Row],[Education]]/tblPiNAnalysis[[#This Row],[Affected population projection 2026]], 0.05)), "")</f>
        <v>0.35000000000000003</v>
      </c>
      <c r="Y211" s="322">
        <f>IFERROR(IF(tblPiNAnalysis[[#This Row],[Nutrition]]="", "", MROUND(tblPiNAnalysis[[#This Row],[Nutrition]]/tblPiNAnalysis[[#This Row],[Affected population projection 2026]], 0.05)), "")</f>
        <v>0.30000000000000004</v>
      </c>
      <c r="Z211" s="322">
        <f>IFERROR(IF(tblPiNAnalysis[[#This Row],[Food Security]]="", "", MROUND(tblPiNAnalysis[[#This Row],[Food Security]]/tblPiNAnalysis[[#This Row],[Affected population projection 2026]], 0.05)), "")</f>
        <v>0.70000000000000007</v>
      </c>
      <c r="AA211" s="322">
        <f>IFERROR(IF(tblPiNAnalysis[[#This Row],[Health]]="", "", MROUND(tblPiNAnalysis[[#This Row],[Health]]/tblPiNAnalysis[[#This Row],[Affected population projection 2026]], 0.05)), "")</f>
        <v>0.45</v>
      </c>
      <c r="AB211" s="323">
        <f>IFERROR(IF(tblPiNAnalysis[[#This Row],[Overarching Protection]]="", "", MROUND(tblPiNAnalysis[[#This Row],[Overarching Protection]]/tblPiNAnalysis[[#This Row],[Affected population projection 2026]], 0.05)), "")</f>
        <v>0.70000000000000007</v>
      </c>
      <c r="AC211" s="323">
        <f>IFERROR(IF(tblPiNAnalysis[[#This Row],[Shelter]]="", "", MROUND(tblPiNAnalysis[[#This Row],[Shelter]]/tblPiNAnalysis[[#This Row],[Affected population projection 2026]], 0.05)), "")</f>
        <v>0.55000000000000004</v>
      </c>
      <c r="AD211" s="324">
        <f>IFERROR(IF(tblPiNAnalysis[[#This Row],[WASH]]="", "", MROUND(tblPiNAnalysis[[#This Row],[WASH]]/tblPiNAnalysis[[#This Row],[Affected population projection 2026]], 0.05)), "")</f>
        <v>0.95000000000000007</v>
      </c>
      <c r="AE211" s="322">
        <f>IFERROR(MROUND(tblPiNAnalysis[[#This Row],[CP]]/tblPiNAnalysis[[#This Row],[Affected population projection 2026]], 0.05), "")</f>
        <v>0.35000000000000003</v>
      </c>
      <c r="AF211" s="322">
        <f>IFERROR(MROUND(tblPiNAnalysis[[#This Row],[GBV]]/tblPiNAnalysis[[#This Row],[Affected population projection 2026]], 0.05), "")</f>
        <v>0.5</v>
      </c>
      <c r="AG211" s="322">
        <f>IFERROR(MROUND(tblPiNAnalysis[[#This Row],[Mine Action]]/tblPiNAnalysis[[#This Row],[Affected population projection 2026]], 0.05), "")</f>
        <v>0.5</v>
      </c>
      <c r="AH211" s="322">
        <f>IFERROR(MROUND(tblPiNAnalysis[[#This Row],[HLP]]/tblPiNAnalysis[[#This Row],[Affected population projection 2026]], 0.05), "")</f>
        <v>0.35000000000000003</v>
      </c>
      <c r="AI211" s="325">
        <f>IFERROR(LARGE(tblPiNAnalysis[[#This Row],[CCCM]:[WASH]], 1), "")</f>
        <v>13755.277760557072</v>
      </c>
      <c r="AJ211" s="326" t="str" cm="1">
        <f t="array" ref="AJ211">IF(tblPiNAnalysis[[#This Row],[Highest PiN]]="", "", _xlfn.TEXTJOIN(CHAR(10), TRUE, IF(tblPiNAnalysis[[#This Row],[Highest PiN]]=tblPiNAnalysis[[#This Row],[CCCM]:[WASH]], tblPiNAnalysis[[#Headers],[CCCM]:[WASH]], "")))</f>
        <v>WASH</v>
      </c>
      <c r="AK211" s="327">
        <f>IF(tblPiNAnalysis[[#This Row],[Highest PiN]]="", "", tblPiNAnalysis[[#This Row],[Highest PiN]]/tblPiNAnalysis[[#This Row],[Affected population projection 2026]])</f>
        <v>0.95412844036697264</v>
      </c>
      <c r="AL211" s="328" t="str">
        <f>IF(SUM(tblPiNAnalysis[[#This Row],[CCCM]:[WASH]])=0, "",IF(COUNTIF(tblPiNAnalysis[[#This Row],[CCCM]:[WASH]],"=0")+COUNTIF(tblPiNAnalysis[[#This Row],[CCCM]:[WASH]],"")&gt;=zero_pin_thresh, "Flagged", ""))</f>
        <v/>
      </c>
      <c r="AM211" s="329" t="str">
        <f>IFERROR(IF(tblPiNAnalysis[[#This Row],[Highest PiN]]="", "", IF(tblPiNAnalysis[[#This Row],[Highest sector(s'') PiN %]]&gt;=flag_pin_perc, "Flagged", "")), "")</f>
        <v>Flagged</v>
      </c>
      <c r="AN211" s="330" t="str" cm="1">
        <f t="array" ref="AN211">IF(tblPiNAnalysis[[#This Row],[Highest PiN]]=0, "",  IF(OR(COUNTIF(tblPiNAnalysis[[#This Row],[Highest sector(s)]],tblSubSectorPopulation[Sector])), "Flagged", ""))</f>
        <v/>
      </c>
      <c r="AO211" s="46" cm="1">
        <f t="array" ref="AO2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9982.5972806473583</v>
      </c>
      <c r="AP211" s="331" t="str" cm="1">
        <f t="array" ref="AP211">IF(tblPiNAnalysis[[#This Row],[2nd Highest PiN]]="", "", _xlfn.TEXTJOIN(CHAR(10), TRUE, IF(tblPiNAnalysis[[#This Row],[2nd Highest PiN]]=tblPiNAnalysis[[#This Row],[CCCM]:[WASH]], tblPiNAnalysis[[#Headers],[CCCM]:[WASH]], "")))</f>
        <v>Food Security</v>
      </c>
      <c r="AQ211" s="36">
        <f>IFERROR(tblPiNAnalysis[[#This Row],[2nd Highest PiN]]/tblPiNAnalysis[[#This Row],[Affected population projection 2026]], "")</f>
        <v>0.69243821462532995</v>
      </c>
      <c r="AR211" s="46">
        <f>IFERROR(tblPiNAnalysis[[#This Row],[Highest PiN]]-tblPiNAnalysis[[#This Row],[2nd Highest PiN]], "")</f>
        <v>3772.6804799097135</v>
      </c>
      <c r="AS211" s="39">
        <f>IFERROR(((tblPiNAnalysis[[#This Row],[Highest PiN]]-tblPiNAnalysis[[#This Row],[2nd Highest PiN]])/tblPiNAnalysis[[#This Row],[2nd Highest PiN]]),"")</f>
        <v>0.37792574155260927</v>
      </c>
      <c r="AT211" s="39" t="str" cm="1">
        <f t="array" ref="AT2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11" s="332" cm="1">
        <f t="array" ref="AU2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9757</v>
      </c>
      <c r="AV211" s="190" t="str" cm="1">
        <f t="array" ref="AV211">IF(tblPiNAnalysis[[#This Row],[3rd Highest PiN]]="", "", _xlfn.TEXTJOIN(CHAR(10), TRUE, IF(tblPiNAnalysis[[#This Row],[3rd Highest PiN]]=tblPiNAnalysis[[#This Row],[CCCM]:[WASH]], tblPiNAnalysis[[#Headers],[CCCM]:[WASH]], "")))</f>
        <v>Overarching Protection</v>
      </c>
      <c r="AW211" s="190">
        <f>IFERROR(tblPiNAnalysis[[#This Row],[3rd Highest PiN]]/tblPiNAnalysis[[#This Row],[Affected population projection 2026]], "")</f>
        <v>0.67678976424272008</v>
      </c>
      <c r="AX211" s="45">
        <f>IFERROR(tblPiNAnalysis[[#This Row],[Highest PiN]]-tblPiNAnalysis[[#This Row],[3rd Highest PiN]],"")</f>
        <v>3998.2777605570718</v>
      </c>
      <c r="AY211" s="39">
        <f>IFERROR(tblPiNAnalysis[[#This Row],[Difference of PiN between Highest and 3rd Highest]]/tblPiNAnalysis[[#This Row],[3rd Highest PiN]], "")</f>
        <v>0.40978556529231031</v>
      </c>
      <c r="AZ211" s="330" t="str" cm="1">
        <f t="array" ref="AZ2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1" s="300" t="str" cm="1">
        <f t="array" ref="BA211">IFERROR(IF(tblPiNAnalysis[[#This Row],[ID]]="", "", INDEX(tblPiNHistorical[[CCCM]:[WASH]], MATCH(tblPiNAnalysis[[#This Row],[ID]],tblPiNHistorical[ID], 0),MATCH(_xlfn._xlws.FILTER(tblPiNAnalysis[[#Headers],[CCCM]:[WASH]], tblPiNAnalysis[[#This Row],[Highest PiN]]=tblPiNAnalysis[[#This Row],[CCCM]:[WASH]]), tblPiNHistorical[[#Headers],[CCCM]:[WASH]], 0))), "")</f>
        <v/>
      </c>
      <c r="BB211" s="333" t="str" cm="1">
        <f t="array" ref="BB2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1" s="276" t="str" cm="1">
        <f t="array" ref="BC21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1" s="334" t="str" cm="1">
        <f t="array" ref="BD2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1" s="276">
        <f>INDEX(tblSeverityAnalysis[Final Severity], MATCH(tblPiNAnalysis[[#This Row],[ID]],tblSeverityAnalysis[ID], 0))</f>
        <v>4</v>
      </c>
      <c r="BF211" s="61">
        <f>IF(tblPiNAnalysis[[#This Row],[Severity]]&gt;2,tblPiNAnalysis[[#This Row],[Highest PiN]],)</f>
        <v>13755.277760557072</v>
      </c>
      <c r="BG211" s="191"/>
      <c r="BH211" s="192"/>
      <c r="BI211" s="193">
        <f>COUNTIFS(tblPiNAnalysis[[#This Row],[Number of missing / zero PiNs greater than threshold - Data quality]:[Manual Flag]],"Flagged")</f>
        <v>2</v>
      </c>
      <c r="BJ211" s="96" t="str">
        <f>IF(tblPiNAnalysis[[#This Row],['# Flags]]&gt;0, "Flagged", "")</f>
        <v>Flagged</v>
      </c>
      <c r="BK211" s="326">
        <f>tblPiNAnalysis[[#This Row],[Preliminary PiN]]</f>
        <v>13755.277760557072</v>
      </c>
      <c r="BL211" s="331"/>
    </row>
    <row r="212" spans="1:64" x14ac:dyDescent="0.55000000000000004">
      <c r="A21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SS0703</v>
      </c>
      <c r="B212" s="316" t="s">
        <v>342</v>
      </c>
      <c r="C212" s="317" t="s">
        <v>343</v>
      </c>
      <c r="D212" s="317" t="s">
        <v>348</v>
      </c>
      <c r="E212" s="105" t="s">
        <v>349</v>
      </c>
      <c r="F212" s="100"/>
      <c r="G212" s="34"/>
      <c r="H212" s="34"/>
      <c r="I212" s="97">
        <v>16232.649182202906</v>
      </c>
      <c r="J212" s="97" t="s">
        <v>414</v>
      </c>
      <c r="K212" s="318">
        <v>2434.8973773304356</v>
      </c>
      <c r="L212" s="319">
        <v>5592.8212982099622</v>
      </c>
      <c r="M212" s="319">
        <v>5531.9675173877868</v>
      </c>
      <c r="N212" s="319">
        <v>14764.837695457401</v>
      </c>
      <c r="O212" s="319">
        <v>7049.6537064105569</v>
      </c>
      <c r="P212" s="319">
        <v>12298</v>
      </c>
      <c r="Q212" s="320">
        <v>15434.32217324211</v>
      </c>
      <c r="R212" s="319">
        <v>5510.1653187294278</v>
      </c>
      <c r="S212" s="319">
        <v>6601</v>
      </c>
      <c r="T212" s="319">
        <v>6983</v>
      </c>
      <c r="U212" s="319">
        <v>1281</v>
      </c>
      <c r="V212" s="319">
        <v>3847</v>
      </c>
      <c r="W212" s="321">
        <f>IFERROR(IF(tblPiNAnalysis[[#This Row],[CCCM]]="", "", MROUND(tblPiNAnalysis[[#This Row],[CCCM]]/tblPiNAnalysis[[#This Row],[Affected population projection 2026]], 0.05)), "")</f>
        <v>0.15000000000000002</v>
      </c>
      <c r="X212" s="322">
        <f>IFERROR(IF(tblPiNAnalysis[[#This Row],[Education]]="", "", MROUND(tblPiNAnalysis[[#This Row],[Education]]/tblPiNAnalysis[[#This Row],[Affected population projection 2026]], 0.05)), "")</f>
        <v>0.35000000000000003</v>
      </c>
      <c r="Y212" s="322">
        <f>IFERROR(IF(tblPiNAnalysis[[#This Row],[Nutrition]]="", "", MROUND(tblPiNAnalysis[[#This Row],[Nutrition]]/tblPiNAnalysis[[#This Row],[Affected population projection 2026]], 0.05)), "")</f>
        <v>0.35000000000000003</v>
      </c>
      <c r="Z212" s="322">
        <f>IFERROR(IF(tblPiNAnalysis[[#This Row],[Food Security]]="", "", MROUND(tblPiNAnalysis[[#This Row],[Food Security]]/tblPiNAnalysis[[#This Row],[Affected population projection 2026]], 0.05)), "")</f>
        <v>0.9</v>
      </c>
      <c r="AA212" s="322">
        <f>IFERROR(IF(tblPiNAnalysis[[#This Row],[Health]]="", "", MROUND(tblPiNAnalysis[[#This Row],[Health]]/tblPiNAnalysis[[#This Row],[Affected population projection 2026]], 0.05)), "")</f>
        <v>0.45</v>
      </c>
      <c r="AB212" s="323">
        <f>IFERROR(IF(tblPiNAnalysis[[#This Row],[Overarching Protection]]="", "", MROUND(tblPiNAnalysis[[#This Row],[Overarching Protection]]/tblPiNAnalysis[[#This Row],[Affected population projection 2026]], 0.05)), "")</f>
        <v>0.75</v>
      </c>
      <c r="AC212" s="323">
        <f>IFERROR(IF(tblPiNAnalysis[[#This Row],[Shelter]]="", "", MROUND(tblPiNAnalysis[[#This Row],[Shelter]]/tblPiNAnalysis[[#This Row],[Affected population projection 2026]], 0.05)), "")</f>
        <v>0.95000000000000007</v>
      </c>
      <c r="AD212" s="324">
        <f>IFERROR(IF(tblPiNAnalysis[[#This Row],[WASH]]="", "", MROUND(tblPiNAnalysis[[#This Row],[WASH]]/tblPiNAnalysis[[#This Row],[Affected population projection 2026]], 0.05)), "")</f>
        <v>0.35000000000000003</v>
      </c>
      <c r="AE212" s="322">
        <f>IFERROR(MROUND(tblPiNAnalysis[[#This Row],[CP]]/tblPiNAnalysis[[#This Row],[Affected population projection 2026]], 0.05), "")</f>
        <v>0.4</v>
      </c>
      <c r="AF212" s="322">
        <f>IFERROR(MROUND(tblPiNAnalysis[[#This Row],[GBV]]/tblPiNAnalysis[[#This Row],[Affected population projection 2026]], 0.05), "")</f>
        <v>0.45</v>
      </c>
      <c r="AG212" s="322">
        <f>IFERROR(MROUND(tblPiNAnalysis[[#This Row],[Mine Action]]/tblPiNAnalysis[[#This Row],[Affected population projection 2026]], 0.05), "")</f>
        <v>0.1</v>
      </c>
      <c r="AH212" s="322">
        <f>IFERROR(MROUND(tblPiNAnalysis[[#This Row],[HLP]]/tblPiNAnalysis[[#This Row],[Affected population projection 2026]], 0.05), "")</f>
        <v>0.25</v>
      </c>
      <c r="AI212" s="325">
        <f>IFERROR(LARGE(tblPiNAnalysis[[#This Row],[CCCM]:[WASH]], 1), "")</f>
        <v>15434.32217324211</v>
      </c>
      <c r="AJ212" s="326" t="str" cm="1">
        <f t="array" ref="AJ212">IF(tblPiNAnalysis[[#This Row],[Highest PiN]]="", "", _xlfn.TEXTJOIN(CHAR(10), TRUE, IF(tblPiNAnalysis[[#This Row],[Highest PiN]]=tblPiNAnalysis[[#This Row],[CCCM]:[WASH]], tblPiNAnalysis[[#Headers],[CCCM]:[WASH]], "")))</f>
        <v>Shelter</v>
      </c>
      <c r="AK212" s="327">
        <f>IF(tblPiNAnalysis[[#This Row],[Highest PiN]]="", "", tblPiNAnalysis[[#This Row],[Highest PiN]]/tblPiNAnalysis[[#This Row],[Affected population projection 2026]])</f>
        <v>0.95081967213114771</v>
      </c>
      <c r="AL212" s="328" t="str">
        <f>IF(SUM(tblPiNAnalysis[[#This Row],[CCCM]:[WASH]])=0, "",IF(COUNTIF(tblPiNAnalysis[[#This Row],[CCCM]:[WASH]],"=0")+COUNTIF(tblPiNAnalysis[[#This Row],[CCCM]:[WASH]],"")&gt;=zero_pin_thresh, "Flagged", ""))</f>
        <v/>
      </c>
      <c r="AM212" s="329" t="str">
        <f>IFERROR(IF(tblPiNAnalysis[[#This Row],[Highest PiN]]="", "", IF(tblPiNAnalysis[[#This Row],[Highest sector(s'') PiN %]]&gt;=flag_pin_perc, "Flagged", "")), "")</f>
        <v>Flagged</v>
      </c>
      <c r="AN212" s="330" t="str" cm="1">
        <f t="array" ref="AN212">IF(tblPiNAnalysis[[#This Row],[Highest PiN]]=0, "",  IF(OR(COUNTIF(tblPiNAnalysis[[#This Row],[Highest sector(s)]],tblSubSectorPopulation[Sector])), "Flagged", ""))</f>
        <v/>
      </c>
      <c r="AO212" s="46" cm="1">
        <f t="array" ref="AO2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14764.837695457401</v>
      </c>
      <c r="AP212" s="331" t="str" cm="1">
        <f t="array" ref="AP212">IF(tblPiNAnalysis[[#This Row],[2nd Highest PiN]]="", "", _xlfn.TEXTJOIN(CHAR(10), TRUE, IF(tblPiNAnalysis[[#This Row],[2nd Highest PiN]]=tblPiNAnalysis[[#This Row],[CCCM]:[WASH]], tblPiNAnalysis[[#Headers],[CCCM]:[WASH]], "")))</f>
        <v>Food Security</v>
      </c>
      <c r="AQ212" s="36">
        <f>IFERROR(tblPiNAnalysis[[#This Row],[2nd Highest PiN]]/tblPiNAnalysis[[#This Row],[Affected population projection 2026]], "")</f>
        <v>0.90957659034763239</v>
      </c>
      <c r="AR212" s="46">
        <f>IFERROR(tblPiNAnalysis[[#This Row],[Highest PiN]]-tblPiNAnalysis[[#This Row],[2nd Highest PiN]], "")</f>
        <v>669.48447778470836</v>
      </c>
      <c r="AS212" s="39">
        <f>IFERROR(((tblPiNAnalysis[[#This Row],[Highest PiN]]-tblPiNAnalysis[[#This Row],[2nd Highest PiN]])/tblPiNAnalysis[[#This Row],[2nd Highest PiN]]),"")</f>
        <v>4.534316540375409E-2</v>
      </c>
      <c r="AT212" s="39" t="str" cm="1">
        <f t="array" ref="AT2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2" s="332" cm="1">
        <f t="array" ref="AU2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12298</v>
      </c>
      <c r="AV212" s="190" t="str" cm="1">
        <f t="array" ref="AV212">IF(tblPiNAnalysis[[#This Row],[3rd Highest PiN]]="", "", _xlfn.TEXTJOIN(CHAR(10), TRUE, IF(tblPiNAnalysis[[#This Row],[3rd Highest PiN]]=tblPiNAnalysis[[#This Row],[CCCM]:[WASH]], tblPiNAnalysis[[#Headers],[CCCM]:[WASH]], "")))</f>
        <v>Overarching Protection</v>
      </c>
      <c r="AW212" s="190">
        <f>IFERROR(tblPiNAnalysis[[#This Row],[3rd Highest PiN]]/tblPiNAnalysis[[#This Row],[Affected population projection 2026]], "")</f>
        <v>0.75760893135565555</v>
      </c>
      <c r="AX212" s="45">
        <f>IFERROR(tblPiNAnalysis[[#This Row],[Highest PiN]]-tblPiNAnalysis[[#This Row],[3rd Highest PiN]],"")</f>
        <v>3136.3221732421098</v>
      </c>
      <c r="AY212" s="39">
        <f>IFERROR(tblPiNAnalysis[[#This Row],[Difference of PiN between Highest and 3rd Highest]]/tblPiNAnalysis[[#This Row],[3rd Highest PiN]], "")</f>
        <v>0.25502701034656933</v>
      </c>
      <c r="AZ212" s="330" t="str" cm="1">
        <f t="array" ref="AZ2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2" s="300" t="str" cm="1">
        <f t="array" ref="BA212">IFERROR(IF(tblPiNAnalysis[[#This Row],[ID]]="", "", INDEX(tblPiNHistorical[[CCCM]:[WASH]], MATCH(tblPiNAnalysis[[#This Row],[ID]],tblPiNHistorical[ID], 0),MATCH(_xlfn._xlws.FILTER(tblPiNAnalysis[[#Headers],[CCCM]:[WASH]], tblPiNAnalysis[[#This Row],[Highest PiN]]=tblPiNAnalysis[[#This Row],[CCCM]:[WASH]]), tblPiNHistorical[[#Headers],[CCCM]:[WASH]], 0))), "")</f>
        <v/>
      </c>
      <c r="BB212" s="333" t="str" cm="1">
        <f t="array" ref="BB2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2" s="276" t="str" cm="1">
        <f t="array" ref="BC21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2" s="334" t="str" cm="1">
        <f t="array" ref="BD2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2" s="276">
        <f>INDEX(tblSeverityAnalysis[Final Severity], MATCH(tblPiNAnalysis[[#This Row],[ID]],tblSeverityAnalysis[ID], 0))</f>
        <v>4</v>
      </c>
      <c r="BF212" s="61">
        <f>IF(tblPiNAnalysis[[#This Row],[Severity]]&gt;2,tblPiNAnalysis[[#This Row],[Highest PiN]],)</f>
        <v>15434.32217324211</v>
      </c>
      <c r="BG212" s="191"/>
      <c r="BH212" s="192"/>
      <c r="BI212" s="193">
        <f>COUNTIFS(tblPiNAnalysis[[#This Row],[Number of missing / zero PiNs greater than threshold - Data quality]:[Manual Flag]],"Flagged")</f>
        <v>1</v>
      </c>
      <c r="BJ212" s="96" t="str">
        <f>IF(tblPiNAnalysis[[#This Row],['# Flags]]&gt;0, "Flagged", "")</f>
        <v>Flagged</v>
      </c>
      <c r="BK212" s="326">
        <f>tblPiNAnalysis[[#This Row],[Preliminary PiN]]</f>
        <v>15434.32217324211</v>
      </c>
      <c r="BL212" s="331"/>
    </row>
    <row r="213" spans="1:64" x14ac:dyDescent="0.55000000000000004">
      <c r="A21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SS0704</v>
      </c>
      <c r="B213" s="316" t="s">
        <v>342</v>
      </c>
      <c r="C213" s="317" t="s">
        <v>343</v>
      </c>
      <c r="D213" s="317" t="s">
        <v>350</v>
      </c>
      <c r="E213" s="105" t="s">
        <v>351</v>
      </c>
      <c r="F213" s="100"/>
      <c r="G213" s="34"/>
      <c r="H213" s="34"/>
      <c r="I213" s="97">
        <v>158050.00862404195</v>
      </c>
      <c r="J213" s="97" t="s">
        <v>414</v>
      </c>
      <c r="K213" s="318">
        <v>23707.501293606292</v>
      </c>
      <c r="L213" s="319">
        <v>42577.170848234979</v>
      </c>
      <c r="M213" s="319">
        <v>59197.71759471752</v>
      </c>
      <c r="N213" s="319">
        <v>142110.0378171395</v>
      </c>
      <c r="O213" s="319">
        <v>97595.508530042076</v>
      </c>
      <c r="P213" s="319">
        <v>119302</v>
      </c>
      <c r="Q213" s="320">
        <v>68248.867360381744</v>
      </c>
      <c r="R213" s="319">
        <v>118537.50646803142</v>
      </c>
      <c r="S213" s="319">
        <v>61424</v>
      </c>
      <c r="T213" s="319">
        <v>67766</v>
      </c>
      <c r="U213" s="319">
        <v>70937</v>
      </c>
      <c r="V213" s="319">
        <v>41337</v>
      </c>
      <c r="W213" s="321">
        <f>IFERROR(IF(tblPiNAnalysis[[#This Row],[CCCM]]="", "", MROUND(tblPiNAnalysis[[#This Row],[CCCM]]/tblPiNAnalysis[[#This Row],[Affected population projection 2026]], 0.05)), "")</f>
        <v>0.15000000000000002</v>
      </c>
      <c r="X213" s="322">
        <f>IFERROR(IF(tblPiNAnalysis[[#This Row],[Education]]="", "", MROUND(tblPiNAnalysis[[#This Row],[Education]]/tblPiNAnalysis[[#This Row],[Affected population projection 2026]], 0.05)), "")</f>
        <v>0.25</v>
      </c>
      <c r="Y213" s="322">
        <f>IFERROR(IF(tblPiNAnalysis[[#This Row],[Nutrition]]="", "", MROUND(tblPiNAnalysis[[#This Row],[Nutrition]]/tblPiNAnalysis[[#This Row],[Affected population projection 2026]], 0.05)), "")</f>
        <v>0.35000000000000003</v>
      </c>
      <c r="Z213" s="322">
        <f>IFERROR(IF(tblPiNAnalysis[[#This Row],[Food Security]]="", "", MROUND(tblPiNAnalysis[[#This Row],[Food Security]]/tblPiNAnalysis[[#This Row],[Affected population projection 2026]], 0.05)), "")</f>
        <v>0.9</v>
      </c>
      <c r="AA213" s="322">
        <f>IFERROR(IF(tblPiNAnalysis[[#This Row],[Health]]="", "", MROUND(tblPiNAnalysis[[#This Row],[Health]]/tblPiNAnalysis[[#This Row],[Affected population projection 2026]], 0.05)), "")</f>
        <v>0.60000000000000009</v>
      </c>
      <c r="AB213" s="323">
        <f>IFERROR(IF(tblPiNAnalysis[[#This Row],[Overarching Protection]]="", "", MROUND(tblPiNAnalysis[[#This Row],[Overarching Protection]]/tblPiNAnalysis[[#This Row],[Affected population projection 2026]], 0.05)), "")</f>
        <v>0.75</v>
      </c>
      <c r="AC213" s="323">
        <f>IFERROR(IF(tblPiNAnalysis[[#This Row],[Shelter]]="", "", MROUND(tblPiNAnalysis[[#This Row],[Shelter]]/tblPiNAnalysis[[#This Row],[Affected population projection 2026]], 0.05)), "")</f>
        <v>0.45</v>
      </c>
      <c r="AD213" s="324">
        <f>IFERROR(IF(tblPiNAnalysis[[#This Row],[WASH]]="", "", MROUND(tblPiNAnalysis[[#This Row],[WASH]]/tblPiNAnalysis[[#This Row],[Affected population projection 2026]], 0.05)), "")</f>
        <v>0.75</v>
      </c>
      <c r="AE213" s="322">
        <f>IFERROR(MROUND(tblPiNAnalysis[[#This Row],[CP]]/tblPiNAnalysis[[#This Row],[Affected population projection 2026]], 0.05), "")</f>
        <v>0.4</v>
      </c>
      <c r="AF213" s="322">
        <f>IFERROR(MROUND(tblPiNAnalysis[[#This Row],[GBV]]/tblPiNAnalysis[[#This Row],[Affected population projection 2026]], 0.05), "")</f>
        <v>0.45</v>
      </c>
      <c r="AG213" s="322">
        <f>IFERROR(MROUND(tblPiNAnalysis[[#This Row],[Mine Action]]/tblPiNAnalysis[[#This Row],[Affected population projection 2026]], 0.05), "")</f>
        <v>0.45</v>
      </c>
      <c r="AH213" s="322">
        <f>IFERROR(MROUND(tblPiNAnalysis[[#This Row],[HLP]]/tblPiNAnalysis[[#This Row],[Affected population projection 2026]], 0.05), "")</f>
        <v>0.25</v>
      </c>
      <c r="AI213" s="325">
        <f>IFERROR(LARGE(tblPiNAnalysis[[#This Row],[CCCM]:[WASH]], 1), "")</f>
        <v>142110.0378171395</v>
      </c>
      <c r="AJ213" s="326" t="str" cm="1">
        <f t="array" ref="AJ213">IF(tblPiNAnalysis[[#This Row],[Highest PiN]]="", "", _xlfn.TEXTJOIN(CHAR(10), TRUE, IF(tblPiNAnalysis[[#This Row],[Highest PiN]]=tblPiNAnalysis[[#This Row],[CCCM]:[WASH]], tblPiNAnalysis[[#Headers],[CCCM]:[WASH]], "")))</f>
        <v>Food Security</v>
      </c>
      <c r="AK213" s="327">
        <f>IF(tblPiNAnalysis[[#This Row],[Highest PiN]]="", "", tblPiNAnalysis[[#This Row],[Highest PiN]]/tblPiNAnalysis[[#This Row],[Affected population projection 2026]])</f>
        <v>0.89914603013518768</v>
      </c>
      <c r="AL213" s="328" t="str">
        <f>IF(SUM(tblPiNAnalysis[[#This Row],[CCCM]:[WASH]])=0, "",IF(COUNTIF(tblPiNAnalysis[[#This Row],[CCCM]:[WASH]],"=0")+COUNTIF(tblPiNAnalysis[[#This Row],[CCCM]:[WASH]],"")&gt;=zero_pin_thresh, "Flagged", ""))</f>
        <v/>
      </c>
      <c r="AM213" s="329" t="str">
        <f>IFERROR(IF(tblPiNAnalysis[[#This Row],[Highest PiN]]="", "", IF(tblPiNAnalysis[[#This Row],[Highest sector(s'') PiN %]]&gt;=flag_pin_perc, "Flagged", "")), "")</f>
        <v/>
      </c>
      <c r="AN213" s="330" t="str" cm="1">
        <f t="array" ref="AN213">IF(tblPiNAnalysis[[#This Row],[Highest PiN]]=0, "",  IF(OR(COUNTIF(tblPiNAnalysis[[#This Row],[Highest sector(s)]],tblSubSectorPopulation[Sector])), "Flagged", ""))</f>
        <v/>
      </c>
      <c r="AO213" s="46" cm="1">
        <f t="array" ref="AO2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119302</v>
      </c>
      <c r="AP213" s="331" t="str" cm="1">
        <f t="array" ref="AP213">IF(tblPiNAnalysis[[#This Row],[2nd Highest PiN]]="", "", _xlfn.TEXTJOIN(CHAR(10), TRUE, IF(tblPiNAnalysis[[#This Row],[2nd Highest PiN]]=tblPiNAnalysis[[#This Row],[CCCM]:[WASH]], tblPiNAnalysis[[#Headers],[CCCM]:[WASH]], "")))</f>
        <v>Overarching Protection</v>
      </c>
      <c r="AQ213" s="36">
        <f>IFERROR(tblPiNAnalysis[[#This Row],[2nd Highest PiN]]/tblPiNAnalysis[[#This Row],[Affected population projection 2026]], "")</f>
        <v>0.75483703568651528</v>
      </c>
      <c r="AR213" s="46">
        <f>IFERROR(tblPiNAnalysis[[#This Row],[Highest PiN]]-tblPiNAnalysis[[#This Row],[2nd Highest PiN]], "")</f>
        <v>22808.037817139499</v>
      </c>
      <c r="AS213" s="39">
        <f>IFERROR(((tblPiNAnalysis[[#This Row],[Highest PiN]]-tblPiNAnalysis[[#This Row],[2nd Highest PiN]])/tblPiNAnalysis[[#This Row],[2nd Highest PiN]]),"")</f>
        <v>0.19117900636317495</v>
      </c>
      <c r="AT213" s="39" t="str" cm="1">
        <f t="array" ref="AT2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3" s="332" cm="1">
        <f t="array" ref="AU2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118537.50646803142</v>
      </c>
      <c r="AV213" s="190" t="str" cm="1">
        <f t="array" ref="AV213">IF(tblPiNAnalysis[[#This Row],[3rd Highest PiN]]="", "", _xlfn.TEXTJOIN(CHAR(10), TRUE, IF(tblPiNAnalysis[[#This Row],[3rd Highest PiN]]=tblPiNAnalysis[[#This Row],[CCCM]:[WASH]], tblPiNAnalysis[[#Headers],[CCCM]:[WASH]], "")))</f>
        <v>WASH</v>
      </c>
      <c r="AW213" s="190">
        <f>IFERROR(tblPiNAnalysis[[#This Row],[3rd Highest PiN]]/tblPiNAnalysis[[#This Row],[Affected population projection 2026]], "")</f>
        <v>0.74999999999999978</v>
      </c>
      <c r="AX213" s="45">
        <f>IFERROR(tblPiNAnalysis[[#This Row],[Highest PiN]]-tblPiNAnalysis[[#This Row],[3rd Highest PiN]],"")</f>
        <v>23572.531349108074</v>
      </c>
      <c r="AY213" s="39">
        <f>IFERROR(tblPiNAnalysis[[#This Row],[Difference of PiN between Highest and 3rd Highest]]/tblPiNAnalysis[[#This Row],[3rd Highest PiN]], "")</f>
        <v>0.19886137351358399</v>
      </c>
      <c r="AZ213" s="330" t="str" cm="1">
        <f t="array" ref="AZ2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3" s="300" t="str" cm="1">
        <f t="array" ref="BA213">IFERROR(IF(tblPiNAnalysis[[#This Row],[ID]]="", "", INDEX(tblPiNHistorical[[CCCM]:[WASH]], MATCH(tblPiNAnalysis[[#This Row],[ID]],tblPiNHistorical[ID], 0),MATCH(_xlfn._xlws.FILTER(tblPiNAnalysis[[#Headers],[CCCM]:[WASH]], tblPiNAnalysis[[#This Row],[Highest PiN]]=tblPiNAnalysis[[#This Row],[CCCM]:[WASH]]), tblPiNHistorical[[#Headers],[CCCM]:[WASH]], 0))), "")</f>
        <v/>
      </c>
      <c r="BB213" s="333" t="str" cm="1">
        <f t="array" ref="BB2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3" s="276" t="str" cm="1">
        <f t="array" ref="BC213">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3" s="334" t="str" cm="1">
        <f t="array" ref="BD2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3" s="276">
        <f>INDEX(tblSeverityAnalysis[Final Severity], MATCH(tblPiNAnalysis[[#This Row],[ID]],tblSeverityAnalysis[ID], 0))</f>
        <v>5</v>
      </c>
      <c r="BF213" s="61">
        <f>IF(tblPiNAnalysis[[#This Row],[Severity]]&gt;2,tblPiNAnalysis[[#This Row],[Highest PiN]],)</f>
        <v>142110.0378171395</v>
      </c>
      <c r="BG213" s="191"/>
      <c r="BH213" s="192"/>
      <c r="BI213" s="193">
        <f>COUNTIFS(tblPiNAnalysis[[#This Row],[Number of missing / zero PiNs greater than threshold - Data quality]:[Manual Flag]],"Flagged")</f>
        <v>0</v>
      </c>
      <c r="BJ213" s="96" t="str">
        <f>IF(tblPiNAnalysis[[#This Row],['# Flags]]&gt;0, "Flagged", "")</f>
        <v/>
      </c>
      <c r="BK213" s="326">
        <f>tblPiNAnalysis[[#This Row],[Preliminary PiN]]</f>
        <v>142110.0378171395</v>
      </c>
      <c r="BL213" s="331"/>
    </row>
    <row r="214" spans="1:64" x14ac:dyDescent="0.55000000000000004">
      <c r="A21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SS0705</v>
      </c>
      <c r="B214" s="316" t="s">
        <v>342</v>
      </c>
      <c r="C214" s="317" t="s">
        <v>343</v>
      </c>
      <c r="D214" s="317" t="s">
        <v>352</v>
      </c>
      <c r="E214" s="105" t="s">
        <v>353</v>
      </c>
      <c r="F214" s="100"/>
      <c r="G214" s="34"/>
      <c r="H214" s="34"/>
      <c r="I214" s="97">
        <v>25766.491604712341</v>
      </c>
      <c r="J214" s="97" t="s">
        <v>414</v>
      </c>
      <c r="K214" s="318">
        <v>3864.973740706851</v>
      </c>
      <c r="L214" s="319">
        <v>8874.6367541988493</v>
      </c>
      <c r="M214" s="319">
        <v>7995.02529353717</v>
      </c>
      <c r="N214" s="319">
        <v>16784.628773650235</v>
      </c>
      <c r="O214" s="319">
        <v>14656.848379685682</v>
      </c>
      <c r="P214" s="319">
        <v>17004</v>
      </c>
      <c r="Q214" s="320">
        <v>19563.447329503815</v>
      </c>
      <c r="R214" s="319">
        <v>12883.24580235617</v>
      </c>
      <c r="S214" s="319">
        <v>10519</v>
      </c>
      <c r="T214" s="319">
        <v>10295</v>
      </c>
      <c r="U214" s="319">
        <v>14020</v>
      </c>
      <c r="V214" s="319">
        <v>6787</v>
      </c>
      <c r="W214" s="321">
        <f>IFERROR(IF(tblPiNAnalysis[[#This Row],[CCCM]]="", "", MROUND(tblPiNAnalysis[[#This Row],[CCCM]]/tblPiNAnalysis[[#This Row],[Affected population projection 2026]], 0.05)), "")</f>
        <v>0.15000000000000002</v>
      </c>
      <c r="X214" s="322">
        <f>IFERROR(IF(tblPiNAnalysis[[#This Row],[Education]]="", "", MROUND(tblPiNAnalysis[[#This Row],[Education]]/tblPiNAnalysis[[#This Row],[Affected population projection 2026]], 0.05)), "")</f>
        <v>0.35000000000000003</v>
      </c>
      <c r="Y214" s="322">
        <f>IFERROR(IF(tblPiNAnalysis[[#This Row],[Nutrition]]="", "", MROUND(tblPiNAnalysis[[#This Row],[Nutrition]]/tblPiNAnalysis[[#This Row],[Affected population projection 2026]], 0.05)), "")</f>
        <v>0.30000000000000004</v>
      </c>
      <c r="Z214" s="322">
        <f>IFERROR(IF(tblPiNAnalysis[[#This Row],[Food Security]]="", "", MROUND(tblPiNAnalysis[[#This Row],[Food Security]]/tblPiNAnalysis[[#This Row],[Affected population projection 2026]], 0.05)), "")</f>
        <v>0.65</v>
      </c>
      <c r="AA214" s="322">
        <f>IFERROR(IF(tblPiNAnalysis[[#This Row],[Health]]="", "", MROUND(tblPiNAnalysis[[#This Row],[Health]]/tblPiNAnalysis[[#This Row],[Affected population projection 2026]], 0.05)), "")</f>
        <v>0.55000000000000004</v>
      </c>
      <c r="AB214" s="323">
        <f>IFERROR(IF(tblPiNAnalysis[[#This Row],[Overarching Protection]]="", "", MROUND(tblPiNAnalysis[[#This Row],[Overarching Protection]]/tblPiNAnalysis[[#This Row],[Affected population projection 2026]], 0.05)), "")</f>
        <v>0.65</v>
      </c>
      <c r="AC214" s="323">
        <f>IFERROR(IF(tblPiNAnalysis[[#This Row],[Shelter]]="", "", MROUND(tblPiNAnalysis[[#This Row],[Shelter]]/tblPiNAnalysis[[#This Row],[Affected population projection 2026]], 0.05)), "")</f>
        <v>0.75</v>
      </c>
      <c r="AD214" s="324">
        <f>IFERROR(IF(tblPiNAnalysis[[#This Row],[WASH]]="", "", MROUND(tblPiNAnalysis[[#This Row],[WASH]]/tblPiNAnalysis[[#This Row],[Affected population projection 2026]], 0.05)), "")</f>
        <v>0.5</v>
      </c>
      <c r="AE214" s="322">
        <f>IFERROR(MROUND(tblPiNAnalysis[[#This Row],[CP]]/tblPiNAnalysis[[#This Row],[Affected population projection 2026]], 0.05), "")</f>
        <v>0.4</v>
      </c>
      <c r="AF214" s="322">
        <f>IFERROR(MROUND(tblPiNAnalysis[[#This Row],[GBV]]/tblPiNAnalysis[[#This Row],[Affected population projection 2026]], 0.05), "")</f>
        <v>0.4</v>
      </c>
      <c r="AG214" s="322">
        <f>IFERROR(MROUND(tblPiNAnalysis[[#This Row],[Mine Action]]/tblPiNAnalysis[[#This Row],[Affected population projection 2026]], 0.05), "")</f>
        <v>0.55000000000000004</v>
      </c>
      <c r="AH214" s="322">
        <f>IFERROR(MROUND(tblPiNAnalysis[[#This Row],[HLP]]/tblPiNAnalysis[[#This Row],[Affected population projection 2026]], 0.05), "")</f>
        <v>0.25</v>
      </c>
      <c r="AI214" s="325">
        <f>IFERROR(LARGE(tblPiNAnalysis[[#This Row],[CCCM]:[WASH]], 1), "")</f>
        <v>19563.447329503815</v>
      </c>
      <c r="AJ214" s="326" t="str" cm="1">
        <f t="array" ref="AJ214">IF(tblPiNAnalysis[[#This Row],[Highest PiN]]="", "", _xlfn.TEXTJOIN(CHAR(10), TRUE, IF(tblPiNAnalysis[[#This Row],[Highest PiN]]=tblPiNAnalysis[[#This Row],[CCCM]:[WASH]], tblPiNAnalysis[[#Headers],[CCCM]:[WASH]], "")))</f>
        <v>Shelter</v>
      </c>
      <c r="AK214" s="327">
        <f>IF(tblPiNAnalysis[[#This Row],[Highest PiN]]="", "", tblPiNAnalysis[[#This Row],[Highest PiN]]/tblPiNAnalysis[[#This Row],[Affected population projection 2026]])</f>
        <v>0.7592592592592593</v>
      </c>
      <c r="AL214" s="328" t="str">
        <f>IF(SUM(tblPiNAnalysis[[#This Row],[CCCM]:[WASH]])=0, "",IF(COUNTIF(tblPiNAnalysis[[#This Row],[CCCM]:[WASH]],"=0")+COUNTIF(tblPiNAnalysis[[#This Row],[CCCM]:[WASH]],"")&gt;=zero_pin_thresh, "Flagged", ""))</f>
        <v/>
      </c>
      <c r="AM214" s="329" t="str">
        <f>IFERROR(IF(tblPiNAnalysis[[#This Row],[Highest PiN]]="", "", IF(tblPiNAnalysis[[#This Row],[Highest sector(s'') PiN %]]&gt;=flag_pin_perc, "Flagged", "")), "")</f>
        <v/>
      </c>
      <c r="AN214" s="330" t="str" cm="1">
        <f t="array" ref="AN214">IF(tblPiNAnalysis[[#This Row],[Highest PiN]]=0, "",  IF(OR(COUNTIF(tblPiNAnalysis[[#This Row],[Highest sector(s)]],tblSubSectorPopulation[Sector])), "Flagged", ""))</f>
        <v/>
      </c>
      <c r="AO214" s="46" cm="1">
        <f t="array" ref="AO2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17004</v>
      </c>
      <c r="AP214" s="331" t="str" cm="1">
        <f t="array" ref="AP214">IF(tblPiNAnalysis[[#This Row],[2nd Highest PiN]]="", "", _xlfn.TEXTJOIN(CHAR(10), TRUE, IF(tblPiNAnalysis[[#This Row],[2nd Highest PiN]]=tblPiNAnalysis[[#This Row],[CCCM]:[WASH]], tblPiNAnalysis[[#Headers],[CCCM]:[WASH]], "")))</f>
        <v>Overarching Protection</v>
      </c>
      <c r="AQ214" s="36">
        <f>IFERROR(tblPiNAnalysis[[#This Row],[2nd Highest PiN]]/tblPiNAnalysis[[#This Row],[Affected population projection 2026]], "")</f>
        <v>0.65992686396196054</v>
      </c>
      <c r="AR214" s="46">
        <f>IFERROR(tblPiNAnalysis[[#This Row],[Highest PiN]]-tblPiNAnalysis[[#This Row],[2nd Highest PiN]], "")</f>
        <v>2559.4473295038151</v>
      </c>
      <c r="AS214" s="39">
        <f>IFERROR(((tblPiNAnalysis[[#This Row],[Highest PiN]]-tblPiNAnalysis[[#This Row],[2nd Highest PiN]])/tblPiNAnalysis[[#This Row],[2nd Highest PiN]]),"")</f>
        <v>0.15052030872170166</v>
      </c>
      <c r="AT214" s="39" t="str" cm="1">
        <f t="array" ref="AT2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4" s="332" cm="1">
        <f t="array" ref="AU2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16784.628773650235</v>
      </c>
      <c r="AV214" s="190" t="str" cm="1">
        <f t="array" ref="AV214">IF(tblPiNAnalysis[[#This Row],[3rd Highest PiN]]="", "", _xlfn.TEXTJOIN(CHAR(10), TRUE, IF(tblPiNAnalysis[[#This Row],[3rd Highest PiN]]=tblPiNAnalysis[[#This Row],[CCCM]:[WASH]], tblPiNAnalysis[[#Headers],[CCCM]:[WASH]], "")))</f>
        <v>Food Security</v>
      </c>
      <c r="AW214" s="190">
        <f>IFERROR(tblPiNAnalysis[[#This Row],[3rd Highest PiN]]/tblPiNAnalysis[[#This Row],[Affected population projection 2026]], "")</f>
        <v>0.65141304571634251</v>
      </c>
      <c r="AX214" s="45">
        <f>IFERROR(tblPiNAnalysis[[#This Row],[Highest PiN]]-tblPiNAnalysis[[#This Row],[3rd Highest PiN]],"")</f>
        <v>2778.8185558535806</v>
      </c>
      <c r="AY214" s="39">
        <f>IFERROR(tblPiNAnalysis[[#This Row],[Difference of PiN between Highest and 3rd Highest]]/tblPiNAnalysis[[#This Row],[3rd Highest PiN]], "")</f>
        <v>0.16555734376538478</v>
      </c>
      <c r="AZ214" s="330" t="str" cm="1">
        <f t="array" ref="AZ2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4" s="300" t="str" cm="1">
        <f t="array" ref="BA214">IFERROR(IF(tblPiNAnalysis[[#This Row],[ID]]="", "", INDEX(tblPiNHistorical[[CCCM]:[WASH]], MATCH(tblPiNAnalysis[[#This Row],[ID]],tblPiNHistorical[ID], 0),MATCH(_xlfn._xlws.FILTER(tblPiNAnalysis[[#Headers],[CCCM]:[WASH]], tblPiNAnalysis[[#This Row],[Highest PiN]]=tblPiNAnalysis[[#This Row],[CCCM]:[WASH]]), tblPiNHistorical[[#Headers],[CCCM]:[WASH]], 0))), "")</f>
        <v/>
      </c>
      <c r="BB214" s="333" t="str" cm="1">
        <f t="array" ref="BB2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4" s="276" t="str" cm="1">
        <f t="array" ref="BC214">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4" s="334" t="str" cm="1">
        <f t="array" ref="BD2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4" s="276">
        <f>INDEX(tblSeverityAnalysis[Final Severity], MATCH(tblPiNAnalysis[[#This Row],[ID]],tblSeverityAnalysis[ID], 0))</f>
        <v>4</v>
      </c>
      <c r="BF214" s="61">
        <f>IF(tblPiNAnalysis[[#This Row],[Severity]]&gt;2,tblPiNAnalysis[[#This Row],[Highest PiN]],)</f>
        <v>19563.447329503815</v>
      </c>
      <c r="BG214" s="191"/>
      <c r="BH214" s="192"/>
      <c r="BI214" s="193">
        <f>COUNTIFS(tblPiNAnalysis[[#This Row],[Number of missing / zero PiNs greater than threshold - Data quality]:[Manual Flag]],"Flagged")</f>
        <v>0</v>
      </c>
      <c r="BJ214" s="96" t="str">
        <f>IF(tblPiNAnalysis[[#This Row],['# Flags]]&gt;0, "Flagged", "")</f>
        <v/>
      </c>
      <c r="BK214" s="326">
        <f>tblPiNAnalysis[[#This Row],[Preliminary PiN]]</f>
        <v>19563.447329503815</v>
      </c>
      <c r="BL214" s="331"/>
    </row>
    <row r="215" spans="1:64" x14ac:dyDescent="0.55000000000000004">
      <c r="A21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SS0706</v>
      </c>
      <c r="B215" s="316" t="s">
        <v>342</v>
      </c>
      <c r="C215" s="317" t="s">
        <v>343</v>
      </c>
      <c r="D215" s="317" t="s">
        <v>354</v>
      </c>
      <c r="E215" s="105" t="s">
        <v>355</v>
      </c>
      <c r="F215" s="100"/>
      <c r="G215" s="34"/>
      <c r="H215" s="34"/>
      <c r="I215" s="97">
        <v>43189.075569026623</v>
      </c>
      <c r="J215" s="97" t="s">
        <v>414</v>
      </c>
      <c r="K215" s="318">
        <v>6478.3613353539931</v>
      </c>
      <c r="L215" s="319">
        <v>8117.179445635823</v>
      </c>
      <c r="M215" s="319">
        <v>13758.146796365621</v>
      </c>
      <c r="N215" s="319">
        <v>25828.661119600776</v>
      </c>
      <c r="O215" s="319">
        <v>18939.369573208412</v>
      </c>
      <c r="P215" s="319">
        <v>28413</v>
      </c>
      <c r="Q215" s="320">
        <v>17275.630227610647</v>
      </c>
      <c r="R215" s="319">
        <v>34791.199763938115</v>
      </c>
      <c r="S215" s="319">
        <v>10279</v>
      </c>
      <c r="T215" s="319">
        <v>16350</v>
      </c>
      <c r="U215" s="319">
        <v>22805</v>
      </c>
      <c r="V215" s="319">
        <v>17786</v>
      </c>
      <c r="W215" s="321">
        <f>IFERROR(IF(tblPiNAnalysis[[#This Row],[CCCM]]="", "", MROUND(tblPiNAnalysis[[#This Row],[CCCM]]/tblPiNAnalysis[[#This Row],[Affected population projection 2026]], 0.05)), "")</f>
        <v>0.15000000000000002</v>
      </c>
      <c r="X215" s="322">
        <f>IFERROR(IF(tblPiNAnalysis[[#This Row],[Education]]="", "", MROUND(tblPiNAnalysis[[#This Row],[Education]]/tblPiNAnalysis[[#This Row],[Affected population projection 2026]], 0.05)), "")</f>
        <v>0.2</v>
      </c>
      <c r="Y215" s="322">
        <f>IFERROR(IF(tblPiNAnalysis[[#This Row],[Nutrition]]="", "", MROUND(tblPiNAnalysis[[#This Row],[Nutrition]]/tblPiNAnalysis[[#This Row],[Affected population projection 2026]], 0.05)), "")</f>
        <v>0.30000000000000004</v>
      </c>
      <c r="Z215" s="322">
        <f>IFERROR(IF(tblPiNAnalysis[[#This Row],[Food Security]]="", "", MROUND(tblPiNAnalysis[[#This Row],[Food Security]]/tblPiNAnalysis[[#This Row],[Affected population projection 2026]], 0.05)), "")</f>
        <v>0.60000000000000009</v>
      </c>
      <c r="AA215" s="322">
        <f>IFERROR(IF(tblPiNAnalysis[[#This Row],[Health]]="", "", MROUND(tblPiNAnalysis[[#This Row],[Health]]/tblPiNAnalysis[[#This Row],[Affected population projection 2026]], 0.05)), "")</f>
        <v>0.45</v>
      </c>
      <c r="AB215" s="323">
        <f>IFERROR(IF(tblPiNAnalysis[[#This Row],[Overarching Protection]]="", "", MROUND(tblPiNAnalysis[[#This Row],[Overarching Protection]]/tblPiNAnalysis[[#This Row],[Affected population projection 2026]], 0.05)), "")</f>
        <v>0.65</v>
      </c>
      <c r="AC215" s="323">
        <f>IFERROR(IF(tblPiNAnalysis[[#This Row],[Shelter]]="", "", MROUND(tblPiNAnalysis[[#This Row],[Shelter]]/tblPiNAnalysis[[#This Row],[Affected population projection 2026]], 0.05)), "")</f>
        <v>0.4</v>
      </c>
      <c r="AD215" s="324">
        <f>IFERROR(IF(tblPiNAnalysis[[#This Row],[WASH]]="", "", MROUND(tblPiNAnalysis[[#This Row],[WASH]]/tblPiNAnalysis[[#This Row],[Affected population projection 2026]], 0.05)), "")</f>
        <v>0.8</v>
      </c>
      <c r="AE215" s="322">
        <f>IFERROR(MROUND(tblPiNAnalysis[[#This Row],[CP]]/tblPiNAnalysis[[#This Row],[Affected population projection 2026]], 0.05), "")</f>
        <v>0.25</v>
      </c>
      <c r="AF215" s="322">
        <f>IFERROR(MROUND(tblPiNAnalysis[[#This Row],[GBV]]/tblPiNAnalysis[[#This Row],[Affected population projection 2026]], 0.05), "")</f>
        <v>0.4</v>
      </c>
      <c r="AG215" s="322">
        <f>IFERROR(MROUND(tblPiNAnalysis[[#This Row],[Mine Action]]/tblPiNAnalysis[[#This Row],[Affected population projection 2026]], 0.05), "")</f>
        <v>0.55000000000000004</v>
      </c>
      <c r="AH215" s="322">
        <f>IFERROR(MROUND(tblPiNAnalysis[[#This Row],[HLP]]/tblPiNAnalysis[[#This Row],[Affected population projection 2026]], 0.05), "")</f>
        <v>0.4</v>
      </c>
      <c r="AI215" s="325">
        <f>IFERROR(LARGE(tblPiNAnalysis[[#This Row],[CCCM]:[WASH]], 1), "")</f>
        <v>34791.199763938115</v>
      </c>
      <c r="AJ215" s="326" t="str" cm="1">
        <f t="array" ref="AJ215">IF(tblPiNAnalysis[[#This Row],[Highest PiN]]="", "", _xlfn.TEXTJOIN(CHAR(10), TRUE, IF(tblPiNAnalysis[[#This Row],[Highest PiN]]=tblPiNAnalysis[[#This Row],[CCCM]:[WASH]], tblPiNAnalysis[[#Headers],[CCCM]:[WASH]], "")))</f>
        <v>WASH</v>
      </c>
      <c r="AK215" s="327">
        <f>IF(tblPiNAnalysis[[#This Row],[Highest PiN]]="", "", tblPiNAnalysis[[#This Row],[Highest PiN]]/tblPiNAnalysis[[#This Row],[Affected population projection 2026]])</f>
        <v>0.80555555555555558</v>
      </c>
      <c r="AL215" s="328" t="str">
        <f>IF(SUM(tblPiNAnalysis[[#This Row],[CCCM]:[WASH]])=0, "",IF(COUNTIF(tblPiNAnalysis[[#This Row],[CCCM]:[WASH]],"=0")+COUNTIF(tblPiNAnalysis[[#This Row],[CCCM]:[WASH]],"")&gt;=zero_pin_thresh, "Flagged", ""))</f>
        <v/>
      </c>
      <c r="AM215" s="329" t="str">
        <f>IFERROR(IF(tblPiNAnalysis[[#This Row],[Highest PiN]]="", "", IF(tblPiNAnalysis[[#This Row],[Highest sector(s'') PiN %]]&gt;=flag_pin_perc, "Flagged", "")), "")</f>
        <v/>
      </c>
      <c r="AN215" s="330" t="str" cm="1">
        <f t="array" ref="AN215">IF(tblPiNAnalysis[[#This Row],[Highest PiN]]=0, "",  IF(OR(COUNTIF(tblPiNAnalysis[[#This Row],[Highest sector(s)]],tblSubSectorPopulation[Sector])), "Flagged", ""))</f>
        <v/>
      </c>
      <c r="AO215" s="46" cm="1">
        <f t="array" ref="AO2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28413</v>
      </c>
      <c r="AP215" s="331" t="str" cm="1">
        <f t="array" ref="AP215">IF(tblPiNAnalysis[[#This Row],[2nd Highest PiN]]="", "", _xlfn.TEXTJOIN(CHAR(10), TRUE, IF(tblPiNAnalysis[[#This Row],[2nd Highest PiN]]=tblPiNAnalysis[[#This Row],[CCCM]:[WASH]], tblPiNAnalysis[[#Headers],[CCCM]:[WASH]], "")))</f>
        <v>Overarching Protection</v>
      </c>
      <c r="AQ215" s="36">
        <f>IFERROR(tblPiNAnalysis[[#This Row],[2nd Highest PiN]]/tblPiNAnalysis[[#This Row],[Affected population projection 2026]], "")</f>
        <v>0.65787469691471245</v>
      </c>
      <c r="AR215" s="46">
        <f>IFERROR(tblPiNAnalysis[[#This Row],[Highest PiN]]-tblPiNAnalysis[[#This Row],[2nd Highest PiN]], "")</f>
        <v>6378.1997639381152</v>
      </c>
      <c r="AS215" s="39">
        <f>IFERROR(((tblPiNAnalysis[[#This Row],[Highest PiN]]-tblPiNAnalysis[[#This Row],[2nd Highest PiN]])/tblPiNAnalysis[[#This Row],[2nd Highest PiN]]),"")</f>
        <v>0.22448174300278448</v>
      </c>
      <c r="AT215" s="39" t="str" cm="1">
        <f t="array" ref="AT2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5" s="332" cm="1">
        <f t="array" ref="AU2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25828.661119600776</v>
      </c>
      <c r="AV215" s="190" t="str" cm="1">
        <f t="array" ref="AV215">IF(tblPiNAnalysis[[#This Row],[3rd Highest PiN]]="", "", _xlfn.TEXTJOIN(CHAR(10), TRUE, IF(tblPiNAnalysis[[#This Row],[3rd Highest PiN]]=tblPiNAnalysis[[#This Row],[CCCM]:[WASH]], tblPiNAnalysis[[#Headers],[CCCM]:[WASH]], "")))</f>
        <v>Food Security</v>
      </c>
      <c r="AW215" s="190">
        <f>IFERROR(tblPiNAnalysis[[#This Row],[3rd Highest PiN]]/tblPiNAnalysis[[#This Row],[Affected population projection 2026]], "")</f>
        <v>0.59803690584486602</v>
      </c>
      <c r="AX215" s="45">
        <f>IFERROR(tblPiNAnalysis[[#This Row],[Highest PiN]]-tblPiNAnalysis[[#This Row],[3rd Highest PiN]],"")</f>
        <v>8962.5386443373391</v>
      </c>
      <c r="AY215" s="39">
        <f>IFERROR(tblPiNAnalysis[[#This Row],[Difference of PiN between Highest and 3rd Highest]]/tblPiNAnalysis[[#This Row],[3rd Highest PiN]], "")</f>
        <v>0.34699973811402385</v>
      </c>
      <c r="AZ215" s="330" t="str" cm="1">
        <f t="array" ref="AZ2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5" s="300" t="str" cm="1">
        <f t="array" ref="BA215">IFERROR(IF(tblPiNAnalysis[[#This Row],[ID]]="", "", INDEX(tblPiNHistorical[[CCCM]:[WASH]], MATCH(tblPiNAnalysis[[#This Row],[ID]],tblPiNHistorical[ID], 0),MATCH(_xlfn._xlws.FILTER(tblPiNAnalysis[[#Headers],[CCCM]:[WASH]], tblPiNAnalysis[[#This Row],[Highest PiN]]=tblPiNAnalysis[[#This Row],[CCCM]:[WASH]]), tblPiNHistorical[[#Headers],[CCCM]:[WASH]], 0))), "")</f>
        <v/>
      </c>
      <c r="BB215" s="333" t="str" cm="1">
        <f t="array" ref="BB2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5" s="276" t="str" cm="1">
        <f t="array" ref="BC21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5" s="334" t="str" cm="1">
        <f t="array" ref="BD2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5" s="276">
        <f>INDEX(tblSeverityAnalysis[Final Severity], MATCH(tblPiNAnalysis[[#This Row],[ID]],tblSeverityAnalysis[ID], 0))</f>
        <v>3</v>
      </c>
      <c r="BF215" s="61">
        <f>IF(tblPiNAnalysis[[#This Row],[Severity]]&gt;2,tblPiNAnalysis[[#This Row],[Highest PiN]],)</f>
        <v>34791.199763938115</v>
      </c>
      <c r="BG215" s="191"/>
      <c r="BH215" s="192"/>
      <c r="BI215" s="193">
        <f>COUNTIFS(tblPiNAnalysis[[#This Row],[Number of missing / zero PiNs greater than threshold - Data quality]:[Manual Flag]],"Flagged")</f>
        <v>0</v>
      </c>
      <c r="BJ215" s="96" t="str">
        <f>IF(tblPiNAnalysis[[#This Row],['# Flags]]&gt;0, "Flagged", "")</f>
        <v/>
      </c>
      <c r="BK215" s="326">
        <f>tblPiNAnalysis[[#This Row],[Preliminary PiN]]</f>
        <v>34791.199763938115</v>
      </c>
      <c r="BL215" s="331"/>
    </row>
    <row r="216" spans="1:64" x14ac:dyDescent="0.55000000000000004">
      <c r="A21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SS0707</v>
      </c>
      <c r="B216" s="316" t="s">
        <v>342</v>
      </c>
      <c r="C216" s="317" t="s">
        <v>343</v>
      </c>
      <c r="D216" s="317" t="s">
        <v>356</v>
      </c>
      <c r="E216" s="105" t="s">
        <v>357</v>
      </c>
      <c r="F216" s="100"/>
      <c r="G216" s="34"/>
      <c r="H216" s="34"/>
      <c r="I216" s="97">
        <v>12690.76710511266</v>
      </c>
      <c r="J216" s="97" t="s">
        <v>414</v>
      </c>
      <c r="K216" s="318">
        <v>1903.6150657668989</v>
      </c>
      <c r="L216" s="319">
        <v>355.58514167157261</v>
      </c>
      <c r="M216" s="319">
        <v>4640.4143331105124</v>
      </c>
      <c r="N216" s="319">
        <v>10271.8459241485</v>
      </c>
      <c r="O216" s="319">
        <v>8575.119729918777</v>
      </c>
      <c r="P216" s="319">
        <v>8299</v>
      </c>
      <c r="Q216" s="320">
        <v>12690.76710511266</v>
      </c>
      <c r="R216" s="319">
        <v>10061.14869594517</v>
      </c>
      <c r="S216" s="319">
        <v>4971</v>
      </c>
      <c r="T216" s="319">
        <v>1711</v>
      </c>
      <c r="U216" s="319">
        <v>2314</v>
      </c>
      <c r="V216" s="319">
        <v>3364</v>
      </c>
      <c r="W216" s="321">
        <f>IFERROR(IF(tblPiNAnalysis[[#This Row],[CCCM]]="", "", MROUND(tblPiNAnalysis[[#This Row],[CCCM]]/tblPiNAnalysis[[#This Row],[Affected population projection 2026]], 0.05)), "")</f>
        <v>0.15000000000000002</v>
      </c>
      <c r="X216" s="322">
        <f>IFERROR(IF(tblPiNAnalysis[[#This Row],[Education]]="", "", MROUND(tblPiNAnalysis[[#This Row],[Education]]/tblPiNAnalysis[[#This Row],[Affected population projection 2026]], 0.05)), "")</f>
        <v>0.05</v>
      </c>
      <c r="Y216" s="322">
        <f>IFERROR(IF(tblPiNAnalysis[[#This Row],[Nutrition]]="", "", MROUND(tblPiNAnalysis[[#This Row],[Nutrition]]/tblPiNAnalysis[[#This Row],[Affected population projection 2026]], 0.05)), "")</f>
        <v>0.35000000000000003</v>
      </c>
      <c r="Z216" s="322">
        <f>IFERROR(IF(tblPiNAnalysis[[#This Row],[Food Security]]="", "", MROUND(tblPiNAnalysis[[#This Row],[Food Security]]/tblPiNAnalysis[[#This Row],[Affected population projection 2026]], 0.05)), "")</f>
        <v>0.8</v>
      </c>
      <c r="AA216" s="322">
        <f>IFERROR(IF(tblPiNAnalysis[[#This Row],[Health]]="", "", MROUND(tblPiNAnalysis[[#This Row],[Health]]/tblPiNAnalysis[[#This Row],[Affected population projection 2026]], 0.05)), "")</f>
        <v>0.70000000000000007</v>
      </c>
      <c r="AB216" s="323">
        <f>IFERROR(IF(tblPiNAnalysis[[#This Row],[Overarching Protection]]="", "", MROUND(tblPiNAnalysis[[#This Row],[Overarching Protection]]/tblPiNAnalysis[[#This Row],[Affected population projection 2026]], 0.05)), "")</f>
        <v>0.65</v>
      </c>
      <c r="AC216" s="323">
        <f>IFERROR(IF(tblPiNAnalysis[[#This Row],[Shelter]]="", "", MROUND(tblPiNAnalysis[[#This Row],[Shelter]]/tblPiNAnalysis[[#This Row],[Affected population projection 2026]], 0.05)), "")</f>
        <v>1</v>
      </c>
      <c r="AD216" s="324">
        <f>IFERROR(IF(tblPiNAnalysis[[#This Row],[WASH]]="", "", MROUND(tblPiNAnalysis[[#This Row],[WASH]]/tblPiNAnalysis[[#This Row],[Affected population projection 2026]], 0.05)), "")</f>
        <v>0.8</v>
      </c>
      <c r="AE216" s="322">
        <f>IFERROR(MROUND(tblPiNAnalysis[[#This Row],[CP]]/tblPiNAnalysis[[#This Row],[Affected population projection 2026]], 0.05), "")</f>
        <v>0.4</v>
      </c>
      <c r="AF216" s="322">
        <f>IFERROR(MROUND(tblPiNAnalysis[[#This Row],[GBV]]/tblPiNAnalysis[[#This Row],[Affected population projection 2026]], 0.05), "")</f>
        <v>0.15000000000000002</v>
      </c>
      <c r="AG216" s="322">
        <f>IFERROR(MROUND(tblPiNAnalysis[[#This Row],[Mine Action]]/tblPiNAnalysis[[#This Row],[Affected population projection 2026]], 0.05), "")</f>
        <v>0.2</v>
      </c>
      <c r="AH216" s="322">
        <f>IFERROR(MROUND(tblPiNAnalysis[[#This Row],[HLP]]/tblPiNAnalysis[[#This Row],[Affected population projection 2026]], 0.05), "")</f>
        <v>0.25</v>
      </c>
      <c r="AI216" s="325">
        <f>IFERROR(LARGE(tblPiNAnalysis[[#This Row],[CCCM]:[WASH]], 1), "")</f>
        <v>12690.76710511266</v>
      </c>
      <c r="AJ216" s="326" t="str" cm="1">
        <f t="array" ref="AJ216">IF(tblPiNAnalysis[[#This Row],[Highest PiN]]="", "", _xlfn.TEXTJOIN(CHAR(10), TRUE, IF(tblPiNAnalysis[[#This Row],[Highest PiN]]=tblPiNAnalysis[[#This Row],[CCCM]:[WASH]], tblPiNAnalysis[[#Headers],[CCCM]:[WASH]], "")))</f>
        <v>Shelter</v>
      </c>
      <c r="AK216" s="327">
        <f>IF(tblPiNAnalysis[[#This Row],[Highest PiN]]="", "", tblPiNAnalysis[[#This Row],[Highest PiN]]/tblPiNAnalysis[[#This Row],[Affected population projection 2026]])</f>
        <v>1</v>
      </c>
      <c r="AL216" s="328" t="str">
        <f>IF(SUM(tblPiNAnalysis[[#This Row],[CCCM]:[WASH]])=0, "",IF(COUNTIF(tblPiNAnalysis[[#This Row],[CCCM]:[WASH]],"=0")+COUNTIF(tblPiNAnalysis[[#This Row],[CCCM]:[WASH]],"")&gt;=zero_pin_thresh, "Flagged", ""))</f>
        <v/>
      </c>
      <c r="AM216" s="329" t="str">
        <f>IFERROR(IF(tblPiNAnalysis[[#This Row],[Highest PiN]]="", "", IF(tblPiNAnalysis[[#This Row],[Highest sector(s'') PiN %]]&gt;=flag_pin_perc, "Flagged", "")), "")</f>
        <v>Flagged</v>
      </c>
      <c r="AN216" s="330" t="str" cm="1">
        <f t="array" ref="AN216">IF(tblPiNAnalysis[[#This Row],[Highest PiN]]=0, "",  IF(OR(COUNTIF(tblPiNAnalysis[[#This Row],[Highest sector(s)]],tblSubSectorPopulation[Sector])), "Flagged", ""))</f>
        <v/>
      </c>
      <c r="AO216" s="46" cm="1">
        <f t="array" ref="AO2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10271.8459241485</v>
      </c>
      <c r="AP216" s="331" t="str" cm="1">
        <f t="array" ref="AP216">IF(tblPiNAnalysis[[#This Row],[2nd Highest PiN]]="", "", _xlfn.TEXTJOIN(CHAR(10), TRUE, IF(tblPiNAnalysis[[#This Row],[2nd Highest PiN]]=tblPiNAnalysis[[#This Row],[CCCM]:[WASH]], tblPiNAnalysis[[#Headers],[CCCM]:[WASH]], "")))</f>
        <v>Food Security</v>
      </c>
      <c r="AQ216" s="36">
        <f>IFERROR(tblPiNAnalysis[[#This Row],[2nd Highest PiN]]/tblPiNAnalysis[[#This Row],[Affected population projection 2026]], "")</f>
        <v>0.80939519566239126</v>
      </c>
      <c r="AR216" s="46">
        <f>IFERROR(tblPiNAnalysis[[#This Row],[Highest PiN]]-tblPiNAnalysis[[#This Row],[2nd Highest PiN]], "")</f>
        <v>2418.9211809641602</v>
      </c>
      <c r="AS216" s="39">
        <f>IFERROR(((tblPiNAnalysis[[#This Row],[Highest PiN]]-tblPiNAnalysis[[#This Row],[2nd Highest PiN]])/tblPiNAnalysis[[#This Row],[2nd Highest PiN]]),"")</f>
        <v>0.23549040735486698</v>
      </c>
      <c r="AT216" s="39" t="str" cm="1">
        <f t="array" ref="AT2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6" s="332" cm="1">
        <f t="array" ref="AU2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10061.14869594517</v>
      </c>
      <c r="AV216" s="190" t="str" cm="1">
        <f t="array" ref="AV216">IF(tblPiNAnalysis[[#This Row],[3rd Highest PiN]]="", "", _xlfn.TEXTJOIN(CHAR(10), TRUE, IF(tblPiNAnalysis[[#This Row],[3rd Highest PiN]]=tblPiNAnalysis[[#This Row],[CCCM]:[WASH]], tblPiNAnalysis[[#Headers],[CCCM]:[WASH]], "")))</f>
        <v>WASH</v>
      </c>
      <c r="AW216" s="190">
        <f>IFERROR(tblPiNAnalysis[[#This Row],[3rd Highest PiN]]/tblPiNAnalysis[[#This Row],[Affected population projection 2026]], "")</f>
        <v>0.79279279279279269</v>
      </c>
      <c r="AX216" s="45">
        <f>IFERROR(tblPiNAnalysis[[#This Row],[Highest PiN]]-tblPiNAnalysis[[#This Row],[3rd Highest PiN]],"")</f>
        <v>2629.6184091674895</v>
      </c>
      <c r="AY216" s="39">
        <f>IFERROR(tblPiNAnalysis[[#This Row],[Difference of PiN between Highest and 3rd Highest]]/tblPiNAnalysis[[#This Row],[3rd Highest PiN]], "")</f>
        <v>0.26136363636363652</v>
      </c>
      <c r="AZ216" s="330" t="str" cm="1">
        <f t="array" ref="AZ2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6" s="300" t="str" cm="1">
        <f t="array" ref="BA216">IFERROR(IF(tblPiNAnalysis[[#This Row],[ID]]="", "", INDEX(tblPiNHistorical[[CCCM]:[WASH]], MATCH(tblPiNAnalysis[[#This Row],[ID]],tblPiNHistorical[ID], 0),MATCH(_xlfn._xlws.FILTER(tblPiNAnalysis[[#Headers],[CCCM]:[WASH]], tblPiNAnalysis[[#This Row],[Highest PiN]]=tblPiNAnalysis[[#This Row],[CCCM]:[WASH]]), tblPiNHistorical[[#Headers],[CCCM]:[WASH]], 0))), "")</f>
        <v/>
      </c>
      <c r="BB216" s="333" t="str" cm="1">
        <f t="array" ref="BB2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6" s="276" t="str" cm="1">
        <f t="array" ref="BC216">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6" s="334" t="str" cm="1">
        <f t="array" ref="BD2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6" s="276">
        <f>INDEX(tblSeverityAnalysis[Final Severity], MATCH(tblPiNAnalysis[[#This Row],[ID]],tblSeverityAnalysis[ID], 0))</f>
        <v>4</v>
      </c>
      <c r="BF216" s="61">
        <f>IF(tblPiNAnalysis[[#This Row],[Severity]]&gt;2,tblPiNAnalysis[[#This Row],[Highest PiN]],)</f>
        <v>12690.76710511266</v>
      </c>
      <c r="BG216" s="191"/>
      <c r="BH216" s="192"/>
      <c r="BI216" s="193">
        <f>COUNTIFS(tblPiNAnalysis[[#This Row],[Number of missing / zero PiNs greater than threshold - Data quality]:[Manual Flag]],"Flagged")</f>
        <v>1</v>
      </c>
      <c r="BJ216" s="96" t="str">
        <f>IF(tblPiNAnalysis[[#This Row],['# Flags]]&gt;0, "Flagged", "")</f>
        <v>Flagged</v>
      </c>
      <c r="BK216" s="326">
        <f>tblPiNAnalysis[[#This Row],[Preliminary PiN]]</f>
        <v>12690.76710511266</v>
      </c>
      <c r="BL216" s="331"/>
    </row>
    <row r="217" spans="1:64" x14ac:dyDescent="0.55000000000000004">
      <c r="A21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SS0708</v>
      </c>
      <c r="B217" s="316" t="s">
        <v>342</v>
      </c>
      <c r="C217" s="317" t="s">
        <v>343</v>
      </c>
      <c r="D217" s="317" t="s">
        <v>358</v>
      </c>
      <c r="E217" s="105" t="s">
        <v>359</v>
      </c>
      <c r="F217" s="100"/>
      <c r="G217" s="34"/>
      <c r="H217" s="34"/>
      <c r="I217" s="97">
        <v>24576.329269129605</v>
      </c>
      <c r="J217" s="97" t="s">
        <v>414</v>
      </c>
      <c r="K217" s="318">
        <v>3686.4493903694406</v>
      </c>
      <c r="L217" s="319">
        <v>2643.6265868217333</v>
      </c>
      <c r="M217" s="319">
        <v>9282.5257772875138</v>
      </c>
      <c r="N217" s="319">
        <v>17283.929073371444</v>
      </c>
      <c r="O217" s="319">
        <v>12121.356328320824</v>
      </c>
      <c r="P217" s="319">
        <v>15865</v>
      </c>
      <c r="Q217" s="320">
        <v>12934.91014164716</v>
      </c>
      <c r="R217" s="319">
        <v>20707.832995285127</v>
      </c>
      <c r="S217" s="319">
        <v>3613</v>
      </c>
      <c r="T217" s="319">
        <v>8057</v>
      </c>
      <c r="U217" s="319">
        <v>10144</v>
      </c>
      <c r="V217" s="319">
        <v>6510</v>
      </c>
      <c r="W217" s="321">
        <f>IFERROR(IF(tblPiNAnalysis[[#This Row],[CCCM]]="", "", MROUND(tblPiNAnalysis[[#This Row],[CCCM]]/tblPiNAnalysis[[#This Row],[Affected population projection 2026]], 0.05)), "")</f>
        <v>0.15000000000000002</v>
      </c>
      <c r="X217" s="322">
        <f>IFERROR(IF(tblPiNAnalysis[[#This Row],[Education]]="", "", MROUND(tblPiNAnalysis[[#This Row],[Education]]/tblPiNAnalysis[[#This Row],[Affected population projection 2026]], 0.05)), "")</f>
        <v>0.1</v>
      </c>
      <c r="Y217" s="322">
        <f>IFERROR(IF(tblPiNAnalysis[[#This Row],[Nutrition]]="", "", MROUND(tblPiNAnalysis[[#This Row],[Nutrition]]/tblPiNAnalysis[[#This Row],[Affected population projection 2026]], 0.05)), "")</f>
        <v>0.4</v>
      </c>
      <c r="Z217" s="322">
        <f>IFERROR(IF(tblPiNAnalysis[[#This Row],[Food Security]]="", "", MROUND(tblPiNAnalysis[[#This Row],[Food Security]]/tblPiNAnalysis[[#This Row],[Affected population projection 2026]], 0.05)), "")</f>
        <v>0.70000000000000007</v>
      </c>
      <c r="AA217" s="322">
        <f>IFERROR(IF(tblPiNAnalysis[[#This Row],[Health]]="", "", MROUND(tblPiNAnalysis[[#This Row],[Health]]/tblPiNAnalysis[[#This Row],[Affected population projection 2026]], 0.05)), "")</f>
        <v>0.5</v>
      </c>
      <c r="AB217" s="323">
        <f>IFERROR(IF(tblPiNAnalysis[[#This Row],[Overarching Protection]]="", "", MROUND(tblPiNAnalysis[[#This Row],[Overarching Protection]]/tblPiNAnalysis[[#This Row],[Affected population projection 2026]], 0.05)), "")</f>
        <v>0.65</v>
      </c>
      <c r="AC217" s="323">
        <f>IFERROR(IF(tblPiNAnalysis[[#This Row],[Shelter]]="", "", MROUND(tblPiNAnalysis[[#This Row],[Shelter]]/tblPiNAnalysis[[#This Row],[Affected population projection 2026]], 0.05)), "")</f>
        <v>0.55000000000000004</v>
      </c>
      <c r="AD217" s="324">
        <f>IFERROR(IF(tblPiNAnalysis[[#This Row],[WASH]]="", "", MROUND(tblPiNAnalysis[[#This Row],[WASH]]/tblPiNAnalysis[[#This Row],[Affected population projection 2026]], 0.05)), "")</f>
        <v>0.85000000000000009</v>
      </c>
      <c r="AE217" s="322">
        <f>IFERROR(MROUND(tblPiNAnalysis[[#This Row],[CP]]/tblPiNAnalysis[[#This Row],[Affected population projection 2026]], 0.05), "")</f>
        <v>0.15000000000000002</v>
      </c>
      <c r="AF217" s="322">
        <f>IFERROR(MROUND(tblPiNAnalysis[[#This Row],[GBV]]/tblPiNAnalysis[[#This Row],[Affected population projection 2026]], 0.05), "")</f>
        <v>0.35000000000000003</v>
      </c>
      <c r="AG217" s="322">
        <f>IFERROR(MROUND(tblPiNAnalysis[[#This Row],[Mine Action]]/tblPiNAnalysis[[#This Row],[Affected population projection 2026]], 0.05), "")</f>
        <v>0.4</v>
      </c>
      <c r="AH217" s="322">
        <f>IFERROR(MROUND(tblPiNAnalysis[[#This Row],[HLP]]/tblPiNAnalysis[[#This Row],[Affected population projection 2026]], 0.05), "")</f>
        <v>0.25</v>
      </c>
      <c r="AI217" s="325">
        <f>IFERROR(LARGE(tblPiNAnalysis[[#This Row],[CCCM]:[WASH]], 1), "")</f>
        <v>20707.832995285127</v>
      </c>
      <c r="AJ217" s="326" t="str" cm="1">
        <f t="array" ref="AJ217">IF(tblPiNAnalysis[[#This Row],[Highest PiN]]="", "", _xlfn.TEXTJOIN(CHAR(10), TRUE, IF(tblPiNAnalysis[[#This Row],[Highest PiN]]=tblPiNAnalysis[[#This Row],[CCCM]:[WASH]], tblPiNAnalysis[[#Headers],[CCCM]:[WASH]], "")))</f>
        <v>WASH</v>
      </c>
      <c r="AK217" s="327">
        <f>IF(tblPiNAnalysis[[#This Row],[Highest PiN]]="", "", tblPiNAnalysis[[#This Row],[Highest PiN]]/tblPiNAnalysis[[#This Row],[Affected population projection 2026]])</f>
        <v>0.84259259259259245</v>
      </c>
      <c r="AL217" s="328" t="str">
        <f>IF(SUM(tblPiNAnalysis[[#This Row],[CCCM]:[WASH]])=0, "",IF(COUNTIF(tblPiNAnalysis[[#This Row],[CCCM]:[WASH]],"=0")+COUNTIF(tblPiNAnalysis[[#This Row],[CCCM]:[WASH]],"")&gt;=zero_pin_thresh, "Flagged", ""))</f>
        <v/>
      </c>
      <c r="AM217" s="329" t="str">
        <f>IFERROR(IF(tblPiNAnalysis[[#This Row],[Highest PiN]]="", "", IF(tblPiNAnalysis[[#This Row],[Highest sector(s'') PiN %]]&gt;=flag_pin_perc, "Flagged", "")), "")</f>
        <v/>
      </c>
      <c r="AN217" s="330" t="str" cm="1">
        <f t="array" ref="AN217">IF(tblPiNAnalysis[[#This Row],[Highest PiN]]=0, "",  IF(OR(COUNTIF(tblPiNAnalysis[[#This Row],[Highest sector(s)]],tblSubSectorPopulation[Sector])), "Flagged", ""))</f>
        <v/>
      </c>
      <c r="AO217" s="46" cm="1">
        <f t="array" ref="AO2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17283.929073371444</v>
      </c>
      <c r="AP217" s="331" t="str" cm="1">
        <f t="array" ref="AP217">IF(tblPiNAnalysis[[#This Row],[2nd Highest PiN]]="", "", _xlfn.TEXTJOIN(CHAR(10), TRUE, IF(tblPiNAnalysis[[#This Row],[2nd Highest PiN]]=tblPiNAnalysis[[#This Row],[CCCM]:[WASH]], tblPiNAnalysis[[#Headers],[CCCM]:[WASH]], "")))</f>
        <v>Food Security</v>
      </c>
      <c r="AQ217" s="36">
        <f>IFERROR(tblPiNAnalysis[[#This Row],[2nd Highest PiN]]/tblPiNAnalysis[[#This Row],[Affected population projection 2026]], "")</f>
        <v>0.70327545192364571</v>
      </c>
      <c r="AR217" s="46">
        <f>IFERROR(tblPiNAnalysis[[#This Row],[Highest PiN]]-tblPiNAnalysis[[#This Row],[2nd Highest PiN]], "")</f>
        <v>3423.903921913683</v>
      </c>
      <c r="AS217" s="39">
        <f>IFERROR(((tblPiNAnalysis[[#This Row],[Highest PiN]]-tblPiNAnalysis[[#This Row],[2nd Highest PiN]])/tblPiNAnalysis[[#This Row],[2nd Highest PiN]]),"")</f>
        <v>0.19809754526178511</v>
      </c>
      <c r="AT217" s="39" t="str" cm="1">
        <f t="array" ref="AT2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7" s="332" cm="1">
        <f t="array" ref="AU2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15865</v>
      </c>
      <c r="AV217" s="190" t="str" cm="1">
        <f t="array" ref="AV217">IF(tblPiNAnalysis[[#This Row],[3rd Highest PiN]]="", "", _xlfn.TEXTJOIN(CHAR(10), TRUE, IF(tblPiNAnalysis[[#This Row],[3rd Highest PiN]]=tblPiNAnalysis[[#This Row],[CCCM]:[WASH]], tblPiNAnalysis[[#Headers],[CCCM]:[WASH]], "")))</f>
        <v>Overarching Protection</v>
      </c>
      <c r="AW217" s="190">
        <f>IFERROR(tblPiNAnalysis[[#This Row],[3rd Highest PiN]]/tblPiNAnalysis[[#This Row],[Affected population projection 2026]], "")</f>
        <v>0.64553985366431721</v>
      </c>
      <c r="AX217" s="45">
        <f>IFERROR(tblPiNAnalysis[[#This Row],[Highest PiN]]-tblPiNAnalysis[[#This Row],[3rd Highest PiN]],"")</f>
        <v>4842.8329952851273</v>
      </c>
      <c r="AY217" s="39">
        <f>IFERROR(tblPiNAnalysis[[#This Row],[Difference of PiN between Highest and 3rd Highest]]/tblPiNAnalysis[[#This Row],[3rd Highest PiN]], "")</f>
        <v>0.30525263128176028</v>
      </c>
      <c r="AZ217" s="330" t="str" cm="1">
        <f t="array" ref="AZ2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7" s="300" t="str" cm="1">
        <f t="array" ref="BA217">IFERROR(IF(tblPiNAnalysis[[#This Row],[ID]]="", "", INDEX(tblPiNHistorical[[CCCM]:[WASH]], MATCH(tblPiNAnalysis[[#This Row],[ID]],tblPiNHistorical[ID], 0),MATCH(_xlfn._xlws.FILTER(tblPiNAnalysis[[#Headers],[CCCM]:[WASH]], tblPiNAnalysis[[#This Row],[Highest PiN]]=tblPiNAnalysis[[#This Row],[CCCM]:[WASH]]), tblPiNHistorical[[#Headers],[CCCM]:[WASH]], 0))), "")</f>
        <v/>
      </c>
      <c r="BB217" s="333" t="str" cm="1">
        <f t="array" ref="BB2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7" s="276" t="str" cm="1">
        <f t="array" ref="BC217">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7" s="334" t="str" cm="1">
        <f t="array" ref="BD2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7" s="276">
        <f>INDEX(tblSeverityAnalysis[Final Severity], MATCH(tblPiNAnalysis[[#This Row],[ID]],tblSeverityAnalysis[ID], 0))</f>
        <v>3</v>
      </c>
      <c r="BF217" s="61">
        <f>IF(tblPiNAnalysis[[#This Row],[Severity]]&gt;2,tblPiNAnalysis[[#This Row],[Highest PiN]],)</f>
        <v>20707.832995285127</v>
      </c>
      <c r="BG217" s="191"/>
      <c r="BH217" s="192"/>
      <c r="BI217" s="193">
        <f>COUNTIFS(tblPiNAnalysis[[#This Row],[Number of missing / zero PiNs greater than threshold - Data quality]:[Manual Flag]],"Flagged")</f>
        <v>0</v>
      </c>
      <c r="BJ217" s="96" t="str">
        <f>IF(tblPiNAnalysis[[#This Row],['# Flags]]&gt;0, "Flagged", "")</f>
        <v/>
      </c>
      <c r="BK217" s="326">
        <f>tblPiNAnalysis[[#This Row],[Preliminary PiN]]</f>
        <v>20707.832995285127</v>
      </c>
      <c r="BL217" s="331"/>
    </row>
    <row r="218" spans="1:64" x14ac:dyDescent="0.55000000000000004">
      <c r="A21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SS0709</v>
      </c>
      <c r="B218" s="316" t="s">
        <v>342</v>
      </c>
      <c r="C218" s="317" t="s">
        <v>343</v>
      </c>
      <c r="D218" s="317" t="s">
        <v>360</v>
      </c>
      <c r="E218" s="105" t="s">
        <v>361</v>
      </c>
      <c r="F218" s="100"/>
      <c r="G218" s="34"/>
      <c r="H218" s="34"/>
      <c r="I218" s="97">
        <v>1622.427953791605</v>
      </c>
      <c r="J218" s="97" t="s">
        <v>414</v>
      </c>
      <c r="K218" s="318">
        <v>243.36419306874075</v>
      </c>
      <c r="L218" s="319">
        <v>345.82587236292812</v>
      </c>
      <c r="M218" s="319">
        <v>578.16760239038786</v>
      </c>
      <c r="N218" s="319">
        <v>1086.3058597408046</v>
      </c>
      <c r="O218" s="319">
        <v>789.91024757446075</v>
      </c>
      <c r="P218" s="319">
        <v>1135</v>
      </c>
      <c r="Q218" s="320">
        <v>0</v>
      </c>
      <c r="R218" s="319">
        <v>150.22481053625972</v>
      </c>
      <c r="S218" s="319">
        <v>279</v>
      </c>
      <c r="T218" s="319">
        <v>678</v>
      </c>
      <c r="U218" s="319">
        <v>309</v>
      </c>
      <c r="V218" s="319">
        <v>125</v>
      </c>
      <c r="W218" s="321">
        <f>IFERROR(IF(tblPiNAnalysis[[#This Row],[CCCM]]="", "", MROUND(tblPiNAnalysis[[#This Row],[CCCM]]/tblPiNAnalysis[[#This Row],[Affected population projection 2026]], 0.05)), "")</f>
        <v>0.15000000000000002</v>
      </c>
      <c r="X218" s="322">
        <f>IFERROR(IF(tblPiNAnalysis[[#This Row],[Education]]="", "", MROUND(tblPiNAnalysis[[#This Row],[Education]]/tblPiNAnalysis[[#This Row],[Affected population projection 2026]], 0.05)), "")</f>
        <v>0.2</v>
      </c>
      <c r="Y218" s="322">
        <f>IFERROR(IF(tblPiNAnalysis[[#This Row],[Nutrition]]="", "", MROUND(tblPiNAnalysis[[#This Row],[Nutrition]]/tblPiNAnalysis[[#This Row],[Affected population projection 2026]], 0.05)), "")</f>
        <v>0.35000000000000003</v>
      </c>
      <c r="Z218" s="322">
        <f>IFERROR(IF(tblPiNAnalysis[[#This Row],[Food Security]]="", "", MROUND(tblPiNAnalysis[[#This Row],[Food Security]]/tblPiNAnalysis[[#This Row],[Affected population projection 2026]], 0.05)), "")</f>
        <v>0.65</v>
      </c>
      <c r="AA218" s="322">
        <f>IFERROR(IF(tblPiNAnalysis[[#This Row],[Health]]="", "", MROUND(tblPiNAnalysis[[#This Row],[Health]]/tblPiNAnalysis[[#This Row],[Affected population projection 2026]], 0.05)), "")</f>
        <v>0.5</v>
      </c>
      <c r="AB218" s="323">
        <f>IFERROR(IF(tblPiNAnalysis[[#This Row],[Overarching Protection]]="", "", MROUND(tblPiNAnalysis[[#This Row],[Overarching Protection]]/tblPiNAnalysis[[#This Row],[Affected population projection 2026]], 0.05)), "")</f>
        <v>0.70000000000000007</v>
      </c>
      <c r="AC218" s="323">
        <f>IFERROR(IF(tblPiNAnalysis[[#This Row],[Shelter]]="", "", MROUND(tblPiNAnalysis[[#This Row],[Shelter]]/tblPiNAnalysis[[#This Row],[Affected population projection 2026]], 0.05)), "")</f>
        <v>0</v>
      </c>
      <c r="AD218" s="324">
        <f>IFERROR(IF(tblPiNAnalysis[[#This Row],[WASH]]="", "", MROUND(tblPiNAnalysis[[#This Row],[WASH]]/tblPiNAnalysis[[#This Row],[Affected population projection 2026]], 0.05)), "")</f>
        <v>0.1</v>
      </c>
      <c r="AE218" s="322">
        <f>IFERROR(MROUND(tblPiNAnalysis[[#This Row],[CP]]/tblPiNAnalysis[[#This Row],[Affected population projection 2026]], 0.05), "")</f>
        <v>0.15000000000000002</v>
      </c>
      <c r="AF218" s="322">
        <f>IFERROR(MROUND(tblPiNAnalysis[[#This Row],[GBV]]/tblPiNAnalysis[[#This Row],[Affected population projection 2026]], 0.05), "")</f>
        <v>0.4</v>
      </c>
      <c r="AG218" s="322">
        <f>IFERROR(MROUND(tblPiNAnalysis[[#This Row],[Mine Action]]/tblPiNAnalysis[[#This Row],[Affected population projection 2026]], 0.05), "")</f>
        <v>0.2</v>
      </c>
      <c r="AH218" s="322">
        <f>IFERROR(MROUND(tblPiNAnalysis[[#This Row],[HLP]]/tblPiNAnalysis[[#This Row],[Affected population projection 2026]], 0.05), "")</f>
        <v>0.1</v>
      </c>
      <c r="AI218" s="325">
        <f>IFERROR(LARGE(tblPiNAnalysis[[#This Row],[CCCM]:[WASH]], 1), "")</f>
        <v>1135</v>
      </c>
      <c r="AJ218" s="326" t="str" cm="1">
        <f t="array" ref="AJ218">IF(tblPiNAnalysis[[#This Row],[Highest PiN]]="", "", _xlfn.TEXTJOIN(CHAR(10), TRUE, IF(tblPiNAnalysis[[#This Row],[Highest PiN]]=tblPiNAnalysis[[#This Row],[CCCM]:[WASH]], tblPiNAnalysis[[#Headers],[CCCM]:[WASH]], "")))</f>
        <v>Overarching Protection</v>
      </c>
      <c r="AK218" s="327">
        <f>IF(tblPiNAnalysis[[#This Row],[Highest PiN]]="", "", tblPiNAnalysis[[#This Row],[Highest PiN]]/tblPiNAnalysis[[#This Row],[Affected population projection 2026]])</f>
        <v>0.69956881434858875</v>
      </c>
      <c r="AL218" s="328" t="str">
        <f>IF(SUM(tblPiNAnalysis[[#This Row],[CCCM]:[WASH]])=0, "",IF(COUNTIF(tblPiNAnalysis[[#This Row],[CCCM]:[WASH]],"=0")+COUNTIF(tblPiNAnalysis[[#This Row],[CCCM]:[WASH]],"")&gt;=zero_pin_thresh, "Flagged", ""))</f>
        <v/>
      </c>
      <c r="AM218" s="329" t="str">
        <f>IFERROR(IF(tblPiNAnalysis[[#This Row],[Highest PiN]]="", "", IF(tblPiNAnalysis[[#This Row],[Highest sector(s'') PiN %]]&gt;=flag_pin_perc, "Flagged", "")), "")</f>
        <v/>
      </c>
      <c r="AN218" s="330" t="str" cm="1">
        <f t="array" ref="AN218">IF(tblPiNAnalysis[[#This Row],[Highest PiN]]=0, "",  IF(OR(COUNTIF(tblPiNAnalysis[[#This Row],[Highest sector(s)]],tblSubSectorPopulation[Sector])), "Flagged", ""))</f>
        <v/>
      </c>
      <c r="AO218" s="46" cm="1">
        <f t="array" ref="AO2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1086.3058597408046</v>
      </c>
      <c r="AP218" s="331" t="str" cm="1">
        <f t="array" ref="AP218">IF(tblPiNAnalysis[[#This Row],[2nd Highest PiN]]="", "", _xlfn.TEXTJOIN(CHAR(10), TRUE, IF(tblPiNAnalysis[[#This Row],[2nd Highest PiN]]=tblPiNAnalysis[[#This Row],[CCCM]:[WASH]], tblPiNAnalysis[[#Headers],[CCCM]:[WASH]], "")))</f>
        <v>Food Security</v>
      </c>
      <c r="AQ218" s="36">
        <f>IFERROR(tblPiNAnalysis[[#This Row],[2nd Highest PiN]]/tblPiNAnalysis[[#This Row],[Affected population projection 2026]], "")</f>
        <v>0.66955568486237804</v>
      </c>
      <c r="AR218" s="46">
        <f>IFERROR(tblPiNAnalysis[[#This Row],[Highest PiN]]-tblPiNAnalysis[[#This Row],[2nd Highest PiN]], "")</f>
        <v>48.694140259195365</v>
      </c>
      <c r="AS218" s="39">
        <f>IFERROR(((tblPiNAnalysis[[#This Row],[Highest PiN]]-tblPiNAnalysis[[#This Row],[2nd Highest PiN]])/tblPiNAnalysis[[#This Row],[2nd Highest PiN]]),"")</f>
        <v>4.4825441953165852E-2</v>
      </c>
      <c r="AT218" s="39" t="str" cm="1">
        <f t="array" ref="AT2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8" s="332" cm="1">
        <f t="array" ref="AU2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789.91024757446075</v>
      </c>
      <c r="AV218" s="190" t="str" cm="1">
        <f t="array" ref="AV218">IF(tblPiNAnalysis[[#This Row],[3rd Highest PiN]]="", "", _xlfn.TEXTJOIN(CHAR(10), TRUE, IF(tblPiNAnalysis[[#This Row],[3rd Highest PiN]]=tblPiNAnalysis[[#This Row],[CCCM]:[WASH]], tblPiNAnalysis[[#Headers],[CCCM]:[WASH]], "")))</f>
        <v>Health</v>
      </c>
      <c r="AW218" s="190">
        <f>IFERROR(tblPiNAnalysis[[#This Row],[3rd Highest PiN]]/tblPiNAnalysis[[#This Row],[Affected population projection 2026]], "")</f>
        <v>0.48686922937221649</v>
      </c>
      <c r="AX218" s="45">
        <f>IFERROR(tblPiNAnalysis[[#This Row],[Highest PiN]]-tblPiNAnalysis[[#This Row],[3rd Highest PiN]],"")</f>
        <v>345.08975242553925</v>
      </c>
      <c r="AY218" s="39">
        <f>IFERROR(tblPiNAnalysis[[#This Row],[Difference of PiN between Highest and 3rd Highest]]/tblPiNAnalysis[[#This Row],[3rd Highest PiN]], "")</f>
        <v>0.43687210475517907</v>
      </c>
      <c r="AZ218" s="330" t="str" cm="1">
        <f t="array" ref="AZ2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8" s="300" t="str" cm="1">
        <f t="array" ref="BA218">IFERROR(IF(tblPiNAnalysis[[#This Row],[ID]]="", "", INDEX(tblPiNHistorical[[CCCM]:[WASH]], MATCH(tblPiNAnalysis[[#This Row],[ID]],tblPiNHistorical[ID], 0),MATCH(_xlfn._xlws.FILTER(tblPiNAnalysis[[#Headers],[CCCM]:[WASH]], tblPiNAnalysis[[#This Row],[Highest PiN]]=tblPiNAnalysis[[#This Row],[CCCM]:[WASH]]), tblPiNHistorical[[#Headers],[CCCM]:[WASH]], 0))), "")</f>
        <v/>
      </c>
      <c r="BB218" s="333" t="str" cm="1">
        <f t="array" ref="BB2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8" s="276" t="str" cm="1">
        <f t="array" ref="BC218">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8" s="334" t="str" cm="1">
        <f t="array" ref="BD2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8" s="276">
        <f>INDEX(tblSeverityAnalysis[Final Severity], MATCH(tblPiNAnalysis[[#This Row],[ID]],tblSeverityAnalysis[ID], 0))</f>
        <v>3</v>
      </c>
      <c r="BF218" s="61">
        <f>IF(tblPiNAnalysis[[#This Row],[Severity]]&gt;2,tblPiNAnalysis[[#This Row],[Highest PiN]],)</f>
        <v>1135</v>
      </c>
      <c r="BG218" s="191"/>
      <c r="BH218" s="192"/>
      <c r="BI218" s="193">
        <f>COUNTIFS(tblPiNAnalysis[[#This Row],[Number of missing / zero PiNs greater than threshold - Data quality]:[Manual Flag]],"Flagged")</f>
        <v>0</v>
      </c>
      <c r="BJ218" s="96" t="str">
        <f>IF(tblPiNAnalysis[[#This Row],['# Flags]]&gt;0, "Flagged", "")</f>
        <v/>
      </c>
      <c r="BK218" s="326">
        <f>tblPiNAnalysis[[#This Row],[Preliminary PiN]]</f>
        <v>1135</v>
      </c>
      <c r="BL218" s="331"/>
    </row>
    <row r="219" spans="1:64" x14ac:dyDescent="0.55000000000000004">
      <c r="A21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SS0710</v>
      </c>
      <c r="B219" s="316" t="s">
        <v>342</v>
      </c>
      <c r="C219" s="317" t="s">
        <v>343</v>
      </c>
      <c r="D219" s="317" t="s">
        <v>362</v>
      </c>
      <c r="E219" s="105" t="s">
        <v>363</v>
      </c>
      <c r="F219" s="100"/>
      <c r="G219" s="34"/>
      <c r="H219" s="34"/>
      <c r="I219" s="97">
        <v>4756.8792176598463</v>
      </c>
      <c r="J219" s="97" t="s">
        <v>414</v>
      </c>
      <c r="K219" s="318">
        <v>713.53188264897688</v>
      </c>
      <c r="L219" s="319">
        <v>393.45004247523769</v>
      </c>
      <c r="M219" s="319">
        <v>2302.8572149639735</v>
      </c>
      <c r="N219" s="319">
        <v>3993.3912483369177</v>
      </c>
      <c r="O219" s="319">
        <v>2891.7710180994654</v>
      </c>
      <c r="P219" s="319">
        <v>3620</v>
      </c>
      <c r="Q219" s="320">
        <v>3567.6594132448845</v>
      </c>
      <c r="R219" s="319">
        <v>4540.6574350389437</v>
      </c>
      <c r="S219" s="319">
        <v>1910</v>
      </c>
      <c r="T219" s="319">
        <v>1825</v>
      </c>
      <c r="U219" s="319">
        <v>933</v>
      </c>
      <c r="V219" s="319">
        <v>1214</v>
      </c>
      <c r="W219" s="321">
        <f>IFERROR(IF(tblPiNAnalysis[[#This Row],[CCCM]]="", "", MROUND(tblPiNAnalysis[[#This Row],[CCCM]]/tblPiNAnalysis[[#This Row],[Affected population projection 2026]], 0.05)), "")</f>
        <v>0.15000000000000002</v>
      </c>
      <c r="X219" s="322">
        <f>IFERROR(IF(tblPiNAnalysis[[#This Row],[Education]]="", "", MROUND(tblPiNAnalysis[[#This Row],[Education]]/tblPiNAnalysis[[#This Row],[Affected population projection 2026]], 0.05)), "")</f>
        <v>0.1</v>
      </c>
      <c r="Y219" s="322">
        <f>IFERROR(IF(tblPiNAnalysis[[#This Row],[Nutrition]]="", "", MROUND(tblPiNAnalysis[[#This Row],[Nutrition]]/tblPiNAnalysis[[#This Row],[Affected population projection 2026]], 0.05)), "")</f>
        <v>0.5</v>
      </c>
      <c r="Z219" s="322">
        <f>IFERROR(IF(tblPiNAnalysis[[#This Row],[Food Security]]="", "", MROUND(tblPiNAnalysis[[#This Row],[Food Security]]/tblPiNAnalysis[[#This Row],[Affected population projection 2026]], 0.05)), "")</f>
        <v>0.85000000000000009</v>
      </c>
      <c r="AA219" s="322">
        <f>IFERROR(IF(tblPiNAnalysis[[#This Row],[Health]]="", "", MROUND(tblPiNAnalysis[[#This Row],[Health]]/tblPiNAnalysis[[#This Row],[Affected population projection 2026]], 0.05)), "")</f>
        <v>0.60000000000000009</v>
      </c>
      <c r="AB219" s="323">
        <f>IFERROR(IF(tblPiNAnalysis[[#This Row],[Overarching Protection]]="", "", MROUND(tblPiNAnalysis[[#This Row],[Overarching Protection]]/tblPiNAnalysis[[#This Row],[Affected population projection 2026]], 0.05)), "")</f>
        <v>0.75</v>
      </c>
      <c r="AC219" s="323">
        <f>IFERROR(IF(tblPiNAnalysis[[#This Row],[Shelter]]="", "", MROUND(tblPiNAnalysis[[#This Row],[Shelter]]/tblPiNAnalysis[[#This Row],[Affected population projection 2026]], 0.05)), "")</f>
        <v>0.75</v>
      </c>
      <c r="AD219" s="324">
        <f>IFERROR(IF(tblPiNAnalysis[[#This Row],[WASH]]="", "", MROUND(tblPiNAnalysis[[#This Row],[WASH]]/tblPiNAnalysis[[#This Row],[Affected population projection 2026]], 0.05)), "")</f>
        <v>0.95000000000000007</v>
      </c>
      <c r="AE219" s="322">
        <f>IFERROR(MROUND(tblPiNAnalysis[[#This Row],[CP]]/tblPiNAnalysis[[#This Row],[Affected population projection 2026]], 0.05), "")</f>
        <v>0.4</v>
      </c>
      <c r="AF219" s="322">
        <f>IFERROR(MROUND(tblPiNAnalysis[[#This Row],[GBV]]/tblPiNAnalysis[[#This Row],[Affected population projection 2026]], 0.05), "")</f>
        <v>0.4</v>
      </c>
      <c r="AG219" s="322">
        <f>IFERROR(MROUND(tblPiNAnalysis[[#This Row],[Mine Action]]/tblPiNAnalysis[[#This Row],[Affected population projection 2026]], 0.05), "")</f>
        <v>0.2</v>
      </c>
      <c r="AH219" s="322">
        <f>IFERROR(MROUND(tblPiNAnalysis[[#This Row],[HLP]]/tblPiNAnalysis[[#This Row],[Affected population projection 2026]], 0.05), "")</f>
        <v>0.25</v>
      </c>
      <c r="AI219" s="325">
        <f>IFERROR(LARGE(tblPiNAnalysis[[#This Row],[CCCM]:[WASH]], 1), "")</f>
        <v>4540.6574350389437</v>
      </c>
      <c r="AJ219" s="326" t="str" cm="1">
        <f t="array" ref="AJ219">IF(tblPiNAnalysis[[#This Row],[Highest PiN]]="", "", _xlfn.TEXTJOIN(CHAR(10), TRUE, IF(tblPiNAnalysis[[#This Row],[Highest PiN]]=tblPiNAnalysis[[#This Row],[CCCM]:[WASH]], tblPiNAnalysis[[#Headers],[CCCM]:[WASH]], "")))</f>
        <v>WASH</v>
      </c>
      <c r="AK219" s="327">
        <f>IF(tblPiNAnalysis[[#This Row],[Highest PiN]]="", "", tblPiNAnalysis[[#This Row],[Highest PiN]]/tblPiNAnalysis[[#This Row],[Affected population projection 2026]])</f>
        <v>0.95454545454545447</v>
      </c>
      <c r="AL219" s="328" t="str">
        <f>IF(SUM(tblPiNAnalysis[[#This Row],[CCCM]:[WASH]])=0, "",IF(COUNTIF(tblPiNAnalysis[[#This Row],[CCCM]:[WASH]],"=0")+COUNTIF(tblPiNAnalysis[[#This Row],[CCCM]:[WASH]],"")&gt;=zero_pin_thresh, "Flagged", ""))</f>
        <v/>
      </c>
      <c r="AM219" s="329" t="str">
        <f>IFERROR(IF(tblPiNAnalysis[[#This Row],[Highest PiN]]="", "", IF(tblPiNAnalysis[[#This Row],[Highest sector(s'') PiN %]]&gt;=flag_pin_perc, "Flagged", "")), "")</f>
        <v>Flagged</v>
      </c>
      <c r="AN219" s="330" t="str" cm="1">
        <f t="array" ref="AN219">IF(tblPiNAnalysis[[#This Row],[Highest PiN]]=0, "",  IF(OR(COUNTIF(tblPiNAnalysis[[#This Row],[Highest sector(s)]],tblSubSectorPopulation[Sector])), "Flagged", ""))</f>
        <v/>
      </c>
      <c r="AO219" s="46" cm="1">
        <f t="array" ref="AO2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3993.3912483369177</v>
      </c>
      <c r="AP219" s="331" t="str" cm="1">
        <f t="array" ref="AP219">IF(tblPiNAnalysis[[#This Row],[2nd Highest PiN]]="", "", _xlfn.TEXTJOIN(CHAR(10), TRUE, IF(tblPiNAnalysis[[#This Row],[2nd Highest PiN]]=tblPiNAnalysis[[#This Row],[CCCM]:[WASH]], tblPiNAnalysis[[#Headers],[CCCM]:[WASH]], "")))</f>
        <v>Food Security</v>
      </c>
      <c r="AQ219" s="36">
        <f>IFERROR(tblPiNAnalysis[[#This Row],[2nd Highest PiN]]/tblPiNAnalysis[[#This Row],[Affected population projection 2026]], "")</f>
        <v>0.83949813850885879</v>
      </c>
      <c r="AR219" s="46">
        <f>IFERROR(tblPiNAnalysis[[#This Row],[Highest PiN]]-tblPiNAnalysis[[#This Row],[2nd Highest PiN]], "")</f>
        <v>547.26618670202606</v>
      </c>
      <c r="AS219" s="39">
        <f>IFERROR(((tblPiNAnalysis[[#This Row],[Highest PiN]]-tblPiNAnalysis[[#This Row],[2nd Highest PiN]])/tblPiNAnalysis[[#This Row],[2nd Highest PiN]]),"")</f>
        <v>0.137042967410203</v>
      </c>
      <c r="AT219" s="39" t="str" cm="1">
        <f t="array" ref="AT2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9" s="332" cm="1">
        <f t="array" ref="AU2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3620</v>
      </c>
      <c r="AV219" s="190" t="str" cm="1">
        <f t="array" ref="AV219">IF(tblPiNAnalysis[[#This Row],[3rd Highest PiN]]="", "", _xlfn.TEXTJOIN(CHAR(10), TRUE, IF(tblPiNAnalysis[[#This Row],[3rd Highest PiN]]=tblPiNAnalysis[[#This Row],[CCCM]:[WASH]], tblPiNAnalysis[[#Headers],[CCCM]:[WASH]], "")))</f>
        <v>Overarching Protection</v>
      </c>
      <c r="AW219" s="190">
        <f>IFERROR(tblPiNAnalysis[[#This Row],[3rd Highest PiN]]/tblPiNAnalysis[[#This Row],[Affected population projection 2026]], "")</f>
        <v>0.7610031355349115</v>
      </c>
      <c r="AX219" s="45">
        <f>IFERROR(tblPiNAnalysis[[#This Row],[Highest PiN]]-tblPiNAnalysis[[#This Row],[3rd Highest PiN]],"")</f>
        <v>920.65743503894373</v>
      </c>
      <c r="AY219" s="39">
        <f>IFERROR(tblPiNAnalysis[[#This Row],[Difference of PiN between Highest and 3rd Highest]]/tblPiNAnalysis[[#This Row],[3rd Highest PiN]], "")</f>
        <v>0.25432525829805075</v>
      </c>
      <c r="AZ219" s="330" t="str" cm="1">
        <f t="array" ref="AZ2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19" s="300" t="str" cm="1">
        <f t="array" ref="BA219">IFERROR(IF(tblPiNAnalysis[[#This Row],[ID]]="", "", INDEX(tblPiNHistorical[[CCCM]:[WASH]], MATCH(tblPiNAnalysis[[#This Row],[ID]],tblPiNHistorical[ID], 0),MATCH(_xlfn._xlws.FILTER(tblPiNAnalysis[[#Headers],[CCCM]:[WASH]], tblPiNAnalysis[[#This Row],[Highest PiN]]=tblPiNAnalysis[[#This Row],[CCCM]:[WASH]]), tblPiNHistorical[[#Headers],[CCCM]:[WASH]], 0))), "")</f>
        <v/>
      </c>
      <c r="BB219" s="333" t="str" cm="1">
        <f t="array" ref="BB2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19" s="276" t="str" cm="1">
        <f t="array" ref="BC219">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9" s="334" t="str" cm="1">
        <f t="array" ref="BD2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9" s="276">
        <f>INDEX(tblSeverityAnalysis[Final Severity], MATCH(tblPiNAnalysis[[#This Row],[ID]],tblSeverityAnalysis[ID], 0))</f>
        <v>4</v>
      </c>
      <c r="BF219" s="61">
        <f>IF(tblPiNAnalysis[[#This Row],[Severity]]&gt;2,tblPiNAnalysis[[#This Row],[Highest PiN]],)</f>
        <v>4540.6574350389437</v>
      </c>
      <c r="BG219" s="191"/>
      <c r="BH219" s="192"/>
      <c r="BI219" s="193">
        <f>COUNTIFS(tblPiNAnalysis[[#This Row],[Number of missing / zero PiNs greater than threshold - Data quality]:[Manual Flag]],"Flagged")</f>
        <v>1</v>
      </c>
      <c r="BJ219" s="96" t="str">
        <f>IF(tblPiNAnalysis[[#This Row],['# Flags]]&gt;0, "Flagged", "")</f>
        <v>Flagged</v>
      </c>
      <c r="BK219" s="326">
        <f>tblPiNAnalysis[[#This Row],[Preliminary PiN]]</f>
        <v>4540.6574350389437</v>
      </c>
      <c r="BL219" s="331"/>
    </row>
    <row r="220" spans="1:64" x14ac:dyDescent="0.55000000000000004">
      <c r="A22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SS0711</v>
      </c>
      <c r="B220" s="316" t="s">
        <v>342</v>
      </c>
      <c r="C220" s="317" t="s">
        <v>343</v>
      </c>
      <c r="D220" s="317" t="s">
        <v>364</v>
      </c>
      <c r="E220" s="105" t="s">
        <v>365</v>
      </c>
      <c r="F220" s="100"/>
      <c r="G220" s="34"/>
      <c r="H220" s="34"/>
      <c r="I220" s="97">
        <v>235020.19206222118</v>
      </c>
      <c r="J220" s="97" t="s">
        <v>414</v>
      </c>
      <c r="K220" s="318">
        <v>35253.028809333176</v>
      </c>
      <c r="L220" s="319">
        <v>43043.948176195809</v>
      </c>
      <c r="M220" s="319">
        <v>69811.746562686749</v>
      </c>
      <c r="N220" s="319">
        <v>157164.99172748698</v>
      </c>
      <c r="O220" s="319">
        <v>99310.943787170196</v>
      </c>
      <c r="P220" s="319">
        <v>155152</v>
      </c>
      <c r="Q220" s="320">
        <v>52226.709347160257</v>
      </c>
      <c r="R220" s="319">
        <v>113157.87025218057</v>
      </c>
      <c r="S220" s="319">
        <v>96088</v>
      </c>
      <c r="T220" s="319">
        <v>33634</v>
      </c>
      <c r="U220" s="319">
        <v>18248</v>
      </c>
      <c r="V220" s="319">
        <v>59121</v>
      </c>
      <c r="W220" s="321">
        <f>IFERROR(IF(tblPiNAnalysis[[#This Row],[CCCM]]="", "", MROUND(tblPiNAnalysis[[#This Row],[CCCM]]/tblPiNAnalysis[[#This Row],[Affected population projection 2026]], 0.05)), "")</f>
        <v>0.15000000000000002</v>
      </c>
      <c r="X220" s="322">
        <f>IFERROR(IF(tblPiNAnalysis[[#This Row],[Education]]="", "", MROUND(tblPiNAnalysis[[#This Row],[Education]]/tblPiNAnalysis[[#This Row],[Affected population projection 2026]], 0.05)), "")</f>
        <v>0.2</v>
      </c>
      <c r="Y220" s="322">
        <f>IFERROR(IF(tblPiNAnalysis[[#This Row],[Nutrition]]="", "", MROUND(tblPiNAnalysis[[#This Row],[Nutrition]]/tblPiNAnalysis[[#This Row],[Affected population projection 2026]], 0.05)), "")</f>
        <v>0.30000000000000004</v>
      </c>
      <c r="Z220" s="322">
        <f>IFERROR(IF(tblPiNAnalysis[[#This Row],[Food Security]]="", "", MROUND(tblPiNAnalysis[[#This Row],[Food Security]]/tblPiNAnalysis[[#This Row],[Affected population projection 2026]], 0.05)), "")</f>
        <v>0.65</v>
      </c>
      <c r="AA220" s="322">
        <f>IFERROR(IF(tblPiNAnalysis[[#This Row],[Health]]="", "", MROUND(tblPiNAnalysis[[#This Row],[Health]]/tblPiNAnalysis[[#This Row],[Affected population projection 2026]], 0.05)), "")</f>
        <v>0.4</v>
      </c>
      <c r="AB220" s="323">
        <f>IFERROR(IF(tblPiNAnalysis[[#This Row],[Overarching Protection]]="", "", MROUND(tblPiNAnalysis[[#This Row],[Overarching Protection]]/tblPiNAnalysis[[#This Row],[Affected population projection 2026]], 0.05)), "")</f>
        <v>0.65</v>
      </c>
      <c r="AC220" s="323">
        <f>IFERROR(IF(tblPiNAnalysis[[#This Row],[Shelter]]="", "", MROUND(tblPiNAnalysis[[#This Row],[Shelter]]/tblPiNAnalysis[[#This Row],[Affected population projection 2026]], 0.05)), "")</f>
        <v>0.2</v>
      </c>
      <c r="AD220" s="324">
        <f>IFERROR(IF(tblPiNAnalysis[[#This Row],[WASH]]="", "", MROUND(tblPiNAnalysis[[#This Row],[WASH]]/tblPiNAnalysis[[#This Row],[Affected population projection 2026]], 0.05)), "")</f>
        <v>0.5</v>
      </c>
      <c r="AE220" s="322">
        <f>IFERROR(MROUND(tblPiNAnalysis[[#This Row],[CP]]/tblPiNAnalysis[[#This Row],[Affected population projection 2026]], 0.05), "")</f>
        <v>0.4</v>
      </c>
      <c r="AF220" s="322">
        <f>IFERROR(MROUND(tblPiNAnalysis[[#This Row],[GBV]]/tblPiNAnalysis[[#This Row],[Affected population projection 2026]], 0.05), "")</f>
        <v>0.15000000000000002</v>
      </c>
      <c r="AG220" s="322">
        <f>IFERROR(MROUND(tblPiNAnalysis[[#This Row],[Mine Action]]/tblPiNAnalysis[[#This Row],[Affected population projection 2026]], 0.05), "")</f>
        <v>0.1</v>
      </c>
      <c r="AH220" s="322">
        <f>IFERROR(MROUND(tblPiNAnalysis[[#This Row],[HLP]]/tblPiNAnalysis[[#This Row],[Affected population projection 2026]], 0.05), "")</f>
        <v>0.25</v>
      </c>
      <c r="AI220" s="325">
        <f>IFERROR(LARGE(tblPiNAnalysis[[#This Row],[CCCM]:[WASH]], 1), "")</f>
        <v>157164.99172748698</v>
      </c>
      <c r="AJ220" s="326" t="str" cm="1">
        <f t="array" ref="AJ220">IF(tblPiNAnalysis[[#This Row],[Highest PiN]]="", "", _xlfn.TEXTJOIN(CHAR(10), TRUE, IF(tblPiNAnalysis[[#This Row],[Highest PiN]]=tblPiNAnalysis[[#This Row],[CCCM]:[WASH]], tblPiNAnalysis[[#Headers],[CCCM]:[WASH]], "")))</f>
        <v>Food Security</v>
      </c>
      <c r="AK220" s="327">
        <f>IF(tblPiNAnalysis[[#This Row],[Highest PiN]]="", "", tblPiNAnalysis[[#This Row],[Highest PiN]]/tblPiNAnalysis[[#This Row],[Affected population projection 2026]])</f>
        <v>0.66872973912759726</v>
      </c>
      <c r="AL220" s="328" t="str">
        <f>IF(SUM(tblPiNAnalysis[[#This Row],[CCCM]:[WASH]])=0, "",IF(COUNTIF(tblPiNAnalysis[[#This Row],[CCCM]:[WASH]],"=0")+COUNTIF(tblPiNAnalysis[[#This Row],[CCCM]:[WASH]],"")&gt;=zero_pin_thresh, "Flagged", ""))</f>
        <v/>
      </c>
      <c r="AM220" s="329" t="str">
        <f>IFERROR(IF(tblPiNAnalysis[[#This Row],[Highest PiN]]="", "", IF(tblPiNAnalysis[[#This Row],[Highest sector(s'') PiN %]]&gt;=flag_pin_perc, "Flagged", "")), "")</f>
        <v/>
      </c>
      <c r="AN220" s="330" t="str" cm="1">
        <f t="array" ref="AN220">IF(tblPiNAnalysis[[#This Row],[Highest PiN]]=0, "",  IF(OR(COUNTIF(tblPiNAnalysis[[#This Row],[Highest sector(s)]],tblSubSectorPopulation[Sector])), "Flagged", ""))</f>
        <v/>
      </c>
      <c r="AO220" s="46" cm="1">
        <f t="array" ref="AO2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155152</v>
      </c>
      <c r="AP220" s="331" t="str" cm="1">
        <f t="array" ref="AP220">IF(tblPiNAnalysis[[#This Row],[2nd Highest PiN]]="", "", _xlfn.TEXTJOIN(CHAR(10), TRUE, IF(tblPiNAnalysis[[#This Row],[2nd Highest PiN]]=tblPiNAnalysis[[#This Row],[CCCM]:[WASH]], tblPiNAnalysis[[#Headers],[CCCM]:[WASH]], "")))</f>
        <v>Overarching Protection</v>
      </c>
      <c r="AQ220" s="36">
        <f>IFERROR(tblPiNAnalysis[[#This Row],[2nd Highest PiN]]/tblPiNAnalysis[[#This Row],[Affected population projection 2026]], "")</f>
        <v>0.66016455283520403</v>
      </c>
      <c r="AR220" s="46">
        <f>IFERROR(tblPiNAnalysis[[#This Row],[Highest PiN]]-tblPiNAnalysis[[#This Row],[2nd Highest PiN]], "")</f>
        <v>2012.9917274869804</v>
      </c>
      <c r="AS220" s="39">
        <f>IFERROR(((tblPiNAnalysis[[#This Row],[Highest PiN]]-tblPiNAnalysis[[#This Row],[2nd Highest PiN]])/tblPiNAnalysis[[#This Row],[2nd Highest PiN]]),"")</f>
        <v>1.2974320198817807E-2</v>
      </c>
      <c r="AT220" s="39" t="str" cm="1">
        <f t="array" ref="AT2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0" s="332" cm="1">
        <f t="array" ref="AU2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113157.87025218057</v>
      </c>
      <c r="AV220" s="190" t="str" cm="1">
        <f t="array" ref="AV220">IF(tblPiNAnalysis[[#This Row],[3rd Highest PiN]]="", "", _xlfn.TEXTJOIN(CHAR(10), TRUE, IF(tblPiNAnalysis[[#This Row],[3rd Highest PiN]]=tblPiNAnalysis[[#This Row],[CCCM]:[WASH]], tblPiNAnalysis[[#Headers],[CCCM]:[WASH]], "")))</f>
        <v>WASH</v>
      </c>
      <c r="AW220" s="190">
        <f>IFERROR(tblPiNAnalysis[[#This Row],[3rd Highest PiN]]/tblPiNAnalysis[[#This Row],[Affected population projection 2026]], "")</f>
        <v>0.48148148148148151</v>
      </c>
      <c r="AX220" s="45">
        <f>IFERROR(tblPiNAnalysis[[#This Row],[Highest PiN]]-tblPiNAnalysis[[#This Row],[3rd Highest PiN]],"")</f>
        <v>44007.121475306412</v>
      </c>
      <c r="AY220" s="39">
        <f>IFERROR(tblPiNAnalysis[[#This Row],[Difference of PiN between Highest and 3rd Highest]]/tblPiNAnalysis[[#This Row],[3rd Highest PiN]], "")</f>
        <v>0.38890022741885588</v>
      </c>
      <c r="AZ220" s="330" t="str" cm="1">
        <f t="array" ref="AZ2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0" s="300" t="str" cm="1">
        <f t="array" ref="BA220">IFERROR(IF(tblPiNAnalysis[[#This Row],[ID]]="", "", INDEX(tblPiNHistorical[[CCCM]:[WASH]], MATCH(tblPiNAnalysis[[#This Row],[ID]],tblPiNHistorical[ID], 0),MATCH(_xlfn._xlws.FILTER(tblPiNAnalysis[[#Headers],[CCCM]:[WASH]], tblPiNAnalysis[[#This Row],[Highest PiN]]=tblPiNAnalysis[[#This Row],[CCCM]:[WASH]]), tblPiNHistorical[[#Headers],[CCCM]:[WASH]], 0))), "")</f>
        <v/>
      </c>
      <c r="BB220" s="333" t="str" cm="1">
        <f t="array" ref="BB2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0" s="276" t="str" cm="1">
        <f t="array" ref="BC22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0" s="334" t="str" cm="1">
        <f t="array" ref="BD2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0" s="276">
        <f>INDEX(tblSeverityAnalysis[Final Severity], MATCH(tblPiNAnalysis[[#This Row],[ID]],tblSeverityAnalysis[ID], 0))</f>
        <v>4</v>
      </c>
      <c r="BF220" s="61">
        <f>IF(tblPiNAnalysis[[#This Row],[Severity]]&gt;2,tblPiNAnalysis[[#This Row],[Highest PiN]],)</f>
        <v>157164.99172748698</v>
      </c>
      <c r="BG220" s="191"/>
      <c r="BH220" s="192"/>
      <c r="BI220" s="193">
        <f>COUNTIFS(tblPiNAnalysis[[#This Row],[Number of missing / zero PiNs greater than threshold - Data quality]:[Manual Flag]],"Flagged")</f>
        <v>0</v>
      </c>
      <c r="BJ220" s="96" t="str">
        <f>IF(tblPiNAnalysis[[#This Row],['# Flags]]&gt;0, "Flagged", "")</f>
        <v/>
      </c>
      <c r="BK220" s="326">
        <f>tblPiNAnalysis[[#This Row],[Preliminary PiN]]</f>
        <v>157164.99172748698</v>
      </c>
      <c r="BL220" s="331"/>
    </row>
    <row r="221" spans="1:64" x14ac:dyDescent="0.55000000000000004">
      <c r="A22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SS0712</v>
      </c>
      <c r="B221" s="316" t="s">
        <v>342</v>
      </c>
      <c r="C221" s="317" t="s">
        <v>343</v>
      </c>
      <c r="D221" s="317" t="s">
        <v>366</v>
      </c>
      <c r="E221" s="105" t="s">
        <v>367</v>
      </c>
      <c r="F221" s="100"/>
      <c r="G221" s="34"/>
      <c r="H221" s="34"/>
      <c r="I221" s="97">
        <v>44257.266075717678</v>
      </c>
      <c r="J221" s="97" t="s">
        <v>414</v>
      </c>
      <c r="K221" s="318">
        <v>6638.5899113576515</v>
      </c>
      <c r="L221" s="319">
        <v>14377.415457357643</v>
      </c>
      <c r="M221" s="319">
        <v>15943.841592578076</v>
      </c>
      <c r="N221" s="319">
        <v>38531.47105902285</v>
      </c>
      <c r="O221" s="319">
        <v>28532.03421814082</v>
      </c>
      <c r="P221" s="319">
        <v>29257</v>
      </c>
      <c r="Q221" s="320">
        <v>25289.86632898153</v>
      </c>
      <c r="R221" s="319">
        <v>33192.949556788255</v>
      </c>
      <c r="S221" s="319">
        <v>16939</v>
      </c>
      <c r="T221" s="319">
        <v>15678</v>
      </c>
      <c r="U221" s="319">
        <v>3339</v>
      </c>
      <c r="V221" s="319">
        <v>11541</v>
      </c>
      <c r="W221" s="321">
        <f>IFERROR(IF(tblPiNAnalysis[[#This Row],[CCCM]]="", "", MROUND(tblPiNAnalysis[[#This Row],[CCCM]]/tblPiNAnalysis[[#This Row],[Affected population projection 2026]], 0.05)), "")</f>
        <v>0.15000000000000002</v>
      </c>
      <c r="X221" s="322">
        <f>IFERROR(IF(tblPiNAnalysis[[#This Row],[Education]]="", "", MROUND(tblPiNAnalysis[[#This Row],[Education]]/tblPiNAnalysis[[#This Row],[Affected population projection 2026]], 0.05)), "")</f>
        <v>0.30000000000000004</v>
      </c>
      <c r="Y221" s="322">
        <f>IFERROR(IF(tblPiNAnalysis[[#This Row],[Nutrition]]="", "", MROUND(tblPiNAnalysis[[#This Row],[Nutrition]]/tblPiNAnalysis[[#This Row],[Affected population projection 2026]], 0.05)), "")</f>
        <v>0.35000000000000003</v>
      </c>
      <c r="Z221" s="322">
        <f>IFERROR(IF(tblPiNAnalysis[[#This Row],[Food Security]]="", "", MROUND(tblPiNAnalysis[[#This Row],[Food Security]]/tblPiNAnalysis[[#This Row],[Affected population projection 2026]], 0.05)), "")</f>
        <v>0.85000000000000009</v>
      </c>
      <c r="AA221" s="322">
        <f>IFERROR(IF(tblPiNAnalysis[[#This Row],[Health]]="", "", MROUND(tblPiNAnalysis[[#This Row],[Health]]/tblPiNAnalysis[[#This Row],[Affected population projection 2026]], 0.05)), "")</f>
        <v>0.65</v>
      </c>
      <c r="AB221" s="323">
        <f>IFERROR(IF(tblPiNAnalysis[[#This Row],[Overarching Protection]]="", "", MROUND(tblPiNAnalysis[[#This Row],[Overarching Protection]]/tblPiNAnalysis[[#This Row],[Affected population projection 2026]], 0.05)), "")</f>
        <v>0.65</v>
      </c>
      <c r="AC221" s="323">
        <f>IFERROR(IF(tblPiNAnalysis[[#This Row],[Shelter]]="", "", MROUND(tblPiNAnalysis[[#This Row],[Shelter]]/tblPiNAnalysis[[#This Row],[Affected population projection 2026]], 0.05)), "")</f>
        <v>0.55000000000000004</v>
      </c>
      <c r="AD221" s="324">
        <f>IFERROR(IF(tblPiNAnalysis[[#This Row],[WASH]]="", "", MROUND(tblPiNAnalysis[[#This Row],[WASH]]/tblPiNAnalysis[[#This Row],[Affected population projection 2026]], 0.05)), "")</f>
        <v>0.75</v>
      </c>
      <c r="AE221" s="322">
        <f>IFERROR(MROUND(tblPiNAnalysis[[#This Row],[CP]]/tblPiNAnalysis[[#This Row],[Affected population projection 2026]], 0.05), "")</f>
        <v>0.4</v>
      </c>
      <c r="AF221" s="322">
        <f>IFERROR(MROUND(tblPiNAnalysis[[#This Row],[GBV]]/tblPiNAnalysis[[#This Row],[Affected population projection 2026]], 0.05), "")</f>
        <v>0.35000000000000003</v>
      </c>
      <c r="AG221" s="322">
        <f>IFERROR(MROUND(tblPiNAnalysis[[#This Row],[Mine Action]]/tblPiNAnalysis[[#This Row],[Affected population projection 2026]], 0.05), "")</f>
        <v>0.1</v>
      </c>
      <c r="AH221" s="322">
        <f>IFERROR(MROUND(tblPiNAnalysis[[#This Row],[HLP]]/tblPiNAnalysis[[#This Row],[Affected population projection 2026]], 0.05), "")</f>
        <v>0.25</v>
      </c>
      <c r="AI221" s="325">
        <f>IFERROR(LARGE(tblPiNAnalysis[[#This Row],[CCCM]:[WASH]], 1), "")</f>
        <v>38531.47105902285</v>
      </c>
      <c r="AJ221" s="326" t="str" cm="1">
        <f t="array" ref="AJ221">IF(tblPiNAnalysis[[#This Row],[Highest PiN]]="", "", _xlfn.TEXTJOIN(CHAR(10), TRUE, IF(tblPiNAnalysis[[#This Row],[Highest PiN]]=tblPiNAnalysis[[#This Row],[CCCM]:[WASH]], tblPiNAnalysis[[#Headers],[CCCM]:[WASH]], "")))</f>
        <v>Food Security</v>
      </c>
      <c r="AK221" s="327">
        <f>IF(tblPiNAnalysis[[#This Row],[Highest PiN]]="", "", tblPiNAnalysis[[#This Row],[Highest PiN]]/tblPiNAnalysis[[#This Row],[Affected population projection 2026]])</f>
        <v>0.8706247465241338</v>
      </c>
      <c r="AL221" s="328" t="str">
        <f>IF(SUM(tblPiNAnalysis[[#This Row],[CCCM]:[WASH]])=0, "",IF(COUNTIF(tblPiNAnalysis[[#This Row],[CCCM]:[WASH]],"=0")+COUNTIF(tblPiNAnalysis[[#This Row],[CCCM]:[WASH]],"")&gt;=zero_pin_thresh, "Flagged", ""))</f>
        <v/>
      </c>
      <c r="AM221" s="329" t="str">
        <f>IFERROR(IF(tblPiNAnalysis[[#This Row],[Highest PiN]]="", "", IF(tblPiNAnalysis[[#This Row],[Highest sector(s'') PiN %]]&gt;=flag_pin_perc, "Flagged", "")), "")</f>
        <v/>
      </c>
      <c r="AN221" s="330" t="str" cm="1">
        <f t="array" ref="AN221">IF(tblPiNAnalysis[[#This Row],[Highest PiN]]=0, "",  IF(OR(COUNTIF(tblPiNAnalysis[[#This Row],[Highest sector(s)]],tblSubSectorPopulation[Sector])), "Flagged", ""))</f>
        <v/>
      </c>
      <c r="AO221" s="46" cm="1">
        <f t="array" ref="AO2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33192.949556788255</v>
      </c>
      <c r="AP221" s="331" t="str" cm="1">
        <f t="array" ref="AP221">IF(tblPiNAnalysis[[#This Row],[2nd Highest PiN]]="", "", _xlfn.TEXTJOIN(CHAR(10), TRUE, IF(tblPiNAnalysis[[#This Row],[2nd Highest PiN]]=tblPiNAnalysis[[#This Row],[CCCM]:[WASH]], tblPiNAnalysis[[#Headers],[CCCM]:[WASH]], "")))</f>
        <v>WASH</v>
      </c>
      <c r="AQ221" s="36">
        <f>IFERROR(tblPiNAnalysis[[#This Row],[2nd Highest PiN]]/tblPiNAnalysis[[#This Row],[Affected population projection 2026]], "")</f>
        <v>0.74999999999999989</v>
      </c>
      <c r="AR221" s="46">
        <f>IFERROR(tblPiNAnalysis[[#This Row],[Highest PiN]]-tblPiNAnalysis[[#This Row],[2nd Highest PiN]], "")</f>
        <v>5338.5215022345947</v>
      </c>
      <c r="AS221" s="39">
        <f>IFERROR(((tblPiNAnalysis[[#This Row],[Highest PiN]]-tblPiNAnalysis[[#This Row],[2nd Highest PiN]])/tblPiNAnalysis[[#This Row],[2nd Highest PiN]]),"")</f>
        <v>0.16083299536551188</v>
      </c>
      <c r="AT221" s="39" t="str" cm="1">
        <f t="array" ref="AT2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1" s="332" cm="1">
        <f t="array" ref="AU2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29257</v>
      </c>
      <c r="AV221" s="190" t="str" cm="1">
        <f t="array" ref="AV221">IF(tblPiNAnalysis[[#This Row],[3rd Highest PiN]]="", "", _xlfn.TEXTJOIN(CHAR(10), TRUE, IF(tblPiNAnalysis[[#This Row],[3rd Highest PiN]]=tblPiNAnalysis[[#This Row],[CCCM]:[WASH]], tblPiNAnalysis[[#Headers],[CCCM]:[WASH]], "")))</f>
        <v>Overarching Protection</v>
      </c>
      <c r="AW221" s="190">
        <f>IFERROR(tblPiNAnalysis[[#This Row],[3rd Highest PiN]]/tblPiNAnalysis[[#This Row],[Affected population projection 2026]], "")</f>
        <v>0.66106659073666174</v>
      </c>
      <c r="AX221" s="45">
        <f>IFERROR(tblPiNAnalysis[[#This Row],[Highest PiN]]-tblPiNAnalysis[[#This Row],[3rd Highest PiN]],"")</f>
        <v>9274.4710590228497</v>
      </c>
      <c r="AY221" s="39">
        <f>IFERROR(tblPiNAnalysis[[#This Row],[Difference of PiN between Highest and 3rd Highest]]/tblPiNAnalysis[[#This Row],[3rd Highest PiN]], "")</f>
        <v>0.31700007037710121</v>
      </c>
      <c r="AZ221" s="330" t="str" cm="1">
        <f t="array" ref="AZ2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1" s="300" t="str" cm="1">
        <f t="array" ref="BA221">IFERROR(IF(tblPiNAnalysis[[#This Row],[ID]]="", "", INDEX(tblPiNHistorical[[CCCM]:[WASH]], MATCH(tblPiNAnalysis[[#This Row],[ID]],tblPiNHistorical[ID], 0),MATCH(_xlfn._xlws.FILTER(tblPiNAnalysis[[#Headers],[CCCM]:[WASH]], tblPiNAnalysis[[#This Row],[Highest PiN]]=tblPiNAnalysis[[#This Row],[CCCM]:[WASH]]), tblPiNHistorical[[#Headers],[CCCM]:[WASH]], 0))), "")</f>
        <v/>
      </c>
      <c r="BB221" s="333" t="str" cm="1">
        <f t="array" ref="BB2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1" s="276" t="str" cm="1">
        <f t="array" ref="BC22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1" s="334" t="str" cm="1">
        <f t="array" ref="BD2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1" s="276">
        <f>INDEX(tblSeverityAnalysis[Final Severity], MATCH(tblPiNAnalysis[[#This Row],[ID]],tblSeverityAnalysis[ID], 0))</f>
        <v>5</v>
      </c>
      <c r="BF221" s="61">
        <f>IF(tblPiNAnalysis[[#This Row],[Severity]]&gt;2,tblPiNAnalysis[[#This Row],[Highest PiN]],)</f>
        <v>38531.47105902285</v>
      </c>
      <c r="BG221" s="191"/>
      <c r="BH221" s="192"/>
      <c r="BI221" s="193">
        <f>COUNTIFS(tblPiNAnalysis[[#This Row],[Number of missing / zero PiNs greater than threshold - Data quality]:[Manual Flag]],"Flagged")</f>
        <v>0</v>
      </c>
      <c r="BJ221" s="96" t="str">
        <f>IF(tblPiNAnalysis[[#This Row],['# Flags]]&gt;0, "Flagged", "")</f>
        <v/>
      </c>
      <c r="BK221" s="326">
        <f>tblPiNAnalysis[[#This Row],[Preliminary PiN]]</f>
        <v>38531.47105902285</v>
      </c>
      <c r="BL221" s="331"/>
    </row>
    <row r="222" spans="1:64" x14ac:dyDescent="0.55000000000000004">
      <c r="A22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SS0801</v>
      </c>
      <c r="B222" s="316" t="s">
        <v>368</v>
      </c>
      <c r="C222" s="317" t="s">
        <v>369</v>
      </c>
      <c r="D222" s="317" t="s">
        <v>370</v>
      </c>
      <c r="E222" s="105" t="s">
        <v>371</v>
      </c>
      <c r="F222" s="100"/>
      <c r="G222" s="34"/>
      <c r="H222" s="34"/>
      <c r="I222" s="97">
        <v>34983.329520759507</v>
      </c>
      <c r="J222" s="97" t="s">
        <v>414</v>
      </c>
      <c r="K222" s="318">
        <v>5247.4994281139261</v>
      </c>
      <c r="L222" s="319">
        <v>7413.4293053986139</v>
      </c>
      <c r="M222" s="319">
        <v>12492.153849814778</v>
      </c>
      <c r="N222" s="319">
        <v>20489.716482018473</v>
      </c>
      <c r="O222" s="319">
        <v>16834.613214961206</v>
      </c>
      <c r="P222" s="319">
        <v>23078</v>
      </c>
      <c r="Q222" s="320">
        <v>24660.379826109162</v>
      </c>
      <c r="R222" s="319">
        <v>11661.109840253168</v>
      </c>
      <c r="S222" s="319">
        <v>14294</v>
      </c>
      <c r="T222" s="319">
        <v>14503</v>
      </c>
      <c r="U222" s="319">
        <v>2846</v>
      </c>
      <c r="V222" s="319">
        <v>9291</v>
      </c>
      <c r="W222" s="321">
        <f>IFERROR(IF(tblPiNAnalysis[[#This Row],[CCCM]]="", "", MROUND(tblPiNAnalysis[[#This Row],[CCCM]]/tblPiNAnalysis[[#This Row],[Affected population projection 2026]], 0.05)), "")</f>
        <v>0.15000000000000002</v>
      </c>
      <c r="X222" s="322">
        <f>IFERROR(IF(tblPiNAnalysis[[#This Row],[Education]]="", "", MROUND(tblPiNAnalysis[[#This Row],[Education]]/tblPiNAnalysis[[#This Row],[Affected population projection 2026]], 0.05)), "")</f>
        <v>0.2</v>
      </c>
      <c r="Y222" s="322">
        <f>IFERROR(IF(tblPiNAnalysis[[#This Row],[Nutrition]]="", "", MROUND(tblPiNAnalysis[[#This Row],[Nutrition]]/tblPiNAnalysis[[#This Row],[Affected population projection 2026]], 0.05)), "")</f>
        <v>0.35000000000000003</v>
      </c>
      <c r="Z222" s="322">
        <f>IFERROR(IF(tblPiNAnalysis[[#This Row],[Food Security]]="", "", MROUND(tblPiNAnalysis[[#This Row],[Food Security]]/tblPiNAnalysis[[#This Row],[Affected population projection 2026]], 0.05)), "")</f>
        <v>0.60000000000000009</v>
      </c>
      <c r="AA222" s="322">
        <f>IFERROR(IF(tblPiNAnalysis[[#This Row],[Health]]="", "", MROUND(tblPiNAnalysis[[#This Row],[Health]]/tblPiNAnalysis[[#This Row],[Affected population projection 2026]], 0.05)), "")</f>
        <v>0.5</v>
      </c>
      <c r="AB222" s="323">
        <f>IFERROR(IF(tblPiNAnalysis[[#This Row],[Overarching Protection]]="", "", MROUND(tblPiNAnalysis[[#This Row],[Overarching Protection]]/tblPiNAnalysis[[#This Row],[Affected population projection 2026]], 0.05)), "")</f>
        <v>0.65</v>
      </c>
      <c r="AC222" s="323">
        <f>IFERROR(IF(tblPiNAnalysis[[#This Row],[Shelter]]="", "", MROUND(tblPiNAnalysis[[#This Row],[Shelter]]/tblPiNAnalysis[[#This Row],[Affected population projection 2026]], 0.05)), "")</f>
        <v>0.70000000000000007</v>
      </c>
      <c r="AD222" s="324">
        <f>IFERROR(IF(tblPiNAnalysis[[#This Row],[WASH]]="", "", MROUND(tblPiNAnalysis[[#This Row],[WASH]]/tblPiNAnalysis[[#This Row],[Affected population projection 2026]], 0.05)), "")</f>
        <v>0.35000000000000003</v>
      </c>
      <c r="AE222" s="322">
        <f>IFERROR(MROUND(tblPiNAnalysis[[#This Row],[CP]]/tblPiNAnalysis[[#This Row],[Affected population projection 2026]], 0.05), "")</f>
        <v>0.4</v>
      </c>
      <c r="AF222" s="322">
        <f>IFERROR(MROUND(tblPiNAnalysis[[#This Row],[GBV]]/tblPiNAnalysis[[#This Row],[Affected population projection 2026]], 0.05), "")</f>
        <v>0.4</v>
      </c>
      <c r="AG222" s="322">
        <f>IFERROR(MROUND(tblPiNAnalysis[[#This Row],[Mine Action]]/tblPiNAnalysis[[#This Row],[Affected population projection 2026]], 0.05), "")</f>
        <v>0.1</v>
      </c>
      <c r="AH222" s="322">
        <f>IFERROR(MROUND(tblPiNAnalysis[[#This Row],[HLP]]/tblPiNAnalysis[[#This Row],[Affected population projection 2026]], 0.05), "")</f>
        <v>0.25</v>
      </c>
      <c r="AI222" s="325">
        <f>IFERROR(LARGE(tblPiNAnalysis[[#This Row],[CCCM]:[WASH]], 1), "")</f>
        <v>24660.379826109162</v>
      </c>
      <c r="AJ222" s="326" t="str" cm="1">
        <f t="array" ref="AJ222">IF(tblPiNAnalysis[[#This Row],[Highest PiN]]="", "", _xlfn.TEXTJOIN(CHAR(10), TRUE, IF(tblPiNAnalysis[[#This Row],[Highest PiN]]=tblPiNAnalysis[[#This Row],[CCCM]:[WASH]], tblPiNAnalysis[[#Headers],[CCCM]:[WASH]], "")))</f>
        <v>Shelter</v>
      </c>
      <c r="AK222" s="327">
        <f>IF(tblPiNAnalysis[[#This Row],[Highest PiN]]="", "", tblPiNAnalysis[[#This Row],[Highest PiN]]/tblPiNAnalysis[[#This Row],[Affected population projection 2026]])</f>
        <v>0.70491803278688525</v>
      </c>
      <c r="AL222" s="328" t="str">
        <f>IF(SUM(tblPiNAnalysis[[#This Row],[CCCM]:[WASH]])=0, "",IF(COUNTIF(tblPiNAnalysis[[#This Row],[CCCM]:[WASH]],"=0")+COUNTIF(tblPiNAnalysis[[#This Row],[CCCM]:[WASH]],"")&gt;=zero_pin_thresh, "Flagged", ""))</f>
        <v/>
      </c>
      <c r="AM222" s="329" t="str">
        <f>IFERROR(IF(tblPiNAnalysis[[#This Row],[Highest PiN]]="", "", IF(tblPiNAnalysis[[#This Row],[Highest sector(s'') PiN %]]&gt;=flag_pin_perc, "Flagged", "")), "")</f>
        <v/>
      </c>
      <c r="AN222" s="330" t="str" cm="1">
        <f t="array" ref="AN222">IF(tblPiNAnalysis[[#This Row],[Highest PiN]]=0, "",  IF(OR(COUNTIF(tblPiNAnalysis[[#This Row],[Highest sector(s)]],tblSubSectorPopulation[Sector])), "Flagged", ""))</f>
        <v/>
      </c>
      <c r="AO222" s="46" cm="1">
        <f t="array" ref="AO2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23078</v>
      </c>
      <c r="AP222" s="331" t="str" cm="1">
        <f t="array" ref="AP222">IF(tblPiNAnalysis[[#This Row],[2nd Highest PiN]]="", "", _xlfn.TEXTJOIN(CHAR(10), TRUE, IF(tblPiNAnalysis[[#This Row],[2nd Highest PiN]]=tblPiNAnalysis[[#This Row],[CCCM]:[WASH]], tblPiNAnalysis[[#Headers],[CCCM]:[WASH]], "")))</f>
        <v>Overarching Protection</v>
      </c>
      <c r="AQ222" s="36">
        <f>IFERROR(tblPiNAnalysis[[#This Row],[2nd Highest PiN]]/tblPiNAnalysis[[#This Row],[Affected population projection 2026]], "")</f>
        <v>0.65968563644879064</v>
      </c>
      <c r="AR222" s="46">
        <f>IFERROR(tblPiNAnalysis[[#This Row],[Highest PiN]]-tblPiNAnalysis[[#This Row],[2nd Highest PiN]], "")</f>
        <v>1582.3798261091615</v>
      </c>
      <c r="AS222" s="39">
        <f>IFERROR(((tblPiNAnalysis[[#This Row],[Highest PiN]]-tblPiNAnalysis[[#This Row],[2nd Highest PiN]])/tblPiNAnalysis[[#This Row],[2nd Highest PiN]]),"")</f>
        <v>6.8566592690404785E-2</v>
      </c>
      <c r="AT222" s="39" t="str" cm="1">
        <f t="array" ref="AT2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2" s="332" cm="1">
        <f t="array" ref="AU2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20489.716482018473</v>
      </c>
      <c r="AV222" s="190" t="str" cm="1">
        <f t="array" ref="AV222">IF(tblPiNAnalysis[[#This Row],[3rd Highest PiN]]="", "", _xlfn.TEXTJOIN(CHAR(10), TRUE, IF(tblPiNAnalysis[[#This Row],[3rd Highest PiN]]=tblPiNAnalysis[[#This Row],[CCCM]:[WASH]], tblPiNAnalysis[[#Headers],[CCCM]:[WASH]], "")))</f>
        <v>Food Security</v>
      </c>
      <c r="AW222" s="190">
        <f>IFERROR(tblPiNAnalysis[[#This Row],[3rd Highest PiN]]/tblPiNAnalysis[[#This Row],[Affected population projection 2026]], "")</f>
        <v>0.5856994392103142</v>
      </c>
      <c r="AX222" s="45">
        <f>IFERROR(tblPiNAnalysis[[#This Row],[Highest PiN]]-tblPiNAnalysis[[#This Row],[3rd Highest PiN]],"")</f>
        <v>4170.663344090688</v>
      </c>
      <c r="AY222" s="39">
        <f>IFERROR(tblPiNAnalysis[[#This Row],[Difference of PiN between Highest and 3rd Highest]]/tblPiNAnalysis[[#This Row],[3rd Highest PiN]], "")</f>
        <v>0.20354909975210303</v>
      </c>
      <c r="AZ222" s="330" t="str" cm="1">
        <f t="array" ref="AZ2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2" s="300" t="str" cm="1">
        <f t="array" ref="BA222">IFERROR(IF(tblPiNAnalysis[[#This Row],[ID]]="", "", INDEX(tblPiNHistorical[[CCCM]:[WASH]], MATCH(tblPiNAnalysis[[#This Row],[ID]],tblPiNHistorical[ID], 0),MATCH(_xlfn._xlws.FILTER(tblPiNAnalysis[[#Headers],[CCCM]:[WASH]], tblPiNAnalysis[[#This Row],[Highest PiN]]=tblPiNAnalysis[[#This Row],[CCCM]:[WASH]]), tblPiNHistorical[[#Headers],[CCCM]:[WASH]], 0))), "")</f>
        <v/>
      </c>
      <c r="BB222" s="333" t="str" cm="1">
        <f t="array" ref="BB2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2" s="276" t="str" cm="1">
        <f t="array" ref="BC22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2" s="334" t="str" cm="1">
        <f t="array" ref="BD2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2" s="276">
        <f>INDEX(tblSeverityAnalysis[Final Severity], MATCH(tblPiNAnalysis[[#This Row],[ID]],tblSeverityAnalysis[ID], 0))</f>
        <v>3</v>
      </c>
      <c r="BF222" s="61">
        <f>IF(tblPiNAnalysis[[#This Row],[Severity]]&gt;2,tblPiNAnalysis[[#This Row],[Highest PiN]],)</f>
        <v>24660.379826109162</v>
      </c>
      <c r="BG222" s="191"/>
      <c r="BH222" s="192"/>
      <c r="BI222" s="193">
        <f>COUNTIFS(tblPiNAnalysis[[#This Row],[Number of missing / zero PiNs greater than threshold - Data quality]:[Manual Flag]],"Flagged")</f>
        <v>0</v>
      </c>
      <c r="BJ222" s="96" t="str">
        <f>IF(tblPiNAnalysis[[#This Row],['# Flags]]&gt;0, "Flagged", "")</f>
        <v/>
      </c>
      <c r="BK222" s="326">
        <f>tblPiNAnalysis[[#This Row],[Preliminary PiN]]</f>
        <v>24660.379826109162</v>
      </c>
      <c r="BL222" s="331"/>
    </row>
    <row r="223" spans="1:64" x14ac:dyDescent="0.55000000000000004">
      <c r="A22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SS0802</v>
      </c>
      <c r="B223" s="316" t="s">
        <v>368</v>
      </c>
      <c r="C223" s="317" t="s">
        <v>369</v>
      </c>
      <c r="D223" s="317" t="s">
        <v>372</v>
      </c>
      <c r="E223" s="105" t="s">
        <v>373</v>
      </c>
      <c r="F223" s="100"/>
      <c r="G223" s="34"/>
      <c r="H223" s="34"/>
      <c r="I223" s="97">
        <v>98408.747432231496</v>
      </c>
      <c r="J223" s="97" t="s">
        <v>414</v>
      </c>
      <c r="K223" s="318">
        <v>14761.312114834724</v>
      </c>
      <c r="L223" s="319">
        <v>22394.770403530743</v>
      </c>
      <c r="M223" s="319">
        <v>35540.933869193272</v>
      </c>
      <c r="N223" s="319">
        <v>52315.662132673438</v>
      </c>
      <c r="O223" s="319">
        <v>49887.945759563932</v>
      </c>
      <c r="P223" s="319">
        <v>65097</v>
      </c>
      <c r="Q223" s="320">
        <v>57990.869022564992</v>
      </c>
      <c r="R223" s="319">
        <v>49204.373716115748</v>
      </c>
      <c r="S223" s="319">
        <v>39068</v>
      </c>
      <c r="T223" s="319">
        <v>44342</v>
      </c>
      <c r="U223" s="319">
        <v>7709</v>
      </c>
      <c r="V223" s="319">
        <v>27376</v>
      </c>
      <c r="W223" s="321">
        <f>IFERROR(IF(tblPiNAnalysis[[#This Row],[CCCM]]="", "", MROUND(tblPiNAnalysis[[#This Row],[CCCM]]/tblPiNAnalysis[[#This Row],[Affected population projection 2026]], 0.05)), "")</f>
        <v>0.15000000000000002</v>
      </c>
      <c r="X223" s="322">
        <f>IFERROR(IF(tblPiNAnalysis[[#This Row],[Education]]="", "", MROUND(tblPiNAnalysis[[#This Row],[Education]]/tblPiNAnalysis[[#This Row],[Affected population projection 2026]], 0.05)), "")</f>
        <v>0.25</v>
      </c>
      <c r="Y223" s="322">
        <f>IFERROR(IF(tblPiNAnalysis[[#This Row],[Nutrition]]="", "", MROUND(tblPiNAnalysis[[#This Row],[Nutrition]]/tblPiNAnalysis[[#This Row],[Affected population projection 2026]], 0.05)), "")</f>
        <v>0.35000000000000003</v>
      </c>
      <c r="Z223" s="322">
        <f>IFERROR(IF(tblPiNAnalysis[[#This Row],[Food Security]]="", "", MROUND(tblPiNAnalysis[[#This Row],[Food Security]]/tblPiNAnalysis[[#This Row],[Affected population projection 2026]], 0.05)), "")</f>
        <v>0.55000000000000004</v>
      </c>
      <c r="AA223" s="322">
        <f>IFERROR(IF(tblPiNAnalysis[[#This Row],[Health]]="", "", MROUND(tblPiNAnalysis[[#This Row],[Health]]/tblPiNAnalysis[[#This Row],[Affected population projection 2026]], 0.05)), "")</f>
        <v>0.5</v>
      </c>
      <c r="AB223" s="323">
        <f>IFERROR(IF(tblPiNAnalysis[[#This Row],[Overarching Protection]]="", "", MROUND(tblPiNAnalysis[[#This Row],[Overarching Protection]]/tblPiNAnalysis[[#This Row],[Affected population projection 2026]], 0.05)), "")</f>
        <v>0.65</v>
      </c>
      <c r="AC223" s="323">
        <f>IFERROR(IF(tblPiNAnalysis[[#This Row],[Shelter]]="", "", MROUND(tblPiNAnalysis[[#This Row],[Shelter]]/tblPiNAnalysis[[#This Row],[Affected population projection 2026]], 0.05)), "")</f>
        <v>0.60000000000000009</v>
      </c>
      <c r="AD223" s="324">
        <f>IFERROR(IF(tblPiNAnalysis[[#This Row],[WASH]]="", "", MROUND(tblPiNAnalysis[[#This Row],[WASH]]/tblPiNAnalysis[[#This Row],[Affected population projection 2026]], 0.05)), "")</f>
        <v>0.5</v>
      </c>
      <c r="AE223" s="322">
        <f>IFERROR(MROUND(tblPiNAnalysis[[#This Row],[CP]]/tblPiNAnalysis[[#This Row],[Affected population projection 2026]], 0.05), "")</f>
        <v>0.4</v>
      </c>
      <c r="AF223" s="322">
        <f>IFERROR(MROUND(tblPiNAnalysis[[#This Row],[GBV]]/tblPiNAnalysis[[#This Row],[Affected population projection 2026]], 0.05), "")</f>
        <v>0.45</v>
      </c>
      <c r="AG223" s="322">
        <f>IFERROR(MROUND(tblPiNAnalysis[[#This Row],[Mine Action]]/tblPiNAnalysis[[#This Row],[Affected population projection 2026]], 0.05), "")</f>
        <v>0.1</v>
      </c>
      <c r="AH223" s="322">
        <f>IFERROR(MROUND(tblPiNAnalysis[[#This Row],[HLP]]/tblPiNAnalysis[[#This Row],[Affected population projection 2026]], 0.05), "")</f>
        <v>0.30000000000000004</v>
      </c>
      <c r="AI223" s="325">
        <f>IFERROR(LARGE(tblPiNAnalysis[[#This Row],[CCCM]:[WASH]], 1), "")</f>
        <v>65097</v>
      </c>
      <c r="AJ223" s="326" t="str" cm="1">
        <f t="array" ref="AJ223">IF(tblPiNAnalysis[[#This Row],[Highest PiN]]="", "", _xlfn.TEXTJOIN(CHAR(10), TRUE, IF(tblPiNAnalysis[[#This Row],[Highest PiN]]=tblPiNAnalysis[[#This Row],[CCCM]:[WASH]], tblPiNAnalysis[[#Headers],[CCCM]:[WASH]], "")))</f>
        <v>Overarching Protection</v>
      </c>
      <c r="AK223" s="327">
        <f>IF(tblPiNAnalysis[[#This Row],[Highest PiN]]="", "", tblPiNAnalysis[[#This Row],[Highest PiN]]/tblPiNAnalysis[[#This Row],[Affected population projection 2026]])</f>
        <v>0.66149607325129911</v>
      </c>
      <c r="AL223" s="328" t="str">
        <f>IF(SUM(tblPiNAnalysis[[#This Row],[CCCM]:[WASH]])=0, "",IF(COUNTIF(tblPiNAnalysis[[#This Row],[CCCM]:[WASH]],"=0")+COUNTIF(tblPiNAnalysis[[#This Row],[CCCM]:[WASH]],"")&gt;=zero_pin_thresh, "Flagged", ""))</f>
        <v/>
      </c>
      <c r="AM223" s="329" t="str">
        <f>IFERROR(IF(tblPiNAnalysis[[#This Row],[Highest PiN]]="", "", IF(tblPiNAnalysis[[#This Row],[Highest sector(s'') PiN %]]&gt;=flag_pin_perc, "Flagged", "")), "")</f>
        <v/>
      </c>
      <c r="AN223" s="330" t="str" cm="1">
        <f t="array" ref="AN223">IF(tblPiNAnalysis[[#This Row],[Highest PiN]]=0, "",  IF(OR(COUNTIF(tblPiNAnalysis[[#This Row],[Highest sector(s)]],tblSubSectorPopulation[Sector])), "Flagged", ""))</f>
        <v/>
      </c>
      <c r="AO223" s="46" cm="1">
        <f t="array" ref="AO2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57990.869022564992</v>
      </c>
      <c r="AP223" s="331" t="str" cm="1">
        <f t="array" ref="AP223">IF(tblPiNAnalysis[[#This Row],[2nd Highest PiN]]="", "", _xlfn.TEXTJOIN(CHAR(10), TRUE, IF(tblPiNAnalysis[[#This Row],[2nd Highest PiN]]=tblPiNAnalysis[[#This Row],[CCCM]:[WASH]], tblPiNAnalysis[[#Headers],[CCCM]:[WASH]], "")))</f>
        <v>Shelter</v>
      </c>
      <c r="AQ223" s="36">
        <f>IFERROR(tblPiNAnalysis[[#This Row],[2nd Highest PiN]]/tblPiNAnalysis[[#This Row],[Affected population projection 2026]], "")</f>
        <v>0.5892857142857143</v>
      </c>
      <c r="AR223" s="46">
        <f>IFERROR(tblPiNAnalysis[[#This Row],[Highest PiN]]-tblPiNAnalysis[[#This Row],[2nd Highest PiN]], "")</f>
        <v>7106.1309774350084</v>
      </c>
      <c r="AS223" s="39">
        <f>IFERROR(((tblPiNAnalysis[[#This Row],[Highest PiN]]-tblPiNAnalysis[[#This Row],[2nd Highest PiN]])/tblPiNAnalysis[[#This Row],[2nd Highest PiN]]),"")</f>
        <v>0.12253879097190148</v>
      </c>
      <c r="AT223" s="39" t="str" cm="1">
        <f t="array" ref="AT2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3" s="332" cm="1">
        <f t="array" ref="AU2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52315.662132673438</v>
      </c>
      <c r="AV223" s="190" t="str" cm="1">
        <f t="array" ref="AV223">IF(tblPiNAnalysis[[#This Row],[3rd Highest PiN]]="", "", _xlfn.TEXTJOIN(CHAR(10), TRUE, IF(tblPiNAnalysis[[#This Row],[3rd Highest PiN]]=tblPiNAnalysis[[#This Row],[CCCM]:[WASH]], tblPiNAnalysis[[#Headers],[CCCM]:[WASH]], "")))</f>
        <v>Food Security</v>
      </c>
      <c r="AW223" s="190">
        <f>IFERROR(tblPiNAnalysis[[#This Row],[3rd Highest PiN]]/tblPiNAnalysis[[#This Row],[Affected population projection 2026]], "")</f>
        <v>0.53161597416632356</v>
      </c>
      <c r="AX223" s="45">
        <f>IFERROR(tblPiNAnalysis[[#This Row],[Highest PiN]]-tblPiNAnalysis[[#This Row],[3rd Highest PiN]],"")</f>
        <v>12781.337867326562</v>
      </c>
      <c r="AY223" s="39">
        <f>IFERROR(tblPiNAnalysis[[#This Row],[Difference of PiN between Highest and 3rd Highest]]/tblPiNAnalysis[[#This Row],[3rd Highest PiN]], "")</f>
        <v>0.24431188187799027</v>
      </c>
      <c r="AZ223" s="330" t="str" cm="1">
        <f t="array" ref="AZ2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3" s="300" t="str" cm="1">
        <f t="array" ref="BA223">IFERROR(IF(tblPiNAnalysis[[#This Row],[ID]]="", "", INDEX(tblPiNHistorical[[CCCM]:[WASH]], MATCH(tblPiNAnalysis[[#This Row],[ID]],tblPiNHistorical[ID], 0),MATCH(_xlfn._xlws.FILTER(tblPiNAnalysis[[#Headers],[CCCM]:[WASH]], tblPiNAnalysis[[#This Row],[Highest PiN]]=tblPiNAnalysis[[#This Row],[CCCM]:[WASH]]), tblPiNHistorical[[#Headers],[CCCM]:[WASH]], 0))), "")</f>
        <v/>
      </c>
      <c r="BB223" s="333" t="str" cm="1">
        <f t="array" ref="BB2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3" s="276" t="str" cm="1">
        <f t="array" ref="BC223">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3" s="334" t="str" cm="1">
        <f t="array" ref="BD2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3" s="276">
        <f>INDEX(tblSeverityAnalysis[Final Severity], MATCH(tblPiNAnalysis[[#This Row],[ID]],tblSeverityAnalysis[ID], 0))</f>
        <v>3</v>
      </c>
      <c r="BF223" s="61">
        <f>IF(tblPiNAnalysis[[#This Row],[Severity]]&gt;2,tblPiNAnalysis[[#This Row],[Highest PiN]],)</f>
        <v>65097</v>
      </c>
      <c r="BG223" s="191"/>
      <c r="BH223" s="192"/>
      <c r="BI223" s="193">
        <f>COUNTIFS(tblPiNAnalysis[[#This Row],[Number of missing / zero PiNs greater than threshold - Data quality]:[Manual Flag]],"Flagged")</f>
        <v>0</v>
      </c>
      <c r="BJ223" s="96" t="str">
        <f>IF(tblPiNAnalysis[[#This Row],['# Flags]]&gt;0, "Flagged", "")</f>
        <v/>
      </c>
      <c r="BK223" s="326">
        <f>tblPiNAnalysis[[#This Row],[Preliminary PiN]]</f>
        <v>65097</v>
      </c>
      <c r="BL223" s="331"/>
    </row>
    <row r="224" spans="1:64" x14ac:dyDescent="0.55000000000000004">
      <c r="A22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SS0803</v>
      </c>
      <c r="B224" s="316" t="s">
        <v>368</v>
      </c>
      <c r="C224" s="317" t="s">
        <v>369</v>
      </c>
      <c r="D224" s="317" t="s">
        <v>374</v>
      </c>
      <c r="E224" s="105" t="s">
        <v>375</v>
      </c>
      <c r="F224" s="100"/>
      <c r="G224" s="34"/>
      <c r="H224" s="34"/>
      <c r="I224" s="97">
        <v>17868.834713485074</v>
      </c>
      <c r="J224" s="97" t="s">
        <v>414</v>
      </c>
      <c r="K224" s="318">
        <v>2680.3252070227609</v>
      </c>
      <c r="L224" s="319">
        <v>5845.6498996058772</v>
      </c>
      <c r="M224" s="319">
        <v>7627.3791897194624</v>
      </c>
      <c r="N224" s="319">
        <v>13176.465842066476</v>
      </c>
      <c r="O224" s="319">
        <v>7643.5241742857106</v>
      </c>
      <c r="P224" s="319">
        <v>13713</v>
      </c>
      <c r="Q224" s="320">
        <v>12183.296395558005</v>
      </c>
      <c r="R224" s="319">
        <v>8768.9651834695287</v>
      </c>
      <c r="S224" s="319">
        <v>7684</v>
      </c>
      <c r="T224" s="319">
        <v>7817</v>
      </c>
      <c r="U224" s="319">
        <v>1383</v>
      </c>
      <c r="V224" s="319">
        <v>3949</v>
      </c>
      <c r="W224" s="321">
        <f>IFERROR(IF(tblPiNAnalysis[[#This Row],[CCCM]]="", "", MROUND(tblPiNAnalysis[[#This Row],[CCCM]]/tblPiNAnalysis[[#This Row],[Affected population projection 2026]], 0.05)), "")</f>
        <v>0.15000000000000002</v>
      </c>
      <c r="X224" s="322">
        <f>IFERROR(IF(tblPiNAnalysis[[#This Row],[Education]]="", "", MROUND(tblPiNAnalysis[[#This Row],[Education]]/tblPiNAnalysis[[#This Row],[Affected population projection 2026]], 0.05)), "")</f>
        <v>0.35000000000000003</v>
      </c>
      <c r="Y224" s="322">
        <f>IFERROR(IF(tblPiNAnalysis[[#This Row],[Nutrition]]="", "", MROUND(tblPiNAnalysis[[#This Row],[Nutrition]]/tblPiNAnalysis[[#This Row],[Affected population projection 2026]], 0.05)), "")</f>
        <v>0.45</v>
      </c>
      <c r="Z224" s="322">
        <f>IFERROR(IF(tblPiNAnalysis[[#This Row],[Food Security]]="", "", MROUND(tblPiNAnalysis[[#This Row],[Food Security]]/tblPiNAnalysis[[#This Row],[Affected population projection 2026]], 0.05)), "")</f>
        <v>0.75</v>
      </c>
      <c r="AA224" s="322">
        <f>IFERROR(IF(tblPiNAnalysis[[#This Row],[Health]]="", "", MROUND(tblPiNAnalysis[[#This Row],[Health]]/tblPiNAnalysis[[#This Row],[Affected population projection 2026]], 0.05)), "")</f>
        <v>0.45</v>
      </c>
      <c r="AB224" s="323">
        <f>IFERROR(IF(tblPiNAnalysis[[#This Row],[Overarching Protection]]="", "", MROUND(tblPiNAnalysis[[#This Row],[Overarching Protection]]/tblPiNAnalysis[[#This Row],[Affected population projection 2026]], 0.05)), "")</f>
        <v>0.75</v>
      </c>
      <c r="AC224" s="323">
        <f>IFERROR(IF(tblPiNAnalysis[[#This Row],[Shelter]]="", "", MROUND(tblPiNAnalysis[[#This Row],[Shelter]]/tblPiNAnalysis[[#This Row],[Affected population projection 2026]], 0.05)), "")</f>
        <v>0.70000000000000007</v>
      </c>
      <c r="AD224" s="324">
        <f>IFERROR(IF(tblPiNAnalysis[[#This Row],[WASH]]="", "", MROUND(tblPiNAnalysis[[#This Row],[WASH]]/tblPiNAnalysis[[#This Row],[Affected population projection 2026]], 0.05)), "")</f>
        <v>0.5</v>
      </c>
      <c r="AE224" s="322">
        <f>IFERROR(MROUND(tblPiNAnalysis[[#This Row],[CP]]/tblPiNAnalysis[[#This Row],[Affected population projection 2026]], 0.05), "")</f>
        <v>0.45</v>
      </c>
      <c r="AF224" s="322">
        <f>IFERROR(MROUND(tblPiNAnalysis[[#This Row],[GBV]]/tblPiNAnalysis[[#This Row],[Affected population projection 2026]], 0.05), "")</f>
        <v>0.45</v>
      </c>
      <c r="AG224" s="322">
        <f>IFERROR(MROUND(tblPiNAnalysis[[#This Row],[Mine Action]]/tblPiNAnalysis[[#This Row],[Affected population projection 2026]], 0.05), "")</f>
        <v>0.1</v>
      </c>
      <c r="AH224" s="322">
        <f>IFERROR(MROUND(tblPiNAnalysis[[#This Row],[HLP]]/tblPiNAnalysis[[#This Row],[Affected population projection 2026]], 0.05), "")</f>
        <v>0.2</v>
      </c>
      <c r="AI224" s="325">
        <f>IFERROR(LARGE(tblPiNAnalysis[[#This Row],[CCCM]:[WASH]], 1), "")</f>
        <v>13713</v>
      </c>
      <c r="AJ224" s="326" t="str" cm="1">
        <f t="array" ref="AJ224">IF(tblPiNAnalysis[[#This Row],[Highest PiN]]="", "", _xlfn.TEXTJOIN(CHAR(10), TRUE, IF(tblPiNAnalysis[[#This Row],[Highest PiN]]=tblPiNAnalysis[[#This Row],[CCCM]:[WASH]], tblPiNAnalysis[[#Headers],[CCCM]:[WASH]], "")))</f>
        <v>Overarching Protection</v>
      </c>
      <c r="AK224" s="327">
        <f>IF(tblPiNAnalysis[[#This Row],[Highest PiN]]="", "", tblPiNAnalysis[[#This Row],[Highest PiN]]/tblPiNAnalysis[[#This Row],[Affected population projection 2026]])</f>
        <v>0.76742553277137937</v>
      </c>
      <c r="AL224" s="328" t="str">
        <f>IF(SUM(tblPiNAnalysis[[#This Row],[CCCM]:[WASH]])=0, "",IF(COUNTIF(tblPiNAnalysis[[#This Row],[CCCM]:[WASH]],"=0")+COUNTIF(tblPiNAnalysis[[#This Row],[CCCM]:[WASH]],"")&gt;=zero_pin_thresh, "Flagged", ""))</f>
        <v/>
      </c>
      <c r="AM224" s="329" t="str">
        <f>IFERROR(IF(tblPiNAnalysis[[#This Row],[Highest PiN]]="", "", IF(tblPiNAnalysis[[#This Row],[Highest sector(s'') PiN %]]&gt;=flag_pin_perc, "Flagged", "")), "")</f>
        <v/>
      </c>
      <c r="AN224" s="330" t="str" cm="1">
        <f t="array" ref="AN224">IF(tblPiNAnalysis[[#This Row],[Highest PiN]]=0, "",  IF(OR(COUNTIF(tblPiNAnalysis[[#This Row],[Highest sector(s)]],tblSubSectorPopulation[Sector])), "Flagged", ""))</f>
        <v/>
      </c>
      <c r="AO224" s="46" cm="1">
        <f t="array" ref="AO2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13176.465842066476</v>
      </c>
      <c r="AP224" s="331" t="str" cm="1">
        <f t="array" ref="AP224">IF(tblPiNAnalysis[[#This Row],[2nd Highest PiN]]="", "", _xlfn.TEXTJOIN(CHAR(10), TRUE, IF(tblPiNAnalysis[[#This Row],[2nd Highest PiN]]=tblPiNAnalysis[[#This Row],[CCCM]:[WASH]], tblPiNAnalysis[[#Headers],[CCCM]:[WASH]], "")))</f>
        <v>Food Security</v>
      </c>
      <c r="AQ224" s="36">
        <f>IFERROR(tblPiNAnalysis[[#This Row],[2nd Highest PiN]]/tblPiNAnalysis[[#This Row],[Affected population projection 2026]], "")</f>
        <v>0.7373992794349703</v>
      </c>
      <c r="AR224" s="46">
        <f>IFERROR(tblPiNAnalysis[[#This Row],[Highest PiN]]-tblPiNAnalysis[[#This Row],[2nd Highest PiN]], "")</f>
        <v>536.5341579335236</v>
      </c>
      <c r="AS224" s="39">
        <f>IFERROR(((tblPiNAnalysis[[#This Row],[Highest PiN]]-tblPiNAnalysis[[#This Row],[2nd Highest PiN]])/tblPiNAnalysis[[#This Row],[2nd Highest PiN]]),"")</f>
        <v>4.0719124867353546E-2</v>
      </c>
      <c r="AT224" s="39" t="str" cm="1">
        <f t="array" ref="AT2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4" s="332" cm="1">
        <f t="array" ref="AU2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12183.296395558005</v>
      </c>
      <c r="AV224" s="190" t="str" cm="1">
        <f t="array" ref="AV224">IF(tblPiNAnalysis[[#This Row],[3rd Highest PiN]]="", "", _xlfn.TEXTJOIN(CHAR(10), TRUE, IF(tblPiNAnalysis[[#This Row],[3rd Highest PiN]]=tblPiNAnalysis[[#This Row],[CCCM]:[WASH]], tblPiNAnalysis[[#Headers],[CCCM]:[WASH]], "")))</f>
        <v>Shelter</v>
      </c>
      <c r="AW224" s="190">
        <f>IFERROR(tblPiNAnalysis[[#This Row],[3rd Highest PiN]]/tblPiNAnalysis[[#This Row],[Affected population projection 2026]], "")</f>
        <v>0.68181818181818188</v>
      </c>
      <c r="AX224" s="45">
        <f>IFERROR(tblPiNAnalysis[[#This Row],[Highest PiN]]-tblPiNAnalysis[[#This Row],[3rd Highest PiN]],"")</f>
        <v>1529.7036044419947</v>
      </c>
      <c r="AY224" s="39">
        <f>IFERROR(tblPiNAnalysis[[#This Row],[Difference of PiN between Highest and 3rd Highest]]/tblPiNAnalysis[[#This Row],[3rd Highest PiN]], "")</f>
        <v>0.12555744806468963</v>
      </c>
      <c r="AZ224" s="330" t="str" cm="1">
        <f t="array" ref="AZ2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4" s="300" t="str" cm="1">
        <f t="array" ref="BA224">IFERROR(IF(tblPiNAnalysis[[#This Row],[ID]]="", "", INDEX(tblPiNHistorical[[CCCM]:[WASH]], MATCH(tblPiNAnalysis[[#This Row],[ID]],tblPiNHistorical[ID], 0),MATCH(_xlfn._xlws.FILTER(tblPiNAnalysis[[#Headers],[CCCM]:[WASH]], tblPiNAnalysis[[#This Row],[Highest PiN]]=tblPiNAnalysis[[#This Row],[CCCM]:[WASH]]), tblPiNHistorical[[#Headers],[CCCM]:[WASH]], 0))), "")</f>
        <v/>
      </c>
      <c r="BB224" s="333" t="str" cm="1">
        <f t="array" ref="BB2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4" s="276" t="str" cm="1">
        <f t="array" ref="BC224">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4" s="334" t="str" cm="1">
        <f t="array" ref="BD2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4" s="276">
        <f>INDEX(tblSeverityAnalysis[Final Severity], MATCH(tblPiNAnalysis[[#This Row],[ID]],tblSeverityAnalysis[ID], 0))</f>
        <v>4</v>
      </c>
      <c r="BF224" s="61">
        <f>IF(tblPiNAnalysis[[#This Row],[Severity]]&gt;2,tblPiNAnalysis[[#This Row],[Highest PiN]],)</f>
        <v>13713</v>
      </c>
      <c r="BG224" s="191"/>
      <c r="BH224" s="192"/>
      <c r="BI224" s="193">
        <f>COUNTIFS(tblPiNAnalysis[[#This Row],[Number of missing / zero PiNs greater than threshold - Data quality]:[Manual Flag]],"Flagged")</f>
        <v>0</v>
      </c>
      <c r="BJ224" s="96" t="str">
        <f>IF(tblPiNAnalysis[[#This Row],['# Flags]]&gt;0, "Flagged", "")</f>
        <v/>
      </c>
      <c r="BK224" s="326">
        <f>tblPiNAnalysis[[#This Row],[Preliminary PiN]]</f>
        <v>13713</v>
      </c>
      <c r="BL224" s="331"/>
    </row>
    <row r="225" spans="1:64" x14ac:dyDescent="0.55000000000000004">
      <c r="A22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SS0804</v>
      </c>
      <c r="B225" s="316" t="s">
        <v>368</v>
      </c>
      <c r="C225" s="317" t="s">
        <v>369</v>
      </c>
      <c r="D225" s="317" t="s">
        <v>376</v>
      </c>
      <c r="E225" s="105" t="s">
        <v>377</v>
      </c>
      <c r="F225" s="100"/>
      <c r="G225" s="34"/>
      <c r="H225" s="34"/>
      <c r="I225" s="97">
        <v>13129.238762438523</v>
      </c>
      <c r="J225" s="97" t="s">
        <v>414</v>
      </c>
      <c r="K225" s="318">
        <v>1969.3858143657783</v>
      </c>
      <c r="L225" s="319">
        <v>3481.1651409055244</v>
      </c>
      <c r="M225" s="319">
        <v>4927.9522371892199</v>
      </c>
      <c r="N225" s="319">
        <v>8153.4055458651592</v>
      </c>
      <c r="O225" s="319">
        <v>5919.1551518143524</v>
      </c>
      <c r="P225" s="319">
        <v>8907</v>
      </c>
      <c r="Q225" s="320">
        <v>8951.7537016626302</v>
      </c>
      <c r="R225" s="319">
        <v>7901.8566625787389</v>
      </c>
      <c r="S225" s="319">
        <v>5112</v>
      </c>
      <c r="T225" s="319">
        <v>5103</v>
      </c>
      <c r="U225" s="319">
        <v>991</v>
      </c>
      <c r="V225" s="319">
        <v>4081</v>
      </c>
      <c r="W225" s="321">
        <f>IFERROR(IF(tblPiNAnalysis[[#This Row],[CCCM]]="", "", MROUND(tblPiNAnalysis[[#This Row],[CCCM]]/tblPiNAnalysis[[#This Row],[Affected population projection 2026]], 0.05)), "")</f>
        <v>0.15000000000000002</v>
      </c>
      <c r="X225" s="322">
        <f>IFERROR(IF(tblPiNAnalysis[[#This Row],[Education]]="", "", MROUND(tblPiNAnalysis[[#This Row],[Education]]/tblPiNAnalysis[[#This Row],[Affected population projection 2026]], 0.05)), "")</f>
        <v>0.25</v>
      </c>
      <c r="Y225" s="322">
        <f>IFERROR(IF(tblPiNAnalysis[[#This Row],[Nutrition]]="", "", MROUND(tblPiNAnalysis[[#This Row],[Nutrition]]/tblPiNAnalysis[[#This Row],[Affected population projection 2026]], 0.05)), "")</f>
        <v>0.4</v>
      </c>
      <c r="Z225" s="322">
        <f>IFERROR(IF(tblPiNAnalysis[[#This Row],[Food Security]]="", "", MROUND(tblPiNAnalysis[[#This Row],[Food Security]]/tblPiNAnalysis[[#This Row],[Affected population projection 2026]], 0.05)), "")</f>
        <v>0.60000000000000009</v>
      </c>
      <c r="AA225" s="322">
        <f>IFERROR(IF(tblPiNAnalysis[[#This Row],[Health]]="", "", MROUND(tblPiNAnalysis[[#This Row],[Health]]/tblPiNAnalysis[[#This Row],[Affected population projection 2026]], 0.05)), "")</f>
        <v>0.45</v>
      </c>
      <c r="AB225" s="323">
        <f>IFERROR(IF(tblPiNAnalysis[[#This Row],[Overarching Protection]]="", "", MROUND(tblPiNAnalysis[[#This Row],[Overarching Protection]]/tblPiNAnalysis[[#This Row],[Affected population projection 2026]], 0.05)), "")</f>
        <v>0.70000000000000007</v>
      </c>
      <c r="AC225" s="323">
        <f>IFERROR(IF(tblPiNAnalysis[[#This Row],[Shelter]]="", "", MROUND(tblPiNAnalysis[[#This Row],[Shelter]]/tblPiNAnalysis[[#This Row],[Affected population projection 2026]], 0.05)), "")</f>
        <v>0.70000000000000007</v>
      </c>
      <c r="AD225" s="324">
        <f>IFERROR(IF(tblPiNAnalysis[[#This Row],[WASH]]="", "", MROUND(tblPiNAnalysis[[#This Row],[WASH]]/tblPiNAnalysis[[#This Row],[Affected population projection 2026]], 0.05)), "")</f>
        <v>0.60000000000000009</v>
      </c>
      <c r="AE225" s="322">
        <f>IFERROR(MROUND(tblPiNAnalysis[[#This Row],[CP]]/tblPiNAnalysis[[#This Row],[Affected population projection 2026]], 0.05), "")</f>
        <v>0.4</v>
      </c>
      <c r="AF225" s="322">
        <f>IFERROR(MROUND(tblPiNAnalysis[[#This Row],[GBV]]/tblPiNAnalysis[[#This Row],[Affected population projection 2026]], 0.05), "")</f>
        <v>0.4</v>
      </c>
      <c r="AG225" s="322">
        <f>IFERROR(MROUND(tblPiNAnalysis[[#This Row],[Mine Action]]/tblPiNAnalysis[[#This Row],[Affected population projection 2026]], 0.05), "")</f>
        <v>0.1</v>
      </c>
      <c r="AH225" s="322">
        <f>IFERROR(MROUND(tblPiNAnalysis[[#This Row],[HLP]]/tblPiNAnalysis[[#This Row],[Affected population projection 2026]], 0.05), "")</f>
        <v>0.30000000000000004</v>
      </c>
      <c r="AI225" s="325">
        <f>IFERROR(LARGE(tblPiNAnalysis[[#This Row],[CCCM]:[WASH]], 1), "")</f>
        <v>8951.7537016626302</v>
      </c>
      <c r="AJ225" s="326" t="str" cm="1">
        <f t="array" ref="AJ225">IF(tblPiNAnalysis[[#This Row],[Highest PiN]]="", "", _xlfn.TEXTJOIN(CHAR(10), TRUE, IF(tblPiNAnalysis[[#This Row],[Highest PiN]]=tblPiNAnalysis[[#This Row],[CCCM]:[WASH]], tblPiNAnalysis[[#Headers],[CCCM]:[WASH]], "")))</f>
        <v>Shelter</v>
      </c>
      <c r="AK225" s="327">
        <f>IF(tblPiNAnalysis[[#This Row],[Highest PiN]]="", "", tblPiNAnalysis[[#This Row],[Highest PiN]]/tblPiNAnalysis[[#This Row],[Affected population projection 2026]])</f>
        <v>0.68181818181818188</v>
      </c>
      <c r="AL225" s="328" t="str">
        <f>IF(SUM(tblPiNAnalysis[[#This Row],[CCCM]:[WASH]])=0, "",IF(COUNTIF(tblPiNAnalysis[[#This Row],[CCCM]:[WASH]],"=0")+COUNTIF(tblPiNAnalysis[[#This Row],[CCCM]:[WASH]],"")&gt;=zero_pin_thresh, "Flagged", ""))</f>
        <v/>
      </c>
      <c r="AM225" s="329" t="str">
        <f>IFERROR(IF(tblPiNAnalysis[[#This Row],[Highest PiN]]="", "", IF(tblPiNAnalysis[[#This Row],[Highest sector(s'') PiN %]]&gt;=flag_pin_perc, "Flagged", "")), "")</f>
        <v/>
      </c>
      <c r="AN225" s="330" t="str" cm="1">
        <f t="array" ref="AN225">IF(tblPiNAnalysis[[#This Row],[Highest PiN]]=0, "",  IF(OR(COUNTIF(tblPiNAnalysis[[#This Row],[Highest sector(s)]],tblSubSectorPopulation[Sector])), "Flagged", ""))</f>
        <v/>
      </c>
      <c r="AO225" s="46" cm="1">
        <f t="array" ref="AO2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8907</v>
      </c>
      <c r="AP225" s="331" t="str" cm="1">
        <f t="array" ref="AP225">IF(tblPiNAnalysis[[#This Row],[2nd Highest PiN]]="", "", _xlfn.TEXTJOIN(CHAR(10), TRUE, IF(tblPiNAnalysis[[#This Row],[2nd Highest PiN]]=tblPiNAnalysis[[#This Row],[CCCM]:[WASH]], tblPiNAnalysis[[#Headers],[CCCM]:[WASH]], "")))</f>
        <v>Overarching Protection</v>
      </c>
      <c r="AQ225" s="36">
        <f>IFERROR(tblPiNAnalysis[[#This Row],[2nd Highest PiN]]/tblPiNAnalysis[[#This Row],[Affected population projection 2026]], "")</f>
        <v>0.67840947682984198</v>
      </c>
      <c r="AR225" s="46">
        <f>IFERROR(tblPiNAnalysis[[#This Row],[Highest PiN]]-tblPiNAnalysis[[#This Row],[2nd Highest PiN]], "")</f>
        <v>44.753701662630192</v>
      </c>
      <c r="AS225" s="39">
        <f>IFERROR(((tblPiNAnalysis[[#This Row],[Highest PiN]]-tblPiNAnalysis[[#This Row],[2nd Highest PiN]])/tblPiNAnalysis[[#This Row],[2nd Highest PiN]]),"")</f>
        <v>5.0245539084574145E-3</v>
      </c>
      <c r="AT225" s="39" t="str" cm="1">
        <f t="array" ref="AT2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5" s="332" cm="1">
        <f t="array" ref="AU2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8153.4055458651592</v>
      </c>
      <c r="AV225" s="190" t="str" cm="1">
        <f t="array" ref="AV225">IF(tblPiNAnalysis[[#This Row],[3rd Highest PiN]]="", "", _xlfn.TEXTJOIN(CHAR(10), TRUE, IF(tblPiNAnalysis[[#This Row],[3rd Highest PiN]]=tblPiNAnalysis[[#This Row],[CCCM]:[WASH]], tblPiNAnalysis[[#Headers],[CCCM]:[WASH]], "")))</f>
        <v>Food Security</v>
      </c>
      <c r="AW225" s="190">
        <f>IFERROR(tblPiNAnalysis[[#This Row],[3rd Highest PiN]]/tblPiNAnalysis[[#This Row],[Affected population projection 2026]], "")</f>
        <v>0.62101129344918771</v>
      </c>
      <c r="AX225" s="45">
        <f>IFERROR(tblPiNAnalysis[[#This Row],[Highest PiN]]-tblPiNAnalysis[[#This Row],[3rd Highest PiN]],"")</f>
        <v>798.34815579747101</v>
      </c>
      <c r="AY225" s="39">
        <f>IFERROR(tblPiNAnalysis[[#This Row],[Difference of PiN between Highest and 3rd Highest]]/tblPiNAnalysis[[#This Row],[3rd Highest PiN]], "")</f>
        <v>9.7915913946208369E-2</v>
      </c>
      <c r="AZ225" s="330" t="str" cm="1">
        <f t="array" ref="AZ2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5" s="300" t="str" cm="1">
        <f t="array" ref="BA225">IFERROR(IF(tblPiNAnalysis[[#This Row],[ID]]="", "", INDEX(tblPiNHistorical[[CCCM]:[WASH]], MATCH(tblPiNAnalysis[[#This Row],[ID]],tblPiNHistorical[ID], 0),MATCH(_xlfn._xlws.FILTER(tblPiNAnalysis[[#Headers],[CCCM]:[WASH]], tblPiNAnalysis[[#This Row],[Highest PiN]]=tblPiNAnalysis[[#This Row],[CCCM]:[WASH]]), tblPiNHistorical[[#Headers],[CCCM]:[WASH]], 0))), "")</f>
        <v/>
      </c>
      <c r="BB225" s="333" t="str" cm="1">
        <f t="array" ref="BB2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5" s="276" t="str" cm="1">
        <f t="array" ref="BC22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5" s="334" t="str" cm="1">
        <f t="array" ref="BD2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5" s="276">
        <f>INDEX(tblSeverityAnalysis[Final Severity], MATCH(tblPiNAnalysis[[#This Row],[ID]],tblSeverityAnalysis[ID], 0))</f>
        <v>3</v>
      </c>
      <c r="BF225" s="61">
        <f>IF(tblPiNAnalysis[[#This Row],[Severity]]&gt;2,tblPiNAnalysis[[#This Row],[Highest PiN]],)</f>
        <v>8951.7537016626302</v>
      </c>
      <c r="BG225" s="191"/>
      <c r="BH225" s="192"/>
      <c r="BI225" s="193">
        <f>COUNTIFS(tblPiNAnalysis[[#This Row],[Number of missing / zero PiNs greater than threshold - Data quality]:[Manual Flag]],"Flagged")</f>
        <v>0</v>
      </c>
      <c r="BJ225" s="96" t="str">
        <f>IF(tblPiNAnalysis[[#This Row],['# Flags]]&gt;0, "Flagged", "")</f>
        <v/>
      </c>
      <c r="BK225" s="326">
        <f>tblPiNAnalysis[[#This Row],[Preliminary PiN]]</f>
        <v>8951.7537016626302</v>
      </c>
      <c r="BL225" s="331"/>
    </row>
    <row r="226" spans="1:64" x14ac:dyDescent="0.55000000000000004">
      <c r="A22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SS0805</v>
      </c>
      <c r="B226" s="316" t="s">
        <v>368</v>
      </c>
      <c r="C226" s="317" t="s">
        <v>369</v>
      </c>
      <c r="D226" s="317" t="s">
        <v>378</v>
      </c>
      <c r="E226" s="105" t="s">
        <v>379</v>
      </c>
      <c r="F226" s="100"/>
      <c r="G226" s="34"/>
      <c r="H226" s="34"/>
      <c r="I226" s="97">
        <v>8647.438167676999</v>
      </c>
      <c r="J226" s="97" t="s">
        <v>414</v>
      </c>
      <c r="K226" s="318">
        <v>1297.1157251515499</v>
      </c>
      <c r="L226" s="319">
        <v>1343.0984776081723</v>
      </c>
      <c r="M226" s="319">
        <v>3855.9279964630709</v>
      </c>
      <c r="N226" s="319">
        <v>4902.8872654551633</v>
      </c>
      <c r="O226" s="319">
        <v>4930.3563020103575</v>
      </c>
      <c r="P226" s="319">
        <v>6053</v>
      </c>
      <c r="Q226" s="320">
        <v>5228.6835432465577</v>
      </c>
      <c r="R226" s="319">
        <v>6645.7163696036187</v>
      </c>
      <c r="S226" s="319">
        <v>3447</v>
      </c>
      <c r="T226" s="319">
        <v>1357</v>
      </c>
      <c r="U226" s="319">
        <v>4298</v>
      </c>
      <c r="V226" s="319">
        <v>2551</v>
      </c>
      <c r="W226" s="321">
        <f>IFERROR(IF(tblPiNAnalysis[[#This Row],[CCCM]]="", "", MROUND(tblPiNAnalysis[[#This Row],[CCCM]]/tblPiNAnalysis[[#This Row],[Affected population projection 2026]], 0.05)), "")</f>
        <v>0.15000000000000002</v>
      </c>
      <c r="X226" s="322">
        <f>IFERROR(IF(tblPiNAnalysis[[#This Row],[Education]]="", "", MROUND(tblPiNAnalysis[[#This Row],[Education]]/tblPiNAnalysis[[#This Row],[Affected population projection 2026]], 0.05)), "")</f>
        <v>0.15000000000000002</v>
      </c>
      <c r="Y226" s="322">
        <f>IFERROR(IF(tblPiNAnalysis[[#This Row],[Nutrition]]="", "", MROUND(tblPiNAnalysis[[#This Row],[Nutrition]]/tblPiNAnalysis[[#This Row],[Affected population projection 2026]], 0.05)), "")</f>
        <v>0.45</v>
      </c>
      <c r="Z226" s="322">
        <f>IFERROR(IF(tblPiNAnalysis[[#This Row],[Food Security]]="", "", MROUND(tblPiNAnalysis[[#This Row],[Food Security]]/tblPiNAnalysis[[#This Row],[Affected population projection 2026]], 0.05)), "")</f>
        <v>0.55000000000000004</v>
      </c>
      <c r="AA226" s="322">
        <f>IFERROR(IF(tblPiNAnalysis[[#This Row],[Health]]="", "", MROUND(tblPiNAnalysis[[#This Row],[Health]]/tblPiNAnalysis[[#This Row],[Affected population projection 2026]], 0.05)), "")</f>
        <v>0.55000000000000004</v>
      </c>
      <c r="AB226" s="323">
        <f>IFERROR(IF(tblPiNAnalysis[[#This Row],[Overarching Protection]]="", "", MROUND(tblPiNAnalysis[[#This Row],[Overarching Protection]]/tblPiNAnalysis[[#This Row],[Affected population projection 2026]], 0.05)), "")</f>
        <v>0.70000000000000007</v>
      </c>
      <c r="AC226" s="323">
        <f>IFERROR(IF(tblPiNAnalysis[[#This Row],[Shelter]]="", "", MROUND(tblPiNAnalysis[[#This Row],[Shelter]]/tblPiNAnalysis[[#This Row],[Affected population projection 2026]], 0.05)), "")</f>
        <v>0.60000000000000009</v>
      </c>
      <c r="AD226" s="324">
        <f>IFERROR(IF(tblPiNAnalysis[[#This Row],[WASH]]="", "", MROUND(tblPiNAnalysis[[#This Row],[WASH]]/tblPiNAnalysis[[#This Row],[Affected population projection 2026]], 0.05)), "")</f>
        <v>0.75</v>
      </c>
      <c r="AE226" s="322">
        <f>IFERROR(MROUND(tblPiNAnalysis[[#This Row],[CP]]/tblPiNAnalysis[[#This Row],[Affected population projection 2026]], 0.05), "")</f>
        <v>0.4</v>
      </c>
      <c r="AF226" s="322">
        <f>IFERROR(MROUND(tblPiNAnalysis[[#This Row],[GBV]]/tblPiNAnalysis[[#This Row],[Affected population projection 2026]], 0.05), "")</f>
        <v>0.15000000000000002</v>
      </c>
      <c r="AG226" s="322">
        <f>IFERROR(MROUND(tblPiNAnalysis[[#This Row],[Mine Action]]/tblPiNAnalysis[[#This Row],[Affected population projection 2026]], 0.05), "")</f>
        <v>0.5</v>
      </c>
      <c r="AH226" s="322">
        <f>IFERROR(MROUND(tblPiNAnalysis[[#This Row],[HLP]]/tblPiNAnalysis[[#This Row],[Affected population projection 2026]], 0.05), "")</f>
        <v>0.30000000000000004</v>
      </c>
      <c r="AI226" s="325">
        <f>IFERROR(LARGE(tblPiNAnalysis[[#This Row],[CCCM]:[WASH]], 1), "")</f>
        <v>6645.7163696036187</v>
      </c>
      <c r="AJ226" s="326" t="str" cm="1">
        <f t="array" ref="AJ226">IF(tblPiNAnalysis[[#This Row],[Highest PiN]]="", "", _xlfn.TEXTJOIN(CHAR(10), TRUE, IF(tblPiNAnalysis[[#This Row],[Highest PiN]]=tblPiNAnalysis[[#This Row],[CCCM]:[WASH]], tblPiNAnalysis[[#Headers],[CCCM]:[WASH]], "")))</f>
        <v>WASH</v>
      </c>
      <c r="AK226" s="327">
        <f>IF(tblPiNAnalysis[[#This Row],[Highest PiN]]="", "", tblPiNAnalysis[[#This Row],[Highest PiN]]/tblPiNAnalysis[[#This Row],[Affected population projection 2026]])</f>
        <v>0.76851851851851838</v>
      </c>
      <c r="AL226" s="328" t="str">
        <f>IF(SUM(tblPiNAnalysis[[#This Row],[CCCM]:[WASH]])=0, "",IF(COUNTIF(tblPiNAnalysis[[#This Row],[CCCM]:[WASH]],"=0")+COUNTIF(tblPiNAnalysis[[#This Row],[CCCM]:[WASH]],"")&gt;=zero_pin_thresh, "Flagged", ""))</f>
        <v/>
      </c>
      <c r="AM226" s="329" t="str">
        <f>IFERROR(IF(tblPiNAnalysis[[#This Row],[Highest PiN]]="", "", IF(tblPiNAnalysis[[#This Row],[Highest sector(s'') PiN %]]&gt;=flag_pin_perc, "Flagged", "")), "")</f>
        <v/>
      </c>
      <c r="AN226" s="330" t="str" cm="1">
        <f t="array" ref="AN226">IF(tblPiNAnalysis[[#This Row],[Highest PiN]]=0, "",  IF(OR(COUNTIF(tblPiNAnalysis[[#This Row],[Highest sector(s)]],tblSubSectorPopulation[Sector])), "Flagged", ""))</f>
        <v/>
      </c>
      <c r="AO226" s="46" cm="1">
        <f t="array" ref="AO2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6053</v>
      </c>
      <c r="AP226" s="331" t="str" cm="1">
        <f t="array" ref="AP226">IF(tblPiNAnalysis[[#This Row],[2nd Highest PiN]]="", "", _xlfn.TEXTJOIN(CHAR(10), TRUE, IF(tblPiNAnalysis[[#This Row],[2nd Highest PiN]]=tblPiNAnalysis[[#This Row],[CCCM]:[WASH]], tblPiNAnalysis[[#Headers],[CCCM]:[WASH]], "")))</f>
        <v>Overarching Protection</v>
      </c>
      <c r="AQ226" s="36">
        <f>IFERROR(tblPiNAnalysis[[#This Row],[2nd Highest PiN]]/tblPiNAnalysis[[#This Row],[Affected population projection 2026]], "")</f>
        <v>0.69997609495784863</v>
      </c>
      <c r="AR226" s="46">
        <f>IFERROR(tblPiNAnalysis[[#This Row],[Highest PiN]]-tblPiNAnalysis[[#This Row],[2nd Highest PiN]], "")</f>
        <v>592.71636960361866</v>
      </c>
      <c r="AS226" s="39">
        <f>IFERROR(((tblPiNAnalysis[[#This Row],[Highest PiN]]-tblPiNAnalysis[[#This Row],[2nd Highest PiN]])/tblPiNAnalysis[[#This Row],[2nd Highest PiN]]),"")</f>
        <v>9.7921091955000608E-2</v>
      </c>
      <c r="AT226" s="39" t="str" cm="1">
        <f t="array" ref="AT2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6" s="332" cm="1">
        <f t="array" ref="AU2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5228.6835432465577</v>
      </c>
      <c r="AV226" s="190" t="str" cm="1">
        <f t="array" ref="AV226">IF(tblPiNAnalysis[[#This Row],[3rd Highest PiN]]="", "", _xlfn.TEXTJOIN(CHAR(10), TRUE, IF(tblPiNAnalysis[[#This Row],[3rd Highest PiN]]=tblPiNAnalysis[[#This Row],[CCCM]:[WASH]], tblPiNAnalysis[[#Headers],[CCCM]:[WASH]], "")))</f>
        <v>Shelter</v>
      </c>
      <c r="AW226" s="190">
        <f>IFERROR(tblPiNAnalysis[[#This Row],[3rd Highest PiN]]/tblPiNAnalysis[[#This Row],[Affected population projection 2026]], "")</f>
        <v>0.60465116279069775</v>
      </c>
      <c r="AX226" s="45">
        <f>IFERROR(tblPiNAnalysis[[#This Row],[Highest PiN]]-tblPiNAnalysis[[#This Row],[3rd Highest PiN]],"")</f>
        <v>1417.0328263570609</v>
      </c>
      <c r="AY226" s="39">
        <f>IFERROR(tblPiNAnalysis[[#This Row],[Difference of PiN between Highest and 3rd Highest]]/tblPiNAnalysis[[#This Row],[3rd Highest PiN]], "")</f>
        <v>0.27101139601139579</v>
      </c>
      <c r="AZ226" s="330" t="str" cm="1">
        <f t="array" ref="AZ2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6" s="300" t="str" cm="1">
        <f t="array" ref="BA226">IFERROR(IF(tblPiNAnalysis[[#This Row],[ID]]="", "", INDEX(tblPiNHistorical[[CCCM]:[WASH]], MATCH(tblPiNAnalysis[[#This Row],[ID]],tblPiNHistorical[ID], 0),MATCH(_xlfn._xlws.FILTER(tblPiNAnalysis[[#Headers],[CCCM]:[WASH]], tblPiNAnalysis[[#This Row],[Highest PiN]]=tblPiNAnalysis[[#This Row],[CCCM]:[WASH]]), tblPiNHistorical[[#Headers],[CCCM]:[WASH]], 0))), "")</f>
        <v/>
      </c>
      <c r="BB226" s="333" t="str" cm="1">
        <f t="array" ref="BB2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6" s="276" t="str" cm="1">
        <f t="array" ref="BC226">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6" s="334" t="str" cm="1">
        <f t="array" ref="BD2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6" s="276">
        <f>INDEX(tblSeverityAnalysis[Final Severity], MATCH(tblPiNAnalysis[[#This Row],[ID]],tblSeverityAnalysis[ID], 0))</f>
        <v>3</v>
      </c>
      <c r="BF226" s="61">
        <f>IF(tblPiNAnalysis[[#This Row],[Severity]]&gt;2,tblPiNAnalysis[[#This Row],[Highest PiN]],)</f>
        <v>6645.7163696036187</v>
      </c>
      <c r="BG226" s="191"/>
      <c r="BH226" s="192"/>
      <c r="BI226" s="193">
        <f>COUNTIFS(tblPiNAnalysis[[#This Row],[Number of missing / zero PiNs greater than threshold - Data quality]:[Manual Flag]],"Flagged")</f>
        <v>0</v>
      </c>
      <c r="BJ226" s="96" t="str">
        <f>IF(tblPiNAnalysis[[#This Row],['# Flags]]&gt;0, "Flagged", "")</f>
        <v/>
      </c>
      <c r="BK226" s="326">
        <f>tblPiNAnalysis[[#This Row],[Preliminary PiN]]</f>
        <v>6645.7163696036187</v>
      </c>
      <c r="BL226" s="331"/>
    </row>
    <row r="227" spans="1:64" x14ac:dyDescent="0.55000000000000004">
      <c r="A22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SS0806</v>
      </c>
      <c r="B227" s="316" t="s">
        <v>368</v>
      </c>
      <c r="C227" s="317" t="s">
        <v>369</v>
      </c>
      <c r="D227" s="317" t="s">
        <v>380</v>
      </c>
      <c r="E227" s="105" t="s">
        <v>381</v>
      </c>
      <c r="F227" s="100"/>
      <c r="G227" s="34"/>
      <c r="H227" s="34"/>
      <c r="I227" s="97">
        <v>79307.299107857689</v>
      </c>
      <c r="J227" s="97" t="s">
        <v>414</v>
      </c>
      <c r="K227" s="318">
        <v>11896.094866178653</v>
      </c>
      <c r="L227" s="319">
        <v>9739.0949450431381</v>
      </c>
      <c r="M227" s="319">
        <v>32810.821682426264</v>
      </c>
      <c r="N227" s="319">
        <v>46274.274786345559</v>
      </c>
      <c r="O227" s="319">
        <v>47910.869250360593</v>
      </c>
      <c r="P227" s="319">
        <v>33234</v>
      </c>
      <c r="Q227" s="320">
        <v>45123.11845791903</v>
      </c>
      <c r="R227" s="319">
        <v>35982.015335972479</v>
      </c>
      <c r="S227" s="319">
        <v>17679</v>
      </c>
      <c r="T227" s="319">
        <v>19164</v>
      </c>
      <c r="U227" s="319">
        <v>3485</v>
      </c>
      <c r="V227" s="319">
        <v>10728</v>
      </c>
      <c r="W227" s="321">
        <f>IFERROR(IF(tblPiNAnalysis[[#This Row],[CCCM]]="", "", MROUND(tblPiNAnalysis[[#This Row],[CCCM]]/tblPiNAnalysis[[#This Row],[Affected population projection 2026]], 0.05)), "")</f>
        <v>0.15000000000000002</v>
      </c>
      <c r="X227" s="322">
        <f>IFERROR(IF(tblPiNAnalysis[[#This Row],[Education]]="", "", MROUND(tblPiNAnalysis[[#This Row],[Education]]/tblPiNAnalysis[[#This Row],[Affected population projection 2026]], 0.05)), "")</f>
        <v>0.1</v>
      </c>
      <c r="Y227" s="322">
        <f>IFERROR(IF(tblPiNAnalysis[[#This Row],[Nutrition]]="", "", MROUND(tblPiNAnalysis[[#This Row],[Nutrition]]/tblPiNAnalysis[[#This Row],[Affected population projection 2026]], 0.05)), "")</f>
        <v>0.4</v>
      </c>
      <c r="Z227" s="322">
        <f>IFERROR(IF(tblPiNAnalysis[[#This Row],[Food Security]]="", "", MROUND(tblPiNAnalysis[[#This Row],[Food Security]]/tblPiNAnalysis[[#This Row],[Affected population projection 2026]], 0.05)), "")</f>
        <v>0.60000000000000009</v>
      </c>
      <c r="AA227" s="322">
        <f>IFERROR(IF(tblPiNAnalysis[[#This Row],[Health]]="", "", MROUND(tblPiNAnalysis[[#This Row],[Health]]/tblPiNAnalysis[[#This Row],[Affected population projection 2026]], 0.05)), "")</f>
        <v>0.60000000000000009</v>
      </c>
      <c r="AB227" s="323">
        <f>IFERROR(IF(tblPiNAnalysis[[#This Row],[Overarching Protection]]="", "", MROUND(tblPiNAnalysis[[#This Row],[Overarching Protection]]/tblPiNAnalysis[[#This Row],[Affected population projection 2026]], 0.05)), "")</f>
        <v>0.4</v>
      </c>
      <c r="AC227" s="323">
        <f>IFERROR(IF(tblPiNAnalysis[[#This Row],[Shelter]]="", "", MROUND(tblPiNAnalysis[[#This Row],[Shelter]]/tblPiNAnalysis[[#This Row],[Affected population projection 2026]], 0.05)), "")</f>
        <v>0.55000000000000004</v>
      </c>
      <c r="AD227" s="324">
        <f>IFERROR(IF(tblPiNAnalysis[[#This Row],[WASH]]="", "", MROUND(tblPiNAnalysis[[#This Row],[WASH]]/tblPiNAnalysis[[#This Row],[Affected population projection 2026]], 0.05)), "")</f>
        <v>0.45</v>
      </c>
      <c r="AE227" s="322">
        <f>IFERROR(MROUND(tblPiNAnalysis[[#This Row],[CP]]/tblPiNAnalysis[[#This Row],[Affected population projection 2026]], 0.05), "")</f>
        <v>0.2</v>
      </c>
      <c r="AF227" s="322">
        <f>IFERROR(MROUND(tblPiNAnalysis[[#This Row],[GBV]]/tblPiNAnalysis[[#This Row],[Affected population projection 2026]], 0.05), "")</f>
        <v>0.25</v>
      </c>
      <c r="AG227" s="322">
        <f>IFERROR(MROUND(tblPiNAnalysis[[#This Row],[Mine Action]]/tblPiNAnalysis[[#This Row],[Affected population projection 2026]], 0.05), "")</f>
        <v>0.05</v>
      </c>
      <c r="AH227" s="322">
        <f>IFERROR(MROUND(tblPiNAnalysis[[#This Row],[HLP]]/tblPiNAnalysis[[#This Row],[Affected population projection 2026]], 0.05), "")</f>
        <v>0.15000000000000002</v>
      </c>
      <c r="AI227" s="325">
        <f>IFERROR(LARGE(tblPiNAnalysis[[#This Row],[CCCM]:[WASH]], 1), "")</f>
        <v>47910.869250360593</v>
      </c>
      <c r="AJ227" s="326" t="str" cm="1">
        <f t="array" ref="AJ227">IF(tblPiNAnalysis[[#This Row],[Highest PiN]]="", "", _xlfn.TEXTJOIN(CHAR(10), TRUE, IF(tblPiNAnalysis[[#This Row],[Highest PiN]]=tblPiNAnalysis[[#This Row],[CCCM]:[WASH]], tblPiNAnalysis[[#Headers],[CCCM]:[WASH]], "")))</f>
        <v>Health</v>
      </c>
      <c r="AK227" s="327">
        <f>IF(tblPiNAnalysis[[#This Row],[Highest PiN]]="", "", tblPiNAnalysis[[#This Row],[Highest PiN]]/tblPiNAnalysis[[#This Row],[Affected population projection 2026]])</f>
        <v>0.60411676843517204</v>
      </c>
      <c r="AL227" s="328" t="str">
        <f>IF(SUM(tblPiNAnalysis[[#This Row],[CCCM]:[WASH]])=0, "",IF(COUNTIF(tblPiNAnalysis[[#This Row],[CCCM]:[WASH]],"=0")+COUNTIF(tblPiNAnalysis[[#This Row],[CCCM]:[WASH]],"")&gt;=zero_pin_thresh, "Flagged", ""))</f>
        <v/>
      </c>
      <c r="AM227" s="329" t="str">
        <f>IFERROR(IF(tblPiNAnalysis[[#This Row],[Highest PiN]]="", "", IF(tblPiNAnalysis[[#This Row],[Highest sector(s'') PiN %]]&gt;=flag_pin_perc, "Flagged", "")), "")</f>
        <v/>
      </c>
      <c r="AN227" s="330" t="str" cm="1">
        <f t="array" ref="AN227">IF(tblPiNAnalysis[[#This Row],[Highest PiN]]=0, "",  IF(OR(COUNTIF(tblPiNAnalysis[[#This Row],[Highest sector(s)]],tblSubSectorPopulation[Sector])), "Flagged", ""))</f>
        <v/>
      </c>
      <c r="AO227" s="46" cm="1">
        <f t="array" ref="AO2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46274.274786345559</v>
      </c>
      <c r="AP227" s="331" t="str" cm="1">
        <f t="array" ref="AP227">IF(tblPiNAnalysis[[#This Row],[2nd Highest PiN]]="", "", _xlfn.TEXTJOIN(CHAR(10), TRUE, IF(tblPiNAnalysis[[#This Row],[2nd Highest PiN]]=tblPiNAnalysis[[#This Row],[CCCM]:[WASH]], tblPiNAnalysis[[#Headers],[CCCM]:[WASH]], "")))</f>
        <v>Food Security</v>
      </c>
      <c r="AQ227" s="36">
        <f>IFERROR(tblPiNAnalysis[[#This Row],[2nd Highest PiN]]/tblPiNAnalysis[[#This Row],[Affected population projection 2026]], "")</f>
        <v>0.58348065445291086</v>
      </c>
      <c r="AR227" s="46">
        <f>IFERROR(tblPiNAnalysis[[#This Row],[Highest PiN]]-tblPiNAnalysis[[#This Row],[2nd Highest PiN]], "")</f>
        <v>1636.5944640150337</v>
      </c>
      <c r="AS227" s="39">
        <f>IFERROR(((tblPiNAnalysis[[#This Row],[Highest PiN]]-tblPiNAnalysis[[#This Row],[2nd Highest PiN]])/tblPiNAnalysis[[#This Row],[2nd Highest PiN]]),"")</f>
        <v>3.5367263378440969E-2</v>
      </c>
      <c r="AT227" s="39" t="str" cm="1">
        <f t="array" ref="AT2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7" s="332" cm="1">
        <f t="array" ref="AU2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45123.11845791903</v>
      </c>
      <c r="AV227" s="190" t="str" cm="1">
        <f t="array" ref="AV227">IF(tblPiNAnalysis[[#This Row],[3rd Highest PiN]]="", "", _xlfn.TEXTJOIN(CHAR(10), TRUE, IF(tblPiNAnalysis[[#This Row],[3rd Highest PiN]]=tblPiNAnalysis[[#This Row],[CCCM]:[WASH]], tblPiNAnalysis[[#Headers],[CCCM]:[WASH]], "")))</f>
        <v>Shelter</v>
      </c>
      <c r="AW227" s="190">
        <f>IFERROR(tblPiNAnalysis[[#This Row],[3rd Highest PiN]]/tblPiNAnalysis[[#This Row],[Affected population projection 2026]], "")</f>
        <v>0.56896551724137934</v>
      </c>
      <c r="AX227" s="45">
        <f>IFERROR(tblPiNAnalysis[[#This Row],[Highest PiN]]-tblPiNAnalysis[[#This Row],[3rd Highest PiN]],"")</f>
        <v>2787.7507924415622</v>
      </c>
      <c r="AY227" s="39">
        <f>IFERROR(tblPiNAnalysis[[#This Row],[Difference of PiN between Highest and 3rd Highest]]/tblPiNAnalysis[[#This Row],[3rd Highest PiN]], "")</f>
        <v>6.1780986946666068E-2</v>
      </c>
      <c r="AZ227" s="330" t="str" cm="1">
        <f t="array" ref="AZ2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7" s="300" t="str" cm="1">
        <f t="array" ref="BA227">IFERROR(IF(tblPiNAnalysis[[#This Row],[ID]]="", "", INDEX(tblPiNHistorical[[CCCM]:[WASH]], MATCH(tblPiNAnalysis[[#This Row],[ID]],tblPiNHistorical[ID], 0),MATCH(_xlfn._xlws.FILTER(tblPiNAnalysis[[#Headers],[CCCM]:[WASH]], tblPiNAnalysis[[#This Row],[Highest PiN]]=tblPiNAnalysis[[#This Row],[CCCM]:[WASH]]), tblPiNHistorical[[#Headers],[CCCM]:[WASH]], 0))), "")</f>
        <v/>
      </c>
      <c r="BB227" s="333" t="str" cm="1">
        <f t="array" ref="BB2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7" s="276" t="str" cm="1">
        <f t="array" ref="BC227">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7" s="334" t="str" cm="1">
        <f t="array" ref="BD2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7" s="276">
        <f>INDEX(tblSeverityAnalysis[Final Severity], MATCH(tblPiNAnalysis[[#This Row],[ID]],tblSeverityAnalysis[ID], 0))</f>
        <v>4</v>
      </c>
      <c r="BF227" s="61">
        <f>IF(tblPiNAnalysis[[#This Row],[Severity]]&gt;2,tblPiNAnalysis[[#This Row],[Highest PiN]],)</f>
        <v>47910.869250360593</v>
      </c>
      <c r="BG227" s="191"/>
      <c r="BH227" s="192"/>
      <c r="BI227" s="193">
        <f>COUNTIFS(tblPiNAnalysis[[#This Row],[Number of missing / zero PiNs greater than threshold - Data quality]:[Manual Flag]],"Flagged")</f>
        <v>0</v>
      </c>
      <c r="BJ227" s="96" t="str">
        <f>IF(tblPiNAnalysis[[#This Row],['# Flags]]&gt;0, "Flagged", "")</f>
        <v/>
      </c>
      <c r="BK227" s="326">
        <f>tblPiNAnalysis[[#This Row],[Preliminary PiN]]</f>
        <v>47910.869250360593</v>
      </c>
      <c r="BL227" s="331"/>
    </row>
    <row r="228" spans="1:64" ht="24.6" x14ac:dyDescent="0.55000000000000004">
      <c r="A22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SS0901</v>
      </c>
      <c r="B228" s="316" t="s">
        <v>382</v>
      </c>
      <c r="C228" s="317" t="s">
        <v>383</v>
      </c>
      <c r="D228" s="317" t="s">
        <v>384</v>
      </c>
      <c r="E228" s="105" t="s">
        <v>385</v>
      </c>
      <c r="F228" s="100"/>
      <c r="G228" s="34"/>
      <c r="H228" s="34"/>
      <c r="I228" s="97">
        <v>20202.24984559073</v>
      </c>
      <c r="J228" s="97" t="s">
        <v>414</v>
      </c>
      <c r="K228" s="318">
        <v>3030.3374768386093</v>
      </c>
      <c r="L228" s="319">
        <v>4130.4429112803145</v>
      </c>
      <c r="M228" s="319">
        <v>6199.331577511226</v>
      </c>
      <c r="N228" s="319">
        <v>6182.5606374466261</v>
      </c>
      <c r="O228" s="319">
        <v>10500.549384030208</v>
      </c>
      <c r="P228" s="319">
        <v>13430</v>
      </c>
      <c r="Q228" s="320">
        <v>11223.472136439294</v>
      </c>
      <c r="R228" s="319">
        <v>14403.455908430427</v>
      </c>
      <c r="S228" s="319">
        <v>7619</v>
      </c>
      <c r="T228" s="319">
        <v>7343</v>
      </c>
      <c r="U228" s="319">
        <v>4030</v>
      </c>
      <c r="V228" s="319">
        <v>5737</v>
      </c>
      <c r="W228" s="321">
        <f>IFERROR(IF(tblPiNAnalysis[[#This Row],[CCCM]]="", "", MROUND(tblPiNAnalysis[[#This Row],[CCCM]]/tblPiNAnalysis[[#This Row],[Affected population projection 2026]], 0.05)), "")</f>
        <v>0.15000000000000002</v>
      </c>
      <c r="X228" s="322">
        <f>IFERROR(IF(tblPiNAnalysis[[#This Row],[Education]]="", "", MROUND(tblPiNAnalysis[[#This Row],[Education]]/tblPiNAnalysis[[#This Row],[Affected population projection 2026]], 0.05)), "")</f>
        <v>0.2</v>
      </c>
      <c r="Y228" s="322">
        <f>IFERROR(IF(tblPiNAnalysis[[#This Row],[Nutrition]]="", "", MROUND(tblPiNAnalysis[[#This Row],[Nutrition]]/tblPiNAnalysis[[#This Row],[Affected population projection 2026]], 0.05)), "")</f>
        <v>0.30000000000000004</v>
      </c>
      <c r="Z228" s="322">
        <f>IFERROR(IF(tblPiNAnalysis[[#This Row],[Food Security]]="", "", MROUND(tblPiNAnalysis[[#This Row],[Food Security]]/tblPiNAnalysis[[#This Row],[Affected population projection 2026]], 0.05)), "")</f>
        <v>0.30000000000000004</v>
      </c>
      <c r="AA228" s="322">
        <f>IFERROR(IF(tblPiNAnalysis[[#This Row],[Health]]="", "", MROUND(tblPiNAnalysis[[#This Row],[Health]]/tblPiNAnalysis[[#This Row],[Affected population projection 2026]], 0.05)), "")</f>
        <v>0.5</v>
      </c>
      <c r="AB228" s="323">
        <f>IFERROR(IF(tblPiNAnalysis[[#This Row],[Overarching Protection]]="", "", MROUND(tblPiNAnalysis[[#This Row],[Overarching Protection]]/tblPiNAnalysis[[#This Row],[Affected population projection 2026]], 0.05)), "")</f>
        <v>0.65</v>
      </c>
      <c r="AC228" s="323">
        <f>IFERROR(IF(tblPiNAnalysis[[#This Row],[Shelter]]="", "", MROUND(tblPiNAnalysis[[#This Row],[Shelter]]/tblPiNAnalysis[[#This Row],[Affected population projection 2026]], 0.05)), "")</f>
        <v>0.55000000000000004</v>
      </c>
      <c r="AD228" s="324">
        <f>IFERROR(IF(tblPiNAnalysis[[#This Row],[WASH]]="", "", MROUND(tblPiNAnalysis[[#This Row],[WASH]]/tblPiNAnalysis[[#This Row],[Affected population projection 2026]], 0.05)), "")</f>
        <v>0.70000000000000007</v>
      </c>
      <c r="AE228" s="322">
        <f>IFERROR(MROUND(tblPiNAnalysis[[#This Row],[CP]]/tblPiNAnalysis[[#This Row],[Affected population projection 2026]], 0.05), "")</f>
        <v>0.4</v>
      </c>
      <c r="AF228" s="322">
        <f>IFERROR(MROUND(tblPiNAnalysis[[#This Row],[GBV]]/tblPiNAnalysis[[#This Row],[Affected population projection 2026]], 0.05), "")</f>
        <v>0.35000000000000003</v>
      </c>
      <c r="AG228" s="322">
        <f>IFERROR(MROUND(tblPiNAnalysis[[#This Row],[Mine Action]]/tblPiNAnalysis[[#This Row],[Affected population projection 2026]], 0.05), "")</f>
        <v>0.2</v>
      </c>
      <c r="AH228" s="322">
        <f>IFERROR(MROUND(tblPiNAnalysis[[#This Row],[HLP]]/tblPiNAnalysis[[#This Row],[Affected population projection 2026]], 0.05), "")</f>
        <v>0.30000000000000004</v>
      </c>
      <c r="AI228" s="325">
        <f>IFERROR(LARGE(tblPiNAnalysis[[#This Row],[CCCM]:[WASH]], 1), "")</f>
        <v>14403.455908430427</v>
      </c>
      <c r="AJ228" s="326" t="str" cm="1">
        <f t="array" ref="AJ228">IF(tblPiNAnalysis[[#This Row],[Highest PiN]]="", "", _xlfn.TEXTJOIN(CHAR(10), TRUE, IF(tblPiNAnalysis[[#This Row],[Highest PiN]]=tblPiNAnalysis[[#This Row],[CCCM]:[WASH]], tblPiNAnalysis[[#Headers],[CCCM]:[WASH]], "")))</f>
        <v>WASH</v>
      </c>
      <c r="AK228" s="327">
        <f>IF(tblPiNAnalysis[[#This Row],[Highest PiN]]="", "", tblPiNAnalysis[[#This Row],[Highest PiN]]/tblPiNAnalysis[[#This Row],[Affected population projection 2026]])</f>
        <v>0.71296296296296291</v>
      </c>
      <c r="AL228" s="328" t="str">
        <f>IF(SUM(tblPiNAnalysis[[#This Row],[CCCM]:[WASH]])=0, "",IF(COUNTIF(tblPiNAnalysis[[#This Row],[CCCM]:[WASH]],"=0")+COUNTIF(tblPiNAnalysis[[#This Row],[CCCM]:[WASH]],"")&gt;=zero_pin_thresh, "Flagged", ""))</f>
        <v/>
      </c>
      <c r="AM228" s="329" t="str">
        <f>IFERROR(IF(tblPiNAnalysis[[#This Row],[Highest PiN]]="", "", IF(tblPiNAnalysis[[#This Row],[Highest sector(s'') PiN %]]&gt;=flag_pin_perc, "Flagged", "")), "")</f>
        <v/>
      </c>
      <c r="AN228" s="330" t="str" cm="1">
        <f t="array" ref="AN228">IF(tblPiNAnalysis[[#This Row],[Highest PiN]]=0, "",  IF(OR(COUNTIF(tblPiNAnalysis[[#This Row],[Highest sector(s)]],tblSubSectorPopulation[Sector])), "Flagged", ""))</f>
        <v/>
      </c>
      <c r="AO228" s="46" cm="1">
        <f t="array" ref="AO2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13430</v>
      </c>
      <c r="AP228" s="331" t="str" cm="1">
        <f t="array" ref="AP228">IF(tblPiNAnalysis[[#This Row],[2nd Highest PiN]]="", "", _xlfn.TEXTJOIN(CHAR(10), TRUE, IF(tblPiNAnalysis[[#This Row],[2nd Highest PiN]]=tblPiNAnalysis[[#This Row],[CCCM]:[WASH]], tblPiNAnalysis[[#Headers],[CCCM]:[WASH]], "")))</f>
        <v>Overarching Protection</v>
      </c>
      <c r="AQ228" s="36">
        <f>IFERROR(tblPiNAnalysis[[#This Row],[2nd Highest PiN]]/tblPiNAnalysis[[#This Row],[Affected population projection 2026]], "")</f>
        <v>0.66477744323764931</v>
      </c>
      <c r="AR228" s="46">
        <f>IFERROR(tblPiNAnalysis[[#This Row],[Highest PiN]]-tblPiNAnalysis[[#This Row],[2nd Highest PiN]], "")</f>
        <v>973.45590843042737</v>
      </c>
      <c r="AS228" s="39">
        <f>IFERROR(((tblPiNAnalysis[[#This Row],[Highest PiN]]-tblPiNAnalysis[[#This Row],[2nd Highest PiN]])/tblPiNAnalysis[[#This Row],[2nd Highest PiN]]),"")</f>
        <v>7.2483686405839715E-2</v>
      </c>
      <c r="AT228" s="39" t="str" cm="1">
        <f t="array" ref="AT2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8" s="332" cm="1">
        <f t="array" ref="AU2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11223.472136439294</v>
      </c>
      <c r="AV228" s="190" t="str" cm="1">
        <f t="array" ref="AV228">IF(tblPiNAnalysis[[#This Row],[3rd Highest PiN]]="", "", _xlfn.TEXTJOIN(CHAR(10), TRUE, IF(tblPiNAnalysis[[#This Row],[3rd Highest PiN]]=tblPiNAnalysis[[#This Row],[CCCM]:[WASH]], tblPiNAnalysis[[#Headers],[CCCM]:[WASH]], "")))</f>
        <v>Shelter</v>
      </c>
      <c r="AW228" s="190">
        <f>IFERROR(tblPiNAnalysis[[#This Row],[3rd Highest PiN]]/tblPiNAnalysis[[#This Row],[Affected population projection 2026]], "")</f>
        <v>0.55555555555555547</v>
      </c>
      <c r="AX228" s="45">
        <f>IFERROR(tblPiNAnalysis[[#This Row],[Highest PiN]]-tblPiNAnalysis[[#This Row],[3rd Highest PiN]],"")</f>
        <v>3179.9837719911338</v>
      </c>
      <c r="AY228" s="39">
        <f>IFERROR(tblPiNAnalysis[[#This Row],[Difference of PiN between Highest and 3rd Highest]]/tblPiNAnalysis[[#This Row],[3rd Highest PiN]], "")</f>
        <v>0.28333333333333338</v>
      </c>
      <c r="AZ228" s="330" t="str" cm="1">
        <f t="array" ref="AZ2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8" s="300" t="str" cm="1">
        <f t="array" ref="BA228">IFERROR(IF(tblPiNAnalysis[[#This Row],[ID]]="", "", INDEX(tblPiNHistorical[[CCCM]:[WASH]], MATCH(tblPiNAnalysis[[#This Row],[ID]],tblPiNHistorical[ID], 0),MATCH(_xlfn._xlws.FILTER(tblPiNAnalysis[[#Headers],[CCCM]:[WASH]], tblPiNAnalysis[[#This Row],[Highest PiN]]=tblPiNAnalysis[[#This Row],[CCCM]:[WASH]]), tblPiNHistorical[[#Headers],[CCCM]:[WASH]], 0))), "")</f>
        <v/>
      </c>
      <c r="BB228" s="333" t="str" cm="1">
        <f t="array" ref="BB2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8" s="276" t="str" cm="1">
        <f t="array" ref="BC228">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8" s="334" t="str" cm="1">
        <f t="array" ref="BD2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8" s="276">
        <f>INDEX(tblSeverityAnalysis[Final Severity], MATCH(tblPiNAnalysis[[#This Row],[ID]],tblSeverityAnalysis[ID], 0))</f>
        <v>3</v>
      </c>
      <c r="BF228" s="61">
        <f>IF(tblPiNAnalysis[[#This Row],[Severity]]&gt;2,tblPiNAnalysis[[#This Row],[Highest PiN]],)</f>
        <v>14403.455908430427</v>
      </c>
      <c r="BG228" s="191"/>
      <c r="BH228" s="192"/>
      <c r="BI228" s="193">
        <f>COUNTIFS(tblPiNAnalysis[[#This Row],[Number of missing / zero PiNs greater than threshold - Data quality]:[Manual Flag]],"Flagged")</f>
        <v>0</v>
      </c>
      <c r="BJ228" s="96" t="str">
        <f>IF(tblPiNAnalysis[[#This Row],['# Flags]]&gt;0, "Flagged", "")</f>
        <v/>
      </c>
      <c r="BK228" s="326">
        <f>tblPiNAnalysis[[#This Row],[Preliminary PiN]]</f>
        <v>14403.455908430427</v>
      </c>
      <c r="BL228" s="331"/>
    </row>
    <row r="229" spans="1:64" ht="24.6" x14ac:dyDescent="0.55000000000000004">
      <c r="A22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SS0902</v>
      </c>
      <c r="B229" s="316" t="s">
        <v>382</v>
      </c>
      <c r="C229" s="317" t="s">
        <v>383</v>
      </c>
      <c r="D229" s="317" t="s">
        <v>386</v>
      </c>
      <c r="E229" s="105" t="s">
        <v>387</v>
      </c>
      <c r="F229" s="100"/>
      <c r="G229" s="34"/>
      <c r="H229" s="34"/>
      <c r="I229" s="97">
        <v>28676.523493080207</v>
      </c>
      <c r="J229" s="97" t="s">
        <v>414</v>
      </c>
      <c r="K229" s="318">
        <v>4301.4785239620305</v>
      </c>
      <c r="L229" s="319">
        <v>7547.8473807814153</v>
      </c>
      <c r="M229" s="319">
        <v>9034.1005309117991</v>
      </c>
      <c r="N229" s="319">
        <v>14917.237217909655</v>
      </c>
      <c r="O229" s="319">
        <v>14871.963856483533</v>
      </c>
      <c r="P229" s="319">
        <v>19279</v>
      </c>
      <c r="Q229" s="320">
        <v>20899.83915597371</v>
      </c>
      <c r="R229" s="319">
        <v>7434.6542389467213</v>
      </c>
      <c r="S229" s="319">
        <v>11253</v>
      </c>
      <c r="T229" s="319">
        <v>11596</v>
      </c>
      <c r="U229" s="319">
        <v>5838</v>
      </c>
      <c r="V229" s="319">
        <v>8274</v>
      </c>
      <c r="W229" s="321">
        <f>IFERROR(IF(tblPiNAnalysis[[#This Row],[CCCM]]="", "", MROUND(tblPiNAnalysis[[#This Row],[CCCM]]/tblPiNAnalysis[[#This Row],[Affected population projection 2026]], 0.05)), "")</f>
        <v>0.15000000000000002</v>
      </c>
      <c r="X229" s="322">
        <f>IFERROR(IF(tblPiNAnalysis[[#This Row],[Education]]="", "", MROUND(tblPiNAnalysis[[#This Row],[Education]]/tblPiNAnalysis[[#This Row],[Affected population projection 2026]], 0.05)), "")</f>
        <v>0.25</v>
      </c>
      <c r="Y229" s="322">
        <f>IFERROR(IF(tblPiNAnalysis[[#This Row],[Nutrition]]="", "", MROUND(tblPiNAnalysis[[#This Row],[Nutrition]]/tblPiNAnalysis[[#This Row],[Affected population projection 2026]], 0.05)), "")</f>
        <v>0.30000000000000004</v>
      </c>
      <c r="Z229" s="322">
        <f>IFERROR(IF(tblPiNAnalysis[[#This Row],[Food Security]]="", "", MROUND(tblPiNAnalysis[[#This Row],[Food Security]]/tblPiNAnalysis[[#This Row],[Affected population projection 2026]], 0.05)), "")</f>
        <v>0.5</v>
      </c>
      <c r="AA229" s="322">
        <f>IFERROR(IF(tblPiNAnalysis[[#This Row],[Health]]="", "", MROUND(tblPiNAnalysis[[#This Row],[Health]]/tblPiNAnalysis[[#This Row],[Affected population projection 2026]], 0.05)), "")</f>
        <v>0.5</v>
      </c>
      <c r="AB229" s="323">
        <f>IFERROR(IF(tblPiNAnalysis[[#This Row],[Overarching Protection]]="", "", MROUND(tblPiNAnalysis[[#This Row],[Overarching Protection]]/tblPiNAnalysis[[#This Row],[Affected population projection 2026]], 0.05)), "")</f>
        <v>0.65</v>
      </c>
      <c r="AC229" s="323">
        <f>IFERROR(IF(tblPiNAnalysis[[#This Row],[Shelter]]="", "", MROUND(tblPiNAnalysis[[#This Row],[Shelter]]/tblPiNAnalysis[[#This Row],[Affected population projection 2026]], 0.05)), "")</f>
        <v>0.75</v>
      </c>
      <c r="AD229" s="324">
        <f>IFERROR(IF(tblPiNAnalysis[[#This Row],[WASH]]="", "", MROUND(tblPiNAnalysis[[#This Row],[WASH]]/tblPiNAnalysis[[#This Row],[Affected population projection 2026]], 0.05)), "")</f>
        <v>0.25</v>
      </c>
      <c r="AE229" s="322">
        <f>IFERROR(MROUND(tblPiNAnalysis[[#This Row],[CP]]/tblPiNAnalysis[[#This Row],[Affected population projection 2026]], 0.05), "")</f>
        <v>0.4</v>
      </c>
      <c r="AF229" s="322">
        <f>IFERROR(MROUND(tblPiNAnalysis[[#This Row],[GBV]]/tblPiNAnalysis[[#This Row],[Affected population projection 2026]], 0.05), "")</f>
        <v>0.4</v>
      </c>
      <c r="AG229" s="322">
        <f>IFERROR(MROUND(tblPiNAnalysis[[#This Row],[Mine Action]]/tblPiNAnalysis[[#This Row],[Affected population projection 2026]], 0.05), "")</f>
        <v>0.2</v>
      </c>
      <c r="AH229" s="322">
        <f>IFERROR(MROUND(tblPiNAnalysis[[#This Row],[HLP]]/tblPiNAnalysis[[#This Row],[Affected population projection 2026]], 0.05), "")</f>
        <v>0.30000000000000004</v>
      </c>
      <c r="AI229" s="325">
        <f>IFERROR(LARGE(tblPiNAnalysis[[#This Row],[CCCM]:[WASH]], 1), "")</f>
        <v>20899.83915597371</v>
      </c>
      <c r="AJ229" s="326" t="str" cm="1">
        <f t="array" ref="AJ229">IF(tblPiNAnalysis[[#This Row],[Highest PiN]]="", "", _xlfn.TEXTJOIN(CHAR(10), TRUE, IF(tblPiNAnalysis[[#This Row],[Highest PiN]]=tblPiNAnalysis[[#This Row],[CCCM]:[WASH]], tblPiNAnalysis[[#Headers],[CCCM]:[WASH]], "")))</f>
        <v>Shelter</v>
      </c>
      <c r="AK229" s="327">
        <f>IF(tblPiNAnalysis[[#This Row],[Highest PiN]]="", "", tblPiNAnalysis[[#This Row],[Highest PiN]]/tblPiNAnalysis[[#This Row],[Affected population projection 2026]])</f>
        <v>0.72881355932203384</v>
      </c>
      <c r="AL229" s="328" t="str">
        <f>IF(SUM(tblPiNAnalysis[[#This Row],[CCCM]:[WASH]])=0, "",IF(COUNTIF(tblPiNAnalysis[[#This Row],[CCCM]:[WASH]],"=0")+COUNTIF(tblPiNAnalysis[[#This Row],[CCCM]:[WASH]],"")&gt;=zero_pin_thresh, "Flagged", ""))</f>
        <v/>
      </c>
      <c r="AM229" s="329" t="str">
        <f>IFERROR(IF(tblPiNAnalysis[[#This Row],[Highest PiN]]="", "", IF(tblPiNAnalysis[[#This Row],[Highest sector(s'') PiN %]]&gt;=flag_pin_perc, "Flagged", "")), "")</f>
        <v/>
      </c>
      <c r="AN229" s="330" t="str" cm="1">
        <f t="array" ref="AN229">IF(tblPiNAnalysis[[#This Row],[Highest PiN]]=0, "",  IF(OR(COUNTIF(tblPiNAnalysis[[#This Row],[Highest sector(s)]],tblSubSectorPopulation[Sector])), "Flagged", ""))</f>
        <v/>
      </c>
      <c r="AO229" s="46" cm="1">
        <f t="array" ref="AO2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19279</v>
      </c>
      <c r="AP229" s="331" t="str" cm="1">
        <f t="array" ref="AP229">IF(tblPiNAnalysis[[#This Row],[2nd Highest PiN]]="", "", _xlfn.TEXTJOIN(CHAR(10), TRUE, IF(tblPiNAnalysis[[#This Row],[2nd Highest PiN]]=tblPiNAnalysis[[#This Row],[CCCM]:[WASH]], tblPiNAnalysis[[#Headers],[CCCM]:[WASH]], "")))</f>
        <v>Overarching Protection</v>
      </c>
      <c r="AQ229" s="36">
        <f>IFERROR(tblPiNAnalysis[[#This Row],[2nd Highest PiN]]/tblPiNAnalysis[[#This Row],[Affected population projection 2026]], "")</f>
        <v>0.67229209303045823</v>
      </c>
      <c r="AR229" s="46">
        <f>IFERROR(tblPiNAnalysis[[#This Row],[Highest PiN]]-tblPiNAnalysis[[#This Row],[2nd Highest PiN]], "")</f>
        <v>1620.8391559737101</v>
      </c>
      <c r="AS229" s="39">
        <f>IFERROR(((tblPiNAnalysis[[#This Row],[Highest PiN]]-tblPiNAnalysis[[#This Row],[2nd Highest PiN]])/tblPiNAnalysis[[#This Row],[2nd Highest PiN]]),"")</f>
        <v>8.4072781574444228E-2</v>
      </c>
      <c r="AT229" s="39" t="str" cm="1">
        <f t="array" ref="AT2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29" s="332" cm="1">
        <f t="array" ref="AU2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14917.237217909655</v>
      </c>
      <c r="AV229" s="190" t="str" cm="1">
        <f t="array" ref="AV229">IF(tblPiNAnalysis[[#This Row],[3rd Highest PiN]]="", "", _xlfn.TEXTJOIN(CHAR(10), TRUE, IF(tblPiNAnalysis[[#This Row],[3rd Highest PiN]]=tblPiNAnalysis[[#This Row],[CCCM]:[WASH]], tblPiNAnalysis[[#Headers],[CCCM]:[WASH]], "")))</f>
        <v>Food Security</v>
      </c>
      <c r="AW229" s="190">
        <f>IFERROR(tblPiNAnalysis[[#This Row],[3rd Highest PiN]]/tblPiNAnalysis[[#This Row],[Affected population projection 2026]], "")</f>
        <v>0.52018987662536087</v>
      </c>
      <c r="AX229" s="45">
        <f>IFERROR(tblPiNAnalysis[[#This Row],[Highest PiN]]-tblPiNAnalysis[[#This Row],[3rd Highest PiN]],"")</f>
        <v>5982.6019380640555</v>
      </c>
      <c r="AY229" s="39">
        <f>IFERROR(tblPiNAnalysis[[#This Row],[Difference of PiN between Highest and 3rd Highest]]/tblPiNAnalysis[[#This Row],[3rd Highest PiN]], "")</f>
        <v>0.40105294637812261</v>
      </c>
      <c r="AZ229" s="330" t="str" cm="1">
        <f t="array" ref="AZ2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29" s="300" t="str" cm="1">
        <f t="array" ref="BA229">IFERROR(IF(tblPiNAnalysis[[#This Row],[ID]]="", "", INDEX(tblPiNHistorical[[CCCM]:[WASH]], MATCH(tblPiNAnalysis[[#This Row],[ID]],tblPiNHistorical[ID], 0),MATCH(_xlfn._xlws.FILTER(tblPiNAnalysis[[#Headers],[CCCM]:[WASH]], tblPiNAnalysis[[#This Row],[Highest PiN]]=tblPiNAnalysis[[#This Row],[CCCM]:[WASH]]), tblPiNHistorical[[#Headers],[CCCM]:[WASH]], 0))), "")</f>
        <v/>
      </c>
      <c r="BB229" s="333" t="str" cm="1">
        <f t="array" ref="BB2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9" s="276" t="str" cm="1">
        <f t="array" ref="BC229">IFERROR(IF(tblPiNAnalysis[[#This Row],[ID]]="", "", INDEX(tblPiNHistorical[[CCCM]:[WASH]], MATCH(tblPiNAnalysis[[#This Row],[ID]],tblPiNHistorical[ID], 0),MATCH(_xlfn._xlws.FILTER(tblPiNAnalysis[[#Headers],[CCCM]:[WASH]], tblPiNAnalysis[[#This Row],[2nd Highest PiN]]=tblPiNAnalysis[[#This Row],[CCCM]:[WASH]]), tblPiNHistorical[[#Headers],[CCCM]:[WASH]], 0))), "")</f>
        <v/>
      </c>
      <c r="BD229" s="334" t="str" cm="1">
        <f t="array" ref="BD2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9" s="276">
        <f>INDEX(tblSeverityAnalysis[Final Severity], MATCH(tblPiNAnalysis[[#This Row],[ID]],tblSeverityAnalysis[ID], 0))</f>
        <v>3</v>
      </c>
      <c r="BF229" s="61">
        <f>IF(tblPiNAnalysis[[#This Row],[Severity]]&gt;2,tblPiNAnalysis[[#This Row],[Highest PiN]],)</f>
        <v>20899.83915597371</v>
      </c>
      <c r="BG229" s="191"/>
      <c r="BH229" s="192"/>
      <c r="BI229" s="193">
        <f>COUNTIFS(tblPiNAnalysis[[#This Row],[Number of missing / zero PiNs greater than threshold - Data quality]:[Manual Flag]],"Flagged")</f>
        <v>0</v>
      </c>
      <c r="BJ229" s="96" t="str">
        <f>IF(tblPiNAnalysis[[#This Row],['# Flags]]&gt;0, "Flagged", "")</f>
        <v/>
      </c>
      <c r="BK229" s="326">
        <f>tblPiNAnalysis[[#This Row],[Preliminary PiN]]</f>
        <v>20899.83915597371</v>
      </c>
      <c r="BL229" s="331"/>
    </row>
    <row r="230" spans="1:64" ht="24.6" x14ac:dyDescent="0.55000000000000004">
      <c r="A23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SS0903</v>
      </c>
      <c r="B230" s="316" t="s">
        <v>382</v>
      </c>
      <c r="C230" s="317" t="s">
        <v>383</v>
      </c>
      <c r="D230" s="317" t="s">
        <v>388</v>
      </c>
      <c r="E230" s="105" t="s">
        <v>389</v>
      </c>
      <c r="F230" s="100"/>
      <c r="G230" s="34"/>
      <c r="H230" s="34"/>
      <c r="I230" s="97">
        <v>47646.035148118463</v>
      </c>
      <c r="J230" s="97" t="s">
        <v>414</v>
      </c>
      <c r="K230" s="318">
        <v>7146.9052722177694</v>
      </c>
      <c r="L230" s="319">
        <v>6494.4214084853766</v>
      </c>
      <c r="M230" s="319">
        <v>14934.166989641053</v>
      </c>
      <c r="N230" s="319">
        <v>23618.765949974742</v>
      </c>
      <c r="O230" s="319">
        <v>21699.970696247929</v>
      </c>
      <c r="P230" s="319">
        <v>31618</v>
      </c>
      <c r="Q230" s="320">
        <v>27488.097200837576</v>
      </c>
      <c r="R230" s="319">
        <v>20734.848629273776</v>
      </c>
      <c r="S230" s="319">
        <v>18907</v>
      </c>
      <c r="T230" s="319">
        <v>6860</v>
      </c>
      <c r="U230" s="319">
        <v>3505</v>
      </c>
      <c r="V230" s="319">
        <v>13453</v>
      </c>
      <c r="W230" s="321">
        <f>IFERROR(IF(tblPiNAnalysis[[#This Row],[CCCM]]="", "", MROUND(tblPiNAnalysis[[#This Row],[CCCM]]/tblPiNAnalysis[[#This Row],[Affected population projection 2026]], 0.05)), "")</f>
        <v>0.15000000000000002</v>
      </c>
      <c r="X230" s="322">
        <f>IFERROR(IF(tblPiNAnalysis[[#This Row],[Education]]="", "", MROUND(tblPiNAnalysis[[#This Row],[Education]]/tblPiNAnalysis[[#This Row],[Affected population projection 2026]], 0.05)), "")</f>
        <v>0.15000000000000002</v>
      </c>
      <c r="Y230" s="322">
        <f>IFERROR(IF(tblPiNAnalysis[[#This Row],[Nutrition]]="", "", MROUND(tblPiNAnalysis[[#This Row],[Nutrition]]/tblPiNAnalysis[[#This Row],[Affected population projection 2026]], 0.05)), "")</f>
        <v>0.30000000000000004</v>
      </c>
      <c r="Z230" s="322">
        <f>IFERROR(IF(tblPiNAnalysis[[#This Row],[Food Security]]="", "", MROUND(tblPiNAnalysis[[#This Row],[Food Security]]/tblPiNAnalysis[[#This Row],[Affected population projection 2026]], 0.05)), "")</f>
        <v>0.5</v>
      </c>
      <c r="AA230" s="322">
        <f>IFERROR(IF(tblPiNAnalysis[[#This Row],[Health]]="", "", MROUND(tblPiNAnalysis[[#This Row],[Health]]/tblPiNAnalysis[[#This Row],[Affected population projection 2026]], 0.05)), "")</f>
        <v>0.45</v>
      </c>
      <c r="AB230" s="323">
        <f>IFERROR(IF(tblPiNAnalysis[[#This Row],[Overarching Protection]]="", "", MROUND(tblPiNAnalysis[[#This Row],[Overarching Protection]]/tblPiNAnalysis[[#This Row],[Affected population projection 2026]], 0.05)), "")</f>
        <v>0.65</v>
      </c>
      <c r="AC230" s="323">
        <f>IFERROR(IF(tblPiNAnalysis[[#This Row],[Shelter]]="", "", MROUND(tblPiNAnalysis[[#This Row],[Shelter]]/tblPiNAnalysis[[#This Row],[Affected population projection 2026]], 0.05)), "")</f>
        <v>0.60000000000000009</v>
      </c>
      <c r="AD230" s="324">
        <f>IFERROR(IF(tblPiNAnalysis[[#This Row],[WASH]]="", "", MROUND(tblPiNAnalysis[[#This Row],[WASH]]/tblPiNAnalysis[[#This Row],[Affected population projection 2026]], 0.05)), "")</f>
        <v>0.45</v>
      </c>
      <c r="AE230" s="322">
        <f>IFERROR(MROUND(tblPiNAnalysis[[#This Row],[CP]]/tblPiNAnalysis[[#This Row],[Affected population projection 2026]], 0.05), "")</f>
        <v>0.4</v>
      </c>
      <c r="AF230" s="322">
        <f>IFERROR(MROUND(tblPiNAnalysis[[#This Row],[GBV]]/tblPiNAnalysis[[#This Row],[Affected population projection 2026]], 0.05), "")</f>
        <v>0.15000000000000002</v>
      </c>
      <c r="AG230" s="322">
        <f>IFERROR(MROUND(tblPiNAnalysis[[#This Row],[Mine Action]]/tblPiNAnalysis[[#This Row],[Affected population projection 2026]], 0.05), "")</f>
        <v>0.05</v>
      </c>
      <c r="AH230" s="322">
        <f>IFERROR(MROUND(tblPiNAnalysis[[#This Row],[HLP]]/tblPiNAnalysis[[#This Row],[Affected population projection 2026]], 0.05), "")</f>
        <v>0.30000000000000004</v>
      </c>
      <c r="AI230" s="325">
        <f>IFERROR(LARGE(tblPiNAnalysis[[#This Row],[CCCM]:[WASH]], 1), "")</f>
        <v>31618</v>
      </c>
      <c r="AJ230" s="326" t="str" cm="1">
        <f t="array" ref="AJ230">IF(tblPiNAnalysis[[#This Row],[Highest PiN]]="", "", _xlfn.TEXTJOIN(CHAR(10), TRUE, IF(tblPiNAnalysis[[#This Row],[Highest PiN]]=tblPiNAnalysis[[#This Row],[CCCM]:[WASH]], tblPiNAnalysis[[#Headers],[CCCM]:[WASH]], "")))</f>
        <v>Overarching Protection</v>
      </c>
      <c r="AK230" s="327">
        <f>IF(tblPiNAnalysis[[#This Row],[Highest PiN]]="", "", tblPiNAnalysis[[#This Row],[Highest PiN]]/tblPiNAnalysis[[#This Row],[Affected population projection 2026]])</f>
        <v>0.66360191150655679</v>
      </c>
      <c r="AL230" s="328" t="str">
        <f>IF(SUM(tblPiNAnalysis[[#This Row],[CCCM]:[WASH]])=0, "",IF(COUNTIF(tblPiNAnalysis[[#This Row],[CCCM]:[WASH]],"=0")+COUNTIF(tblPiNAnalysis[[#This Row],[CCCM]:[WASH]],"")&gt;=zero_pin_thresh, "Flagged", ""))</f>
        <v/>
      </c>
      <c r="AM230" s="329" t="str">
        <f>IFERROR(IF(tblPiNAnalysis[[#This Row],[Highest PiN]]="", "", IF(tblPiNAnalysis[[#This Row],[Highest sector(s'') PiN %]]&gt;=flag_pin_perc, "Flagged", "")), "")</f>
        <v/>
      </c>
      <c r="AN230" s="330" t="str" cm="1">
        <f t="array" ref="AN230">IF(tblPiNAnalysis[[#This Row],[Highest PiN]]=0, "",  IF(OR(COUNTIF(tblPiNAnalysis[[#This Row],[Highest sector(s)]],tblSubSectorPopulation[Sector])), "Flagged", ""))</f>
        <v/>
      </c>
      <c r="AO230" s="46" cm="1">
        <f t="array" ref="AO2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27488.097200837576</v>
      </c>
      <c r="AP230" s="331" t="str" cm="1">
        <f t="array" ref="AP230">IF(tblPiNAnalysis[[#This Row],[2nd Highest PiN]]="", "", _xlfn.TEXTJOIN(CHAR(10), TRUE, IF(tblPiNAnalysis[[#This Row],[2nd Highest PiN]]=tblPiNAnalysis[[#This Row],[CCCM]:[WASH]], tblPiNAnalysis[[#Headers],[CCCM]:[WASH]], "")))</f>
        <v>Shelter</v>
      </c>
      <c r="AQ230" s="36">
        <f>IFERROR(tblPiNAnalysis[[#This Row],[2nd Highest PiN]]/tblPiNAnalysis[[#This Row],[Affected population projection 2026]], "")</f>
        <v>0.57692307692307698</v>
      </c>
      <c r="AR230" s="46">
        <f>IFERROR(tblPiNAnalysis[[#This Row],[Highest PiN]]-tblPiNAnalysis[[#This Row],[2nd Highest PiN]], "")</f>
        <v>4129.9027991624243</v>
      </c>
      <c r="AS230" s="39">
        <f>IFERROR(((tblPiNAnalysis[[#This Row],[Highest PiN]]-tblPiNAnalysis[[#This Row],[2nd Highest PiN]])/tblPiNAnalysis[[#This Row],[2nd Highest PiN]]),"")</f>
        <v>0.15024331327803164</v>
      </c>
      <c r="AT230" s="39" t="str" cm="1">
        <f t="array" ref="AT2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0" s="332" cm="1">
        <f t="array" ref="AU2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23618.765949974742</v>
      </c>
      <c r="AV230" s="190" t="str" cm="1">
        <f t="array" ref="AV230">IF(tblPiNAnalysis[[#This Row],[3rd Highest PiN]]="", "", _xlfn.TEXTJOIN(CHAR(10), TRUE, IF(tblPiNAnalysis[[#This Row],[3rd Highest PiN]]=tblPiNAnalysis[[#This Row],[CCCM]:[WASH]], tblPiNAnalysis[[#Headers],[CCCM]:[WASH]], "")))</f>
        <v>Food Security</v>
      </c>
      <c r="AW230" s="190">
        <f>IFERROR(tblPiNAnalysis[[#This Row],[3rd Highest PiN]]/tblPiNAnalysis[[#This Row],[Affected population projection 2026]], "")</f>
        <v>0.49571314541809142</v>
      </c>
      <c r="AX230" s="45">
        <f>IFERROR(tblPiNAnalysis[[#This Row],[Highest PiN]]-tblPiNAnalysis[[#This Row],[3rd Highest PiN]],"")</f>
        <v>7999.2340500252576</v>
      </c>
      <c r="AY230" s="39">
        <f>IFERROR(tblPiNAnalysis[[#This Row],[Difference of PiN between Highest and 3rd Highest]]/tblPiNAnalysis[[#This Row],[3rd Highest PiN]], "")</f>
        <v>0.33868128703116313</v>
      </c>
      <c r="AZ230" s="330" t="str" cm="1">
        <f t="array" ref="AZ2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0" s="300" t="str" cm="1">
        <f t="array" ref="BA230">IFERROR(IF(tblPiNAnalysis[[#This Row],[ID]]="", "", INDEX(tblPiNHistorical[[CCCM]:[WASH]], MATCH(tblPiNAnalysis[[#This Row],[ID]],tblPiNHistorical[ID], 0),MATCH(_xlfn._xlws.FILTER(tblPiNAnalysis[[#Headers],[CCCM]:[WASH]], tblPiNAnalysis[[#This Row],[Highest PiN]]=tblPiNAnalysis[[#This Row],[CCCM]:[WASH]]), tblPiNHistorical[[#Headers],[CCCM]:[WASH]], 0))), "")</f>
        <v/>
      </c>
      <c r="BB230" s="333" t="str" cm="1">
        <f t="array" ref="BB2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0" s="276" t="str" cm="1">
        <f t="array" ref="BC23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0" s="334" t="str" cm="1">
        <f t="array" ref="BD2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0" s="276">
        <f>INDEX(tblSeverityAnalysis[Final Severity], MATCH(tblPiNAnalysis[[#This Row],[ID]],tblSeverityAnalysis[ID], 0))</f>
        <v>3</v>
      </c>
      <c r="BF230" s="61">
        <f>IF(tblPiNAnalysis[[#This Row],[Severity]]&gt;2,tblPiNAnalysis[[#This Row],[Highest PiN]],)</f>
        <v>31618</v>
      </c>
      <c r="BG230" s="191"/>
      <c r="BH230" s="192"/>
      <c r="BI230" s="193">
        <f>COUNTIFS(tblPiNAnalysis[[#This Row],[Number of missing / zero PiNs greater than threshold - Data quality]:[Manual Flag]],"Flagged")</f>
        <v>0</v>
      </c>
      <c r="BJ230" s="96" t="str">
        <f>IF(tblPiNAnalysis[[#This Row],['# Flags]]&gt;0, "Flagged", "")</f>
        <v/>
      </c>
      <c r="BK230" s="326">
        <f>tblPiNAnalysis[[#This Row],[Preliminary PiN]]</f>
        <v>31618</v>
      </c>
      <c r="BL230" s="331"/>
    </row>
    <row r="231" spans="1:64" ht="24.6" x14ac:dyDescent="0.55000000000000004">
      <c r="A231"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SS1001</v>
      </c>
      <c r="B231" s="316" t="s">
        <v>390</v>
      </c>
      <c r="C231" s="317" t="s">
        <v>391</v>
      </c>
      <c r="D231" s="317" t="s">
        <v>392</v>
      </c>
      <c r="E231" s="105" t="s">
        <v>393</v>
      </c>
      <c r="F231" s="100"/>
      <c r="G231" s="34"/>
      <c r="H231" s="34"/>
      <c r="I231" s="97">
        <v>3661</v>
      </c>
      <c r="J231" s="97" t="s">
        <v>414</v>
      </c>
      <c r="K231" s="318">
        <v>549.15</v>
      </c>
      <c r="L231" s="319">
        <v>805.27539049999984</v>
      </c>
      <c r="M231" s="319">
        <v>1372.115900864655</v>
      </c>
      <c r="N231" s="319">
        <v>654.49499948243829</v>
      </c>
      <c r="O231" s="319">
        <v>1809.4480634899089</v>
      </c>
      <c r="P231" s="319">
        <v>1902</v>
      </c>
      <c r="Q231" s="320">
        <v>1464.4</v>
      </c>
      <c r="R231" s="319">
        <v>2711.8518518518522</v>
      </c>
      <c r="S231" s="319">
        <v>443</v>
      </c>
      <c r="T231" s="319">
        <v>443</v>
      </c>
      <c r="U231" s="319">
        <v>233</v>
      </c>
      <c r="V231" s="319">
        <v>759</v>
      </c>
      <c r="W231" s="321">
        <f>IFERROR(IF(tblPiNAnalysis[[#This Row],[CCCM]]="", "", MROUND(tblPiNAnalysis[[#This Row],[CCCM]]/tblPiNAnalysis[[#This Row],[Affected population projection 2026]], 0.05)), "")</f>
        <v>0.15000000000000002</v>
      </c>
      <c r="X231" s="322">
        <f>IFERROR(IF(tblPiNAnalysis[[#This Row],[Education]]="", "", MROUND(tblPiNAnalysis[[#This Row],[Education]]/tblPiNAnalysis[[#This Row],[Affected population projection 2026]], 0.05)), "")</f>
        <v>0.2</v>
      </c>
      <c r="Y231" s="322">
        <f>IFERROR(IF(tblPiNAnalysis[[#This Row],[Nutrition]]="", "", MROUND(tblPiNAnalysis[[#This Row],[Nutrition]]/tblPiNAnalysis[[#This Row],[Affected population projection 2026]], 0.05)), "")</f>
        <v>0.35000000000000003</v>
      </c>
      <c r="Z231" s="322">
        <f>IFERROR(IF(tblPiNAnalysis[[#This Row],[Food Security]]="", "", MROUND(tblPiNAnalysis[[#This Row],[Food Security]]/tblPiNAnalysis[[#This Row],[Affected population projection 2026]], 0.05)), "")</f>
        <v>0.2</v>
      </c>
      <c r="AA231" s="322">
        <f>IFERROR(IF(tblPiNAnalysis[[#This Row],[Health]]="", "", MROUND(tblPiNAnalysis[[#This Row],[Health]]/tblPiNAnalysis[[#This Row],[Affected population projection 2026]], 0.05)), "")</f>
        <v>0.5</v>
      </c>
      <c r="AB231" s="323">
        <f>IFERROR(IF(tblPiNAnalysis[[#This Row],[Overarching Protection]]="", "", MROUND(tblPiNAnalysis[[#This Row],[Overarching Protection]]/tblPiNAnalysis[[#This Row],[Affected population projection 2026]], 0.05)), "")</f>
        <v>0.5</v>
      </c>
      <c r="AC231" s="323">
        <f>IFERROR(IF(tblPiNAnalysis[[#This Row],[Shelter]]="", "", MROUND(tblPiNAnalysis[[#This Row],[Shelter]]/tblPiNAnalysis[[#This Row],[Affected population projection 2026]], 0.05)), "")</f>
        <v>0.4</v>
      </c>
      <c r="AD231" s="324">
        <f>IFERROR(IF(tblPiNAnalysis[[#This Row],[WASH]]="", "", MROUND(tblPiNAnalysis[[#This Row],[WASH]]/tblPiNAnalysis[[#This Row],[Affected population projection 2026]], 0.05)), "")</f>
        <v>0.75</v>
      </c>
      <c r="AE231" s="322">
        <f>IFERROR(MROUND(tblPiNAnalysis[[#This Row],[CP]]/tblPiNAnalysis[[#This Row],[Affected population projection 2026]], 0.05), "")</f>
        <v>0.1</v>
      </c>
      <c r="AF231" s="322">
        <f>IFERROR(MROUND(tblPiNAnalysis[[#This Row],[GBV]]/tblPiNAnalysis[[#This Row],[Affected population projection 2026]], 0.05), "")</f>
        <v>0.1</v>
      </c>
      <c r="AG231" s="322">
        <f>IFERROR(MROUND(tblPiNAnalysis[[#This Row],[Mine Action]]/tblPiNAnalysis[[#This Row],[Affected population projection 2026]], 0.05), "")</f>
        <v>0.05</v>
      </c>
      <c r="AH231" s="322">
        <f>IFERROR(MROUND(tblPiNAnalysis[[#This Row],[HLP]]/tblPiNAnalysis[[#This Row],[Affected population projection 2026]], 0.05), "")</f>
        <v>0.2</v>
      </c>
      <c r="AI231" s="325">
        <f>IFERROR(LARGE(tblPiNAnalysis[[#This Row],[CCCM]:[WASH]], 1), "")</f>
        <v>2711.8518518518522</v>
      </c>
      <c r="AJ231" s="326" t="str" cm="1">
        <f t="array" ref="AJ231">IF(tblPiNAnalysis[[#This Row],[Highest PiN]]="", "", _xlfn.TEXTJOIN(CHAR(10), TRUE, IF(tblPiNAnalysis[[#This Row],[Highest PiN]]=tblPiNAnalysis[[#This Row],[CCCM]:[WASH]], tblPiNAnalysis[[#Headers],[CCCM]:[WASH]], "")))</f>
        <v>WASH</v>
      </c>
      <c r="AK231" s="327">
        <f>IF(tblPiNAnalysis[[#This Row],[Highest PiN]]="", "", tblPiNAnalysis[[#This Row],[Highest PiN]]/tblPiNAnalysis[[#This Row],[Affected population projection 2026]])</f>
        <v>0.74074074074074081</v>
      </c>
      <c r="AL231" s="328" t="str">
        <f>IF(SUM(tblPiNAnalysis[[#This Row],[CCCM]:[WASH]])=0, "",IF(COUNTIF(tblPiNAnalysis[[#This Row],[CCCM]:[WASH]],"=0")+COUNTIF(tblPiNAnalysis[[#This Row],[CCCM]:[WASH]],"")&gt;=zero_pin_thresh, "Flagged", ""))</f>
        <v/>
      </c>
      <c r="AM231" s="329" t="str">
        <f>IFERROR(IF(tblPiNAnalysis[[#This Row],[Highest PiN]]="", "", IF(tblPiNAnalysis[[#This Row],[Highest sector(s'') PiN %]]&gt;=flag_pin_perc, "Flagged", "")), "")</f>
        <v/>
      </c>
      <c r="AN231" s="330" t="str" cm="1">
        <f t="array" ref="AN231">IF(tblPiNAnalysis[[#This Row],[Highest PiN]]=0, "",  IF(OR(COUNTIF(tblPiNAnalysis[[#This Row],[Highest sector(s)]],tblSubSectorPopulation[Sector])), "Flagged", ""))</f>
        <v/>
      </c>
      <c r="AO231" s="46" cm="1">
        <f t="array" ref="AO2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1902</v>
      </c>
      <c r="AP231" s="331" t="str" cm="1">
        <f t="array" ref="AP231">IF(tblPiNAnalysis[[#This Row],[2nd Highest PiN]]="", "", _xlfn.TEXTJOIN(CHAR(10), TRUE, IF(tblPiNAnalysis[[#This Row],[2nd Highest PiN]]=tblPiNAnalysis[[#This Row],[CCCM]:[WASH]], tblPiNAnalysis[[#Headers],[CCCM]:[WASH]], "")))</f>
        <v>Overarching Protection</v>
      </c>
      <c r="AQ231" s="36">
        <f>IFERROR(tblPiNAnalysis[[#This Row],[2nd Highest PiN]]/tblPiNAnalysis[[#This Row],[Affected population projection 2026]], "")</f>
        <v>0.51953018301010656</v>
      </c>
      <c r="AR231" s="46">
        <f>IFERROR(tblPiNAnalysis[[#This Row],[Highest PiN]]-tblPiNAnalysis[[#This Row],[2nd Highest PiN]], "")</f>
        <v>809.85185185185219</v>
      </c>
      <c r="AS231" s="39">
        <f>IFERROR(((tblPiNAnalysis[[#This Row],[Highest PiN]]-tblPiNAnalysis[[#This Row],[2nd Highest PiN]])/tblPiNAnalysis[[#This Row],[2nd Highest PiN]]),"")</f>
        <v>0.42578961716711472</v>
      </c>
      <c r="AT231" s="39" t="str" cm="1">
        <f t="array" ref="AT2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1" s="332" cm="1">
        <f t="array" ref="AU2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1809.4480634899089</v>
      </c>
      <c r="AV231" s="190" t="str" cm="1">
        <f t="array" ref="AV231">IF(tblPiNAnalysis[[#This Row],[3rd Highest PiN]]="", "", _xlfn.TEXTJOIN(CHAR(10), TRUE, IF(tblPiNAnalysis[[#This Row],[3rd Highest PiN]]=tblPiNAnalysis[[#This Row],[CCCM]:[WASH]], tblPiNAnalysis[[#Headers],[CCCM]:[WASH]], "")))</f>
        <v>Health</v>
      </c>
      <c r="AW231" s="190">
        <f>IFERROR(tblPiNAnalysis[[#This Row],[3rd Highest PiN]]/tblPiNAnalysis[[#This Row],[Affected population projection 2026]], "")</f>
        <v>0.49424967590546542</v>
      </c>
      <c r="AX231" s="45">
        <f>IFERROR(tblPiNAnalysis[[#This Row],[Highest PiN]]-tblPiNAnalysis[[#This Row],[3rd Highest PiN]],"")</f>
        <v>902.40378836194327</v>
      </c>
      <c r="AY231" s="39">
        <f>IFERROR(tblPiNAnalysis[[#This Row],[Difference of PiN between Highest and 3rd Highest]]/tblPiNAnalysis[[#This Row],[3rd Highest PiN]], "")</f>
        <v>0.49871770655934933</v>
      </c>
      <c r="AZ231" s="330" t="str" cm="1">
        <f t="array" ref="AZ2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1" s="300" t="str" cm="1">
        <f t="array" ref="BA231">IFERROR(IF(tblPiNAnalysis[[#This Row],[ID]]="", "", INDEX(tblPiNHistorical[[CCCM]:[WASH]], MATCH(tblPiNAnalysis[[#This Row],[ID]],tblPiNHistorical[ID], 0),MATCH(_xlfn._xlws.FILTER(tblPiNAnalysis[[#Headers],[CCCM]:[WASH]], tblPiNAnalysis[[#This Row],[Highest PiN]]=tblPiNAnalysis[[#This Row],[CCCM]:[WASH]]), tblPiNHistorical[[#Headers],[CCCM]:[WASH]], 0))), "")</f>
        <v/>
      </c>
      <c r="BB231" s="333" t="str" cm="1">
        <f t="array" ref="BB2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1" s="276" t="str" cm="1">
        <f t="array" ref="BC23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1" s="334" t="str" cm="1">
        <f t="array" ref="BD2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1" s="276">
        <f>INDEX(tblSeverityAnalysis[Final Severity], MATCH(tblPiNAnalysis[[#This Row],[ID]],tblSeverityAnalysis[ID], 0))</f>
        <v>3</v>
      </c>
      <c r="BF231" s="61">
        <f>IF(tblPiNAnalysis[[#This Row],[Severity]]&gt;2,tblPiNAnalysis[[#This Row],[Highest PiN]],)</f>
        <v>2711.8518518518522</v>
      </c>
      <c r="BG231" s="191"/>
      <c r="BH231" s="192"/>
      <c r="BI231" s="193">
        <f>COUNTIFS(tblPiNAnalysis[[#This Row],[Number of missing / zero PiNs greater than threshold - Data quality]:[Manual Flag]],"Flagged")</f>
        <v>1</v>
      </c>
      <c r="BJ231" s="96" t="str">
        <f>IF(tblPiNAnalysis[[#This Row],['# Flags]]&gt;0, "Flagged", "")</f>
        <v>Flagged</v>
      </c>
      <c r="BK231" s="326">
        <f>tblPiNAnalysis[[#This Row],[Preliminary PiN]]</f>
        <v>2711.8518518518522</v>
      </c>
      <c r="BL231" s="331"/>
    </row>
    <row r="232" spans="1:64" ht="24.6" x14ac:dyDescent="0.55000000000000004">
      <c r="A232"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SS1002</v>
      </c>
      <c r="B232" s="316" t="s">
        <v>390</v>
      </c>
      <c r="C232" s="317" t="s">
        <v>391</v>
      </c>
      <c r="D232" s="317" t="s">
        <v>394</v>
      </c>
      <c r="E232" s="105" t="s">
        <v>395</v>
      </c>
      <c r="F232" s="100"/>
      <c r="G232" s="34"/>
      <c r="H232" s="34"/>
      <c r="I232" s="97">
        <v>1463.1428571428601</v>
      </c>
      <c r="J232" s="97" t="s">
        <v>414</v>
      </c>
      <c r="K232" s="318">
        <v>219.47142857142902</v>
      </c>
      <c r="L232" s="319">
        <v>209.6127720000004</v>
      </c>
      <c r="M232" s="319">
        <v>493.86726857254502</v>
      </c>
      <c r="N232" s="319">
        <v>368.66869819399255</v>
      </c>
      <c r="O232" s="319">
        <v>636.05586257138452</v>
      </c>
      <c r="P232" s="319">
        <v>765</v>
      </c>
      <c r="Q232" s="320">
        <v>585.257142857144</v>
      </c>
      <c r="R232" s="319">
        <v>1246.3809523809548</v>
      </c>
      <c r="S232" s="319">
        <v>160</v>
      </c>
      <c r="T232" s="319">
        <v>463</v>
      </c>
      <c r="U232" s="319">
        <v>92</v>
      </c>
      <c r="V232" s="319">
        <v>365</v>
      </c>
      <c r="W232" s="321">
        <f>IFERROR(IF(tblPiNAnalysis[[#This Row],[CCCM]]="", "", MROUND(tblPiNAnalysis[[#This Row],[CCCM]]/tblPiNAnalysis[[#This Row],[Affected population projection 2026]], 0.05)), "")</f>
        <v>0.15000000000000002</v>
      </c>
      <c r="X232" s="322">
        <f>IFERROR(IF(tblPiNAnalysis[[#This Row],[Education]]="", "", MROUND(tblPiNAnalysis[[#This Row],[Education]]/tblPiNAnalysis[[#This Row],[Affected population projection 2026]], 0.05)), "")</f>
        <v>0.15000000000000002</v>
      </c>
      <c r="Y232" s="322">
        <f>IFERROR(IF(tblPiNAnalysis[[#This Row],[Nutrition]]="", "", MROUND(tblPiNAnalysis[[#This Row],[Nutrition]]/tblPiNAnalysis[[#This Row],[Affected population projection 2026]], 0.05)), "")</f>
        <v>0.35000000000000003</v>
      </c>
      <c r="Z232" s="322">
        <f>IFERROR(IF(tblPiNAnalysis[[#This Row],[Food Security]]="", "", MROUND(tblPiNAnalysis[[#This Row],[Food Security]]/tblPiNAnalysis[[#This Row],[Affected population projection 2026]], 0.05)), "")</f>
        <v>0.25</v>
      </c>
      <c r="AA232" s="322">
        <f>IFERROR(IF(tblPiNAnalysis[[#This Row],[Health]]="", "", MROUND(tblPiNAnalysis[[#This Row],[Health]]/tblPiNAnalysis[[#This Row],[Affected population projection 2026]], 0.05)), "")</f>
        <v>0.45</v>
      </c>
      <c r="AB232" s="323">
        <f>IFERROR(IF(tblPiNAnalysis[[#This Row],[Overarching Protection]]="", "", MROUND(tblPiNAnalysis[[#This Row],[Overarching Protection]]/tblPiNAnalysis[[#This Row],[Affected population projection 2026]], 0.05)), "")</f>
        <v>0.5</v>
      </c>
      <c r="AC232" s="323">
        <f>IFERROR(IF(tblPiNAnalysis[[#This Row],[Shelter]]="", "", MROUND(tblPiNAnalysis[[#This Row],[Shelter]]/tblPiNAnalysis[[#This Row],[Affected population projection 2026]], 0.05)), "")</f>
        <v>0.4</v>
      </c>
      <c r="AD232" s="324">
        <f>IFERROR(IF(tblPiNAnalysis[[#This Row],[WASH]]="", "", MROUND(tblPiNAnalysis[[#This Row],[WASH]]/tblPiNAnalysis[[#This Row],[Affected population projection 2026]], 0.05)), "")</f>
        <v>0.85000000000000009</v>
      </c>
      <c r="AE232" s="322">
        <f>IFERROR(MROUND(tblPiNAnalysis[[#This Row],[CP]]/tblPiNAnalysis[[#This Row],[Affected population projection 2026]], 0.05), "")</f>
        <v>0.1</v>
      </c>
      <c r="AF232" s="322">
        <f>IFERROR(MROUND(tblPiNAnalysis[[#This Row],[GBV]]/tblPiNAnalysis[[#This Row],[Affected population projection 2026]], 0.05), "")</f>
        <v>0.30000000000000004</v>
      </c>
      <c r="AG232" s="322">
        <f>IFERROR(MROUND(tblPiNAnalysis[[#This Row],[Mine Action]]/tblPiNAnalysis[[#This Row],[Affected population projection 2026]], 0.05), "")</f>
        <v>0.05</v>
      </c>
      <c r="AH232" s="322">
        <f>IFERROR(MROUND(tblPiNAnalysis[[#This Row],[HLP]]/tblPiNAnalysis[[#This Row],[Affected population projection 2026]], 0.05), "")</f>
        <v>0.25</v>
      </c>
      <c r="AI232" s="325">
        <f>IFERROR(LARGE(tblPiNAnalysis[[#This Row],[CCCM]:[WASH]], 1), "")</f>
        <v>1246.3809523809548</v>
      </c>
      <c r="AJ232" s="326" t="str" cm="1">
        <f t="array" ref="AJ232">IF(tblPiNAnalysis[[#This Row],[Highest PiN]]="", "", _xlfn.TEXTJOIN(CHAR(10), TRUE, IF(tblPiNAnalysis[[#This Row],[Highest PiN]]=tblPiNAnalysis[[#This Row],[CCCM]:[WASH]], tblPiNAnalysis[[#Headers],[CCCM]:[WASH]], "")))</f>
        <v>WASH</v>
      </c>
      <c r="AK232" s="327">
        <f>IF(tblPiNAnalysis[[#This Row],[Highest PiN]]="", "", tblPiNAnalysis[[#This Row],[Highest PiN]]/tblPiNAnalysis[[#This Row],[Affected population projection 2026]])</f>
        <v>0.85185185185185175</v>
      </c>
      <c r="AL232" s="328" t="str">
        <f>IF(SUM(tblPiNAnalysis[[#This Row],[CCCM]:[WASH]])=0, "",IF(COUNTIF(tblPiNAnalysis[[#This Row],[CCCM]:[WASH]],"=0")+COUNTIF(tblPiNAnalysis[[#This Row],[CCCM]:[WASH]],"")&gt;=zero_pin_thresh, "Flagged", ""))</f>
        <v/>
      </c>
      <c r="AM232" s="329" t="str">
        <f>IFERROR(IF(tblPiNAnalysis[[#This Row],[Highest PiN]]="", "", IF(tblPiNAnalysis[[#This Row],[Highest sector(s'') PiN %]]&gt;=flag_pin_perc, "Flagged", "")), "")</f>
        <v/>
      </c>
      <c r="AN232" s="330" t="str" cm="1">
        <f t="array" ref="AN232">IF(tblPiNAnalysis[[#This Row],[Highest PiN]]=0, "",  IF(OR(COUNTIF(tblPiNAnalysis[[#This Row],[Highest sector(s)]],tblSubSectorPopulation[Sector])), "Flagged", ""))</f>
        <v/>
      </c>
      <c r="AO232" s="46" cm="1">
        <f t="array" ref="AO2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765</v>
      </c>
      <c r="AP232" s="331" t="str" cm="1">
        <f t="array" ref="AP232">IF(tblPiNAnalysis[[#This Row],[2nd Highest PiN]]="", "", _xlfn.TEXTJOIN(CHAR(10), TRUE, IF(tblPiNAnalysis[[#This Row],[2nd Highest PiN]]=tblPiNAnalysis[[#This Row],[CCCM]:[WASH]], tblPiNAnalysis[[#Headers],[CCCM]:[WASH]], "")))</f>
        <v>Overarching Protection</v>
      </c>
      <c r="AQ232" s="36">
        <f>IFERROR(tblPiNAnalysis[[#This Row],[2nd Highest PiN]]/tblPiNAnalysis[[#This Row],[Affected population projection 2026]], "")</f>
        <v>0.52284710017574587</v>
      </c>
      <c r="AR232" s="46">
        <f>IFERROR(tblPiNAnalysis[[#This Row],[Highest PiN]]-tblPiNAnalysis[[#This Row],[2nd Highest PiN]], "")</f>
        <v>481.3809523809548</v>
      </c>
      <c r="AS232" s="39">
        <f>IFERROR(((tblPiNAnalysis[[#This Row],[Highest PiN]]-tblPiNAnalysis[[#This Row],[2nd Highest PiN]])/tblPiNAnalysis[[#This Row],[2nd Highest PiN]]),"")</f>
        <v>0.62925614690320886</v>
      </c>
      <c r="AT232" s="39" t="str" cm="1">
        <f t="array" ref="AT2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2" s="332" cm="1">
        <f t="array" ref="AU2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636.05586257138452</v>
      </c>
      <c r="AV232" s="190" t="str" cm="1">
        <f t="array" ref="AV232">IF(tblPiNAnalysis[[#This Row],[3rd Highest PiN]]="", "", _xlfn.TEXTJOIN(CHAR(10), TRUE, IF(tblPiNAnalysis[[#This Row],[3rd Highest PiN]]=tblPiNAnalysis[[#This Row],[CCCM]:[WASH]], tblPiNAnalysis[[#Headers],[CCCM]:[WASH]], "")))</f>
        <v>Health</v>
      </c>
      <c r="AW232" s="190">
        <f>IFERROR(tblPiNAnalysis[[#This Row],[3rd Highest PiN]]/tblPiNAnalysis[[#This Row],[Affected population projection 2026]], "")</f>
        <v>0.43471890626827597</v>
      </c>
      <c r="AX232" s="45">
        <f>IFERROR(tblPiNAnalysis[[#This Row],[Highest PiN]]-tblPiNAnalysis[[#This Row],[3rd Highest PiN]],"")</f>
        <v>610.32508980957027</v>
      </c>
      <c r="AY232" s="39">
        <f>IFERROR(tblPiNAnalysis[[#This Row],[Difference of PiN between Highest and 3rd Highest]]/tblPiNAnalysis[[#This Row],[3rd Highest PiN]], "")</f>
        <v>0.95954636333703081</v>
      </c>
      <c r="AZ232" s="330" t="str" cm="1">
        <f t="array" ref="AZ2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32" s="300" t="str" cm="1">
        <f t="array" ref="BA232">IFERROR(IF(tblPiNAnalysis[[#This Row],[ID]]="", "", INDEX(tblPiNHistorical[[CCCM]:[WASH]], MATCH(tblPiNAnalysis[[#This Row],[ID]],tblPiNHistorical[ID], 0),MATCH(_xlfn._xlws.FILTER(tblPiNAnalysis[[#Headers],[CCCM]:[WASH]], tblPiNAnalysis[[#This Row],[Highest PiN]]=tblPiNAnalysis[[#This Row],[CCCM]:[WASH]]), tblPiNHistorical[[#Headers],[CCCM]:[WASH]], 0))), "")</f>
        <v/>
      </c>
      <c r="BB232" s="333" t="str" cm="1">
        <f t="array" ref="BB2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2" s="276" t="str" cm="1">
        <f t="array" ref="BC232">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2" s="334" t="str" cm="1">
        <f t="array" ref="BD2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2" s="276">
        <f>INDEX(tblSeverityAnalysis[Final Severity], MATCH(tblPiNAnalysis[[#This Row],[ID]],tblSeverityAnalysis[ID], 0))</f>
        <v>3</v>
      </c>
      <c r="BF232" s="61">
        <f>IF(tblPiNAnalysis[[#This Row],[Severity]]&gt;2,tblPiNAnalysis[[#This Row],[Highest PiN]],)</f>
        <v>1246.3809523809548</v>
      </c>
      <c r="BG232" s="191"/>
      <c r="BH232" s="192"/>
      <c r="BI232" s="193">
        <f>COUNTIFS(tblPiNAnalysis[[#This Row],[Number of missing / zero PiNs greater than threshold - Data quality]:[Manual Flag]],"Flagged")</f>
        <v>2</v>
      </c>
      <c r="BJ232" s="96" t="str">
        <f>IF(tblPiNAnalysis[[#This Row],['# Flags]]&gt;0, "Flagged", "")</f>
        <v>Flagged</v>
      </c>
      <c r="BK232" s="326">
        <f>tblPiNAnalysis[[#This Row],[Preliminary PiN]]</f>
        <v>1246.3809523809548</v>
      </c>
      <c r="BL232" s="331"/>
    </row>
    <row r="233" spans="1:64" ht="24.6" x14ac:dyDescent="0.55000000000000004">
      <c r="A233"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SS1003</v>
      </c>
      <c r="B233" s="316" t="s">
        <v>390</v>
      </c>
      <c r="C233" s="317" t="s">
        <v>391</v>
      </c>
      <c r="D233" s="317" t="s">
        <v>396</v>
      </c>
      <c r="E233" s="105" t="s">
        <v>397</v>
      </c>
      <c r="F233" s="100"/>
      <c r="G233" s="34"/>
      <c r="H233" s="34"/>
      <c r="I233" s="97">
        <v>688</v>
      </c>
      <c r="J233" s="97" t="s">
        <v>414</v>
      </c>
      <c r="K233" s="318">
        <v>103.2</v>
      </c>
      <c r="L233" s="319">
        <v>107.43986879999999</v>
      </c>
      <c r="M233" s="319">
        <v>303.0168485540961</v>
      </c>
      <c r="N233" s="319">
        <v>174.49196153942614</v>
      </c>
      <c r="O233" s="319">
        <v>270.21792453378356</v>
      </c>
      <c r="P233" s="319">
        <v>482</v>
      </c>
      <c r="Q233" s="320">
        <v>516</v>
      </c>
      <c r="R233" s="319">
        <v>496.88888888888886</v>
      </c>
      <c r="S233" s="319">
        <v>105</v>
      </c>
      <c r="T233" s="319">
        <v>286</v>
      </c>
      <c r="U233" s="319">
        <v>353</v>
      </c>
      <c r="V233" s="319">
        <v>214</v>
      </c>
      <c r="W233" s="321">
        <f>IFERROR(IF(tblPiNAnalysis[[#This Row],[CCCM]]="", "", MROUND(tblPiNAnalysis[[#This Row],[CCCM]]/tblPiNAnalysis[[#This Row],[Affected population projection 2026]], 0.05)), "")</f>
        <v>0.15000000000000002</v>
      </c>
      <c r="X233" s="322">
        <f>IFERROR(IF(tblPiNAnalysis[[#This Row],[Education]]="", "", MROUND(tblPiNAnalysis[[#This Row],[Education]]/tblPiNAnalysis[[#This Row],[Affected population projection 2026]], 0.05)), "")</f>
        <v>0.15000000000000002</v>
      </c>
      <c r="Y233" s="322">
        <f>IFERROR(IF(tblPiNAnalysis[[#This Row],[Nutrition]]="", "", MROUND(tblPiNAnalysis[[#This Row],[Nutrition]]/tblPiNAnalysis[[#This Row],[Affected population projection 2026]], 0.05)), "")</f>
        <v>0.45</v>
      </c>
      <c r="Z233" s="322">
        <f>IFERROR(IF(tblPiNAnalysis[[#This Row],[Food Security]]="", "", MROUND(tblPiNAnalysis[[#This Row],[Food Security]]/tblPiNAnalysis[[#This Row],[Affected population projection 2026]], 0.05)), "")</f>
        <v>0.25</v>
      </c>
      <c r="AA233" s="322">
        <f>IFERROR(IF(tblPiNAnalysis[[#This Row],[Health]]="", "", MROUND(tblPiNAnalysis[[#This Row],[Health]]/tblPiNAnalysis[[#This Row],[Affected population projection 2026]], 0.05)), "")</f>
        <v>0.4</v>
      </c>
      <c r="AB233" s="323">
        <f>IFERROR(IF(tblPiNAnalysis[[#This Row],[Overarching Protection]]="", "", MROUND(tblPiNAnalysis[[#This Row],[Overarching Protection]]/tblPiNAnalysis[[#This Row],[Affected population projection 2026]], 0.05)), "")</f>
        <v>0.70000000000000007</v>
      </c>
      <c r="AC233" s="323">
        <f>IFERROR(IF(tblPiNAnalysis[[#This Row],[Shelter]]="", "", MROUND(tblPiNAnalysis[[#This Row],[Shelter]]/tblPiNAnalysis[[#This Row],[Affected population projection 2026]], 0.05)), "")</f>
        <v>0.75</v>
      </c>
      <c r="AD233" s="324">
        <f>IFERROR(IF(tblPiNAnalysis[[#This Row],[WASH]]="", "", MROUND(tblPiNAnalysis[[#This Row],[WASH]]/tblPiNAnalysis[[#This Row],[Affected population projection 2026]], 0.05)), "")</f>
        <v>0.70000000000000007</v>
      </c>
      <c r="AE233" s="322">
        <f>IFERROR(MROUND(tblPiNAnalysis[[#This Row],[CP]]/tblPiNAnalysis[[#This Row],[Affected population projection 2026]], 0.05), "")</f>
        <v>0.15000000000000002</v>
      </c>
      <c r="AF233" s="322">
        <f>IFERROR(MROUND(tblPiNAnalysis[[#This Row],[GBV]]/tblPiNAnalysis[[#This Row],[Affected population projection 2026]], 0.05), "")</f>
        <v>0.4</v>
      </c>
      <c r="AG233" s="322">
        <f>IFERROR(MROUND(tblPiNAnalysis[[#This Row],[Mine Action]]/tblPiNAnalysis[[#This Row],[Affected population projection 2026]], 0.05), "")</f>
        <v>0.5</v>
      </c>
      <c r="AH233" s="322">
        <f>IFERROR(MROUND(tblPiNAnalysis[[#This Row],[HLP]]/tblPiNAnalysis[[#This Row],[Affected population projection 2026]], 0.05), "")</f>
        <v>0.30000000000000004</v>
      </c>
      <c r="AI233" s="325">
        <f>IFERROR(LARGE(tblPiNAnalysis[[#This Row],[CCCM]:[WASH]], 1), "")</f>
        <v>516</v>
      </c>
      <c r="AJ233" s="326" t="str" cm="1">
        <f t="array" ref="AJ233">IF(tblPiNAnalysis[[#This Row],[Highest PiN]]="", "", _xlfn.TEXTJOIN(CHAR(10), TRUE, IF(tblPiNAnalysis[[#This Row],[Highest PiN]]=tblPiNAnalysis[[#This Row],[CCCM]:[WASH]], tblPiNAnalysis[[#Headers],[CCCM]:[WASH]], "")))</f>
        <v>Shelter</v>
      </c>
      <c r="AK233" s="327">
        <f>IF(tblPiNAnalysis[[#This Row],[Highest PiN]]="", "", tblPiNAnalysis[[#This Row],[Highest PiN]]/tblPiNAnalysis[[#This Row],[Affected population projection 2026]])</f>
        <v>0.75</v>
      </c>
      <c r="AL233" s="328" t="str">
        <f>IF(SUM(tblPiNAnalysis[[#This Row],[CCCM]:[WASH]])=0, "",IF(COUNTIF(tblPiNAnalysis[[#This Row],[CCCM]:[WASH]],"=0")+COUNTIF(tblPiNAnalysis[[#This Row],[CCCM]:[WASH]],"")&gt;=zero_pin_thresh, "Flagged", ""))</f>
        <v/>
      </c>
      <c r="AM233" s="329" t="str">
        <f>IFERROR(IF(tblPiNAnalysis[[#This Row],[Highest PiN]]="", "", IF(tblPiNAnalysis[[#This Row],[Highest sector(s'') PiN %]]&gt;=flag_pin_perc, "Flagged", "")), "")</f>
        <v/>
      </c>
      <c r="AN233" s="330" t="str" cm="1">
        <f t="array" ref="AN233">IF(tblPiNAnalysis[[#This Row],[Highest PiN]]=0, "",  IF(OR(COUNTIF(tblPiNAnalysis[[#This Row],[Highest sector(s)]],tblSubSectorPopulation[Sector])), "Flagged", ""))</f>
        <v/>
      </c>
      <c r="AO233" s="46" cm="1">
        <f t="array" ref="AO2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496.88888888888886</v>
      </c>
      <c r="AP233" s="331" t="str" cm="1">
        <f t="array" ref="AP233">IF(tblPiNAnalysis[[#This Row],[2nd Highest PiN]]="", "", _xlfn.TEXTJOIN(CHAR(10), TRUE, IF(tblPiNAnalysis[[#This Row],[2nd Highest PiN]]=tblPiNAnalysis[[#This Row],[CCCM]:[WASH]], tblPiNAnalysis[[#Headers],[CCCM]:[WASH]], "")))</f>
        <v>WASH</v>
      </c>
      <c r="AQ233" s="36">
        <f>IFERROR(tblPiNAnalysis[[#This Row],[2nd Highest PiN]]/tblPiNAnalysis[[#This Row],[Affected population projection 2026]], "")</f>
        <v>0.72222222222222221</v>
      </c>
      <c r="AR233" s="46">
        <f>IFERROR(tblPiNAnalysis[[#This Row],[Highest PiN]]-tblPiNAnalysis[[#This Row],[2nd Highest PiN]], "")</f>
        <v>19.111111111111143</v>
      </c>
      <c r="AS233" s="39">
        <f>IFERROR(((tblPiNAnalysis[[#This Row],[Highest PiN]]-tblPiNAnalysis[[#This Row],[2nd Highest PiN]])/tblPiNAnalysis[[#This Row],[2nd Highest PiN]]),"")</f>
        <v>3.8461538461538526E-2</v>
      </c>
      <c r="AT233" s="39" t="str" cm="1">
        <f t="array" ref="AT2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3" s="332" cm="1">
        <f t="array" ref="AU2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482</v>
      </c>
      <c r="AV233" s="190" t="str" cm="1">
        <f t="array" ref="AV233">IF(tblPiNAnalysis[[#This Row],[3rd Highest PiN]]="", "", _xlfn.TEXTJOIN(CHAR(10), TRUE, IF(tblPiNAnalysis[[#This Row],[3rd Highest PiN]]=tblPiNAnalysis[[#This Row],[CCCM]:[WASH]], tblPiNAnalysis[[#Headers],[CCCM]:[WASH]], "")))</f>
        <v>Overarching Protection</v>
      </c>
      <c r="AW233" s="190">
        <f>IFERROR(tblPiNAnalysis[[#This Row],[3rd Highest PiN]]/tblPiNAnalysis[[#This Row],[Affected population projection 2026]], "")</f>
        <v>0.70058139534883723</v>
      </c>
      <c r="AX233" s="45">
        <f>IFERROR(tblPiNAnalysis[[#This Row],[Highest PiN]]-tblPiNAnalysis[[#This Row],[3rd Highest PiN]],"")</f>
        <v>34</v>
      </c>
      <c r="AY233" s="39">
        <f>IFERROR(tblPiNAnalysis[[#This Row],[Difference of PiN between Highest and 3rd Highest]]/tblPiNAnalysis[[#This Row],[3rd Highest PiN]], "")</f>
        <v>7.0539419087136929E-2</v>
      </c>
      <c r="AZ233" s="330" t="str" cm="1">
        <f t="array" ref="AZ2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3" s="300" t="str" cm="1">
        <f t="array" ref="BA233">IFERROR(IF(tblPiNAnalysis[[#This Row],[ID]]="", "", INDEX(tblPiNHistorical[[CCCM]:[WASH]], MATCH(tblPiNAnalysis[[#This Row],[ID]],tblPiNHistorical[ID], 0),MATCH(_xlfn._xlws.FILTER(tblPiNAnalysis[[#Headers],[CCCM]:[WASH]], tblPiNAnalysis[[#This Row],[Highest PiN]]=tblPiNAnalysis[[#This Row],[CCCM]:[WASH]]), tblPiNHistorical[[#Headers],[CCCM]:[WASH]], 0))), "")</f>
        <v/>
      </c>
      <c r="BB233" s="333" t="str" cm="1">
        <f t="array" ref="BB2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3" s="276" t="str" cm="1">
        <f t="array" ref="BC233">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3" s="334" t="str" cm="1">
        <f t="array" ref="BD2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3" s="276">
        <f>INDEX(tblSeverityAnalysis[Final Severity], MATCH(tblPiNAnalysis[[#This Row],[ID]],tblSeverityAnalysis[ID], 0))</f>
        <v>3</v>
      </c>
      <c r="BF233" s="61">
        <f>IF(tblPiNAnalysis[[#This Row],[Severity]]&gt;2,tblPiNAnalysis[[#This Row],[Highest PiN]],)</f>
        <v>516</v>
      </c>
      <c r="BG233" s="191"/>
      <c r="BH233" s="192"/>
      <c r="BI233" s="193">
        <f>COUNTIFS(tblPiNAnalysis[[#This Row],[Number of missing / zero PiNs greater than threshold - Data quality]:[Manual Flag]],"Flagged")</f>
        <v>0</v>
      </c>
      <c r="BJ233" s="96" t="str">
        <f>IF(tblPiNAnalysis[[#This Row],['# Flags]]&gt;0, "Flagged", "")</f>
        <v/>
      </c>
      <c r="BK233" s="326">
        <f>tblPiNAnalysis[[#This Row],[Preliminary PiN]]</f>
        <v>516</v>
      </c>
      <c r="BL233" s="331"/>
    </row>
    <row r="234" spans="1:64" ht="24.6" x14ac:dyDescent="0.55000000000000004">
      <c r="A234"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SS1004</v>
      </c>
      <c r="B234" s="316" t="s">
        <v>390</v>
      </c>
      <c r="C234" s="317" t="s">
        <v>391</v>
      </c>
      <c r="D234" s="317" t="s">
        <v>398</v>
      </c>
      <c r="E234" s="105" t="s">
        <v>399</v>
      </c>
      <c r="F234" s="100"/>
      <c r="G234" s="34"/>
      <c r="H234" s="34"/>
      <c r="I234" s="97">
        <v>5019</v>
      </c>
      <c r="J234" s="97" t="s">
        <v>414</v>
      </c>
      <c r="K234" s="318">
        <v>752.85</v>
      </c>
      <c r="L234" s="319">
        <v>78.894664800000015</v>
      </c>
      <c r="M234" s="319">
        <v>2034.152637362987</v>
      </c>
      <c r="N234" s="319">
        <v>2159.001427823719</v>
      </c>
      <c r="O234" s="319">
        <v>2420.3032000838125</v>
      </c>
      <c r="P234" s="319">
        <v>2794</v>
      </c>
      <c r="Q234" s="320">
        <v>1892.4098360655737</v>
      </c>
      <c r="R234" s="319">
        <v>3113.6388888888891</v>
      </c>
      <c r="S234" s="319">
        <v>1753</v>
      </c>
      <c r="T234" s="319">
        <v>1499</v>
      </c>
      <c r="U234" s="319">
        <v>1742</v>
      </c>
      <c r="V234" s="319">
        <v>1091</v>
      </c>
      <c r="W234" s="321">
        <f>IFERROR(IF(tblPiNAnalysis[[#This Row],[CCCM]]="", "", MROUND(tblPiNAnalysis[[#This Row],[CCCM]]/tblPiNAnalysis[[#This Row],[Affected population projection 2026]], 0.05)), "")</f>
        <v>0.15000000000000002</v>
      </c>
      <c r="X234" s="322">
        <f>IFERROR(IF(tblPiNAnalysis[[#This Row],[Education]]="", "", MROUND(tblPiNAnalysis[[#This Row],[Education]]/tblPiNAnalysis[[#This Row],[Affected population projection 2026]], 0.05)), "")</f>
        <v>0</v>
      </c>
      <c r="Y234" s="322">
        <f>IFERROR(IF(tblPiNAnalysis[[#This Row],[Nutrition]]="", "", MROUND(tblPiNAnalysis[[#This Row],[Nutrition]]/tblPiNAnalysis[[#This Row],[Affected population projection 2026]], 0.05)), "")</f>
        <v>0.4</v>
      </c>
      <c r="Z234" s="322">
        <f>IFERROR(IF(tblPiNAnalysis[[#This Row],[Food Security]]="", "", MROUND(tblPiNAnalysis[[#This Row],[Food Security]]/tblPiNAnalysis[[#This Row],[Affected population projection 2026]], 0.05)), "")</f>
        <v>0.45</v>
      </c>
      <c r="AA234" s="322">
        <f>IFERROR(IF(tblPiNAnalysis[[#This Row],[Health]]="", "", MROUND(tblPiNAnalysis[[#This Row],[Health]]/tblPiNAnalysis[[#This Row],[Affected population projection 2026]], 0.05)), "")</f>
        <v>0.5</v>
      </c>
      <c r="AB234" s="323">
        <f>IFERROR(IF(tblPiNAnalysis[[#This Row],[Overarching Protection]]="", "", MROUND(tblPiNAnalysis[[#This Row],[Overarching Protection]]/tblPiNAnalysis[[#This Row],[Affected population projection 2026]], 0.05)), "")</f>
        <v>0.55000000000000004</v>
      </c>
      <c r="AC234" s="323">
        <f>IFERROR(IF(tblPiNAnalysis[[#This Row],[Shelter]]="", "", MROUND(tblPiNAnalysis[[#This Row],[Shelter]]/tblPiNAnalysis[[#This Row],[Affected population projection 2026]], 0.05)), "")</f>
        <v>0.4</v>
      </c>
      <c r="AD234" s="324">
        <f>IFERROR(IF(tblPiNAnalysis[[#This Row],[WASH]]="", "", MROUND(tblPiNAnalysis[[#This Row],[WASH]]/tblPiNAnalysis[[#This Row],[Affected population projection 2026]], 0.05)), "")</f>
        <v>0.60000000000000009</v>
      </c>
      <c r="AE234" s="322">
        <f>IFERROR(MROUND(tblPiNAnalysis[[#This Row],[CP]]/tblPiNAnalysis[[#This Row],[Affected population projection 2026]], 0.05), "")</f>
        <v>0.35000000000000003</v>
      </c>
      <c r="AF234" s="322">
        <f>IFERROR(MROUND(tblPiNAnalysis[[#This Row],[GBV]]/tblPiNAnalysis[[#This Row],[Affected population projection 2026]], 0.05), "")</f>
        <v>0.30000000000000004</v>
      </c>
      <c r="AG234" s="322">
        <f>IFERROR(MROUND(tblPiNAnalysis[[#This Row],[Mine Action]]/tblPiNAnalysis[[#This Row],[Affected population projection 2026]], 0.05), "")</f>
        <v>0.35000000000000003</v>
      </c>
      <c r="AH234" s="322">
        <f>IFERROR(MROUND(tblPiNAnalysis[[#This Row],[HLP]]/tblPiNAnalysis[[#This Row],[Affected population projection 2026]], 0.05), "")</f>
        <v>0.2</v>
      </c>
      <c r="AI234" s="325">
        <f>IFERROR(LARGE(tblPiNAnalysis[[#This Row],[CCCM]:[WASH]], 1), "")</f>
        <v>3113.6388888888891</v>
      </c>
      <c r="AJ234" s="326" t="str" cm="1">
        <f t="array" ref="AJ234">IF(tblPiNAnalysis[[#This Row],[Highest PiN]]="", "", _xlfn.TEXTJOIN(CHAR(10), TRUE, IF(tblPiNAnalysis[[#This Row],[Highest PiN]]=tblPiNAnalysis[[#This Row],[CCCM]:[WASH]], tblPiNAnalysis[[#Headers],[CCCM]:[WASH]], "")))</f>
        <v>WASH</v>
      </c>
      <c r="AK234" s="327">
        <f>IF(tblPiNAnalysis[[#This Row],[Highest PiN]]="", "", tblPiNAnalysis[[#This Row],[Highest PiN]]/tblPiNAnalysis[[#This Row],[Affected population projection 2026]])</f>
        <v>0.62037037037037046</v>
      </c>
      <c r="AL234" s="328" t="str">
        <f>IF(SUM(tblPiNAnalysis[[#This Row],[CCCM]:[WASH]])=0, "",IF(COUNTIF(tblPiNAnalysis[[#This Row],[CCCM]:[WASH]],"=0")+COUNTIF(tblPiNAnalysis[[#This Row],[CCCM]:[WASH]],"")&gt;=zero_pin_thresh, "Flagged", ""))</f>
        <v/>
      </c>
      <c r="AM234" s="329" t="str">
        <f>IFERROR(IF(tblPiNAnalysis[[#This Row],[Highest PiN]]="", "", IF(tblPiNAnalysis[[#This Row],[Highest sector(s'') PiN %]]&gt;=flag_pin_perc, "Flagged", "")), "")</f>
        <v/>
      </c>
      <c r="AN234" s="330" t="str" cm="1">
        <f t="array" ref="AN234">IF(tblPiNAnalysis[[#This Row],[Highest PiN]]=0, "",  IF(OR(COUNTIF(tblPiNAnalysis[[#This Row],[Highest sector(s)]],tblSubSectorPopulation[Sector])), "Flagged", ""))</f>
        <v/>
      </c>
      <c r="AO234" s="46" cm="1">
        <f t="array" ref="AO2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2794</v>
      </c>
      <c r="AP234" s="331" t="str" cm="1">
        <f t="array" ref="AP234">IF(tblPiNAnalysis[[#This Row],[2nd Highest PiN]]="", "", _xlfn.TEXTJOIN(CHAR(10), TRUE, IF(tblPiNAnalysis[[#This Row],[2nd Highest PiN]]=tblPiNAnalysis[[#This Row],[CCCM]:[WASH]], tblPiNAnalysis[[#Headers],[CCCM]:[WASH]], "")))</f>
        <v>Overarching Protection</v>
      </c>
      <c r="AQ234" s="36">
        <f>IFERROR(tblPiNAnalysis[[#This Row],[2nd Highest PiN]]/tblPiNAnalysis[[#This Row],[Affected population projection 2026]], "")</f>
        <v>0.5566845985256027</v>
      </c>
      <c r="AR234" s="46">
        <f>IFERROR(tblPiNAnalysis[[#This Row],[Highest PiN]]-tblPiNAnalysis[[#This Row],[2nd Highest PiN]], "")</f>
        <v>319.63888888888914</v>
      </c>
      <c r="AS234" s="39">
        <f>IFERROR(((tblPiNAnalysis[[#This Row],[Highest PiN]]-tblPiNAnalysis[[#This Row],[2nd Highest PiN]])/tblPiNAnalysis[[#This Row],[2nd Highest PiN]]),"")</f>
        <v>0.11440189294520012</v>
      </c>
      <c r="AT234" s="39" t="str" cm="1">
        <f t="array" ref="AT2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4" s="332" cm="1">
        <f t="array" ref="AU2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2420.3032000838125</v>
      </c>
      <c r="AV234" s="190" t="str" cm="1">
        <f t="array" ref="AV234">IF(tblPiNAnalysis[[#This Row],[3rd Highest PiN]]="", "", _xlfn.TEXTJOIN(CHAR(10), TRUE, IF(tblPiNAnalysis[[#This Row],[3rd Highest PiN]]=tblPiNAnalysis[[#This Row],[CCCM]:[WASH]], tblPiNAnalysis[[#Headers],[CCCM]:[WASH]], "")))</f>
        <v>Health</v>
      </c>
      <c r="AW234" s="190">
        <f>IFERROR(tblPiNAnalysis[[#This Row],[3rd Highest PiN]]/tblPiNAnalysis[[#This Row],[Affected population projection 2026]], "")</f>
        <v>0.48222817295951631</v>
      </c>
      <c r="AX234" s="45">
        <f>IFERROR(tblPiNAnalysis[[#This Row],[Highest PiN]]-tblPiNAnalysis[[#This Row],[3rd Highest PiN]],"")</f>
        <v>693.33568880507664</v>
      </c>
      <c r="AY234" s="39">
        <f>IFERROR(tblPiNAnalysis[[#This Row],[Difference of PiN between Highest and 3rd Highest]]/tblPiNAnalysis[[#This Row],[3rd Highest PiN]], "")</f>
        <v>0.28646645956633332</v>
      </c>
      <c r="AZ234" s="330" t="str" cm="1">
        <f t="array" ref="AZ2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4" s="300" t="str" cm="1">
        <f t="array" ref="BA234">IFERROR(IF(tblPiNAnalysis[[#This Row],[ID]]="", "", INDEX(tblPiNHistorical[[CCCM]:[WASH]], MATCH(tblPiNAnalysis[[#This Row],[ID]],tblPiNHistorical[ID], 0),MATCH(_xlfn._xlws.FILTER(tblPiNAnalysis[[#Headers],[CCCM]:[WASH]], tblPiNAnalysis[[#This Row],[Highest PiN]]=tblPiNAnalysis[[#This Row],[CCCM]:[WASH]]), tblPiNHistorical[[#Headers],[CCCM]:[WASH]], 0))), "")</f>
        <v/>
      </c>
      <c r="BB234" s="333" t="str" cm="1">
        <f t="array" ref="BB2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4" s="276" t="str" cm="1">
        <f t="array" ref="BC234">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4" s="334" t="str" cm="1">
        <f t="array" ref="BD2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4" s="276">
        <f>INDEX(tblSeverityAnalysis[Final Severity], MATCH(tblPiNAnalysis[[#This Row],[ID]],tblSeverityAnalysis[ID], 0))</f>
        <v>3</v>
      </c>
      <c r="BF234" s="61">
        <f>IF(tblPiNAnalysis[[#This Row],[Severity]]&gt;2,tblPiNAnalysis[[#This Row],[Highest PiN]],)</f>
        <v>3113.6388888888891</v>
      </c>
      <c r="BG234" s="191"/>
      <c r="BH234" s="192"/>
      <c r="BI234" s="193">
        <f>COUNTIFS(tblPiNAnalysis[[#This Row],[Number of missing / zero PiNs greater than threshold - Data quality]:[Manual Flag]],"Flagged")</f>
        <v>0</v>
      </c>
      <c r="BJ234" s="96" t="str">
        <f>IF(tblPiNAnalysis[[#This Row],['# Flags]]&gt;0, "Flagged", "")</f>
        <v/>
      </c>
      <c r="BK234" s="326">
        <f>tblPiNAnalysis[[#This Row],[Preliminary PiN]]</f>
        <v>3113.6388888888891</v>
      </c>
      <c r="BL234" s="331"/>
    </row>
    <row r="235" spans="1:64" ht="24.6" x14ac:dyDescent="0.55000000000000004">
      <c r="A235"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SS1005</v>
      </c>
      <c r="B235" s="316" t="s">
        <v>390</v>
      </c>
      <c r="C235" s="317" t="s">
        <v>391</v>
      </c>
      <c r="D235" s="317" t="s">
        <v>400</v>
      </c>
      <c r="E235" s="105" t="s">
        <v>401</v>
      </c>
      <c r="F235" s="100"/>
      <c r="G235" s="34"/>
      <c r="H235" s="34"/>
      <c r="I235" s="97">
        <v>2319</v>
      </c>
      <c r="J235" s="97" t="s">
        <v>414</v>
      </c>
      <c r="K235" s="318">
        <v>347.84999999999997</v>
      </c>
      <c r="L235" s="319">
        <v>190.59397199999998</v>
      </c>
      <c r="M235" s="319">
        <v>960.62743263091625</v>
      </c>
      <c r="N235" s="319">
        <v>891.58596384741622</v>
      </c>
      <c r="O235" s="319">
        <v>1150.5166343396793</v>
      </c>
      <c r="P235" s="319">
        <v>1623</v>
      </c>
      <c r="Q235" s="320">
        <v>1578.2083333333333</v>
      </c>
      <c r="R235" s="319">
        <v>878.40909090909099</v>
      </c>
      <c r="S235" s="319">
        <v>985</v>
      </c>
      <c r="T235" s="319">
        <v>355</v>
      </c>
      <c r="U235" s="319">
        <v>1035</v>
      </c>
      <c r="V235" s="319">
        <v>686</v>
      </c>
      <c r="W235" s="321">
        <f>IFERROR(IF(tblPiNAnalysis[[#This Row],[CCCM]]="", "", MROUND(tblPiNAnalysis[[#This Row],[CCCM]]/tblPiNAnalysis[[#This Row],[Affected population projection 2026]], 0.05)), "")</f>
        <v>0.15000000000000002</v>
      </c>
      <c r="X235" s="322">
        <f>IFERROR(IF(tblPiNAnalysis[[#This Row],[Education]]="", "", MROUND(tblPiNAnalysis[[#This Row],[Education]]/tblPiNAnalysis[[#This Row],[Affected population projection 2026]], 0.05)), "")</f>
        <v>0.1</v>
      </c>
      <c r="Y235" s="322">
        <f>IFERROR(IF(tblPiNAnalysis[[#This Row],[Nutrition]]="", "", MROUND(tblPiNAnalysis[[#This Row],[Nutrition]]/tblPiNAnalysis[[#This Row],[Affected population projection 2026]], 0.05)), "")</f>
        <v>0.4</v>
      </c>
      <c r="Z235" s="322">
        <f>IFERROR(IF(tblPiNAnalysis[[#This Row],[Food Security]]="", "", MROUND(tblPiNAnalysis[[#This Row],[Food Security]]/tblPiNAnalysis[[#This Row],[Affected population projection 2026]], 0.05)), "")</f>
        <v>0.4</v>
      </c>
      <c r="AA235" s="322">
        <f>IFERROR(IF(tblPiNAnalysis[[#This Row],[Health]]="", "", MROUND(tblPiNAnalysis[[#This Row],[Health]]/tblPiNAnalysis[[#This Row],[Affected population projection 2026]], 0.05)), "")</f>
        <v>0.5</v>
      </c>
      <c r="AB235" s="323">
        <f>IFERROR(IF(tblPiNAnalysis[[#This Row],[Overarching Protection]]="", "", MROUND(tblPiNAnalysis[[#This Row],[Overarching Protection]]/tblPiNAnalysis[[#This Row],[Affected population projection 2026]], 0.05)), "")</f>
        <v>0.70000000000000007</v>
      </c>
      <c r="AC235" s="323">
        <f>IFERROR(IF(tblPiNAnalysis[[#This Row],[Shelter]]="", "", MROUND(tblPiNAnalysis[[#This Row],[Shelter]]/tblPiNAnalysis[[#This Row],[Affected population projection 2026]], 0.05)), "")</f>
        <v>0.70000000000000007</v>
      </c>
      <c r="AD235" s="324">
        <f>IFERROR(IF(tblPiNAnalysis[[#This Row],[WASH]]="", "", MROUND(tblPiNAnalysis[[#This Row],[WASH]]/tblPiNAnalysis[[#This Row],[Affected population projection 2026]], 0.05)), "")</f>
        <v>0.4</v>
      </c>
      <c r="AE235" s="322">
        <f>IFERROR(MROUND(tblPiNAnalysis[[#This Row],[CP]]/tblPiNAnalysis[[#This Row],[Affected population projection 2026]], 0.05), "")</f>
        <v>0.4</v>
      </c>
      <c r="AF235" s="322">
        <f>IFERROR(MROUND(tblPiNAnalysis[[#This Row],[GBV]]/tblPiNAnalysis[[#This Row],[Affected population projection 2026]], 0.05), "")</f>
        <v>0.15000000000000002</v>
      </c>
      <c r="AG235" s="322">
        <f>IFERROR(MROUND(tblPiNAnalysis[[#This Row],[Mine Action]]/tblPiNAnalysis[[#This Row],[Affected population projection 2026]], 0.05), "")</f>
        <v>0.45</v>
      </c>
      <c r="AH235" s="322">
        <f>IFERROR(MROUND(tblPiNAnalysis[[#This Row],[HLP]]/tblPiNAnalysis[[#This Row],[Affected population projection 2026]], 0.05), "")</f>
        <v>0.30000000000000004</v>
      </c>
      <c r="AI235" s="325">
        <f>IFERROR(LARGE(tblPiNAnalysis[[#This Row],[CCCM]:[WASH]], 1), "")</f>
        <v>1623</v>
      </c>
      <c r="AJ235" s="326" t="str" cm="1">
        <f t="array" ref="AJ235">IF(tblPiNAnalysis[[#This Row],[Highest PiN]]="", "", _xlfn.TEXTJOIN(CHAR(10), TRUE, IF(tblPiNAnalysis[[#This Row],[Highest PiN]]=tblPiNAnalysis[[#This Row],[CCCM]:[WASH]], tblPiNAnalysis[[#Headers],[CCCM]:[WASH]], "")))</f>
        <v>Overarching Protection</v>
      </c>
      <c r="AK235" s="327">
        <f>IF(tblPiNAnalysis[[#This Row],[Highest PiN]]="", "", tblPiNAnalysis[[#This Row],[Highest PiN]]/tblPiNAnalysis[[#This Row],[Affected population projection 2026]])</f>
        <v>0.69987063389391979</v>
      </c>
      <c r="AL235" s="328" t="str">
        <f>IF(SUM(tblPiNAnalysis[[#This Row],[CCCM]:[WASH]])=0, "",IF(COUNTIF(tblPiNAnalysis[[#This Row],[CCCM]:[WASH]],"=0")+COUNTIF(tblPiNAnalysis[[#This Row],[CCCM]:[WASH]],"")&gt;=zero_pin_thresh, "Flagged", ""))</f>
        <v/>
      </c>
      <c r="AM235" s="329" t="str">
        <f>IFERROR(IF(tblPiNAnalysis[[#This Row],[Highest PiN]]="", "", IF(tblPiNAnalysis[[#This Row],[Highest sector(s'') PiN %]]&gt;=flag_pin_perc, "Flagged", "")), "")</f>
        <v/>
      </c>
      <c r="AN235" s="330" t="str" cm="1">
        <f t="array" ref="AN235">IF(tblPiNAnalysis[[#This Row],[Highest PiN]]=0, "",  IF(OR(COUNTIF(tblPiNAnalysis[[#This Row],[Highest sector(s)]],tblSubSectorPopulation[Sector])), "Flagged", ""))</f>
        <v/>
      </c>
      <c r="AO235" s="46" cm="1">
        <f t="array" ref="AO2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1578.2083333333333</v>
      </c>
      <c r="AP235" s="331" t="str" cm="1">
        <f t="array" ref="AP235">IF(tblPiNAnalysis[[#This Row],[2nd Highest PiN]]="", "", _xlfn.TEXTJOIN(CHAR(10), TRUE, IF(tblPiNAnalysis[[#This Row],[2nd Highest PiN]]=tblPiNAnalysis[[#This Row],[CCCM]:[WASH]], tblPiNAnalysis[[#Headers],[CCCM]:[WASH]], "")))</f>
        <v>Shelter</v>
      </c>
      <c r="AQ235" s="36">
        <f>IFERROR(tblPiNAnalysis[[#This Row],[2nd Highest PiN]]/tblPiNAnalysis[[#This Row],[Affected population projection 2026]], "")</f>
        <v>0.68055555555555547</v>
      </c>
      <c r="AR235" s="46">
        <f>IFERROR(tblPiNAnalysis[[#This Row],[Highest PiN]]-tblPiNAnalysis[[#This Row],[2nd Highest PiN]], "")</f>
        <v>44.791666666666742</v>
      </c>
      <c r="AS235" s="39">
        <f>IFERROR(((tblPiNAnalysis[[#This Row],[Highest PiN]]-tblPiNAnalysis[[#This Row],[2nd Highest PiN]])/tblPiNAnalysis[[#This Row],[2nd Highest PiN]]),"")</f>
        <v>2.8381339599229134E-2</v>
      </c>
      <c r="AT235" s="39" t="str" cm="1">
        <f t="array" ref="AT2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5" s="332" cm="1">
        <f t="array" ref="AU2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1150.5166343396793</v>
      </c>
      <c r="AV235" s="190" t="str" cm="1">
        <f t="array" ref="AV235">IF(tblPiNAnalysis[[#This Row],[3rd Highest PiN]]="", "", _xlfn.TEXTJOIN(CHAR(10), TRUE, IF(tblPiNAnalysis[[#This Row],[3rd Highest PiN]]=tblPiNAnalysis[[#This Row],[CCCM]:[WASH]], tblPiNAnalysis[[#Headers],[CCCM]:[WASH]], "")))</f>
        <v>Health</v>
      </c>
      <c r="AW235" s="190">
        <f>IFERROR(tblPiNAnalysis[[#This Row],[3rd Highest PiN]]/tblPiNAnalysis[[#This Row],[Affected population projection 2026]], "")</f>
        <v>0.49612618988343221</v>
      </c>
      <c r="AX235" s="45">
        <f>IFERROR(tblPiNAnalysis[[#This Row],[Highest PiN]]-tblPiNAnalysis[[#This Row],[3rd Highest PiN]],"")</f>
        <v>472.48336566032071</v>
      </c>
      <c r="AY235" s="39">
        <f>IFERROR(tblPiNAnalysis[[#This Row],[Difference of PiN between Highest and 3rd Highest]]/tblPiNAnalysis[[#This Row],[3rd Highest PiN]], "")</f>
        <v>0.41067060793214433</v>
      </c>
      <c r="AZ235" s="330" t="str" cm="1">
        <f t="array" ref="AZ2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5" s="300" t="str" cm="1">
        <f t="array" ref="BA235">IFERROR(IF(tblPiNAnalysis[[#This Row],[ID]]="", "", INDEX(tblPiNHistorical[[CCCM]:[WASH]], MATCH(tblPiNAnalysis[[#This Row],[ID]],tblPiNHistorical[ID], 0),MATCH(_xlfn._xlws.FILTER(tblPiNAnalysis[[#Headers],[CCCM]:[WASH]], tblPiNAnalysis[[#This Row],[Highest PiN]]=tblPiNAnalysis[[#This Row],[CCCM]:[WASH]]), tblPiNHistorical[[#Headers],[CCCM]:[WASH]], 0))), "")</f>
        <v/>
      </c>
      <c r="BB235" s="333" t="str" cm="1">
        <f t="array" ref="BB2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5" s="276" t="str" cm="1">
        <f t="array" ref="BC23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5" s="334" t="str" cm="1">
        <f t="array" ref="BD2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5" s="276">
        <f>INDEX(tblSeverityAnalysis[Final Severity], MATCH(tblPiNAnalysis[[#This Row],[ID]],tblSeverityAnalysis[ID], 0))</f>
        <v>3</v>
      </c>
      <c r="BF235" s="61">
        <f>IF(tblPiNAnalysis[[#This Row],[Severity]]&gt;2,tblPiNAnalysis[[#This Row],[Highest PiN]],)</f>
        <v>1623</v>
      </c>
      <c r="BG235" s="191"/>
      <c r="BH235" s="192"/>
      <c r="BI235" s="193">
        <f>COUNTIFS(tblPiNAnalysis[[#This Row],[Number of missing / zero PiNs greater than threshold - Data quality]:[Manual Flag]],"Flagged")</f>
        <v>0</v>
      </c>
      <c r="BJ235" s="96" t="str">
        <f>IF(tblPiNAnalysis[[#This Row],['# Flags]]&gt;0, "Flagged", "")</f>
        <v/>
      </c>
      <c r="BK235" s="326">
        <f>tblPiNAnalysis[[#This Row],[Preliminary PiN]]</f>
        <v>1623</v>
      </c>
      <c r="BL235" s="331"/>
    </row>
    <row r="236" spans="1:64" ht="24.6" x14ac:dyDescent="0.55000000000000004">
      <c r="A236"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SS1006</v>
      </c>
      <c r="B236" s="316" t="s">
        <v>390</v>
      </c>
      <c r="C236" s="317" t="s">
        <v>391</v>
      </c>
      <c r="D236" s="317" t="s">
        <v>402</v>
      </c>
      <c r="E236" s="105" t="s">
        <v>403</v>
      </c>
      <c r="F236" s="100"/>
      <c r="G236" s="34"/>
      <c r="H236" s="34"/>
      <c r="I236" s="97">
        <v>4934</v>
      </c>
      <c r="J236" s="97" t="s">
        <v>414</v>
      </c>
      <c r="K236" s="318">
        <v>740.1</v>
      </c>
      <c r="L236" s="319">
        <v>399.89083199999999</v>
      </c>
      <c r="M236" s="319">
        <v>1713.0999138081784</v>
      </c>
      <c r="N236" s="319">
        <v>2851.7811157245615</v>
      </c>
      <c r="O236" s="319">
        <v>2276.5651665888586</v>
      </c>
      <c r="P236" s="319">
        <v>2682</v>
      </c>
      <c r="Q236" s="320">
        <v>3981.8245614035086</v>
      </c>
      <c r="R236" s="319">
        <v>2284.2592592592591</v>
      </c>
      <c r="S236" s="319">
        <v>1598</v>
      </c>
      <c r="T236" s="319">
        <v>1569</v>
      </c>
      <c r="U236" s="319">
        <v>813</v>
      </c>
      <c r="V236" s="319">
        <v>1118</v>
      </c>
      <c r="W236" s="321">
        <f>IFERROR(IF(tblPiNAnalysis[[#This Row],[CCCM]]="", "", MROUND(tblPiNAnalysis[[#This Row],[CCCM]]/tblPiNAnalysis[[#This Row],[Affected population projection 2026]], 0.05)), "")</f>
        <v>0.15000000000000002</v>
      </c>
      <c r="X236" s="322">
        <f>IFERROR(IF(tblPiNAnalysis[[#This Row],[Education]]="", "", MROUND(tblPiNAnalysis[[#This Row],[Education]]/tblPiNAnalysis[[#This Row],[Affected population projection 2026]], 0.05)), "")</f>
        <v>0.1</v>
      </c>
      <c r="Y236" s="322">
        <f>IFERROR(IF(tblPiNAnalysis[[#This Row],[Nutrition]]="", "", MROUND(tblPiNAnalysis[[#This Row],[Nutrition]]/tblPiNAnalysis[[#This Row],[Affected population projection 2026]], 0.05)), "")</f>
        <v>0.35000000000000003</v>
      </c>
      <c r="Z236" s="322">
        <f>IFERROR(IF(tblPiNAnalysis[[#This Row],[Food Security]]="", "", MROUND(tblPiNAnalysis[[#This Row],[Food Security]]/tblPiNAnalysis[[#This Row],[Affected population projection 2026]], 0.05)), "")</f>
        <v>0.60000000000000009</v>
      </c>
      <c r="AA236" s="322">
        <f>IFERROR(IF(tblPiNAnalysis[[#This Row],[Health]]="", "", MROUND(tblPiNAnalysis[[#This Row],[Health]]/tblPiNAnalysis[[#This Row],[Affected population projection 2026]], 0.05)), "")</f>
        <v>0.45</v>
      </c>
      <c r="AB236" s="323">
        <f>IFERROR(IF(tblPiNAnalysis[[#This Row],[Overarching Protection]]="", "", MROUND(tblPiNAnalysis[[#This Row],[Overarching Protection]]/tblPiNAnalysis[[#This Row],[Affected population projection 2026]], 0.05)), "")</f>
        <v>0.55000000000000004</v>
      </c>
      <c r="AC236" s="323">
        <f>IFERROR(IF(tblPiNAnalysis[[#This Row],[Shelter]]="", "", MROUND(tblPiNAnalysis[[#This Row],[Shelter]]/tblPiNAnalysis[[#This Row],[Affected population projection 2026]], 0.05)), "")</f>
        <v>0.8</v>
      </c>
      <c r="AD236" s="324">
        <f>IFERROR(IF(tblPiNAnalysis[[#This Row],[WASH]]="", "", MROUND(tblPiNAnalysis[[#This Row],[WASH]]/tblPiNAnalysis[[#This Row],[Affected population projection 2026]], 0.05)), "")</f>
        <v>0.45</v>
      </c>
      <c r="AE236" s="322">
        <f>IFERROR(MROUND(tblPiNAnalysis[[#This Row],[CP]]/tblPiNAnalysis[[#This Row],[Affected population projection 2026]], 0.05), "")</f>
        <v>0.30000000000000004</v>
      </c>
      <c r="AF236" s="322">
        <f>IFERROR(MROUND(tblPiNAnalysis[[#This Row],[GBV]]/tblPiNAnalysis[[#This Row],[Affected population projection 2026]], 0.05), "")</f>
        <v>0.30000000000000004</v>
      </c>
      <c r="AG236" s="322">
        <f>IFERROR(MROUND(tblPiNAnalysis[[#This Row],[Mine Action]]/tblPiNAnalysis[[#This Row],[Affected population projection 2026]], 0.05), "")</f>
        <v>0.15000000000000002</v>
      </c>
      <c r="AH236" s="322">
        <f>IFERROR(MROUND(tblPiNAnalysis[[#This Row],[HLP]]/tblPiNAnalysis[[#This Row],[Affected population projection 2026]], 0.05), "")</f>
        <v>0.25</v>
      </c>
      <c r="AI236" s="325">
        <f>IFERROR(LARGE(tblPiNAnalysis[[#This Row],[CCCM]:[WASH]], 1), "")</f>
        <v>3981.8245614035086</v>
      </c>
      <c r="AJ236" s="326" t="str" cm="1">
        <f t="array" ref="AJ236">IF(tblPiNAnalysis[[#This Row],[Highest PiN]]="", "", _xlfn.TEXTJOIN(CHAR(10), TRUE, IF(tblPiNAnalysis[[#This Row],[Highest PiN]]=tblPiNAnalysis[[#This Row],[CCCM]:[WASH]], tblPiNAnalysis[[#Headers],[CCCM]:[WASH]], "")))</f>
        <v>Shelter</v>
      </c>
      <c r="AK236" s="327">
        <f>IF(tblPiNAnalysis[[#This Row],[Highest PiN]]="", "", tblPiNAnalysis[[#This Row],[Highest PiN]]/tblPiNAnalysis[[#This Row],[Affected population projection 2026]])</f>
        <v>0.80701754385964908</v>
      </c>
      <c r="AL236" s="328" t="str">
        <f>IF(SUM(tblPiNAnalysis[[#This Row],[CCCM]:[WASH]])=0, "",IF(COUNTIF(tblPiNAnalysis[[#This Row],[CCCM]:[WASH]],"=0")+COUNTIF(tblPiNAnalysis[[#This Row],[CCCM]:[WASH]],"")&gt;=zero_pin_thresh, "Flagged", ""))</f>
        <v/>
      </c>
      <c r="AM236" s="329" t="str">
        <f>IFERROR(IF(tblPiNAnalysis[[#This Row],[Highest PiN]]="", "", IF(tblPiNAnalysis[[#This Row],[Highest sector(s'') PiN %]]&gt;=flag_pin_perc, "Flagged", "")), "")</f>
        <v/>
      </c>
      <c r="AN236" s="330" t="str" cm="1">
        <f t="array" ref="AN236">IF(tblPiNAnalysis[[#This Row],[Highest PiN]]=0, "",  IF(OR(COUNTIF(tblPiNAnalysis[[#This Row],[Highest sector(s)]],tblSubSectorPopulation[Sector])), "Flagged", ""))</f>
        <v/>
      </c>
      <c r="AO236" s="46" cm="1">
        <f t="array" ref="AO2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2851.7811157245615</v>
      </c>
      <c r="AP236" s="331" t="str" cm="1">
        <f t="array" ref="AP236">IF(tblPiNAnalysis[[#This Row],[2nd Highest PiN]]="", "", _xlfn.TEXTJOIN(CHAR(10), TRUE, IF(tblPiNAnalysis[[#This Row],[2nd Highest PiN]]=tblPiNAnalysis[[#This Row],[CCCM]:[WASH]], tblPiNAnalysis[[#Headers],[CCCM]:[WASH]], "")))</f>
        <v>Food Security</v>
      </c>
      <c r="AQ236" s="36">
        <f>IFERROR(tblPiNAnalysis[[#This Row],[2nd Highest PiN]]/tblPiNAnalysis[[#This Row],[Affected population projection 2026]], "")</f>
        <v>0.57798563350720744</v>
      </c>
      <c r="AR236" s="46">
        <f>IFERROR(tblPiNAnalysis[[#This Row],[Highest PiN]]-tblPiNAnalysis[[#This Row],[2nd Highest PiN]], "")</f>
        <v>1130.0434456789471</v>
      </c>
      <c r="AS236" s="39">
        <f>IFERROR(((tblPiNAnalysis[[#This Row],[Highest PiN]]-tblPiNAnalysis[[#This Row],[2nd Highest PiN]])/tblPiNAnalysis[[#This Row],[2nd Highest PiN]]),"")</f>
        <v>0.39625882906929666</v>
      </c>
      <c r="AT236" s="39" t="str" cm="1">
        <f t="array" ref="AT2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6" s="332" cm="1">
        <f t="array" ref="AU2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2682</v>
      </c>
      <c r="AV236" s="190" t="str" cm="1">
        <f t="array" ref="AV236">IF(tblPiNAnalysis[[#This Row],[3rd Highest PiN]]="", "", _xlfn.TEXTJOIN(CHAR(10), TRUE, IF(tblPiNAnalysis[[#This Row],[3rd Highest PiN]]=tblPiNAnalysis[[#This Row],[CCCM]:[WASH]], tblPiNAnalysis[[#Headers],[CCCM]:[WASH]], "")))</f>
        <v>Overarching Protection</v>
      </c>
      <c r="AW236" s="190">
        <f>IFERROR(tblPiNAnalysis[[#This Row],[3rd Highest PiN]]/tblPiNAnalysis[[#This Row],[Affected population projection 2026]], "")</f>
        <v>0.5435751925415484</v>
      </c>
      <c r="AX236" s="45">
        <f>IFERROR(tblPiNAnalysis[[#This Row],[Highest PiN]]-tblPiNAnalysis[[#This Row],[3rd Highest PiN]],"")</f>
        <v>1299.8245614035086</v>
      </c>
      <c r="AY236" s="39">
        <f>IFERROR(tblPiNAnalysis[[#This Row],[Difference of PiN between Highest and 3rd Highest]]/tblPiNAnalysis[[#This Row],[3rd Highest PiN]], "")</f>
        <v>0.48464748747334402</v>
      </c>
      <c r="AZ236" s="330" t="str" cm="1">
        <f t="array" ref="AZ2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6" s="300" t="str" cm="1">
        <f t="array" ref="BA236">IFERROR(IF(tblPiNAnalysis[[#This Row],[ID]]="", "", INDEX(tblPiNHistorical[[CCCM]:[WASH]], MATCH(tblPiNAnalysis[[#This Row],[ID]],tblPiNHistorical[ID], 0),MATCH(_xlfn._xlws.FILTER(tblPiNAnalysis[[#Headers],[CCCM]:[WASH]], tblPiNAnalysis[[#This Row],[Highest PiN]]=tblPiNAnalysis[[#This Row],[CCCM]:[WASH]]), tblPiNHistorical[[#Headers],[CCCM]:[WASH]], 0))), "")</f>
        <v/>
      </c>
      <c r="BB236" s="333" t="str" cm="1">
        <f t="array" ref="BB2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6" s="276" t="str" cm="1">
        <f t="array" ref="BC236">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6" s="334" t="str" cm="1">
        <f t="array" ref="BD2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6" s="276">
        <f>INDEX(tblSeverityAnalysis[Final Severity], MATCH(tblPiNAnalysis[[#This Row],[ID]],tblSeverityAnalysis[ID], 0))</f>
        <v>3</v>
      </c>
      <c r="BF236" s="61">
        <f>IF(tblPiNAnalysis[[#This Row],[Severity]]&gt;2,tblPiNAnalysis[[#This Row],[Highest PiN]],)</f>
        <v>3981.8245614035086</v>
      </c>
      <c r="BG236" s="191"/>
      <c r="BH236" s="192"/>
      <c r="BI236" s="193">
        <f>COUNTIFS(tblPiNAnalysis[[#This Row],[Number of missing / zero PiNs greater than threshold - Data quality]:[Manual Flag]],"Flagged")</f>
        <v>1</v>
      </c>
      <c r="BJ236" s="96" t="str">
        <f>IF(tblPiNAnalysis[[#This Row],['# Flags]]&gt;0, "Flagged", "")</f>
        <v>Flagged</v>
      </c>
      <c r="BK236" s="326">
        <f>tblPiNAnalysis[[#This Row],[Preliminary PiN]]</f>
        <v>3981.8245614035086</v>
      </c>
      <c r="BL236" s="331"/>
    </row>
    <row r="237" spans="1:64" ht="98.4" x14ac:dyDescent="0.55000000000000004">
      <c r="A237"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SS1007</v>
      </c>
      <c r="B237" s="316" t="s">
        <v>390</v>
      </c>
      <c r="C237" s="317" t="s">
        <v>391</v>
      </c>
      <c r="D237" s="317" t="s">
        <v>404</v>
      </c>
      <c r="E237" s="105" t="s">
        <v>405</v>
      </c>
      <c r="F237" s="100"/>
      <c r="G237" s="34"/>
      <c r="H237" s="34"/>
      <c r="I237" s="97">
        <v>0</v>
      </c>
      <c r="J237" s="97" t="s">
        <v>414</v>
      </c>
      <c r="K237" s="318">
        <v>0</v>
      </c>
      <c r="L237" s="319">
        <v>0</v>
      </c>
      <c r="M237" s="319">
        <v>0</v>
      </c>
      <c r="N237" s="319">
        <v>0</v>
      </c>
      <c r="O237" s="319">
        <v>0</v>
      </c>
      <c r="P237" s="319">
        <v>0</v>
      </c>
      <c r="Q237" s="320">
        <v>0</v>
      </c>
      <c r="R237" s="319">
        <v>0</v>
      </c>
      <c r="S237" s="319">
        <v>0</v>
      </c>
      <c r="T237" s="319">
        <v>0</v>
      </c>
      <c r="U237" s="319">
        <v>0</v>
      </c>
      <c r="V237" s="319">
        <v>0</v>
      </c>
      <c r="W237" s="321" t="str">
        <f>IFERROR(IF(tblPiNAnalysis[[#This Row],[CCCM]]="", "", MROUND(tblPiNAnalysis[[#This Row],[CCCM]]/tblPiNAnalysis[[#This Row],[Affected population projection 2026]], 0.05)), "")</f>
        <v/>
      </c>
      <c r="X237" s="322" t="str">
        <f>IFERROR(IF(tblPiNAnalysis[[#This Row],[Education]]="", "", MROUND(tblPiNAnalysis[[#This Row],[Education]]/tblPiNAnalysis[[#This Row],[Affected population projection 2026]], 0.05)), "")</f>
        <v/>
      </c>
      <c r="Y237" s="322" t="str">
        <f>IFERROR(IF(tblPiNAnalysis[[#This Row],[Nutrition]]="", "", MROUND(tblPiNAnalysis[[#This Row],[Nutrition]]/tblPiNAnalysis[[#This Row],[Affected population projection 2026]], 0.05)), "")</f>
        <v/>
      </c>
      <c r="Z237" s="322" t="str">
        <f>IFERROR(IF(tblPiNAnalysis[[#This Row],[Food Security]]="", "", MROUND(tblPiNAnalysis[[#This Row],[Food Security]]/tblPiNAnalysis[[#This Row],[Affected population projection 2026]], 0.05)), "")</f>
        <v/>
      </c>
      <c r="AA237" s="322" t="str">
        <f>IFERROR(IF(tblPiNAnalysis[[#This Row],[Health]]="", "", MROUND(tblPiNAnalysis[[#This Row],[Health]]/tblPiNAnalysis[[#This Row],[Affected population projection 2026]], 0.05)), "")</f>
        <v/>
      </c>
      <c r="AB237" s="323" t="str">
        <f>IFERROR(IF(tblPiNAnalysis[[#This Row],[Overarching Protection]]="", "", MROUND(tblPiNAnalysis[[#This Row],[Overarching Protection]]/tblPiNAnalysis[[#This Row],[Affected population projection 2026]], 0.05)), "")</f>
        <v/>
      </c>
      <c r="AC237" s="323" t="str">
        <f>IFERROR(IF(tblPiNAnalysis[[#This Row],[Shelter]]="", "", MROUND(tblPiNAnalysis[[#This Row],[Shelter]]/tblPiNAnalysis[[#This Row],[Affected population projection 2026]], 0.05)), "")</f>
        <v/>
      </c>
      <c r="AD237" s="324" t="str">
        <f>IFERROR(IF(tblPiNAnalysis[[#This Row],[WASH]]="", "", MROUND(tblPiNAnalysis[[#This Row],[WASH]]/tblPiNAnalysis[[#This Row],[Affected population projection 2026]], 0.05)), "")</f>
        <v/>
      </c>
      <c r="AE237" s="322" t="str">
        <f>IFERROR(MROUND(tblPiNAnalysis[[#This Row],[CP]]/tblPiNAnalysis[[#This Row],[Affected population projection 2026]], 0.05), "")</f>
        <v/>
      </c>
      <c r="AF237" s="322" t="str">
        <f>IFERROR(MROUND(tblPiNAnalysis[[#This Row],[GBV]]/tblPiNAnalysis[[#This Row],[Affected population projection 2026]], 0.05), "")</f>
        <v/>
      </c>
      <c r="AG237" s="322" t="str">
        <f>IFERROR(MROUND(tblPiNAnalysis[[#This Row],[Mine Action]]/tblPiNAnalysis[[#This Row],[Affected population projection 2026]], 0.05), "")</f>
        <v/>
      </c>
      <c r="AH237" s="322" t="str">
        <f>IFERROR(MROUND(tblPiNAnalysis[[#This Row],[HLP]]/tblPiNAnalysis[[#This Row],[Affected population projection 2026]], 0.05), "")</f>
        <v/>
      </c>
      <c r="AI237" s="325">
        <f>IFERROR(LARGE(tblPiNAnalysis[[#This Row],[CCCM]:[WASH]], 1), "")</f>
        <v>0</v>
      </c>
      <c r="AJ237" s="326" t="str" cm="1">
        <f t="array" ref="AJ237">IF(tblPiNAnalysis[[#This Row],[Highest PiN]]="", "", _xlfn.TEXTJOIN(CHAR(10), TRUE, IF(tblPiNAnalysis[[#This Row],[Highest PiN]]=tblPiNAnalysis[[#This Row],[CCCM]:[WASH]], tblPiNAnalysis[[#Headers],[CCCM]:[WASH]], "")))</f>
        <v>CCCM
Education
Nutrition
Food Security
Health
Overarching Protection
Shelter
WASH</v>
      </c>
      <c r="AK237" s="327" t="e">
        <f>IF(tblPiNAnalysis[[#This Row],[Highest PiN]]="", "", tblPiNAnalysis[[#This Row],[Highest PiN]]/tblPiNAnalysis[[#This Row],[Affected population projection 2026]])</f>
        <v>#DIV/0!</v>
      </c>
      <c r="AL237" s="328" t="str">
        <f>IF(SUM(tblPiNAnalysis[[#This Row],[CCCM]:[WASH]])=0, "",IF(COUNTIF(tblPiNAnalysis[[#This Row],[CCCM]:[WASH]],"=0")+COUNTIF(tblPiNAnalysis[[#This Row],[CCCM]:[WASH]],"")&gt;=zero_pin_thresh, "Flagged", ""))</f>
        <v/>
      </c>
      <c r="AM237" s="329" t="str">
        <f>IFERROR(IF(tblPiNAnalysis[[#This Row],[Highest PiN]]="", "", IF(tblPiNAnalysis[[#This Row],[Highest sector(s'') PiN %]]&gt;=flag_pin_perc, "Flagged", "")), "")</f>
        <v/>
      </c>
      <c r="AN237" s="330" t="str" cm="1">
        <f t="array" ref="AN237">IF(tblPiNAnalysis[[#This Row],[Highest PiN]]=0, "",  IF(OR(COUNTIF(tblPiNAnalysis[[#This Row],[Highest sector(s)]],tblSubSectorPopulation[Sector])), "Flagged", ""))</f>
        <v/>
      </c>
      <c r="AO237" s="46" cm="1">
        <f t="array" ref="AO2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0</v>
      </c>
      <c r="AP237" s="331" t="str" cm="1">
        <f t="array" ref="AP237">IF(tblPiNAnalysis[[#This Row],[2nd Highest PiN]]="", "", _xlfn.TEXTJOIN(CHAR(10), TRUE, IF(tblPiNAnalysis[[#This Row],[2nd Highest PiN]]=tblPiNAnalysis[[#This Row],[CCCM]:[WASH]], tblPiNAnalysis[[#Headers],[CCCM]:[WASH]], "")))</f>
        <v>CCCM
Education
Nutrition
Food Security
Health
Overarching Protection
Shelter
WASH</v>
      </c>
      <c r="AQ237" s="36" t="str">
        <f>IFERROR(tblPiNAnalysis[[#This Row],[2nd Highest PiN]]/tblPiNAnalysis[[#This Row],[Affected population projection 2026]], "")</f>
        <v/>
      </c>
      <c r="AR237" s="46">
        <f>IFERROR(tblPiNAnalysis[[#This Row],[Highest PiN]]-tblPiNAnalysis[[#This Row],[2nd Highest PiN]], "")</f>
        <v>0</v>
      </c>
      <c r="AS237" s="39" t="str">
        <f>IFERROR(((tblPiNAnalysis[[#This Row],[Highest PiN]]-tblPiNAnalysis[[#This Row],[2nd Highest PiN]])/tblPiNAnalysis[[#This Row],[2nd Highest PiN]]),"")</f>
        <v/>
      </c>
      <c r="AT237" s="39" t="str" cm="1">
        <f t="array" ref="AT2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7" s="332" cm="1">
        <f t="array" ref="AU2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0</v>
      </c>
      <c r="AV237" s="190" t="str" cm="1">
        <f t="array" ref="AV237">IF(tblPiNAnalysis[[#This Row],[3rd Highest PiN]]="", "", _xlfn.TEXTJOIN(CHAR(10), TRUE, IF(tblPiNAnalysis[[#This Row],[3rd Highest PiN]]=tblPiNAnalysis[[#This Row],[CCCM]:[WASH]], tblPiNAnalysis[[#Headers],[CCCM]:[WASH]], "")))</f>
        <v>CCCM
Education
Nutrition
Food Security
Health
Overarching Protection
Shelter
WASH</v>
      </c>
      <c r="AW237" s="190" t="str">
        <f>IFERROR(tblPiNAnalysis[[#This Row],[3rd Highest PiN]]/tblPiNAnalysis[[#This Row],[Affected population projection 2026]], "")</f>
        <v/>
      </c>
      <c r="AX237" s="45">
        <f>IFERROR(tblPiNAnalysis[[#This Row],[Highest PiN]]-tblPiNAnalysis[[#This Row],[3rd Highest PiN]],"")</f>
        <v>0</v>
      </c>
      <c r="AY237" s="39" t="str">
        <f>IFERROR(tblPiNAnalysis[[#This Row],[Difference of PiN between Highest and 3rd Highest]]/tblPiNAnalysis[[#This Row],[3rd Highest PiN]], "")</f>
        <v/>
      </c>
      <c r="AZ237" s="330" t="str" cm="1">
        <f t="array" ref="AZ2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7" s="300" t="e" cm="1" vm="1">
        <f t="array" aca="1" ref="BA237" ca="1">IFERROR(IF(tblPiNAnalysis[[#This Row],[ID]]="", "", INDEX(tblPiNHistorical[[CCCM]:[WASH]], MATCH(tblPiNAnalysis[[#This Row],[ID]],tblPiNHistorical[ID], 0),MATCH(_xlfn._xlws.FILTER(tblPiNAnalysis[[#Headers],[CCCM]:[WASH]], tblPiNAnalysis[[#This Row],[Highest PiN]]=tblPiNAnalysis[[#This Row],[CCCM]:[WASH]]), tblPiNHistorical[[#Headers],[CCCM]:[WASH]], 0))), "")</f>
        <v>#VALUE!</v>
      </c>
      <c r="BB237" s="333" t="str" cm="1">
        <f t="array" ref="BB2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7" s="276" t="e" cm="1" vm="1">
        <f t="array" aca="1" ref="BC237" ca="1">IFERROR(IF(tblPiNAnalysis[[#This Row],[ID]]="", "", INDEX(tblPiNHistorical[[CCCM]:[WASH]], MATCH(tblPiNAnalysis[[#This Row],[ID]],tblPiNHistorical[ID], 0),MATCH(_xlfn._xlws.FILTER(tblPiNAnalysis[[#Headers],[CCCM]:[WASH]], tblPiNAnalysis[[#This Row],[2nd Highest PiN]]=tblPiNAnalysis[[#This Row],[CCCM]:[WASH]]), tblPiNHistorical[[#Headers],[CCCM]:[WASH]], 0))), "")</f>
        <v>#VALUE!</v>
      </c>
      <c r="BD237" s="334" t="str" cm="1">
        <f t="array" ref="BD2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7" s="276">
        <f>INDEX(tblSeverityAnalysis[Final Severity], MATCH(tblPiNAnalysis[[#This Row],[ID]],tblSeverityAnalysis[ID], 0))</f>
        <v>4</v>
      </c>
      <c r="BF237" s="61">
        <f>IF(tblPiNAnalysis[[#This Row],[Severity]]&gt;2,tblPiNAnalysis[[#This Row],[Highest PiN]],)</f>
        <v>0</v>
      </c>
      <c r="BG237" s="191"/>
      <c r="BH237" s="192"/>
      <c r="BI237" s="193">
        <f ca="1">COUNTIFS(tblPiNAnalysis[[#This Row],[Number of missing / zero PiNs greater than threshold - Data quality]:[Manual Flag]],"Flagged")</f>
        <v>0</v>
      </c>
      <c r="BJ237" s="96" t="str">
        <f ca="1">IF(tblPiNAnalysis[[#This Row],['# Flags]]&gt;0, "Flagged", "")</f>
        <v/>
      </c>
      <c r="BK237" s="326">
        <f>tblPiNAnalysis[[#This Row],[Preliminary PiN]]</f>
        <v>0</v>
      </c>
      <c r="BL237" s="331"/>
    </row>
    <row r="238" spans="1:64" ht="24.6" x14ac:dyDescent="0.55000000000000004">
      <c r="A238"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SS1008</v>
      </c>
      <c r="B238" s="316" t="s">
        <v>390</v>
      </c>
      <c r="C238" s="317" t="s">
        <v>391</v>
      </c>
      <c r="D238" s="317" t="s">
        <v>406</v>
      </c>
      <c r="E238" s="105" t="s">
        <v>407</v>
      </c>
      <c r="F238" s="100"/>
      <c r="G238" s="34"/>
      <c r="H238" s="34"/>
      <c r="I238" s="97">
        <v>375</v>
      </c>
      <c r="J238" s="97" t="s">
        <v>414</v>
      </c>
      <c r="K238" s="318">
        <v>56.25</v>
      </c>
      <c r="L238" s="319">
        <v>71.836050000000014</v>
      </c>
      <c r="M238" s="319">
        <v>154.24426865262288</v>
      </c>
      <c r="N238" s="319">
        <v>72.83154889829467</v>
      </c>
      <c r="O238" s="319">
        <v>162.93212727173531</v>
      </c>
      <c r="P238" s="319">
        <v>263</v>
      </c>
      <c r="Q238" s="320">
        <v>375</v>
      </c>
      <c r="R238" s="319">
        <v>295.13888888888886</v>
      </c>
      <c r="S238" s="319">
        <v>60</v>
      </c>
      <c r="T238" s="319">
        <v>57</v>
      </c>
      <c r="U238" s="319">
        <v>29</v>
      </c>
      <c r="V238" s="319">
        <v>107</v>
      </c>
      <c r="W238" s="321">
        <f>IFERROR(IF(tblPiNAnalysis[[#This Row],[CCCM]]="", "", MROUND(tblPiNAnalysis[[#This Row],[CCCM]]/tblPiNAnalysis[[#This Row],[Affected population projection 2026]], 0.05)), "")</f>
        <v>0.15000000000000002</v>
      </c>
      <c r="X238" s="322">
        <f>IFERROR(IF(tblPiNAnalysis[[#This Row],[Education]]="", "", MROUND(tblPiNAnalysis[[#This Row],[Education]]/tblPiNAnalysis[[#This Row],[Affected population projection 2026]], 0.05)), "")</f>
        <v>0.2</v>
      </c>
      <c r="Y238" s="322">
        <f>IFERROR(IF(tblPiNAnalysis[[#This Row],[Nutrition]]="", "", MROUND(tblPiNAnalysis[[#This Row],[Nutrition]]/tblPiNAnalysis[[#This Row],[Affected population projection 2026]], 0.05)), "")</f>
        <v>0.4</v>
      </c>
      <c r="Z238" s="322">
        <f>IFERROR(IF(tblPiNAnalysis[[#This Row],[Food Security]]="", "", MROUND(tblPiNAnalysis[[#This Row],[Food Security]]/tblPiNAnalysis[[#This Row],[Affected population projection 2026]], 0.05)), "")</f>
        <v>0.2</v>
      </c>
      <c r="AA238" s="322">
        <f>IFERROR(IF(tblPiNAnalysis[[#This Row],[Health]]="", "", MROUND(tblPiNAnalysis[[#This Row],[Health]]/tblPiNAnalysis[[#This Row],[Affected population projection 2026]], 0.05)), "")</f>
        <v>0.45</v>
      </c>
      <c r="AB238" s="323">
        <f>IFERROR(IF(tblPiNAnalysis[[#This Row],[Overarching Protection]]="", "", MROUND(tblPiNAnalysis[[#This Row],[Overarching Protection]]/tblPiNAnalysis[[#This Row],[Affected population projection 2026]], 0.05)), "")</f>
        <v>0.70000000000000007</v>
      </c>
      <c r="AC238" s="323">
        <f>IFERROR(IF(tblPiNAnalysis[[#This Row],[Shelter]]="", "", MROUND(tblPiNAnalysis[[#This Row],[Shelter]]/tblPiNAnalysis[[#This Row],[Affected population projection 2026]], 0.05)), "")</f>
        <v>1</v>
      </c>
      <c r="AD238" s="324">
        <f>IFERROR(IF(tblPiNAnalysis[[#This Row],[WASH]]="", "", MROUND(tblPiNAnalysis[[#This Row],[WASH]]/tblPiNAnalysis[[#This Row],[Affected population projection 2026]], 0.05)), "")</f>
        <v>0.8</v>
      </c>
      <c r="AE238" s="322">
        <f>IFERROR(MROUND(tblPiNAnalysis[[#This Row],[CP]]/tblPiNAnalysis[[#This Row],[Affected population projection 2026]], 0.05), "")</f>
        <v>0.15000000000000002</v>
      </c>
      <c r="AF238" s="322">
        <f>IFERROR(MROUND(tblPiNAnalysis[[#This Row],[GBV]]/tblPiNAnalysis[[#This Row],[Affected population projection 2026]], 0.05), "")</f>
        <v>0.15000000000000002</v>
      </c>
      <c r="AG238" s="322">
        <f>IFERROR(MROUND(tblPiNAnalysis[[#This Row],[Mine Action]]/tblPiNAnalysis[[#This Row],[Affected population projection 2026]], 0.05), "")</f>
        <v>0.1</v>
      </c>
      <c r="AH238" s="322">
        <f>IFERROR(MROUND(tblPiNAnalysis[[#This Row],[HLP]]/tblPiNAnalysis[[#This Row],[Affected population projection 2026]], 0.05), "")</f>
        <v>0.30000000000000004</v>
      </c>
      <c r="AI238" s="325">
        <f>IFERROR(LARGE(tblPiNAnalysis[[#This Row],[CCCM]:[WASH]], 1), "")</f>
        <v>375</v>
      </c>
      <c r="AJ238" s="326" t="str" cm="1">
        <f t="array" ref="AJ238">IF(tblPiNAnalysis[[#This Row],[Highest PiN]]="", "", _xlfn.TEXTJOIN(CHAR(10), TRUE, IF(tblPiNAnalysis[[#This Row],[Highest PiN]]=tblPiNAnalysis[[#This Row],[CCCM]:[WASH]], tblPiNAnalysis[[#Headers],[CCCM]:[WASH]], "")))</f>
        <v>Shelter</v>
      </c>
      <c r="AK238" s="327">
        <f>IF(tblPiNAnalysis[[#This Row],[Highest PiN]]="", "", tblPiNAnalysis[[#This Row],[Highest PiN]]/tblPiNAnalysis[[#This Row],[Affected population projection 2026]])</f>
        <v>1</v>
      </c>
      <c r="AL238" s="328" t="str">
        <f>IF(SUM(tblPiNAnalysis[[#This Row],[CCCM]:[WASH]])=0, "",IF(COUNTIF(tblPiNAnalysis[[#This Row],[CCCM]:[WASH]],"=0")+COUNTIF(tblPiNAnalysis[[#This Row],[CCCM]:[WASH]],"")&gt;=zero_pin_thresh, "Flagged", ""))</f>
        <v/>
      </c>
      <c r="AM238" s="329" t="str">
        <f>IFERROR(IF(tblPiNAnalysis[[#This Row],[Highest PiN]]="", "", IF(tblPiNAnalysis[[#This Row],[Highest sector(s'') PiN %]]&gt;=flag_pin_perc, "Flagged", "")), "")</f>
        <v>Flagged</v>
      </c>
      <c r="AN238" s="330" t="str" cm="1">
        <f t="array" ref="AN238">IF(tblPiNAnalysis[[#This Row],[Highest PiN]]=0, "",  IF(OR(COUNTIF(tblPiNAnalysis[[#This Row],[Highest sector(s)]],tblSubSectorPopulation[Sector])), "Flagged", ""))</f>
        <v/>
      </c>
      <c r="AO238" s="46" cm="1">
        <f t="array" ref="AO2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295.13888888888886</v>
      </c>
      <c r="AP238" s="331" t="str" cm="1">
        <f t="array" ref="AP238">IF(tblPiNAnalysis[[#This Row],[2nd Highest PiN]]="", "", _xlfn.TEXTJOIN(CHAR(10), TRUE, IF(tblPiNAnalysis[[#This Row],[2nd Highest PiN]]=tblPiNAnalysis[[#This Row],[CCCM]:[WASH]], tblPiNAnalysis[[#Headers],[CCCM]:[WASH]], "")))</f>
        <v>WASH</v>
      </c>
      <c r="AQ238" s="36">
        <f>IFERROR(tblPiNAnalysis[[#This Row],[2nd Highest PiN]]/tblPiNAnalysis[[#This Row],[Affected population projection 2026]], "")</f>
        <v>0.78703703703703698</v>
      </c>
      <c r="AR238" s="46">
        <f>IFERROR(tblPiNAnalysis[[#This Row],[Highest PiN]]-tblPiNAnalysis[[#This Row],[2nd Highest PiN]], "")</f>
        <v>79.861111111111143</v>
      </c>
      <c r="AS238" s="39">
        <f>IFERROR(((tblPiNAnalysis[[#This Row],[Highest PiN]]-tblPiNAnalysis[[#This Row],[2nd Highest PiN]])/tblPiNAnalysis[[#This Row],[2nd Highest PiN]]),"")</f>
        <v>0.2705882352941178</v>
      </c>
      <c r="AT238" s="39" t="str" cm="1">
        <f t="array" ref="AT2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38" s="332" cm="1">
        <f t="array" ref="AU2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263</v>
      </c>
      <c r="AV238" s="190" t="str" cm="1">
        <f t="array" ref="AV238">IF(tblPiNAnalysis[[#This Row],[3rd Highest PiN]]="", "", _xlfn.TEXTJOIN(CHAR(10), TRUE, IF(tblPiNAnalysis[[#This Row],[3rd Highest PiN]]=tblPiNAnalysis[[#This Row],[CCCM]:[WASH]], tblPiNAnalysis[[#Headers],[CCCM]:[WASH]], "")))</f>
        <v>Overarching Protection</v>
      </c>
      <c r="AW238" s="190">
        <f>IFERROR(tblPiNAnalysis[[#This Row],[3rd Highest PiN]]/tblPiNAnalysis[[#This Row],[Affected population projection 2026]], "")</f>
        <v>0.70133333333333336</v>
      </c>
      <c r="AX238" s="45">
        <f>IFERROR(tblPiNAnalysis[[#This Row],[Highest PiN]]-tblPiNAnalysis[[#This Row],[3rd Highest PiN]],"")</f>
        <v>112</v>
      </c>
      <c r="AY238" s="39">
        <f>IFERROR(tblPiNAnalysis[[#This Row],[Difference of PiN between Highest and 3rd Highest]]/tblPiNAnalysis[[#This Row],[3rd Highest PiN]], "")</f>
        <v>0.42585551330798477</v>
      </c>
      <c r="AZ238" s="330" t="str" cm="1">
        <f t="array" ref="AZ2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8" s="300" t="str" cm="1">
        <f t="array" ref="BA238">IFERROR(IF(tblPiNAnalysis[[#This Row],[ID]]="", "", INDEX(tblPiNHistorical[[CCCM]:[WASH]], MATCH(tblPiNAnalysis[[#This Row],[ID]],tblPiNHistorical[ID], 0),MATCH(_xlfn._xlws.FILTER(tblPiNAnalysis[[#Headers],[CCCM]:[WASH]], tblPiNAnalysis[[#This Row],[Highest PiN]]=tblPiNAnalysis[[#This Row],[CCCM]:[WASH]]), tblPiNHistorical[[#Headers],[CCCM]:[WASH]], 0))), "")</f>
        <v/>
      </c>
      <c r="BB238" s="333" t="str" cm="1">
        <f t="array" ref="BB2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8" s="276" t="str" cm="1">
        <f t="array" ref="BC238">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8" s="334" t="str" cm="1">
        <f t="array" ref="BD2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8" s="276">
        <f>INDEX(tblSeverityAnalysis[Final Severity], MATCH(tblPiNAnalysis[[#This Row],[ID]],tblSeverityAnalysis[ID], 0))</f>
        <v>3</v>
      </c>
      <c r="BF238" s="61">
        <f>IF(tblPiNAnalysis[[#This Row],[Severity]]&gt;2,tblPiNAnalysis[[#This Row],[Highest PiN]],)</f>
        <v>375</v>
      </c>
      <c r="BG238" s="191"/>
      <c r="BH238" s="192"/>
      <c r="BI238" s="193">
        <f>COUNTIFS(tblPiNAnalysis[[#This Row],[Number of missing / zero PiNs greater than threshold - Data quality]:[Manual Flag]],"Flagged")</f>
        <v>1</v>
      </c>
      <c r="BJ238" s="96" t="str">
        <f>IF(tblPiNAnalysis[[#This Row],['# Flags]]&gt;0, "Flagged", "")</f>
        <v>Flagged</v>
      </c>
      <c r="BK238" s="326">
        <f>tblPiNAnalysis[[#This Row],[Preliminary PiN]]</f>
        <v>375</v>
      </c>
      <c r="BL238" s="331"/>
    </row>
    <row r="239" spans="1:64" ht="24.6" x14ac:dyDescent="0.55000000000000004">
      <c r="A239"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SS1009</v>
      </c>
      <c r="B239" s="316" t="s">
        <v>390</v>
      </c>
      <c r="C239" s="317" t="s">
        <v>391</v>
      </c>
      <c r="D239" s="317" t="s">
        <v>408</v>
      </c>
      <c r="E239" s="105" t="s">
        <v>409</v>
      </c>
      <c r="F239" s="100"/>
      <c r="G239" s="34"/>
      <c r="H239" s="34"/>
      <c r="I239" s="97">
        <v>2118.1428571428601</v>
      </c>
      <c r="J239" s="97" t="s">
        <v>414</v>
      </c>
      <c r="K239" s="318">
        <v>317.72142857142899</v>
      </c>
      <c r="L239" s="319">
        <v>426.52830900000049</v>
      </c>
      <c r="M239" s="319">
        <v>697.85443144825274</v>
      </c>
      <c r="N239" s="319">
        <v>910.43538781819404</v>
      </c>
      <c r="O239" s="319">
        <v>1288.5202770589237</v>
      </c>
      <c r="P239" s="319">
        <v>1551</v>
      </c>
      <c r="Q239" s="320">
        <v>2118.1428571428601</v>
      </c>
      <c r="R239" s="319">
        <v>1627.8320105820128</v>
      </c>
      <c r="S239" s="319">
        <v>790</v>
      </c>
      <c r="T239" s="319">
        <v>854</v>
      </c>
      <c r="U239" s="319">
        <v>154</v>
      </c>
      <c r="V239" s="319">
        <v>545</v>
      </c>
      <c r="W239" s="321">
        <f>IFERROR(IF(tblPiNAnalysis[[#This Row],[CCCM]]="", "", MROUND(tblPiNAnalysis[[#This Row],[CCCM]]/tblPiNAnalysis[[#This Row],[Affected population projection 2026]], 0.05)), "")</f>
        <v>0.15000000000000002</v>
      </c>
      <c r="X239" s="322">
        <f>IFERROR(IF(tblPiNAnalysis[[#This Row],[Education]]="", "", MROUND(tblPiNAnalysis[[#This Row],[Education]]/tblPiNAnalysis[[#This Row],[Affected population projection 2026]], 0.05)), "")</f>
        <v>0.2</v>
      </c>
      <c r="Y239" s="322">
        <f>IFERROR(IF(tblPiNAnalysis[[#This Row],[Nutrition]]="", "", MROUND(tblPiNAnalysis[[#This Row],[Nutrition]]/tblPiNAnalysis[[#This Row],[Affected population projection 2026]], 0.05)), "")</f>
        <v>0.35000000000000003</v>
      </c>
      <c r="Z239" s="322">
        <f>IFERROR(IF(tblPiNAnalysis[[#This Row],[Food Security]]="", "", MROUND(tblPiNAnalysis[[#This Row],[Food Security]]/tblPiNAnalysis[[#This Row],[Affected population projection 2026]], 0.05)), "")</f>
        <v>0.45</v>
      </c>
      <c r="AA239" s="322">
        <f>IFERROR(IF(tblPiNAnalysis[[#This Row],[Health]]="", "", MROUND(tblPiNAnalysis[[#This Row],[Health]]/tblPiNAnalysis[[#This Row],[Affected population projection 2026]], 0.05)), "")</f>
        <v>0.60000000000000009</v>
      </c>
      <c r="AB239" s="323">
        <f>IFERROR(IF(tblPiNAnalysis[[#This Row],[Overarching Protection]]="", "", MROUND(tblPiNAnalysis[[#This Row],[Overarching Protection]]/tblPiNAnalysis[[#This Row],[Affected population projection 2026]], 0.05)), "")</f>
        <v>0.75</v>
      </c>
      <c r="AC239" s="323">
        <f>IFERROR(IF(tblPiNAnalysis[[#This Row],[Shelter]]="", "", MROUND(tblPiNAnalysis[[#This Row],[Shelter]]/tblPiNAnalysis[[#This Row],[Affected population projection 2026]], 0.05)), "")</f>
        <v>1</v>
      </c>
      <c r="AD239" s="324">
        <f>IFERROR(IF(tblPiNAnalysis[[#This Row],[WASH]]="", "", MROUND(tblPiNAnalysis[[#This Row],[WASH]]/tblPiNAnalysis[[#This Row],[Affected population projection 2026]], 0.05)), "")</f>
        <v>0.75</v>
      </c>
      <c r="AE239" s="322">
        <f>IFERROR(MROUND(tblPiNAnalysis[[#This Row],[CP]]/tblPiNAnalysis[[#This Row],[Affected population projection 2026]], 0.05), "")</f>
        <v>0.35000000000000003</v>
      </c>
      <c r="AF239" s="322">
        <f>IFERROR(MROUND(tblPiNAnalysis[[#This Row],[GBV]]/tblPiNAnalysis[[#This Row],[Affected population projection 2026]], 0.05), "")</f>
        <v>0.4</v>
      </c>
      <c r="AG239" s="322">
        <f>IFERROR(MROUND(tblPiNAnalysis[[#This Row],[Mine Action]]/tblPiNAnalysis[[#This Row],[Affected population projection 2026]], 0.05), "")</f>
        <v>0.05</v>
      </c>
      <c r="AH239" s="322">
        <f>IFERROR(MROUND(tblPiNAnalysis[[#This Row],[HLP]]/tblPiNAnalysis[[#This Row],[Affected population projection 2026]], 0.05), "")</f>
        <v>0.25</v>
      </c>
      <c r="AI239" s="325">
        <f>IFERROR(LARGE(tblPiNAnalysis[[#This Row],[CCCM]:[WASH]], 1), "")</f>
        <v>2118.1428571428601</v>
      </c>
      <c r="AJ239" s="326" t="str" cm="1">
        <f t="array" ref="AJ239">IF(tblPiNAnalysis[[#This Row],[Highest PiN]]="", "", _xlfn.TEXTJOIN(CHAR(10), TRUE, IF(tblPiNAnalysis[[#This Row],[Highest PiN]]=tblPiNAnalysis[[#This Row],[CCCM]:[WASH]], tblPiNAnalysis[[#Headers],[CCCM]:[WASH]], "")))</f>
        <v>Shelter</v>
      </c>
      <c r="AK239" s="327">
        <f>IF(tblPiNAnalysis[[#This Row],[Highest PiN]]="", "", tblPiNAnalysis[[#This Row],[Highest PiN]]/tblPiNAnalysis[[#This Row],[Affected population projection 2026]])</f>
        <v>1</v>
      </c>
      <c r="AL239" s="328" t="str">
        <f>IF(SUM(tblPiNAnalysis[[#This Row],[CCCM]:[WASH]])=0, "",IF(COUNTIF(tblPiNAnalysis[[#This Row],[CCCM]:[WASH]],"=0")+COUNTIF(tblPiNAnalysis[[#This Row],[CCCM]:[WASH]],"")&gt;=zero_pin_thresh, "Flagged", ""))</f>
        <v/>
      </c>
      <c r="AM239" s="329" t="str">
        <f>IFERROR(IF(tblPiNAnalysis[[#This Row],[Highest PiN]]="", "", IF(tblPiNAnalysis[[#This Row],[Highest sector(s'') PiN %]]&gt;=flag_pin_perc, "Flagged", "")), "")</f>
        <v>Flagged</v>
      </c>
      <c r="AN239" s="330" t="str" cm="1">
        <f t="array" ref="AN239">IF(tblPiNAnalysis[[#This Row],[Highest PiN]]=0, "",  IF(OR(COUNTIF(tblPiNAnalysis[[#This Row],[Highest sector(s)]],tblSubSectorPopulation[Sector])), "Flagged", ""))</f>
        <v/>
      </c>
      <c r="AO239" s="46" cm="1">
        <f t="array" ref="AO2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1627.8320105820128</v>
      </c>
      <c r="AP239" s="331" t="str" cm="1">
        <f t="array" ref="AP239">IF(tblPiNAnalysis[[#This Row],[2nd Highest PiN]]="", "", _xlfn.TEXTJOIN(CHAR(10), TRUE, IF(tblPiNAnalysis[[#This Row],[2nd Highest PiN]]=tblPiNAnalysis[[#This Row],[CCCM]:[WASH]], tblPiNAnalysis[[#Headers],[CCCM]:[WASH]], "")))</f>
        <v>WASH</v>
      </c>
      <c r="AQ239" s="36">
        <f>IFERROR(tblPiNAnalysis[[#This Row],[2nd Highest PiN]]/tblPiNAnalysis[[#This Row],[Affected population projection 2026]], "")</f>
        <v>0.76851851851851849</v>
      </c>
      <c r="AR239" s="46">
        <f>IFERROR(tblPiNAnalysis[[#This Row],[Highest PiN]]-tblPiNAnalysis[[#This Row],[2nd Highest PiN]], "")</f>
        <v>490.31084656084727</v>
      </c>
      <c r="AS239" s="39">
        <f>IFERROR(((tblPiNAnalysis[[#This Row],[Highest PiN]]-tblPiNAnalysis[[#This Row],[2nd Highest PiN]])/tblPiNAnalysis[[#This Row],[2nd Highest PiN]]),"")</f>
        <v>0.30120481927710846</v>
      </c>
      <c r="AT239" s="39" t="str" cm="1">
        <f t="array" ref="AT2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9" s="332" cm="1">
        <f t="array" ref="AU2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1551</v>
      </c>
      <c r="AV239" s="190" t="str" cm="1">
        <f t="array" ref="AV239">IF(tblPiNAnalysis[[#This Row],[3rd Highest PiN]]="", "", _xlfn.TEXTJOIN(CHAR(10), TRUE, IF(tblPiNAnalysis[[#This Row],[3rd Highest PiN]]=tblPiNAnalysis[[#This Row],[CCCM]:[WASH]], tblPiNAnalysis[[#Headers],[CCCM]:[WASH]], "")))</f>
        <v>Overarching Protection</v>
      </c>
      <c r="AW239" s="190">
        <f>IFERROR(tblPiNAnalysis[[#This Row],[3rd Highest PiN]]/tblPiNAnalysis[[#This Row],[Affected population projection 2026]], "")</f>
        <v>0.73224522829972249</v>
      </c>
      <c r="AX239" s="45">
        <f>IFERROR(tblPiNAnalysis[[#This Row],[Highest PiN]]-tblPiNAnalysis[[#This Row],[3rd Highest PiN]],"")</f>
        <v>567.14285714286007</v>
      </c>
      <c r="AY239" s="39">
        <f>IFERROR(tblPiNAnalysis[[#This Row],[Difference of PiN between Highest and 3rd Highest]]/tblPiNAnalysis[[#This Row],[3rd Highest PiN]], "")</f>
        <v>0.36566270608823986</v>
      </c>
      <c r="AZ239" s="330" t="str" cm="1">
        <f t="array" ref="AZ2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39" s="300" t="str" cm="1">
        <f t="array" ref="BA239">IFERROR(IF(tblPiNAnalysis[[#This Row],[ID]]="", "", INDEX(tblPiNHistorical[[CCCM]:[WASH]], MATCH(tblPiNAnalysis[[#This Row],[ID]],tblPiNHistorical[ID], 0),MATCH(_xlfn._xlws.FILTER(tblPiNAnalysis[[#Headers],[CCCM]:[WASH]], tblPiNAnalysis[[#This Row],[Highest PiN]]=tblPiNAnalysis[[#This Row],[CCCM]:[WASH]]), tblPiNHistorical[[#Headers],[CCCM]:[WASH]], 0))), "")</f>
        <v/>
      </c>
      <c r="BB239" s="333" t="str" cm="1">
        <f t="array" ref="BB2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9" s="276" t="str" cm="1">
        <f t="array" ref="BC239">IFERROR(IF(tblPiNAnalysis[[#This Row],[ID]]="", "", INDEX(tblPiNHistorical[[CCCM]:[WASH]], MATCH(tblPiNAnalysis[[#This Row],[ID]],tblPiNHistorical[ID], 0),MATCH(_xlfn._xlws.FILTER(tblPiNAnalysis[[#Headers],[CCCM]:[WASH]], tblPiNAnalysis[[#This Row],[2nd Highest PiN]]=tblPiNAnalysis[[#This Row],[CCCM]:[WASH]]), tblPiNHistorical[[#Headers],[CCCM]:[WASH]], 0))), "")</f>
        <v/>
      </c>
      <c r="BD239" s="334" t="str" cm="1">
        <f t="array" ref="BD2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9" s="276">
        <f>INDEX(tblSeverityAnalysis[Final Severity], MATCH(tblPiNAnalysis[[#This Row],[ID]],tblSeverityAnalysis[ID], 0))</f>
        <v>4</v>
      </c>
      <c r="BF239" s="61">
        <f>IF(tblPiNAnalysis[[#This Row],[Severity]]&gt;2,tblPiNAnalysis[[#This Row],[Highest PiN]],)</f>
        <v>2118.1428571428601</v>
      </c>
      <c r="BG239" s="191"/>
      <c r="BH239" s="192"/>
      <c r="BI239" s="193">
        <f>COUNTIFS(tblPiNAnalysis[[#This Row],[Number of missing / zero PiNs greater than threshold - Data quality]:[Manual Flag]],"Flagged")</f>
        <v>2</v>
      </c>
      <c r="BJ239" s="96" t="str">
        <f>IF(tblPiNAnalysis[[#This Row],['# Flags]]&gt;0, "Flagged", "")</f>
        <v>Flagged</v>
      </c>
      <c r="BK239" s="326">
        <f>tblPiNAnalysis[[#This Row],[Preliminary PiN]]</f>
        <v>2118.1428571428601</v>
      </c>
      <c r="BL239" s="331"/>
    </row>
    <row r="240" spans="1:64" ht="24.6" x14ac:dyDescent="0.55000000000000004">
      <c r="A240" s="232" t="str">
        <f>IFERROR(_xlfn.CONCAT(IF(tblPiNAnalysis[[#This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SS1010</v>
      </c>
      <c r="B240" s="316" t="s">
        <v>390</v>
      </c>
      <c r="C240" s="317" t="s">
        <v>391</v>
      </c>
      <c r="D240" s="317" t="s">
        <v>410</v>
      </c>
      <c r="E240" s="105" t="s">
        <v>411</v>
      </c>
      <c r="F240" s="100"/>
      <c r="G240" s="34"/>
      <c r="H240" s="34"/>
      <c r="I240" s="97">
        <v>7750</v>
      </c>
      <c r="J240" s="97" t="s">
        <v>414</v>
      </c>
      <c r="K240" s="318">
        <v>1162.5</v>
      </c>
      <c r="L240" s="319">
        <v>1435.114</v>
      </c>
      <c r="M240" s="319">
        <v>2568.044207503222</v>
      </c>
      <c r="N240" s="319">
        <v>1965.3678550191587</v>
      </c>
      <c r="O240" s="319">
        <v>3793.3158280108482</v>
      </c>
      <c r="P240" s="319">
        <v>5936</v>
      </c>
      <c r="Q240" s="320">
        <v>5904.7619047619046</v>
      </c>
      <c r="R240" s="319">
        <v>5812.5</v>
      </c>
      <c r="S240" s="319">
        <v>3045</v>
      </c>
      <c r="T240" s="319">
        <v>3377</v>
      </c>
      <c r="U240" s="319">
        <v>1545</v>
      </c>
      <c r="V240" s="319">
        <v>2033</v>
      </c>
      <c r="W240" s="321">
        <f>IFERROR(IF(tblPiNAnalysis[[#This Row],[CCCM]]="", "", MROUND(tblPiNAnalysis[[#This Row],[CCCM]]/tblPiNAnalysis[[#This Row],[Affected population projection 2026]], 0.05)), "")</f>
        <v>0.15000000000000002</v>
      </c>
      <c r="X240" s="322">
        <f>IFERROR(IF(tblPiNAnalysis[[#This Row],[Education]]="", "", MROUND(tblPiNAnalysis[[#This Row],[Education]]/tblPiNAnalysis[[#This Row],[Affected population projection 2026]], 0.05)), "")</f>
        <v>0.2</v>
      </c>
      <c r="Y240" s="322">
        <f>IFERROR(IF(tblPiNAnalysis[[#This Row],[Nutrition]]="", "", MROUND(tblPiNAnalysis[[#This Row],[Nutrition]]/tblPiNAnalysis[[#This Row],[Affected population projection 2026]], 0.05)), "")</f>
        <v>0.35000000000000003</v>
      </c>
      <c r="Z240" s="322">
        <f>IFERROR(IF(tblPiNAnalysis[[#This Row],[Food Security]]="", "", MROUND(tblPiNAnalysis[[#This Row],[Food Security]]/tblPiNAnalysis[[#This Row],[Affected population projection 2026]], 0.05)), "")</f>
        <v>0.25</v>
      </c>
      <c r="AA240" s="322">
        <f>IFERROR(IF(tblPiNAnalysis[[#This Row],[Health]]="", "", MROUND(tblPiNAnalysis[[#This Row],[Health]]/tblPiNAnalysis[[#This Row],[Affected population projection 2026]], 0.05)), "")</f>
        <v>0.5</v>
      </c>
      <c r="AB240" s="323">
        <f>IFERROR(IF(tblPiNAnalysis[[#This Row],[Overarching Protection]]="", "", MROUND(tblPiNAnalysis[[#This Row],[Overarching Protection]]/tblPiNAnalysis[[#This Row],[Affected population projection 2026]], 0.05)), "")</f>
        <v>0.75</v>
      </c>
      <c r="AC240" s="323">
        <f>IFERROR(IF(tblPiNAnalysis[[#This Row],[Shelter]]="", "", MROUND(tblPiNAnalysis[[#This Row],[Shelter]]/tblPiNAnalysis[[#This Row],[Affected population projection 2026]], 0.05)), "")</f>
        <v>0.75</v>
      </c>
      <c r="AD240" s="324">
        <f>IFERROR(IF(tblPiNAnalysis[[#This Row],[WASH]]="", "", MROUND(tblPiNAnalysis[[#This Row],[WASH]]/tblPiNAnalysis[[#This Row],[Affected population projection 2026]], 0.05)), "")</f>
        <v>0.75</v>
      </c>
      <c r="AE240" s="322">
        <f>IFERROR(MROUND(tblPiNAnalysis[[#This Row],[CP]]/tblPiNAnalysis[[#This Row],[Affected population projection 2026]], 0.05), "")</f>
        <v>0.4</v>
      </c>
      <c r="AF240" s="322">
        <f>IFERROR(MROUND(tblPiNAnalysis[[#This Row],[GBV]]/tblPiNAnalysis[[#This Row],[Affected population projection 2026]], 0.05), "")</f>
        <v>0.45</v>
      </c>
      <c r="AG240" s="322">
        <f>IFERROR(MROUND(tblPiNAnalysis[[#This Row],[Mine Action]]/tblPiNAnalysis[[#This Row],[Affected population projection 2026]], 0.05), "")</f>
        <v>0.2</v>
      </c>
      <c r="AH240" s="322">
        <f>IFERROR(MROUND(tblPiNAnalysis[[#This Row],[HLP]]/tblPiNAnalysis[[#This Row],[Affected population projection 2026]], 0.05), "")</f>
        <v>0.25</v>
      </c>
      <c r="AI240" s="325">
        <f>IFERROR(LARGE(tblPiNAnalysis[[#This Row],[CCCM]:[WASH]], 1), "")</f>
        <v>5936</v>
      </c>
      <c r="AJ240" s="326" t="str" cm="1">
        <f t="array" ref="AJ240">IF(tblPiNAnalysis[[#This Row],[Highest PiN]]="", "", _xlfn.TEXTJOIN(CHAR(10), TRUE, IF(tblPiNAnalysis[[#This Row],[Highest PiN]]=tblPiNAnalysis[[#This Row],[CCCM]:[WASH]], tblPiNAnalysis[[#Headers],[CCCM]:[WASH]], "")))</f>
        <v>Overarching Protection</v>
      </c>
      <c r="AK240" s="327">
        <f>IF(tblPiNAnalysis[[#This Row],[Highest PiN]]="", "", tblPiNAnalysis[[#This Row],[Highest PiN]]/tblPiNAnalysis[[#This Row],[Affected population projection 2026]])</f>
        <v>0.76593548387096777</v>
      </c>
      <c r="AL240" s="328" t="str">
        <f>IF(SUM(tblPiNAnalysis[[#This Row],[CCCM]:[WASH]])=0, "",IF(COUNTIF(tblPiNAnalysis[[#This Row],[CCCM]:[WASH]],"=0")+COUNTIF(tblPiNAnalysis[[#This Row],[CCCM]:[WASH]],"")&gt;=zero_pin_thresh, "Flagged", ""))</f>
        <v/>
      </c>
      <c r="AM240" s="329" t="str">
        <f>IFERROR(IF(tblPiNAnalysis[[#This Row],[Highest PiN]]="", "", IF(tblPiNAnalysis[[#This Row],[Highest sector(s'') PiN %]]&gt;=flag_pin_perc, "Flagged", "")), "")</f>
        <v/>
      </c>
      <c r="AN240" s="330" t="str" cm="1">
        <f t="array" ref="AN240">IF(tblPiNAnalysis[[#This Row],[Highest PiN]]=0, "",  IF(OR(COUNTIF(tblPiNAnalysis[[#This Row],[Highest sector(s)]],tblSubSectorPopulation[Sector])), "Flagged", ""))</f>
        <v/>
      </c>
      <c r="AO240" s="46" cm="1">
        <f t="array" ref="AO2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5904.7619047619046</v>
      </c>
      <c r="AP240" s="331" t="str" cm="1">
        <f t="array" ref="AP240">IF(tblPiNAnalysis[[#This Row],[2nd Highest PiN]]="", "", _xlfn.TEXTJOIN(CHAR(10), TRUE, IF(tblPiNAnalysis[[#This Row],[2nd Highest PiN]]=tblPiNAnalysis[[#This Row],[CCCM]:[WASH]], tblPiNAnalysis[[#Headers],[CCCM]:[WASH]], "")))</f>
        <v>Shelter</v>
      </c>
      <c r="AQ240" s="36">
        <f>IFERROR(tblPiNAnalysis[[#This Row],[2nd Highest PiN]]/tblPiNAnalysis[[#This Row],[Affected population projection 2026]], "")</f>
        <v>0.76190476190476186</v>
      </c>
      <c r="AR240" s="46">
        <f>IFERROR(tblPiNAnalysis[[#This Row],[Highest PiN]]-tblPiNAnalysis[[#This Row],[2nd Highest PiN]], "")</f>
        <v>31.238095238095411</v>
      </c>
      <c r="AS240" s="39">
        <f>IFERROR(((tblPiNAnalysis[[#This Row],[Highest PiN]]-tblPiNAnalysis[[#This Row],[2nd Highest PiN]])/tblPiNAnalysis[[#This Row],[2nd Highest PiN]]),"")</f>
        <v>5.2903225806451909E-3</v>
      </c>
      <c r="AT240" s="39" t="str" cm="1">
        <f t="array" ref="AT2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40" s="332" cm="1">
        <f t="array" ref="AU2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5812.5</v>
      </c>
      <c r="AV240" s="190" t="str" cm="1">
        <f t="array" ref="AV240">IF(tblPiNAnalysis[[#This Row],[3rd Highest PiN]]="", "", _xlfn.TEXTJOIN(CHAR(10), TRUE, IF(tblPiNAnalysis[[#This Row],[3rd Highest PiN]]=tblPiNAnalysis[[#This Row],[CCCM]:[WASH]], tblPiNAnalysis[[#Headers],[CCCM]:[WASH]], "")))</f>
        <v>WASH</v>
      </c>
      <c r="AW240" s="190">
        <f>IFERROR(tblPiNAnalysis[[#This Row],[3rd Highest PiN]]/tblPiNAnalysis[[#This Row],[Affected population projection 2026]], "")</f>
        <v>0.75</v>
      </c>
      <c r="AX240" s="45">
        <f>IFERROR(tblPiNAnalysis[[#This Row],[Highest PiN]]-tblPiNAnalysis[[#This Row],[3rd Highest PiN]],"")</f>
        <v>123.5</v>
      </c>
      <c r="AY240" s="39">
        <f>IFERROR(tblPiNAnalysis[[#This Row],[Difference of PiN between Highest and 3rd Highest]]/tblPiNAnalysis[[#This Row],[3rd Highest PiN]], "")</f>
        <v>2.1247311827956989E-2</v>
      </c>
      <c r="AZ240" s="330" t="str" cm="1">
        <f t="array" ref="AZ2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40" s="300" t="str" cm="1">
        <f t="array" ref="BA240">IFERROR(IF(tblPiNAnalysis[[#This Row],[ID]]="", "", INDEX(tblPiNHistorical[[CCCM]:[WASH]], MATCH(tblPiNAnalysis[[#This Row],[ID]],tblPiNHistorical[ID], 0),MATCH(_xlfn._xlws.FILTER(tblPiNAnalysis[[#Headers],[CCCM]:[WASH]], tblPiNAnalysis[[#This Row],[Highest PiN]]=tblPiNAnalysis[[#This Row],[CCCM]:[WASH]]), tblPiNHistorical[[#Headers],[CCCM]:[WASH]], 0))), "")</f>
        <v/>
      </c>
      <c r="BB240" s="333" t="str" cm="1">
        <f t="array" ref="BB2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40" s="276" t="str" cm="1">
        <f t="array" ref="BC240">IFERROR(IF(tblPiNAnalysis[[#This Row],[ID]]="", "", INDEX(tblPiNHistorical[[CCCM]:[WASH]], MATCH(tblPiNAnalysis[[#This Row],[ID]],tblPiNHistorical[ID], 0),MATCH(_xlfn._xlws.FILTER(tblPiNAnalysis[[#Headers],[CCCM]:[WASH]], tblPiNAnalysis[[#This Row],[2nd Highest PiN]]=tblPiNAnalysis[[#This Row],[CCCM]:[WASH]]), tblPiNHistorical[[#Headers],[CCCM]:[WASH]], 0))), "")</f>
        <v/>
      </c>
      <c r="BD240" s="334" t="str" cm="1">
        <f t="array" ref="BD2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40" s="276">
        <f>INDEX(tblSeverityAnalysis[Final Severity], MATCH(tblPiNAnalysis[[#This Row],[ID]],tblSeverityAnalysis[ID], 0))</f>
        <v>3</v>
      </c>
      <c r="BF240" s="61">
        <f>IF(tblPiNAnalysis[[#This Row],[Severity]]&gt;2,tblPiNAnalysis[[#This Row],[Highest PiN]],)</f>
        <v>5936</v>
      </c>
      <c r="BG240" s="191"/>
      <c r="BH240" s="192"/>
      <c r="BI240" s="193">
        <f>COUNTIFS(tblPiNAnalysis[[#This Row],[Number of missing / zero PiNs greater than threshold - Data quality]:[Manual Flag]],"Flagged")</f>
        <v>0</v>
      </c>
      <c r="BJ240" s="96" t="str">
        <f>IF(tblPiNAnalysis[[#This Row],['# Flags]]&gt;0, "Flagged", "")</f>
        <v/>
      </c>
      <c r="BK240" s="326">
        <f>tblPiNAnalysis[[#This Row],[Preliminary PiN]]</f>
        <v>5936</v>
      </c>
      <c r="BL240" s="331"/>
    </row>
    <row r="241" spans="1:64" x14ac:dyDescent="0.55000000000000004">
      <c r="A241" s="388"/>
      <c r="B241" s="356"/>
      <c r="C241" s="357"/>
      <c r="D241" s="357"/>
      <c r="E241" s="358"/>
      <c r="F241" s="359"/>
      <c r="G241" s="360"/>
      <c r="H241" s="360"/>
      <c r="I241" s="362"/>
      <c r="J241" s="362"/>
      <c r="K241" s="389">
        <f>SUBTOTAL(109,tblPiNAnalysis[CCCM])</f>
        <v>1359005.6654804838</v>
      </c>
      <c r="L241" s="389">
        <f>SUBTOTAL(109,tblPiNAnalysis[Education])</f>
        <v>2435900.2640912938</v>
      </c>
      <c r="M241" s="389">
        <f>SUBTOTAL(109,tblPiNAnalysis[Nutrition])</f>
        <v>5250932.6034867046</v>
      </c>
      <c r="N241" s="389">
        <f>SUBTOTAL(109,tblPiNAnalysis[Food Security])</f>
        <v>7650961.5530535178</v>
      </c>
      <c r="O241" s="389">
        <f>SUBTOTAL(109,tblPiNAnalysis[Health])</f>
        <v>6269692.2333403639</v>
      </c>
      <c r="P241" s="389">
        <f>SUBTOTAL(109,tblPiNAnalysis[Overarching Protection])</f>
        <v>4867750</v>
      </c>
      <c r="Q241" s="389">
        <f>SUBTOTAL(109,tblPiNAnalysis[Shelter])</f>
        <v>6669355.3914749231</v>
      </c>
      <c r="R241" s="389">
        <f>SUBTOTAL(109,tblPiNAnalysis[WASH])</f>
        <v>6806494.7796443868</v>
      </c>
      <c r="S241" s="389">
        <f>SUBTOTAL(109,tblPiNAnalysis[CP])</f>
        <v>2723959</v>
      </c>
      <c r="T241" s="389">
        <f>SUBTOTAL(109,tblPiNAnalysis[GBV])</f>
        <v>2503282</v>
      </c>
      <c r="U241" s="389">
        <f>SUBTOTAL(109,tblPiNAnalysis[Mine Action])</f>
        <v>1931007</v>
      </c>
      <c r="V241" s="389">
        <f>SUBTOTAL(109,tblPiNAnalysis[HLP])</f>
        <v>1204613</v>
      </c>
      <c r="W241" s="390"/>
      <c r="X241" s="379"/>
      <c r="Y241" s="379"/>
      <c r="Z241" s="379"/>
      <c r="AA241" s="379"/>
      <c r="AB241" s="379"/>
      <c r="AC241" s="379"/>
      <c r="AD241" s="380"/>
      <c r="AE241" s="379"/>
      <c r="AF241" s="379"/>
      <c r="AG241" s="379"/>
      <c r="AH241" s="379"/>
      <c r="AI241" s="391"/>
      <c r="AJ241" s="382"/>
      <c r="AK241" s="369"/>
      <c r="AL241" s="392"/>
      <c r="AM241" s="369"/>
      <c r="AN241" s="381"/>
      <c r="AO241" s="393"/>
      <c r="AP241" s="382"/>
      <c r="AQ241" s="369"/>
      <c r="AR241" s="393"/>
      <c r="AS241" s="369"/>
      <c r="AT241" s="369"/>
      <c r="AU241" s="394"/>
      <c r="AV241" s="383"/>
      <c r="AW241" s="383"/>
      <c r="AX241" s="393"/>
      <c r="AY241" s="369"/>
      <c r="AZ241" s="381"/>
      <c r="BA241" s="384"/>
      <c r="BB241" s="395"/>
      <c r="BC241" s="396"/>
      <c r="BD241" s="397"/>
      <c r="BE241" s="756"/>
      <c r="BF241" s="398"/>
      <c r="BG241" s="385"/>
      <c r="BH241" s="386"/>
      <c r="BI241" s="399"/>
      <c r="BJ241" s="387"/>
      <c r="BK241" s="382"/>
      <c r="BL241" s="382"/>
    </row>
  </sheetData>
  <mergeCells count="17">
    <mergeCell ref="BK2:BL2"/>
    <mergeCell ref="K2:R2"/>
    <mergeCell ref="AO2:AQ2"/>
    <mergeCell ref="BG2:BH2"/>
    <mergeCell ref="AR2:AT2"/>
    <mergeCell ref="BI2:BJ2"/>
    <mergeCell ref="AU2:AW2"/>
    <mergeCell ref="AX2:AZ2"/>
    <mergeCell ref="AI2:AN2"/>
    <mergeCell ref="S2:V2"/>
    <mergeCell ref="W2:AD2"/>
    <mergeCell ref="AE2:AH2"/>
    <mergeCell ref="BE2:BF2"/>
    <mergeCell ref="BA2:BD2"/>
    <mergeCell ref="BI1:BJ1"/>
    <mergeCell ref="B2:G2"/>
    <mergeCell ref="I2:J2"/>
  </mergeCells>
  <phoneticPr fontId="9" type="noConversion"/>
  <conditionalFormatting sqref="AL4:BJ240">
    <cfRule type="containsText" dxfId="23" priority="4" operator="containsText" text="Flagged">
      <formula>NOT(ISERROR(SEARCH("Flagged",AL4)))</formula>
    </cfRule>
  </conditionalFormatting>
  <pageMargins left="0.7" right="0.7" top="0.75" bottom="0.75" header="0.3" footer="0.3"/>
  <pageSetup paperSize="9" orientation="portrait"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7F08-13EC-4BD0-A0D6-D8494FE87FD2}">
  <sheetPr>
    <tabColor theme="7" tint="0.59999389629810485"/>
  </sheetPr>
  <dimension ref="A1:CE244"/>
  <sheetViews>
    <sheetView topLeftCell="AS1" zoomScale="51" zoomScaleNormal="90" workbookViewId="0">
      <selection activeCell="R240" sqref="R240"/>
    </sheetView>
  </sheetViews>
  <sheetFormatPr defaultColWidth="8.578125" defaultRowHeight="14.4" x14ac:dyDescent="0.55000000000000004"/>
  <cols>
    <col min="1" max="1" width="2.83984375" style="68" bestFit="1" customWidth="1"/>
    <col min="2" max="2" width="20" style="107" bestFit="1" customWidth="1"/>
    <col min="3" max="3" width="13.83984375" style="107" customWidth="1"/>
    <col min="4" max="4" width="22.68359375" style="107" bestFit="1" customWidth="1"/>
    <col min="5" max="5" width="14.578125" style="107" customWidth="1"/>
    <col min="6" max="8" width="18.26171875" style="14" hidden="1" customWidth="1"/>
    <col min="9" max="9" width="12.15625" style="15" bestFit="1" customWidth="1"/>
    <col min="10" max="10" width="18" style="15" customWidth="1"/>
    <col min="11" max="11" width="10.26171875" style="22" bestFit="1" customWidth="1"/>
    <col min="12" max="12" width="13.15625" style="15" bestFit="1" customWidth="1"/>
    <col min="13" max="13" width="12" style="15" bestFit="1" customWidth="1"/>
    <col min="14" max="14" width="16" style="15" bestFit="1" customWidth="1"/>
    <col min="15" max="15" width="10.41796875" style="15" bestFit="1" customWidth="1"/>
    <col min="16" max="16" width="14.83984375" style="15" bestFit="1" customWidth="1"/>
    <col min="17" max="17" width="10.83984375" style="15" bestFit="1" customWidth="1"/>
    <col min="18" max="18" width="10.41796875" style="15" bestFit="1" customWidth="1"/>
    <col min="19" max="19" width="7.68359375" style="15" bestFit="1" customWidth="1"/>
    <col min="20" max="20" width="8.83984375" style="15" bestFit="1" customWidth="1"/>
    <col min="21" max="21" width="14.41796875" style="15" bestFit="1" customWidth="1"/>
    <col min="22" max="22" width="8.68359375" style="15" bestFit="1" customWidth="1"/>
    <col min="23" max="23" width="12.26171875" style="15" bestFit="1" customWidth="1"/>
    <col min="24" max="24" width="14.41796875" style="15" bestFit="1" customWidth="1"/>
    <col min="25" max="25" width="13.41796875" style="15" bestFit="1" customWidth="1"/>
    <col min="26" max="26" width="13.26171875" style="15" bestFit="1" customWidth="1"/>
    <col min="27" max="27" width="12.15625" style="15" bestFit="1" customWidth="1"/>
    <col min="28" max="28" width="15.68359375" bestFit="1" customWidth="1"/>
    <col min="29" max="29" width="12.83984375" bestFit="1" customWidth="1"/>
    <col min="30" max="30" width="12.15625" bestFit="1" customWidth="1"/>
    <col min="31" max="31" width="17.68359375" bestFit="1" customWidth="1"/>
    <col min="32" max="32" width="17.83984375" style="15" bestFit="1" customWidth="1"/>
    <col min="33" max="33" width="15.68359375" style="15" bestFit="1" customWidth="1"/>
    <col min="34" max="34" width="10" style="15" bestFit="1" customWidth="1"/>
    <col min="35" max="35" width="12.578125" style="15" customWidth="1"/>
    <col min="36" max="36" width="11.83984375" style="15" bestFit="1" customWidth="1"/>
    <col min="37" max="37" width="14.83984375" style="15" customWidth="1"/>
    <col min="38" max="38" width="14.83984375" style="13" customWidth="1"/>
    <col min="39" max="39" width="14.83984375" style="15" customWidth="1"/>
    <col min="40" max="40" width="14.83984375" customWidth="1"/>
    <col min="41" max="41" width="17.578125" style="22" bestFit="1" customWidth="1"/>
    <col min="42" max="42" width="21.83984375" style="13" bestFit="1" customWidth="1"/>
    <col min="43" max="43" width="15.26171875" style="19" customWidth="1"/>
    <col min="44" max="45" width="15.26171875" style="13" customWidth="1"/>
    <col min="46" max="46" width="15.26171875" customWidth="1"/>
    <col min="47" max="47" width="15.26171875" style="32" customWidth="1"/>
    <col min="48" max="48" width="21.41796875" style="13" bestFit="1" customWidth="1"/>
    <col min="49" max="49" width="16.41796875" style="2" customWidth="1"/>
    <col min="50" max="50" width="16.41796875" style="13" customWidth="1"/>
    <col min="51" max="53" width="16.41796875" customWidth="1"/>
    <col min="54" max="55" width="16.41796875" style="22" customWidth="1"/>
    <col min="56" max="56" width="16.41796875" customWidth="1"/>
    <col min="57" max="57" width="11.68359375" bestFit="1" customWidth="1"/>
    <col min="58" max="58" width="10.15625" style="22" customWidth="1"/>
    <col min="59" max="59" width="14.578125" bestFit="1" customWidth="1"/>
    <col min="60" max="60" width="11.68359375" customWidth="1"/>
    <col min="61" max="61" width="11" style="22" bestFit="1" customWidth="1"/>
    <col min="62" max="62" width="11.578125" style="13" bestFit="1" customWidth="1"/>
    <col min="63" max="63" width="16.578125" style="15" bestFit="1" customWidth="1"/>
    <col min="64" max="64" width="15.26171875" customWidth="1"/>
    <col min="65" max="65" width="23.41796875" style="22" customWidth="1"/>
    <col min="66" max="67" width="25.15625" style="13" customWidth="1"/>
    <col min="68" max="68" width="27.578125" style="13" customWidth="1"/>
    <col min="69" max="69" width="25.41796875" customWidth="1"/>
    <col min="70" max="70" width="24.26171875" customWidth="1"/>
    <col min="71" max="71" width="25.83984375" style="86" customWidth="1"/>
    <col min="72" max="73" width="25.83984375" style="13" customWidth="1"/>
    <col min="74" max="74" width="38.578125" style="13" customWidth="1"/>
    <col min="75" max="75" width="57.26171875" style="13" customWidth="1"/>
    <col min="76" max="76" width="25.41796875" style="13" customWidth="1"/>
    <col min="77" max="77" width="27.26171875" customWidth="1"/>
    <col min="78" max="78" width="22.15625" customWidth="1"/>
    <col min="79" max="79" width="16" style="13" customWidth="1"/>
    <col min="80" max="80" width="11.15625" customWidth="1"/>
    <col min="81" max="81" width="12.578125" style="16" customWidth="1"/>
    <col min="82" max="82" width="20" style="15" bestFit="1" customWidth="1"/>
    <col min="83" max="83" width="46.15625" style="13" customWidth="1"/>
  </cols>
  <sheetData>
    <row r="1" spans="1:83" ht="25.8" thickBot="1" x14ac:dyDescent="0.6">
      <c r="A1" s="66"/>
      <c r="B1" s="103"/>
      <c r="C1" s="103"/>
      <c r="D1" s="103"/>
      <c r="E1" s="103"/>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1"/>
      <c r="AI1" s="17"/>
      <c r="AJ1" s="17"/>
      <c r="AK1" s="17"/>
      <c r="AL1" s="141" t="str">
        <f>_xlfn.CONCAT(COUNTIF(tblPiNAnalysis5[Number of missing / zero PiNs greater than threshold - Data quality],"Flagged"), "/", COUNTA(tblPiNAnalysis5[Number of missing / zero PiNs greater than threshold - Data quality]), " (", ROUND((COUNTIF(tblPiNAnalysis5[Number of missing / zero PiNs greater than threshold - Data quality],"Flagged")/(COUNTA(tblPiNAnalysis5[Number of missing / zero PiNs greater than threshold - Data quality]) + COUNTBLANK(tblPiNAnalysis5[Number of missing / zero PiNs greater than threshold - Data quality])))*100, 0), "%) flagged")</f>
        <v>28/237 (6%) flagged</v>
      </c>
      <c r="AM1" s="141" t="str">
        <f>_xlfn.CONCAT(COUNTIF(tblPiNAnalysis5[Highest Target greater than 90% of total affected population],"Flagged"), "/", COUNTA(tblPiNAnalysis5[Admin 1]), " (", ROUND((COUNTIF(tblPiNAnalysis5[Highest Target greater than 90% of total affected population],"Flagged")/(COUNTA(tblPiNAnalysis5[Highest Target greater than 90% of total affected population]) + COUNTBLANK(tblPiNAnalysis5[Highest Target greater than 90% of total affected population])))*100, 0), "%) flagged")</f>
        <v>17/237 (4%) flagged</v>
      </c>
      <c r="AN1" s="133" t="str">
        <f>_xlfn.CONCAT(COUNTIF(tblPiNAnalysis5[Highest sector targets sub-population group(s)],"Flagged"), "/", COUNTA(tblPiNAnalysis5[Admin 1]), " (", ROUND((COUNTIF(tblPiNAnalysis5[Highest sector targets sub-population group(s)],"Flagged")/(COUNTA(tblPiNAnalysis5[Highest sector targets sub-population group(s)]) + COUNTBLANK(tblPiNAnalysis5[Highest sector targets sub-population group(s)])))*100, 0), "%) flagged")</f>
        <v>0/237 (0%) flagged</v>
      </c>
      <c r="AO1" s="21"/>
      <c r="AP1" s="17"/>
      <c r="AQ1" s="74"/>
      <c r="AR1" s="23"/>
      <c r="AS1" s="17"/>
      <c r="AT1" s="133" t="str">
        <f>_xlfn.CONCAT(COUNTIF(tblPiNAnalysis5[% difference is over a specified threshold between Highest and 2nd Highest],"Flagged"), "/", COUNTA(tblPiNAnalysis5[Admin 1]), " (", ROUND((COUNTIF(tblPiNAnalysis5[% difference is over a specified threshold between Highest and 2nd Highest],"Flagged")/(COUNTA(tblPiNAnalysis5[% difference is over a specified threshold between Highest and 2nd Highest]) + COUNTBLANK(tblPiNAnalysis5[% difference is over a specified threshold between Highest and 2nd Highest])))*100, 0), "%) flagged")</f>
        <v>62/237 (15%) flagged</v>
      </c>
      <c r="AU1" s="21"/>
      <c r="AV1" s="17"/>
      <c r="AW1" s="17"/>
      <c r="AX1" s="21"/>
      <c r="AY1" s="17"/>
      <c r="AZ1" s="133" t="str">
        <f>_xlfn.CONCAT(COUNTIF(tblPiNAnalysis5[% difference is over a specified threshold between Highest and 3rd Highest],"Flagged"), "/", COUNTA(tblPiNAnalysis5[Admin 1]), " (", ROUND((COUNTIF(tblPiNAnalysis5[% difference is over a specified threshold between Highest and 3rd Highest],"Flagged")/(COUNTA(tblPiNAnalysis5[% difference is over a specified threshold between Highest and 3rd Highest]) + COUNTBLANK(tblPiNAnalysis5[% difference is over a specified threshold between Highest and 3rd Highest])))*100, 0), "%) flagged")</f>
        <v>73/237 (18%) flagged</v>
      </c>
      <c r="BA1" s="133"/>
      <c r="BB1" s="133" t="str">
        <f>_xlfn.CONCAT(COUNTIF(tblPiNAnalysis5[Change from last year for the highest sector(s) has significantly increased or decreased],"Flagged"), "/", COUNTA(tblPiNAnalysis5[Admin 1]), " (", ROUND((COUNTIF(tblPiNAnalysis5[Change from last year for the highest sector(s) has significantly increased or decreased],"Flagged")/(COUNTA(tblPiNAnalysis5[Change from last year for the highest sector(s) has significantly increased or decreased]) + COUNTBLANK(tblPiNAnalysis5[Change from last year for the highest sector(s) has significantly increased or decreased])))*100, 0), "%) flagged")</f>
        <v>142/237 (43%) flagged</v>
      </c>
      <c r="BC1" s="133"/>
      <c r="BD1" s="133" t="str">
        <f>_xlfn.CONCAT(COUNTIF(tblPiNAnalysis5[Change from last year for the 2nd highest sector(s) has significantly increased or decreased],"Flagged"), "/", COUNTA(tblPiNAnalysis5[Admin 1]), " (", ROUND((COUNTIF(tblPiNAnalysis5[Change from last year for the 2nd highest sector(s) has significantly increased or decreased],"Flagged")/(COUNTA(tblPiNAnalysis5[Change from last year for the 2nd highest sector(s) has significantly increased or decreased]) + COUNTBLANK(tblPiNAnalysis5[Change from last year for the 2nd highest sector(s) has significantly increased or decreased])))*100, 0), "%) flagged")</f>
        <v>147/237 (45%) flagged</v>
      </c>
      <c r="BE1" s="308"/>
      <c r="BF1" s="177"/>
      <c r="BG1" s="133" t="str">
        <f>_xlfn.CONCAT(COUNTIF(tblPiNAnalysis5[Manual Flag],"Flagged"), "/", COUNTA(tblPiNAnalysis5[Admin 1]), " (", ROUND((COUNTIF(tblPiNAnalysis5[Manual Flag],"Flagged")/(COUNTA(tblPiNAnalysis5[Manual Flag]) + COUNTBLANK(tblPiNAnalysis5[Manual Flag])))*100, 0), "%) flagged")</f>
        <v>0/237 (0%) flagged</v>
      </c>
      <c r="BH1" s="178"/>
      <c r="BI1" s="782" t="str">
        <f>_xlfn.CONCAT(COUNTIF(tblPiNAnalysis5[Flagged],"Flagged"), "/", COUNTA(tblPiNAnalysis5[Admin 1]), " (", ROUND((COUNTIF(tblPiNAnalysis5[Flagged],"Flagged")/(COUNTA(tblPiNAnalysis5[Flagged]) + COUNTBLANK(tblPiNAnalysis5[Flagged])))*100, 0), "%) flagged")</f>
        <v>222/237 (88%) flagged</v>
      </c>
      <c r="BJ1" s="783"/>
      <c r="BK1" s="285" t="e">
        <f>SUM(tblPiNAnalysis5[Final Target])</f>
        <v>#N/A</v>
      </c>
      <c r="BL1" s="285"/>
      <c r="BM1"/>
      <c r="BN1"/>
      <c r="BO1"/>
      <c r="BP1"/>
      <c r="BS1"/>
      <c r="BT1"/>
      <c r="BU1"/>
      <c r="BV1"/>
      <c r="BW1"/>
      <c r="BX1"/>
      <c r="CA1"/>
      <c r="CC1"/>
      <c r="CD1"/>
      <c r="CE1"/>
    </row>
    <row r="2" spans="1:83" ht="18.3" thickTop="1" thickBot="1" x14ac:dyDescent="0.6">
      <c r="A2" s="130"/>
      <c r="B2" s="784" t="s">
        <v>61</v>
      </c>
      <c r="C2" s="784"/>
      <c r="D2" s="784"/>
      <c r="E2" s="784"/>
      <c r="F2" s="784"/>
      <c r="G2" s="784"/>
      <c r="H2" s="310"/>
      <c r="I2" s="785" t="s">
        <v>62</v>
      </c>
      <c r="J2" s="785"/>
      <c r="K2" s="787" t="s">
        <v>415</v>
      </c>
      <c r="L2" s="787"/>
      <c r="M2" s="787"/>
      <c r="N2" s="787"/>
      <c r="O2" s="787"/>
      <c r="P2" s="787"/>
      <c r="Q2" s="787"/>
      <c r="R2" s="787"/>
      <c r="S2" s="796" t="s">
        <v>64</v>
      </c>
      <c r="T2" s="796"/>
      <c r="U2" s="796"/>
      <c r="V2" s="797"/>
      <c r="W2" s="798" t="s">
        <v>416</v>
      </c>
      <c r="X2" s="799"/>
      <c r="Y2" s="799"/>
      <c r="Z2" s="799"/>
      <c r="AA2" s="799"/>
      <c r="AB2" s="799"/>
      <c r="AC2" s="799"/>
      <c r="AD2" s="800"/>
      <c r="AE2" s="799" t="s">
        <v>66</v>
      </c>
      <c r="AF2" s="799"/>
      <c r="AG2" s="799"/>
      <c r="AH2" s="800"/>
      <c r="AI2" s="793" t="s">
        <v>67</v>
      </c>
      <c r="AJ2" s="794"/>
      <c r="AK2" s="794"/>
      <c r="AL2" s="794"/>
      <c r="AM2" s="794"/>
      <c r="AN2" s="795"/>
      <c r="AO2" s="788" t="s">
        <v>68</v>
      </c>
      <c r="AP2" s="788"/>
      <c r="AQ2" s="788"/>
      <c r="AR2" s="790" t="s">
        <v>422</v>
      </c>
      <c r="AS2" s="790"/>
      <c r="AT2" s="790"/>
      <c r="AU2" s="788" t="s">
        <v>70</v>
      </c>
      <c r="AV2" s="788"/>
      <c r="AW2" s="788"/>
      <c r="AX2" s="790" t="s">
        <v>425</v>
      </c>
      <c r="AY2" s="790"/>
      <c r="AZ2" s="790"/>
      <c r="BA2" s="779" t="s">
        <v>427</v>
      </c>
      <c r="BB2" s="780"/>
      <c r="BC2" s="780"/>
      <c r="BD2" s="781"/>
      <c r="BE2" s="777"/>
      <c r="BF2" s="778"/>
      <c r="BG2" s="789" t="s">
        <v>47</v>
      </c>
      <c r="BH2" s="789"/>
      <c r="BI2" s="791" t="s">
        <v>73</v>
      </c>
      <c r="BJ2" s="792"/>
      <c r="BK2" s="786"/>
      <c r="BL2" s="786"/>
      <c r="BM2"/>
      <c r="BN2"/>
      <c r="BO2"/>
      <c r="BP2"/>
      <c r="BS2"/>
      <c r="BT2"/>
      <c r="BU2"/>
      <c r="BV2"/>
      <c r="BW2"/>
      <c r="BX2"/>
      <c r="CA2"/>
      <c r="CC2"/>
      <c r="CD2"/>
      <c r="CE2"/>
    </row>
    <row r="3" spans="1:83" ht="69" thickTop="1" thickBot="1" x14ac:dyDescent="0.6">
      <c r="A3" s="49" t="s">
        <v>74</v>
      </c>
      <c r="B3" s="128" t="s">
        <v>75</v>
      </c>
      <c r="C3" s="104" t="s">
        <v>76</v>
      </c>
      <c r="D3" s="104" t="s">
        <v>77</v>
      </c>
      <c r="E3" s="104" t="s">
        <v>78</v>
      </c>
      <c r="F3" s="48" t="s">
        <v>79</v>
      </c>
      <c r="G3" s="48" t="s">
        <v>80</v>
      </c>
      <c r="H3" s="48" t="s">
        <v>228</v>
      </c>
      <c r="I3" s="101" t="s">
        <v>431</v>
      </c>
      <c r="J3" s="49" t="s">
        <v>82</v>
      </c>
      <c r="K3" s="73" t="s">
        <v>83</v>
      </c>
      <c r="L3" s="81" t="s">
        <v>56</v>
      </c>
      <c r="M3" s="81" t="s">
        <v>84</v>
      </c>
      <c r="N3" s="81" t="s">
        <v>85</v>
      </c>
      <c r="O3" s="81" t="s">
        <v>86</v>
      </c>
      <c r="P3" s="81" t="s">
        <v>87</v>
      </c>
      <c r="Q3" s="81" t="s">
        <v>88</v>
      </c>
      <c r="R3" s="116" t="s">
        <v>89</v>
      </c>
      <c r="S3" s="147" t="s">
        <v>90</v>
      </c>
      <c r="T3" s="147" t="s">
        <v>91</v>
      </c>
      <c r="U3" s="147" t="s">
        <v>92</v>
      </c>
      <c r="V3" s="173" t="s">
        <v>93</v>
      </c>
      <c r="W3" s="174" t="s">
        <v>94</v>
      </c>
      <c r="X3" s="175" t="s">
        <v>95</v>
      </c>
      <c r="Y3" s="175" t="s">
        <v>96</v>
      </c>
      <c r="Z3" s="64" t="s">
        <v>97</v>
      </c>
      <c r="AA3" s="64" t="s">
        <v>98</v>
      </c>
      <c r="AB3" s="64" t="s">
        <v>99</v>
      </c>
      <c r="AC3" s="64" t="s">
        <v>100</v>
      </c>
      <c r="AD3" s="65" t="s">
        <v>101</v>
      </c>
      <c r="AE3" s="147" t="s">
        <v>102</v>
      </c>
      <c r="AF3" s="147" t="s">
        <v>103</v>
      </c>
      <c r="AG3" s="147" t="s">
        <v>104</v>
      </c>
      <c r="AH3" s="148" t="s">
        <v>105</v>
      </c>
      <c r="AI3" s="52" t="s">
        <v>417</v>
      </c>
      <c r="AJ3" s="53" t="s">
        <v>107</v>
      </c>
      <c r="AK3" s="53" t="s">
        <v>418</v>
      </c>
      <c r="AL3" s="54" t="s">
        <v>109</v>
      </c>
      <c r="AM3" s="54" t="s">
        <v>430</v>
      </c>
      <c r="AN3" s="54" t="s">
        <v>111</v>
      </c>
      <c r="AO3" s="176" t="s">
        <v>419</v>
      </c>
      <c r="AP3" s="56" t="s">
        <v>113</v>
      </c>
      <c r="AQ3" s="221" t="s">
        <v>420</v>
      </c>
      <c r="AR3" s="57" t="s">
        <v>421</v>
      </c>
      <c r="AS3" s="58" t="s">
        <v>116</v>
      </c>
      <c r="AT3" s="59" t="s">
        <v>117</v>
      </c>
      <c r="AU3" s="109" t="s">
        <v>423</v>
      </c>
      <c r="AV3" s="108" t="s">
        <v>119</v>
      </c>
      <c r="AW3" s="108" t="s">
        <v>424</v>
      </c>
      <c r="AX3" s="57" t="s">
        <v>429</v>
      </c>
      <c r="AY3" s="58" t="s">
        <v>122</v>
      </c>
      <c r="AZ3" s="59" t="s">
        <v>123</v>
      </c>
      <c r="BA3" s="57" t="s">
        <v>124</v>
      </c>
      <c r="BB3" s="166" t="s">
        <v>125</v>
      </c>
      <c r="BC3" s="57" t="s">
        <v>126</v>
      </c>
      <c r="BD3" s="165" t="s">
        <v>127</v>
      </c>
      <c r="BE3" s="309" t="s">
        <v>223</v>
      </c>
      <c r="BF3" s="84" t="s">
        <v>426</v>
      </c>
      <c r="BG3" s="62" t="s">
        <v>47</v>
      </c>
      <c r="BH3" s="55" t="s">
        <v>129</v>
      </c>
      <c r="BI3" s="117" t="s">
        <v>130</v>
      </c>
      <c r="BJ3" s="283" t="s">
        <v>131</v>
      </c>
      <c r="BK3" s="286" t="s">
        <v>428</v>
      </c>
      <c r="BL3" s="287" t="s">
        <v>133</v>
      </c>
      <c r="BM3"/>
      <c r="BN3"/>
      <c r="BO3"/>
      <c r="BP3"/>
      <c r="BS3"/>
      <c r="BT3"/>
      <c r="BU3"/>
      <c r="BV3"/>
      <c r="BW3"/>
      <c r="BX3"/>
      <c r="CA3"/>
      <c r="CC3"/>
      <c r="CD3"/>
      <c r="CE3"/>
    </row>
    <row r="4" spans="1:83" s="244" customFormat="1" ht="27.9" thickTop="1" x14ac:dyDescent="0.55000000000000004">
      <c r="A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 s="259" t="s">
        <v>233</v>
      </c>
      <c r="C4" s="218" t="s">
        <v>234</v>
      </c>
      <c r="D4" s="260" t="s">
        <v>233</v>
      </c>
      <c r="E4" s="260" t="s">
        <v>235</v>
      </c>
      <c r="F4" s="100"/>
      <c r="G4" s="34"/>
      <c r="H4" s="34"/>
      <c r="I4" s="97">
        <v>122221.68957757292</v>
      </c>
      <c r="J4" s="226" t="s">
        <v>412</v>
      </c>
      <c r="K4" s="261">
        <v>20000</v>
      </c>
      <c r="L4" s="219">
        <v>26008.775542107513</v>
      </c>
      <c r="M4" s="219">
        <v>25054.493905922202</v>
      </c>
      <c r="N4" s="219">
        <v>42248.116222548866</v>
      </c>
      <c r="O4" s="219">
        <v>59893.189280265571</v>
      </c>
      <c r="P4" s="219">
        <v>34946.362374556891</v>
      </c>
      <c r="Q4" s="229">
        <v>32934.791785736008</v>
      </c>
      <c r="R4" s="219">
        <v>13202.960293873615</v>
      </c>
      <c r="S4" s="219"/>
      <c r="T4" s="219"/>
      <c r="U4" s="219"/>
      <c r="V4" s="219"/>
      <c r="W4" s="262">
        <f>IFERROR(IF(tblPiNAnalysis5[[#This Row],[CCCM]]="", "", MROUND(tblPiNAnalysis5[[#This Row],[CCCM]]/tblPiNAnalysis5[[#This Row],[Affected population projection 2026]], 0.05)), "")</f>
        <v>0.15000000000000002</v>
      </c>
      <c r="X4" s="263">
        <f>IFERROR(IF(tblPiNAnalysis5[[#This Row],[Education]]="", "", MROUND(tblPiNAnalysis5[[#This Row],[Education]]/tblPiNAnalysis5[[#This Row],[Affected population projection 2026]], 0.05)), "")</f>
        <v>0.2</v>
      </c>
      <c r="Y4" s="263">
        <f>IFERROR(IF(tblPiNAnalysis5[[#This Row],[Nutrition]]="", "", MROUND(tblPiNAnalysis5[[#This Row],[Nutrition]]/tblPiNAnalysis5[[#This Row],[Affected population projection 2026]], 0.05)), "")</f>
        <v>0.2</v>
      </c>
      <c r="Z4" s="263">
        <f>IFERROR(IF(tblPiNAnalysis5[[#This Row],[Food Security]]="", "", MROUND(tblPiNAnalysis5[[#This Row],[Food Security]]/tblPiNAnalysis5[[#This Row],[Affected population projection 2026]], 0.05)), "")</f>
        <v>0.35000000000000003</v>
      </c>
      <c r="AA4" s="263">
        <f>IFERROR(IF(tblPiNAnalysis5[[#This Row],[Health]]="", "", MROUND(tblPiNAnalysis5[[#This Row],[Health]]/tblPiNAnalysis5[[#This Row],[Affected population projection 2026]], 0.05)), "")</f>
        <v>0.5</v>
      </c>
      <c r="AB4" s="264">
        <f>IFERROR(IF(tblPiNAnalysis5[[#This Row],[Overarching Protection]]="", "", MROUND(tblPiNAnalysis5[[#This Row],[Overarching Protection]]/tblPiNAnalysis5[[#This Row],[Affected population projection 2026]], 0.05)), "")</f>
        <v>0.30000000000000004</v>
      </c>
      <c r="AC4" s="264">
        <f>IFERROR(IF(tblPiNAnalysis5[[#This Row],[Shelter]]="", "", MROUND(tblPiNAnalysis5[[#This Row],[Shelter]]/tblPiNAnalysis5[[#This Row],[Affected population projection 2026]], 0.05)), "")</f>
        <v>0.25</v>
      </c>
      <c r="AD4" s="265">
        <f>IFERROR(IF(tblPiNAnalysis5[[#This Row],[WASH]]="", "", MROUND(tblPiNAnalysis5[[#This Row],[WASH]]/tblPiNAnalysis5[[#This Row],[Affected population projection 2026]], 0.05)), "")</f>
        <v>0.1</v>
      </c>
      <c r="AE4" s="263">
        <f>IFERROR(MROUND(tblPiNAnalysis5[[#This Row],[CP]]/tblPiNAnalysis5[[#This Row],[Affected population projection 2026]], 0.05), "")</f>
        <v>0</v>
      </c>
      <c r="AF4" s="263">
        <f>IFERROR(MROUND(tblPiNAnalysis5[[#This Row],[GBV]]/tblPiNAnalysis5[[#This Row],[Affected population projection 2026]], 0.05), "")</f>
        <v>0</v>
      </c>
      <c r="AG4" s="263">
        <f>IFERROR(MROUND(tblPiNAnalysis5[[#This Row],[Mine Action]]/tblPiNAnalysis5[[#This Row],[Affected population projection 2026]], 0.05), "")</f>
        <v>0</v>
      </c>
      <c r="AH4" s="263">
        <f>IFERROR(MROUND(tblPiNAnalysis5[[#This Row],[HLP]]/tblPiNAnalysis5[[#This Row],[Affected population projection 2026]], 0.05), "")</f>
        <v>0</v>
      </c>
      <c r="AI4" s="266">
        <f>IFERROR(LARGE(tblPiNAnalysis5[[#This Row],[CCCM]:[WASH]], 1), "")</f>
        <v>59893.189280265571</v>
      </c>
      <c r="AJ4" s="267" t="str" cm="1">
        <f t="array" ref="AJ4">IF(tblPiNAnalysis5[[#This Row],[Highest Target]]="", "", _xlfn.TEXTJOIN(CHAR(10), TRUE, IF(tblPiNAnalysis5[[#This Row],[Highest Target]]=tblPiNAnalysis5[[#This Row],[CCCM]:[WASH]], tblPiNAnalysis5[[#Headers],[CCCM]:[WASH]], "")))</f>
        <v>Health</v>
      </c>
      <c r="AK4" s="268">
        <f>IF(tblPiNAnalysis5[[#This Row],[Highest Target]]="", "", tblPiNAnalysis5[[#This Row],[Highest Target]]/tblPiNAnalysis5[[#This Row],[Affected population projection 2026]])</f>
        <v>0.49003732060381922</v>
      </c>
      <c r="AL4" s="269" t="str">
        <f>IF(SUM(tblPiNAnalysis5[[#This Row],[CCCM]:[WASH]])=0, "",IF(COUNTIF(tblPiNAnalysis5[[#This Row],[CCCM]:[WASH]],"=0")+COUNTIF(tblPiNAnalysis5[[#This Row],[CCCM]:[WASH]],"")&gt;=zero_pin_thresh, "Flagged", ""))</f>
        <v/>
      </c>
      <c r="AM4" s="268" t="str">
        <f>IFERROR(IF(tblPiNAnalysis5[[#This Row],[Highest Target]]="", "", IF(tblPiNAnalysis5[[#This Row],[Highest sector(s'') Target %]]&gt;=flag_pin_perc, "Flagged", "")), "")</f>
        <v/>
      </c>
      <c r="AN4" s="270" t="str" cm="1">
        <f t="array" ref="AN4">IF(tblPiNAnalysis5[[#This Row],[Highest Target]]=0, "",  IF(OR(COUNTIF(tblPiNAnalysis5[[#This Row],[Highest sector(s)]],tblSubSectorPopulation[Sector])), "Flagged", ""))</f>
        <v/>
      </c>
      <c r="AO4" s="271" cm="1">
        <f t="array" ref="AO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42248.116222548866</v>
      </c>
      <c r="AP4" s="272" t="str" cm="1">
        <f t="array" ref="AP4">IF(tblPiNAnalysis5[[#This Row],[2nd Highest Target]]="", "", _xlfn.TEXTJOIN(CHAR(10), TRUE, IF(tblPiNAnalysis5[[#This Row],[2nd Highest Target]]=tblPiNAnalysis5[[#This Row],[CCCM]:[WASH]], tblPiNAnalysis5[[#Headers],[CCCM]:[WASH]], "")))</f>
        <v>Food Security</v>
      </c>
      <c r="AQ4" s="38">
        <f>IFERROR(tblPiNAnalysis5[[#This Row],[2nd Highest Target]]/tblPiNAnalysis5[[#This Row],[Affected population projection 2026]], "")</f>
        <v>0.34566791187855733</v>
      </c>
      <c r="AR4" s="46">
        <f>IFERROR(tblPiNAnalysis5[[#This Row],[Highest Target]]-tblPiNAnalysis5[[#This Row],[2nd Highest Target]], "")</f>
        <v>17645.073057716705</v>
      </c>
      <c r="AS4" s="39">
        <f>IFERROR(((tblPiNAnalysis5[[#This Row],[Highest Target]]-tblPiNAnalysis5[[#This Row],[2nd Highest Target]])/tblPiNAnalysis5[[#This Row],[2nd Highest Target]]),"")</f>
        <v>0.41765348695710824</v>
      </c>
      <c r="AT4" s="273" t="str" cm="1">
        <f t="array" ref="AT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4" s="274" cm="1">
        <f t="array" ref="AU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34946.362374556891</v>
      </c>
      <c r="AV4" s="275" t="str" cm="1">
        <f t="array" ref="AV4">IF(tblPiNAnalysis5[[#This Row],[3rd Highest Target]]="", "", _xlfn.TEXTJOIN(CHAR(10), TRUE, IF(tblPiNAnalysis5[[#This Row],[3rd Highest Target]]=tblPiNAnalysis5[[#This Row],[CCCM]:[WASH]], tblPiNAnalysis5[[#Headers],[CCCM]:[WASH]], "")))</f>
        <v>Overarching Protection</v>
      </c>
      <c r="AW4" s="190">
        <f>IFERROR(tblPiNAnalysis5[[#This Row],[3rd Highest Target]]/tblPiNAnalysis5[[#This Row],[Affected population projection 2026]], "")</f>
        <v>0.28592602913067056</v>
      </c>
      <c r="AX4" s="46">
        <f>IFERROR(tblPiNAnalysis5[[#This Row],[Highest Target]]-tblPiNAnalysis5[[#This Row],[3rd Highest Target]],"")</f>
        <v>24946.82690570868</v>
      </c>
      <c r="AY4" s="39">
        <f>IFERROR(tblPiNAnalysis5[[#This Row],[Difference of Target between Highest and 3rd Highest]]/tblPiNAnalysis5[[#This Row],[3rd Highest Target]], "")</f>
        <v>0.71386047675942121</v>
      </c>
      <c r="AZ4" s="270" t="str" cm="1">
        <f t="array" ref="AZ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4" s="300" t="str" cm="1">
        <f t="array" ref="BA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 s="276" t="str" cm="1">
        <f t="array" ref="BB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 s="276" t="str" cm="1">
        <f t="array" ref="BC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 s="277" t="str" cm="1">
        <f t="array" ref="BD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 s="277" t="e">
        <f>INDEX(tblSeverityAnalysis[Final Severity], MATCH(tblPiNAnalysis5[[#This Row],[ID]],tblSeverityAnalysis[ID], 0))</f>
        <v>#N/A</v>
      </c>
      <c r="BF4" s="220" t="e">
        <f>IF(tblPiNAnalysis5[[#This Row],[Severity]]&gt;2,tblPiNAnalysis5[[#This Row],[Highest Target]],)</f>
        <v>#N/A</v>
      </c>
      <c r="BG4" s="191"/>
      <c r="BH4" s="192"/>
      <c r="BI4" s="193">
        <f>COUNTIFS(tblPiNAnalysis5[[#This Row],[Number of missing / zero PiNs greater than threshold - Data quality]:[Manual Flag]],"Flagged")</f>
        <v>3</v>
      </c>
      <c r="BJ4" s="284" t="str">
        <f>IF(tblPiNAnalysis5[[#This Row],['# Flags]]&gt;0, "Flagged", "")</f>
        <v>Flagged</v>
      </c>
      <c r="BK4" s="267" t="e">
        <f>tblPiNAnalysis5[[#This Row],[Preliminary Target]]</f>
        <v>#N/A</v>
      </c>
      <c r="BL4" s="272"/>
      <c r="BM4" s="278"/>
      <c r="BN4" s="279"/>
      <c r="BO4" s="279"/>
      <c r="BP4" s="279"/>
      <c r="BS4" s="280"/>
      <c r="BT4" s="279"/>
      <c r="BU4" s="279"/>
      <c r="BV4" s="279"/>
      <c r="BW4" s="279"/>
      <c r="BX4" s="279"/>
      <c r="CA4" s="279"/>
      <c r="CC4" s="281"/>
      <c r="CD4" s="282"/>
      <c r="CE4" s="279"/>
    </row>
    <row r="5" spans="1:83" s="244" customFormat="1" ht="110.7" x14ac:dyDescent="0.55000000000000004">
      <c r="A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 s="259" t="s">
        <v>236</v>
      </c>
      <c r="C5" s="218" t="s">
        <v>237</v>
      </c>
      <c r="D5" s="260" t="s">
        <v>238</v>
      </c>
      <c r="E5" s="260" t="s">
        <v>239</v>
      </c>
      <c r="F5" s="100"/>
      <c r="G5" s="34"/>
      <c r="H5" s="34"/>
      <c r="I5" s="97">
        <v>185655.53028576757</v>
      </c>
      <c r="J5" s="226" t="s">
        <v>412</v>
      </c>
      <c r="K5" s="261">
        <v>0</v>
      </c>
      <c r="L5" s="219">
        <v>0</v>
      </c>
      <c r="M5" s="219">
        <v>0</v>
      </c>
      <c r="N5" s="219">
        <v>0</v>
      </c>
      <c r="O5" s="219">
        <v>0</v>
      </c>
      <c r="P5" s="219">
        <v>0</v>
      </c>
      <c r="Q5" s="229">
        <v>0</v>
      </c>
      <c r="R5" s="219">
        <v>0</v>
      </c>
      <c r="S5" s="219"/>
      <c r="T5" s="219"/>
      <c r="U5" s="219"/>
      <c r="V5" s="219"/>
      <c r="W5" s="262">
        <f>IFERROR(IF(tblPiNAnalysis5[[#This Row],[CCCM]]="", "", MROUND(tblPiNAnalysis5[[#This Row],[CCCM]]/tblPiNAnalysis5[[#This Row],[Affected population projection 2026]], 0.05)), "")</f>
        <v>0</v>
      </c>
      <c r="X5" s="263">
        <f>IFERROR(IF(tblPiNAnalysis5[[#This Row],[Education]]="", "", MROUND(tblPiNAnalysis5[[#This Row],[Education]]/tblPiNAnalysis5[[#This Row],[Affected population projection 2026]], 0.05)), "")</f>
        <v>0</v>
      </c>
      <c r="Y5" s="263">
        <f>IFERROR(IF(tblPiNAnalysis5[[#This Row],[Nutrition]]="", "", MROUND(tblPiNAnalysis5[[#This Row],[Nutrition]]/tblPiNAnalysis5[[#This Row],[Affected population projection 2026]], 0.05)), "")</f>
        <v>0</v>
      </c>
      <c r="Z5" s="263">
        <f>IFERROR(IF(tblPiNAnalysis5[[#This Row],[Food Security]]="", "", MROUND(tblPiNAnalysis5[[#This Row],[Food Security]]/tblPiNAnalysis5[[#This Row],[Affected population projection 2026]], 0.05)), "")</f>
        <v>0</v>
      </c>
      <c r="AA5" s="263">
        <f>IFERROR(IF(tblPiNAnalysis5[[#This Row],[Health]]="", "", MROUND(tblPiNAnalysis5[[#This Row],[Health]]/tblPiNAnalysis5[[#This Row],[Affected population projection 2026]], 0.05)), "")</f>
        <v>0</v>
      </c>
      <c r="AB5" s="264">
        <f>IFERROR(IF(tblPiNAnalysis5[[#This Row],[Overarching Protection]]="", "", MROUND(tblPiNAnalysis5[[#This Row],[Overarching Protection]]/tblPiNAnalysis5[[#This Row],[Affected population projection 2026]], 0.05)), "")</f>
        <v>0</v>
      </c>
      <c r="AC5" s="264">
        <f>IFERROR(IF(tblPiNAnalysis5[[#This Row],[Shelter]]="", "", MROUND(tblPiNAnalysis5[[#This Row],[Shelter]]/tblPiNAnalysis5[[#This Row],[Affected population projection 2026]], 0.05)), "")</f>
        <v>0</v>
      </c>
      <c r="AD5" s="265">
        <f>IFERROR(IF(tblPiNAnalysis5[[#This Row],[WASH]]="", "", MROUND(tblPiNAnalysis5[[#This Row],[WASH]]/tblPiNAnalysis5[[#This Row],[Affected population projection 2026]], 0.05)), "")</f>
        <v>0</v>
      </c>
      <c r="AE5" s="263">
        <f>IFERROR(MROUND(tblPiNAnalysis5[[#This Row],[CP]]/tblPiNAnalysis5[[#This Row],[Affected population projection 2026]], 0.05), "")</f>
        <v>0</v>
      </c>
      <c r="AF5" s="263">
        <f>IFERROR(MROUND(tblPiNAnalysis5[[#This Row],[GBV]]/tblPiNAnalysis5[[#This Row],[Affected population projection 2026]], 0.05), "")</f>
        <v>0</v>
      </c>
      <c r="AG5" s="263">
        <f>IFERROR(MROUND(tblPiNAnalysis5[[#This Row],[Mine Action]]/tblPiNAnalysis5[[#This Row],[Affected population projection 2026]], 0.05), "")</f>
        <v>0</v>
      </c>
      <c r="AH5" s="263">
        <f>IFERROR(MROUND(tblPiNAnalysis5[[#This Row],[HLP]]/tblPiNAnalysis5[[#This Row],[Affected population projection 2026]], 0.05), "")</f>
        <v>0</v>
      </c>
      <c r="AI5" s="266">
        <f>IFERROR(LARGE(tblPiNAnalysis5[[#This Row],[CCCM]:[WASH]], 1), "")</f>
        <v>0</v>
      </c>
      <c r="AJ5" s="267" t="str" cm="1">
        <f t="array" ref="AJ5">IF(tblPiNAnalysis5[[#This Row],[Highest Target]]="", "", _xlfn.TEXTJOIN(CHAR(10), TRUE, IF(tblPiNAnalysis5[[#This Row],[Highest Target]]=tblPiNAnalysis5[[#This Row],[CCCM]:[WASH]], tblPiNAnalysis5[[#Headers],[CCCM]:[WASH]], "")))</f>
        <v>CCCM
Education
Nutrition
Food Security
Health
Overarching Protection
Shelter
WASH</v>
      </c>
      <c r="AK5" s="268">
        <f>IF(tblPiNAnalysis5[[#This Row],[Highest Target]]="", "", tblPiNAnalysis5[[#This Row],[Highest Target]]/tblPiNAnalysis5[[#This Row],[Affected population projection 2026]])</f>
        <v>0</v>
      </c>
      <c r="AL5" s="269" t="str">
        <f>IF(SUM(tblPiNAnalysis5[[#This Row],[CCCM]:[WASH]])=0, "",IF(COUNTIF(tblPiNAnalysis5[[#This Row],[CCCM]:[WASH]],"=0")+COUNTIF(tblPiNAnalysis5[[#This Row],[CCCM]:[WASH]],"")&gt;=zero_pin_thresh, "Flagged", ""))</f>
        <v/>
      </c>
      <c r="AM5" s="268" t="str">
        <f>IFERROR(IF(tblPiNAnalysis5[[#This Row],[Highest Target]]="", "", IF(tblPiNAnalysis5[[#This Row],[Highest sector(s'') Target %]]&gt;=flag_pin_perc, "Flagged", "")), "")</f>
        <v/>
      </c>
      <c r="AN5" s="270" t="str" cm="1">
        <f t="array" ref="AN5">IF(tblPiNAnalysis5[[#This Row],[Highest Target]]=0, "",  IF(OR(COUNTIF(tblPiNAnalysis5[[#This Row],[Highest sector(s)]],tblSubSectorPopulation[Sector])), "Flagged", ""))</f>
        <v/>
      </c>
      <c r="AO5" s="271" cm="1">
        <f t="array" ref="AO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5" s="272" t="str" cm="1">
        <f t="array" ref="AP5">IF(tblPiNAnalysis5[[#This Row],[2nd Highest Target]]="", "", _xlfn.TEXTJOIN(CHAR(10), TRUE, IF(tblPiNAnalysis5[[#This Row],[2nd Highest Target]]=tblPiNAnalysis5[[#This Row],[CCCM]:[WASH]], tblPiNAnalysis5[[#Headers],[CCCM]:[WASH]], "")))</f>
        <v>CCCM
Education
Nutrition
Food Security
Health
Overarching Protection
Shelter
WASH</v>
      </c>
      <c r="AQ5" s="38">
        <f>IFERROR(tblPiNAnalysis5[[#This Row],[2nd Highest Target]]/tblPiNAnalysis5[[#This Row],[Affected population projection 2026]], "")</f>
        <v>0</v>
      </c>
      <c r="AR5" s="46">
        <f>IFERROR(tblPiNAnalysis5[[#This Row],[Highest Target]]-tblPiNAnalysis5[[#This Row],[2nd Highest Target]], "")</f>
        <v>0</v>
      </c>
      <c r="AS5" s="39" t="str">
        <f>IFERROR(((tblPiNAnalysis5[[#This Row],[Highest Target]]-tblPiNAnalysis5[[#This Row],[2nd Highest Target]])/tblPiNAnalysis5[[#This Row],[2nd Highest Target]]),"")</f>
        <v/>
      </c>
      <c r="AT5" s="273" t="str" cm="1">
        <f t="array" ref="AT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 s="274" cm="1">
        <f t="array" ref="AU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5" s="275" t="str" cm="1">
        <f t="array" ref="AV5">IF(tblPiNAnalysis5[[#This Row],[3rd Highest Target]]="", "", _xlfn.TEXTJOIN(CHAR(10), TRUE, IF(tblPiNAnalysis5[[#This Row],[3rd Highest Target]]=tblPiNAnalysis5[[#This Row],[CCCM]:[WASH]], tblPiNAnalysis5[[#Headers],[CCCM]:[WASH]], "")))</f>
        <v>CCCM
Education
Nutrition
Food Security
Health
Overarching Protection
Shelter
WASH</v>
      </c>
      <c r="AW5" s="190">
        <f>IFERROR(tblPiNAnalysis5[[#This Row],[3rd Highest Target]]/tblPiNAnalysis5[[#This Row],[Affected population projection 2026]], "")</f>
        <v>0</v>
      </c>
      <c r="AX5" s="45">
        <f>IFERROR(tblPiNAnalysis5[[#This Row],[Highest Target]]-tblPiNAnalysis5[[#This Row],[3rd Highest Target]],"")</f>
        <v>0</v>
      </c>
      <c r="AY5" s="39" t="str">
        <f>IFERROR(tblPiNAnalysis5[[#This Row],[Difference of Target between Highest and 3rd Highest]]/tblPiNAnalysis5[[#This Row],[3rd Highest Target]], "")</f>
        <v/>
      </c>
      <c r="AZ5" s="270" t="str" cm="1">
        <f t="array" ref="AZ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 s="300" t="str" cm="1">
        <f t="array" ref="BA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 s="276" t="str" cm="1">
        <f t="array" ref="BB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5" s="276" t="str" cm="1">
        <f t="array" ref="BC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 s="277" t="str" cm="1">
        <f t="array" ref="BD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 s="277" t="e">
        <f>INDEX(tblSeverityAnalysis[Final Severity], MATCH(tblPiNAnalysis5[[#This Row],[ID]],tblSeverityAnalysis[ID], 0))</f>
        <v>#N/A</v>
      </c>
      <c r="BF5" s="61" t="e">
        <f>IF(tblPiNAnalysis5[[#This Row],[Severity]]&gt;2,tblPiNAnalysis5[[#This Row],[Highest Target]],)</f>
        <v>#N/A</v>
      </c>
      <c r="BG5" s="191"/>
      <c r="BH5" s="192"/>
      <c r="BI5" s="193">
        <f>COUNTIFS(tblPiNAnalysis5[[#This Row],[Number of missing / zero PiNs greater than threshold - Data quality]:[Manual Flag]],"Flagged")</f>
        <v>2</v>
      </c>
      <c r="BJ5" s="284" t="str">
        <f>IF(tblPiNAnalysis5[[#This Row],['# Flags]]&gt;0, "Flagged", "")</f>
        <v>Flagged</v>
      </c>
      <c r="BK5" s="267" t="e">
        <f>tblPiNAnalysis5[[#This Row],[Preliminary Target]]</f>
        <v>#N/A</v>
      </c>
      <c r="BL5" s="272"/>
      <c r="BM5" s="278"/>
      <c r="BN5" s="279"/>
      <c r="BO5" s="279"/>
      <c r="BP5" s="279"/>
      <c r="BS5" s="280"/>
      <c r="BT5" s="279"/>
      <c r="BU5" s="279"/>
      <c r="BV5" s="279"/>
      <c r="BW5" s="279"/>
      <c r="BX5" s="279"/>
      <c r="CA5" s="279"/>
      <c r="CC5" s="281"/>
      <c r="CD5" s="282"/>
      <c r="CE5" s="279"/>
    </row>
    <row r="6" spans="1:83" s="244" customFormat="1" ht="110.7" x14ac:dyDescent="0.55000000000000004">
      <c r="A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 s="259" t="s">
        <v>236</v>
      </c>
      <c r="C6" s="218" t="s">
        <v>237</v>
      </c>
      <c r="D6" s="260" t="s">
        <v>240</v>
      </c>
      <c r="E6" s="105" t="s">
        <v>241</v>
      </c>
      <c r="F6" s="100"/>
      <c r="G6" s="34"/>
      <c r="H6" s="34"/>
      <c r="I6" s="97">
        <v>16311.747528959717</v>
      </c>
      <c r="J6" s="226" t="s">
        <v>412</v>
      </c>
      <c r="K6" s="261">
        <v>0</v>
      </c>
      <c r="L6" s="219">
        <v>0</v>
      </c>
      <c r="M6" s="219">
        <v>0</v>
      </c>
      <c r="N6" s="219">
        <v>0</v>
      </c>
      <c r="O6" s="219">
        <v>0</v>
      </c>
      <c r="P6" s="219">
        <v>0</v>
      </c>
      <c r="Q6" s="229">
        <v>0</v>
      </c>
      <c r="R6" s="219">
        <v>0</v>
      </c>
      <c r="S6" s="219"/>
      <c r="T6" s="219"/>
      <c r="U6" s="219"/>
      <c r="V6" s="219"/>
      <c r="W6" s="262">
        <f>IFERROR(IF(tblPiNAnalysis5[[#This Row],[CCCM]]="", "", MROUND(tblPiNAnalysis5[[#This Row],[CCCM]]/tblPiNAnalysis5[[#This Row],[Affected population projection 2026]], 0.05)), "")</f>
        <v>0</v>
      </c>
      <c r="X6" s="263">
        <f>IFERROR(IF(tblPiNAnalysis5[[#This Row],[Education]]="", "", MROUND(tblPiNAnalysis5[[#This Row],[Education]]/tblPiNAnalysis5[[#This Row],[Affected population projection 2026]], 0.05)), "")</f>
        <v>0</v>
      </c>
      <c r="Y6" s="263">
        <f>IFERROR(IF(tblPiNAnalysis5[[#This Row],[Nutrition]]="", "", MROUND(tblPiNAnalysis5[[#This Row],[Nutrition]]/tblPiNAnalysis5[[#This Row],[Affected population projection 2026]], 0.05)), "")</f>
        <v>0</v>
      </c>
      <c r="Z6" s="263">
        <f>IFERROR(IF(tblPiNAnalysis5[[#This Row],[Food Security]]="", "", MROUND(tblPiNAnalysis5[[#This Row],[Food Security]]/tblPiNAnalysis5[[#This Row],[Affected population projection 2026]], 0.05)), "")</f>
        <v>0</v>
      </c>
      <c r="AA6" s="263">
        <f>IFERROR(IF(tblPiNAnalysis5[[#This Row],[Health]]="", "", MROUND(tblPiNAnalysis5[[#This Row],[Health]]/tblPiNAnalysis5[[#This Row],[Affected population projection 2026]], 0.05)), "")</f>
        <v>0</v>
      </c>
      <c r="AB6" s="264">
        <f>IFERROR(IF(tblPiNAnalysis5[[#This Row],[Overarching Protection]]="", "", MROUND(tblPiNAnalysis5[[#This Row],[Overarching Protection]]/tblPiNAnalysis5[[#This Row],[Affected population projection 2026]], 0.05)), "")</f>
        <v>0</v>
      </c>
      <c r="AC6" s="264">
        <f>IFERROR(IF(tblPiNAnalysis5[[#This Row],[Shelter]]="", "", MROUND(tblPiNAnalysis5[[#This Row],[Shelter]]/tblPiNAnalysis5[[#This Row],[Affected population projection 2026]], 0.05)), "")</f>
        <v>0</v>
      </c>
      <c r="AD6" s="265">
        <f>IFERROR(IF(tblPiNAnalysis5[[#This Row],[WASH]]="", "", MROUND(tblPiNAnalysis5[[#This Row],[WASH]]/tblPiNAnalysis5[[#This Row],[Affected population projection 2026]], 0.05)), "")</f>
        <v>0</v>
      </c>
      <c r="AE6" s="263">
        <f>IFERROR(MROUND(tblPiNAnalysis5[[#This Row],[CP]]/tblPiNAnalysis5[[#This Row],[Affected population projection 2026]], 0.05), "")</f>
        <v>0</v>
      </c>
      <c r="AF6" s="263">
        <f>IFERROR(MROUND(tblPiNAnalysis5[[#This Row],[GBV]]/tblPiNAnalysis5[[#This Row],[Affected population projection 2026]], 0.05), "")</f>
        <v>0</v>
      </c>
      <c r="AG6" s="263">
        <f>IFERROR(MROUND(tblPiNAnalysis5[[#This Row],[Mine Action]]/tblPiNAnalysis5[[#This Row],[Affected population projection 2026]], 0.05), "")</f>
        <v>0</v>
      </c>
      <c r="AH6" s="263">
        <f>IFERROR(MROUND(tblPiNAnalysis5[[#This Row],[HLP]]/tblPiNAnalysis5[[#This Row],[Affected population projection 2026]], 0.05), "")</f>
        <v>0</v>
      </c>
      <c r="AI6" s="266">
        <f>IFERROR(LARGE(tblPiNAnalysis5[[#This Row],[CCCM]:[WASH]], 1), "")</f>
        <v>0</v>
      </c>
      <c r="AJ6" s="267" t="str" cm="1">
        <f t="array" ref="AJ6">IF(tblPiNAnalysis5[[#This Row],[Highest Target]]="", "", _xlfn.TEXTJOIN(CHAR(10), TRUE, IF(tblPiNAnalysis5[[#This Row],[Highest Target]]=tblPiNAnalysis5[[#This Row],[CCCM]:[WASH]], tblPiNAnalysis5[[#Headers],[CCCM]:[WASH]], "")))</f>
        <v>CCCM
Education
Nutrition
Food Security
Health
Overarching Protection
Shelter
WASH</v>
      </c>
      <c r="AK6" s="268">
        <f>IF(tblPiNAnalysis5[[#This Row],[Highest Target]]="", "", tblPiNAnalysis5[[#This Row],[Highest Target]]/tblPiNAnalysis5[[#This Row],[Affected population projection 2026]])</f>
        <v>0</v>
      </c>
      <c r="AL6" s="269" t="str">
        <f>IF(SUM(tblPiNAnalysis5[[#This Row],[CCCM]:[WASH]])=0, "",IF(COUNTIF(tblPiNAnalysis5[[#This Row],[CCCM]:[WASH]],"=0")+COUNTIF(tblPiNAnalysis5[[#This Row],[CCCM]:[WASH]],"")&gt;=zero_pin_thresh, "Flagged", ""))</f>
        <v/>
      </c>
      <c r="AM6" s="268" t="str">
        <f>IFERROR(IF(tblPiNAnalysis5[[#This Row],[Highest Target]]="", "", IF(tblPiNAnalysis5[[#This Row],[Highest sector(s'') Target %]]&gt;=flag_pin_perc, "Flagged", "")), "")</f>
        <v/>
      </c>
      <c r="AN6" s="270" t="str" cm="1">
        <f t="array" ref="AN6">IF(tblPiNAnalysis5[[#This Row],[Highest Target]]=0, "",  IF(OR(COUNTIF(tblPiNAnalysis5[[#This Row],[Highest sector(s)]],tblSubSectorPopulation[Sector])), "Flagged", ""))</f>
        <v/>
      </c>
      <c r="AO6" s="271" cm="1">
        <f t="array" ref="AO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6" s="272" t="str" cm="1">
        <f t="array" ref="AP6">IF(tblPiNAnalysis5[[#This Row],[2nd Highest Target]]="", "", _xlfn.TEXTJOIN(CHAR(10), TRUE, IF(tblPiNAnalysis5[[#This Row],[2nd Highest Target]]=tblPiNAnalysis5[[#This Row],[CCCM]:[WASH]], tblPiNAnalysis5[[#Headers],[CCCM]:[WASH]], "")))</f>
        <v>CCCM
Education
Nutrition
Food Security
Health
Overarching Protection
Shelter
WASH</v>
      </c>
      <c r="AQ6" s="38">
        <f>IFERROR(tblPiNAnalysis5[[#This Row],[2nd Highest Target]]/tblPiNAnalysis5[[#This Row],[Affected population projection 2026]], "")</f>
        <v>0</v>
      </c>
      <c r="AR6" s="46">
        <f>IFERROR(tblPiNAnalysis5[[#This Row],[Highest Target]]-tblPiNAnalysis5[[#This Row],[2nd Highest Target]], "")</f>
        <v>0</v>
      </c>
      <c r="AS6" s="39" t="str">
        <f>IFERROR(((tblPiNAnalysis5[[#This Row],[Highest Target]]-tblPiNAnalysis5[[#This Row],[2nd Highest Target]])/tblPiNAnalysis5[[#This Row],[2nd Highest Target]]),"")</f>
        <v/>
      </c>
      <c r="AT6" s="273" t="str" cm="1">
        <f t="array" ref="AT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 s="274" cm="1">
        <f t="array" ref="AU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6" s="275" t="str" cm="1">
        <f t="array" ref="AV6">IF(tblPiNAnalysis5[[#This Row],[3rd Highest Target]]="", "", _xlfn.TEXTJOIN(CHAR(10), TRUE, IF(tblPiNAnalysis5[[#This Row],[3rd Highest Target]]=tblPiNAnalysis5[[#This Row],[CCCM]:[WASH]], tblPiNAnalysis5[[#Headers],[CCCM]:[WASH]], "")))</f>
        <v>CCCM
Education
Nutrition
Food Security
Health
Overarching Protection
Shelter
WASH</v>
      </c>
      <c r="AW6" s="190">
        <f>IFERROR(tblPiNAnalysis5[[#This Row],[3rd Highest Target]]/tblPiNAnalysis5[[#This Row],[Affected population projection 2026]], "")</f>
        <v>0</v>
      </c>
      <c r="AX6" s="45">
        <f>IFERROR(tblPiNAnalysis5[[#This Row],[Highest Target]]-tblPiNAnalysis5[[#This Row],[3rd Highest Target]],"")</f>
        <v>0</v>
      </c>
      <c r="AY6" s="39" t="str">
        <f>IFERROR(tblPiNAnalysis5[[#This Row],[Difference of Target between Highest and 3rd Highest]]/tblPiNAnalysis5[[#This Row],[3rd Highest Target]], "")</f>
        <v/>
      </c>
      <c r="AZ6" s="270" t="str" cm="1">
        <f t="array" ref="AZ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 s="300" t="str" cm="1">
        <f t="array" ref="BA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 s="276" t="str" cm="1">
        <f t="array" ref="BB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 s="276" t="str" cm="1">
        <f t="array" ref="BC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 s="277" t="str" cm="1">
        <f t="array" ref="BD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 s="277" t="e">
        <f>INDEX(tblSeverityAnalysis[Final Severity], MATCH(tblPiNAnalysis5[[#This Row],[ID]],tblSeverityAnalysis[ID], 0))</f>
        <v>#N/A</v>
      </c>
      <c r="BF6" s="61" t="e">
        <f>IF(tblPiNAnalysis5[[#This Row],[Severity]]&gt;2,tblPiNAnalysis5[[#This Row],[Highest Target]],)</f>
        <v>#N/A</v>
      </c>
      <c r="BG6" s="191"/>
      <c r="BH6" s="192"/>
      <c r="BI6" s="193">
        <f>COUNTIFS(tblPiNAnalysis5[[#This Row],[Number of missing / zero PiNs greater than threshold - Data quality]:[Manual Flag]],"Flagged")</f>
        <v>2</v>
      </c>
      <c r="BJ6" s="284" t="str">
        <f>IF(tblPiNAnalysis5[[#This Row],['# Flags]]&gt;0, "Flagged", "")</f>
        <v>Flagged</v>
      </c>
      <c r="BK6" s="267" t="e">
        <f>tblPiNAnalysis5[[#This Row],[Preliminary Target]]</f>
        <v>#N/A</v>
      </c>
      <c r="BL6" s="272"/>
      <c r="BM6" s="278"/>
      <c r="BN6" s="279"/>
      <c r="BO6" s="279"/>
      <c r="BP6" s="279"/>
      <c r="BS6" s="280"/>
      <c r="BT6" s="279"/>
      <c r="BU6" s="279"/>
      <c r="BV6" s="279"/>
      <c r="BW6" s="279"/>
      <c r="BX6" s="279"/>
      <c r="CA6" s="279"/>
      <c r="CC6" s="281"/>
      <c r="CD6" s="282"/>
      <c r="CE6" s="279"/>
    </row>
    <row r="7" spans="1:83" s="244" customFormat="1" ht="110.7" x14ac:dyDescent="0.55000000000000004">
      <c r="A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 s="259" t="s">
        <v>236</v>
      </c>
      <c r="C7" s="218" t="s">
        <v>237</v>
      </c>
      <c r="D7" s="260" t="s">
        <v>242</v>
      </c>
      <c r="E7" s="105" t="s">
        <v>243</v>
      </c>
      <c r="F7" s="100"/>
      <c r="G7" s="34"/>
      <c r="H7" s="34"/>
      <c r="I7" s="97">
        <v>7434.8763775539119</v>
      </c>
      <c r="J7" s="226" t="s">
        <v>412</v>
      </c>
      <c r="K7" s="261">
        <v>0</v>
      </c>
      <c r="L7" s="219">
        <v>0</v>
      </c>
      <c r="M7" s="219">
        <v>0</v>
      </c>
      <c r="N7" s="219">
        <v>0</v>
      </c>
      <c r="O7" s="219">
        <v>0</v>
      </c>
      <c r="P7" s="219">
        <v>0</v>
      </c>
      <c r="Q7" s="229">
        <v>0</v>
      </c>
      <c r="R7" s="219">
        <v>0</v>
      </c>
      <c r="S7" s="219"/>
      <c r="T7" s="219"/>
      <c r="U7" s="219"/>
      <c r="V7" s="219"/>
      <c r="W7" s="262">
        <f>IFERROR(IF(tblPiNAnalysis5[[#This Row],[CCCM]]="", "", MROUND(tblPiNAnalysis5[[#This Row],[CCCM]]/tblPiNAnalysis5[[#This Row],[Affected population projection 2026]], 0.05)), "")</f>
        <v>0</v>
      </c>
      <c r="X7" s="263">
        <f>IFERROR(IF(tblPiNAnalysis5[[#This Row],[Education]]="", "", MROUND(tblPiNAnalysis5[[#This Row],[Education]]/tblPiNAnalysis5[[#This Row],[Affected population projection 2026]], 0.05)), "")</f>
        <v>0</v>
      </c>
      <c r="Y7" s="263">
        <f>IFERROR(IF(tblPiNAnalysis5[[#This Row],[Nutrition]]="", "", MROUND(tblPiNAnalysis5[[#This Row],[Nutrition]]/tblPiNAnalysis5[[#This Row],[Affected population projection 2026]], 0.05)), "")</f>
        <v>0</v>
      </c>
      <c r="Z7" s="263">
        <f>IFERROR(IF(tblPiNAnalysis5[[#This Row],[Food Security]]="", "", MROUND(tblPiNAnalysis5[[#This Row],[Food Security]]/tblPiNAnalysis5[[#This Row],[Affected population projection 2026]], 0.05)), "")</f>
        <v>0</v>
      </c>
      <c r="AA7" s="263">
        <f>IFERROR(IF(tblPiNAnalysis5[[#This Row],[Health]]="", "", MROUND(tblPiNAnalysis5[[#This Row],[Health]]/tblPiNAnalysis5[[#This Row],[Affected population projection 2026]], 0.05)), "")</f>
        <v>0</v>
      </c>
      <c r="AB7" s="264">
        <f>IFERROR(IF(tblPiNAnalysis5[[#This Row],[Overarching Protection]]="", "", MROUND(tblPiNAnalysis5[[#This Row],[Overarching Protection]]/tblPiNAnalysis5[[#This Row],[Affected population projection 2026]], 0.05)), "")</f>
        <v>0</v>
      </c>
      <c r="AC7" s="264">
        <f>IFERROR(IF(tblPiNAnalysis5[[#This Row],[Shelter]]="", "", MROUND(tblPiNAnalysis5[[#This Row],[Shelter]]/tblPiNAnalysis5[[#This Row],[Affected population projection 2026]], 0.05)), "")</f>
        <v>0</v>
      </c>
      <c r="AD7" s="265">
        <f>IFERROR(IF(tblPiNAnalysis5[[#This Row],[WASH]]="", "", MROUND(tblPiNAnalysis5[[#This Row],[WASH]]/tblPiNAnalysis5[[#This Row],[Affected population projection 2026]], 0.05)), "")</f>
        <v>0</v>
      </c>
      <c r="AE7" s="263">
        <f>IFERROR(MROUND(tblPiNAnalysis5[[#This Row],[CP]]/tblPiNAnalysis5[[#This Row],[Affected population projection 2026]], 0.05), "")</f>
        <v>0</v>
      </c>
      <c r="AF7" s="263">
        <f>IFERROR(MROUND(tblPiNAnalysis5[[#This Row],[GBV]]/tblPiNAnalysis5[[#This Row],[Affected population projection 2026]], 0.05), "")</f>
        <v>0</v>
      </c>
      <c r="AG7" s="263">
        <f>IFERROR(MROUND(tblPiNAnalysis5[[#This Row],[Mine Action]]/tblPiNAnalysis5[[#This Row],[Affected population projection 2026]], 0.05), "")</f>
        <v>0</v>
      </c>
      <c r="AH7" s="263">
        <f>IFERROR(MROUND(tblPiNAnalysis5[[#This Row],[HLP]]/tblPiNAnalysis5[[#This Row],[Affected population projection 2026]], 0.05), "")</f>
        <v>0</v>
      </c>
      <c r="AI7" s="266">
        <f>IFERROR(LARGE(tblPiNAnalysis5[[#This Row],[CCCM]:[WASH]], 1), "")</f>
        <v>0</v>
      </c>
      <c r="AJ7" s="267" t="str" cm="1">
        <f t="array" ref="AJ7">IF(tblPiNAnalysis5[[#This Row],[Highest Target]]="", "", _xlfn.TEXTJOIN(CHAR(10), TRUE, IF(tblPiNAnalysis5[[#This Row],[Highest Target]]=tblPiNAnalysis5[[#This Row],[CCCM]:[WASH]], tblPiNAnalysis5[[#Headers],[CCCM]:[WASH]], "")))</f>
        <v>CCCM
Education
Nutrition
Food Security
Health
Overarching Protection
Shelter
WASH</v>
      </c>
      <c r="AK7" s="268">
        <f>IF(tblPiNAnalysis5[[#This Row],[Highest Target]]="", "", tblPiNAnalysis5[[#This Row],[Highest Target]]/tblPiNAnalysis5[[#This Row],[Affected population projection 2026]])</f>
        <v>0</v>
      </c>
      <c r="AL7" s="269" t="str">
        <f>IF(SUM(tblPiNAnalysis5[[#This Row],[CCCM]:[WASH]])=0, "",IF(COUNTIF(tblPiNAnalysis5[[#This Row],[CCCM]:[WASH]],"=0")+COUNTIF(tblPiNAnalysis5[[#This Row],[CCCM]:[WASH]],"")&gt;=zero_pin_thresh, "Flagged", ""))</f>
        <v/>
      </c>
      <c r="AM7" s="268" t="str">
        <f>IFERROR(IF(tblPiNAnalysis5[[#This Row],[Highest Target]]="", "", IF(tblPiNAnalysis5[[#This Row],[Highest sector(s'') Target %]]&gt;=flag_pin_perc, "Flagged", "")), "")</f>
        <v/>
      </c>
      <c r="AN7" s="270" t="str" cm="1">
        <f t="array" ref="AN7">IF(tblPiNAnalysis5[[#This Row],[Highest Target]]=0, "",  IF(OR(COUNTIF(tblPiNAnalysis5[[#This Row],[Highest sector(s)]],tblSubSectorPopulation[Sector])), "Flagged", ""))</f>
        <v/>
      </c>
      <c r="AO7" s="271" cm="1">
        <f t="array" ref="AO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 s="272" t="str" cm="1">
        <f t="array" ref="AP7">IF(tblPiNAnalysis5[[#This Row],[2nd Highest Target]]="", "", _xlfn.TEXTJOIN(CHAR(10), TRUE, IF(tblPiNAnalysis5[[#This Row],[2nd Highest Target]]=tblPiNAnalysis5[[#This Row],[CCCM]:[WASH]], tblPiNAnalysis5[[#Headers],[CCCM]:[WASH]], "")))</f>
        <v>CCCM
Education
Nutrition
Food Security
Health
Overarching Protection
Shelter
WASH</v>
      </c>
      <c r="AQ7" s="38">
        <f>IFERROR(tblPiNAnalysis5[[#This Row],[2nd Highest Target]]/tblPiNAnalysis5[[#This Row],[Affected population projection 2026]], "")</f>
        <v>0</v>
      </c>
      <c r="AR7" s="46">
        <f>IFERROR(tblPiNAnalysis5[[#This Row],[Highest Target]]-tblPiNAnalysis5[[#This Row],[2nd Highest Target]], "")</f>
        <v>0</v>
      </c>
      <c r="AS7" s="39" t="str">
        <f>IFERROR(((tblPiNAnalysis5[[#This Row],[Highest Target]]-tblPiNAnalysis5[[#This Row],[2nd Highest Target]])/tblPiNAnalysis5[[#This Row],[2nd Highest Target]]),"")</f>
        <v/>
      </c>
      <c r="AT7" s="273" t="str" cm="1">
        <f t="array" ref="AT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 s="274" cm="1">
        <f t="array" ref="AU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 s="275" t="str" cm="1">
        <f t="array" ref="AV7">IF(tblPiNAnalysis5[[#This Row],[3rd Highest Target]]="", "", _xlfn.TEXTJOIN(CHAR(10), TRUE, IF(tblPiNAnalysis5[[#This Row],[3rd Highest Target]]=tblPiNAnalysis5[[#This Row],[CCCM]:[WASH]], tblPiNAnalysis5[[#Headers],[CCCM]:[WASH]], "")))</f>
        <v>CCCM
Education
Nutrition
Food Security
Health
Overarching Protection
Shelter
WASH</v>
      </c>
      <c r="AW7" s="190">
        <f>IFERROR(tblPiNAnalysis5[[#This Row],[3rd Highest Target]]/tblPiNAnalysis5[[#This Row],[Affected population projection 2026]], "")</f>
        <v>0</v>
      </c>
      <c r="AX7" s="45">
        <f>IFERROR(tblPiNAnalysis5[[#This Row],[Highest Target]]-tblPiNAnalysis5[[#This Row],[3rd Highest Target]],"")</f>
        <v>0</v>
      </c>
      <c r="AY7" s="39" t="str">
        <f>IFERROR(tblPiNAnalysis5[[#This Row],[Difference of Target between Highest and 3rd Highest]]/tblPiNAnalysis5[[#This Row],[3rd Highest Target]], "")</f>
        <v/>
      </c>
      <c r="AZ7" s="270" t="str" cm="1">
        <f t="array" ref="AZ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 s="300" t="str" cm="1">
        <f t="array" ref="BA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 s="276" t="str" cm="1">
        <f t="array" ref="BB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 s="276" t="str" cm="1">
        <f t="array" ref="BC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 s="277" t="str" cm="1">
        <f t="array" ref="BD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 s="277" t="e">
        <f>INDEX(tblSeverityAnalysis[Final Severity], MATCH(tblPiNAnalysis5[[#This Row],[ID]],tblSeverityAnalysis[ID], 0))</f>
        <v>#N/A</v>
      </c>
      <c r="BF7" s="61" t="e">
        <f>IF(tblPiNAnalysis5[[#This Row],[Severity]]&gt;2,tblPiNAnalysis5[[#This Row],[Highest Target]],)</f>
        <v>#N/A</v>
      </c>
      <c r="BG7" s="191"/>
      <c r="BH7" s="192"/>
      <c r="BI7" s="193">
        <f>COUNTIFS(tblPiNAnalysis5[[#This Row],[Number of missing / zero PiNs greater than threshold - Data quality]:[Manual Flag]],"Flagged")</f>
        <v>2</v>
      </c>
      <c r="BJ7" s="284" t="str">
        <f>IF(tblPiNAnalysis5[[#This Row],['# Flags]]&gt;0, "Flagged", "")</f>
        <v>Flagged</v>
      </c>
      <c r="BK7" s="267" t="e">
        <f>tblPiNAnalysis5[[#This Row],[Preliminary Target]]</f>
        <v>#N/A</v>
      </c>
      <c r="BL7" s="272"/>
      <c r="BM7" s="278"/>
      <c r="BN7" s="279"/>
      <c r="BO7" s="279"/>
      <c r="BP7" s="279"/>
      <c r="BS7" s="280"/>
      <c r="BT7" s="279"/>
      <c r="BU7" s="279"/>
      <c r="BV7" s="279"/>
      <c r="BW7" s="279"/>
      <c r="BX7" s="279"/>
      <c r="CA7" s="279"/>
      <c r="CC7" s="281"/>
      <c r="CD7" s="282"/>
      <c r="CE7" s="279"/>
    </row>
    <row r="8" spans="1:83" ht="110.7" x14ac:dyDescent="0.55000000000000004">
      <c r="A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 s="316" t="s">
        <v>236</v>
      </c>
      <c r="C8" s="317" t="s">
        <v>237</v>
      </c>
      <c r="D8" s="317" t="s">
        <v>244</v>
      </c>
      <c r="E8" s="105" t="s">
        <v>245</v>
      </c>
      <c r="F8" s="100"/>
      <c r="G8" s="34"/>
      <c r="H8" s="34"/>
      <c r="I8" s="97">
        <v>10995.852324765609</v>
      </c>
      <c r="J8" s="97" t="s">
        <v>412</v>
      </c>
      <c r="K8" s="261">
        <v>0</v>
      </c>
      <c r="L8" s="319">
        <v>0</v>
      </c>
      <c r="M8" s="319">
        <v>0</v>
      </c>
      <c r="N8" s="319">
        <v>0</v>
      </c>
      <c r="O8" s="319">
        <v>0</v>
      </c>
      <c r="P8" s="319">
        <v>0</v>
      </c>
      <c r="Q8" s="229">
        <v>0</v>
      </c>
      <c r="R8" s="319">
        <v>0</v>
      </c>
      <c r="S8" s="319"/>
      <c r="T8" s="319"/>
      <c r="U8" s="319"/>
      <c r="V8" s="319"/>
      <c r="W8" s="321">
        <f>IFERROR(IF(tblPiNAnalysis5[[#This Row],[CCCM]]="", "", MROUND(tblPiNAnalysis5[[#This Row],[CCCM]]/tblPiNAnalysis5[[#This Row],[Affected population projection 2026]], 0.05)), "")</f>
        <v>0</v>
      </c>
      <c r="X8" s="322">
        <f>IFERROR(IF(tblPiNAnalysis5[[#This Row],[Education]]="", "", MROUND(tblPiNAnalysis5[[#This Row],[Education]]/tblPiNAnalysis5[[#This Row],[Affected population projection 2026]], 0.05)), "")</f>
        <v>0</v>
      </c>
      <c r="Y8" s="322">
        <f>IFERROR(IF(tblPiNAnalysis5[[#This Row],[Nutrition]]="", "", MROUND(tblPiNAnalysis5[[#This Row],[Nutrition]]/tblPiNAnalysis5[[#This Row],[Affected population projection 2026]], 0.05)), "")</f>
        <v>0</v>
      </c>
      <c r="Z8" s="322">
        <f>IFERROR(IF(tblPiNAnalysis5[[#This Row],[Food Security]]="", "", MROUND(tblPiNAnalysis5[[#This Row],[Food Security]]/tblPiNAnalysis5[[#This Row],[Affected population projection 2026]], 0.05)), "")</f>
        <v>0</v>
      </c>
      <c r="AA8" s="322">
        <f>IFERROR(IF(tblPiNAnalysis5[[#This Row],[Health]]="", "", MROUND(tblPiNAnalysis5[[#This Row],[Health]]/tblPiNAnalysis5[[#This Row],[Affected population projection 2026]], 0.05)), "")</f>
        <v>0</v>
      </c>
      <c r="AB8" s="323">
        <f>IFERROR(IF(tblPiNAnalysis5[[#This Row],[Overarching Protection]]="", "", MROUND(tblPiNAnalysis5[[#This Row],[Overarching Protection]]/tblPiNAnalysis5[[#This Row],[Affected population projection 2026]], 0.05)), "")</f>
        <v>0</v>
      </c>
      <c r="AC8" s="323">
        <f>IFERROR(IF(tblPiNAnalysis5[[#This Row],[Shelter]]="", "", MROUND(tblPiNAnalysis5[[#This Row],[Shelter]]/tblPiNAnalysis5[[#This Row],[Affected population projection 2026]], 0.05)), "")</f>
        <v>0</v>
      </c>
      <c r="AD8" s="324">
        <f>IFERROR(IF(tblPiNAnalysis5[[#This Row],[WASH]]="", "", MROUND(tblPiNAnalysis5[[#This Row],[WASH]]/tblPiNAnalysis5[[#This Row],[Affected population projection 2026]], 0.05)), "")</f>
        <v>0</v>
      </c>
      <c r="AE8" s="322">
        <f>IFERROR(MROUND(tblPiNAnalysis5[[#This Row],[CP]]/tblPiNAnalysis5[[#This Row],[Affected population projection 2026]], 0.05), "")</f>
        <v>0</v>
      </c>
      <c r="AF8" s="322">
        <f>IFERROR(MROUND(tblPiNAnalysis5[[#This Row],[GBV]]/tblPiNAnalysis5[[#This Row],[Affected population projection 2026]], 0.05), "")</f>
        <v>0</v>
      </c>
      <c r="AG8" s="322">
        <f>IFERROR(MROUND(tblPiNAnalysis5[[#This Row],[Mine Action]]/tblPiNAnalysis5[[#This Row],[Affected population projection 2026]], 0.05), "")</f>
        <v>0</v>
      </c>
      <c r="AH8" s="322">
        <f>IFERROR(MROUND(tblPiNAnalysis5[[#This Row],[HLP]]/tblPiNAnalysis5[[#This Row],[Affected population projection 2026]], 0.05), "")</f>
        <v>0</v>
      </c>
      <c r="AI8" s="325">
        <f>IFERROR(LARGE(tblPiNAnalysis5[[#This Row],[CCCM]:[WASH]], 1), "")</f>
        <v>0</v>
      </c>
      <c r="AJ8" s="326" t="str" cm="1">
        <f t="array" ref="AJ8">IF(tblPiNAnalysis5[[#This Row],[Highest Target]]="", "", _xlfn.TEXTJOIN(CHAR(10), TRUE, IF(tblPiNAnalysis5[[#This Row],[Highest Target]]=tblPiNAnalysis5[[#This Row],[CCCM]:[WASH]], tblPiNAnalysis5[[#Headers],[CCCM]:[WASH]], "")))</f>
        <v>CCCM
Education
Nutrition
Food Security
Health
Overarching Protection
Shelter
WASH</v>
      </c>
      <c r="AK8" s="327">
        <f>IF(tblPiNAnalysis5[[#This Row],[Highest Target]]="", "", tblPiNAnalysis5[[#This Row],[Highest Target]]/tblPiNAnalysis5[[#This Row],[Affected population projection 2026]])</f>
        <v>0</v>
      </c>
      <c r="AL8" s="328" t="str">
        <f>IF(SUM(tblPiNAnalysis5[[#This Row],[CCCM]:[WASH]])=0, "",IF(COUNTIF(tblPiNAnalysis5[[#This Row],[CCCM]:[WASH]],"=0")+COUNTIF(tblPiNAnalysis5[[#This Row],[CCCM]:[WASH]],"")&gt;=zero_pin_thresh, "Flagged", ""))</f>
        <v/>
      </c>
      <c r="AM8" s="329" t="str">
        <f>IFERROR(IF(tblPiNAnalysis5[[#This Row],[Highest Target]]="", "", IF(tblPiNAnalysis5[[#This Row],[Highest sector(s'') Target %]]&gt;=flag_pin_perc, "Flagged", "")), "")</f>
        <v/>
      </c>
      <c r="AN8" s="330" t="str" cm="1">
        <f t="array" ref="AN8">IF(tblPiNAnalysis5[[#This Row],[Highest Target]]=0, "",  IF(OR(COUNTIF(tblPiNAnalysis5[[#This Row],[Highest sector(s)]],tblSubSectorPopulation[Sector])), "Flagged", ""))</f>
        <v/>
      </c>
      <c r="AO8" s="46" cm="1">
        <f t="array" ref="AO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 s="331" t="str" cm="1">
        <f t="array" ref="AP8">IF(tblPiNAnalysis5[[#This Row],[2nd Highest Target]]="", "", _xlfn.TEXTJOIN(CHAR(10), TRUE, IF(tblPiNAnalysis5[[#This Row],[2nd Highest Target]]=tblPiNAnalysis5[[#This Row],[CCCM]:[WASH]], tblPiNAnalysis5[[#Headers],[CCCM]:[WASH]], "")))</f>
        <v>CCCM
Education
Nutrition
Food Security
Health
Overarching Protection
Shelter
WASH</v>
      </c>
      <c r="AQ8" s="36">
        <f>IFERROR(tblPiNAnalysis5[[#This Row],[2nd Highest Target]]/tblPiNAnalysis5[[#This Row],[Affected population projection 2026]], "")</f>
        <v>0</v>
      </c>
      <c r="AR8" s="46">
        <f>IFERROR(tblPiNAnalysis5[[#This Row],[Highest Target]]-tblPiNAnalysis5[[#This Row],[2nd Highest Target]], "")</f>
        <v>0</v>
      </c>
      <c r="AS8" s="39" t="str">
        <f>IFERROR(((tblPiNAnalysis5[[#This Row],[Highest Target]]-tblPiNAnalysis5[[#This Row],[2nd Highest Target]])/tblPiNAnalysis5[[#This Row],[2nd Highest Target]]),"")</f>
        <v/>
      </c>
      <c r="AT8" s="39" t="str" cm="1">
        <f t="array" ref="AT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 s="332" cm="1">
        <f t="array" ref="AU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 s="190" t="str" cm="1">
        <f t="array" ref="AV8">IF(tblPiNAnalysis5[[#This Row],[3rd Highest Target]]="", "", _xlfn.TEXTJOIN(CHAR(10), TRUE, IF(tblPiNAnalysis5[[#This Row],[3rd Highest Target]]=tblPiNAnalysis5[[#This Row],[CCCM]:[WASH]], tblPiNAnalysis5[[#Headers],[CCCM]:[WASH]], "")))</f>
        <v>CCCM
Education
Nutrition
Food Security
Health
Overarching Protection
Shelter
WASH</v>
      </c>
      <c r="AW8" s="190">
        <f>IFERROR(tblPiNAnalysis5[[#This Row],[3rd Highest Target]]/tblPiNAnalysis5[[#This Row],[Affected population projection 2026]], "")</f>
        <v>0</v>
      </c>
      <c r="AX8" s="45">
        <f>IFERROR(tblPiNAnalysis5[[#This Row],[Highest Target]]-tblPiNAnalysis5[[#This Row],[3rd Highest Target]],"")</f>
        <v>0</v>
      </c>
      <c r="AY8" s="39" t="str">
        <f>IFERROR(tblPiNAnalysis5[[#This Row],[Difference of Target between Highest and 3rd Highest]]/tblPiNAnalysis5[[#This Row],[3rd Highest Target]], "")</f>
        <v/>
      </c>
      <c r="AZ8" s="330" t="str" cm="1">
        <f t="array" ref="AZ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 s="300" t="str" cm="1">
        <f t="array" ref="BA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 s="333" t="str" cm="1">
        <f t="array" ref="BB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 s="276" t="str" cm="1">
        <f t="array" ref="BC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 s="334" t="str" cm="1">
        <f t="array" ref="BD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 s="277" t="e">
        <f>INDEX(tblSeverityAnalysis[Final Severity], MATCH(tblPiNAnalysis5[[#This Row],[ID]],tblSeverityAnalysis[ID], 0))</f>
        <v>#N/A</v>
      </c>
      <c r="BF8" s="61" t="e">
        <f>IF(tblPiNAnalysis5[[#This Row],[Severity]]&gt;2,tblPiNAnalysis5[[#This Row],[Highest Target]],)</f>
        <v>#N/A</v>
      </c>
      <c r="BG8" s="191"/>
      <c r="BH8" s="192"/>
      <c r="BI8" s="193">
        <f>COUNTIFS(tblPiNAnalysis5[[#This Row],[Number of missing / zero PiNs greater than threshold - Data quality]:[Manual Flag]],"Flagged")</f>
        <v>2</v>
      </c>
      <c r="BJ8" s="96" t="str">
        <f>IF(tblPiNAnalysis5[[#This Row],['# Flags]]&gt;0, "Flagged", "")</f>
        <v>Flagged</v>
      </c>
      <c r="BK8" s="326" t="e">
        <f>tblPiNAnalysis5[[#This Row],[Preliminary Target]]</f>
        <v>#N/A</v>
      </c>
      <c r="BL8" s="331"/>
    </row>
    <row r="9" spans="1:83" ht="110.7" x14ac:dyDescent="0.55000000000000004">
      <c r="A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 s="316" t="s">
        <v>236</v>
      </c>
      <c r="C9" s="317" t="s">
        <v>237</v>
      </c>
      <c r="D9" s="317" t="s">
        <v>246</v>
      </c>
      <c r="E9" s="105" t="s">
        <v>247</v>
      </c>
      <c r="F9" s="100"/>
      <c r="G9" s="34"/>
      <c r="H9" s="34"/>
      <c r="I9" s="97">
        <v>13333.613326350463</v>
      </c>
      <c r="J9" s="97" t="s">
        <v>412</v>
      </c>
      <c r="K9" s="261">
        <v>0</v>
      </c>
      <c r="L9" s="319">
        <v>0</v>
      </c>
      <c r="M9" s="319">
        <v>0</v>
      </c>
      <c r="N9" s="319">
        <v>0</v>
      </c>
      <c r="O9" s="319">
        <v>0</v>
      </c>
      <c r="P9" s="319">
        <v>0</v>
      </c>
      <c r="Q9" s="229">
        <v>0</v>
      </c>
      <c r="R9" s="319">
        <v>0</v>
      </c>
      <c r="S9" s="319"/>
      <c r="T9" s="319"/>
      <c r="U9" s="319"/>
      <c r="V9" s="319"/>
      <c r="W9" s="321">
        <f>IFERROR(IF(tblPiNAnalysis5[[#This Row],[CCCM]]="", "", MROUND(tblPiNAnalysis5[[#This Row],[CCCM]]/tblPiNAnalysis5[[#This Row],[Affected population projection 2026]], 0.05)), "")</f>
        <v>0</v>
      </c>
      <c r="X9" s="322">
        <f>IFERROR(IF(tblPiNAnalysis5[[#This Row],[Education]]="", "", MROUND(tblPiNAnalysis5[[#This Row],[Education]]/tblPiNAnalysis5[[#This Row],[Affected population projection 2026]], 0.05)), "")</f>
        <v>0</v>
      </c>
      <c r="Y9" s="322">
        <f>IFERROR(IF(tblPiNAnalysis5[[#This Row],[Nutrition]]="", "", MROUND(tblPiNAnalysis5[[#This Row],[Nutrition]]/tblPiNAnalysis5[[#This Row],[Affected population projection 2026]], 0.05)), "")</f>
        <v>0</v>
      </c>
      <c r="Z9" s="322">
        <f>IFERROR(IF(tblPiNAnalysis5[[#This Row],[Food Security]]="", "", MROUND(tblPiNAnalysis5[[#This Row],[Food Security]]/tblPiNAnalysis5[[#This Row],[Affected population projection 2026]], 0.05)), "")</f>
        <v>0</v>
      </c>
      <c r="AA9" s="322">
        <f>IFERROR(IF(tblPiNAnalysis5[[#This Row],[Health]]="", "", MROUND(tblPiNAnalysis5[[#This Row],[Health]]/tblPiNAnalysis5[[#This Row],[Affected population projection 2026]], 0.05)), "")</f>
        <v>0</v>
      </c>
      <c r="AB9" s="323">
        <f>IFERROR(IF(tblPiNAnalysis5[[#This Row],[Overarching Protection]]="", "", MROUND(tblPiNAnalysis5[[#This Row],[Overarching Protection]]/tblPiNAnalysis5[[#This Row],[Affected population projection 2026]], 0.05)), "")</f>
        <v>0</v>
      </c>
      <c r="AC9" s="323">
        <f>IFERROR(IF(tblPiNAnalysis5[[#This Row],[Shelter]]="", "", MROUND(tblPiNAnalysis5[[#This Row],[Shelter]]/tblPiNAnalysis5[[#This Row],[Affected population projection 2026]], 0.05)), "")</f>
        <v>0</v>
      </c>
      <c r="AD9" s="324">
        <f>IFERROR(IF(tblPiNAnalysis5[[#This Row],[WASH]]="", "", MROUND(tblPiNAnalysis5[[#This Row],[WASH]]/tblPiNAnalysis5[[#This Row],[Affected population projection 2026]], 0.05)), "")</f>
        <v>0</v>
      </c>
      <c r="AE9" s="322">
        <f>IFERROR(MROUND(tblPiNAnalysis5[[#This Row],[CP]]/tblPiNAnalysis5[[#This Row],[Affected population projection 2026]], 0.05), "")</f>
        <v>0</v>
      </c>
      <c r="AF9" s="322">
        <f>IFERROR(MROUND(tblPiNAnalysis5[[#This Row],[GBV]]/tblPiNAnalysis5[[#This Row],[Affected population projection 2026]], 0.05), "")</f>
        <v>0</v>
      </c>
      <c r="AG9" s="322">
        <f>IFERROR(MROUND(tblPiNAnalysis5[[#This Row],[Mine Action]]/tblPiNAnalysis5[[#This Row],[Affected population projection 2026]], 0.05), "")</f>
        <v>0</v>
      </c>
      <c r="AH9" s="322">
        <f>IFERROR(MROUND(tblPiNAnalysis5[[#This Row],[HLP]]/tblPiNAnalysis5[[#This Row],[Affected population projection 2026]], 0.05), "")</f>
        <v>0</v>
      </c>
      <c r="AI9" s="325">
        <f>IFERROR(LARGE(tblPiNAnalysis5[[#This Row],[CCCM]:[WASH]], 1), "")</f>
        <v>0</v>
      </c>
      <c r="AJ9" s="326" t="str" cm="1">
        <f t="array" ref="AJ9">IF(tblPiNAnalysis5[[#This Row],[Highest Target]]="", "", _xlfn.TEXTJOIN(CHAR(10), TRUE, IF(tblPiNAnalysis5[[#This Row],[Highest Target]]=tblPiNAnalysis5[[#This Row],[CCCM]:[WASH]], tblPiNAnalysis5[[#Headers],[CCCM]:[WASH]], "")))</f>
        <v>CCCM
Education
Nutrition
Food Security
Health
Overarching Protection
Shelter
WASH</v>
      </c>
      <c r="AK9" s="327">
        <f>IF(tblPiNAnalysis5[[#This Row],[Highest Target]]="", "", tblPiNAnalysis5[[#This Row],[Highest Target]]/tblPiNAnalysis5[[#This Row],[Affected population projection 2026]])</f>
        <v>0</v>
      </c>
      <c r="AL9" s="328" t="str">
        <f>IF(SUM(tblPiNAnalysis5[[#This Row],[CCCM]:[WASH]])=0, "",IF(COUNTIF(tblPiNAnalysis5[[#This Row],[CCCM]:[WASH]],"=0")+COUNTIF(tblPiNAnalysis5[[#This Row],[CCCM]:[WASH]],"")&gt;=zero_pin_thresh, "Flagged", ""))</f>
        <v/>
      </c>
      <c r="AM9" s="329" t="str">
        <f>IFERROR(IF(tblPiNAnalysis5[[#This Row],[Highest Target]]="", "", IF(tblPiNAnalysis5[[#This Row],[Highest sector(s'') Target %]]&gt;=flag_pin_perc, "Flagged", "")), "")</f>
        <v/>
      </c>
      <c r="AN9" s="330" t="str" cm="1">
        <f t="array" ref="AN9">IF(tblPiNAnalysis5[[#This Row],[Highest Target]]=0, "",  IF(OR(COUNTIF(tblPiNAnalysis5[[#This Row],[Highest sector(s)]],tblSubSectorPopulation[Sector])), "Flagged", ""))</f>
        <v/>
      </c>
      <c r="AO9" s="46" cm="1">
        <f t="array" ref="AO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9" s="331" t="str" cm="1">
        <f t="array" ref="AP9">IF(tblPiNAnalysis5[[#This Row],[2nd Highest Target]]="", "", _xlfn.TEXTJOIN(CHAR(10), TRUE, IF(tblPiNAnalysis5[[#This Row],[2nd Highest Target]]=tblPiNAnalysis5[[#This Row],[CCCM]:[WASH]], tblPiNAnalysis5[[#Headers],[CCCM]:[WASH]], "")))</f>
        <v>CCCM
Education
Nutrition
Food Security
Health
Overarching Protection
Shelter
WASH</v>
      </c>
      <c r="AQ9" s="36">
        <f>IFERROR(tblPiNAnalysis5[[#This Row],[2nd Highest Target]]/tblPiNAnalysis5[[#This Row],[Affected population projection 2026]], "")</f>
        <v>0</v>
      </c>
      <c r="AR9" s="46">
        <f>IFERROR(tblPiNAnalysis5[[#This Row],[Highest Target]]-tblPiNAnalysis5[[#This Row],[2nd Highest Target]], "")</f>
        <v>0</v>
      </c>
      <c r="AS9" s="39" t="str">
        <f>IFERROR(((tblPiNAnalysis5[[#This Row],[Highest Target]]-tblPiNAnalysis5[[#This Row],[2nd Highest Target]])/tblPiNAnalysis5[[#This Row],[2nd Highest Target]]),"")</f>
        <v/>
      </c>
      <c r="AT9" s="39" t="str" cm="1">
        <f t="array" ref="AT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 s="332" cm="1">
        <f t="array" ref="AU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9" s="190" t="str" cm="1">
        <f t="array" ref="AV9">IF(tblPiNAnalysis5[[#This Row],[3rd Highest Target]]="", "", _xlfn.TEXTJOIN(CHAR(10), TRUE, IF(tblPiNAnalysis5[[#This Row],[3rd Highest Target]]=tblPiNAnalysis5[[#This Row],[CCCM]:[WASH]], tblPiNAnalysis5[[#Headers],[CCCM]:[WASH]], "")))</f>
        <v>CCCM
Education
Nutrition
Food Security
Health
Overarching Protection
Shelter
WASH</v>
      </c>
      <c r="AW9" s="190">
        <f>IFERROR(tblPiNAnalysis5[[#This Row],[3rd Highest Target]]/tblPiNAnalysis5[[#This Row],[Affected population projection 2026]], "")</f>
        <v>0</v>
      </c>
      <c r="AX9" s="45">
        <f>IFERROR(tblPiNAnalysis5[[#This Row],[Highest Target]]-tblPiNAnalysis5[[#This Row],[3rd Highest Target]],"")</f>
        <v>0</v>
      </c>
      <c r="AY9" s="39" t="str">
        <f>IFERROR(tblPiNAnalysis5[[#This Row],[Difference of Target between Highest and 3rd Highest]]/tblPiNAnalysis5[[#This Row],[3rd Highest Target]], "")</f>
        <v/>
      </c>
      <c r="AZ9" s="330" t="str" cm="1">
        <f t="array" ref="AZ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 s="300" t="str" cm="1">
        <f t="array" ref="BA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 s="333" t="str" cm="1">
        <f t="array" ref="BB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9" s="276" t="str" cm="1">
        <f t="array" ref="BC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 s="334" t="str" cm="1">
        <f t="array" ref="BD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 s="277" t="e">
        <f>INDEX(tblSeverityAnalysis[Final Severity], MATCH(tblPiNAnalysis5[[#This Row],[ID]],tblSeverityAnalysis[ID], 0))</f>
        <v>#N/A</v>
      </c>
      <c r="BF9" s="61" t="e">
        <f>IF(tblPiNAnalysis5[[#This Row],[Severity]]&gt;2,tblPiNAnalysis5[[#This Row],[Highest Target]],)</f>
        <v>#N/A</v>
      </c>
      <c r="BG9" s="191"/>
      <c r="BH9" s="192"/>
      <c r="BI9" s="193">
        <f>COUNTIFS(tblPiNAnalysis5[[#This Row],[Number of missing / zero PiNs greater than threshold - Data quality]:[Manual Flag]],"Flagged")</f>
        <v>2</v>
      </c>
      <c r="BJ9" s="96" t="str">
        <f>IF(tblPiNAnalysis5[[#This Row],['# Flags]]&gt;0, "Flagged", "")</f>
        <v>Flagged</v>
      </c>
      <c r="BK9" s="326" t="e">
        <f>tblPiNAnalysis5[[#This Row],[Preliminary Target]]</f>
        <v>#N/A</v>
      </c>
      <c r="BL9" s="331"/>
    </row>
    <row r="10" spans="1:83" ht="110.7" x14ac:dyDescent="0.55000000000000004">
      <c r="A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 s="316" t="s">
        <v>236</v>
      </c>
      <c r="C10" s="317" t="s">
        <v>237</v>
      </c>
      <c r="D10" s="317" t="s">
        <v>248</v>
      </c>
      <c r="E10" s="105" t="s">
        <v>249</v>
      </c>
      <c r="F10" s="100"/>
      <c r="G10" s="34"/>
      <c r="H10" s="34"/>
      <c r="I10" s="97">
        <v>38535.006634969555</v>
      </c>
      <c r="J10" s="97" t="s">
        <v>412</v>
      </c>
      <c r="K10" s="261">
        <v>0</v>
      </c>
      <c r="L10" s="319">
        <v>0</v>
      </c>
      <c r="M10" s="319">
        <v>0</v>
      </c>
      <c r="N10" s="319">
        <v>0</v>
      </c>
      <c r="O10" s="319">
        <v>0</v>
      </c>
      <c r="P10" s="319">
        <v>0</v>
      </c>
      <c r="Q10" s="229">
        <v>0</v>
      </c>
      <c r="R10" s="319">
        <v>0</v>
      </c>
      <c r="S10" s="319"/>
      <c r="T10" s="319"/>
      <c r="U10" s="319"/>
      <c r="V10" s="319"/>
      <c r="W10" s="321">
        <f>IFERROR(IF(tblPiNAnalysis5[[#This Row],[CCCM]]="", "", MROUND(tblPiNAnalysis5[[#This Row],[CCCM]]/tblPiNAnalysis5[[#This Row],[Affected population projection 2026]], 0.05)), "")</f>
        <v>0</v>
      </c>
      <c r="X10" s="322">
        <f>IFERROR(IF(tblPiNAnalysis5[[#This Row],[Education]]="", "", MROUND(tblPiNAnalysis5[[#This Row],[Education]]/tblPiNAnalysis5[[#This Row],[Affected population projection 2026]], 0.05)), "")</f>
        <v>0</v>
      </c>
      <c r="Y10" s="322">
        <f>IFERROR(IF(tblPiNAnalysis5[[#This Row],[Nutrition]]="", "", MROUND(tblPiNAnalysis5[[#This Row],[Nutrition]]/tblPiNAnalysis5[[#This Row],[Affected population projection 2026]], 0.05)), "")</f>
        <v>0</v>
      </c>
      <c r="Z10" s="322">
        <f>IFERROR(IF(tblPiNAnalysis5[[#This Row],[Food Security]]="", "", MROUND(tblPiNAnalysis5[[#This Row],[Food Security]]/tblPiNAnalysis5[[#This Row],[Affected population projection 2026]], 0.05)), "")</f>
        <v>0</v>
      </c>
      <c r="AA10" s="322">
        <f>IFERROR(IF(tblPiNAnalysis5[[#This Row],[Health]]="", "", MROUND(tblPiNAnalysis5[[#This Row],[Health]]/tblPiNAnalysis5[[#This Row],[Affected population projection 2026]], 0.05)), "")</f>
        <v>0</v>
      </c>
      <c r="AB10" s="323">
        <f>IFERROR(IF(tblPiNAnalysis5[[#This Row],[Overarching Protection]]="", "", MROUND(tblPiNAnalysis5[[#This Row],[Overarching Protection]]/tblPiNAnalysis5[[#This Row],[Affected population projection 2026]], 0.05)), "")</f>
        <v>0</v>
      </c>
      <c r="AC10" s="323">
        <f>IFERROR(IF(tblPiNAnalysis5[[#This Row],[Shelter]]="", "", MROUND(tblPiNAnalysis5[[#This Row],[Shelter]]/tblPiNAnalysis5[[#This Row],[Affected population projection 2026]], 0.05)), "")</f>
        <v>0</v>
      </c>
      <c r="AD10" s="324">
        <f>IFERROR(IF(tblPiNAnalysis5[[#This Row],[WASH]]="", "", MROUND(tblPiNAnalysis5[[#This Row],[WASH]]/tblPiNAnalysis5[[#This Row],[Affected population projection 2026]], 0.05)), "")</f>
        <v>0</v>
      </c>
      <c r="AE10" s="322">
        <f>IFERROR(MROUND(tblPiNAnalysis5[[#This Row],[CP]]/tblPiNAnalysis5[[#This Row],[Affected population projection 2026]], 0.05), "")</f>
        <v>0</v>
      </c>
      <c r="AF10" s="322">
        <f>IFERROR(MROUND(tblPiNAnalysis5[[#This Row],[GBV]]/tblPiNAnalysis5[[#This Row],[Affected population projection 2026]], 0.05), "")</f>
        <v>0</v>
      </c>
      <c r="AG10" s="322">
        <f>IFERROR(MROUND(tblPiNAnalysis5[[#This Row],[Mine Action]]/tblPiNAnalysis5[[#This Row],[Affected population projection 2026]], 0.05), "")</f>
        <v>0</v>
      </c>
      <c r="AH10" s="322">
        <f>IFERROR(MROUND(tblPiNAnalysis5[[#This Row],[HLP]]/tblPiNAnalysis5[[#This Row],[Affected population projection 2026]], 0.05), "")</f>
        <v>0</v>
      </c>
      <c r="AI10" s="325">
        <f>IFERROR(LARGE(tblPiNAnalysis5[[#This Row],[CCCM]:[WASH]], 1), "")</f>
        <v>0</v>
      </c>
      <c r="AJ10" s="326" t="str" cm="1">
        <f t="array" ref="AJ10">IF(tblPiNAnalysis5[[#This Row],[Highest Target]]="", "", _xlfn.TEXTJOIN(CHAR(10), TRUE, IF(tblPiNAnalysis5[[#This Row],[Highest Target]]=tblPiNAnalysis5[[#This Row],[CCCM]:[WASH]], tblPiNAnalysis5[[#Headers],[CCCM]:[WASH]], "")))</f>
        <v>CCCM
Education
Nutrition
Food Security
Health
Overarching Protection
Shelter
WASH</v>
      </c>
      <c r="AK10" s="327">
        <f>IF(tblPiNAnalysis5[[#This Row],[Highest Target]]="", "", tblPiNAnalysis5[[#This Row],[Highest Target]]/tblPiNAnalysis5[[#This Row],[Affected population projection 2026]])</f>
        <v>0</v>
      </c>
      <c r="AL10" s="328" t="str">
        <f>IF(SUM(tblPiNAnalysis5[[#This Row],[CCCM]:[WASH]])=0, "",IF(COUNTIF(tblPiNAnalysis5[[#This Row],[CCCM]:[WASH]],"=0")+COUNTIF(tblPiNAnalysis5[[#This Row],[CCCM]:[WASH]],"")&gt;=zero_pin_thresh, "Flagged", ""))</f>
        <v/>
      </c>
      <c r="AM10" s="329" t="str">
        <f>IFERROR(IF(tblPiNAnalysis5[[#This Row],[Highest Target]]="", "", IF(tblPiNAnalysis5[[#This Row],[Highest sector(s'') Target %]]&gt;=flag_pin_perc, "Flagged", "")), "")</f>
        <v/>
      </c>
      <c r="AN10" s="330" t="str" cm="1">
        <f t="array" ref="AN10">IF(tblPiNAnalysis5[[#This Row],[Highest Target]]=0, "",  IF(OR(COUNTIF(tblPiNAnalysis5[[#This Row],[Highest sector(s)]],tblSubSectorPopulation[Sector])), "Flagged", ""))</f>
        <v/>
      </c>
      <c r="AO10" s="46" cm="1">
        <f t="array" ref="AO1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0" s="331" t="str" cm="1">
        <f t="array" ref="AP10">IF(tblPiNAnalysis5[[#This Row],[2nd Highest Target]]="", "", _xlfn.TEXTJOIN(CHAR(10), TRUE, IF(tblPiNAnalysis5[[#This Row],[2nd Highest Target]]=tblPiNAnalysis5[[#This Row],[CCCM]:[WASH]], tblPiNAnalysis5[[#Headers],[CCCM]:[WASH]], "")))</f>
        <v>CCCM
Education
Nutrition
Food Security
Health
Overarching Protection
Shelter
WASH</v>
      </c>
      <c r="AQ10" s="36">
        <f>IFERROR(tblPiNAnalysis5[[#This Row],[2nd Highest Target]]/tblPiNAnalysis5[[#This Row],[Affected population projection 2026]], "")</f>
        <v>0</v>
      </c>
      <c r="AR10" s="46">
        <f>IFERROR(tblPiNAnalysis5[[#This Row],[Highest Target]]-tblPiNAnalysis5[[#This Row],[2nd Highest Target]], "")</f>
        <v>0</v>
      </c>
      <c r="AS10" s="39" t="str">
        <f>IFERROR(((tblPiNAnalysis5[[#This Row],[Highest Target]]-tblPiNAnalysis5[[#This Row],[2nd Highest Target]])/tblPiNAnalysis5[[#This Row],[2nd Highest Target]]),"")</f>
        <v/>
      </c>
      <c r="AT10" s="39" t="str" cm="1">
        <f t="array" ref="AT1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 s="332" cm="1">
        <f t="array" ref="AU1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0" s="190" t="str" cm="1">
        <f t="array" ref="AV10">IF(tblPiNAnalysis5[[#This Row],[3rd Highest Target]]="", "", _xlfn.TEXTJOIN(CHAR(10), TRUE, IF(tblPiNAnalysis5[[#This Row],[3rd Highest Target]]=tblPiNAnalysis5[[#This Row],[CCCM]:[WASH]], tblPiNAnalysis5[[#Headers],[CCCM]:[WASH]], "")))</f>
        <v>CCCM
Education
Nutrition
Food Security
Health
Overarching Protection
Shelter
WASH</v>
      </c>
      <c r="AW10" s="190">
        <f>IFERROR(tblPiNAnalysis5[[#This Row],[3rd Highest Target]]/tblPiNAnalysis5[[#This Row],[Affected population projection 2026]], "")</f>
        <v>0</v>
      </c>
      <c r="AX10" s="45">
        <f>IFERROR(tblPiNAnalysis5[[#This Row],[Highest Target]]-tblPiNAnalysis5[[#This Row],[3rd Highest Target]],"")</f>
        <v>0</v>
      </c>
      <c r="AY10" s="39" t="str">
        <f>IFERROR(tblPiNAnalysis5[[#This Row],[Difference of Target between Highest and 3rd Highest]]/tblPiNAnalysis5[[#This Row],[3rd Highest Target]], "")</f>
        <v/>
      </c>
      <c r="AZ10" s="330" t="str" cm="1">
        <f t="array" ref="AZ1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 s="300" t="str" cm="1">
        <f t="array" ref="BA1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 s="333" t="str" cm="1">
        <f t="array" ref="BB1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 s="276" t="str" cm="1">
        <f t="array" ref="BC1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 s="334" t="str" cm="1">
        <f t="array" ref="BD1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0" s="277" t="e">
        <f>INDEX(tblSeverityAnalysis[Final Severity], MATCH(tblPiNAnalysis5[[#This Row],[ID]],tblSeverityAnalysis[ID], 0))</f>
        <v>#N/A</v>
      </c>
      <c r="BF10" s="61" t="e">
        <f>IF(tblPiNAnalysis5[[#This Row],[Severity]]&gt;2,tblPiNAnalysis5[[#This Row],[Highest Target]],)</f>
        <v>#N/A</v>
      </c>
      <c r="BG10" s="191"/>
      <c r="BH10" s="192"/>
      <c r="BI10" s="193">
        <f>COUNTIFS(tblPiNAnalysis5[[#This Row],[Number of missing / zero PiNs greater than threshold - Data quality]:[Manual Flag]],"Flagged")</f>
        <v>2</v>
      </c>
      <c r="BJ10" s="96" t="str">
        <f>IF(tblPiNAnalysis5[[#This Row],['# Flags]]&gt;0, "Flagged", "")</f>
        <v>Flagged</v>
      </c>
      <c r="BK10" s="326" t="e">
        <f>tblPiNAnalysis5[[#This Row],[Preliminary Target]]</f>
        <v>#N/A</v>
      </c>
      <c r="BL10" s="331"/>
    </row>
    <row r="11" spans="1:83" ht="110.7" x14ac:dyDescent="0.55000000000000004">
      <c r="A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 s="316" t="s">
        <v>250</v>
      </c>
      <c r="C11" s="317" t="s">
        <v>251</v>
      </c>
      <c r="D11" s="317" t="s">
        <v>252</v>
      </c>
      <c r="E11" s="105" t="s">
        <v>253</v>
      </c>
      <c r="F11" s="100"/>
      <c r="G11" s="34"/>
      <c r="H11" s="34"/>
      <c r="I11" s="97">
        <v>4566.5835894145539</v>
      </c>
      <c r="J11" s="97" t="s">
        <v>412</v>
      </c>
      <c r="K11" s="261">
        <v>0</v>
      </c>
      <c r="L11" s="319">
        <v>0</v>
      </c>
      <c r="M11" s="319">
        <v>0</v>
      </c>
      <c r="N11" s="319">
        <v>0</v>
      </c>
      <c r="O11" s="319">
        <v>0</v>
      </c>
      <c r="P11" s="319">
        <v>0</v>
      </c>
      <c r="Q11" s="229">
        <v>0</v>
      </c>
      <c r="R11" s="319">
        <v>0</v>
      </c>
      <c r="S11" s="319"/>
      <c r="T11" s="319"/>
      <c r="U11" s="319"/>
      <c r="V11" s="319"/>
      <c r="W11" s="321">
        <f>IFERROR(IF(tblPiNAnalysis5[[#This Row],[CCCM]]="", "", MROUND(tblPiNAnalysis5[[#This Row],[CCCM]]/tblPiNAnalysis5[[#This Row],[Affected population projection 2026]], 0.05)), "")</f>
        <v>0</v>
      </c>
      <c r="X11" s="322">
        <f>IFERROR(IF(tblPiNAnalysis5[[#This Row],[Education]]="", "", MROUND(tblPiNAnalysis5[[#This Row],[Education]]/tblPiNAnalysis5[[#This Row],[Affected population projection 2026]], 0.05)), "")</f>
        <v>0</v>
      </c>
      <c r="Y11" s="322">
        <f>IFERROR(IF(tblPiNAnalysis5[[#This Row],[Nutrition]]="", "", MROUND(tblPiNAnalysis5[[#This Row],[Nutrition]]/tblPiNAnalysis5[[#This Row],[Affected population projection 2026]], 0.05)), "")</f>
        <v>0</v>
      </c>
      <c r="Z11" s="322">
        <f>IFERROR(IF(tblPiNAnalysis5[[#This Row],[Food Security]]="", "", MROUND(tblPiNAnalysis5[[#This Row],[Food Security]]/tblPiNAnalysis5[[#This Row],[Affected population projection 2026]], 0.05)), "")</f>
        <v>0</v>
      </c>
      <c r="AA11" s="322">
        <f>IFERROR(IF(tblPiNAnalysis5[[#This Row],[Health]]="", "", MROUND(tblPiNAnalysis5[[#This Row],[Health]]/tblPiNAnalysis5[[#This Row],[Affected population projection 2026]], 0.05)), "")</f>
        <v>0</v>
      </c>
      <c r="AB11" s="323">
        <f>IFERROR(IF(tblPiNAnalysis5[[#This Row],[Overarching Protection]]="", "", MROUND(tblPiNAnalysis5[[#This Row],[Overarching Protection]]/tblPiNAnalysis5[[#This Row],[Affected population projection 2026]], 0.05)), "")</f>
        <v>0</v>
      </c>
      <c r="AC11" s="323">
        <f>IFERROR(IF(tblPiNAnalysis5[[#This Row],[Shelter]]="", "", MROUND(tblPiNAnalysis5[[#This Row],[Shelter]]/tblPiNAnalysis5[[#This Row],[Affected population projection 2026]], 0.05)), "")</f>
        <v>0</v>
      </c>
      <c r="AD11" s="324">
        <f>IFERROR(IF(tblPiNAnalysis5[[#This Row],[WASH]]="", "", MROUND(tblPiNAnalysis5[[#This Row],[WASH]]/tblPiNAnalysis5[[#This Row],[Affected population projection 2026]], 0.05)), "")</f>
        <v>0</v>
      </c>
      <c r="AE11" s="322">
        <f>IFERROR(MROUND(tblPiNAnalysis5[[#This Row],[CP]]/tblPiNAnalysis5[[#This Row],[Affected population projection 2026]], 0.05), "")</f>
        <v>0</v>
      </c>
      <c r="AF11" s="322">
        <f>IFERROR(MROUND(tblPiNAnalysis5[[#This Row],[GBV]]/tblPiNAnalysis5[[#This Row],[Affected population projection 2026]], 0.05), "")</f>
        <v>0</v>
      </c>
      <c r="AG11" s="322">
        <f>IFERROR(MROUND(tblPiNAnalysis5[[#This Row],[Mine Action]]/tblPiNAnalysis5[[#This Row],[Affected population projection 2026]], 0.05), "")</f>
        <v>0</v>
      </c>
      <c r="AH11" s="322">
        <f>IFERROR(MROUND(tblPiNAnalysis5[[#This Row],[HLP]]/tblPiNAnalysis5[[#This Row],[Affected population projection 2026]], 0.05), "")</f>
        <v>0</v>
      </c>
      <c r="AI11" s="325">
        <f>IFERROR(LARGE(tblPiNAnalysis5[[#This Row],[CCCM]:[WASH]], 1), "")</f>
        <v>0</v>
      </c>
      <c r="AJ11" s="326" t="str" cm="1">
        <f t="array" ref="AJ11">IF(tblPiNAnalysis5[[#This Row],[Highest Target]]="", "", _xlfn.TEXTJOIN(CHAR(10), TRUE, IF(tblPiNAnalysis5[[#This Row],[Highest Target]]=tblPiNAnalysis5[[#This Row],[CCCM]:[WASH]], tblPiNAnalysis5[[#Headers],[CCCM]:[WASH]], "")))</f>
        <v>CCCM
Education
Nutrition
Food Security
Health
Overarching Protection
Shelter
WASH</v>
      </c>
      <c r="AK11" s="327">
        <f>IF(tblPiNAnalysis5[[#This Row],[Highest Target]]="", "", tblPiNAnalysis5[[#This Row],[Highest Target]]/tblPiNAnalysis5[[#This Row],[Affected population projection 2026]])</f>
        <v>0</v>
      </c>
      <c r="AL11" s="328" t="str">
        <f>IF(SUM(tblPiNAnalysis5[[#This Row],[CCCM]:[WASH]])=0, "",IF(COUNTIF(tblPiNAnalysis5[[#This Row],[CCCM]:[WASH]],"=0")+COUNTIF(tblPiNAnalysis5[[#This Row],[CCCM]:[WASH]],"")&gt;=zero_pin_thresh, "Flagged", ""))</f>
        <v/>
      </c>
      <c r="AM11" s="329" t="str">
        <f>IFERROR(IF(tblPiNAnalysis5[[#This Row],[Highest Target]]="", "", IF(tblPiNAnalysis5[[#This Row],[Highest sector(s'') Target %]]&gt;=flag_pin_perc, "Flagged", "")), "")</f>
        <v/>
      </c>
      <c r="AN11" s="330" t="str" cm="1">
        <f t="array" ref="AN11">IF(tblPiNAnalysis5[[#This Row],[Highest Target]]=0, "",  IF(OR(COUNTIF(tblPiNAnalysis5[[#This Row],[Highest sector(s)]],tblSubSectorPopulation[Sector])), "Flagged", ""))</f>
        <v/>
      </c>
      <c r="AO11" s="46" cm="1">
        <f t="array" ref="AO1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 s="331" t="str" cm="1">
        <f t="array" ref="AP11">IF(tblPiNAnalysis5[[#This Row],[2nd Highest Target]]="", "", _xlfn.TEXTJOIN(CHAR(10), TRUE, IF(tblPiNAnalysis5[[#This Row],[2nd Highest Target]]=tblPiNAnalysis5[[#This Row],[CCCM]:[WASH]], tblPiNAnalysis5[[#Headers],[CCCM]:[WASH]], "")))</f>
        <v>CCCM
Education
Nutrition
Food Security
Health
Overarching Protection
Shelter
WASH</v>
      </c>
      <c r="AQ11" s="36">
        <f>IFERROR(tblPiNAnalysis5[[#This Row],[2nd Highest Target]]/tblPiNAnalysis5[[#This Row],[Affected population projection 2026]], "")</f>
        <v>0</v>
      </c>
      <c r="AR11" s="46">
        <f>IFERROR(tblPiNAnalysis5[[#This Row],[Highest Target]]-tblPiNAnalysis5[[#This Row],[2nd Highest Target]], "")</f>
        <v>0</v>
      </c>
      <c r="AS11" s="39" t="str">
        <f>IFERROR(((tblPiNAnalysis5[[#This Row],[Highest Target]]-tblPiNAnalysis5[[#This Row],[2nd Highest Target]])/tblPiNAnalysis5[[#This Row],[2nd Highest Target]]),"")</f>
        <v/>
      </c>
      <c r="AT11" s="39" t="str" cm="1">
        <f t="array" ref="AT1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 s="332" cm="1">
        <f t="array" ref="AU1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 s="190" t="str" cm="1">
        <f t="array" ref="AV11">IF(tblPiNAnalysis5[[#This Row],[3rd Highest Target]]="", "", _xlfn.TEXTJOIN(CHAR(10), TRUE, IF(tblPiNAnalysis5[[#This Row],[3rd Highest Target]]=tblPiNAnalysis5[[#This Row],[CCCM]:[WASH]], tblPiNAnalysis5[[#Headers],[CCCM]:[WASH]], "")))</f>
        <v>CCCM
Education
Nutrition
Food Security
Health
Overarching Protection
Shelter
WASH</v>
      </c>
      <c r="AW11" s="190">
        <f>IFERROR(tblPiNAnalysis5[[#This Row],[3rd Highest Target]]/tblPiNAnalysis5[[#This Row],[Affected population projection 2026]], "")</f>
        <v>0</v>
      </c>
      <c r="AX11" s="45">
        <f>IFERROR(tblPiNAnalysis5[[#This Row],[Highest Target]]-tblPiNAnalysis5[[#This Row],[3rd Highest Target]],"")</f>
        <v>0</v>
      </c>
      <c r="AY11" s="39" t="str">
        <f>IFERROR(tblPiNAnalysis5[[#This Row],[Difference of Target between Highest and 3rd Highest]]/tblPiNAnalysis5[[#This Row],[3rd Highest Target]], "")</f>
        <v/>
      </c>
      <c r="AZ11" s="330" t="str" cm="1">
        <f t="array" ref="AZ1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 s="300" t="str" cm="1">
        <f t="array" ref="BA1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 s="333" t="str" cm="1">
        <f t="array" ref="BB1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 s="276" t="str" cm="1">
        <f t="array" ref="BC1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 s="334" t="str" cm="1">
        <f t="array" ref="BD1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 s="277" t="e">
        <f>INDEX(tblSeverityAnalysis[Final Severity], MATCH(tblPiNAnalysis5[[#This Row],[ID]],tblSeverityAnalysis[ID], 0))</f>
        <v>#N/A</v>
      </c>
      <c r="BF11" s="61" t="e">
        <f>IF(tblPiNAnalysis5[[#This Row],[Severity]]&gt;2,tblPiNAnalysis5[[#This Row],[Highest Target]],)</f>
        <v>#N/A</v>
      </c>
      <c r="BG11" s="191"/>
      <c r="BH11" s="192"/>
      <c r="BI11" s="193">
        <f>COUNTIFS(tblPiNAnalysis5[[#This Row],[Number of missing / zero PiNs greater than threshold - Data quality]:[Manual Flag]],"Flagged")</f>
        <v>2</v>
      </c>
      <c r="BJ11" s="96" t="str">
        <f>IF(tblPiNAnalysis5[[#This Row],['# Flags]]&gt;0, "Flagged", "")</f>
        <v>Flagged</v>
      </c>
      <c r="BK11" s="326" t="e">
        <f>tblPiNAnalysis5[[#This Row],[Preliminary Target]]</f>
        <v>#N/A</v>
      </c>
      <c r="BL11" s="331"/>
    </row>
    <row r="12" spans="1:83" ht="110.7" x14ac:dyDescent="0.55000000000000004">
      <c r="A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 s="316" t="s">
        <v>250</v>
      </c>
      <c r="C12" s="317" t="s">
        <v>251</v>
      </c>
      <c r="D12" s="317" t="s">
        <v>254</v>
      </c>
      <c r="E12" s="105" t="s">
        <v>255</v>
      </c>
      <c r="F12" s="100"/>
      <c r="G12" s="34"/>
      <c r="H12" s="34"/>
      <c r="I12" s="97">
        <v>6185.6711628854973</v>
      </c>
      <c r="J12" s="97" t="s">
        <v>412</v>
      </c>
      <c r="K12" s="261">
        <v>0</v>
      </c>
      <c r="L12" s="319">
        <v>0</v>
      </c>
      <c r="M12" s="319">
        <v>0</v>
      </c>
      <c r="N12" s="319">
        <v>0</v>
      </c>
      <c r="O12" s="319">
        <v>0</v>
      </c>
      <c r="P12" s="319">
        <v>0</v>
      </c>
      <c r="Q12" s="229">
        <v>0</v>
      </c>
      <c r="R12" s="319">
        <v>0</v>
      </c>
      <c r="S12" s="319"/>
      <c r="T12" s="319"/>
      <c r="U12" s="319"/>
      <c r="V12" s="319"/>
      <c r="W12" s="321">
        <f>IFERROR(IF(tblPiNAnalysis5[[#This Row],[CCCM]]="", "", MROUND(tblPiNAnalysis5[[#This Row],[CCCM]]/tblPiNAnalysis5[[#This Row],[Affected population projection 2026]], 0.05)), "")</f>
        <v>0</v>
      </c>
      <c r="X12" s="322">
        <f>IFERROR(IF(tblPiNAnalysis5[[#This Row],[Education]]="", "", MROUND(tblPiNAnalysis5[[#This Row],[Education]]/tblPiNAnalysis5[[#This Row],[Affected population projection 2026]], 0.05)), "")</f>
        <v>0</v>
      </c>
      <c r="Y12" s="322">
        <f>IFERROR(IF(tblPiNAnalysis5[[#This Row],[Nutrition]]="", "", MROUND(tblPiNAnalysis5[[#This Row],[Nutrition]]/tblPiNAnalysis5[[#This Row],[Affected population projection 2026]], 0.05)), "")</f>
        <v>0</v>
      </c>
      <c r="Z12" s="322">
        <f>IFERROR(IF(tblPiNAnalysis5[[#This Row],[Food Security]]="", "", MROUND(tblPiNAnalysis5[[#This Row],[Food Security]]/tblPiNAnalysis5[[#This Row],[Affected population projection 2026]], 0.05)), "")</f>
        <v>0</v>
      </c>
      <c r="AA12" s="322">
        <f>IFERROR(IF(tblPiNAnalysis5[[#This Row],[Health]]="", "", MROUND(tblPiNAnalysis5[[#This Row],[Health]]/tblPiNAnalysis5[[#This Row],[Affected population projection 2026]], 0.05)), "")</f>
        <v>0</v>
      </c>
      <c r="AB12" s="323">
        <f>IFERROR(IF(tblPiNAnalysis5[[#This Row],[Overarching Protection]]="", "", MROUND(tblPiNAnalysis5[[#This Row],[Overarching Protection]]/tblPiNAnalysis5[[#This Row],[Affected population projection 2026]], 0.05)), "")</f>
        <v>0</v>
      </c>
      <c r="AC12" s="323">
        <f>IFERROR(IF(tblPiNAnalysis5[[#This Row],[Shelter]]="", "", MROUND(tblPiNAnalysis5[[#This Row],[Shelter]]/tblPiNAnalysis5[[#This Row],[Affected population projection 2026]], 0.05)), "")</f>
        <v>0</v>
      </c>
      <c r="AD12" s="324">
        <f>IFERROR(IF(tblPiNAnalysis5[[#This Row],[WASH]]="", "", MROUND(tblPiNAnalysis5[[#This Row],[WASH]]/tblPiNAnalysis5[[#This Row],[Affected population projection 2026]], 0.05)), "")</f>
        <v>0</v>
      </c>
      <c r="AE12" s="322">
        <f>IFERROR(MROUND(tblPiNAnalysis5[[#This Row],[CP]]/tblPiNAnalysis5[[#This Row],[Affected population projection 2026]], 0.05), "")</f>
        <v>0</v>
      </c>
      <c r="AF12" s="322">
        <f>IFERROR(MROUND(tblPiNAnalysis5[[#This Row],[GBV]]/tblPiNAnalysis5[[#This Row],[Affected population projection 2026]], 0.05), "")</f>
        <v>0</v>
      </c>
      <c r="AG12" s="322">
        <f>IFERROR(MROUND(tblPiNAnalysis5[[#This Row],[Mine Action]]/tblPiNAnalysis5[[#This Row],[Affected population projection 2026]], 0.05), "")</f>
        <v>0</v>
      </c>
      <c r="AH12" s="322">
        <f>IFERROR(MROUND(tblPiNAnalysis5[[#This Row],[HLP]]/tblPiNAnalysis5[[#This Row],[Affected population projection 2026]], 0.05), "")</f>
        <v>0</v>
      </c>
      <c r="AI12" s="325">
        <f>IFERROR(LARGE(tblPiNAnalysis5[[#This Row],[CCCM]:[WASH]], 1), "")</f>
        <v>0</v>
      </c>
      <c r="AJ12" s="326" t="str" cm="1">
        <f t="array" ref="AJ12">IF(tblPiNAnalysis5[[#This Row],[Highest Target]]="", "", _xlfn.TEXTJOIN(CHAR(10), TRUE, IF(tblPiNAnalysis5[[#This Row],[Highest Target]]=tblPiNAnalysis5[[#This Row],[CCCM]:[WASH]], tblPiNAnalysis5[[#Headers],[CCCM]:[WASH]], "")))</f>
        <v>CCCM
Education
Nutrition
Food Security
Health
Overarching Protection
Shelter
WASH</v>
      </c>
      <c r="AK12" s="327">
        <f>IF(tblPiNAnalysis5[[#This Row],[Highest Target]]="", "", tblPiNAnalysis5[[#This Row],[Highest Target]]/tblPiNAnalysis5[[#This Row],[Affected population projection 2026]])</f>
        <v>0</v>
      </c>
      <c r="AL12" s="328" t="str">
        <f>IF(SUM(tblPiNAnalysis5[[#This Row],[CCCM]:[WASH]])=0, "",IF(COUNTIF(tblPiNAnalysis5[[#This Row],[CCCM]:[WASH]],"=0")+COUNTIF(tblPiNAnalysis5[[#This Row],[CCCM]:[WASH]],"")&gt;=zero_pin_thresh, "Flagged", ""))</f>
        <v/>
      </c>
      <c r="AM12" s="329" t="str">
        <f>IFERROR(IF(tblPiNAnalysis5[[#This Row],[Highest Target]]="", "", IF(tblPiNAnalysis5[[#This Row],[Highest sector(s'') Target %]]&gt;=flag_pin_perc, "Flagged", "")), "")</f>
        <v/>
      </c>
      <c r="AN12" s="330" t="str" cm="1">
        <f t="array" ref="AN12">IF(tblPiNAnalysis5[[#This Row],[Highest Target]]=0, "",  IF(OR(COUNTIF(tblPiNAnalysis5[[#This Row],[Highest sector(s)]],tblSubSectorPopulation[Sector])), "Flagged", ""))</f>
        <v/>
      </c>
      <c r="AO12" s="46" cm="1">
        <f t="array" ref="AO1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2" s="331" t="str" cm="1">
        <f t="array" ref="AP12">IF(tblPiNAnalysis5[[#This Row],[2nd Highest Target]]="", "", _xlfn.TEXTJOIN(CHAR(10), TRUE, IF(tblPiNAnalysis5[[#This Row],[2nd Highest Target]]=tblPiNAnalysis5[[#This Row],[CCCM]:[WASH]], tblPiNAnalysis5[[#Headers],[CCCM]:[WASH]], "")))</f>
        <v>CCCM
Education
Nutrition
Food Security
Health
Overarching Protection
Shelter
WASH</v>
      </c>
      <c r="AQ12" s="36">
        <f>IFERROR(tblPiNAnalysis5[[#This Row],[2nd Highest Target]]/tblPiNAnalysis5[[#This Row],[Affected population projection 2026]], "")</f>
        <v>0</v>
      </c>
      <c r="AR12" s="46">
        <f>IFERROR(tblPiNAnalysis5[[#This Row],[Highest Target]]-tblPiNAnalysis5[[#This Row],[2nd Highest Target]], "")</f>
        <v>0</v>
      </c>
      <c r="AS12" s="39" t="str">
        <f>IFERROR(((tblPiNAnalysis5[[#This Row],[Highest Target]]-tblPiNAnalysis5[[#This Row],[2nd Highest Target]])/tblPiNAnalysis5[[#This Row],[2nd Highest Target]]),"")</f>
        <v/>
      </c>
      <c r="AT12" s="39" t="str" cm="1">
        <f t="array" ref="AT1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 s="332" cm="1">
        <f t="array" ref="AU1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2" s="190" t="str" cm="1">
        <f t="array" ref="AV12">IF(tblPiNAnalysis5[[#This Row],[3rd Highest Target]]="", "", _xlfn.TEXTJOIN(CHAR(10), TRUE, IF(tblPiNAnalysis5[[#This Row],[3rd Highest Target]]=tblPiNAnalysis5[[#This Row],[CCCM]:[WASH]], tblPiNAnalysis5[[#Headers],[CCCM]:[WASH]], "")))</f>
        <v>CCCM
Education
Nutrition
Food Security
Health
Overarching Protection
Shelter
WASH</v>
      </c>
      <c r="AW12" s="190">
        <f>IFERROR(tblPiNAnalysis5[[#This Row],[3rd Highest Target]]/tblPiNAnalysis5[[#This Row],[Affected population projection 2026]], "")</f>
        <v>0</v>
      </c>
      <c r="AX12" s="45">
        <f>IFERROR(tblPiNAnalysis5[[#This Row],[Highest Target]]-tblPiNAnalysis5[[#This Row],[3rd Highest Target]],"")</f>
        <v>0</v>
      </c>
      <c r="AY12" s="39" t="str">
        <f>IFERROR(tblPiNAnalysis5[[#This Row],[Difference of Target between Highest and 3rd Highest]]/tblPiNAnalysis5[[#This Row],[3rd Highest Target]], "")</f>
        <v/>
      </c>
      <c r="AZ12" s="330" t="str" cm="1">
        <f t="array" ref="AZ1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 s="300" t="str" cm="1">
        <f t="array" ref="BA1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 s="333" t="str" cm="1">
        <f t="array" ref="BB1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 s="276" t="str" cm="1">
        <f t="array" ref="BC1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 s="334" t="str" cm="1">
        <f t="array" ref="BD1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2" s="277" t="e">
        <f>INDEX(tblSeverityAnalysis[Final Severity], MATCH(tblPiNAnalysis5[[#This Row],[ID]],tblSeverityAnalysis[ID], 0))</f>
        <v>#N/A</v>
      </c>
      <c r="BF12" s="61" t="e">
        <f>IF(tblPiNAnalysis5[[#This Row],[Severity]]&gt;2,tblPiNAnalysis5[[#This Row],[Highest Target]],)</f>
        <v>#N/A</v>
      </c>
      <c r="BG12" s="191"/>
      <c r="BH12" s="192"/>
      <c r="BI12" s="193">
        <f>COUNTIFS(tblPiNAnalysis5[[#This Row],[Number of missing / zero PiNs greater than threshold - Data quality]:[Manual Flag]],"Flagged")</f>
        <v>2</v>
      </c>
      <c r="BJ12" s="96" t="str">
        <f>IF(tblPiNAnalysis5[[#This Row],['# Flags]]&gt;0, "Flagged", "")</f>
        <v>Flagged</v>
      </c>
      <c r="BK12" s="326" t="e">
        <f>tblPiNAnalysis5[[#This Row],[Preliminary Target]]</f>
        <v>#N/A</v>
      </c>
      <c r="BL12" s="331"/>
    </row>
    <row r="13" spans="1:83" x14ac:dyDescent="0.55000000000000004">
      <c r="A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 s="316" t="s">
        <v>250</v>
      </c>
      <c r="C13" s="317" t="s">
        <v>251</v>
      </c>
      <c r="D13" s="317" t="s">
        <v>256</v>
      </c>
      <c r="E13" s="105" t="s">
        <v>257</v>
      </c>
      <c r="F13" s="100"/>
      <c r="G13" s="34"/>
      <c r="H13" s="34"/>
      <c r="I13" s="97">
        <v>2159.7729564411493</v>
      </c>
      <c r="J13" s="97" t="s">
        <v>412</v>
      </c>
      <c r="K13" s="261">
        <v>0</v>
      </c>
      <c r="L13" s="319">
        <v>368.88922096014835</v>
      </c>
      <c r="M13" s="319">
        <v>478.28693723217754</v>
      </c>
      <c r="N13" s="319">
        <v>873.61167017554192</v>
      </c>
      <c r="O13" s="319">
        <v>586.43658534256826</v>
      </c>
      <c r="P13" s="319">
        <v>895.56303760137621</v>
      </c>
      <c r="Q13" s="229">
        <v>0</v>
      </c>
      <c r="R13" s="319">
        <v>1210.2431450016591</v>
      </c>
      <c r="S13" s="319"/>
      <c r="T13" s="319"/>
      <c r="U13" s="319"/>
      <c r="V13" s="319"/>
      <c r="W13" s="321">
        <f>IFERROR(IF(tblPiNAnalysis5[[#This Row],[CCCM]]="", "", MROUND(tblPiNAnalysis5[[#This Row],[CCCM]]/tblPiNAnalysis5[[#This Row],[Affected population projection 2026]], 0.05)), "")</f>
        <v>0</v>
      </c>
      <c r="X13" s="322">
        <f>IFERROR(IF(tblPiNAnalysis5[[#This Row],[Education]]="", "", MROUND(tblPiNAnalysis5[[#This Row],[Education]]/tblPiNAnalysis5[[#This Row],[Affected population projection 2026]], 0.05)), "")</f>
        <v>0.15000000000000002</v>
      </c>
      <c r="Y13" s="322">
        <f>IFERROR(IF(tblPiNAnalysis5[[#This Row],[Nutrition]]="", "", MROUND(tblPiNAnalysis5[[#This Row],[Nutrition]]/tblPiNAnalysis5[[#This Row],[Affected population projection 2026]], 0.05)), "")</f>
        <v>0.2</v>
      </c>
      <c r="Z13" s="322">
        <f>IFERROR(IF(tblPiNAnalysis5[[#This Row],[Food Security]]="", "", MROUND(tblPiNAnalysis5[[#This Row],[Food Security]]/tblPiNAnalysis5[[#This Row],[Affected population projection 2026]], 0.05)), "")</f>
        <v>0.4</v>
      </c>
      <c r="AA13" s="322">
        <f>IFERROR(IF(tblPiNAnalysis5[[#This Row],[Health]]="", "", MROUND(tblPiNAnalysis5[[#This Row],[Health]]/tblPiNAnalysis5[[#This Row],[Affected population projection 2026]], 0.05)), "")</f>
        <v>0.25</v>
      </c>
      <c r="AB13" s="323">
        <f>IFERROR(IF(tblPiNAnalysis5[[#This Row],[Overarching Protection]]="", "", MROUND(tblPiNAnalysis5[[#This Row],[Overarching Protection]]/tblPiNAnalysis5[[#This Row],[Affected population projection 2026]], 0.05)), "")</f>
        <v>0.4</v>
      </c>
      <c r="AC13" s="323">
        <f>IFERROR(IF(tblPiNAnalysis5[[#This Row],[Shelter]]="", "", MROUND(tblPiNAnalysis5[[#This Row],[Shelter]]/tblPiNAnalysis5[[#This Row],[Affected population projection 2026]], 0.05)), "")</f>
        <v>0</v>
      </c>
      <c r="AD13" s="324">
        <f>IFERROR(IF(tblPiNAnalysis5[[#This Row],[WASH]]="", "", MROUND(tblPiNAnalysis5[[#This Row],[WASH]]/tblPiNAnalysis5[[#This Row],[Affected population projection 2026]], 0.05)), "")</f>
        <v>0.55000000000000004</v>
      </c>
      <c r="AE13" s="322">
        <f>IFERROR(MROUND(tblPiNAnalysis5[[#This Row],[CP]]/tblPiNAnalysis5[[#This Row],[Affected population projection 2026]], 0.05), "")</f>
        <v>0</v>
      </c>
      <c r="AF13" s="322">
        <f>IFERROR(MROUND(tblPiNAnalysis5[[#This Row],[GBV]]/tblPiNAnalysis5[[#This Row],[Affected population projection 2026]], 0.05), "")</f>
        <v>0</v>
      </c>
      <c r="AG13" s="322">
        <f>IFERROR(MROUND(tblPiNAnalysis5[[#This Row],[Mine Action]]/tblPiNAnalysis5[[#This Row],[Affected population projection 2026]], 0.05), "")</f>
        <v>0</v>
      </c>
      <c r="AH13" s="322">
        <f>IFERROR(MROUND(tblPiNAnalysis5[[#This Row],[HLP]]/tblPiNAnalysis5[[#This Row],[Affected population projection 2026]], 0.05), "")</f>
        <v>0</v>
      </c>
      <c r="AI13" s="325">
        <f>IFERROR(LARGE(tblPiNAnalysis5[[#This Row],[CCCM]:[WASH]], 1), "")</f>
        <v>1210.2431450016591</v>
      </c>
      <c r="AJ13" s="326" t="str" cm="1">
        <f t="array" ref="AJ13">IF(tblPiNAnalysis5[[#This Row],[Highest Target]]="", "", _xlfn.TEXTJOIN(CHAR(10), TRUE, IF(tblPiNAnalysis5[[#This Row],[Highest Target]]=tblPiNAnalysis5[[#This Row],[CCCM]:[WASH]], tblPiNAnalysis5[[#Headers],[CCCM]:[WASH]], "")))</f>
        <v>WASH</v>
      </c>
      <c r="AK13" s="327">
        <f>IF(tblPiNAnalysis5[[#This Row],[Highest Target]]="", "", tblPiNAnalysis5[[#This Row],[Highest Target]]/tblPiNAnalysis5[[#This Row],[Affected population projection 2026]])</f>
        <v>0.56035665294924553</v>
      </c>
      <c r="AL13" s="328" t="str">
        <f>IF(SUM(tblPiNAnalysis5[[#This Row],[CCCM]:[WASH]])=0, "",IF(COUNTIF(tblPiNAnalysis5[[#This Row],[CCCM]:[WASH]],"=0")+COUNTIF(tblPiNAnalysis5[[#This Row],[CCCM]:[WASH]],"")&gt;=zero_pin_thresh, "Flagged", ""))</f>
        <v>Flagged</v>
      </c>
      <c r="AM13" s="329" t="str">
        <f>IFERROR(IF(tblPiNAnalysis5[[#This Row],[Highest Target]]="", "", IF(tblPiNAnalysis5[[#This Row],[Highest sector(s'') Target %]]&gt;=flag_pin_perc, "Flagged", "")), "")</f>
        <v/>
      </c>
      <c r="AN13" s="330" t="str" cm="1">
        <f t="array" ref="AN13">IF(tblPiNAnalysis5[[#This Row],[Highest Target]]=0, "",  IF(OR(COUNTIF(tblPiNAnalysis5[[#This Row],[Highest sector(s)]],tblSubSectorPopulation[Sector])), "Flagged", ""))</f>
        <v/>
      </c>
      <c r="AO13" s="46" cm="1">
        <f t="array" ref="AO1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895.56303760137621</v>
      </c>
      <c r="AP13" s="331" t="str" cm="1">
        <f t="array" ref="AP13">IF(tblPiNAnalysis5[[#This Row],[2nd Highest Target]]="", "", _xlfn.TEXTJOIN(CHAR(10), TRUE, IF(tblPiNAnalysis5[[#This Row],[2nd Highest Target]]=tblPiNAnalysis5[[#This Row],[CCCM]:[WASH]], tblPiNAnalysis5[[#Headers],[CCCM]:[WASH]], "")))</f>
        <v>Overarching Protection</v>
      </c>
      <c r="AQ13" s="36">
        <f>IFERROR(tblPiNAnalysis5[[#This Row],[2nd Highest Target]]/tblPiNAnalysis5[[#This Row],[Affected population projection 2026]], "")</f>
        <v>0.4146561030549597</v>
      </c>
      <c r="AR13" s="46">
        <f>IFERROR(tblPiNAnalysis5[[#This Row],[Highest Target]]-tblPiNAnalysis5[[#This Row],[2nd Highest Target]], "")</f>
        <v>314.68010740028285</v>
      </c>
      <c r="AS13" s="39">
        <f>IFERROR(((tblPiNAnalysis5[[#This Row],[Highest Target]]-tblPiNAnalysis5[[#This Row],[2nd Highest Target]])/tblPiNAnalysis5[[#This Row],[2nd Highest Target]]),"")</f>
        <v>0.35137683690374683</v>
      </c>
      <c r="AT13" s="39" t="str" cm="1">
        <f t="array" ref="AT1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3" s="332" cm="1">
        <f t="array" ref="AU1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873.61167017554192</v>
      </c>
      <c r="AV13" s="190" t="str" cm="1">
        <f t="array" ref="AV13">IF(tblPiNAnalysis5[[#This Row],[3rd Highest Target]]="", "", _xlfn.TEXTJOIN(CHAR(10), TRUE, IF(tblPiNAnalysis5[[#This Row],[3rd Highest Target]]=tblPiNAnalysis5[[#This Row],[CCCM]:[WASH]], tblPiNAnalysis5[[#Headers],[CCCM]:[WASH]], "")))</f>
        <v>Food Security</v>
      </c>
      <c r="AW13" s="190">
        <f>IFERROR(tblPiNAnalysis5[[#This Row],[3rd Highest Target]]/tblPiNAnalysis5[[#This Row],[Affected population projection 2026]], "")</f>
        <v>0.40449236461182003</v>
      </c>
      <c r="AX13" s="45">
        <f>IFERROR(tblPiNAnalysis5[[#This Row],[Highest Target]]-tblPiNAnalysis5[[#This Row],[3rd Highest Target]],"")</f>
        <v>336.63147482611714</v>
      </c>
      <c r="AY13" s="39">
        <f>IFERROR(tblPiNAnalysis5[[#This Row],[Difference of Target between Highest and 3rd Highest]]/tblPiNAnalysis5[[#This Row],[3rd Highest Target]], "")</f>
        <v>0.3853330791225294</v>
      </c>
      <c r="AZ13" s="330" t="str" cm="1">
        <f t="array" ref="AZ1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3" s="300" t="str" cm="1">
        <f t="array" ref="BA1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 s="333" t="str" cm="1">
        <f t="array" ref="BB1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 s="276" t="str" cm="1">
        <f t="array" ref="BC1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 s="334" t="str" cm="1">
        <f t="array" ref="BD1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 s="277" t="e">
        <f>INDEX(tblSeverityAnalysis[Final Severity], MATCH(tblPiNAnalysis5[[#This Row],[ID]],tblSeverityAnalysis[ID], 0))</f>
        <v>#N/A</v>
      </c>
      <c r="BF13" s="61" t="e">
        <f>IF(tblPiNAnalysis5[[#This Row],[Severity]]&gt;2,tblPiNAnalysis5[[#This Row],[Highest Target]],)</f>
        <v>#N/A</v>
      </c>
      <c r="BG13" s="191"/>
      <c r="BH13" s="192"/>
      <c r="BI13" s="193">
        <f>COUNTIFS(tblPiNAnalysis5[[#This Row],[Number of missing / zero PiNs greater than threshold - Data quality]:[Manual Flag]],"Flagged")</f>
        <v>2</v>
      </c>
      <c r="BJ13" s="96" t="str">
        <f>IF(tblPiNAnalysis5[[#This Row],['# Flags]]&gt;0, "Flagged", "")</f>
        <v>Flagged</v>
      </c>
      <c r="BK13" s="326" t="e">
        <f>tblPiNAnalysis5[[#This Row],[Preliminary Target]]</f>
        <v>#N/A</v>
      </c>
      <c r="BL13" s="331"/>
    </row>
    <row r="14" spans="1:83" ht="24.6" x14ac:dyDescent="0.55000000000000004">
      <c r="A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 s="316" t="s">
        <v>250</v>
      </c>
      <c r="C14" s="317" t="s">
        <v>251</v>
      </c>
      <c r="D14" s="317" t="s">
        <v>258</v>
      </c>
      <c r="E14" s="105" t="s">
        <v>259</v>
      </c>
      <c r="F14" s="100"/>
      <c r="G14" s="34"/>
      <c r="H14" s="34"/>
      <c r="I14" s="97">
        <v>8023.4115031633137</v>
      </c>
      <c r="J14" s="97" t="s">
        <v>412</v>
      </c>
      <c r="K14" s="261">
        <v>0</v>
      </c>
      <c r="L14" s="319">
        <v>760.218239924724</v>
      </c>
      <c r="M14" s="319">
        <v>1351.0165948221675</v>
      </c>
      <c r="N14" s="319">
        <v>1614.3264406624412</v>
      </c>
      <c r="O14" s="319">
        <v>999.41911201766129</v>
      </c>
      <c r="P14" s="319">
        <v>1324.6200040741494</v>
      </c>
      <c r="Q14" s="229">
        <v>0</v>
      </c>
      <c r="R14" s="319">
        <v>935.98588867808735</v>
      </c>
      <c r="S14" s="319"/>
      <c r="T14" s="319"/>
      <c r="U14" s="319"/>
      <c r="V14" s="319"/>
      <c r="W14" s="321">
        <f>IFERROR(IF(tblPiNAnalysis5[[#This Row],[CCCM]]="", "", MROUND(tblPiNAnalysis5[[#This Row],[CCCM]]/tblPiNAnalysis5[[#This Row],[Affected population projection 2026]], 0.05)), "")</f>
        <v>0</v>
      </c>
      <c r="X14" s="322">
        <f>IFERROR(IF(tblPiNAnalysis5[[#This Row],[Education]]="", "", MROUND(tblPiNAnalysis5[[#This Row],[Education]]/tblPiNAnalysis5[[#This Row],[Affected population projection 2026]], 0.05)), "")</f>
        <v>0.1</v>
      </c>
      <c r="Y14" s="322">
        <f>IFERROR(IF(tblPiNAnalysis5[[#This Row],[Nutrition]]="", "", MROUND(tblPiNAnalysis5[[#This Row],[Nutrition]]/tblPiNAnalysis5[[#This Row],[Affected population projection 2026]], 0.05)), "")</f>
        <v>0.15000000000000002</v>
      </c>
      <c r="Z14" s="322">
        <f>IFERROR(IF(tblPiNAnalysis5[[#This Row],[Food Security]]="", "", MROUND(tblPiNAnalysis5[[#This Row],[Food Security]]/tblPiNAnalysis5[[#This Row],[Affected population projection 2026]], 0.05)), "")</f>
        <v>0.2</v>
      </c>
      <c r="AA14" s="322">
        <f>IFERROR(IF(tblPiNAnalysis5[[#This Row],[Health]]="", "", MROUND(tblPiNAnalysis5[[#This Row],[Health]]/tblPiNAnalysis5[[#This Row],[Affected population projection 2026]], 0.05)), "")</f>
        <v>0.1</v>
      </c>
      <c r="AB14" s="323">
        <f>IFERROR(IF(tblPiNAnalysis5[[#This Row],[Overarching Protection]]="", "", MROUND(tblPiNAnalysis5[[#This Row],[Overarching Protection]]/tblPiNAnalysis5[[#This Row],[Affected population projection 2026]], 0.05)), "")</f>
        <v>0.15000000000000002</v>
      </c>
      <c r="AC14" s="323">
        <f>IFERROR(IF(tblPiNAnalysis5[[#This Row],[Shelter]]="", "", MROUND(tblPiNAnalysis5[[#This Row],[Shelter]]/tblPiNAnalysis5[[#This Row],[Affected population projection 2026]], 0.05)), "")</f>
        <v>0</v>
      </c>
      <c r="AD14" s="324">
        <f>IFERROR(IF(tblPiNAnalysis5[[#This Row],[WASH]]="", "", MROUND(tblPiNAnalysis5[[#This Row],[WASH]]/tblPiNAnalysis5[[#This Row],[Affected population projection 2026]], 0.05)), "")</f>
        <v>0.1</v>
      </c>
      <c r="AE14" s="322">
        <f>IFERROR(MROUND(tblPiNAnalysis5[[#This Row],[CP]]/tblPiNAnalysis5[[#This Row],[Affected population projection 2026]], 0.05), "")</f>
        <v>0</v>
      </c>
      <c r="AF14" s="322">
        <f>IFERROR(MROUND(tblPiNAnalysis5[[#This Row],[GBV]]/tblPiNAnalysis5[[#This Row],[Affected population projection 2026]], 0.05), "")</f>
        <v>0</v>
      </c>
      <c r="AG14" s="322">
        <f>IFERROR(MROUND(tblPiNAnalysis5[[#This Row],[Mine Action]]/tblPiNAnalysis5[[#This Row],[Affected population projection 2026]], 0.05), "")</f>
        <v>0</v>
      </c>
      <c r="AH14" s="322">
        <f>IFERROR(MROUND(tblPiNAnalysis5[[#This Row],[HLP]]/tblPiNAnalysis5[[#This Row],[Affected population projection 2026]], 0.05), "")</f>
        <v>0</v>
      </c>
      <c r="AI14" s="325">
        <f>IFERROR(LARGE(tblPiNAnalysis5[[#This Row],[CCCM]:[WASH]], 1), "")</f>
        <v>1614.3264406624412</v>
      </c>
      <c r="AJ14" s="326" t="str" cm="1">
        <f t="array" ref="AJ14">IF(tblPiNAnalysis5[[#This Row],[Highest Target]]="", "", _xlfn.TEXTJOIN(CHAR(10), TRUE, IF(tblPiNAnalysis5[[#This Row],[Highest Target]]=tblPiNAnalysis5[[#This Row],[CCCM]:[WASH]], tblPiNAnalysis5[[#Headers],[CCCM]:[WASH]], "")))</f>
        <v>Food Security</v>
      </c>
      <c r="AK14" s="327">
        <f>IF(tblPiNAnalysis5[[#This Row],[Highest Target]]="", "", tblPiNAnalysis5[[#This Row],[Highest Target]]/tblPiNAnalysis5[[#This Row],[Affected population projection 2026]])</f>
        <v>0.20120199992558976</v>
      </c>
      <c r="AL14" s="328" t="str">
        <f>IF(SUM(tblPiNAnalysis5[[#This Row],[CCCM]:[WASH]])=0, "",IF(COUNTIF(tblPiNAnalysis5[[#This Row],[CCCM]:[WASH]],"=0")+COUNTIF(tblPiNAnalysis5[[#This Row],[CCCM]:[WASH]],"")&gt;=zero_pin_thresh, "Flagged", ""))</f>
        <v>Flagged</v>
      </c>
      <c r="AM14" s="329" t="str">
        <f>IFERROR(IF(tblPiNAnalysis5[[#This Row],[Highest Target]]="", "", IF(tblPiNAnalysis5[[#This Row],[Highest sector(s'') Target %]]&gt;=flag_pin_perc, "Flagged", "")), "")</f>
        <v/>
      </c>
      <c r="AN14" s="330" t="str" cm="1">
        <f t="array" ref="AN14">IF(tblPiNAnalysis5[[#This Row],[Highest Target]]=0, "",  IF(OR(COUNTIF(tblPiNAnalysis5[[#This Row],[Highest sector(s)]],tblSubSectorPopulation[Sector])), "Flagged", ""))</f>
        <v/>
      </c>
      <c r="AO14" s="46" cm="1">
        <f t="array" ref="AO1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1351.0165948221675</v>
      </c>
      <c r="AP14" s="331" t="str" cm="1">
        <f t="array" ref="AP14">IF(tblPiNAnalysis5[[#This Row],[2nd Highest Target]]="", "", _xlfn.TEXTJOIN(CHAR(10), TRUE, IF(tblPiNAnalysis5[[#This Row],[2nd Highest Target]]=tblPiNAnalysis5[[#This Row],[CCCM]:[WASH]], tblPiNAnalysis5[[#Headers],[CCCM]:[WASH]], "")))</f>
        <v>Nutrition</v>
      </c>
      <c r="AQ14" s="36">
        <f>IFERROR(tblPiNAnalysis5[[#This Row],[2nd Highest Target]]/tblPiNAnalysis5[[#This Row],[Affected population projection 2026]], "")</f>
        <v>0.168384308132459</v>
      </c>
      <c r="AR14" s="46">
        <f>IFERROR(tblPiNAnalysis5[[#This Row],[Highest Target]]-tblPiNAnalysis5[[#This Row],[2nd Highest Target]], "")</f>
        <v>263.30984584027374</v>
      </c>
      <c r="AS14" s="39">
        <f>IFERROR(((tblPiNAnalysis5[[#This Row],[Highest Target]]-tblPiNAnalysis5[[#This Row],[2nd Highest Target]])/tblPiNAnalysis5[[#This Row],[2nd Highest Target]]),"")</f>
        <v>0.19489756591400928</v>
      </c>
      <c r="AT14" s="39" t="str" cm="1">
        <f t="array" ref="AT1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 s="332" cm="1">
        <f t="array" ref="AU1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1324.6200040741494</v>
      </c>
      <c r="AV14" s="190" t="str" cm="1">
        <f t="array" ref="AV14">IF(tblPiNAnalysis5[[#This Row],[3rd Highest Target]]="", "", _xlfn.TEXTJOIN(CHAR(10), TRUE, IF(tblPiNAnalysis5[[#This Row],[3rd Highest Target]]=tblPiNAnalysis5[[#This Row],[CCCM]:[WASH]], tblPiNAnalysis5[[#Headers],[CCCM]:[WASH]], "")))</f>
        <v>Overarching Protection</v>
      </c>
      <c r="AW14" s="190">
        <f>IFERROR(tblPiNAnalysis5[[#This Row],[3rd Highest Target]]/tblPiNAnalysis5[[#This Row],[Affected population projection 2026]], "")</f>
        <v>0.16509436211166587</v>
      </c>
      <c r="AX14" s="45">
        <f>IFERROR(tblPiNAnalysis5[[#This Row],[Highest Target]]-tblPiNAnalysis5[[#This Row],[3rd Highest Target]],"")</f>
        <v>289.70643658829181</v>
      </c>
      <c r="AY14" s="39">
        <f>IFERROR(tblPiNAnalysis5[[#This Row],[Difference of Target between Highest and 3rd Highest]]/tblPiNAnalysis5[[#This Row],[3rd Highest Target]], "")</f>
        <v>0.21870909068052596</v>
      </c>
      <c r="AZ14" s="330" t="str" cm="1">
        <f t="array" ref="AZ1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 s="300" t="str" cm="1">
        <f t="array" ref="BA1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 s="333" t="str" cm="1">
        <f t="array" ref="BB1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 s="276" t="str" cm="1">
        <f t="array" ref="BC1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 s="334" t="str" cm="1">
        <f t="array" ref="BD1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4" s="277" t="e">
        <f>INDEX(tblSeverityAnalysis[Final Severity], MATCH(tblPiNAnalysis5[[#This Row],[ID]],tblSeverityAnalysis[ID], 0))</f>
        <v>#N/A</v>
      </c>
      <c r="BF14" s="61" t="e">
        <f>IF(tblPiNAnalysis5[[#This Row],[Severity]]&gt;2,tblPiNAnalysis5[[#This Row],[Highest Target]],)</f>
        <v>#N/A</v>
      </c>
      <c r="BG14" s="191"/>
      <c r="BH14" s="192"/>
      <c r="BI14" s="193">
        <f>COUNTIFS(tblPiNAnalysis5[[#This Row],[Number of missing / zero PiNs greater than threshold - Data quality]:[Manual Flag]],"Flagged")</f>
        <v>1</v>
      </c>
      <c r="BJ14" s="96" t="str">
        <f>IF(tblPiNAnalysis5[[#This Row],['# Flags]]&gt;0, "Flagged", "")</f>
        <v>Flagged</v>
      </c>
      <c r="BK14" s="326" t="e">
        <f>tblPiNAnalysis5[[#This Row],[Preliminary Target]]</f>
        <v>#N/A</v>
      </c>
      <c r="BL14" s="331"/>
    </row>
    <row r="15" spans="1:83" x14ac:dyDescent="0.55000000000000004">
      <c r="A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 s="316" t="s">
        <v>250</v>
      </c>
      <c r="C15" s="317" t="s">
        <v>251</v>
      </c>
      <c r="D15" s="317" t="s">
        <v>260</v>
      </c>
      <c r="E15" s="105" t="s">
        <v>261</v>
      </c>
      <c r="F15" s="100"/>
      <c r="G15" s="34"/>
      <c r="H15" s="34"/>
      <c r="I15" s="97">
        <v>4829.7886557975189</v>
      </c>
      <c r="J15" s="97" t="s">
        <v>412</v>
      </c>
      <c r="K15" s="261">
        <v>0</v>
      </c>
      <c r="L15" s="319">
        <v>299.86563933590378</v>
      </c>
      <c r="M15" s="319">
        <v>883.45527172155948</v>
      </c>
      <c r="N15" s="319">
        <v>548.77606010673321</v>
      </c>
      <c r="O15" s="319">
        <v>1060.7292966531436</v>
      </c>
      <c r="P15" s="319">
        <v>875.99711437565577</v>
      </c>
      <c r="Q15" s="229">
        <v>0</v>
      </c>
      <c r="R15" s="319">
        <v>2159.9267040298187</v>
      </c>
      <c r="S15" s="319"/>
      <c r="T15" s="319"/>
      <c r="U15" s="319"/>
      <c r="V15" s="319"/>
      <c r="W15" s="321">
        <f>IFERROR(IF(tblPiNAnalysis5[[#This Row],[CCCM]]="", "", MROUND(tblPiNAnalysis5[[#This Row],[CCCM]]/tblPiNAnalysis5[[#This Row],[Affected population projection 2026]], 0.05)), "")</f>
        <v>0</v>
      </c>
      <c r="X15" s="322">
        <f>IFERROR(IF(tblPiNAnalysis5[[#This Row],[Education]]="", "", MROUND(tblPiNAnalysis5[[#This Row],[Education]]/tblPiNAnalysis5[[#This Row],[Affected population projection 2026]], 0.05)), "")</f>
        <v>0.05</v>
      </c>
      <c r="Y15" s="322">
        <f>IFERROR(IF(tblPiNAnalysis5[[#This Row],[Nutrition]]="", "", MROUND(tblPiNAnalysis5[[#This Row],[Nutrition]]/tblPiNAnalysis5[[#This Row],[Affected population projection 2026]], 0.05)), "")</f>
        <v>0.2</v>
      </c>
      <c r="Z15" s="322">
        <f>IFERROR(IF(tblPiNAnalysis5[[#This Row],[Food Security]]="", "", MROUND(tblPiNAnalysis5[[#This Row],[Food Security]]/tblPiNAnalysis5[[#This Row],[Affected population projection 2026]], 0.05)), "")</f>
        <v>0.1</v>
      </c>
      <c r="AA15" s="322">
        <f>IFERROR(IF(tblPiNAnalysis5[[#This Row],[Health]]="", "", MROUND(tblPiNAnalysis5[[#This Row],[Health]]/tblPiNAnalysis5[[#This Row],[Affected population projection 2026]], 0.05)), "")</f>
        <v>0.2</v>
      </c>
      <c r="AB15" s="323">
        <f>IFERROR(IF(tblPiNAnalysis5[[#This Row],[Overarching Protection]]="", "", MROUND(tblPiNAnalysis5[[#This Row],[Overarching Protection]]/tblPiNAnalysis5[[#This Row],[Affected population projection 2026]], 0.05)), "")</f>
        <v>0.2</v>
      </c>
      <c r="AC15" s="323">
        <f>IFERROR(IF(tblPiNAnalysis5[[#This Row],[Shelter]]="", "", MROUND(tblPiNAnalysis5[[#This Row],[Shelter]]/tblPiNAnalysis5[[#This Row],[Affected population projection 2026]], 0.05)), "")</f>
        <v>0</v>
      </c>
      <c r="AD15" s="324">
        <f>IFERROR(IF(tblPiNAnalysis5[[#This Row],[WASH]]="", "", MROUND(tblPiNAnalysis5[[#This Row],[WASH]]/tblPiNAnalysis5[[#This Row],[Affected population projection 2026]], 0.05)), "")</f>
        <v>0.45</v>
      </c>
      <c r="AE15" s="322">
        <f>IFERROR(MROUND(tblPiNAnalysis5[[#This Row],[CP]]/tblPiNAnalysis5[[#This Row],[Affected population projection 2026]], 0.05), "")</f>
        <v>0</v>
      </c>
      <c r="AF15" s="322">
        <f>IFERROR(MROUND(tblPiNAnalysis5[[#This Row],[GBV]]/tblPiNAnalysis5[[#This Row],[Affected population projection 2026]], 0.05), "")</f>
        <v>0</v>
      </c>
      <c r="AG15" s="322">
        <f>IFERROR(MROUND(tblPiNAnalysis5[[#This Row],[Mine Action]]/tblPiNAnalysis5[[#This Row],[Affected population projection 2026]], 0.05), "")</f>
        <v>0</v>
      </c>
      <c r="AH15" s="322">
        <f>IFERROR(MROUND(tblPiNAnalysis5[[#This Row],[HLP]]/tblPiNAnalysis5[[#This Row],[Affected population projection 2026]], 0.05), "")</f>
        <v>0</v>
      </c>
      <c r="AI15" s="325">
        <f>IFERROR(LARGE(tblPiNAnalysis5[[#This Row],[CCCM]:[WASH]], 1), "")</f>
        <v>2159.9267040298187</v>
      </c>
      <c r="AJ15" s="326" t="str" cm="1">
        <f t="array" ref="AJ15">IF(tblPiNAnalysis5[[#This Row],[Highest Target]]="", "", _xlfn.TEXTJOIN(CHAR(10), TRUE, IF(tblPiNAnalysis5[[#This Row],[Highest Target]]=tblPiNAnalysis5[[#This Row],[CCCM]:[WASH]], tblPiNAnalysis5[[#Headers],[CCCM]:[WASH]], "")))</f>
        <v>WASH</v>
      </c>
      <c r="AK15" s="327">
        <f>IF(tblPiNAnalysis5[[#This Row],[Highest Target]]="", "", tblPiNAnalysis5[[#This Row],[Highest Target]]/tblPiNAnalysis5[[#This Row],[Affected population projection 2026]])</f>
        <v>0.44720936213991763</v>
      </c>
      <c r="AL15" s="328" t="str">
        <f>IF(SUM(tblPiNAnalysis5[[#This Row],[CCCM]:[WASH]])=0, "",IF(COUNTIF(tblPiNAnalysis5[[#This Row],[CCCM]:[WASH]],"=0")+COUNTIF(tblPiNAnalysis5[[#This Row],[CCCM]:[WASH]],"")&gt;=zero_pin_thresh, "Flagged", ""))</f>
        <v>Flagged</v>
      </c>
      <c r="AM15" s="329" t="str">
        <f>IFERROR(IF(tblPiNAnalysis5[[#This Row],[Highest Target]]="", "", IF(tblPiNAnalysis5[[#This Row],[Highest sector(s'') Target %]]&gt;=flag_pin_perc, "Flagged", "")), "")</f>
        <v/>
      </c>
      <c r="AN15" s="330" t="str" cm="1">
        <f t="array" ref="AN15">IF(tblPiNAnalysis5[[#This Row],[Highest Target]]=0, "",  IF(OR(COUNTIF(tblPiNAnalysis5[[#This Row],[Highest sector(s)]],tblSubSectorPopulation[Sector])), "Flagged", ""))</f>
        <v/>
      </c>
      <c r="AO15" s="46" cm="1">
        <f t="array" ref="AO1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1060.7292966531436</v>
      </c>
      <c r="AP15" s="331" t="str" cm="1">
        <f t="array" ref="AP15">IF(tblPiNAnalysis5[[#This Row],[2nd Highest Target]]="", "", _xlfn.TEXTJOIN(CHAR(10), TRUE, IF(tblPiNAnalysis5[[#This Row],[2nd Highest Target]]=tblPiNAnalysis5[[#This Row],[CCCM]:[WASH]], tblPiNAnalysis5[[#Headers],[CCCM]:[WASH]], "")))</f>
        <v>Health</v>
      </c>
      <c r="AQ15" s="36">
        <f>IFERROR(tblPiNAnalysis5[[#This Row],[2nd Highest Target]]/tblPiNAnalysis5[[#This Row],[Affected population projection 2026]], "")</f>
        <v>0.21962230073563968</v>
      </c>
      <c r="AR15" s="46">
        <f>IFERROR(tblPiNAnalysis5[[#This Row],[Highest Target]]-tblPiNAnalysis5[[#This Row],[2nd Highest Target]], "")</f>
        <v>1099.1974073766751</v>
      </c>
      <c r="AS15" s="39">
        <f>IFERROR(((tblPiNAnalysis5[[#This Row],[Highest Target]]-tblPiNAnalysis5[[#This Row],[2nd Highest Target]])/tblPiNAnalysis5[[#This Row],[2nd Highest Target]]),"")</f>
        <v>1.0362657191093974</v>
      </c>
      <c r="AT15" s="39" t="str" cm="1">
        <f t="array" ref="AT1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5" s="332" cm="1">
        <f t="array" ref="AU1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883.45527172155948</v>
      </c>
      <c r="AV15" s="190" t="str" cm="1">
        <f t="array" ref="AV15">IF(tblPiNAnalysis5[[#This Row],[3rd Highest Target]]="", "", _xlfn.TEXTJOIN(CHAR(10), TRUE, IF(tblPiNAnalysis5[[#This Row],[3rd Highest Target]]=tblPiNAnalysis5[[#This Row],[CCCM]:[WASH]], tblPiNAnalysis5[[#Headers],[CCCM]:[WASH]], "")))</f>
        <v>Nutrition</v>
      </c>
      <c r="AW15" s="190">
        <f>IFERROR(tblPiNAnalysis5[[#This Row],[3rd Highest Target]]/tblPiNAnalysis5[[#This Row],[Affected population projection 2026]], "")</f>
        <v>0.18291799800827493</v>
      </c>
      <c r="AX15" s="45">
        <f>IFERROR(tblPiNAnalysis5[[#This Row],[Highest Target]]-tblPiNAnalysis5[[#This Row],[3rd Highest Target]],"")</f>
        <v>1276.4714323082592</v>
      </c>
      <c r="AY15" s="39">
        <f>IFERROR(tblPiNAnalysis5[[#This Row],[Difference of Target between Highest and 3rd Highest]]/tblPiNAnalysis5[[#This Row],[3rd Highest Target]], "")</f>
        <v>1.4448625450169563</v>
      </c>
      <c r="AZ15" s="330" t="str" cm="1">
        <f t="array" ref="AZ1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5" s="300" t="str" cm="1">
        <f t="array" ref="BA1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 s="333" t="str" cm="1">
        <f t="array" ref="BB1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5" s="276" t="str" cm="1">
        <f t="array" ref="BC1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 s="334" t="str" cm="1">
        <f t="array" ref="BD1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 s="277" t="e">
        <f>INDEX(tblSeverityAnalysis[Final Severity], MATCH(tblPiNAnalysis5[[#This Row],[ID]],tblSeverityAnalysis[ID], 0))</f>
        <v>#N/A</v>
      </c>
      <c r="BF15" s="61" t="e">
        <f>IF(tblPiNAnalysis5[[#This Row],[Severity]]&gt;2,tblPiNAnalysis5[[#This Row],[Highest Target]],)</f>
        <v>#N/A</v>
      </c>
      <c r="BG15" s="191"/>
      <c r="BH15" s="192"/>
      <c r="BI15" s="193">
        <f>COUNTIFS(tblPiNAnalysis5[[#This Row],[Number of missing / zero PiNs greater than threshold - Data quality]:[Manual Flag]],"Flagged")</f>
        <v>4</v>
      </c>
      <c r="BJ15" s="96" t="str">
        <f>IF(tblPiNAnalysis5[[#This Row],['# Flags]]&gt;0, "Flagged", "")</f>
        <v>Flagged</v>
      </c>
      <c r="BK15" s="326" t="e">
        <f>tblPiNAnalysis5[[#This Row],[Preliminary Target]]</f>
        <v>#N/A</v>
      </c>
      <c r="BL15" s="331"/>
    </row>
    <row r="16" spans="1:83" x14ac:dyDescent="0.55000000000000004">
      <c r="A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 s="316" t="s">
        <v>250</v>
      </c>
      <c r="C16" s="317" t="s">
        <v>251</v>
      </c>
      <c r="D16" s="317" t="s">
        <v>262</v>
      </c>
      <c r="E16" s="105" t="s">
        <v>263</v>
      </c>
      <c r="F16" s="100"/>
      <c r="G16" s="34"/>
      <c r="H16" s="34"/>
      <c r="I16" s="97">
        <v>21293.088674698796</v>
      </c>
      <c r="J16" s="97" t="s">
        <v>412</v>
      </c>
      <c r="K16" s="261">
        <v>5705</v>
      </c>
      <c r="L16" s="319">
        <v>284.58213013734945</v>
      </c>
      <c r="M16" s="319">
        <v>3284.7197676507953</v>
      </c>
      <c r="N16" s="319">
        <v>4142.2428044604585</v>
      </c>
      <c r="O16" s="319">
        <v>3088.0923758258859</v>
      </c>
      <c r="P16" s="319">
        <v>3718.2104752129162</v>
      </c>
      <c r="Q16" s="229">
        <v>0</v>
      </c>
      <c r="R16" s="319">
        <v>587.4739666390733</v>
      </c>
      <c r="S16" s="319"/>
      <c r="T16" s="319"/>
      <c r="U16" s="319"/>
      <c r="V16" s="319"/>
      <c r="W16" s="321">
        <f>IFERROR(IF(tblPiNAnalysis5[[#This Row],[CCCM]]="", "", MROUND(tblPiNAnalysis5[[#This Row],[CCCM]]/tblPiNAnalysis5[[#This Row],[Affected population projection 2026]], 0.05)), "")</f>
        <v>0.25</v>
      </c>
      <c r="X16" s="322">
        <f>IFERROR(IF(tblPiNAnalysis5[[#This Row],[Education]]="", "", MROUND(tblPiNAnalysis5[[#This Row],[Education]]/tblPiNAnalysis5[[#This Row],[Affected population projection 2026]], 0.05)), "")</f>
        <v>0</v>
      </c>
      <c r="Y16" s="322">
        <f>IFERROR(IF(tblPiNAnalysis5[[#This Row],[Nutrition]]="", "", MROUND(tblPiNAnalysis5[[#This Row],[Nutrition]]/tblPiNAnalysis5[[#This Row],[Affected population projection 2026]], 0.05)), "")</f>
        <v>0.15000000000000002</v>
      </c>
      <c r="Z16" s="322">
        <f>IFERROR(IF(tblPiNAnalysis5[[#This Row],[Food Security]]="", "", MROUND(tblPiNAnalysis5[[#This Row],[Food Security]]/tblPiNAnalysis5[[#This Row],[Affected population projection 2026]], 0.05)), "")</f>
        <v>0.2</v>
      </c>
      <c r="AA16" s="322">
        <f>IFERROR(IF(tblPiNAnalysis5[[#This Row],[Health]]="", "", MROUND(tblPiNAnalysis5[[#This Row],[Health]]/tblPiNAnalysis5[[#This Row],[Affected population projection 2026]], 0.05)), "")</f>
        <v>0.15000000000000002</v>
      </c>
      <c r="AB16" s="323">
        <f>IFERROR(IF(tblPiNAnalysis5[[#This Row],[Overarching Protection]]="", "", MROUND(tblPiNAnalysis5[[#This Row],[Overarching Protection]]/tblPiNAnalysis5[[#This Row],[Affected population projection 2026]], 0.05)), "")</f>
        <v>0.15000000000000002</v>
      </c>
      <c r="AC16" s="323">
        <f>IFERROR(IF(tblPiNAnalysis5[[#This Row],[Shelter]]="", "", MROUND(tblPiNAnalysis5[[#This Row],[Shelter]]/tblPiNAnalysis5[[#This Row],[Affected population projection 2026]], 0.05)), "")</f>
        <v>0</v>
      </c>
      <c r="AD16" s="324">
        <f>IFERROR(IF(tblPiNAnalysis5[[#This Row],[WASH]]="", "", MROUND(tblPiNAnalysis5[[#This Row],[WASH]]/tblPiNAnalysis5[[#This Row],[Affected population projection 2026]], 0.05)), "")</f>
        <v>0.05</v>
      </c>
      <c r="AE16" s="322">
        <f>IFERROR(MROUND(tblPiNAnalysis5[[#This Row],[CP]]/tblPiNAnalysis5[[#This Row],[Affected population projection 2026]], 0.05), "")</f>
        <v>0</v>
      </c>
      <c r="AF16" s="322">
        <f>IFERROR(MROUND(tblPiNAnalysis5[[#This Row],[GBV]]/tblPiNAnalysis5[[#This Row],[Affected population projection 2026]], 0.05), "")</f>
        <v>0</v>
      </c>
      <c r="AG16" s="322">
        <f>IFERROR(MROUND(tblPiNAnalysis5[[#This Row],[Mine Action]]/tblPiNAnalysis5[[#This Row],[Affected population projection 2026]], 0.05), "")</f>
        <v>0</v>
      </c>
      <c r="AH16" s="322">
        <f>IFERROR(MROUND(tblPiNAnalysis5[[#This Row],[HLP]]/tblPiNAnalysis5[[#This Row],[Affected population projection 2026]], 0.05), "")</f>
        <v>0</v>
      </c>
      <c r="AI16" s="325">
        <f>IFERROR(LARGE(tblPiNAnalysis5[[#This Row],[CCCM]:[WASH]], 1), "")</f>
        <v>5705</v>
      </c>
      <c r="AJ16" s="326" t="str" cm="1">
        <f t="array" ref="AJ16">IF(tblPiNAnalysis5[[#This Row],[Highest Target]]="", "", _xlfn.TEXTJOIN(CHAR(10), TRUE, IF(tblPiNAnalysis5[[#This Row],[Highest Target]]=tblPiNAnalysis5[[#This Row],[CCCM]:[WASH]], tblPiNAnalysis5[[#Headers],[CCCM]:[WASH]], "")))</f>
        <v>CCCM</v>
      </c>
      <c r="AK16" s="327">
        <f>IF(tblPiNAnalysis5[[#This Row],[Highest Target]]="", "", tblPiNAnalysis5[[#This Row],[Highest Target]]/tblPiNAnalysis5[[#This Row],[Affected population projection 2026]])</f>
        <v>0.26792731139935011</v>
      </c>
      <c r="AL16" s="328" t="str">
        <f>IF(SUM(tblPiNAnalysis5[[#This Row],[CCCM]:[WASH]])=0, "",IF(COUNTIF(tblPiNAnalysis5[[#This Row],[CCCM]:[WASH]],"=0")+COUNTIF(tblPiNAnalysis5[[#This Row],[CCCM]:[WASH]],"")&gt;=zero_pin_thresh, "Flagged", ""))</f>
        <v/>
      </c>
      <c r="AM16" s="329" t="str">
        <f>IFERROR(IF(tblPiNAnalysis5[[#This Row],[Highest Target]]="", "", IF(tblPiNAnalysis5[[#This Row],[Highest sector(s'') Target %]]&gt;=flag_pin_perc, "Flagged", "")), "")</f>
        <v/>
      </c>
      <c r="AN16" s="330" t="str" cm="1">
        <f t="array" ref="AN16">IF(tblPiNAnalysis5[[#This Row],[Highest Target]]=0, "",  IF(OR(COUNTIF(tblPiNAnalysis5[[#This Row],[Highest sector(s)]],tblSubSectorPopulation[Sector])), "Flagged", ""))</f>
        <v/>
      </c>
      <c r="AO16" s="46" cm="1">
        <f t="array" ref="AO1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4142.2428044604585</v>
      </c>
      <c r="AP16" s="331" t="str" cm="1">
        <f t="array" ref="AP16">IF(tblPiNAnalysis5[[#This Row],[2nd Highest Target]]="", "", _xlfn.TEXTJOIN(CHAR(10), TRUE, IF(tblPiNAnalysis5[[#This Row],[2nd Highest Target]]=tblPiNAnalysis5[[#This Row],[CCCM]:[WASH]], tblPiNAnalysis5[[#Headers],[CCCM]:[WASH]], "")))</f>
        <v>Food Security</v>
      </c>
      <c r="AQ16" s="36">
        <f>IFERROR(tblPiNAnalysis5[[#This Row],[2nd Highest Target]]/tblPiNAnalysis5[[#This Row],[Affected population projection 2026]], "")</f>
        <v>0.1945346148575626</v>
      </c>
      <c r="AR16" s="46">
        <f>IFERROR(tblPiNAnalysis5[[#This Row],[Highest Target]]-tblPiNAnalysis5[[#This Row],[2nd Highest Target]], "")</f>
        <v>1562.7571955395415</v>
      </c>
      <c r="AS16" s="39">
        <f>IFERROR(((tblPiNAnalysis5[[#This Row],[Highest Target]]-tblPiNAnalysis5[[#This Row],[2nd Highest Target]])/tblPiNAnalysis5[[#This Row],[2nd Highest Target]]),"")</f>
        <v>0.37727319940220067</v>
      </c>
      <c r="AT16" s="39" t="str" cm="1">
        <f t="array" ref="AT1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6" s="332" cm="1">
        <f t="array" ref="AU1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3718.2104752129162</v>
      </c>
      <c r="AV16" s="190" t="str" cm="1">
        <f t="array" ref="AV16">IF(tblPiNAnalysis5[[#This Row],[3rd Highest Target]]="", "", _xlfn.TEXTJOIN(CHAR(10), TRUE, IF(tblPiNAnalysis5[[#This Row],[3rd Highest Target]]=tblPiNAnalysis5[[#This Row],[CCCM]:[WASH]], tblPiNAnalysis5[[#Headers],[CCCM]:[WASH]], "")))</f>
        <v>Overarching Protection</v>
      </c>
      <c r="AW16" s="190">
        <f>IFERROR(tblPiNAnalysis5[[#This Row],[3rd Highest Target]]/tblPiNAnalysis5[[#This Row],[Affected population projection 2026]], "")</f>
        <v>0.17462053213684428</v>
      </c>
      <c r="AX16" s="45">
        <f>IFERROR(tblPiNAnalysis5[[#This Row],[Highest Target]]-tblPiNAnalysis5[[#This Row],[3rd Highest Target]],"")</f>
        <v>1986.7895247870838</v>
      </c>
      <c r="AY16" s="39">
        <f>IFERROR(tblPiNAnalysis5[[#This Row],[Difference of Target between Highest and 3rd Highest]]/tblPiNAnalysis5[[#This Row],[3rd Highest Target]], "")</f>
        <v>0.53434025266504426</v>
      </c>
      <c r="AZ16" s="330" t="str" cm="1">
        <f t="array" ref="AZ1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6" s="300" t="str" cm="1">
        <f t="array" ref="BA1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 s="333" t="str" cm="1">
        <f t="array" ref="BB1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6" s="276" t="str" cm="1">
        <f t="array" ref="BC1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 s="334" t="str" cm="1">
        <f t="array" ref="BD1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6" s="277" t="e">
        <f>INDEX(tblSeverityAnalysis[Final Severity], MATCH(tblPiNAnalysis5[[#This Row],[ID]],tblSeverityAnalysis[ID], 0))</f>
        <v>#N/A</v>
      </c>
      <c r="BF16" s="61" t="e">
        <f>IF(tblPiNAnalysis5[[#This Row],[Severity]]&gt;2,tblPiNAnalysis5[[#This Row],[Highest Target]],)</f>
        <v>#N/A</v>
      </c>
      <c r="BG16" s="191"/>
      <c r="BH16" s="192"/>
      <c r="BI16" s="193">
        <f>COUNTIFS(tblPiNAnalysis5[[#This Row],[Number of missing / zero PiNs greater than threshold - Data quality]:[Manual Flag]],"Flagged")</f>
        <v>2</v>
      </c>
      <c r="BJ16" s="96" t="str">
        <f>IF(tblPiNAnalysis5[[#This Row],['# Flags]]&gt;0, "Flagged", "")</f>
        <v>Flagged</v>
      </c>
      <c r="BK16" s="326" t="e">
        <f>tblPiNAnalysis5[[#This Row],[Preliminary Target]]</f>
        <v>#N/A</v>
      </c>
      <c r="BL16" s="331"/>
    </row>
    <row r="17" spans="1:64" ht="110.7" x14ac:dyDescent="0.55000000000000004">
      <c r="A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 s="316" t="s">
        <v>250</v>
      </c>
      <c r="C17" s="317" t="s">
        <v>251</v>
      </c>
      <c r="D17" s="317" t="s">
        <v>264</v>
      </c>
      <c r="E17" s="105" t="s">
        <v>265</v>
      </c>
      <c r="F17" s="100"/>
      <c r="G17" s="34"/>
      <c r="H17" s="34"/>
      <c r="I17" s="97">
        <v>40940.594481869215</v>
      </c>
      <c r="J17" s="97" t="s">
        <v>412</v>
      </c>
      <c r="K17" s="261">
        <v>0</v>
      </c>
      <c r="L17" s="319">
        <v>0</v>
      </c>
      <c r="M17" s="319">
        <v>0</v>
      </c>
      <c r="N17" s="319">
        <v>0</v>
      </c>
      <c r="O17" s="319">
        <v>0</v>
      </c>
      <c r="P17" s="319">
        <v>0</v>
      </c>
      <c r="Q17" s="229">
        <v>0</v>
      </c>
      <c r="R17" s="319">
        <v>0</v>
      </c>
      <c r="S17" s="319"/>
      <c r="T17" s="319"/>
      <c r="U17" s="319"/>
      <c r="V17" s="319"/>
      <c r="W17" s="321">
        <f>IFERROR(IF(tblPiNAnalysis5[[#This Row],[CCCM]]="", "", MROUND(tblPiNAnalysis5[[#This Row],[CCCM]]/tblPiNAnalysis5[[#This Row],[Affected population projection 2026]], 0.05)), "")</f>
        <v>0</v>
      </c>
      <c r="X17" s="322">
        <f>IFERROR(IF(tblPiNAnalysis5[[#This Row],[Education]]="", "", MROUND(tblPiNAnalysis5[[#This Row],[Education]]/tblPiNAnalysis5[[#This Row],[Affected population projection 2026]], 0.05)), "")</f>
        <v>0</v>
      </c>
      <c r="Y17" s="322">
        <f>IFERROR(IF(tblPiNAnalysis5[[#This Row],[Nutrition]]="", "", MROUND(tblPiNAnalysis5[[#This Row],[Nutrition]]/tblPiNAnalysis5[[#This Row],[Affected population projection 2026]], 0.05)), "")</f>
        <v>0</v>
      </c>
      <c r="Z17" s="322">
        <f>IFERROR(IF(tblPiNAnalysis5[[#This Row],[Food Security]]="", "", MROUND(tblPiNAnalysis5[[#This Row],[Food Security]]/tblPiNAnalysis5[[#This Row],[Affected population projection 2026]], 0.05)), "")</f>
        <v>0</v>
      </c>
      <c r="AA17" s="322">
        <f>IFERROR(IF(tblPiNAnalysis5[[#This Row],[Health]]="", "", MROUND(tblPiNAnalysis5[[#This Row],[Health]]/tblPiNAnalysis5[[#This Row],[Affected population projection 2026]], 0.05)), "")</f>
        <v>0</v>
      </c>
      <c r="AB17" s="323">
        <f>IFERROR(IF(tblPiNAnalysis5[[#This Row],[Overarching Protection]]="", "", MROUND(tblPiNAnalysis5[[#This Row],[Overarching Protection]]/tblPiNAnalysis5[[#This Row],[Affected population projection 2026]], 0.05)), "")</f>
        <v>0</v>
      </c>
      <c r="AC17" s="323">
        <f>IFERROR(IF(tblPiNAnalysis5[[#This Row],[Shelter]]="", "", MROUND(tblPiNAnalysis5[[#This Row],[Shelter]]/tblPiNAnalysis5[[#This Row],[Affected population projection 2026]], 0.05)), "")</f>
        <v>0</v>
      </c>
      <c r="AD17" s="324">
        <f>IFERROR(IF(tblPiNAnalysis5[[#This Row],[WASH]]="", "", MROUND(tblPiNAnalysis5[[#This Row],[WASH]]/tblPiNAnalysis5[[#This Row],[Affected population projection 2026]], 0.05)), "")</f>
        <v>0</v>
      </c>
      <c r="AE17" s="322">
        <f>IFERROR(MROUND(tblPiNAnalysis5[[#This Row],[CP]]/tblPiNAnalysis5[[#This Row],[Affected population projection 2026]], 0.05), "")</f>
        <v>0</v>
      </c>
      <c r="AF17" s="322">
        <f>IFERROR(MROUND(tblPiNAnalysis5[[#This Row],[GBV]]/tblPiNAnalysis5[[#This Row],[Affected population projection 2026]], 0.05), "")</f>
        <v>0</v>
      </c>
      <c r="AG17" s="322">
        <f>IFERROR(MROUND(tblPiNAnalysis5[[#This Row],[Mine Action]]/tblPiNAnalysis5[[#This Row],[Affected population projection 2026]], 0.05), "")</f>
        <v>0</v>
      </c>
      <c r="AH17" s="322">
        <f>IFERROR(MROUND(tblPiNAnalysis5[[#This Row],[HLP]]/tblPiNAnalysis5[[#This Row],[Affected population projection 2026]], 0.05), "")</f>
        <v>0</v>
      </c>
      <c r="AI17" s="325">
        <f>IFERROR(LARGE(tblPiNAnalysis5[[#This Row],[CCCM]:[WASH]], 1), "")</f>
        <v>0</v>
      </c>
      <c r="AJ17" s="326" t="str" cm="1">
        <f t="array" ref="AJ17">IF(tblPiNAnalysis5[[#This Row],[Highest Target]]="", "", _xlfn.TEXTJOIN(CHAR(10), TRUE, IF(tblPiNAnalysis5[[#This Row],[Highest Target]]=tblPiNAnalysis5[[#This Row],[CCCM]:[WASH]], tblPiNAnalysis5[[#Headers],[CCCM]:[WASH]], "")))</f>
        <v>CCCM
Education
Nutrition
Food Security
Health
Overarching Protection
Shelter
WASH</v>
      </c>
      <c r="AK17" s="327">
        <f>IF(tblPiNAnalysis5[[#This Row],[Highest Target]]="", "", tblPiNAnalysis5[[#This Row],[Highest Target]]/tblPiNAnalysis5[[#This Row],[Affected population projection 2026]])</f>
        <v>0</v>
      </c>
      <c r="AL17" s="328" t="str">
        <f>IF(SUM(tblPiNAnalysis5[[#This Row],[CCCM]:[WASH]])=0, "",IF(COUNTIF(tblPiNAnalysis5[[#This Row],[CCCM]:[WASH]],"=0")+COUNTIF(tblPiNAnalysis5[[#This Row],[CCCM]:[WASH]],"")&gt;=zero_pin_thresh, "Flagged", ""))</f>
        <v/>
      </c>
      <c r="AM17" s="329" t="str">
        <f>IFERROR(IF(tblPiNAnalysis5[[#This Row],[Highest Target]]="", "", IF(tblPiNAnalysis5[[#This Row],[Highest sector(s'') Target %]]&gt;=flag_pin_perc, "Flagged", "")), "")</f>
        <v/>
      </c>
      <c r="AN17" s="330" t="str" cm="1">
        <f t="array" ref="AN17">IF(tblPiNAnalysis5[[#This Row],[Highest Target]]=0, "",  IF(OR(COUNTIF(tblPiNAnalysis5[[#This Row],[Highest sector(s)]],tblSubSectorPopulation[Sector])), "Flagged", ""))</f>
        <v/>
      </c>
      <c r="AO17" s="46" cm="1">
        <f t="array" ref="AO1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7" s="331" t="str" cm="1">
        <f t="array" ref="AP17">IF(tblPiNAnalysis5[[#This Row],[2nd Highest Target]]="", "", _xlfn.TEXTJOIN(CHAR(10), TRUE, IF(tblPiNAnalysis5[[#This Row],[2nd Highest Target]]=tblPiNAnalysis5[[#This Row],[CCCM]:[WASH]], tblPiNAnalysis5[[#Headers],[CCCM]:[WASH]], "")))</f>
        <v>CCCM
Education
Nutrition
Food Security
Health
Overarching Protection
Shelter
WASH</v>
      </c>
      <c r="AQ17" s="36">
        <f>IFERROR(tblPiNAnalysis5[[#This Row],[2nd Highest Target]]/tblPiNAnalysis5[[#This Row],[Affected population projection 2026]], "")</f>
        <v>0</v>
      </c>
      <c r="AR17" s="46">
        <f>IFERROR(tblPiNAnalysis5[[#This Row],[Highest Target]]-tblPiNAnalysis5[[#This Row],[2nd Highest Target]], "")</f>
        <v>0</v>
      </c>
      <c r="AS17" s="39" t="str">
        <f>IFERROR(((tblPiNAnalysis5[[#This Row],[Highest Target]]-tblPiNAnalysis5[[#This Row],[2nd Highest Target]])/tblPiNAnalysis5[[#This Row],[2nd Highest Target]]),"")</f>
        <v/>
      </c>
      <c r="AT17" s="39" t="str" cm="1">
        <f t="array" ref="AT1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 s="332" cm="1">
        <f t="array" ref="AU1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7" s="190" t="str" cm="1">
        <f t="array" ref="AV17">IF(tblPiNAnalysis5[[#This Row],[3rd Highest Target]]="", "", _xlfn.TEXTJOIN(CHAR(10), TRUE, IF(tblPiNAnalysis5[[#This Row],[3rd Highest Target]]=tblPiNAnalysis5[[#This Row],[CCCM]:[WASH]], tblPiNAnalysis5[[#Headers],[CCCM]:[WASH]], "")))</f>
        <v>CCCM
Education
Nutrition
Food Security
Health
Overarching Protection
Shelter
WASH</v>
      </c>
      <c r="AW17" s="190">
        <f>IFERROR(tblPiNAnalysis5[[#This Row],[3rd Highest Target]]/tblPiNAnalysis5[[#This Row],[Affected population projection 2026]], "")</f>
        <v>0</v>
      </c>
      <c r="AX17" s="45">
        <f>IFERROR(tblPiNAnalysis5[[#This Row],[Highest Target]]-tblPiNAnalysis5[[#This Row],[3rd Highest Target]],"")</f>
        <v>0</v>
      </c>
      <c r="AY17" s="39" t="str">
        <f>IFERROR(tblPiNAnalysis5[[#This Row],[Difference of Target between Highest and 3rd Highest]]/tblPiNAnalysis5[[#This Row],[3rd Highest Target]], "")</f>
        <v/>
      </c>
      <c r="AZ17" s="330" t="str" cm="1">
        <f t="array" ref="AZ1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 s="300" t="str" cm="1">
        <f t="array" ref="BA1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 s="333" t="str" cm="1">
        <f t="array" ref="BB1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7" s="276" t="str" cm="1">
        <f t="array" ref="BC1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 s="334" t="str" cm="1">
        <f t="array" ref="BD1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 s="277" t="e">
        <f>INDEX(tblSeverityAnalysis[Final Severity], MATCH(tblPiNAnalysis5[[#This Row],[ID]],tblSeverityAnalysis[ID], 0))</f>
        <v>#N/A</v>
      </c>
      <c r="BF17" s="61" t="e">
        <f>IF(tblPiNAnalysis5[[#This Row],[Severity]]&gt;2,tblPiNAnalysis5[[#This Row],[Highest Target]],)</f>
        <v>#N/A</v>
      </c>
      <c r="BG17" s="191"/>
      <c r="BH17" s="192"/>
      <c r="BI17" s="193">
        <f>COUNTIFS(tblPiNAnalysis5[[#This Row],[Number of missing / zero PiNs greater than threshold - Data quality]:[Manual Flag]],"Flagged")</f>
        <v>2</v>
      </c>
      <c r="BJ17" s="96" t="str">
        <f>IF(tblPiNAnalysis5[[#This Row],['# Flags]]&gt;0, "Flagged", "")</f>
        <v>Flagged</v>
      </c>
      <c r="BK17" s="326" t="e">
        <f>tblPiNAnalysis5[[#This Row],[Preliminary Target]]</f>
        <v>#N/A</v>
      </c>
      <c r="BL17" s="331"/>
    </row>
    <row r="18" spans="1:64" ht="110.7" x14ac:dyDescent="0.55000000000000004">
      <c r="A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 s="316" t="s">
        <v>250</v>
      </c>
      <c r="C18" s="317" t="s">
        <v>251</v>
      </c>
      <c r="D18" s="317" t="s">
        <v>266</v>
      </c>
      <c r="E18" s="105" t="s">
        <v>267</v>
      </c>
      <c r="F18" s="100"/>
      <c r="G18" s="34"/>
      <c r="H18" s="34"/>
      <c r="I18" s="97">
        <v>2501.5236312386551</v>
      </c>
      <c r="J18" s="97" t="s">
        <v>412</v>
      </c>
      <c r="K18" s="261">
        <v>0</v>
      </c>
      <c r="L18" s="319">
        <v>0</v>
      </c>
      <c r="M18" s="319">
        <v>0</v>
      </c>
      <c r="N18" s="319">
        <v>0</v>
      </c>
      <c r="O18" s="319">
        <v>0</v>
      </c>
      <c r="P18" s="319">
        <v>0</v>
      </c>
      <c r="Q18" s="229">
        <v>0</v>
      </c>
      <c r="R18" s="319">
        <v>0</v>
      </c>
      <c r="S18" s="319"/>
      <c r="T18" s="319"/>
      <c r="U18" s="319"/>
      <c r="V18" s="319"/>
      <c r="W18" s="321">
        <f>IFERROR(IF(tblPiNAnalysis5[[#This Row],[CCCM]]="", "", MROUND(tblPiNAnalysis5[[#This Row],[CCCM]]/tblPiNAnalysis5[[#This Row],[Affected population projection 2026]], 0.05)), "")</f>
        <v>0</v>
      </c>
      <c r="X18" s="322">
        <f>IFERROR(IF(tblPiNAnalysis5[[#This Row],[Education]]="", "", MROUND(tblPiNAnalysis5[[#This Row],[Education]]/tblPiNAnalysis5[[#This Row],[Affected population projection 2026]], 0.05)), "")</f>
        <v>0</v>
      </c>
      <c r="Y18" s="322">
        <f>IFERROR(IF(tblPiNAnalysis5[[#This Row],[Nutrition]]="", "", MROUND(tblPiNAnalysis5[[#This Row],[Nutrition]]/tblPiNAnalysis5[[#This Row],[Affected population projection 2026]], 0.05)), "")</f>
        <v>0</v>
      </c>
      <c r="Z18" s="322">
        <f>IFERROR(IF(tblPiNAnalysis5[[#This Row],[Food Security]]="", "", MROUND(tblPiNAnalysis5[[#This Row],[Food Security]]/tblPiNAnalysis5[[#This Row],[Affected population projection 2026]], 0.05)), "")</f>
        <v>0</v>
      </c>
      <c r="AA18" s="322">
        <f>IFERROR(IF(tblPiNAnalysis5[[#This Row],[Health]]="", "", MROUND(tblPiNAnalysis5[[#This Row],[Health]]/tblPiNAnalysis5[[#This Row],[Affected population projection 2026]], 0.05)), "")</f>
        <v>0</v>
      </c>
      <c r="AB18" s="323">
        <f>IFERROR(IF(tblPiNAnalysis5[[#This Row],[Overarching Protection]]="", "", MROUND(tblPiNAnalysis5[[#This Row],[Overarching Protection]]/tblPiNAnalysis5[[#This Row],[Affected population projection 2026]], 0.05)), "")</f>
        <v>0</v>
      </c>
      <c r="AC18" s="323">
        <f>IFERROR(IF(tblPiNAnalysis5[[#This Row],[Shelter]]="", "", MROUND(tblPiNAnalysis5[[#This Row],[Shelter]]/tblPiNAnalysis5[[#This Row],[Affected population projection 2026]], 0.05)), "")</f>
        <v>0</v>
      </c>
      <c r="AD18" s="324">
        <f>IFERROR(IF(tblPiNAnalysis5[[#This Row],[WASH]]="", "", MROUND(tblPiNAnalysis5[[#This Row],[WASH]]/tblPiNAnalysis5[[#This Row],[Affected population projection 2026]], 0.05)), "")</f>
        <v>0</v>
      </c>
      <c r="AE18" s="322">
        <f>IFERROR(MROUND(tblPiNAnalysis5[[#This Row],[CP]]/tblPiNAnalysis5[[#This Row],[Affected population projection 2026]], 0.05), "")</f>
        <v>0</v>
      </c>
      <c r="AF18" s="322">
        <f>IFERROR(MROUND(tblPiNAnalysis5[[#This Row],[GBV]]/tblPiNAnalysis5[[#This Row],[Affected population projection 2026]], 0.05), "")</f>
        <v>0</v>
      </c>
      <c r="AG18" s="322">
        <f>IFERROR(MROUND(tblPiNAnalysis5[[#This Row],[Mine Action]]/tblPiNAnalysis5[[#This Row],[Affected population projection 2026]], 0.05), "")</f>
        <v>0</v>
      </c>
      <c r="AH18" s="322">
        <f>IFERROR(MROUND(tblPiNAnalysis5[[#This Row],[HLP]]/tblPiNAnalysis5[[#This Row],[Affected population projection 2026]], 0.05), "")</f>
        <v>0</v>
      </c>
      <c r="AI18" s="325">
        <f>IFERROR(LARGE(tblPiNAnalysis5[[#This Row],[CCCM]:[WASH]], 1), "")</f>
        <v>0</v>
      </c>
      <c r="AJ18" s="326" t="str" cm="1">
        <f t="array" ref="AJ18">IF(tblPiNAnalysis5[[#This Row],[Highest Target]]="", "", _xlfn.TEXTJOIN(CHAR(10), TRUE, IF(tblPiNAnalysis5[[#This Row],[Highest Target]]=tblPiNAnalysis5[[#This Row],[CCCM]:[WASH]], tblPiNAnalysis5[[#Headers],[CCCM]:[WASH]], "")))</f>
        <v>CCCM
Education
Nutrition
Food Security
Health
Overarching Protection
Shelter
WASH</v>
      </c>
      <c r="AK18" s="327">
        <f>IF(tblPiNAnalysis5[[#This Row],[Highest Target]]="", "", tblPiNAnalysis5[[#This Row],[Highest Target]]/tblPiNAnalysis5[[#This Row],[Affected population projection 2026]])</f>
        <v>0</v>
      </c>
      <c r="AL18" s="328" t="str">
        <f>IF(SUM(tblPiNAnalysis5[[#This Row],[CCCM]:[WASH]])=0, "",IF(COUNTIF(tblPiNAnalysis5[[#This Row],[CCCM]:[WASH]],"=0")+COUNTIF(tblPiNAnalysis5[[#This Row],[CCCM]:[WASH]],"")&gt;=zero_pin_thresh, "Flagged", ""))</f>
        <v/>
      </c>
      <c r="AM18" s="329" t="str">
        <f>IFERROR(IF(tblPiNAnalysis5[[#This Row],[Highest Target]]="", "", IF(tblPiNAnalysis5[[#This Row],[Highest sector(s'') Target %]]&gt;=flag_pin_perc, "Flagged", "")), "")</f>
        <v/>
      </c>
      <c r="AN18" s="330" t="str" cm="1">
        <f t="array" ref="AN18">IF(tblPiNAnalysis5[[#This Row],[Highest Target]]=0, "",  IF(OR(COUNTIF(tblPiNAnalysis5[[#This Row],[Highest sector(s)]],tblSubSectorPopulation[Sector])), "Flagged", ""))</f>
        <v/>
      </c>
      <c r="AO18" s="46" cm="1">
        <f t="array" ref="AO1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8" s="331" t="str" cm="1">
        <f t="array" ref="AP18">IF(tblPiNAnalysis5[[#This Row],[2nd Highest Target]]="", "", _xlfn.TEXTJOIN(CHAR(10), TRUE, IF(tblPiNAnalysis5[[#This Row],[2nd Highest Target]]=tblPiNAnalysis5[[#This Row],[CCCM]:[WASH]], tblPiNAnalysis5[[#Headers],[CCCM]:[WASH]], "")))</f>
        <v>CCCM
Education
Nutrition
Food Security
Health
Overarching Protection
Shelter
WASH</v>
      </c>
      <c r="AQ18" s="36">
        <f>IFERROR(tblPiNAnalysis5[[#This Row],[2nd Highest Target]]/tblPiNAnalysis5[[#This Row],[Affected population projection 2026]], "")</f>
        <v>0</v>
      </c>
      <c r="AR18" s="46">
        <f>IFERROR(tblPiNAnalysis5[[#This Row],[Highest Target]]-tblPiNAnalysis5[[#This Row],[2nd Highest Target]], "")</f>
        <v>0</v>
      </c>
      <c r="AS18" s="39" t="str">
        <f>IFERROR(((tblPiNAnalysis5[[#This Row],[Highest Target]]-tblPiNAnalysis5[[#This Row],[2nd Highest Target]])/tblPiNAnalysis5[[#This Row],[2nd Highest Target]]),"")</f>
        <v/>
      </c>
      <c r="AT18" s="39" t="str" cm="1">
        <f t="array" ref="AT1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 s="332" cm="1">
        <f t="array" ref="AU1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8" s="190" t="str" cm="1">
        <f t="array" ref="AV18">IF(tblPiNAnalysis5[[#This Row],[3rd Highest Target]]="", "", _xlfn.TEXTJOIN(CHAR(10), TRUE, IF(tblPiNAnalysis5[[#This Row],[3rd Highest Target]]=tblPiNAnalysis5[[#This Row],[CCCM]:[WASH]], tblPiNAnalysis5[[#Headers],[CCCM]:[WASH]], "")))</f>
        <v>CCCM
Education
Nutrition
Food Security
Health
Overarching Protection
Shelter
WASH</v>
      </c>
      <c r="AW18" s="190">
        <f>IFERROR(tblPiNAnalysis5[[#This Row],[3rd Highest Target]]/tblPiNAnalysis5[[#This Row],[Affected population projection 2026]], "")</f>
        <v>0</v>
      </c>
      <c r="AX18" s="45">
        <f>IFERROR(tblPiNAnalysis5[[#This Row],[Highest Target]]-tblPiNAnalysis5[[#This Row],[3rd Highest Target]],"")</f>
        <v>0</v>
      </c>
      <c r="AY18" s="39" t="str">
        <f>IFERROR(tblPiNAnalysis5[[#This Row],[Difference of Target between Highest and 3rd Highest]]/tblPiNAnalysis5[[#This Row],[3rd Highest Target]], "")</f>
        <v/>
      </c>
      <c r="AZ18" s="330" t="str" cm="1">
        <f t="array" ref="AZ1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 s="300" t="str" cm="1">
        <f t="array" ref="BA1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 s="333" t="str" cm="1">
        <f t="array" ref="BB1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 s="276" t="str" cm="1">
        <f t="array" ref="BC1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 s="334" t="str" cm="1">
        <f t="array" ref="BD1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 s="277" t="e">
        <f>INDEX(tblSeverityAnalysis[Final Severity], MATCH(tblPiNAnalysis5[[#This Row],[ID]],tblSeverityAnalysis[ID], 0))</f>
        <v>#N/A</v>
      </c>
      <c r="BF18" s="61" t="e">
        <f>IF(tblPiNAnalysis5[[#This Row],[Severity]]&gt;2,tblPiNAnalysis5[[#This Row],[Highest Target]],)</f>
        <v>#N/A</v>
      </c>
      <c r="BG18" s="191"/>
      <c r="BH18" s="192"/>
      <c r="BI18" s="193">
        <f>COUNTIFS(tblPiNAnalysis5[[#This Row],[Number of missing / zero PiNs greater than threshold - Data quality]:[Manual Flag]],"Flagged")</f>
        <v>2</v>
      </c>
      <c r="BJ18" s="96" t="str">
        <f>IF(tblPiNAnalysis5[[#This Row],['# Flags]]&gt;0, "Flagged", "")</f>
        <v>Flagged</v>
      </c>
      <c r="BK18" s="326" t="e">
        <f>tblPiNAnalysis5[[#This Row],[Preliminary Target]]</f>
        <v>#N/A</v>
      </c>
      <c r="BL18" s="331"/>
    </row>
    <row r="19" spans="1:64" x14ac:dyDescent="0.55000000000000004">
      <c r="A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 s="316" t="s">
        <v>268</v>
      </c>
      <c r="C19" s="317" t="s">
        <v>269</v>
      </c>
      <c r="D19" s="317" t="s">
        <v>270</v>
      </c>
      <c r="E19" s="105" t="s">
        <v>271</v>
      </c>
      <c r="F19" s="100"/>
      <c r="G19" s="34"/>
      <c r="H19" s="34"/>
      <c r="I19" s="97">
        <v>45687.987079478589</v>
      </c>
      <c r="J19" s="97" t="s">
        <v>412</v>
      </c>
      <c r="K19" s="261">
        <v>24153</v>
      </c>
      <c r="L19" s="319">
        <v>9011.1330676597208</v>
      </c>
      <c r="M19" s="319">
        <v>11920.360453089319</v>
      </c>
      <c r="N19" s="319">
        <v>22207.155096992403</v>
      </c>
      <c r="O19" s="319">
        <v>22011.499596320162</v>
      </c>
      <c r="P19" s="319">
        <v>22309.228032502619</v>
      </c>
      <c r="Q19" s="229">
        <v>17583.372305162666</v>
      </c>
      <c r="R19" s="319">
        <v>7826.1829719477209</v>
      </c>
      <c r="S19" s="319"/>
      <c r="T19" s="319"/>
      <c r="U19" s="319"/>
      <c r="V19" s="319"/>
      <c r="W19" s="321">
        <f>IFERROR(IF(tblPiNAnalysis5[[#This Row],[CCCM]]="", "", MROUND(tblPiNAnalysis5[[#This Row],[CCCM]]/tblPiNAnalysis5[[#This Row],[Affected population projection 2026]], 0.05)), "")</f>
        <v>0.55000000000000004</v>
      </c>
      <c r="X19" s="322">
        <f>IFERROR(IF(tblPiNAnalysis5[[#This Row],[Education]]="", "", MROUND(tblPiNAnalysis5[[#This Row],[Education]]/tblPiNAnalysis5[[#This Row],[Affected population projection 2026]], 0.05)), "")</f>
        <v>0.2</v>
      </c>
      <c r="Y19" s="322">
        <f>IFERROR(IF(tblPiNAnalysis5[[#This Row],[Nutrition]]="", "", MROUND(tblPiNAnalysis5[[#This Row],[Nutrition]]/tblPiNAnalysis5[[#This Row],[Affected population projection 2026]], 0.05)), "")</f>
        <v>0.25</v>
      </c>
      <c r="Z19" s="322">
        <f>IFERROR(IF(tblPiNAnalysis5[[#This Row],[Food Security]]="", "", MROUND(tblPiNAnalysis5[[#This Row],[Food Security]]/tblPiNAnalysis5[[#This Row],[Affected population projection 2026]], 0.05)), "")</f>
        <v>0.5</v>
      </c>
      <c r="AA19" s="322">
        <f>IFERROR(IF(tblPiNAnalysis5[[#This Row],[Health]]="", "", MROUND(tblPiNAnalysis5[[#This Row],[Health]]/tblPiNAnalysis5[[#This Row],[Affected population projection 2026]], 0.05)), "")</f>
        <v>0.5</v>
      </c>
      <c r="AB19" s="323">
        <f>IFERROR(IF(tblPiNAnalysis5[[#This Row],[Overarching Protection]]="", "", MROUND(tblPiNAnalysis5[[#This Row],[Overarching Protection]]/tblPiNAnalysis5[[#This Row],[Affected population projection 2026]], 0.05)), "")</f>
        <v>0.5</v>
      </c>
      <c r="AC19" s="323">
        <f>IFERROR(IF(tblPiNAnalysis5[[#This Row],[Shelter]]="", "", MROUND(tblPiNAnalysis5[[#This Row],[Shelter]]/tblPiNAnalysis5[[#This Row],[Affected population projection 2026]], 0.05)), "")</f>
        <v>0.4</v>
      </c>
      <c r="AD19" s="324">
        <f>IFERROR(IF(tblPiNAnalysis5[[#This Row],[WASH]]="", "", MROUND(tblPiNAnalysis5[[#This Row],[WASH]]/tblPiNAnalysis5[[#This Row],[Affected population projection 2026]], 0.05)), "")</f>
        <v>0.15000000000000002</v>
      </c>
      <c r="AE19" s="322">
        <f>IFERROR(MROUND(tblPiNAnalysis5[[#This Row],[CP]]/tblPiNAnalysis5[[#This Row],[Affected population projection 2026]], 0.05), "")</f>
        <v>0</v>
      </c>
      <c r="AF19" s="322">
        <f>IFERROR(MROUND(tblPiNAnalysis5[[#This Row],[GBV]]/tblPiNAnalysis5[[#This Row],[Affected population projection 2026]], 0.05), "")</f>
        <v>0</v>
      </c>
      <c r="AG19" s="322">
        <f>IFERROR(MROUND(tblPiNAnalysis5[[#This Row],[Mine Action]]/tblPiNAnalysis5[[#This Row],[Affected population projection 2026]], 0.05), "")</f>
        <v>0</v>
      </c>
      <c r="AH19" s="322">
        <f>IFERROR(MROUND(tblPiNAnalysis5[[#This Row],[HLP]]/tblPiNAnalysis5[[#This Row],[Affected population projection 2026]], 0.05), "")</f>
        <v>0</v>
      </c>
      <c r="AI19" s="325">
        <f>IFERROR(LARGE(tblPiNAnalysis5[[#This Row],[CCCM]:[WASH]], 1), "")</f>
        <v>24153</v>
      </c>
      <c r="AJ19" s="326" t="str" cm="1">
        <f t="array" ref="AJ19">IF(tblPiNAnalysis5[[#This Row],[Highest Target]]="", "", _xlfn.TEXTJOIN(CHAR(10), TRUE, IF(tblPiNAnalysis5[[#This Row],[Highest Target]]=tblPiNAnalysis5[[#This Row],[CCCM]:[WASH]], tblPiNAnalysis5[[#Headers],[CCCM]:[WASH]], "")))</f>
        <v>CCCM</v>
      </c>
      <c r="AK19" s="327">
        <f>IF(tblPiNAnalysis5[[#This Row],[Highest Target]]="", "", tblPiNAnalysis5[[#This Row],[Highest Target]]/tblPiNAnalysis5[[#This Row],[Affected population projection 2026]])</f>
        <v>0.52865099874029386</v>
      </c>
      <c r="AL19" s="328" t="str">
        <f>IF(SUM(tblPiNAnalysis5[[#This Row],[CCCM]:[WASH]])=0, "",IF(COUNTIF(tblPiNAnalysis5[[#This Row],[CCCM]:[WASH]],"=0")+COUNTIF(tblPiNAnalysis5[[#This Row],[CCCM]:[WASH]],"")&gt;=zero_pin_thresh, "Flagged", ""))</f>
        <v/>
      </c>
      <c r="AM19" s="329" t="str">
        <f>IFERROR(IF(tblPiNAnalysis5[[#This Row],[Highest Target]]="", "", IF(tblPiNAnalysis5[[#This Row],[Highest sector(s'') Target %]]&gt;=flag_pin_perc, "Flagged", "")), "")</f>
        <v/>
      </c>
      <c r="AN19" s="330" t="str" cm="1">
        <f t="array" ref="AN19">IF(tblPiNAnalysis5[[#This Row],[Highest Target]]=0, "",  IF(OR(COUNTIF(tblPiNAnalysis5[[#This Row],[Highest sector(s)]],tblSubSectorPopulation[Sector])), "Flagged", ""))</f>
        <v/>
      </c>
      <c r="AO19" s="46" cm="1">
        <f t="array" ref="AO1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22309.228032502619</v>
      </c>
      <c r="AP19" s="331" t="str" cm="1">
        <f t="array" ref="AP19">IF(tblPiNAnalysis5[[#This Row],[2nd Highest Target]]="", "", _xlfn.TEXTJOIN(CHAR(10), TRUE, IF(tblPiNAnalysis5[[#This Row],[2nd Highest Target]]=tblPiNAnalysis5[[#This Row],[CCCM]:[WASH]], tblPiNAnalysis5[[#Headers],[CCCM]:[WASH]], "")))</f>
        <v>Overarching Protection</v>
      </c>
      <c r="AQ19" s="36">
        <f>IFERROR(tblPiNAnalysis5[[#This Row],[2nd Highest Target]]/tblPiNAnalysis5[[#This Row],[Affected population projection 2026]], "")</f>
        <v>0.48829527100184122</v>
      </c>
      <c r="AR19" s="46">
        <f>IFERROR(tblPiNAnalysis5[[#This Row],[Highest Target]]-tblPiNAnalysis5[[#This Row],[2nd Highest Target]], "")</f>
        <v>1843.7719674973814</v>
      </c>
      <c r="AS19" s="39">
        <f>IFERROR(((tblPiNAnalysis5[[#This Row],[Highest Target]]-tblPiNAnalysis5[[#This Row],[2nd Highest Target]])/tblPiNAnalysis5[[#This Row],[2nd Highest Target]]),"")</f>
        <v>8.2646157222973596E-2</v>
      </c>
      <c r="AT19" s="39" t="str" cm="1">
        <f t="array" ref="AT1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 s="332" cm="1">
        <f t="array" ref="AU1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22207.155096992403</v>
      </c>
      <c r="AV19" s="190" t="str" cm="1">
        <f t="array" ref="AV19">IF(tblPiNAnalysis5[[#This Row],[3rd Highest Target]]="", "", _xlfn.TEXTJOIN(CHAR(10), TRUE, IF(tblPiNAnalysis5[[#This Row],[3rd Highest Target]]=tblPiNAnalysis5[[#This Row],[CCCM]:[WASH]], tblPiNAnalysis5[[#Headers],[CCCM]:[WASH]], "")))</f>
        <v>Food Security</v>
      </c>
      <c r="AW19" s="190">
        <f>IFERROR(tblPiNAnalysis5[[#This Row],[3rd Highest Target]]/tblPiNAnalysis5[[#This Row],[Affected population projection 2026]], "")</f>
        <v>0.48606114028094405</v>
      </c>
      <c r="AX19" s="45">
        <f>IFERROR(tblPiNAnalysis5[[#This Row],[Highest Target]]-tblPiNAnalysis5[[#This Row],[3rd Highest Target]],"")</f>
        <v>1945.8449030075972</v>
      </c>
      <c r="AY19" s="39">
        <f>IFERROR(tblPiNAnalysis5[[#This Row],[Difference of Target between Highest and 3rd Highest]]/tblPiNAnalysis5[[#This Row],[3rd Highest Target]], "")</f>
        <v>8.762243045130666E-2</v>
      </c>
      <c r="AZ19" s="330" t="str" cm="1">
        <f t="array" ref="AZ1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 s="300" t="str" cm="1">
        <f t="array" ref="BA1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 s="333" t="str" cm="1">
        <f t="array" ref="BB1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9" s="276" t="str" cm="1">
        <f t="array" ref="BC1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 s="334" t="str" cm="1">
        <f t="array" ref="BD1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9" s="277" t="e">
        <f>INDEX(tblSeverityAnalysis[Final Severity], MATCH(tblPiNAnalysis5[[#This Row],[ID]],tblSeverityAnalysis[ID], 0))</f>
        <v>#N/A</v>
      </c>
      <c r="BF19" s="61" t="e">
        <f>IF(tblPiNAnalysis5[[#This Row],[Severity]]&gt;2,tblPiNAnalysis5[[#This Row],[Highest Target]],)</f>
        <v>#N/A</v>
      </c>
      <c r="BG19" s="191"/>
      <c r="BH19" s="192"/>
      <c r="BI19" s="193">
        <f>COUNTIFS(tblPiNAnalysis5[[#This Row],[Number of missing / zero PiNs greater than threshold - Data quality]:[Manual Flag]],"Flagged")</f>
        <v>0</v>
      </c>
      <c r="BJ19" s="96" t="str">
        <f>IF(tblPiNAnalysis5[[#This Row],['# Flags]]&gt;0, "Flagged", "")</f>
        <v/>
      </c>
      <c r="BK19" s="326" t="e">
        <f>tblPiNAnalysis5[[#This Row],[Preliminary Target]]</f>
        <v>#N/A</v>
      </c>
      <c r="BL19" s="331"/>
    </row>
    <row r="20" spans="1:64" x14ac:dyDescent="0.55000000000000004">
      <c r="A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 s="316" t="s">
        <v>268</v>
      </c>
      <c r="C20" s="317" t="s">
        <v>269</v>
      </c>
      <c r="D20" s="317" t="s">
        <v>272</v>
      </c>
      <c r="E20" s="105" t="s">
        <v>273</v>
      </c>
      <c r="F20" s="100"/>
      <c r="G20" s="34"/>
      <c r="H20" s="34"/>
      <c r="I20" s="97">
        <v>21857.689382345037</v>
      </c>
      <c r="J20" s="97" t="s">
        <v>412</v>
      </c>
      <c r="K20" s="261">
        <v>0</v>
      </c>
      <c r="L20" s="319">
        <v>3012.1644584022056</v>
      </c>
      <c r="M20" s="319">
        <v>3864.8899374194034</v>
      </c>
      <c r="N20" s="319">
        <v>9379.209789665756</v>
      </c>
      <c r="O20" s="319">
        <v>8832.762200943982</v>
      </c>
      <c r="P20" s="319">
        <v>8063.9039922417978</v>
      </c>
      <c r="Q20" s="229">
        <v>6005.7536807046472</v>
      </c>
      <c r="R20" s="319">
        <v>15131.99644182275</v>
      </c>
      <c r="S20" s="319"/>
      <c r="T20" s="319"/>
      <c r="U20" s="319"/>
      <c r="V20" s="319"/>
      <c r="W20" s="321">
        <f>IFERROR(IF(tblPiNAnalysis5[[#This Row],[CCCM]]="", "", MROUND(tblPiNAnalysis5[[#This Row],[CCCM]]/tblPiNAnalysis5[[#This Row],[Affected population projection 2026]], 0.05)), "")</f>
        <v>0</v>
      </c>
      <c r="X20" s="322">
        <f>IFERROR(IF(tblPiNAnalysis5[[#This Row],[Education]]="", "", MROUND(tblPiNAnalysis5[[#This Row],[Education]]/tblPiNAnalysis5[[#This Row],[Affected population projection 2026]], 0.05)), "")</f>
        <v>0.15000000000000002</v>
      </c>
      <c r="Y20" s="322">
        <f>IFERROR(IF(tblPiNAnalysis5[[#This Row],[Nutrition]]="", "", MROUND(tblPiNAnalysis5[[#This Row],[Nutrition]]/tblPiNAnalysis5[[#This Row],[Affected population projection 2026]], 0.05)), "")</f>
        <v>0.2</v>
      </c>
      <c r="Z20" s="322">
        <f>IFERROR(IF(tblPiNAnalysis5[[#This Row],[Food Security]]="", "", MROUND(tblPiNAnalysis5[[#This Row],[Food Security]]/tblPiNAnalysis5[[#This Row],[Affected population projection 2026]], 0.05)), "")</f>
        <v>0.45</v>
      </c>
      <c r="AA20" s="322">
        <f>IFERROR(IF(tblPiNAnalysis5[[#This Row],[Health]]="", "", MROUND(tblPiNAnalysis5[[#This Row],[Health]]/tblPiNAnalysis5[[#This Row],[Affected population projection 2026]], 0.05)), "")</f>
        <v>0.4</v>
      </c>
      <c r="AB20" s="323">
        <f>IFERROR(IF(tblPiNAnalysis5[[#This Row],[Overarching Protection]]="", "", MROUND(tblPiNAnalysis5[[#This Row],[Overarching Protection]]/tblPiNAnalysis5[[#This Row],[Affected population projection 2026]], 0.05)), "")</f>
        <v>0.35000000000000003</v>
      </c>
      <c r="AC20" s="323">
        <f>IFERROR(IF(tblPiNAnalysis5[[#This Row],[Shelter]]="", "", MROUND(tblPiNAnalysis5[[#This Row],[Shelter]]/tblPiNAnalysis5[[#This Row],[Affected population projection 2026]], 0.05)), "")</f>
        <v>0.25</v>
      </c>
      <c r="AD20" s="324">
        <f>IFERROR(IF(tblPiNAnalysis5[[#This Row],[WASH]]="", "", MROUND(tblPiNAnalysis5[[#This Row],[WASH]]/tblPiNAnalysis5[[#This Row],[Affected population projection 2026]], 0.05)), "")</f>
        <v>0.70000000000000007</v>
      </c>
      <c r="AE20" s="322">
        <f>IFERROR(MROUND(tblPiNAnalysis5[[#This Row],[CP]]/tblPiNAnalysis5[[#This Row],[Affected population projection 2026]], 0.05), "")</f>
        <v>0</v>
      </c>
      <c r="AF20" s="322">
        <f>IFERROR(MROUND(tblPiNAnalysis5[[#This Row],[GBV]]/tblPiNAnalysis5[[#This Row],[Affected population projection 2026]], 0.05), "")</f>
        <v>0</v>
      </c>
      <c r="AG20" s="322">
        <f>IFERROR(MROUND(tblPiNAnalysis5[[#This Row],[Mine Action]]/tblPiNAnalysis5[[#This Row],[Affected population projection 2026]], 0.05), "")</f>
        <v>0</v>
      </c>
      <c r="AH20" s="322">
        <f>IFERROR(MROUND(tblPiNAnalysis5[[#This Row],[HLP]]/tblPiNAnalysis5[[#This Row],[Affected population projection 2026]], 0.05), "")</f>
        <v>0</v>
      </c>
      <c r="AI20" s="325">
        <f>IFERROR(LARGE(tblPiNAnalysis5[[#This Row],[CCCM]:[WASH]], 1), "")</f>
        <v>15131.99644182275</v>
      </c>
      <c r="AJ20" s="326" t="str" cm="1">
        <f t="array" ref="AJ20">IF(tblPiNAnalysis5[[#This Row],[Highest Target]]="", "", _xlfn.TEXTJOIN(CHAR(10), TRUE, IF(tblPiNAnalysis5[[#This Row],[Highest Target]]=tblPiNAnalysis5[[#This Row],[CCCM]:[WASH]], tblPiNAnalysis5[[#Headers],[CCCM]:[WASH]], "")))</f>
        <v>WASH</v>
      </c>
      <c r="AK20" s="327">
        <f>IF(tblPiNAnalysis5[[#This Row],[Highest Target]]="", "", tblPiNAnalysis5[[#This Row],[Highest Target]]/tblPiNAnalysis5[[#This Row],[Affected population projection 2026]])</f>
        <v>0.69229625223081515</v>
      </c>
      <c r="AL20" s="328" t="str">
        <f>IF(SUM(tblPiNAnalysis5[[#This Row],[CCCM]:[WASH]])=0, "",IF(COUNTIF(tblPiNAnalysis5[[#This Row],[CCCM]:[WASH]],"=0")+COUNTIF(tblPiNAnalysis5[[#This Row],[CCCM]:[WASH]],"")&gt;=zero_pin_thresh, "Flagged", ""))</f>
        <v/>
      </c>
      <c r="AM20" s="329" t="str">
        <f>IFERROR(IF(tblPiNAnalysis5[[#This Row],[Highest Target]]="", "", IF(tblPiNAnalysis5[[#This Row],[Highest sector(s'') Target %]]&gt;=flag_pin_perc, "Flagged", "")), "")</f>
        <v/>
      </c>
      <c r="AN20" s="330" t="str" cm="1">
        <f t="array" ref="AN20">IF(tblPiNAnalysis5[[#This Row],[Highest Target]]=0, "",  IF(OR(COUNTIF(tblPiNAnalysis5[[#This Row],[Highest sector(s)]],tblSubSectorPopulation[Sector])), "Flagged", ""))</f>
        <v/>
      </c>
      <c r="AO20" s="46" cm="1">
        <f t="array" ref="AO2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9379.209789665756</v>
      </c>
      <c r="AP20" s="331" t="str" cm="1">
        <f t="array" ref="AP20">IF(tblPiNAnalysis5[[#This Row],[2nd Highest Target]]="", "", _xlfn.TEXTJOIN(CHAR(10), TRUE, IF(tblPiNAnalysis5[[#This Row],[2nd Highest Target]]=tblPiNAnalysis5[[#This Row],[CCCM]:[WASH]], tblPiNAnalysis5[[#Headers],[CCCM]:[WASH]], "")))</f>
        <v>Food Security</v>
      </c>
      <c r="AQ20" s="36">
        <f>IFERROR(tblPiNAnalysis5[[#This Row],[2nd Highest Target]]/tblPiNAnalysis5[[#This Row],[Affected population projection 2026]], "")</f>
        <v>0.42910344390023042</v>
      </c>
      <c r="AR20" s="46">
        <f>IFERROR(tblPiNAnalysis5[[#This Row],[Highest Target]]-tblPiNAnalysis5[[#This Row],[2nd Highest Target]], "")</f>
        <v>5752.786652156994</v>
      </c>
      <c r="AS20" s="39">
        <f>IFERROR(((tblPiNAnalysis5[[#This Row],[Highest Target]]-tblPiNAnalysis5[[#This Row],[2nd Highest Target]])/tblPiNAnalysis5[[#This Row],[2nd Highest Target]]),"")</f>
        <v>0.61335515263722495</v>
      </c>
      <c r="AT20" s="39" t="str" cm="1">
        <f t="array" ref="AT2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 s="332" cm="1">
        <f t="array" ref="AU2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8832.762200943982</v>
      </c>
      <c r="AV20" s="190" t="str" cm="1">
        <f t="array" ref="AV20">IF(tblPiNAnalysis5[[#This Row],[3rd Highest Target]]="", "", _xlfn.TEXTJOIN(CHAR(10), TRUE, IF(tblPiNAnalysis5[[#This Row],[3rd Highest Target]]=tblPiNAnalysis5[[#This Row],[CCCM]:[WASH]], tblPiNAnalysis5[[#Headers],[CCCM]:[WASH]], "")))</f>
        <v>Health</v>
      </c>
      <c r="AW20" s="190">
        <f>IFERROR(tblPiNAnalysis5[[#This Row],[3rd Highest Target]]/tblPiNAnalysis5[[#This Row],[Affected population projection 2026]], "")</f>
        <v>0.40410319894464275</v>
      </c>
      <c r="AX20" s="45">
        <f>IFERROR(tblPiNAnalysis5[[#This Row],[Highest Target]]-tblPiNAnalysis5[[#This Row],[3rd Highest Target]],"")</f>
        <v>6299.2342408787681</v>
      </c>
      <c r="AY20" s="39">
        <f>IFERROR(tblPiNAnalysis5[[#This Row],[Difference of Target between Highest and 3rd Highest]]/tblPiNAnalysis5[[#This Row],[3rd Highest Target]], "")</f>
        <v>0.71316696833585658</v>
      </c>
      <c r="AZ20" s="330" t="str" cm="1">
        <f t="array" ref="AZ2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 s="300" t="str" cm="1">
        <f t="array" ref="BA2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 s="333" t="str" cm="1">
        <f t="array" ref="BB2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0" s="276" t="str" cm="1">
        <f t="array" ref="BC2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 s="334" t="str" cm="1">
        <f t="array" ref="BD2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 s="277" t="e">
        <f>INDEX(tblSeverityAnalysis[Final Severity], MATCH(tblPiNAnalysis5[[#This Row],[ID]],tblSeverityAnalysis[ID], 0))</f>
        <v>#N/A</v>
      </c>
      <c r="BF20" s="61" t="e">
        <f>IF(tblPiNAnalysis5[[#This Row],[Severity]]&gt;2,tblPiNAnalysis5[[#This Row],[Highest Target]],)</f>
        <v>#N/A</v>
      </c>
      <c r="BG20" s="191"/>
      <c r="BH20" s="192"/>
      <c r="BI20" s="193">
        <f>COUNTIFS(tblPiNAnalysis5[[#This Row],[Number of missing / zero PiNs greater than threshold - Data quality]:[Manual Flag]],"Flagged")</f>
        <v>2</v>
      </c>
      <c r="BJ20" s="96" t="str">
        <f>IF(tblPiNAnalysis5[[#This Row],['# Flags]]&gt;0, "Flagged", "")</f>
        <v>Flagged</v>
      </c>
      <c r="BK20" s="326" t="e">
        <f>tblPiNAnalysis5[[#This Row],[Preliminary Target]]</f>
        <v>#N/A</v>
      </c>
      <c r="BL20" s="331"/>
    </row>
    <row r="21" spans="1:64" ht="110.7" x14ac:dyDescent="0.55000000000000004">
      <c r="A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 s="316" t="s">
        <v>268</v>
      </c>
      <c r="C21" s="317" t="s">
        <v>269</v>
      </c>
      <c r="D21" s="317" t="s">
        <v>274</v>
      </c>
      <c r="E21" s="105" t="s">
        <v>275</v>
      </c>
      <c r="F21" s="100"/>
      <c r="G21" s="34"/>
      <c r="H21" s="34"/>
      <c r="I21" s="97">
        <v>95901.175542296638</v>
      </c>
      <c r="J21" s="97" t="s">
        <v>412</v>
      </c>
      <c r="K21" s="261">
        <v>0</v>
      </c>
      <c r="L21" s="319">
        <v>0</v>
      </c>
      <c r="M21" s="319">
        <v>0</v>
      </c>
      <c r="N21" s="319">
        <v>0</v>
      </c>
      <c r="O21" s="319">
        <v>0</v>
      </c>
      <c r="P21" s="319">
        <v>0</v>
      </c>
      <c r="Q21" s="229">
        <v>0</v>
      </c>
      <c r="R21" s="319">
        <v>0</v>
      </c>
      <c r="S21" s="319"/>
      <c r="T21" s="319"/>
      <c r="U21" s="319"/>
      <c r="V21" s="319"/>
      <c r="W21" s="321">
        <f>IFERROR(IF(tblPiNAnalysis5[[#This Row],[CCCM]]="", "", MROUND(tblPiNAnalysis5[[#This Row],[CCCM]]/tblPiNAnalysis5[[#This Row],[Affected population projection 2026]], 0.05)), "")</f>
        <v>0</v>
      </c>
      <c r="X21" s="322">
        <f>IFERROR(IF(tblPiNAnalysis5[[#This Row],[Education]]="", "", MROUND(tblPiNAnalysis5[[#This Row],[Education]]/tblPiNAnalysis5[[#This Row],[Affected population projection 2026]], 0.05)), "")</f>
        <v>0</v>
      </c>
      <c r="Y21" s="322">
        <f>IFERROR(IF(tblPiNAnalysis5[[#This Row],[Nutrition]]="", "", MROUND(tblPiNAnalysis5[[#This Row],[Nutrition]]/tblPiNAnalysis5[[#This Row],[Affected population projection 2026]], 0.05)), "")</f>
        <v>0</v>
      </c>
      <c r="Z21" s="322">
        <f>IFERROR(IF(tblPiNAnalysis5[[#This Row],[Food Security]]="", "", MROUND(tblPiNAnalysis5[[#This Row],[Food Security]]/tblPiNAnalysis5[[#This Row],[Affected population projection 2026]], 0.05)), "")</f>
        <v>0</v>
      </c>
      <c r="AA21" s="322">
        <f>IFERROR(IF(tblPiNAnalysis5[[#This Row],[Health]]="", "", MROUND(tblPiNAnalysis5[[#This Row],[Health]]/tblPiNAnalysis5[[#This Row],[Affected population projection 2026]], 0.05)), "")</f>
        <v>0</v>
      </c>
      <c r="AB21" s="323">
        <f>IFERROR(IF(tblPiNAnalysis5[[#This Row],[Overarching Protection]]="", "", MROUND(tblPiNAnalysis5[[#This Row],[Overarching Protection]]/tblPiNAnalysis5[[#This Row],[Affected population projection 2026]], 0.05)), "")</f>
        <v>0</v>
      </c>
      <c r="AC21" s="323">
        <f>IFERROR(IF(tblPiNAnalysis5[[#This Row],[Shelter]]="", "", MROUND(tblPiNAnalysis5[[#This Row],[Shelter]]/tblPiNAnalysis5[[#This Row],[Affected population projection 2026]], 0.05)), "")</f>
        <v>0</v>
      </c>
      <c r="AD21" s="324">
        <f>IFERROR(IF(tblPiNAnalysis5[[#This Row],[WASH]]="", "", MROUND(tblPiNAnalysis5[[#This Row],[WASH]]/tblPiNAnalysis5[[#This Row],[Affected population projection 2026]], 0.05)), "")</f>
        <v>0</v>
      </c>
      <c r="AE21" s="322">
        <f>IFERROR(MROUND(tblPiNAnalysis5[[#This Row],[CP]]/tblPiNAnalysis5[[#This Row],[Affected population projection 2026]], 0.05), "")</f>
        <v>0</v>
      </c>
      <c r="AF21" s="322">
        <f>IFERROR(MROUND(tblPiNAnalysis5[[#This Row],[GBV]]/tblPiNAnalysis5[[#This Row],[Affected population projection 2026]], 0.05), "")</f>
        <v>0</v>
      </c>
      <c r="AG21" s="322">
        <f>IFERROR(MROUND(tblPiNAnalysis5[[#This Row],[Mine Action]]/tblPiNAnalysis5[[#This Row],[Affected population projection 2026]], 0.05), "")</f>
        <v>0</v>
      </c>
      <c r="AH21" s="322">
        <f>IFERROR(MROUND(tblPiNAnalysis5[[#This Row],[HLP]]/tblPiNAnalysis5[[#This Row],[Affected population projection 2026]], 0.05), "")</f>
        <v>0</v>
      </c>
      <c r="AI21" s="325">
        <f>IFERROR(LARGE(tblPiNAnalysis5[[#This Row],[CCCM]:[WASH]], 1), "")</f>
        <v>0</v>
      </c>
      <c r="AJ21" s="326" t="str" cm="1">
        <f t="array" ref="AJ21">IF(tblPiNAnalysis5[[#This Row],[Highest Target]]="", "", _xlfn.TEXTJOIN(CHAR(10), TRUE, IF(tblPiNAnalysis5[[#This Row],[Highest Target]]=tblPiNAnalysis5[[#This Row],[CCCM]:[WASH]], tblPiNAnalysis5[[#Headers],[CCCM]:[WASH]], "")))</f>
        <v>CCCM
Education
Nutrition
Food Security
Health
Overarching Protection
Shelter
WASH</v>
      </c>
      <c r="AK21" s="327">
        <f>IF(tblPiNAnalysis5[[#This Row],[Highest Target]]="", "", tblPiNAnalysis5[[#This Row],[Highest Target]]/tblPiNAnalysis5[[#This Row],[Affected population projection 2026]])</f>
        <v>0</v>
      </c>
      <c r="AL21" s="328" t="str">
        <f>IF(SUM(tblPiNAnalysis5[[#This Row],[CCCM]:[WASH]])=0, "",IF(COUNTIF(tblPiNAnalysis5[[#This Row],[CCCM]:[WASH]],"=0")+COUNTIF(tblPiNAnalysis5[[#This Row],[CCCM]:[WASH]],"")&gt;=zero_pin_thresh, "Flagged", ""))</f>
        <v/>
      </c>
      <c r="AM21" s="329" t="str">
        <f>IFERROR(IF(tblPiNAnalysis5[[#This Row],[Highest Target]]="", "", IF(tblPiNAnalysis5[[#This Row],[Highest sector(s'') Target %]]&gt;=flag_pin_perc, "Flagged", "")), "")</f>
        <v/>
      </c>
      <c r="AN21" s="330" t="str" cm="1">
        <f t="array" ref="AN21">IF(tblPiNAnalysis5[[#This Row],[Highest Target]]=0, "",  IF(OR(COUNTIF(tblPiNAnalysis5[[#This Row],[Highest sector(s)]],tblSubSectorPopulation[Sector])), "Flagged", ""))</f>
        <v/>
      </c>
      <c r="AO21" s="46" cm="1">
        <f t="array" ref="AO2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1" s="331" t="str" cm="1">
        <f t="array" ref="AP21">IF(tblPiNAnalysis5[[#This Row],[2nd Highest Target]]="", "", _xlfn.TEXTJOIN(CHAR(10), TRUE, IF(tblPiNAnalysis5[[#This Row],[2nd Highest Target]]=tblPiNAnalysis5[[#This Row],[CCCM]:[WASH]], tblPiNAnalysis5[[#Headers],[CCCM]:[WASH]], "")))</f>
        <v>CCCM
Education
Nutrition
Food Security
Health
Overarching Protection
Shelter
WASH</v>
      </c>
      <c r="AQ21" s="36">
        <f>IFERROR(tblPiNAnalysis5[[#This Row],[2nd Highest Target]]/tblPiNAnalysis5[[#This Row],[Affected population projection 2026]], "")</f>
        <v>0</v>
      </c>
      <c r="AR21" s="46">
        <f>IFERROR(tblPiNAnalysis5[[#This Row],[Highest Target]]-tblPiNAnalysis5[[#This Row],[2nd Highest Target]], "")</f>
        <v>0</v>
      </c>
      <c r="AS21" s="39" t="str">
        <f>IFERROR(((tblPiNAnalysis5[[#This Row],[Highest Target]]-tblPiNAnalysis5[[#This Row],[2nd Highest Target]])/tblPiNAnalysis5[[#This Row],[2nd Highest Target]]),"")</f>
        <v/>
      </c>
      <c r="AT21" s="39" t="str" cm="1">
        <f t="array" ref="AT2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 s="332" cm="1">
        <f t="array" ref="AU2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1" s="190" t="str" cm="1">
        <f t="array" ref="AV21">IF(tblPiNAnalysis5[[#This Row],[3rd Highest Target]]="", "", _xlfn.TEXTJOIN(CHAR(10), TRUE, IF(tblPiNAnalysis5[[#This Row],[3rd Highest Target]]=tblPiNAnalysis5[[#This Row],[CCCM]:[WASH]], tblPiNAnalysis5[[#Headers],[CCCM]:[WASH]], "")))</f>
        <v>CCCM
Education
Nutrition
Food Security
Health
Overarching Protection
Shelter
WASH</v>
      </c>
      <c r="AW21" s="190">
        <f>IFERROR(tblPiNAnalysis5[[#This Row],[3rd Highest Target]]/tblPiNAnalysis5[[#This Row],[Affected population projection 2026]], "")</f>
        <v>0</v>
      </c>
      <c r="AX21" s="45">
        <f>IFERROR(tblPiNAnalysis5[[#This Row],[Highest Target]]-tblPiNAnalysis5[[#This Row],[3rd Highest Target]],"")</f>
        <v>0</v>
      </c>
      <c r="AY21" s="39" t="str">
        <f>IFERROR(tblPiNAnalysis5[[#This Row],[Difference of Target between Highest and 3rd Highest]]/tblPiNAnalysis5[[#This Row],[3rd Highest Target]], "")</f>
        <v/>
      </c>
      <c r="AZ21" s="330" t="str" cm="1">
        <f t="array" ref="AZ2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 s="300" t="str" cm="1">
        <f t="array" ref="BA2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 s="333" t="str" cm="1">
        <f t="array" ref="BB2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1" s="276" t="str" cm="1">
        <f t="array" ref="BC2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 s="334" t="str" cm="1">
        <f t="array" ref="BD2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 s="277" t="e">
        <f>INDEX(tblSeverityAnalysis[Final Severity], MATCH(tblPiNAnalysis5[[#This Row],[ID]],tblSeverityAnalysis[ID], 0))</f>
        <v>#N/A</v>
      </c>
      <c r="BF21" s="61" t="e">
        <f>IF(tblPiNAnalysis5[[#This Row],[Severity]]&gt;2,tblPiNAnalysis5[[#This Row],[Highest Target]],)</f>
        <v>#N/A</v>
      </c>
      <c r="BG21" s="191"/>
      <c r="BH21" s="192"/>
      <c r="BI21" s="193">
        <f>COUNTIFS(tblPiNAnalysis5[[#This Row],[Number of missing / zero PiNs greater than threshold - Data quality]:[Manual Flag]],"Flagged")</f>
        <v>2</v>
      </c>
      <c r="BJ21" s="96" t="str">
        <f>IF(tblPiNAnalysis5[[#This Row],['# Flags]]&gt;0, "Flagged", "")</f>
        <v>Flagged</v>
      </c>
      <c r="BK21" s="326" t="e">
        <f>tblPiNAnalysis5[[#This Row],[Preliminary Target]]</f>
        <v>#N/A</v>
      </c>
      <c r="BL21" s="331"/>
    </row>
    <row r="22" spans="1:64" x14ac:dyDescent="0.55000000000000004">
      <c r="A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 s="316" t="s">
        <v>268</v>
      </c>
      <c r="C22" s="317" t="s">
        <v>269</v>
      </c>
      <c r="D22" s="317" t="s">
        <v>276</v>
      </c>
      <c r="E22" s="105" t="s">
        <v>277</v>
      </c>
      <c r="F22" s="100"/>
      <c r="G22" s="34"/>
      <c r="H22" s="34"/>
      <c r="I22" s="97">
        <v>69039.732902168529</v>
      </c>
      <c r="J22" s="97" t="s">
        <v>412</v>
      </c>
      <c r="K22" s="261">
        <v>2352</v>
      </c>
      <c r="L22" s="319">
        <v>11234.283417306668</v>
      </c>
      <c r="M22" s="319">
        <v>14939.685153799473</v>
      </c>
      <c r="N22" s="319">
        <v>35485.061963873144</v>
      </c>
      <c r="O22" s="319">
        <v>45773.041794633064</v>
      </c>
      <c r="P22" s="319">
        <v>29638.87191086794</v>
      </c>
      <c r="Q22" s="229">
        <v>29891.77967121945</v>
      </c>
      <c r="R22" s="319">
        <v>63712.59301774195</v>
      </c>
      <c r="S22" s="319"/>
      <c r="T22" s="319"/>
      <c r="U22" s="319"/>
      <c r="V22" s="319"/>
      <c r="W22" s="321">
        <f>IFERROR(IF(tblPiNAnalysis5[[#This Row],[CCCM]]="", "", MROUND(tblPiNAnalysis5[[#This Row],[CCCM]]/tblPiNAnalysis5[[#This Row],[Affected population projection 2026]], 0.05)), "")</f>
        <v>0.05</v>
      </c>
      <c r="X22" s="322">
        <f>IFERROR(IF(tblPiNAnalysis5[[#This Row],[Education]]="", "", MROUND(tblPiNAnalysis5[[#This Row],[Education]]/tblPiNAnalysis5[[#This Row],[Affected population projection 2026]], 0.05)), "")</f>
        <v>0.15000000000000002</v>
      </c>
      <c r="Y22" s="322">
        <f>IFERROR(IF(tblPiNAnalysis5[[#This Row],[Nutrition]]="", "", MROUND(tblPiNAnalysis5[[#This Row],[Nutrition]]/tblPiNAnalysis5[[#This Row],[Affected population projection 2026]], 0.05)), "")</f>
        <v>0.2</v>
      </c>
      <c r="Z22" s="322">
        <f>IFERROR(IF(tblPiNAnalysis5[[#This Row],[Food Security]]="", "", MROUND(tblPiNAnalysis5[[#This Row],[Food Security]]/tblPiNAnalysis5[[#This Row],[Affected population projection 2026]], 0.05)), "")</f>
        <v>0.5</v>
      </c>
      <c r="AA22" s="322">
        <f>IFERROR(IF(tblPiNAnalysis5[[#This Row],[Health]]="", "", MROUND(tblPiNAnalysis5[[#This Row],[Health]]/tblPiNAnalysis5[[#This Row],[Affected population projection 2026]], 0.05)), "")</f>
        <v>0.65</v>
      </c>
      <c r="AB22" s="323">
        <f>IFERROR(IF(tblPiNAnalysis5[[#This Row],[Overarching Protection]]="", "", MROUND(tblPiNAnalysis5[[#This Row],[Overarching Protection]]/tblPiNAnalysis5[[#This Row],[Affected population projection 2026]], 0.05)), "")</f>
        <v>0.45</v>
      </c>
      <c r="AC22" s="323">
        <f>IFERROR(IF(tblPiNAnalysis5[[#This Row],[Shelter]]="", "", MROUND(tblPiNAnalysis5[[#This Row],[Shelter]]/tblPiNAnalysis5[[#This Row],[Affected population projection 2026]], 0.05)), "")</f>
        <v>0.45</v>
      </c>
      <c r="AD22" s="324">
        <f>IFERROR(IF(tblPiNAnalysis5[[#This Row],[WASH]]="", "", MROUND(tblPiNAnalysis5[[#This Row],[WASH]]/tblPiNAnalysis5[[#This Row],[Affected population projection 2026]], 0.05)), "")</f>
        <v>0.9</v>
      </c>
      <c r="AE22" s="322">
        <f>IFERROR(MROUND(tblPiNAnalysis5[[#This Row],[CP]]/tblPiNAnalysis5[[#This Row],[Affected population projection 2026]], 0.05), "")</f>
        <v>0</v>
      </c>
      <c r="AF22" s="322">
        <f>IFERROR(MROUND(tblPiNAnalysis5[[#This Row],[GBV]]/tblPiNAnalysis5[[#This Row],[Affected population projection 2026]], 0.05), "")</f>
        <v>0</v>
      </c>
      <c r="AG22" s="322">
        <f>IFERROR(MROUND(tblPiNAnalysis5[[#This Row],[Mine Action]]/tblPiNAnalysis5[[#This Row],[Affected population projection 2026]], 0.05), "")</f>
        <v>0</v>
      </c>
      <c r="AH22" s="322">
        <f>IFERROR(MROUND(tblPiNAnalysis5[[#This Row],[HLP]]/tblPiNAnalysis5[[#This Row],[Affected population projection 2026]], 0.05), "")</f>
        <v>0</v>
      </c>
      <c r="AI22" s="325">
        <f>IFERROR(LARGE(tblPiNAnalysis5[[#This Row],[CCCM]:[WASH]], 1), "")</f>
        <v>63712.59301774195</v>
      </c>
      <c r="AJ22" s="326" t="str" cm="1">
        <f t="array" ref="AJ22">IF(tblPiNAnalysis5[[#This Row],[Highest Target]]="", "", _xlfn.TEXTJOIN(CHAR(10), TRUE, IF(tblPiNAnalysis5[[#This Row],[Highest Target]]=tblPiNAnalysis5[[#This Row],[CCCM]:[WASH]], tblPiNAnalysis5[[#Headers],[CCCM]:[WASH]], "")))</f>
        <v>WASH</v>
      </c>
      <c r="AK22" s="327">
        <f>IF(tblPiNAnalysis5[[#This Row],[Highest Target]]="", "", tblPiNAnalysis5[[#This Row],[Highest Target]]/tblPiNAnalysis5[[#This Row],[Affected population projection 2026]])</f>
        <v>0.92283950617283961</v>
      </c>
      <c r="AL22" s="328" t="str">
        <f>IF(SUM(tblPiNAnalysis5[[#This Row],[CCCM]:[WASH]])=0, "",IF(COUNTIF(tblPiNAnalysis5[[#This Row],[CCCM]:[WASH]],"=0")+COUNTIF(tblPiNAnalysis5[[#This Row],[CCCM]:[WASH]],"")&gt;=zero_pin_thresh, "Flagged", ""))</f>
        <v/>
      </c>
      <c r="AM22" s="329" t="str">
        <f>IFERROR(IF(tblPiNAnalysis5[[#This Row],[Highest Target]]="", "", IF(tblPiNAnalysis5[[#This Row],[Highest sector(s'') Target %]]&gt;=flag_pin_perc, "Flagged", "")), "")</f>
        <v>Flagged</v>
      </c>
      <c r="AN22" s="330" t="str" cm="1">
        <f t="array" ref="AN22">IF(tblPiNAnalysis5[[#This Row],[Highest Target]]=0, "",  IF(OR(COUNTIF(tblPiNAnalysis5[[#This Row],[Highest sector(s)]],tblSubSectorPopulation[Sector])), "Flagged", ""))</f>
        <v/>
      </c>
      <c r="AO22" s="46" cm="1">
        <f t="array" ref="AO2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45773.041794633064</v>
      </c>
      <c r="AP22" s="331" t="str" cm="1">
        <f t="array" ref="AP22">IF(tblPiNAnalysis5[[#This Row],[2nd Highest Target]]="", "", _xlfn.TEXTJOIN(CHAR(10), TRUE, IF(tblPiNAnalysis5[[#This Row],[2nd Highest Target]]=tblPiNAnalysis5[[#This Row],[CCCM]:[WASH]], tblPiNAnalysis5[[#Headers],[CCCM]:[WASH]], "")))</f>
        <v>Health</v>
      </c>
      <c r="AQ22" s="36">
        <f>IFERROR(tblPiNAnalysis5[[#This Row],[2nd Highest Target]]/tblPiNAnalysis5[[#This Row],[Affected population projection 2026]], "")</f>
        <v>0.66299563846075282</v>
      </c>
      <c r="AR22" s="46">
        <f>IFERROR(tblPiNAnalysis5[[#This Row],[Highest Target]]-tblPiNAnalysis5[[#This Row],[2nd Highest Target]], "")</f>
        <v>17939.551223108887</v>
      </c>
      <c r="AS22" s="39">
        <f>IFERROR(((tblPiNAnalysis5[[#This Row],[Highest Target]]-tblPiNAnalysis5[[#This Row],[2nd Highest Target]])/tblPiNAnalysis5[[#This Row],[2nd Highest Target]]),"")</f>
        <v>0.39192394736616165</v>
      </c>
      <c r="AT22" s="39" t="str" cm="1">
        <f t="array" ref="AT2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2" s="332" cm="1">
        <f t="array" ref="AU2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35485.061963873144</v>
      </c>
      <c r="AV22" s="190" t="str" cm="1">
        <f t="array" ref="AV22">IF(tblPiNAnalysis5[[#This Row],[3rd Highest Target]]="", "", _xlfn.TEXTJOIN(CHAR(10), TRUE, IF(tblPiNAnalysis5[[#This Row],[3rd Highest Target]]=tblPiNAnalysis5[[#This Row],[CCCM]:[WASH]], tblPiNAnalysis5[[#Headers],[CCCM]:[WASH]], "")))</f>
        <v>Food Security</v>
      </c>
      <c r="AW22" s="190">
        <f>IFERROR(tblPiNAnalysis5[[#This Row],[3rd Highest Target]]/tblPiNAnalysis5[[#This Row],[Affected population projection 2026]], "")</f>
        <v>0.51398029036636905</v>
      </c>
      <c r="AX22" s="45">
        <f>IFERROR(tblPiNAnalysis5[[#This Row],[Highest Target]]-tblPiNAnalysis5[[#This Row],[3rd Highest Target]],"")</f>
        <v>28227.531053868806</v>
      </c>
      <c r="AY22" s="39">
        <f>IFERROR(tblPiNAnalysis5[[#This Row],[Difference of Target between Highest and 3rd Highest]]/tblPiNAnalysis5[[#This Row],[3rd Highest Target]], "")</f>
        <v>0.79547644816308538</v>
      </c>
      <c r="AZ22" s="330" t="str" cm="1">
        <f t="array" ref="AZ2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2" s="300" t="str" cm="1">
        <f t="array" ref="BA2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 s="333" t="str" cm="1">
        <f t="array" ref="BB2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 s="276" t="str" cm="1">
        <f t="array" ref="BC2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 s="334" t="str" cm="1">
        <f t="array" ref="BD2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 s="277" t="e">
        <f>INDEX(tblSeverityAnalysis[Final Severity], MATCH(tblPiNAnalysis5[[#This Row],[ID]],tblSeverityAnalysis[ID], 0))</f>
        <v>#N/A</v>
      </c>
      <c r="BF22" s="61" t="e">
        <f>IF(tblPiNAnalysis5[[#This Row],[Severity]]&gt;2,tblPiNAnalysis5[[#This Row],[Highest Target]],)</f>
        <v>#N/A</v>
      </c>
      <c r="BG22" s="191"/>
      <c r="BH22" s="192"/>
      <c r="BI22" s="193">
        <f>COUNTIFS(tblPiNAnalysis5[[#This Row],[Number of missing / zero PiNs greater than threshold - Data quality]:[Manual Flag]],"Flagged")</f>
        <v>4</v>
      </c>
      <c r="BJ22" s="96" t="str">
        <f>IF(tblPiNAnalysis5[[#This Row],['# Flags]]&gt;0, "Flagged", "")</f>
        <v>Flagged</v>
      </c>
      <c r="BK22" s="326" t="e">
        <f>tblPiNAnalysis5[[#This Row],[Preliminary Target]]</f>
        <v>#N/A</v>
      </c>
      <c r="BL22" s="331"/>
    </row>
    <row r="23" spans="1:64" x14ac:dyDescent="0.55000000000000004">
      <c r="A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 s="316" t="s">
        <v>268</v>
      </c>
      <c r="C23" s="317" t="s">
        <v>269</v>
      </c>
      <c r="D23" s="317" t="s">
        <v>278</v>
      </c>
      <c r="E23" s="105" t="s">
        <v>279</v>
      </c>
      <c r="F23" s="100"/>
      <c r="G23" s="34"/>
      <c r="H23" s="34"/>
      <c r="I23" s="97">
        <v>77068.443303189997</v>
      </c>
      <c r="J23" s="97" t="s">
        <v>412</v>
      </c>
      <c r="K23" s="261">
        <v>0</v>
      </c>
      <c r="L23" s="319">
        <v>8003.5578370362809</v>
      </c>
      <c r="M23" s="319">
        <v>16714.952361157229</v>
      </c>
      <c r="N23" s="319">
        <v>31179.707915281349</v>
      </c>
      <c r="O23" s="319">
        <v>46136.836289178369</v>
      </c>
      <c r="P23" s="319">
        <v>28428.954734801839</v>
      </c>
      <c r="Q23" s="229">
        <v>33367.929306552462</v>
      </c>
      <c r="R23" s="319">
        <v>9435.3341081065919</v>
      </c>
      <c r="S23" s="319"/>
      <c r="T23" s="319"/>
      <c r="U23" s="319"/>
      <c r="V23" s="319"/>
      <c r="W23" s="321">
        <f>IFERROR(IF(tblPiNAnalysis5[[#This Row],[CCCM]]="", "", MROUND(tblPiNAnalysis5[[#This Row],[CCCM]]/tblPiNAnalysis5[[#This Row],[Affected population projection 2026]], 0.05)), "")</f>
        <v>0</v>
      </c>
      <c r="X23" s="322">
        <f>IFERROR(IF(tblPiNAnalysis5[[#This Row],[Education]]="", "", MROUND(tblPiNAnalysis5[[#This Row],[Education]]/tblPiNAnalysis5[[#This Row],[Affected population projection 2026]], 0.05)), "")</f>
        <v>0.1</v>
      </c>
      <c r="Y23" s="322">
        <f>IFERROR(IF(tblPiNAnalysis5[[#This Row],[Nutrition]]="", "", MROUND(tblPiNAnalysis5[[#This Row],[Nutrition]]/tblPiNAnalysis5[[#This Row],[Affected population projection 2026]], 0.05)), "")</f>
        <v>0.2</v>
      </c>
      <c r="Z23" s="322">
        <f>IFERROR(IF(tblPiNAnalysis5[[#This Row],[Food Security]]="", "", MROUND(tblPiNAnalysis5[[#This Row],[Food Security]]/tblPiNAnalysis5[[#This Row],[Affected population projection 2026]], 0.05)), "")</f>
        <v>0.4</v>
      </c>
      <c r="AA23" s="322">
        <f>IFERROR(IF(tblPiNAnalysis5[[#This Row],[Health]]="", "", MROUND(tblPiNAnalysis5[[#This Row],[Health]]/tblPiNAnalysis5[[#This Row],[Affected population projection 2026]], 0.05)), "")</f>
        <v>0.60000000000000009</v>
      </c>
      <c r="AB23" s="323">
        <f>IFERROR(IF(tblPiNAnalysis5[[#This Row],[Overarching Protection]]="", "", MROUND(tblPiNAnalysis5[[#This Row],[Overarching Protection]]/tblPiNAnalysis5[[#This Row],[Affected population projection 2026]], 0.05)), "")</f>
        <v>0.35000000000000003</v>
      </c>
      <c r="AC23" s="323">
        <f>IFERROR(IF(tblPiNAnalysis5[[#This Row],[Shelter]]="", "", MROUND(tblPiNAnalysis5[[#This Row],[Shelter]]/tblPiNAnalysis5[[#This Row],[Affected population projection 2026]], 0.05)), "")</f>
        <v>0.45</v>
      </c>
      <c r="AD23" s="324">
        <f>IFERROR(IF(tblPiNAnalysis5[[#This Row],[WASH]]="", "", MROUND(tblPiNAnalysis5[[#This Row],[WASH]]/tblPiNAnalysis5[[#This Row],[Affected population projection 2026]], 0.05)), "")</f>
        <v>0.1</v>
      </c>
      <c r="AE23" s="322">
        <f>IFERROR(MROUND(tblPiNAnalysis5[[#This Row],[CP]]/tblPiNAnalysis5[[#This Row],[Affected population projection 2026]], 0.05), "")</f>
        <v>0</v>
      </c>
      <c r="AF23" s="322">
        <f>IFERROR(MROUND(tblPiNAnalysis5[[#This Row],[GBV]]/tblPiNAnalysis5[[#This Row],[Affected population projection 2026]], 0.05), "")</f>
        <v>0</v>
      </c>
      <c r="AG23" s="322">
        <f>IFERROR(MROUND(tblPiNAnalysis5[[#This Row],[Mine Action]]/tblPiNAnalysis5[[#This Row],[Affected population projection 2026]], 0.05), "")</f>
        <v>0</v>
      </c>
      <c r="AH23" s="322">
        <f>IFERROR(MROUND(tblPiNAnalysis5[[#This Row],[HLP]]/tblPiNAnalysis5[[#This Row],[Affected population projection 2026]], 0.05), "")</f>
        <v>0</v>
      </c>
      <c r="AI23" s="325">
        <f>IFERROR(LARGE(tblPiNAnalysis5[[#This Row],[CCCM]:[WASH]], 1), "")</f>
        <v>46136.836289178369</v>
      </c>
      <c r="AJ23" s="326" t="str" cm="1">
        <f t="array" ref="AJ23">IF(tblPiNAnalysis5[[#This Row],[Highest Target]]="", "", _xlfn.TEXTJOIN(CHAR(10), TRUE, IF(tblPiNAnalysis5[[#This Row],[Highest Target]]=tblPiNAnalysis5[[#This Row],[CCCM]:[WASH]], tblPiNAnalysis5[[#Headers],[CCCM]:[WASH]], "")))</f>
        <v>Health</v>
      </c>
      <c r="AK23" s="327">
        <f>IF(tblPiNAnalysis5[[#This Row],[Highest Target]]="", "", tblPiNAnalysis5[[#This Row],[Highest Target]]/tblPiNAnalysis5[[#This Row],[Affected population projection 2026]])</f>
        <v>0.59864756976697209</v>
      </c>
      <c r="AL23" s="328" t="str">
        <f>IF(SUM(tblPiNAnalysis5[[#This Row],[CCCM]:[WASH]])=0, "",IF(COUNTIF(tblPiNAnalysis5[[#This Row],[CCCM]:[WASH]],"=0")+COUNTIF(tblPiNAnalysis5[[#This Row],[CCCM]:[WASH]],"")&gt;=zero_pin_thresh, "Flagged", ""))</f>
        <v/>
      </c>
      <c r="AM23" s="329" t="str">
        <f>IFERROR(IF(tblPiNAnalysis5[[#This Row],[Highest Target]]="", "", IF(tblPiNAnalysis5[[#This Row],[Highest sector(s'') Target %]]&gt;=flag_pin_perc, "Flagged", "")), "")</f>
        <v/>
      </c>
      <c r="AN23" s="330" t="str" cm="1">
        <f t="array" ref="AN23">IF(tblPiNAnalysis5[[#This Row],[Highest Target]]=0, "",  IF(OR(COUNTIF(tblPiNAnalysis5[[#This Row],[Highest sector(s)]],tblSubSectorPopulation[Sector])), "Flagged", ""))</f>
        <v/>
      </c>
      <c r="AO23" s="46" cm="1">
        <f t="array" ref="AO2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33367.929306552462</v>
      </c>
      <c r="AP23" s="331" t="str" cm="1">
        <f t="array" ref="AP23">IF(tblPiNAnalysis5[[#This Row],[2nd Highest Target]]="", "", _xlfn.TEXTJOIN(CHAR(10), TRUE, IF(tblPiNAnalysis5[[#This Row],[2nd Highest Target]]=tblPiNAnalysis5[[#This Row],[CCCM]:[WASH]], tblPiNAnalysis5[[#Headers],[CCCM]:[WASH]], "")))</f>
        <v>Shelter</v>
      </c>
      <c r="AQ23" s="36">
        <f>IFERROR(tblPiNAnalysis5[[#This Row],[2nd Highest Target]]/tblPiNAnalysis5[[#This Row],[Affected population projection 2026]], "")</f>
        <v>0.43296488</v>
      </c>
      <c r="AR23" s="46">
        <f>IFERROR(tblPiNAnalysis5[[#This Row],[Highest Target]]-tblPiNAnalysis5[[#This Row],[2nd Highest Target]], "")</f>
        <v>12768.906982625907</v>
      </c>
      <c r="AS23" s="39">
        <f>IFERROR(((tblPiNAnalysis5[[#This Row],[Highest Target]]-tblPiNAnalysis5[[#This Row],[2nd Highest Target]])/tblPiNAnalysis5[[#This Row],[2nd Highest Target]]),"")</f>
        <v>0.38267004420074929</v>
      </c>
      <c r="AT23" s="39" t="str" cm="1">
        <f t="array" ref="AT2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3" s="332" cm="1">
        <f t="array" ref="AU2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31179.707915281349</v>
      </c>
      <c r="AV23" s="190" t="str" cm="1">
        <f t="array" ref="AV23">IF(tblPiNAnalysis5[[#This Row],[3rd Highest Target]]="", "", _xlfn.TEXTJOIN(CHAR(10), TRUE, IF(tblPiNAnalysis5[[#This Row],[3rd Highest Target]]=tblPiNAnalysis5[[#This Row],[CCCM]:[WASH]], tblPiNAnalysis5[[#Headers],[CCCM]:[WASH]], "")))</f>
        <v>Food Security</v>
      </c>
      <c r="AW23" s="190">
        <f>IFERROR(tblPiNAnalysis5[[#This Row],[3rd Highest Target]]/tblPiNAnalysis5[[#This Row],[Affected population projection 2026]], "")</f>
        <v>0.40457165837149806</v>
      </c>
      <c r="AX23" s="45">
        <f>IFERROR(tblPiNAnalysis5[[#This Row],[Highest Target]]-tblPiNAnalysis5[[#This Row],[3rd Highest Target]],"")</f>
        <v>14957.12837389702</v>
      </c>
      <c r="AY23" s="39">
        <f>IFERROR(tblPiNAnalysis5[[#This Row],[Difference of Target between Highest and 3rd Highest]]/tblPiNAnalysis5[[#This Row],[3rd Highest Target]], "")</f>
        <v>0.47970713563248124</v>
      </c>
      <c r="AZ23" s="330" t="str" cm="1">
        <f t="array" ref="AZ2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 s="300" t="str" cm="1">
        <f t="array" ref="BA2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 s="333" t="str" cm="1">
        <f t="array" ref="BB2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 s="276" t="str" cm="1">
        <f t="array" ref="BC2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 s="334" t="str" cm="1">
        <f t="array" ref="BD2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 s="277" t="e">
        <f>INDEX(tblSeverityAnalysis[Final Severity], MATCH(tblPiNAnalysis5[[#This Row],[ID]],tblSeverityAnalysis[ID], 0))</f>
        <v>#N/A</v>
      </c>
      <c r="BF23" s="61" t="e">
        <f>IF(tblPiNAnalysis5[[#This Row],[Severity]]&gt;2,tblPiNAnalysis5[[#This Row],[Highest Target]],)</f>
        <v>#N/A</v>
      </c>
      <c r="BG23" s="191"/>
      <c r="BH23" s="192"/>
      <c r="BI23" s="193">
        <f>COUNTIFS(tblPiNAnalysis5[[#This Row],[Number of missing / zero PiNs greater than threshold - Data quality]:[Manual Flag]],"Flagged")</f>
        <v>3</v>
      </c>
      <c r="BJ23" s="96" t="str">
        <f>IF(tblPiNAnalysis5[[#This Row],['# Flags]]&gt;0, "Flagged", "")</f>
        <v>Flagged</v>
      </c>
      <c r="BK23" s="326" t="e">
        <f>tblPiNAnalysis5[[#This Row],[Preliminary Target]]</f>
        <v>#N/A</v>
      </c>
      <c r="BL23" s="331"/>
    </row>
    <row r="24" spans="1:64" x14ac:dyDescent="0.55000000000000004">
      <c r="A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 s="316" t="s">
        <v>268</v>
      </c>
      <c r="C24" s="317" t="s">
        <v>269</v>
      </c>
      <c r="D24" s="317" t="s">
        <v>280</v>
      </c>
      <c r="E24" s="105" t="s">
        <v>281</v>
      </c>
      <c r="F24" s="100"/>
      <c r="G24" s="34"/>
      <c r="H24" s="34"/>
      <c r="I24" s="97">
        <v>118740.98784317059</v>
      </c>
      <c r="J24" s="97" t="s">
        <v>412</v>
      </c>
      <c r="K24" s="261">
        <v>42741</v>
      </c>
      <c r="L24" s="319">
        <v>44409.129453345799</v>
      </c>
      <c r="M24" s="319">
        <v>22116.382554343534</v>
      </c>
      <c r="N24" s="319">
        <v>63351.844124740099</v>
      </c>
      <c r="O24" s="319">
        <v>69603.371874561461</v>
      </c>
      <c r="P24" s="319">
        <v>52282.008132735325</v>
      </c>
      <c r="Q24" s="229">
        <v>32369.685866451735</v>
      </c>
      <c r="R24" s="319">
        <v>68792.200390108468</v>
      </c>
      <c r="S24" s="319"/>
      <c r="T24" s="319"/>
      <c r="U24" s="319"/>
      <c r="V24" s="319"/>
      <c r="W24" s="321">
        <f>IFERROR(IF(tblPiNAnalysis5[[#This Row],[CCCM]]="", "", MROUND(tblPiNAnalysis5[[#This Row],[CCCM]]/tblPiNAnalysis5[[#This Row],[Affected population projection 2026]], 0.05)), "")</f>
        <v>0.35000000000000003</v>
      </c>
      <c r="X24" s="322">
        <f>IFERROR(IF(tblPiNAnalysis5[[#This Row],[Education]]="", "", MROUND(tblPiNAnalysis5[[#This Row],[Education]]/tblPiNAnalysis5[[#This Row],[Affected population projection 2026]], 0.05)), "")</f>
        <v>0.35000000000000003</v>
      </c>
      <c r="Y24" s="322">
        <f>IFERROR(IF(tblPiNAnalysis5[[#This Row],[Nutrition]]="", "", MROUND(tblPiNAnalysis5[[#This Row],[Nutrition]]/tblPiNAnalysis5[[#This Row],[Affected population projection 2026]], 0.05)), "")</f>
        <v>0.2</v>
      </c>
      <c r="Z24" s="322">
        <f>IFERROR(IF(tblPiNAnalysis5[[#This Row],[Food Security]]="", "", MROUND(tblPiNAnalysis5[[#This Row],[Food Security]]/tblPiNAnalysis5[[#This Row],[Affected population projection 2026]], 0.05)), "")</f>
        <v>0.55000000000000004</v>
      </c>
      <c r="AA24" s="322">
        <f>IFERROR(IF(tblPiNAnalysis5[[#This Row],[Health]]="", "", MROUND(tblPiNAnalysis5[[#This Row],[Health]]/tblPiNAnalysis5[[#This Row],[Affected population projection 2026]], 0.05)), "")</f>
        <v>0.60000000000000009</v>
      </c>
      <c r="AB24" s="323">
        <f>IFERROR(IF(tblPiNAnalysis5[[#This Row],[Overarching Protection]]="", "", MROUND(tblPiNAnalysis5[[#This Row],[Overarching Protection]]/tblPiNAnalysis5[[#This Row],[Affected population projection 2026]], 0.05)), "")</f>
        <v>0.45</v>
      </c>
      <c r="AC24" s="323">
        <f>IFERROR(IF(tblPiNAnalysis5[[#This Row],[Shelter]]="", "", MROUND(tblPiNAnalysis5[[#This Row],[Shelter]]/tblPiNAnalysis5[[#This Row],[Affected population projection 2026]], 0.05)), "")</f>
        <v>0.25</v>
      </c>
      <c r="AD24" s="324">
        <f>IFERROR(IF(tblPiNAnalysis5[[#This Row],[WASH]]="", "", MROUND(tblPiNAnalysis5[[#This Row],[WASH]]/tblPiNAnalysis5[[#This Row],[Affected population projection 2026]], 0.05)), "")</f>
        <v>0.60000000000000009</v>
      </c>
      <c r="AE24" s="322">
        <f>IFERROR(MROUND(tblPiNAnalysis5[[#This Row],[CP]]/tblPiNAnalysis5[[#This Row],[Affected population projection 2026]], 0.05), "")</f>
        <v>0</v>
      </c>
      <c r="AF24" s="322">
        <f>IFERROR(MROUND(tblPiNAnalysis5[[#This Row],[GBV]]/tblPiNAnalysis5[[#This Row],[Affected population projection 2026]], 0.05), "")</f>
        <v>0</v>
      </c>
      <c r="AG24" s="322">
        <f>IFERROR(MROUND(tblPiNAnalysis5[[#This Row],[Mine Action]]/tblPiNAnalysis5[[#This Row],[Affected population projection 2026]], 0.05), "")</f>
        <v>0</v>
      </c>
      <c r="AH24" s="322">
        <f>IFERROR(MROUND(tblPiNAnalysis5[[#This Row],[HLP]]/tblPiNAnalysis5[[#This Row],[Affected population projection 2026]], 0.05), "")</f>
        <v>0</v>
      </c>
      <c r="AI24" s="325">
        <f>IFERROR(LARGE(tblPiNAnalysis5[[#This Row],[CCCM]:[WASH]], 1), "")</f>
        <v>69603.371874561461</v>
      </c>
      <c r="AJ24" s="326" t="str" cm="1">
        <f t="array" ref="AJ24">IF(tblPiNAnalysis5[[#This Row],[Highest Target]]="", "", _xlfn.TEXTJOIN(CHAR(10), TRUE, IF(tblPiNAnalysis5[[#This Row],[Highest Target]]=tblPiNAnalysis5[[#This Row],[CCCM]:[WASH]], tblPiNAnalysis5[[#Headers],[CCCM]:[WASH]], "")))</f>
        <v>Health</v>
      </c>
      <c r="AK24" s="327">
        <f>IF(tblPiNAnalysis5[[#This Row],[Highest Target]]="", "", tblPiNAnalysis5[[#This Row],[Highest Target]]/tblPiNAnalysis5[[#This Row],[Affected population projection 2026]])</f>
        <v>0.58617814403305646</v>
      </c>
      <c r="AL24" s="328" t="str">
        <f>IF(SUM(tblPiNAnalysis5[[#This Row],[CCCM]:[WASH]])=0, "",IF(COUNTIF(tblPiNAnalysis5[[#This Row],[CCCM]:[WASH]],"=0")+COUNTIF(tblPiNAnalysis5[[#This Row],[CCCM]:[WASH]],"")&gt;=zero_pin_thresh, "Flagged", ""))</f>
        <v/>
      </c>
      <c r="AM24" s="329" t="str">
        <f>IFERROR(IF(tblPiNAnalysis5[[#This Row],[Highest Target]]="", "", IF(tblPiNAnalysis5[[#This Row],[Highest sector(s'') Target %]]&gt;=flag_pin_perc, "Flagged", "")), "")</f>
        <v/>
      </c>
      <c r="AN24" s="330" t="str" cm="1">
        <f t="array" ref="AN24">IF(tblPiNAnalysis5[[#This Row],[Highest Target]]=0, "",  IF(OR(COUNTIF(tblPiNAnalysis5[[#This Row],[Highest sector(s)]],tblSubSectorPopulation[Sector])), "Flagged", ""))</f>
        <v/>
      </c>
      <c r="AO24" s="46" cm="1">
        <f t="array" ref="AO2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68792.200390108468</v>
      </c>
      <c r="AP24" s="331" t="str" cm="1">
        <f t="array" ref="AP24">IF(tblPiNAnalysis5[[#This Row],[2nd Highest Target]]="", "", _xlfn.TEXTJOIN(CHAR(10), TRUE, IF(tblPiNAnalysis5[[#This Row],[2nd Highest Target]]=tblPiNAnalysis5[[#This Row],[CCCM]:[WASH]], tblPiNAnalysis5[[#Headers],[CCCM]:[WASH]], "")))</f>
        <v>WASH</v>
      </c>
      <c r="AQ24" s="36">
        <f>IFERROR(tblPiNAnalysis5[[#This Row],[2nd Highest Target]]/tblPiNAnalysis5[[#This Row],[Affected population projection 2026]], "")</f>
        <v>0.57934670781892994</v>
      </c>
      <c r="AR24" s="46">
        <f>IFERROR(tblPiNAnalysis5[[#This Row],[Highest Target]]-tblPiNAnalysis5[[#This Row],[2nd Highest Target]], "")</f>
        <v>811.17148445299244</v>
      </c>
      <c r="AS24" s="39">
        <f>IFERROR(((tblPiNAnalysis5[[#This Row],[Highest Target]]-tblPiNAnalysis5[[#This Row],[2nd Highest Target]])/tblPiNAnalysis5[[#This Row],[2nd Highest Target]]),"")</f>
        <v>1.1791619978035033E-2</v>
      </c>
      <c r="AT24" s="39" t="str" cm="1">
        <f t="array" ref="AT2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4" s="332" cm="1">
        <f t="array" ref="AU2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63351.844124740099</v>
      </c>
      <c r="AV24" s="190" t="str" cm="1">
        <f t="array" ref="AV24">IF(tblPiNAnalysis5[[#This Row],[3rd Highest Target]]="", "", _xlfn.TEXTJOIN(CHAR(10), TRUE, IF(tblPiNAnalysis5[[#This Row],[3rd Highest Target]]=tblPiNAnalysis5[[#This Row],[CCCM]:[WASH]], tblPiNAnalysis5[[#Headers],[CCCM]:[WASH]], "")))</f>
        <v>Food Security</v>
      </c>
      <c r="AW24" s="190">
        <f>IFERROR(tblPiNAnalysis5[[#This Row],[3rd Highest Target]]/tblPiNAnalysis5[[#This Row],[Affected population projection 2026]], "")</f>
        <v>0.53352970423669754</v>
      </c>
      <c r="AX24" s="45">
        <f>IFERROR(tblPiNAnalysis5[[#This Row],[Highest Target]]-tblPiNAnalysis5[[#This Row],[3rd Highest Target]],"")</f>
        <v>6251.5277498213618</v>
      </c>
      <c r="AY24" s="39">
        <f>IFERROR(tblPiNAnalysis5[[#This Row],[Difference of Target between Highest and 3rd Highest]]/tblPiNAnalysis5[[#This Row],[3rd Highest Target]], "")</f>
        <v>9.8679491279086873E-2</v>
      </c>
      <c r="AZ24" s="330" t="str" cm="1">
        <f t="array" ref="AZ2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4" s="300" t="str" cm="1">
        <f t="array" ref="BA2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4" s="333" t="str" cm="1">
        <f t="array" ref="BB2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4" s="276" t="str" cm="1">
        <f t="array" ref="BC2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4" s="334" t="str" cm="1">
        <f t="array" ref="BD2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4" s="277" t="e">
        <f>INDEX(tblSeverityAnalysis[Final Severity], MATCH(tblPiNAnalysis5[[#This Row],[ID]],tblSeverityAnalysis[ID], 0))</f>
        <v>#N/A</v>
      </c>
      <c r="BF24" s="61" t="e">
        <f>IF(tblPiNAnalysis5[[#This Row],[Severity]]&gt;2,tblPiNAnalysis5[[#This Row],[Highest Target]],)</f>
        <v>#N/A</v>
      </c>
      <c r="BG24" s="191"/>
      <c r="BH24" s="192"/>
      <c r="BI24" s="193">
        <f>COUNTIFS(tblPiNAnalysis5[[#This Row],[Number of missing / zero PiNs greater than threshold - Data quality]:[Manual Flag]],"Flagged")</f>
        <v>1</v>
      </c>
      <c r="BJ24" s="96" t="str">
        <f>IF(tblPiNAnalysis5[[#This Row],['# Flags]]&gt;0, "Flagged", "")</f>
        <v>Flagged</v>
      </c>
      <c r="BK24" s="326" t="e">
        <f>tblPiNAnalysis5[[#This Row],[Preliminary Target]]</f>
        <v>#N/A</v>
      </c>
      <c r="BL24" s="331"/>
    </row>
    <row r="25" spans="1:64" x14ac:dyDescent="0.55000000000000004">
      <c r="A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5" s="316" t="s">
        <v>268</v>
      </c>
      <c r="C25" s="317" t="s">
        <v>269</v>
      </c>
      <c r="D25" s="317" t="s">
        <v>282</v>
      </c>
      <c r="E25" s="105" t="s">
        <v>283</v>
      </c>
      <c r="F25" s="100"/>
      <c r="G25" s="34"/>
      <c r="H25" s="34"/>
      <c r="I25" s="97">
        <v>53158.210520699089</v>
      </c>
      <c r="J25" s="97" t="s">
        <v>412</v>
      </c>
      <c r="K25" s="261">
        <v>7474</v>
      </c>
      <c r="L25" s="319">
        <v>9238.3813538554514</v>
      </c>
      <c r="M25" s="319">
        <v>12757.597978669774</v>
      </c>
      <c r="N25" s="319">
        <v>23534.221579122648</v>
      </c>
      <c r="O25" s="319">
        <v>33729.021236239671</v>
      </c>
      <c r="P25" s="319">
        <v>15900.265419630574</v>
      </c>
      <c r="Q25" s="229">
        <v>20359.987673058156</v>
      </c>
      <c r="R25" s="319">
        <v>19897.869267264428</v>
      </c>
      <c r="S25" s="319"/>
      <c r="T25" s="319"/>
      <c r="U25" s="319"/>
      <c r="V25" s="319"/>
      <c r="W25" s="321">
        <f>IFERROR(IF(tblPiNAnalysis5[[#This Row],[CCCM]]="", "", MROUND(tblPiNAnalysis5[[#This Row],[CCCM]]/tblPiNAnalysis5[[#This Row],[Affected population projection 2026]], 0.05)), "")</f>
        <v>0.15000000000000002</v>
      </c>
      <c r="X25" s="322">
        <f>IFERROR(IF(tblPiNAnalysis5[[#This Row],[Education]]="", "", MROUND(tblPiNAnalysis5[[#This Row],[Education]]/tblPiNAnalysis5[[#This Row],[Affected population projection 2026]], 0.05)), "")</f>
        <v>0.15000000000000002</v>
      </c>
      <c r="Y25" s="322">
        <f>IFERROR(IF(tblPiNAnalysis5[[#This Row],[Nutrition]]="", "", MROUND(tblPiNAnalysis5[[#This Row],[Nutrition]]/tblPiNAnalysis5[[#This Row],[Affected population projection 2026]], 0.05)), "")</f>
        <v>0.25</v>
      </c>
      <c r="Z25" s="322">
        <f>IFERROR(IF(tblPiNAnalysis5[[#This Row],[Food Security]]="", "", MROUND(tblPiNAnalysis5[[#This Row],[Food Security]]/tblPiNAnalysis5[[#This Row],[Affected population projection 2026]], 0.05)), "")</f>
        <v>0.45</v>
      </c>
      <c r="AA25" s="322">
        <f>IFERROR(IF(tblPiNAnalysis5[[#This Row],[Health]]="", "", MROUND(tblPiNAnalysis5[[#This Row],[Health]]/tblPiNAnalysis5[[#This Row],[Affected population projection 2026]], 0.05)), "")</f>
        <v>0.65</v>
      </c>
      <c r="AB25" s="323">
        <f>IFERROR(IF(tblPiNAnalysis5[[#This Row],[Overarching Protection]]="", "", MROUND(tblPiNAnalysis5[[#This Row],[Overarching Protection]]/tblPiNAnalysis5[[#This Row],[Affected population projection 2026]], 0.05)), "")</f>
        <v>0.30000000000000004</v>
      </c>
      <c r="AC25" s="323">
        <f>IFERROR(IF(tblPiNAnalysis5[[#This Row],[Shelter]]="", "", MROUND(tblPiNAnalysis5[[#This Row],[Shelter]]/tblPiNAnalysis5[[#This Row],[Affected population projection 2026]], 0.05)), "")</f>
        <v>0.4</v>
      </c>
      <c r="AD25" s="324">
        <f>IFERROR(IF(tblPiNAnalysis5[[#This Row],[WASH]]="", "", MROUND(tblPiNAnalysis5[[#This Row],[WASH]]/tblPiNAnalysis5[[#This Row],[Affected population projection 2026]], 0.05)), "")</f>
        <v>0.35000000000000003</v>
      </c>
      <c r="AE25" s="322">
        <f>IFERROR(MROUND(tblPiNAnalysis5[[#This Row],[CP]]/tblPiNAnalysis5[[#This Row],[Affected population projection 2026]], 0.05), "")</f>
        <v>0</v>
      </c>
      <c r="AF25" s="322">
        <f>IFERROR(MROUND(tblPiNAnalysis5[[#This Row],[GBV]]/tblPiNAnalysis5[[#This Row],[Affected population projection 2026]], 0.05), "")</f>
        <v>0</v>
      </c>
      <c r="AG25" s="322">
        <f>IFERROR(MROUND(tblPiNAnalysis5[[#This Row],[Mine Action]]/tblPiNAnalysis5[[#This Row],[Affected population projection 2026]], 0.05), "")</f>
        <v>0</v>
      </c>
      <c r="AH25" s="322">
        <f>IFERROR(MROUND(tblPiNAnalysis5[[#This Row],[HLP]]/tblPiNAnalysis5[[#This Row],[Affected population projection 2026]], 0.05), "")</f>
        <v>0</v>
      </c>
      <c r="AI25" s="325">
        <f>IFERROR(LARGE(tblPiNAnalysis5[[#This Row],[CCCM]:[WASH]], 1), "")</f>
        <v>33729.021236239671</v>
      </c>
      <c r="AJ25" s="326" t="str" cm="1">
        <f t="array" ref="AJ25">IF(tblPiNAnalysis5[[#This Row],[Highest Target]]="", "", _xlfn.TEXTJOIN(CHAR(10), TRUE, IF(tblPiNAnalysis5[[#This Row],[Highest Target]]=tblPiNAnalysis5[[#This Row],[CCCM]:[WASH]], tblPiNAnalysis5[[#Headers],[CCCM]:[WASH]], "")))</f>
        <v>Health</v>
      </c>
      <c r="AK25" s="327">
        <f>IF(tblPiNAnalysis5[[#This Row],[Highest Target]]="", "", tblPiNAnalysis5[[#This Row],[Highest Target]]/tblPiNAnalysis5[[#This Row],[Affected population projection 2026]])</f>
        <v>0.63450257083251604</v>
      </c>
      <c r="AL25" s="328" t="str">
        <f>IF(SUM(tblPiNAnalysis5[[#This Row],[CCCM]:[WASH]])=0, "",IF(COUNTIF(tblPiNAnalysis5[[#This Row],[CCCM]:[WASH]],"=0")+COUNTIF(tblPiNAnalysis5[[#This Row],[CCCM]:[WASH]],"")&gt;=zero_pin_thresh, "Flagged", ""))</f>
        <v/>
      </c>
      <c r="AM25" s="329" t="str">
        <f>IFERROR(IF(tblPiNAnalysis5[[#This Row],[Highest Target]]="", "", IF(tblPiNAnalysis5[[#This Row],[Highest sector(s'') Target %]]&gt;=flag_pin_perc, "Flagged", "")), "")</f>
        <v/>
      </c>
      <c r="AN25" s="330" t="str" cm="1">
        <f t="array" ref="AN25">IF(tblPiNAnalysis5[[#This Row],[Highest Target]]=0, "",  IF(OR(COUNTIF(tblPiNAnalysis5[[#This Row],[Highest sector(s)]],tblSubSectorPopulation[Sector])), "Flagged", ""))</f>
        <v/>
      </c>
      <c r="AO25" s="46" cm="1">
        <f t="array" ref="AO2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23534.221579122648</v>
      </c>
      <c r="AP25" s="331" t="str" cm="1">
        <f t="array" ref="AP25">IF(tblPiNAnalysis5[[#This Row],[2nd Highest Target]]="", "", _xlfn.TEXTJOIN(CHAR(10), TRUE, IF(tblPiNAnalysis5[[#This Row],[2nd Highest Target]]=tblPiNAnalysis5[[#This Row],[CCCM]:[WASH]], tblPiNAnalysis5[[#Headers],[CCCM]:[WASH]], "")))</f>
        <v>Food Security</v>
      </c>
      <c r="AQ25" s="36">
        <f>IFERROR(tblPiNAnalysis5[[#This Row],[2nd Highest Target]]/tblPiNAnalysis5[[#This Row],[Affected population projection 2026]], "")</f>
        <v>0.44272035022621276</v>
      </c>
      <c r="AR25" s="46">
        <f>IFERROR(tblPiNAnalysis5[[#This Row],[Highest Target]]-tblPiNAnalysis5[[#This Row],[2nd Highest Target]], "")</f>
        <v>10194.799657117022</v>
      </c>
      <c r="AS25" s="39">
        <f>IFERROR(((tblPiNAnalysis5[[#This Row],[Highest Target]]-tblPiNAnalysis5[[#This Row],[2nd Highest Target]])/tblPiNAnalysis5[[#This Row],[2nd Highest Target]]),"")</f>
        <v>0.433190433889723</v>
      </c>
      <c r="AT25" s="39" t="str" cm="1">
        <f t="array" ref="AT2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5" s="332" cm="1">
        <f t="array" ref="AU2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20359.987673058156</v>
      </c>
      <c r="AV25" s="190" t="str" cm="1">
        <f t="array" ref="AV25">IF(tblPiNAnalysis5[[#This Row],[3rd Highest Target]]="", "", _xlfn.TEXTJOIN(CHAR(10), TRUE, IF(tblPiNAnalysis5[[#This Row],[3rd Highest Target]]=tblPiNAnalysis5[[#This Row],[CCCM]:[WASH]], tblPiNAnalysis5[[#Headers],[CCCM]:[WASH]], "")))</f>
        <v>Shelter</v>
      </c>
      <c r="AW25" s="190">
        <f>IFERROR(tblPiNAnalysis5[[#This Row],[3rd Highest Target]]/tblPiNAnalysis5[[#This Row],[Affected population projection 2026]], "")</f>
        <v>0.3830073938461539</v>
      </c>
      <c r="AX25" s="45">
        <f>IFERROR(tblPiNAnalysis5[[#This Row],[Highest Target]]-tblPiNAnalysis5[[#This Row],[3rd Highest Target]],"")</f>
        <v>13369.033563181514</v>
      </c>
      <c r="AY25" s="39">
        <f>IFERROR(tblPiNAnalysis5[[#This Row],[Difference of Target between Highest and 3rd Highest]]/tblPiNAnalysis5[[#This Row],[3rd Highest Target]], "")</f>
        <v>0.65663269437399563</v>
      </c>
      <c r="AZ25" s="330" t="str" cm="1">
        <f t="array" ref="AZ2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5" s="300" t="str" cm="1">
        <f t="array" ref="BA2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5" s="333" t="str" cm="1">
        <f t="array" ref="BB2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5" s="276" t="str" cm="1">
        <f t="array" ref="BC2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5" s="334" t="str" cm="1">
        <f t="array" ref="BD2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5" s="277" t="e">
        <f>INDEX(tblSeverityAnalysis[Final Severity], MATCH(tblPiNAnalysis5[[#This Row],[ID]],tblSeverityAnalysis[ID], 0))</f>
        <v>#N/A</v>
      </c>
      <c r="BF25" s="61" t="e">
        <f>IF(tblPiNAnalysis5[[#This Row],[Severity]]&gt;2,tblPiNAnalysis5[[#This Row],[Highest Target]],)</f>
        <v>#N/A</v>
      </c>
      <c r="BG25" s="191"/>
      <c r="BH25" s="192"/>
      <c r="BI25" s="193">
        <f>COUNTIFS(tblPiNAnalysis5[[#This Row],[Number of missing / zero PiNs greater than threshold - Data quality]:[Manual Flag]],"Flagged")</f>
        <v>3</v>
      </c>
      <c r="BJ25" s="96" t="str">
        <f>IF(tblPiNAnalysis5[[#This Row],['# Flags]]&gt;0, "Flagged", "")</f>
        <v>Flagged</v>
      </c>
      <c r="BK25" s="326" t="e">
        <f>tblPiNAnalysis5[[#This Row],[Preliminary Target]]</f>
        <v>#N/A</v>
      </c>
      <c r="BL25" s="331"/>
    </row>
    <row r="26" spans="1:64" x14ac:dyDescent="0.55000000000000004">
      <c r="A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6" s="316" t="s">
        <v>268</v>
      </c>
      <c r="C26" s="317" t="s">
        <v>269</v>
      </c>
      <c r="D26" s="317" t="s">
        <v>284</v>
      </c>
      <c r="E26" s="105" t="s">
        <v>285</v>
      </c>
      <c r="F26" s="100"/>
      <c r="G26" s="34"/>
      <c r="H26" s="34"/>
      <c r="I26" s="97">
        <v>46710.303757716349</v>
      </c>
      <c r="J26" s="97" t="s">
        <v>412</v>
      </c>
      <c r="K26" s="261">
        <v>3188</v>
      </c>
      <c r="L26" s="319">
        <v>13385.024382988649</v>
      </c>
      <c r="M26" s="319">
        <v>13024.941434108723</v>
      </c>
      <c r="N26" s="319">
        <v>22734.610921261999</v>
      </c>
      <c r="O26" s="319">
        <v>25605.843627641058</v>
      </c>
      <c r="P26" s="319">
        <v>16335.046445688795</v>
      </c>
      <c r="Q26" s="229">
        <v>14156.744742856245</v>
      </c>
      <c r="R26" s="319">
        <v>30659.643824509294</v>
      </c>
      <c r="S26" s="319"/>
      <c r="T26" s="319"/>
      <c r="U26" s="319"/>
      <c r="V26" s="319"/>
      <c r="W26" s="321">
        <f>IFERROR(IF(tblPiNAnalysis5[[#This Row],[CCCM]]="", "", MROUND(tblPiNAnalysis5[[#This Row],[CCCM]]/tblPiNAnalysis5[[#This Row],[Affected population projection 2026]], 0.05)), "")</f>
        <v>0.05</v>
      </c>
      <c r="X26" s="322">
        <f>IFERROR(IF(tblPiNAnalysis5[[#This Row],[Education]]="", "", MROUND(tblPiNAnalysis5[[#This Row],[Education]]/tblPiNAnalysis5[[#This Row],[Affected population projection 2026]], 0.05)), "")</f>
        <v>0.30000000000000004</v>
      </c>
      <c r="Y26" s="322">
        <f>IFERROR(IF(tblPiNAnalysis5[[#This Row],[Nutrition]]="", "", MROUND(tblPiNAnalysis5[[#This Row],[Nutrition]]/tblPiNAnalysis5[[#This Row],[Affected population projection 2026]], 0.05)), "")</f>
        <v>0.30000000000000004</v>
      </c>
      <c r="Z26" s="322">
        <f>IFERROR(IF(tblPiNAnalysis5[[#This Row],[Food Security]]="", "", MROUND(tblPiNAnalysis5[[#This Row],[Food Security]]/tblPiNAnalysis5[[#This Row],[Affected population projection 2026]], 0.05)), "")</f>
        <v>0.5</v>
      </c>
      <c r="AA26" s="322">
        <f>IFERROR(IF(tblPiNAnalysis5[[#This Row],[Health]]="", "", MROUND(tblPiNAnalysis5[[#This Row],[Health]]/tblPiNAnalysis5[[#This Row],[Affected population projection 2026]], 0.05)), "")</f>
        <v>0.55000000000000004</v>
      </c>
      <c r="AB26" s="323">
        <f>IFERROR(IF(tblPiNAnalysis5[[#This Row],[Overarching Protection]]="", "", MROUND(tblPiNAnalysis5[[#This Row],[Overarching Protection]]/tblPiNAnalysis5[[#This Row],[Affected population projection 2026]], 0.05)), "")</f>
        <v>0.35000000000000003</v>
      </c>
      <c r="AC26" s="323">
        <f>IFERROR(IF(tblPiNAnalysis5[[#This Row],[Shelter]]="", "", MROUND(tblPiNAnalysis5[[#This Row],[Shelter]]/tblPiNAnalysis5[[#This Row],[Affected population projection 2026]], 0.05)), "")</f>
        <v>0.30000000000000004</v>
      </c>
      <c r="AD26" s="324">
        <f>IFERROR(IF(tblPiNAnalysis5[[#This Row],[WASH]]="", "", MROUND(tblPiNAnalysis5[[#This Row],[WASH]]/tblPiNAnalysis5[[#This Row],[Affected population projection 2026]], 0.05)), "")</f>
        <v>0.65</v>
      </c>
      <c r="AE26" s="322">
        <f>IFERROR(MROUND(tblPiNAnalysis5[[#This Row],[CP]]/tblPiNAnalysis5[[#This Row],[Affected population projection 2026]], 0.05), "")</f>
        <v>0</v>
      </c>
      <c r="AF26" s="322">
        <f>IFERROR(MROUND(tblPiNAnalysis5[[#This Row],[GBV]]/tblPiNAnalysis5[[#This Row],[Affected population projection 2026]], 0.05), "")</f>
        <v>0</v>
      </c>
      <c r="AG26" s="322">
        <f>IFERROR(MROUND(tblPiNAnalysis5[[#This Row],[Mine Action]]/tblPiNAnalysis5[[#This Row],[Affected population projection 2026]], 0.05), "")</f>
        <v>0</v>
      </c>
      <c r="AH26" s="322">
        <f>IFERROR(MROUND(tblPiNAnalysis5[[#This Row],[HLP]]/tblPiNAnalysis5[[#This Row],[Affected population projection 2026]], 0.05), "")</f>
        <v>0</v>
      </c>
      <c r="AI26" s="325">
        <f>IFERROR(LARGE(tblPiNAnalysis5[[#This Row],[CCCM]:[WASH]], 1), "")</f>
        <v>30659.643824509294</v>
      </c>
      <c r="AJ26" s="326" t="str" cm="1">
        <f t="array" ref="AJ26">IF(tblPiNAnalysis5[[#This Row],[Highest Target]]="", "", _xlfn.TEXTJOIN(CHAR(10), TRUE, IF(tblPiNAnalysis5[[#This Row],[Highest Target]]=tblPiNAnalysis5[[#This Row],[CCCM]:[WASH]], tblPiNAnalysis5[[#Headers],[CCCM]:[WASH]], "")))</f>
        <v>WASH</v>
      </c>
      <c r="AK26" s="327">
        <f>IF(tblPiNAnalysis5[[#This Row],[Highest Target]]="", "", tblPiNAnalysis5[[#This Row],[Highest Target]]/tblPiNAnalysis5[[#This Row],[Affected population projection 2026]])</f>
        <v>0.65637860082304533</v>
      </c>
      <c r="AL26" s="328" t="str">
        <f>IF(SUM(tblPiNAnalysis5[[#This Row],[CCCM]:[WASH]])=0, "",IF(COUNTIF(tblPiNAnalysis5[[#This Row],[CCCM]:[WASH]],"=0")+COUNTIF(tblPiNAnalysis5[[#This Row],[CCCM]:[WASH]],"")&gt;=zero_pin_thresh, "Flagged", ""))</f>
        <v/>
      </c>
      <c r="AM26" s="329" t="str">
        <f>IFERROR(IF(tblPiNAnalysis5[[#This Row],[Highest Target]]="", "", IF(tblPiNAnalysis5[[#This Row],[Highest sector(s'') Target %]]&gt;=flag_pin_perc, "Flagged", "")), "")</f>
        <v/>
      </c>
      <c r="AN26" s="330" t="str" cm="1">
        <f t="array" ref="AN26">IF(tblPiNAnalysis5[[#This Row],[Highest Target]]=0, "",  IF(OR(COUNTIF(tblPiNAnalysis5[[#This Row],[Highest sector(s)]],tblSubSectorPopulation[Sector])), "Flagged", ""))</f>
        <v/>
      </c>
      <c r="AO26" s="46" cm="1">
        <f t="array" ref="AO2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25605.843627641058</v>
      </c>
      <c r="AP26" s="331" t="str" cm="1">
        <f t="array" ref="AP26">IF(tblPiNAnalysis5[[#This Row],[2nd Highest Target]]="", "", _xlfn.TEXTJOIN(CHAR(10), TRUE, IF(tblPiNAnalysis5[[#This Row],[2nd Highest Target]]=tblPiNAnalysis5[[#This Row],[CCCM]:[WASH]], tblPiNAnalysis5[[#Headers],[CCCM]:[WASH]], "")))</f>
        <v>Health</v>
      </c>
      <c r="AQ26" s="36">
        <f>IFERROR(tblPiNAnalysis5[[#This Row],[2nd Highest Target]]/tblPiNAnalysis5[[#This Row],[Affected population projection 2026]], "")</f>
        <v>0.5481840529330978</v>
      </c>
      <c r="AR26" s="46">
        <f>IFERROR(tblPiNAnalysis5[[#This Row],[Highest Target]]-tblPiNAnalysis5[[#This Row],[2nd Highest Target]], "")</f>
        <v>5053.8001968682365</v>
      </c>
      <c r="AS26" s="39">
        <f>IFERROR(((tblPiNAnalysis5[[#This Row],[Highest Target]]-tblPiNAnalysis5[[#This Row],[2nd Highest Target]])/tblPiNAnalysis5[[#This Row],[2nd Highest Target]]),"")</f>
        <v>0.19736901741494461</v>
      </c>
      <c r="AT26" s="39" t="str" cm="1">
        <f t="array" ref="AT2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6" s="332" cm="1">
        <f t="array" ref="AU2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22734.610921261999</v>
      </c>
      <c r="AV26" s="190" t="str" cm="1">
        <f t="array" ref="AV26">IF(tblPiNAnalysis5[[#This Row],[3rd Highest Target]]="", "", _xlfn.TEXTJOIN(CHAR(10), TRUE, IF(tblPiNAnalysis5[[#This Row],[3rd Highest Target]]=tblPiNAnalysis5[[#This Row],[CCCM]:[WASH]], tblPiNAnalysis5[[#Headers],[CCCM]:[WASH]], "")))</f>
        <v>Food Security</v>
      </c>
      <c r="AW26" s="190">
        <f>IFERROR(tblPiNAnalysis5[[#This Row],[3rd Highest Target]]/tblPiNAnalysis5[[#This Row],[Affected population projection 2026]], "")</f>
        <v>0.48671511620187946</v>
      </c>
      <c r="AX26" s="45">
        <f>IFERROR(tblPiNAnalysis5[[#This Row],[Highest Target]]-tblPiNAnalysis5[[#This Row],[3rd Highest Target]],"")</f>
        <v>7925.0329032472946</v>
      </c>
      <c r="AY26" s="39">
        <f>IFERROR(tblPiNAnalysis5[[#This Row],[Difference of Target between Highest and 3rd Highest]]/tblPiNAnalysis5[[#This Row],[3rd Highest Target]], "")</f>
        <v>0.34858889517372815</v>
      </c>
      <c r="AZ26" s="330" t="str" cm="1">
        <f t="array" ref="AZ2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6" s="300" t="str" cm="1">
        <f t="array" ref="BA2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6" s="333" t="str" cm="1">
        <f t="array" ref="BB2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6" s="276" t="str" cm="1">
        <f t="array" ref="BC2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6" s="334" t="str" cm="1">
        <f t="array" ref="BD2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6" s="277" t="e">
        <f>INDEX(tblSeverityAnalysis[Final Severity], MATCH(tblPiNAnalysis5[[#This Row],[ID]],tblSeverityAnalysis[ID], 0))</f>
        <v>#N/A</v>
      </c>
      <c r="BF26" s="61" t="e">
        <f>IF(tblPiNAnalysis5[[#This Row],[Severity]]&gt;2,tblPiNAnalysis5[[#This Row],[Highest Target]],)</f>
        <v>#N/A</v>
      </c>
      <c r="BG26" s="191"/>
      <c r="BH26" s="192"/>
      <c r="BI26" s="193">
        <f>COUNTIFS(tblPiNAnalysis5[[#This Row],[Number of missing / zero PiNs greater than threshold - Data quality]:[Manual Flag]],"Flagged")</f>
        <v>1</v>
      </c>
      <c r="BJ26" s="96" t="str">
        <f>IF(tblPiNAnalysis5[[#This Row],['# Flags]]&gt;0, "Flagged", "")</f>
        <v>Flagged</v>
      </c>
      <c r="BK26" s="326" t="e">
        <f>tblPiNAnalysis5[[#This Row],[Preliminary Target]]</f>
        <v>#N/A</v>
      </c>
      <c r="BL26" s="331"/>
    </row>
    <row r="27" spans="1:64" x14ac:dyDescent="0.55000000000000004">
      <c r="A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7" s="316" t="s">
        <v>268</v>
      </c>
      <c r="C27" s="317" t="s">
        <v>269</v>
      </c>
      <c r="D27" s="317" t="s">
        <v>286</v>
      </c>
      <c r="E27" s="105" t="s">
        <v>287</v>
      </c>
      <c r="F27" s="100"/>
      <c r="G27" s="34"/>
      <c r="H27" s="34"/>
      <c r="I27" s="97">
        <v>15457.341069804937</v>
      </c>
      <c r="J27" s="97" t="s">
        <v>412</v>
      </c>
      <c r="K27" s="261">
        <v>0</v>
      </c>
      <c r="L27" s="319">
        <v>496.22702036394787</v>
      </c>
      <c r="M27" s="319">
        <v>2278.7109388988106</v>
      </c>
      <c r="N27" s="319">
        <v>2845.3476851061778</v>
      </c>
      <c r="O27" s="319">
        <v>4398.6694414270742</v>
      </c>
      <c r="P27" s="319">
        <v>2308.1654471952156</v>
      </c>
      <c r="Q27" s="229">
        <v>5964.2889999999998</v>
      </c>
      <c r="R27" s="319">
        <v>9.1070943092866408</v>
      </c>
      <c r="S27" s="319"/>
      <c r="T27" s="319"/>
      <c r="U27" s="319"/>
      <c r="V27" s="319"/>
      <c r="W27" s="321">
        <f>IFERROR(IF(tblPiNAnalysis5[[#This Row],[CCCM]]="", "", MROUND(tblPiNAnalysis5[[#This Row],[CCCM]]/tblPiNAnalysis5[[#This Row],[Affected population projection 2026]], 0.05)), "")</f>
        <v>0</v>
      </c>
      <c r="X27" s="322">
        <f>IFERROR(IF(tblPiNAnalysis5[[#This Row],[Education]]="", "", MROUND(tblPiNAnalysis5[[#This Row],[Education]]/tblPiNAnalysis5[[#This Row],[Affected population projection 2026]], 0.05)), "")</f>
        <v>0.05</v>
      </c>
      <c r="Y27" s="322">
        <f>IFERROR(IF(tblPiNAnalysis5[[#This Row],[Nutrition]]="", "", MROUND(tblPiNAnalysis5[[#This Row],[Nutrition]]/tblPiNAnalysis5[[#This Row],[Affected population projection 2026]], 0.05)), "")</f>
        <v>0.15000000000000002</v>
      </c>
      <c r="Z27" s="322">
        <f>IFERROR(IF(tblPiNAnalysis5[[#This Row],[Food Security]]="", "", MROUND(tblPiNAnalysis5[[#This Row],[Food Security]]/tblPiNAnalysis5[[#This Row],[Affected population projection 2026]], 0.05)), "")</f>
        <v>0.2</v>
      </c>
      <c r="AA27" s="322">
        <f>IFERROR(IF(tblPiNAnalysis5[[#This Row],[Health]]="", "", MROUND(tblPiNAnalysis5[[#This Row],[Health]]/tblPiNAnalysis5[[#This Row],[Affected population projection 2026]], 0.05)), "")</f>
        <v>0.30000000000000004</v>
      </c>
      <c r="AB27" s="323">
        <f>IFERROR(IF(tblPiNAnalysis5[[#This Row],[Overarching Protection]]="", "", MROUND(tblPiNAnalysis5[[#This Row],[Overarching Protection]]/tblPiNAnalysis5[[#This Row],[Affected population projection 2026]], 0.05)), "")</f>
        <v>0.15000000000000002</v>
      </c>
      <c r="AC27" s="323">
        <f>IFERROR(IF(tblPiNAnalysis5[[#This Row],[Shelter]]="", "", MROUND(tblPiNAnalysis5[[#This Row],[Shelter]]/tblPiNAnalysis5[[#This Row],[Affected population projection 2026]], 0.05)), "")</f>
        <v>0.4</v>
      </c>
      <c r="AD27" s="324">
        <f>IFERROR(IF(tblPiNAnalysis5[[#This Row],[WASH]]="", "", MROUND(tblPiNAnalysis5[[#This Row],[WASH]]/tblPiNAnalysis5[[#This Row],[Affected population projection 2026]], 0.05)), "")</f>
        <v>0</v>
      </c>
      <c r="AE27" s="322">
        <f>IFERROR(MROUND(tblPiNAnalysis5[[#This Row],[CP]]/tblPiNAnalysis5[[#This Row],[Affected population projection 2026]], 0.05), "")</f>
        <v>0</v>
      </c>
      <c r="AF27" s="322">
        <f>IFERROR(MROUND(tblPiNAnalysis5[[#This Row],[GBV]]/tblPiNAnalysis5[[#This Row],[Affected population projection 2026]], 0.05), "")</f>
        <v>0</v>
      </c>
      <c r="AG27" s="322">
        <f>IFERROR(MROUND(tblPiNAnalysis5[[#This Row],[Mine Action]]/tblPiNAnalysis5[[#This Row],[Affected population projection 2026]], 0.05), "")</f>
        <v>0</v>
      </c>
      <c r="AH27" s="322">
        <f>IFERROR(MROUND(tblPiNAnalysis5[[#This Row],[HLP]]/tblPiNAnalysis5[[#This Row],[Affected population projection 2026]], 0.05), "")</f>
        <v>0</v>
      </c>
      <c r="AI27" s="325">
        <f>IFERROR(LARGE(tblPiNAnalysis5[[#This Row],[CCCM]:[WASH]], 1), "")</f>
        <v>5964.2889999999998</v>
      </c>
      <c r="AJ27" s="326" t="str" cm="1">
        <f t="array" ref="AJ27">IF(tblPiNAnalysis5[[#This Row],[Highest Target]]="", "", _xlfn.TEXTJOIN(CHAR(10), TRUE, IF(tblPiNAnalysis5[[#This Row],[Highest Target]]=tblPiNAnalysis5[[#This Row],[CCCM]:[WASH]], tblPiNAnalysis5[[#Headers],[CCCM]:[WASH]], "")))</f>
        <v>Shelter</v>
      </c>
      <c r="AK27" s="327">
        <f>IF(tblPiNAnalysis5[[#This Row],[Highest Target]]="", "", tblPiNAnalysis5[[#This Row],[Highest Target]]/tblPiNAnalysis5[[#This Row],[Affected population projection 2026]])</f>
        <v>0.38585478401915507</v>
      </c>
      <c r="AL27" s="328" t="str">
        <f>IF(SUM(tblPiNAnalysis5[[#This Row],[CCCM]:[WASH]])=0, "",IF(COUNTIF(tblPiNAnalysis5[[#This Row],[CCCM]:[WASH]],"=0")+COUNTIF(tblPiNAnalysis5[[#This Row],[CCCM]:[WASH]],"")&gt;=zero_pin_thresh, "Flagged", ""))</f>
        <v/>
      </c>
      <c r="AM27" s="329" t="str">
        <f>IFERROR(IF(tblPiNAnalysis5[[#This Row],[Highest Target]]="", "", IF(tblPiNAnalysis5[[#This Row],[Highest sector(s'') Target %]]&gt;=flag_pin_perc, "Flagged", "")), "")</f>
        <v/>
      </c>
      <c r="AN27" s="330" t="str" cm="1">
        <f t="array" ref="AN27">IF(tblPiNAnalysis5[[#This Row],[Highest Target]]=0, "",  IF(OR(COUNTIF(tblPiNAnalysis5[[#This Row],[Highest sector(s)]],tblSubSectorPopulation[Sector])), "Flagged", ""))</f>
        <v/>
      </c>
      <c r="AO27" s="46" cm="1">
        <f t="array" ref="AO2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4398.6694414270742</v>
      </c>
      <c r="AP27" s="331" t="str" cm="1">
        <f t="array" ref="AP27">IF(tblPiNAnalysis5[[#This Row],[2nd Highest Target]]="", "", _xlfn.TEXTJOIN(CHAR(10), TRUE, IF(tblPiNAnalysis5[[#This Row],[2nd Highest Target]]=tblPiNAnalysis5[[#This Row],[CCCM]:[WASH]], tblPiNAnalysis5[[#Headers],[CCCM]:[WASH]], "")))</f>
        <v>Health</v>
      </c>
      <c r="AQ27" s="36">
        <f>IFERROR(tblPiNAnalysis5[[#This Row],[2nd Highest Target]]/tblPiNAnalysis5[[#This Row],[Affected population projection 2026]], "")</f>
        <v>0.28456831104151747</v>
      </c>
      <c r="AR27" s="46">
        <f>IFERROR(tblPiNAnalysis5[[#This Row],[Highest Target]]-tblPiNAnalysis5[[#This Row],[2nd Highest Target]], "")</f>
        <v>1565.6195585729256</v>
      </c>
      <c r="AS27" s="39">
        <f>IFERROR(((tblPiNAnalysis5[[#This Row],[Highest Target]]-tblPiNAnalysis5[[#This Row],[2nd Highest Target]])/tblPiNAnalysis5[[#This Row],[2nd Highest Target]]),"")</f>
        <v>0.35593026014361895</v>
      </c>
      <c r="AT27" s="39" t="str" cm="1">
        <f t="array" ref="AT2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7" s="332" cm="1">
        <f t="array" ref="AU2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2845.3476851061778</v>
      </c>
      <c r="AV27" s="190" t="str" cm="1">
        <f t="array" ref="AV27">IF(tblPiNAnalysis5[[#This Row],[3rd Highest Target]]="", "", _xlfn.TEXTJOIN(CHAR(10), TRUE, IF(tblPiNAnalysis5[[#This Row],[3rd Highest Target]]=tblPiNAnalysis5[[#This Row],[CCCM]:[WASH]], tblPiNAnalysis5[[#Headers],[CCCM]:[WASH]], "")))</f>
        <v>Food Security</v>
      </c>
      <c r="AW27" s="190">
        <f>IFERROR(tblPiNAnalysis5[[#This Row],[3rd Highest Target]]/tblPiNAnalysis5[[#This Row],[Affected population projection 2026]], "")</f>
        <v>0.18407743429200818</v>
      </c>
      <c r="AX27" s="45">
        <f>IFERROR(tblPiNAnalysis5[[#This Row],[Highest Target]]-tblPiNAnalysis5[[#This Row],[3rd Highest Target]],"")</f>
        <v>3118.941314893822</v>
      </c>
      <c r="AY27" s="39">
        <f>IFERROR(tblPiNAnalysis5[[#This Row],[Difference of Target between Highest and 3rd Highest]]/tblPiNAnalysis5[[#This Row],[3rd Highest Target]], "")</f>
        <v>1.096154726967026</v>
      </c>
      <c r="AZ27" s="330" t="str" cm="1">
        <f t="array" ref="AZ2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7" s="300" t="str" cm="1">
        <f t="array" ref="BA2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7" s="333" t="str" cm="1">
        <f t="array" ref="BB2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7" s="276" t="str" cm="1">
        <f t="array" ref="BC2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7" s="334" t="str" cm="1">
        <f t="array" ref="BD2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7" s="277" t="e">
        <f>INDEX(tblSeverityAnalysis[Final Severity], MATCH(tblPiNAnalysis5[[#This Row],[ID]],tblSeverityAnalysis[ID], 0))</f>
        <v>#N/A</v>
      </c>
      <c r="BF27" s="61" t="e">
        <f>IF(tblPiNAnalysis5[[#This Row],[Severity]]&gt;2,tblPiNAnalysis5[[#This Row],[Highest Target]],)</f>
        <v>#N/A</v>
      </c>
      <c r="BG27" s="191"/>
      <c r="BH27" s="192"/>
      <c r="BI27" s="193">
        <f>COUNTIFS(tblPiNAnalysis5[[#This Row],[Number of missing / zero PiNs greater than threshold - Data quality]:[Manual Flag]],"Flagged")</f>
        <v>4</v>
      </c>
      <c r="BJ27" s="96" t="str">
        <f>IF(tblPiNAnalysis5[[#This Row],['# Flags]]&gt;0, "Flagged", "")</f>
        <v>Flagged</v>
      </c>
      <c r="BK27" s="326" t="e">
        <f>tblPiNAnalysis5[[#This Row],[Preliminary Target]]</f>
        <v>#N/A</v>
      </c>
      <c r="BL27" s="331"/>
    </row>
    <row r="28" spans="1:64" ht="24.6" x14ac:dyDescent="0.55000000000000004">
      <c r="A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8" s="316" t="s">
        <v>268</v>
      </c>
      <c r="C28" s="317" t="s">
        <v>269</v>
      </c>
      <c r="D28" s="317" t="s">
        <v>288</v>
      </c>
      <c r="E28" s="105" t="s">
        <v>289</v>
      </c>
      <c r="F28" s="100"/>
      <c r="G28" s="34"/>
      <c r="H28" s="34"/>
      <c r="I28" s="97">
        <v>25870.030094616061</v>
      </c>
      <c r="J28" s="97" t="s">
        <v>412</v>
      </c>
      <c r="K28" s="261">
        <v>0</v>
      </c>
      <c r="L28" s="319">
        <v>7810.8088363169554</v>
      </c>
      <c r="M28" s="319">
        <v>5675.826298061118</v>
      </c>
      <c r="N28" s="319">
        <v>10988.73484378785</v>
      </c>
      <c r="O28" s="319">
        <v>12979.718799381051</v>
      </c>
      <c r="P28" s="319">
        <v>14611.599137466308</v>
      </c>
      <c r="Q28" s="229">
        <v>11200.814475511832</v>
      </c>
      <c r="R28" s="319">
        <v>8623.3433648720202</v>
      </c>
      <c r="S28" s="319"/>
      <c r="T28" s="319"/>
      <c r="U28" s="319"/>
      <c r="V28" s="319"/>
      <c r="W28" s="321">
        <f>IFERROR(IF(tblPiNAnalysis5[[#This Row],[CCCM]]="", "", MROUND(tblPiNAnalysis5[[#This Row],[CCCM]]/tblPiNAnalysis5[[#This Row],[Affected population projection 2026]], 0.05)), "")</f>
        <v>0</v>
      </c>
      <c r="X28" s="322">
        <f>IFERROR(IF(tblPiNAnalysis5[[#This Row],[Education]]="", "", MROUND(tblPiNAnalysis5[[#This Row],[Education]]/tblPiNAnalysis5[[#This Row],[Affected population projection 2026]], 0.05)), "")</f>
        <v>0.30000000000000004</v>
      </c>
      <c r="Y28" s="322">
        <f>IFERROR(IF(tblPiNAnalysis5[[#This Row],[Nutrition]]="", "", MROUND(tblPiNAnalysis5[[#This Row],[Nutrition]]/tblPiNAnalysis5[[#This Row],[Affected population projection 2026]], 0.05)), "")</f>
        <v>0.2</v>
      </c>
      <c r="Z28" s="322">
        <f>IFERROR(IF(tblPiNAnalysis5[[#This Row],[Food Security]]="", "", MROUND(tblPiNAnalysis5[[#This Row],[Food Security]]/tblPiNAnalysis5[[#This Row],[Affected population projection 2026]], 0.05)), "")</f>
        <v>0.4</v>
      </c>
      <c r="AA28" s="322">
        <f>IFERROR(IF(tblPiNAnalysis5[[#This Row],[Health]]="", "", MROUND(tblPiNAnalysis5[[#This Row],[Health]]/tblPiNAnalysis5[[#This Row],[Affected population projection 2026]], 0.05)), "")</f>
        <v>0.5</v>
      </c>
      <c r="AB28" s="323">
        <f>IFERROR(IF(tblPiNAnalysis5[[#This Row],[Overarching Protection]]="", "", MROUND(tblPiNAnalysis5[[#This Row],[Overarching Protection]]/tblPiNAnalysis5[[#This Row],[Affected population projection 2026]], 0.05)), "")</f>
        <v>0.55000000000000004</v>
      </c>
      <c r="AC28" s="323">
        <f>IFERROR(IF(tblPiNAnalysis5[[#This Row],[Shelter]]="", "", MROUND(tblPiNAnalysis5[[#This Row],[Shelter]]/tblPiNAnalysis5[[#This Row],[Affected population projection 2026]], 0.05)), "")</f>
        <v>0.45</v>
      </c>
      <c r="AD28" s="324">
        <f>IFERROR(IF(tblPiNAnalysis5[[#This Row],[WASH]]="", "", MROUND(tblPiNAnalysis5[[#This Row],[WASH]]/tblPiNAnalysis5[[#This Row],[Affected population projection 2026]], 0.05)), "")</f>
        <v>0.35000000000000003</v>
      </c>
      <c r="AE28" s="322">
        <f>IFERROR(MROUND(tblPiNAnalysis5[[#This Row],[CP]]/tblPiNAnalysis5[[#This Row],[Affected population projection 2026]], 0.05), "")</f>
        <v>0</v>
      </c>
      <c r="AF28" s="322">
        <f>IFERROR(MROUND(tblPiNAnalysis5[[#This Row],[GBV]]/tblPiNAnalysis5[[#This Row],[Affected population projection 2026]], 0.05), "")</f>
        <v>0</v>
      </c>
      <c r="AG28" s="322">
        <f>IFERROR(MROUND(tblPiNAnalysis5[[#This Row],[Mine Action]]/tblPiNAnalysis5[[#This Row],[Affected population projection 2026]], 0.05), "")</f>
        <v>0</v>
      </c>
      <c r="AH28" s="322">
        <f>IFERROR(MROUND(tblPiNAnalysis5[[#This Row],[HLP]]/tblPiNAnalysis5[[#This Row],[Affected population projection 2026]], 0.05), "")</f>
        <v>0</v>
      </c>
      <c r="AI28" s="325">
        <f>IFERROR(LARGE(tblPiNAnalysis5[[#This Row],[CCCM]:[WASH]], 1), "")</f>
        <v>14611.599137466308</v>
      </c>
      <c r="AJ28" s="326" t="str" cm="1">
        <f t="array" ref="AJ28">IF(tblPiNAnalysis5[[#This Row],[Highest Target]]="", "", _xlfn.TEXTJOIN(CHAR(10), TRUE, IF(tblPiNAnalysis5[[#This Row],[Highest Target]]=tblPiNAnalysis5[[#This Row],[CCCM]:[WASH]], tblPiNAnalysis5[[#Headers],[CCCM]:[WASH]], "")))</f>
        <v>Overarching Protection</v>
      </c>
      <c r="AK28" s="327">
        <f>IF(tblPiNAnalysis5[[#This Row],[Highest Target]]="", "", tblPiNAnalysis5[[#This Row],[Highest Target]]/tblPiNAnalysis5[[#This Row],[Affected population projection 2026]])</f>
        <v>0.56480796829483393</v>
      </c>
      <c r="AL28" s="328" t="str">
        <f>IF(SUM(tblPiNAnalysis5[[#This Row],[CCCM]:[WASH]])=0, "",IF(COUNTIF(tblPiNAnalysis5[[#This Row],[CCCM]:[WASH]],"=0")+COUNTIF(tblPiNAnalysis5[[#This Row],[CCCM]:[WASH]],"")&gt;=zero_pin_thresh, "Flagged", ""))</f>
        <v/>
      </c>
      <c r="AM28" s="329" t="str">
        <f>IFERROR(IF(tblPiNAnalysis5[[#This Row],[Highest Target]]="", "", IF(tblPiNAnalysis5[[#This Row],[Highest sector(s'') Target %]]&gt;=flag_pin_perc, "Flagged", "")), "")</f>
        <v/>
      </c>
      <c r="AN28" s="330" t="str" cm="1">
        <f t="array" ref="AN28">IF(tblPiNAnalysis5[[#This Row],[Highest Target]]=0, "",  IF(OR(COUNTIF(tblPiNAnalysis5[[#This Row],[Highest sector(s)]],tblSubSectorPopulation[Sector])), "Flagged", ""))</f>
        <v/>
      </c>
      <c r="AO28" s="46" cm="1">
        <f t="array" ref="AO2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12979.718799381051</v>
      </c>
      <c r="AP28" s="331" t="str" cm="1">
        <f t="array" ref="AP28">IF(tblPiNAnalysis5[[#This Row],[2nd Highest Target]]="", "", _xlfn.TEXTJOIN(CHAR(10), TRUE, IF(tblPiNAnalysis5[[#This Row],[2nd Highest Target]]=tblPiNAnalysis5[[#This Row],[CCCM]:[WASH]], tblPiNAnalysis5[[#Headers],[CCCM]:[WASH]], "")))</f>
        <v>Health</v>
      </c>
      <c r="AQ28" s="36">
        <f>IFERROR(tblPiNAnalysis5[[#This Row],[2nd Highest Target]]/tblPiNAnalysis5[[#This Row],[Affected population projection 2026]], "")</f>
        <v>0.50172801314530846</v>
      </c>
      <c r="AR28" s="46">
        <f>IFERROR(tblPiNAnalysis5[[#This Row],[Highest Target]]-tblPiNAnalysis5[[#This Row],[2nd Highest Target]], "")</f>
        <v>1631.8803380852569</v>
      </c>
      <c r="AS28" s="39">
        <f>IFERROR(((tblPiNAnalysis5[[#This Row],[Highest Target]]-tblPiNAnalysis5[[#This Row],[2nd Highest Target]])/tblPiNAnalysis5[[#This Row],[2nd Highest Target]]),"")</f>
        <v>0.12572540001121399</v>
      </c>
      <c r="AT28" s="39" t="str" cm="1">
        <f t="array" ref="AT2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8" s="332" cm="1">
        <f t="array" ref="AU2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11200.814475511832</v>
      </c>
      <c r="AV28" s="190" t="str" cm="1">
        <f t="array" ref="AV28">IF(tblPiNAnalysis5[[#This Row],[3rd Highest Target]]="", "", _xlfn.TEXTJOIN(CHAR(10), TRUE, IF(tblPiNAnalysis5[[#This Row],[3rd Highest Target]]=tblPiNAnalysis5[[#This Row],[CCCM]:[WASH]], tblPiNAnalysis5[[#Headers],[CCCM]:[WASH]], "")))</f>
        <v>Shelter</v>
      </c>
      <c r="AW28" s="190">
        <f>IFERROR(tblPiNAnalysis5[[#This Row],[3rd Highest Target]]/tblPiNAnalysis5[[#This Row],[Affected population projection 2026]], "")</f>
        <v>0.43296488</v>
      </c>
      <c r="AX28" s="45">
        <f>IFERROR(tblPiNAnalysis5[[#This Row],[Highest Target]]-tblPiNAnalysis5[[#This Row],[3rd Highest Target]],"")</f>
        <v>3410.7846619544762</v>
      </c>
      <c r="AY28" s="39">
        <f>IFERROR(tblPiNAnalysis5[[#This Row],[Difference of Target between Highest and 3rd Highest]]/tblPiNAnalysis5[[#This Row],[3rd Highest Target]], "")</f>
        <v>0.30451220037716203</v>
      </c>
      <c r="AZ28" s="330" t="str" cm="1">
        <f t="array" ref="AZ2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8" s="300" t="str" cm="1">
        <f t="array" ref="BA2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8" s="333" t="str" cm="1">
        <f t="array" ref="BB2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8" s="276" t="str" cm="1">
        <f t="array" ref="BC2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8" s="334" t="str" cm="1">
        <f t="array" ref="BD2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8" s="277" t="e">
        <f>INDEX(tblSeverityAnalysis[Final Severity], MATCH(tblPiNAnalysis5[[#This Row],[ID]],tblSeverityAnalysis[ID], 0))</f>
        <v>#N/A</v>
      </c>
      <c r="BF28" s="61" t="e">
        <f>IF(tblPiNAnalysis5[[#This Row],[Severity]]&gt;2,tblPiNAnalysis5[[#This Row],[Highest Target]],)</f>
        <v>#N/A</v>
      </c>
      <c r="BG28" s="191"/>
      <c r="BH28" s="192"/>
      <c r="BI28" s="193">
        <f>COUNTIFS(tblPiNAnalysis5[[#This Row],[Number of missing / zero PiNs greater than threshold - Data quality]:[Manual Flag]],"Flagged")</f>
        <v>1</v>
      </c>
      <c r="BJ28" s="96" t="str">
        <f>IF(tblPiNAnalysis5[[#This Row],['# Flags]]&gt;0, "Flagged", "")</f>
        <v>Flagged</v>
      </c>
      <c r="BK28" s="326" t="e">
        <f>tblPiNAnalysis5[[#This Row],[Preliminary Target]]</f>
        <v>#N/A</v>
      </c>
      <c r="BL28" s="331"/>
    </row>
    <row r="29" spans="1:64" x14ac:dyDescent="0.55000000000000004">
      <c r="A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9" s="316" t="s">
        <v>268</v>
      </c>
      <c r="C29" s="317" t="s">
        <v>269</v>
      </c>
      <c r="D29" s="317" t="s">
        <v>290</v>
      </c>
      <c r="E29" s="105" t="s">
        <v>291</v>
      </c>
      <c r="F29" s="100"/>
      <c r="G29" s="34"/>
      <c r="H29" s="34"/>
      <c r="I29" s="97">
        <v>23976.103995536083</v>
      </c>
      <c r="J29" s="97" t="s">
        <v>412</v>
      </c>
      <c r="K29" s="261">
        <v>3000</v>
      </c>
      <c r="L29" s="319">
        <v>5890.5930862472778</v>
      </c>
      <c r="M29" s="319">
        <v>7402.0200482744513</v>
      </c>
      <c r="N29" s="319">
        <v>11543.774917353358</v>
      </c>
      <c r="O29" s="319">
        <v>8046.4376515490139</v>
      </c>
      <c r="P29" s="319">
        <v>7263.6042302306732</v>
      </c>
      <c r="Q29" s="229">
        <v>10380.810989294801</v>
      </c>
      <c r="R29" s="319">
        <v>13782.559781384551</v>
      </c>
      <c r="S29" s="319"/>
      <c r="T29" s="319"/>
      <c r="U29" s="319"/>
      <c r="V29" s="319"/>
      <c r="W29" s="321">
        <f>IFERROR(IF(tblPiNAnalysis5[[#This Row],[CCCM]]="", "", MROUND(tblPiNAnalysis5[[#This Row],[CCCM]]/tblPiNAnalysis5[[#This Row],[Affected population projection 2026]], 0.05)), "")</f>
        <v>0.15000000000000002</v>
      </c>
      <c r="X29" s="322">
        <f>IFERROR(IF(tblPiNAnalysis5[[#This Row],[Education]]="", "", MROUND(tblPiNAnalysis5[[#This Row],[Education]]/tblPiNAnalysis5[[#This Row],[Affected population projection 2026]], 0.05)), "")</f>
        <v>0.25</v>
      </c>
      <c r="Y29" s="322">
        <f>IFERROR(IF(tblPiNAnalysis5[[#This Row],[Nutrition]]="", "", MROUND(tblPiNAnalysis5[[#This Row],[Nutrition]]/tblPiNAnalysis5[[#This Row],[Affected population projection 2026]], 0.05)), "")</f>
        <v>0.30000000000000004</v>
      </c>
      <c r="Z29" s="322">
        <f>IFERROR(IF(tblPiNAnalysis5[[#This Row],[Food Security]]="", "", MROUND(tblPiNAnalysis5[[#This Row],[Food Security]]/tblPiNAnalysis5[[#This Row],[Affected population projection 2026]], 0.05)), "")</f>
        <v>0.5</v>
      </c>
      <c r="AA29" s="322">
        <f>IFERROR(IF(tblPiNAnalysis5[[#This Row],[Health]]="", "", MROUND(tblPiNAnalysis5[[#This Row],[Health]]/tblPiNAnalysis5[[#This Row],[Affected population projection 2026]], 0.05)), "")</f>
        <v>0.35000000000000003</v>
      </c>
      <c r="AB29" s="323">
        <f>IFERROR(IF(tblPiNAnalysis5[[#This Row],[Overarching Protection]]="", "", MROUND(tblPiNAnalysis5[[#This Row],[Overarching Protection]]/tblPiNAnalysis5[[#This Row],[Affected population projection 2026]], 0.05)), "")</f>
        <v>0.30000000000000004</v>
      </c>
      <c r="AC29" s="323">
        <f>IFERROR(IF(tblPiNAnalysis5[[#This Row],[Shelter]]="", "", MROUND(tblPiNAnalysis5[[#This Row],[Shelter]]/tblPiNAnalysis5[[#This Row],[Affected population projection 2026]], 0.05)), "")</f>
        <v>0.45</v>
      </c>
      <c r="AD29" s="324">
        <f>IFERROR(IF(tblPiNAnalysis5[[#This Row],[WASH]]="", "", MROUND(tblPiNAnalysis5[[#This Row],[WASH]]/tblPiNAnalysis5[[#This Row],[Affected population projection 2026]], 0.05)), "")</f>
        <v>0.55000000000000004</v>
      </c>
      <c r="AE29" s="322">
        <f>IFERROR(MROUND(tblPiNAnalysis5[[#This Row],[CP]]/tblPiNAnalysis5[[#This Row],[Affected population projection 2026]], 0.05), "")</f>
        <v>0</v>
      </c>
      <c r="AF29" s="322">
        <f>IFERROR(MROUND(tblPiNAnalysis5[[#This Row],[GBV]]/tblPiNAnalysis5[[#This Row],[Affected population projection 2026]], 0.05), "")</f>
        <v>0</v>
      </c>
      <c r="AG29" s="322">
        <f>IFERROR(MROUND(tblPiNAnalysis5[[#This Row],[Mine Action]]/tblPiNAnalysis5[[#This Row],[Affected population projection 2026]], 0.05), "")</f>
        <v>0</v>
      </c>
      <c r="AH29" s="322">
        <f>IFERROR(MROUND(tblPiNAnalysis5[[#This Row],[HLP]]/tblPiNAnalysis5[[#This Row],[Affected population projection 2026]], 0.05), "")</f>
        <v>0</v>
      </c>
      <c r="AI29" s="325">
        <f>IFERROR(LARGE(tblPiNAnalysis5[[#This Row],[CCCM]:[WASH]], 1), "")</f>
        <v>13782.559781384551</v>
      </c>
      <c r="AJ29" s="326" t="str" cm="1">
        <f t="array" ref="AJ29">IF(tblPiNAnalysis5[[#This Row],[Highest Target]]="", "", _xlfn.TEXTJOIN(CHAR(10), TRUE, IF(tblPiNAnalysis5[[#This Row],[Highest Target]]=tblPiNAnalysis5[[#This Row],[CCCM]:[WASH]], tblPiNAnalysis5[[#Headers],[CCCM]:[WASH]], "")))</f>
        <v>WASH</v>
      </c>
      <c r="AK29" s="327">
        <f>IF(tblPiNAnalysis5[[#This Row],[Highest Target]]="", "", tblPiNAnalysis5[[#This Row],[Highest Target]]/tblPiNAnalysis5[[#This Row],[Affected population projection 2026]])</f>
        <v>0.57484567901234551</v>
      </c>
      <c r="AL29" s="328" t="str">
        <f>IF(SUM(tblPiNAnalysis5[[#This Row],[CCCM]:[WASH]])=0, "",IF(COUNTIF(tblPiNAnalysis5[[#This Row],[CCCM]:[WASH]],"=0")+COUNTIF(tblPiNAnalysis5[[#This Row],[CCCM]:[WASH]],"")&gt;=zero_pin_thresh, "Flagged", ""))</f>
        <v/>
      </c>
      <c r="AM29" s="329" t="str">
        <f>IFERROR(IF(tblPiNAnalysis5[[#This Row],[Highest Target]]="", "", IF(tblPiNAnalysis5[[#This Row],[Highest sector(s'') Target %]]&gt;=flag_pin_perc, "Flagged", "")), "")</f>
        <v/>
      </c>
      <c r="AN29" s="330" t="str" cm="1">
        <f t="array" ref="AN29">IF(tblPiNAnalysis5[[#This Row],[Highest Target]]=0, "",  IF(OR(COUNTIF(tblPiNAnalysis5[[#This Row],[Highest sector(s)]],tblSubSectorPopulation[Sector])), "Flagged", ""))</f>
        <v/>
      </c>
      <c r="AO29" s="46" cm="1">
        <f t="array" ref="AO2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11543.774917353358</v>
      </c>
      <c r="AP29" s="331" t="str" cm="1">
        <f t="array" ref="AP29">IF(tblPiNAnalysis5[[#This Row],[2nd Highest Target]]="", "", _xlfn.TEXTJOIN(CHAR(10), TRUE, IF(tblPiNAnalysis5[[#This Row],[2nd Highest Target]]=tblPiNAnalysis5[[#This Row],[CCCM]:[WASH]], tblPiNAnalysis5[[#Headers],[CCCM]:[WASH]], "")))</f>
        <v>Food Security</v>
      </c>
      <c r="AQ29" s="36">
        <f>IFERROR(tblPiNAnalysis5[[#This Row],[2nd Highest Target]]/tblPiNAnalysis5[[#This Row],[Affected population projection 2026]], "")</f>
        <v>0.48147000528119999</v>
      </c>
      <c r="AR29" s="46">
        <f>IFERROR(tblPiNAnalysis5[[#This Row],[Highest Target]]-tblPiNAnalysis5[[#This Row],[2nd Highest Target]], "")</f>
        <v>2238.7848640311931</v>
      </c>
      <c r="AS29" s="39">
        <f>IFERROR(((tblPiNAnalysis5[[#This Row],[Highest Target]]-tblPiNAnalysis5[[#This Row],[2nd Highest Target]])/tblPiNAnalysis5[[#This Row],[2nd Highest Target]]),"")</f>
        <v>0.19393871416062569</v>
      </c>
      <c r="AT29" s="39" t="str" cm="1">
        <f t="array" ref="AT2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9" s="332" cm="1">
        <f t="array" ref="AU2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10380.810989294801</v>
      </c>
      <c r="AV29" s="190" t="str" cm="1">
        <f t="array" ref="AV29">IF(tblPiNAnalysis5[[#This Row],[3rd Highest Target]]="", "", _xlfn.TEXTJOIN(CHAR(10), TRUE, IF(tblPiNAnalysis5[[#This Row],[3rd Highest Target]]=tblPiNAnalysis5[[#This Row],[CCCM]:[WASH]], tblPiNAnalysis5[[#Headers],[CCCM]:[WASH]], "")))</f>
        <v>Shelter</v>
      </c>
      <c r="AW29" s="190">
        <f>IFERROR(tblPiNAnalysis5[[#This Row],[3rd Highest Target]]/tblPiNAnalysis5[[#This Row],[Affected population projection 2026]], "")</f>
        <v>0.43296488000000005</v>
      </c>
      <c r="AX29" s="45">
        <f>IFERROR(tblPiNAnalysis5[[#This Row],[Highest Target]]-tblPiNAnalysis5[[#This Row],[3rd Highest Target]],"")</f>
        <v>3401.7487920897493</v>
      </c>
      <c r="AY29" s="39">
        <f>IFERROR(tblPiNAnalysis5[[#This Row],[Difference of Target between Highest and 3rd Highest]]/tblPiNAnalysis5[[#This Row],[3rd Highest Target]], "")</f>
        <v>0.32769586071818457</v>
      </c>
      <c r="AZ29" s="330" t="str" cm="1">
        <f t="array" ref="AZ2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9" s="300" t="str" cm="1">
        <f t="array" ref="BA2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9" s="333" t="str" cm="1">
        <f t="array" ref="BB2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9" s="276" t="str" cm="1">
        <f t="array" ref="BC2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9" s="334" t="str" cm="1">
        <f t="array" ref="BD2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9" s="277" t="e">
        <f>INDEX(tblSeverityAnalysis[Final Severity], MATCH(tblPiNAnalysis5[[#This Row],[ID]],tblSeverityAnalysis[ID], 0))</f>
        <v>#N/A</v>
      </c>
      <c r="BF29" s="61" t="e">
        <f>IF(tblPiNAnalysis5[[#This Row],[Severity]]&gt;2,tblPiNAnalysis5[[#This Row],[Highest Target]],)</f>
        <v>#N/A</v>
      </c>
      <c r="BG29" s="191"/>
      <c r="BH29" s="192"/>
      <c r="BI29" s="193">
        <f>COUNTIFS(tblPiNAnalysis5[[#This Row],[Number of missing / zero PiNs greater than threshold - Data quality]:[Manual Flag]],"Flagged")</f>
        <v>0</v>
      </c>
      <c r="BJ29" s="96" t="str">
        <f>IF(tblPiNAnalysis5[[#This Row],['# Flags]]&gt;0, "Flagged", "")</f>
        <v/>
      </c>
      <c r="BK29" s="326" t="e">
        <f>tblPiNAnalysis5[[#This Row],[Preliminary Target]]</f>
        <v>#N/A</v>
      </c>
      <c r="BL29" s="331"/>
    </row>
    <row r="30" spans="1:64" x14ac:dyDescent="0.55000000000000004">
      <c r="A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0" s="316" t="s">
        <v>292</v>
      </c>
      <c r="C30" s="317" t="s">
        <v>293</v>
      </c>
      <c r="D30" s="317" t="s">
        <v>294</v>
      </c>
      <c r="E30" s="105" t="s">
        <v>295</v>
      </c>
      <c r="F30" s="100"/>
      <c r="G30" s="34"/>
      <c r="H30" s="34"/>
      <c r="I30" s="97">
        <v>48668.970941608946</v>
      </c>
      <c r="J30" s="97" t="s">
        <v>412</v>
      </c>
      <c r="K30" s="261">
        <v>11037</v>
      </c>
      <c r="L30" s="319">
        <v>4661.1611867479778</v>
      </c>
      <c r="M30" s="319">
        <v>8578.5652164320036</v>
      </c>
      <c r="N30" s="319">
        <v>8971.9261611893198</v>
      </c>
      <c r="O30" s="319">
        <v>8330.6904273708806</v>
      </c>
      <c r="P30" s="319">
        <v>1980.5878459956177</v>
      </c>
      <c r="Q30" s="229">
        <v>8542.6845257258938</v>
      </c>
      <c r="R30" s="319">
        <v>12167.242735402238</v>
      </c>
      <c r="S30" s="319"/>
      <c r="T30" s="319"/>
      <c r="U30" s="319"/>
      <c r="V30" s="319"/>
      <c r="W30" s="321">
        <f>IFERROR(IF(tblPiNAnalysis5[[#This Row],[CCCM]]="", "", MROUND(tblPiNAnalysis5[[#This Row],[CCCM]]/tblPiNAnalysis5[[#This Row],[Affected population projection 2026]], 0.05)), "")</f>
        <v>0.25</v>
      </c>
      <c r="X30" s="322">
        <f>IFERROR(IF(tblPiNAnalysis5[[#This Row],[Education]]="", "", MROUND(tblPiNAnalysis5[[#This Row],[Education]]/tblPiNAnalysis5[[#This Row],[Affected population projection 2026]], 0.05)), "")</f>
        <v>0.1</v>
      </c>
      <c r="Y30" s="322">
        <f>IFERROR(IF(tblPiNAnalysis5[[#This Row],[Nutrition]]="", "", MROUND(tblPiNAnalysis5[[#This Row],[Nutrition]]/tblPiNAnalysis5[[#This Row],[Affected population projection 2026]], 0.05)), "")</f>
        <v>0.2</v>
      </c>
      <c r="Z30" s="322">
        <f>IFERROR(IF(tblPiNAnalysis5[[#This Row],[Food Security]]="", "", MROUND(tblPiNAnalysis5[[#This Row],[Food Security]]/tblPiNAnalysis5[[#This Row],[Affected population projection 2026]], 0.05)), "")</f>
        <v>0.2</v>
      </c>
      <c r="AA30" s="322">
        <f>IFERROR(IF(tblPiNAnalysis5[[#This Row],[Health]]="", "", MROUND(tblPiNAnalysis5[[#This Row],[Health]]/tblPiNAnalysis5[[#This Row],[Affected population projection 2026]], 0.05)), "")</f>
        <v>0.15000000000000002</v>
      </c>
      <c r="AB30" s="323">
        <f>IFERROR(IF(tblPiNAnalysis5[[#This Row],[Overarching Protection]]="", "", MROUND(tblPiNAnalysis5[[#This Row],[Overarching Protection]]/tblPiNAnalysis5[[#This Row],[Affected population projection 2026]], 0.05)), "")</f>
        <v>0.05</v>
      </c>
      <c r="AC30" s="323">
        <f>IFERROR(IF(tblPiNAnalysis5[[#This Row],[Shelter]]="", "", MROUND(tblPiNAnalysis5[[#This Row],[Shelter]]/tblPiNAnalysis5[[#This Row],[Affected population projection 2026]], 0.05)), "")</f>
        <v>0.2</v>
      </c>
      <c r="AD30" s="324">
        <f>IFERROR(IF(tblPiNAnalysis5[[#This Row],[WASH]]="", "", MROUND(tblPiNAnalysis5[[#This Row],[WASH]]/tblPiNAnalysis5[[#This Row],[Affected population projection 2026]], 0.05)), "")</f>
        <v>0.25</v>
      </c>
      <c r="AE30" s="322">
        <f>IFERROR(MROUND(tblPiNAnalysis5[[#This Row],[CP]]/tblPiNAnalysis5[[#This Row],[Affected population projection 2026]], 0.05), "")</f>
        <v>0</v>
      </c>
      <c r="AF30" s="322">
        <f>IFERROR(MROUND(tblPiNAnalysis5[[#This Row],[GBV]]/tblPiNAnalysis5[[#This Row],[Affected population projection 2026]], 0.05), "")</f>
        <v>0</v>
      </c>
      <c r="AG30" s="322">
        <f>IFERROR(MROUND(tblPiNAnalysis5[[#This Row],[Mine Action]]/tblPiNAnalysis5[[#This Row],[Affected population projection 2026]], 0.05), "")</f>
        <v>0</v>
      </c>
      <c r="AH30" s="322">
        <f>IFERROR(MROUND(tblPiNAnalysis5[[#This Row],[HLP]]/tblPiNAnalysis5[[#This Row],[Affected population projection 2026]], 0.05), "")</f>
        <v>0</v>
      </c>
      <c r="AI30" s="325">
        <f>IFERROR(LARGE(tblPiNAnalysis5[[#This Row],[CCCM]:[WASH]], 1), "")</f>
        <v>12167.242735402238</v>
      </c>
      <c r="AJ30" s="326" t="str" cm="1">
        <f t="array" ref="AJ30">IF(tblPiNAnalysis5[[#This Row],[Highest Target]]="", "", _xlfn.TEXTJOIN(CHAR(10), TRUE, IF(tblPiNAnalysis5[[#This Row],[Highest Target]]=tblPiNAnalysis5[[#This Row],[CCCM]:[WASH]], tblPiNAnalysis5[[#Headers],[CCCM]:[WASH]], "")))</f>
        <v>WASH</v>
      </c>
      <c r="AK30" s="327">
        <f>IF(tblPiNAnalysis5[[#This Row],[Highest Target]]="", "", tblPiNAnalysis5[[#This Row],[Highest Target]]/tblPiNAnalysis5[[#This Row],[Affected population projection 2026]])</f>
        <v>0.25000000000000006</v>
      </c>
      <c r="AL30" s="328" t="str">
        <f>IF(SUM(tblPiNAnalysis5[[#This Row],[CCCM]:[WASH]])=0, "",IF(COUNTIF(tblPiNAnalysis5[[#This Row],[CCCM]:[WASH]],"=0")+COUNTIF(tblPiNAnalysis5[[#This Row],[CCCM]:[WASH]],"")&gt;=zero_pin_thresh, "Flagged", ""))</f>
        <v/>
      </c>
      <c r="AM30" s="329" t="str">
        <f>IFERROR(IF(tblPiNAnalysis5[[#This Row],[Highest Target]]="", "", IF(tblPiNAnalysis5[[#This Row],[Highest sector(s'') Target %]]&gt;=flag_pin_perc, "Flagged", "")), "")</f>
        <v/>
      </c>
      <c r="AN30" s="330" t="str" cm="1">
        <f t="array" ref="AN30">IF(tblPiNAnalysis5[[#This Row],[Highest Target]]=0, "",  IF(OR(COUNTIF(tblPiNAnalysis5[[#This Row],[Highest sector(s)]],tblSubSectorPopulation[Sector])), "Flagged", ""))</f>
        <v/>
      </c>
      <c r="AO30" s="46" cm="1">
        <f t="array" ref="AO3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11037</v>
      </c>
      <c r="AP30" s="331" t="str" cm="1">
        <f t="array" ref="AP30">IF(tblPiNAnalysis5[[#This Row],[2nd Highest Target]]="", "", _xlfn.TEXTJOIN(CHAR(10), TRUE, IF(tblPiNAnalysis5[[#This Row],[2nd Highest Target]]=tblPiNAnalysis5[[#This Row],[CCCM]:[WASH]], tblPiNAnalysis5[[#Headers],[CCCM]:[WASH]], "")))</f>
        <v>CCCM</v>
      </c>
      <c r="AQ30" s="36">
        <f>IFERROR(tblPiNAnalysis5[[#This Row],[2nd Highest Target]]/tblPiNAnalysis5[[#This Row],[Affected population projection 2026]], "")</f>
        <v>0.22677693377247987</v>
      </c>
      <c r="AR30" s="46">
        <f>IFERROR(tblPiNAnalysis5[[#This Row],[Highest Target]]-tblPiNAnalysis5[[#This Row],[2nd Highest Target]], "")</f>
        <v>1130.2427354022384</v>
      </c>
      <c r="AS30" s="39">
        <f>IFERROR(((tblPiNAnalysis5[[#This Row],[Highest Target]]-tblPiNAnalysis5[[#This Row],[2nd Highest Target]])/tblPiNAnalysis5[[#This Row],[2nd Highest Target]]),"")</f>
        <v>0.10240488678103093</v>
      </c>
      <c r="AT30" s="39" t="str" cm="1">
        <f t="array" ref="AT3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0" s="332" cm="1">
        <f t="array" ref="AU3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8971.9261611893198</v>
      </c>
      <c r="AV30" s="190" t="str" cm="1">
        <f t="array" ref="AV30">IF(tblPiNAnalysis5[[#This Row],[3rd Highest Target]]="", "", _xlfn.TEXTJOIN(CHAR(10), TRUE, IF(tblPiNAnalysis5[[#This Row],[3rd Highest Target]]=tblPiNAnalysis5[[#This Row],[CCCM]:[WASH]], tblPiNAnalysis5[[#Headers],[CCCM]:[WASH]], "")))</f>
        <v>Food Security</v>
      </c>
      <c r="AW30" s="190">
        <f>IFERROR(tblPiNAnalysis5[[#This Row],[3rd Highest Target]]/tblPiNAnalysis5[[#This Row],[Affected population projection 2026]], "")</f>
        <v>0.1843459187159201</v>
      </c>
      <c r="AX30" s="45">
        <f>IFERROR(tblPiNAnalysis5[[#This Row],[Highest Target]]-tblPiNAnalysis5[[#This Row],[3rd Highest Target]],"")</f>
        <v>3195.3165742129186</v>
      </c>
      <c r="AY30" s="39">
        <f>IFERROR(tblPiNAnalysis5[[#This Row],[Difference of Target between Highest and 3rd Highest]]/tblPiNAnalysis5[[#This Row],[3rd Highest Target]], "")</f>
        <v>0.35614610695696441</v>
      </c>
      <c r="AZ30" s="330" t="str" cm="1">
        <f t="array" ref="AZ3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0" s="300" t="str" cm="1">
        <f t="array" ref="BA3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0" s="333" t="str" cm="1">
        <f t="array" ref="BB3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30" s="276" t="str" cm="1">
        <f t="array" ref="BC3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0" s="334" t="str" cm="1">
        <f t="array" ref="BD3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30" s="277" t="e">
        <f>INDEX(tblSeverityAnalysis[Final Severity], MATCH(tblPiNAnalysis5[[#This Row],[ID]],tblSeverityAnalysis[ID], 0))</f>
        <v>#N/A</v>
      </c>
      <c r="BF30" s="61" t="e">
        <f>IF(tblPiNAnalysis5[[#This Row],[Severity]]&gt;2,tblPiNAnalysis5[[#This Row],[Highest Target]],)</f>
        <v>#N/A</v>
      </c>
      <c r="BG30" s="191"/>
      <c r="BH30" s="192"/>
      <c r="BI30" s="193">
        <f>COUNTIFS(tblPiNAnalysis5[[#This Row],[Number of missing / zero PiNs greater than threshold - Data quality]:[Manual Flag]],"Flagged")</f>
        <v>0</v>
      </c>
      <c r="BJ30" s="96" t="str">
        <f>IF(tblPiNAnalysis5[[#This Row],['# Flags]]&gt;0, "Flagged", "")</f>
        <v/>
      </c>
      <c r="BK30" s="326" t="e">
        <f>tblPiNAnalysis5[[#This Row],[Preliminary Target]]</f>
        <v>#N/A</v>
      </c>
      <c r="BL30" s="331"/>
    </row>
    <row r="31" spans="1:64" ht="110.7" x14ac:dyDescent="0.55000000000000004">
      <c r="A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1" s="316" t="s">
        <v>292</v>
      </c>
      <c r="C31" s="317" t="s">
        <v>293</v>
      </c>
      <c r="D31" s="317" t="s">
        <v>296</v>
      </c>
      <c r="E31" s="105" t="s">
        <v>297</v>
      </c>
      <c r="F31" s="100"/>
      <c r="G31" s="34"/>
      <c r="H31" s="34"/>
      <c r="I31" s="97">
        <v>5443.7472474147844</v>
      </c>
      <c r="J31" s="97" t="s">
        <v>412</v>
      </c>
      <c r="K31" s="261">
        <v>0</v>
      </c>
      <c r="L31" s="319">
        <v>0</v>
      </c>
      <c r="M31" s="319">
        <v>0</v>
      </c>
      <c r="N31" s="319">
        <v>0</v>
      </c>
      <c r="O31" s="319">
        <v>0</v>
      </c>
      <c r="P31" s="319">
        <v>0</v>
      </c>
      <c r="Q31" s="229">
        <v>0</v>
      </c>
      <c r="R31" s="319">
        <v>0</v>
      </c>
      <c r="S31" s="319"/>
      <c r="T31" s="319"/>
      <c r="U31" s="319"/>
      <c r="V31" s="319"/>
      <c r="W31" s="321">
        <f>IFERROR(IF(tblPiNAnalysis5[[#This Row],[CCCM]]="", "", MROUND(tblPiNAnalysis5[[#This Row],[CCCM]]/tblPiNAnalysis5[[#This Row],[Affected population projection 2026]], 0.05)), "")</f>
        <v>0</v>
      </c>
      <c r="X31" s="322">
        <f>IFERROR(IF(tblPiNAnalysis5[[#This Row],[Education]]="", "", MROUND(tblPiNAnalysis5[[#This Row],[Education]]/tblPiNAnalysis5[[#This Row],[Affected population projection 2026]], 0.05)), "")</f>
        <v>0</v>
      </c>
      <c r="Y31" s="322">
        <f>IFERROR(IF(tblPiNAnalysis5[[#This Row],[Nutrition]]="", "", MROUND(tblPiNAnalysis5[[#This Row],[Nutrition]]/tblPiNAnalysis5[[#This Row],[Affected population projection 2026]], 0.05)), "")</f>
        <v>0</v>
      </c>
      <c r="Z31" s="322">
        <f>IFERROR(IF(tblPiNAnalysis5[[#This Row],[Food Security]]="", "", MROUND(tblPiNAnalysis5[[#This Row],[Food Security]]/tblPiNAnalysis5[[#This Row],[Affected population projection 2026]], 0.05)), "")</f>
        <v>0</v>
      </c>
      <c r="AA31" s="322">
        <f>IFERROR(IF(tblPiNAnalysis5[[#This Row],[Health]]="", "", MROUND(tblPiNAnalysis5[[#This Row],[Health]]/tblPiNAnalysis5[[#This Row],[Affected population projection 2026]], 0.05)), "")</f>
        <v>0</v>
      </c>
      <c r="AB31" s="323">
        <f>IFERROR(IF(tblPiNAnalysis5[[#This Row],[Overarching Protection]]="", "", MROUND(tblPiNAnalysis5[[#This Row],[Overarching Protection]]/tblPiNAnalysis5[[#This Row],[Affected population projection 2026]], 0.05)), "")</f>
        <v>0</v>
      </c>
      <c r="AC31" s="323">
        <f>IFERROR(IF(tblPiNAnalysis5[[#This Row],[Shelter]]="", "", MROUND(tblPiNAnalysis5[[#This Row],[Shelter]]/tblPiNAnalysis5[[#This Row],[Affected population projection 2026]], 0.05)), "")</f>
        <v>0</v>
      </c>
      <c r="AD31" s="324">
        <f>IFERROR(IF(tblPiNAnalysis5[[#This Row],[WASH]]="", "", MROUND(tblPiNAnalysis5[[#This Row],[WASH]]/tblPiNAnalysis5[[#This Row],[Affected population projection 2026]], 0.05)), "")</f>
        <v>0</v>
      </c>
      <c r="AE31" s="322">
        <f>IFERROR(MROUND(tblPiNAnalysis5[[#This Row],[CP]]/tblPiNAnalysis5[[#This Row],[Affected population projection 2026]], 0.05), "")</f>
        <v>0</v>
      </c>
      <c r="AF31" s="322">
        <f>IFERROR(MROUND(tblPiNAnalysis5[[#This Row],[GBV]]/tblPiNAnalysis5[[#This Row],[Affected population projection 2026]], 0.05), "")</f>
        <v>0</v>
      </c>
      <c r="AG31" s="322">
        <f>IFERROR(MROUND(tblPiNAnalysis5[[#This Row],[Mine Action]]/tblPiNAnalysis5[[#This Row],[Affected population projection 2026]], 0.05), "")</f>
        <v>0</v>
      </c>
      <c r="AH31" s="322">
        <f>IFERROR(MROUND(tblPiNAnalysis5[[#This Row],[HLP]]/tblPiNAnalysis5[[#This Row],[Affected population projection 2026]], 0.05), "")</f>
        <v>0</v>
      </c>
      <c r="AI31" s="325">
        <f>IFERROR(LARGE(tblPiNAnalysis5[[#This Row],[CCCM]:[WASH]], 1), "")</f>
        <v>0</v>
      </c>
      <c r="AJ31" s="326" t="str" cm="1">
        <f t="array" ref="AJ31">IF(tblPiNAnalysis5[[#This Row],[Highest Target]]="", "", _xlfn.TEXTJOIN(CHAR(10), TRUE, IF(tblPiNAnalysis5[[#This Row],[Highest Target]]=tblPiNAnalysis5[[#This Row],[CCCM]:[WASH]], tblPiNAnalysis5[[#Headers],[CCCM]:[WASH]], "")))</f>
        <v>CCCM
Education
Nutrition
Food Security
Health
Overarching Protection
Shelter
WASH</v>
      </c>
      <c r="AK31" s="327">
        <f>IF(tblPiNAnalysis5[[#This Row],[Highest Target]]="", "", tblPiNAnalysis5[[#This Row],[Highest Target]]/tblPiNAnalysis5[[#This Row],[Affected population projection 2026]])</f>
        <v>0</v>
      </c>
      <c r="AL31" s="328" t="str">
        <f>IF(SUM(tblPiNAnalysis5[[#This Row],[CCCM]:[WASH]])=0, "",IF(COUNTIF(tblPiNAnalysis5[[#This Row],[CCCM]:[WASH]],"=0")+COUNTIF(tblPiNAnalysis5[[#This Row],[CCCM]:[WASH]],"")&gt;=zero_pin_thresh, "Flagged", ""))</f>
        <v/>
      </c>
      <c r="AM31" s="329" t="str">
        <f>IFERROR(IF(tblPiNAnalysis5[[#This Row],[Highest Target]]="", "", IF(tblPiNAnalysis5[[#This Row],[Highest sector(s'') Target %]]&gt;=flag_pin_perc, "Flagged", "")), "")</f>
        <v/>
      </c>
      <c r="AN31" s="330" t="str" cm="1">
        <f t="array" ref="AN31">IF(tblPiNAnalysis5[[#This Row],[Highest Target]]=0, "",  IF(OR(COUNTIF(tblPiNAnalysis5[[#This Row],[Highest sector(s)]],tblSubSectorPopulation[Sector])), "Flagged", ""))</f>
        <v/>
      </c>
      <c r="AO31" s="46" cm="1">
        <f t="array" ref="AO3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1" s="331" t="str" cm="1">
        <f t="array" ref="AP31">IF(tblPiNAnalysis5[[#This Row],[2nd Highest Target]]="", "", _xlfn.TEXTJOIN(CHAR(10), TRUE, IF(tblPiNAnalysis5[[#This Row],[2nd Highest Target]]=tblPiNAnalysis5[[#This Row],[CCCM]:[WASH]], tblPiNAnalysis5[[#Headers],[CCCM]:[WASH]], "")))</f>
        <v>CCCM
Education
Nutrition
Food Security
Health
Overarching Protection
Shelter
WASH</v>
      </c>
      <c r="AQ31" s="36">
        <f>IFERROR(tblPiNAnalysis5[[#This Row],[2nd Highest Target]]/tblPiNAnalysis5[[#This Row],[Affected population projection 2026]], "")</f>
        <v>0</v>
      </c>
      <c r="AR31" s="46">
        <f>IFERROR(tblPiNAnalysis5[[#This Row],[Highest Target]]-tblPiNAnalysis5[[#This Row],[2nd Highest Target]], "")</f>
        <v>0</v>
      </c>
      <c r="AS31" s="39" t="str">
        <f>IFERROR(((tblPiNAnalysis5[[#This Row],[Highest Target]]-tblPiNAnalysis5[[#This Row],[2nd Highest Target]])/tblPiNAnalysis5[[#This Row],[2nd Highest Target]]),"")</f>
        <v/>
      </c>
      <c r="AT31" s="39" t="str" cm="1">
        <f t="array" ref="AT3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1" s="332" cm="1">
        <f t="array" ref="AU3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1" s="190" t="str" cm="1">
        <f t="array" ref="AV31">IF(tblPiNAnalysis5[[#This Row],[3rd Highest Target]]="", "", _xlfn.TEXTJOIN(CHAR(10), TRUE, IF(tblPiNAnalysis5[[#This Row],[3rd Highest Target]]=tblPiNAnalysis5[[#This Row],[CCCM]:[WASH]], tblPiNAnalysis5[[#Headers],[CCCM]:[WASH]], "")))</f>
        <v>CCCM
Education
Nutrition
Food Security
Health
Overarching Protection
Shelter
WASH</v>
      </c>
      <c r="AW31" s="190">
        <f>IFERROR(tblPiNAnalysis5[[#This Row],[3rd Highest Target]]/tblPiNAnalysis5[[#This Row],[Affected population projection 2026]], "")</f>
        <v>0</v>
      </c>
      <c r="AX31" s="45">
        <f>IFERROR(tblPiNAnalysis5[[#This Row],[Highest Target]]-tblPiNAnalysis5[[#This Row],[3rd Highest Target]],"")</f>
        <v>0</v>
      </c>
      <c r="AY31" s="39" t="str">
        <f>IFERROR(tblPiNAnalysis5[[#This Row],[Difference of Target between Highest and 3rd Highest]]/tblPiNAnalysis5[[#This Row],[3rd Highest Target]], "")</f>
        <v/>
      </c>
      <c r="AZ31" s="330" t="str" cm="1">
        <f t="array" ref="AZ3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1" s="300" t="str" cm="1">
        <f t="array" ref="BA3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1" s="333" t="str" cm="1">
        <f t="array" ref="BB3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1" s="276" t="str" cm="1">
        <f t="array" ref="BC3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1" s="334" t="str" cm="1">
        <f t="array" ref="BD3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1" s="277" t="e">
        <f>INDEX(tblSeverityAnalysis[Final Severity], MATCH(tblPiNAnalysis5[[#This Row],[ID]],tblSeverityAnalysis[ID], 0))</f>
        <v>#N/A</v>
      </c>
      <c r="BF31" s="61" t="e">
        <f>IF(tblPiNAnalysis5[[#This Row],[Severity]]&gt;2,tblPiNAnalysis5[[#This Row],[Highest Target]],)</f>
        <v>#N/A</v>
      </c>
      <c r="BG31" s="191"/>
      <c r="BH31" s="192"/>
      <c r="BI31" s="193">
        <f>COUNTIFS(tblPiNAnalysis5[[#This Row],[Number of missing / zero PiNs greater than threshold - Data quality]:[Manual Flag]],"Flagged")</f>
        <v>2</v>
      </c>
      <c r="BJ31" s="96" t="str">
        <f>IF(tblPiNAnalysis5[[#This Row],['# Flags]]&gt;0, "Flagged", "")</f>
        <v>Flagged</v>
      </c>
      <c r="BK31" s="326" t="e">
        <f>tblPiNAnalysis5[[#This Row],[Preliminary Target]]</f>
        <v>#N/A</v>
      </c>
      <c r="BL31" s="331"/>
    </row>
    <row r="32" spans="1:64" ht="110.7" x14ac:dyDescent="0.55000000000000004">
      <c r="A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2" s="316" t="s">
        <v>292</v>
      </c>
      <c r="C32" s="317" t="s">
        <v>293</v>
      </c>
      <c r="D32" s="317" t="s">
        <v>298</v>
      </c>
      <c r="E32" s="105" t="s">
        <v>299</v>
      </c>
      <c r="F32" s="100"/>
      <c r="G32" s="34"/>
      <c r="H32" s="34"/>
      <c r="I32" s="97">
        <v>2921.2783873957369</v>
      </c>
      <c r="J32" s="97" t="s">
        <v>412</v>
      </c>
      <c r="K32" s="261">
        <v>0</v>
      </c>
      <c r="L32" s="319">
        <v>0</v>
      </c>
      <c r="M32" s="319">
        <v>0</v>
      </c>
      <c r="N32" s="319">
        <v>0</v>
      </c>
      <c r="O32" s="319">
        <v>0</v>
      </c>
      <c r="P32" s="319">
        <v>0</v>
      </c>
      <c r="Q32" s="229">
        <v>0</v>
      </c>
      <c r="R32" s="319">
        <v>0</v>
      </c>
      <c r="S32" s="319"/>
      <c r="T32" s="319"/>
      <c r="U32" s="319"/>
      <c r="V32" s="319"/>
      <c r="W32" s="321">
        <f>IFERROR(IF(tblPiNAnalysis5[[#This Row],[CCCM]]="", "", MROUND(tblPiNAnalysis5[[#This Row],[CCCM]]/tblPiNAnalysis5[[#This Row],[Affected population projection 2026]], 0.05)), "")</f>
        <v>0</v>
      </c>
      <c r="X32" s="322">
        <f>IFERROR(IF(tblPiNAnalysis5[[#This Row],[Education]]="", "", MROUND(tblPiNAnalysis5[[#This Row],[Education]]/tblPiNAnalysis5[[#This Row],[Affected population projection 2026]], 0.05)), "")</f>
        <v>0</v>
      </c>
      <c r="Y32" s="322">
        <f>IFERROR(IF(tblPiNAnalysis5[[#This Row],[Nutrition]]="", "", MROUND(tblPiNAnalysis5[[#This Row],[Nutrition]]/tblPiNAnalysis5[[#This Row],[Affected population projection 2026]], 0.05)), "")</f>
        <v>0</v>
      </c>
      <c r="Z32" s="322">
        <f>IFERROR(IF(tblPiNAnalysis5[[#This Row],[Food Security]]="", "", MROUND(tblPiNAnalysis5[[#This Row],[Food Security]]/tblPiNAnalysis5[[#This Row],[Affected population projection 2026]], 0.05)), "")</f>
        <v>0</v>
      </c>
      <c r="AA32" s="322">
        <f>IFERROR(IF(tblPiNAnalysis5[[#This Row],[Health]]="", "", MROUND(tblPiNAnalysis5[[#This Row],[Health]]/tblPiNAnalysis5[[#This Row],[Affected population projection 2026]], 0.05)), "")</f>
        <v>0</v>
      </c>
      <c r="AB32" s="323">
        <f>IFERROR(IF(tblPiNAnalysis5[[#This Row],[Overarching Protection]]="", "", MROUND(tblPiNAnalysis5[[#This Row],[Overarching Protection]]/tblPiNAnalysis5[[#This Row],[Affected population projection 2026]], 0.05)), "")</f>
        <v>0</v>
      </c>
      <c r="AC32" s="323">
        <f>IFERROR(IF(tblPiNAnalysis5[[#This Row],[Shelter]]="", "", MROUND(tblPiNAnalysis5[[#This Row],[Shelter]]/tblPiNAnalysis5[[#This Row],[Affected population projection 2026]], 0.05)), "")</f>
        <v>0</v>
      </c>
      <c r="AD32" s="324">
        <f>IFERROR(IF(tblPiNAnalysis5[[#This Row],[WASH]]="", "", MROUND(tblPiNAnalysis5[[#This Row],[WASH]]/tblPiNAnalysis5[[#This Row],[Affected population projection 2026]], 0.05)), "")</f>
        <v>0</v>
      </c>
      <c r="AE32" s="322">
        <f>IFERROR(MROUND(tblPiNAnalysis5[[#This Row],[CP]]/tblPiNAnalysis5[[#This Row],[Affected population projection 2026]], 0.05), "")</f>
        <v>0</v>
      </c>
      <c r="AF32" s="322">
        <f>IFERROR(MROUND(tblPiNAnalysis5[[#This Row],[GBV]]/tblPiNAnalysis5[[#This Row],[Affected population projection 2026]], 0.05), "")</f>
        <v>0</v>
      </c>
      <c r="AG32" s="322">
        <f>IFERROR(MROUND(tblPiNAnalysis5[[#This Row],[Mine Action]]/tblPiNAnalysis5[[#This Row],[Affected population projection 2026]], 0.05), "")</f>
        <v>0</v>
      </c>
      <c r="AH32" s="322">
        <f>IFERROR(MROUND(tblPiNAnalysis5[[#This Row],[HLP]]/tblPiNAnalysis5[[#This Row],[Affected population projection 2026]], 0.05), "")</f>
        <v>0</v>
      </c>
      <c r="AI32" s="325">
        <f>IFERROR(LARGE(tblPiNAnalysis5[[#This Row],[CCCM]:[WASH]], 1), "")</f>
        <v>0</v>
      </c>
      <c r="AJ32" s="326" t="str" cm="1">
        <f t="array" ref="AJ32">IF(tblPiNAnalysis5[[#This Row],[Highest Target]]="", "", _xlfn.TEXTJOIN(CHAR(10), TRUE, IF(tblPiNAnalysis5[[#This Row],[Highest Target]]=tblPiNAnalysis5[[#This Row],[CCCM]:[WASH]], tblPiNAnalysis5[[#Headers],[CCCM]:[WASH]], "")))</f>
        <v>CCCM
Education
Nutrition
Food Security
Health
Overarching Protection
Shelter
WASH</v>
      </c>
      <c r="AK32" s="327">
        <f>IF(tblPiNAnalysis5[[#This Row],[Highest Target]]="", "", tblPiNAnalysis5[[#This Row],[Highest Target]]/tblPiNAnalysis5[[#This Row],[Affected population projection 2026]])</f>
        <v>0</v>
      </c>
      <c r="AL32" s="328" t="str">
        <f>IF(SUM(tblPiNAnalysis5[[#This Row],[CCCM]:[WASH]])=0, "",IF(COUNTIF(tblPiNAnalysis5[[#This Row],[CCCM]:[WASH]],"=0")+COUNTIF(tblPiNAnalysis5[[#This Row],[CCCM]:[WASH]],"")&gt;=zero_pin_thresh, "Flagged", ""))</f>
        <v/>
      </c>
      <c r="AM32" s="329" t="str">
        <f>IFERROR(IF(tblPiNAnalysis5[[#This Row],[Highest Target]]="", "", IF(tblPiNAnalysis5[[#This Row],[Highest sector(s'') Target %]]&gt;=flag_pin_perc, "Flagged", "")), "")</f>
        <v/>
      </c>
      <c r="AN32" s="330" t="str" cm="1">
        <f t="array" ref="AN32">IF(tblPiNAnalysis5[[#This Row],[Highest Target]]=0, "",  IF(OR(COUNTIF(tblPiNAnalysis5[[#This Row],[Highest sector(s)]],tblSubSectorPopulation[Sector])), "Flagged", ""))</f>
        <v/>
      </c>
      <c r="AO32" s="46" cm="1">
        <f t="array" ref="AO3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2" s="331" t="str" cm="1">
        <f t="array" ref="AP32">IF(tblPiNAnalysis5[[#This Row],[2nd Highest Target]]="", "", _xlfn.TEXTJOIN(CHAR(10), TRUE, IF(tblPiNAnalysis5[[#This Row],[2nd Highest Target]]=tblPiNAnalysis5[[#This Row],[CCCM]:[WASH]], tblPiNAnalysis5[[#Headers],[CCCM]:[WASH]], "")))</f>
        <v>CCCM
Education
Nutrition
Food Security
Health
Overarching Protection
Shelter
WASH</v>
      </c>
      <c r="AQ32" s="36">
        <f>IFERROR(tblPiNAnalysis5[[#This Row],[2nd Highest Target]]/tblPiNAnalysis5[[#This Row],[Affected population projection 2026]], "")</f>
        <v>0</v>
      </c>
      <c r="AR32" s="46">
        <f>IFERROR(tblPiNAnalysis5[[#This Row],[Highest Target]]-tblPiNAnalysis5[[#This Row],[2nd Highest Target]], "")</f>
        <v>0</v>
      </c>
      <c r="AS32" s="39" t="str">
        <f>IFERROR(((tblPiNAnalysis5[[#This Row],[Highest Target]]-tblPiNAnalysis5[[#This Row],[2nd Highest Target]])/tblPiNAnalysis5[[#This Row],[2nd Highest Target]]),"")</f>
        <v/>
      </c>
      <c r="AT32" s="39" t="str" cm="1">
        <f t="array" ref="AT3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2" s="332" cm="1">
        <f t="array" ref="AU3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2" s="190" t="str" cm="1">
        <f t="array" ref="AV32">IF(tblPiNAnalysis5[[#This Row],[3rd Highest Target]]="", "", _xlfn.TEXTJOIN(CHAR(10), TRUE, IF(tblPiNAnalysis5[[#This Row],[3rd Highest Target]]=tblPiNAnalysis5[[#This Row],[CCCM]:[WASH]], tblPiNAnalysis5[[#Headers],[CCCM]:[WASH]], "")))</f>
        <v>CCCM
Education
Nutrition
Food Security
Health
Overarching Protection
Shelter
WASH</v>
      </c>
      <c r="AW32" s="190">
        <f>IFERROR(tblPiNAnalysis5[[#This Row],[3rd Highest Target]]/tblPiNAnalysis5[[#This Row],[Affected population projection 2026]], "")</f>
        <v>0</v>
      </c>
      <c r="AX32" s="45">
        <f>IFERROR(tblPiNAnalysis5[[#This Row],[Highest Target]]-tblPiNAnalysis5[[#This Row],[3rd Highest Target]],"")</f>
        <v>0</v>
      </c>
      <c r="AY32" s="39" t="str">
        <f>IFERROR(tblPiNAnalysis5[[#This Row],[Difference of Target between Highest and 3rd Highest]]/tblPiNAnalysis5[[#This Row],[3rd Highest Target]], "")</f>
        <v/>
      </c>
      <c r="AZ32" s="330" t="str" cm="1">
        <f t="array" ref="AZ3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2" s="300" t="str" cm="1">
        <f t="array" ref="BA3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2" s="333" t="str" cm="1">
        <f t="array" ref="BB3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2" s="276" t="str" cm="1">
        <f t="array" ref="BC3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2" s="334" t="str" cm="1">
        <f t="array" ref="BD3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2" s="277" t="e">
        <f>INDEX(tblSeverityAnalysis[Final Severity], MATCH(tblPiNAnalysis5[[#This Row],[ID]],tblSeverityAnalysis[ID], 0))</f>
        <v>#N/A</v>
      </c>
      <c r="BF32" s="61" t="e">
        <f>IF(tblPiNAnalysis5[[#This Row],[Severity]]&gt;2,tblPiNAnalysis5[[#This Row],[Highest Target]],)</f>
        <v>#N/A</v>
      </c>
      <c r="BG32" s="191"/>
      <c r="BH32" s="192"/>
      <c r="BI32" s="193">
        <f>COUNTIFS(tblPiNAnalysis5[[#This Row],[Number of missing / zero PiNs greater than threshold - Data quality]:[Manual Flag]],"Flagged")</f>
        <v>2</v>
      </c>
      <c r="BJ32" s="96" t="str">
        <f>IF(tblPiNAnalysis5[[#This Row],['# Flags]]&gt;0, "Flagged", "")</f>
        <v>Flagged</v>
      </c>
      <c r="BK32" s="326" t="e">
        <f>tblPiNAnalysis5[[#This Row],[Preliminary Target]]</f>
        <v>#N/A</v>
      </c>
      <c r="BL32" s="331"/>
    </row>
    <row r="33" spans="1:64" ht="110.7" x14ac:dyDescent="0.55000000000000004">
      <c r="A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3" s="316" t="s">
        <v>292</v>
      </c>
      <c r="C33" s="317" t="s">
        <v>293</v>
      </c>
      <c r="D33" s="317" t="s">
        <v>300</v>
      </c>
      <c r="E33" s="105" t="s">
        <v>301</v>
      </c>
      <c r="F33" s="100"/>
      <c r="G33" s="34"/>
      <c r="H33" s="34"/>
      <c r="I33" s="97">
        <v>6808.1234044964567</v>
      </c>
      <c r="J33" s="97" t="s">
        <v>412</v>
      </c>
      <c r="K33" s="261">
        <v>0</v>
      </c>
      <c r="L33" s="319">
        <v>0</v>
      </c>
      <c r="M33" s="319">
        <v>0</v>
      </c>
      <c r="N33" s="319">
        <v>0</v>
      </c>
      <c r="O33" s="319">
        <v>0</v>
      </c>
      <c r="P33" s="319">
        <v>0</v>
      </c>
      <c r="Q33" s="229">
        <v>0</v>
      </c>
      <c r="R33" s="319">
        <v>0</v>
      </c>
      <c r="S33" s="319"/>
      <c r="T33" s="319"/>
      <c r="U33" s="319"/>
      <c r="V33" s="319"/>
      <c r="W33" s="321">
        <f>IFERROR(IF(tblPiNAnalysis5[[#This Row],[CCCM]]="", "", MROUND(tblPiNAnalysis5[[#This Row],[CCCM]]/tblPiNAnalysis5[[#This Row],[Affected population projection 2026]], 0.05)), "")</f>
        <v>0</v>
      </c>
      <c r="X33" s="322">
        <f>IFERROR(IF(tblPiNAnalysis5[[#This Row],[Education]]="", "", MROUND(tblPiNAnalysis5[[#This Row],[Education]]/tblPiNAnalysis5[[#This Row],[Affected population projection 2026]], 0.05)), "")</f>
        <v>0</v>
      </c>
      <c r="Y33" s="322">
        <f>IFERROR(IF(tblPiNAnalysis5[[#This Row],[Nutrition]]="", "", MROUND(tblPiNAnalysis5[[#This Row],[Nutrition]]/tblPiNAnalysis5[[#This Row],[Affected population projection 2026]], 0.05)), "")</f>
        <v>0</v>
      </c>
      <c r="Z33" s="322">
        <f>IFERROR(IF(tblPiNAnalysis5[[#This Row],[Food Security]]="", "", MROUND(tblPiNAnalysis5[[#This Row],[Food Security]]/tblPiNAnalysis5[[#This Row],[Affected population projection 2026]], 0.05)), "")</f>
        <v>0</v>
      </c>
      <c r="AA33" s="322">
        <f>IFERROR(IF(tblPiNAnalysis5[[#This Row],[Health]]="", "", MROUND(tblPiNAnalysis5[[#This Row],[Health]]/tblPiNAnalysis5[[#This Row],[Affected population projection 2026]], 0.05)), "")</f>
        <v>0</v>
      </c>
      <c r="AB33" s="323">
        <f>IFERROR(IF(tblPiNAnalysis5[[#This Row],[Overarching Protection]]="", "", MROUND(tblPiNAnalysis5[[#This Row],[Overarching Protection]]/tblPiNAnalysis5[[#This Row],[Affected population projection 2026]], 0.05)), "")</f>
        <v>0</v>
      </c>
      <c r="AC33" s="323">
        <f>IFERROR(IF(tblPiNAnalysis5[[#This Row],[Shelter]]="", "", MROUND(tblPiNAnalysis5[[#This Row],[Shelter]]/tblPiNAnalysis5[[#This Row],[Affected population projection 2026]], 0.05)), "")</f>
        <v>0</v>
      </c>
      <c r="AD33" s="324">
        <f>IFERROR(IF(tblPiNAnalysis5[[#This Row],[WASH]]="", "", MROUND(tblPiNAnalysis5[[#This Row],[WASH]]/tblPiNAnalysis5[[#This Row],[Affected population projection 2026]], 0.05)), "")</f>
        <v>0</v>
      </c>
      <c r="AE33" s="322">
        <f>IFERROR(MROUND(tblPiNAnalysis5[[#This Row],[CP]]/tblPiNAnalysis5[[#This Row],[Affected population projection 2026]], 0.05), "")</f>
        <v>0</v>
      </c>
      <c r="AF33" s="322">
        <f>IFERROR(MROUND(tblPiNAnalysis5[[#This Row],[GBV]]/tblPiNAnalysis5[[#This Row],[Affected population projection 2026]], 0.05), "")</f>
        <v>0</v>
      </c>
      <c r="AG33" s="322">
        <f>IFERROR(MROUND(tblPiNAnalysis5[[#This Row],[Mine Action]]/tblPiNAnalysis5[[#This Row],[Affected population projection 2026]], 0.05), "")</f>
        <v>0</v>
      </c>
      <c r="AH33" s="322">
        <f>IFERROR(MROUND(tblPiNAnalysis5[[#This Row],[HLP]]/tblPiNAnalysis5[[#This Row],[Affected population projection 2026]], 0.05), "")</f>
        <v>0</v>
      </c>
      <c r="AI33" s="325">
        <f>IFERROR(LARGE(tblPiNAnalysis5[[#This Row],[CCCM]:[WASH]], 1), "")</f>
        <v>0</v>
      </c>
      <c r="AJ33" s="326" t="str" cm="1">
        <f t="array" ref="AJ33">IF(tblPiNAnalysis5[[#This Row],[Highest Target]]="", "", _xlfn.TEXTJOIN(CHAR(10), TRUE, IF(tblPiNAnalysis5[[#This Row],[Highest Target]]=tblPiNAnalysis5[[#This Row],[CCCM]:[WASH]], tblPiNAnalysis5[[#Headers],[CCCM]:[WASH]], "")))</f>
        <v>CCCM
Education
Nutrition
Food Security
Health
Overarching Protection
Shelter
WASH</v>
      </c>
      <c r="AK33" s="327">
        <f>IF(tblPiNAnalysis5[[#This Row],[Highest Target]]="", "", tblPiNAnalysis5[[#This Row],[Highest Target]]/tblPiNAnalysis5[[#This Row],[Affected population projection 2026]])</f>
        <v>0</v>
      </c>
      <c r="AL33" s="328" t="str">
        <f>IF(SUM(tblPiNAnalysis5[[#This Row],[CCCM]:[WASH]])=0, "",IF(COUNTIF(tblPiNAnalysis5[[#This Row],[CCCM]:[WASH]],"=0")+COUNTIF(tblPiNAnalysis5[[#This Row],[CCCM]:[WASH]],"")&gt;=zero_pin_thresh, "Flagged", ""))</f>
        <v/>
      </c>
      <c r="AM33" s="329" t="str">
        <f>IFERROR(IF(tblPiNAnalysis5[[#This Row],[Highest Target]]="", "", IF(tblPiNAnalysis5[[#This Row],[Highest sector(s'') Target %]]&gt;=flag_pin_perc, "Flagged", "")), "")</f>
        <v/>
      </c>
      <c r="AN33" s="330" t="str" cm="1">
        <f t="array" ref="AN33">IF(tblPiNAnalysis5[[#This Row],[Highest Target]]=0, "",  IF(OR(COUNTIF(tblPiNAnalysis5[[#This Row],[Highest sector(s)]],tblSubSectorPopulation[Sector])), "Flagged", ""))</f>
        <v/>
      </c>
      <c r="AO33" s="46" cm="1">
        <f t="array" ref="AO3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3" s="331" t="str" cm="1">
        <f t="array" ref="AP33">IF(tblPiNAnalysis5[[#This Row],[2nd Highest Target]]="", "", _xlfn.TEXTJOIN(CHAR(10), TRUE, IF(tblPiNAnalysis5[[#This Row],[2nd Highest Target]]=tblPiNAnalysis5[[#This Row],[CCCM]:[WASH]], tblPiNAnalysis5[[#Headers],[CCCM]:[WASH]], "")))</f>
        <v>CCCM
Education
Nutrition
Food Security
Health
Overarching Protection
Shelter
WASH</v>
      </c>
      <c r="AQ33" s="36">
        <f>IFERROR(tblPiNAnalysis5[[#This Row],[2nd Highest Target]]/tblPiNAnalysis5[[#This Row],[Affected population projection 2026]], "")</f>
        <v>0</v>
      </c>
      <c r="AR33" s="46">
        <f>IFERROR(tblPiNAnalysis5[[#This Row],[Highest Target]]-tblPiNAnalysis5[[#This Row],[2nd Highest Target]], "")</f>
        <v>0</v>
      </c>
      <c r="AS33" s="39" t="str">
        <f>IFERROR(((tblPiNAnalysis5[[#This Row],[Highest Target]]-tblPiNAnalysis5[[#This Row],[2nd Highest Target]])/tblPiNAnalysis5[[#This Row],[2nd Highest Target]]),"")</f>
        <v/>
      </c>
      <c r="AT33" s="39" t="str" cm="1">
        <f t="array" ref="AT3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3" s="332" cm="1">
        <f t="array" ref="AU3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3" s="190" t="str" cm="1">
        <f t="array" ref="AV33">IF(tblPiNAnalysis5[[#This Row],[3rd Highest Target]]="", "", _xlfn.TEXTJOIN(CHAR(10), TRUE, IF(tblPiNAnalysis5[[#This Row],[3rd Highest Target]]=tblPiNAnalysis5[[#This Row],[CCCM]:[WASH]], tblPiNAnalysis5[[#Headers],[CCCM]:[WASH]], "")))</f>
        <v>CCCM
Education
Nutrition
Food Security
Health
Overarching Protection
Shelter
WASH</v>
      </c>
      <c r="AW33" s="190">
        <f>IFERROR(tblPiNAnalysis5[[#This Row],[3rd Highest Target]]/tblPiNAnalysis5[[#This Row],[Affected population projection 2026]], "")</f>
        <v>0</v>
      </c>
      <c r="AX33" s="45">
        <f>IFERROR(tblPiNAnalysis5[[#This Row],[Highest Target]]-tblPiNAnalysis5[[#This Row],[3rd Highest Target]],"")</f>
        <v>0</v>
      </c>
      <c r="AY33" s="39" t="str">
        <f>IFERROR(tblPiNAnalysis5[[#This Row],[Difference of Target between Highest and 3rd Highest]]/tblPiNAnalysis5[[#This Row],[3rd Highest Target]], "")</f>
        <v/>
      </c>
      <c r="AZ33" s="330" t="str" cm="1">
        <f t="array" ref="AZ3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3" s="300" t="str" cm="1">
        <f t="array" ref="BA3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3" s="333" t="str" cm="1">
        <f t="array" ref="BB3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3" s="276" t="str" cm="1">
        <f t="array" ref="BC3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3" s="334" t="str" cm="1">
        <f t="array" ref="BD3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3" s="277" t="e">
        <f>INDEX(tblSeverityAnalysis[Final Severity], MATCH(tblPiNAnalysis5[[#This Row],[ID]],tblSeverityAnalysis[ID], 0))</f>
        <v>#N/A</v>
      </c>
      <c r="BF33" s="61" t="e">
        <f>IF(tblPiNAnalysis5[[#This Row],[Severity]]&gt;2,tblPiNAnalysis5[[#This Row],[Highest Target]],)</f>
        <v>#N/A</v>
      </c>
      <c r="BG33" s="191"/>
      <c r="BH33" s="192"/>
      <c r="BI33" s="193">
        <f>COUNTIFS(tblPiNAnalysis5[[#This Row],[Number of missing / zero PiNs greater than threshold - Data quality]:[Manual Flag]],"Flagged")</f>
        <v>2</v>
      </c>
      <c r="BJ33" s="96" t="str">
        <f>IF(tblPiNAnalysis5[[#This Row],['# Flags]]&gt;0, "Flagged", "")</f>
        <v>Flagged</v>
      </c>
      <c r="BK33" s="326" t="e">
        <f>tblPiNAnalysis5[[#This Row],[Preliminary Target]]</f>
        <v>#N/A</v>
      </c>
      <c r="BL33" s="331"/>
    </row>
    <row r="34" spans="1:64" x14ac:dyDescent="0.55000000000000004">
      <c r="A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4" s="316" t="s">
        <v>292</v>
      </c>
      <c r="C34" s="317" t="s">
        <v>293</v>
      </c>
      <c r="D34" s="317" t="s">
        <v>302</v>
      </c>
      <c r="E34" s="105" t="s">
        <v>303</v>
      </c>
      <c r="F34" s="100"/>
      <c r="G34" s="34"/>
      <c r="H34" s="34"/>
      <c r="I34" s="97">
        <v>23157.383024277355</v>
      </c>
      <c r="J34" s="97" t="s">
        <v>412</v>
      </c>
      <c r="K34" s="261">
        <v>0</v>
      </c>
      <c r="L34" s="319">
        <v>1574.3025807936915</v>
      </c>
      <c r="M34" s="319">
        <v>3094.1469526218193</v>
      </c>
      <c r="N34" s="319">
        <v>4598.6165526027526</v>
      </c>
      <c r="O34" s="319">
        <v>5563.2414144267368</v>
      </c>
      <c r="P34" s="319">
        <v>1354.5546786922209</v>
      </c>
      <c r="Q34" s="229">
        <v>0</v>
      </c>
      <c r="R34" s="319">
        <v>268.0252664846916</v>
      </c>
      <c r="S34" s="319"/>
      <c r="T34" s="319"/>
      <c r="U34" s="319"/>
      <c r="V34" s="319"/>
      <c r="W34" s="321">
        <f>IFERROR(IF(tblPiNAnalysis5[[#This Row],[CCCM]]="", "", MROUND(tblPiNAnalysis5[[#This Row],[CCCM]]/tblPiNAnalysis5[[#This Row],[Affected population projection 2026]], 0.05)), "")</f>
        <v>0</v>
      </c>
      <c r="X34" s="322">
        <f>IFERROR(IF(tblPiNAnalysis5[[#This Row],[Education]]="", "", MROUND(tblPiNAnalysis5[[#This Row],[Education]]/tblPiNAnalysis5[[#This Row],[Affected population projection 2026]], 0.05)), "")</f>
        <v>0.05</v>
      </c>
      <c r="Y34" s="322">
        <f>IFERROR(IF(tblPiNAnalysis5[[#This Row],[Nutrition]]="", "", MROUND(tblPiNAnalysis5[[#This Row],[Nutrition]]/tblPiNAnalysis5[[#This Row],[Affected population projection 2026]], 0.05)), "")</f>
        <v>0.15000000000000002</v>
      </c>
      <c r="Z34" s="322">
        <f>IFERROR(IF(tblPiNAnalysis5[[#This Row],[Food Security]]="", "", MROUND(tblPiNAnalysis5[[#This Row],[Food Security]]/tblPiNAnalysis5[[#This Row],[Affected population projection 2026]], 0.05)), "")</f>
        <v>0.2</v>
      </c>
      <c r="AA34" s="322">
        <f>IFERROR(IF(tblPiNAnalysis5[[#This Row],[Health]]="", "", MROUND(tblPiNAnalysis5[[#This Row],[Health]]/tblPiNAnalysis5[[#This Row],[Affected population projection 2026]], 0.05)), "")</f>
        <v>0.25</v>
      </c>
      <c r="AB34" s="323">
        <f>IFERROR(IF(tblPiNAnalysis5[[#This Row],[Overarching Protection]]="", "", MROUND(tblPiNAnalysis5[[#This Row],[Overarching Protection]]/tblPiNAnalysis5[[#This Row],[Affected population projection 2026]], 0.05)), "")</f>
        <v>0.05</v>
      </c>
      <c r="AC34" s="323">
        <f>IFERROR(IF(tblPiNAnalysis5[[#This Row],[Shelter]]="", "", MROUND(tblPiNAnalysis5[[#This Row],[Shelter]]/tblPiNAnalysis5[[#This Row],[Affected population projection 2026]], 0.05)), "")</f>
        <v>0</v>
      </c>
      <c r="AD34" s="324">
        <f>IFERROR(IF(tblPiNAnalysis5[[#This Row],[WASH]]="", "", MROUND(tblPiNAnalysis5[[#This Row],[WASH]]/tblPiNAnalysis5[[#This Row],[Affected population projection 2026]], 0.05)), "")</f>
        <v>0</v>
      </c>
      <c r="AE34" s="322">
        <f>IFERROR(MROUND(tblPiNAnalysis5[[#This Row],[CP]]/tblPiNAnalysis5[[#This Row],[Affected population projection 2026]], 0.05), "")</f>
        <v>0</v>
      </c>
      <c r="AF34" s="322">
        <f>IFERROR(MROUND(tblPiNAnalysis5[[#This Row],[GBV]]/tblPiNAnalysis5[[#This Row],[Affected population projection 2026]], 0.05), "")</f>
        <v>0</v>
      </c>
      <c r="AG34" s="322">
        <f>IFERROR(MROUND(tblPiNAnalysis5[[#This Row],[Mine Action]]/tblPiNAnalysis5[[#This Row],[Affected population projection 2026]], 0.05), "")</f>
        <v>0</v>
      </c>
      <c r="AH34" s="322">
        <f>IFERROR(MROUND(tblPiNAnalysis5[[#This Row],[HLP]]/tblPiNAnalysis5[[#This Row],[Affected population projection 2026]], 0.05), "")</f>
        <v>0</v>
      </c>
      <c r="AI34" s="325">
        <f>IFERROR(LARGE(tblPiNAnalysis5[[#This Row],[CCCM]:[WASH]], 1), "")</f>
        <v>5563.2414144267368</v>
      </c>
      <c r="AJ34" s="326" t="str" cm="1">
        <f t="array" ref="AJ34">IF(tblPiNAnalysis5[[#This Row],[Highest Target]]="", "", _xlfn.TEXTJOIN(CHAR(10), TRUE, IF(tblPiNAnalysis5[[#This Row],[Highest Target]]=tblPiNAnalysis5[[#This Row],[CCCM]:[WASH]], tblPiNAnalysis5[[#Headers],[CCCM]:[WASH]], "")))</f>
        <v>Health</v>
      </c>
      <c r="AK34" s="327">
        <f>IF(tblPiNAnalysis5[[#This Row],[Highest Target]]="", "", tblPiNAnalysis5[[#This Row],[Highest Target]]/tblPiNAnalysis5[[#This Row],[Affected population projection 2026]])</f>
        <v>0.2402361876812435</v>
      </c>
      <c r="AL34" s="328" t="str">
        <f>IF(SUM(tblPiNAnalysis5[[#This Row],[CCCM]:[WASH]])=0, "",IF(COUNTIF(tblPiNAnalysis5[[#This Row],[CCCM]:[WASH]],"=0")+COUNTIF(tblPiNAnalysis5[[#This Row],[CCCM]:[WASH]],"")&gt;=zero_pin_thresh, "Flagged", ""))</f>
        <v>Flagged</v>
      </c>
      <c r="AM34" s="329" t="str">
        <f>IFERROR(IF(tblPiNAnalysis5[[#This Row],[Highest Target]]="", "", IF(tblPiNAnalysis5[[#This Row],[Highest sector(s'') Target %]]&gt;=flag_pin_perc, "Flagged", "")), "")</f>
        <v/>
      </c>
      <c r="AN34" s="330" t="str" cm="1">
        <f t="array" ref="AN34">IF(tblPiNAnalysis5[[#This Row],[Highest Target]]=0, "",  IF(OR(COUNTIF(tblPiNAnalysis5[[#This Row],[Highest sector(s)]],tblSubSectorPopulation[Sector])), "Flagged", ""))</f>
        <v/>
      </c>
      <c r="AO34" s="46" cm="1">
        <f t="array" ref="AO3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4598.6165526027526</v>
      </c>
      <c r="AP34" s="331" t="str" cm="1">
        <f t="array" ref="AP34">IF(tblPiNAnalysis5[[#This Row],[2nd Highest Target]]="", "", _xlfn.TEXTJOIN(CHAR(10), TRUE, IF(tblPiNAnalysis5[[#This Row],[2nd Highest Target]]=tblPiNAnalysis5[[#This Row],[CCCM]:[WASH]], tblPiNAnalysis5[[#Headers],[CCCM]:[WASH]], "")))</f>
        <v>Food Security</v>
      </c>
      <c r="AQ34" s="36">
        <f>IFERROR(tblPiNAnalysis5[[#This Row],[2nd Highest Target]]/tblPiNAnalysis5[[#This Row],[Affected population projection 2026]], "")</f>
        <v>0.19858101184325236</v>
      </c>
      <c r="AR34" s="46">
        <f>IFERROR(tblPiNAnalysis5[[#This Row],[Highest Target]]-tblPiNAnalysis5[[#This Row],[2nd Highest Target]], "")</f>
        <v>964.62486182398425</v>
      </c>
      <c r="AS34" s="39">
        <f>IFERROR(((tblPiNAnalysis5[[#This Row],[Highest Target]]-tblPiNAnalysis5[[#This Row],[2nd Highest Target]])/tblPiNAnalysis5[[#This Row],[2nd Highest Target]]),"")</f>
        <v>0.2097641433656868</v>
      </c>
      <c r="AT34" s="39" t="str" cm="1">
        <f t="array" ref="AT3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4" s="332" cm="1">
        <f t="array" ref="AU3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3094.1469526218193</v>
      </c>
      <c r="AV34" s="190" t="str" cm="1">
        <f t="array" ref="AV34">IF(tblPiNAnalysis5[[#This Row],[3rd Highest Target]]="", "", _xlfn.TEXTJOIN(CHAR(10), TRUE, IF(tblPiNAnalysis5[[#This Row],[3rd Highest Target]]=tblPiNAnalysis5[[#This Row],[CCCM]:[WASH]], tblPiNAnalysis5[[#Headers],[CCCM]:[WASH]], "")))</f>
        <v>Nutrition</v>
      </c>
      <c r="AW34" s="190">
        <f>IFERROR(tblPiNAnalysis5[[#This Row],[3rd Highest Target]]/tblPiNAnalysis5[[#This Row],[Affected population projection 2026]], "")</f>
        <v>0.13361384355814424</v>
      </c>
      <c r="AX34" s="45">
        <f>IFERROR(tblPiNAnalysis5[[#This Row],[Highest Target]]-tblPiNAnalysis5[[#This Row],[3rd Highest Target]],"")</f>
        <v>2469.0944618049175</v>
      </c>
      <c r="AY34" s="39">
        <f>IFERROR(tblPiNAnalysis5[[#This Row],[Difference of Target between Highest and 3rd Highest]]/tblPiNAnalysis5[[#This Row],[3rd Highest Target]], "")</f>
        <v>0.79798875089392096</v>
      </c>
      <c r="AZ34" s="330" t="str" cm="1">
        <f t="array" ref="AZ3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34" s="300" t="str" cm="1">
        <f t="array" ref="BA3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4" s="333" t="str" cm="1">
        <f t="array" ref="BB3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4" s="276" t="str" cm="1">
        <f t="array" ref="BC3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4" s="334" t="str" cm="1">
        <f t="array" ref="BD3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34" s="277" t="e">
        <f>INDEX(tblSeverityAnalysis[Final Severity], MATCH(tblPiNAnalysis5[[#This Row],[ID]],tblSeverityAnalysis[ID], 0))</f>
        <v>#N/A</v>
      </c>
      <c r="BF34" s="61" t="e">
        <f>IF(tblPiNAnalysis5[[#This Row],[Severity]]&gt;2,tblPiNAnalysis5[[#This Row],[Highest Target]],)</f>
        <v>#N/A</v>
      </c>
      <c r="BG34" s="191"/>
      <c r="BH34" s="192"/>
      <c r="BI34" s="193">
        <f>COUNTIFS(tblPiNAnalysis5[[#This Row],[Number of missing / zero PiNs greater than threshold - Data quality]:[Manual Flag]],"Flagged")</f>
        <v>3</v>
      </c>
      <c r="BJ34" s="96" t="str">
        <f>IF(tblPiNAnalysis5[[#This Row],['# Flags]]&gt;0, "Flagged", "")</f>
        <v>Flagged</v>
      </c>
      <c r="BK34" s="326" t="e">
        <f>tblPiNAnalysis5[[#This Row],[Preliminary Target]]</f>
        <v>#N/A</v>
      </c>
      <c r="BL34" s="331"/>
    </row>
    <row r="35" spans="1:64" ht="110.7" x14ac:dyDescent="0.55000000000000004">
      <c r="A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5" s="316" t="s">
        <v>292</v>
      </c>
      <c r="C35" s="317" t="s">
        <v>293</v>
      </c>
      <c r="D35" s="317" t="s">
        <v>304</v>
      </c>
      <c r="E35" s="105" t="s">
        <v>305</v>
      </c>
      <c r="F35" s="100"/>
      <c r="G35" s="34"/>
      <c r="H35" s="34"/>
      <c r="I35" s="97">
        <v>9602.9953236523688</v>
      </c>
      <c r="J35" s="97" t="s">
        <v>412</v>
      </c>
      <c r="K35" s="261">
        <v>0</v>
      </c>
      <c r="L35" s="319">
        <v>0</v>
      </c>
      <c r="M35" s="319">
        <v>0</v>
      </c>
      <c r="N35" s="319">
        <v>0</v>
      </c>
      <c r="O35" s="319">
        <v>0</v>
      </c>
      <c r="P35" s="319">
        <v>0</v>
      </c>
      <c r="Q35" s="229">
        <v>0</v>
      </c>
      <c r="R35" s="319">
        <v>0</v>
      </c>
      <c r="S35" s="319"/>
      <c r="T35" s="319"/>
      <c r="U35" s="319"/>
      <c r="V35" s="319"/>
      <c r="W35" s="321">
        <f>IFERROR(IF(tblPiNAnalysis5[[#This Row],[CCCM]]="", "", MROUND(tblPiNAnalysis5[[#This Row],[CCCM]]/tblPiNAnalysis5[[#This Row],[Affected population projection 2026]], 0.05)), "")</f>
        <v>0</v>
      </c>
      <c r="X35" s="322">
        <f>IFERROR(IF(tblPiNAnalysis5[[#This Row],[Education]]="", "", MROUND(tblPiNAnalysis5[[#This Row],[Education]]/tblPiNAnalysis5[[#This Row],[Affected population projection 2026]], 0.05)), "")</f>
        <v>0</v>
      </c>
      <c r="Y35" s="322">
        <f>IFERROR(IF(tblPiNAnalysis5[[#This Row],[Nutrition]]="", "", MROUND(tblPiNAnalysis5[[#This Row],[Nutrition]]/tblPiNAnalysis5[[#This Row],[Affected population projection 2026]], 0.05)), "")</f>
        <v>0</v>
      </c>
      <c r="Z35" s="322">
        <f>IFERROR(IF(tblPiNAnalysis5[[#This Row],[Food Security]]="", "", MROUND(tblPiNAnalysis5[[#This Row],[Food Security]]/tblPiNAnalysis5[[#This Row],[Affected population projection 2026]], 0.05)), "")</f>
        <v>0</v>
      </c>
      <c r="AA35" s="322">
        <f>IFERROR(IF(tblPiNAnalysis5[[#This Row],[Health]]="", "", MROUND(tblPiNAnalysis5[[#This Row],[Health]]/tblPiNAnalysis5[[#This Row],[Affected population projection 2026]], 0.05)), "")</f>
        <v>0</v>
      </c>
      <c r="AB35" s="323">
        <f>IFERROR(IF(tblPiNAnalysis5[[#This Row],[Overarching Protection]]="", "", MROUND(tblPiNAnalysis5[[#This Row],[Overarching Protection]]/tblPiNAnalysis5[[#This Row],[Affected population projection 2026]], 0.05)), "")</f>
        <v>0</v>
      </c>
      <c r="AC35" s="323">
        <f>IFERROR(IF(tblPiNAnalysis5[[#This Row],[Shelter]]="", "", MROUND(tblPiNAnalysis5[[#This Row],[Shelter]]/tblPiNAnalysis5[[#This Row],[Affected population projection 2026]], 0.05)), "")</f>
        <v>0</v>
      </c>
      <c r="AD35" s="324">
        <f>IFERROR(IF(tblPiNAnalysis5[[#This Row],[WASH]]="", "", MROUND(tblPiNAnalysis5[[#This Row],[WASH]]/tblPiNAnalysis5[[#This Row],[Affected population projection 2026]], 0.05)), "")</f>
        <v>0</v>
      </c>
      <c r="AE35" s="322">
        <f>IFERROR(MROUND(tblPiNAnalysis5[[#This Row],[CP]]/tblPiNAnalysis5[[#This Row],[Affected population projection 2026]], 0.05), "")</f>
        <v>0</v>
      </c>
      <c r="AF35" s="322">
        <f>IFERROR(MROUND(tblPiNAnalysis5[[#This Row],[GBV]]/tblPiNAnalysis5[[#This Row],[Affected population projection 2026]], 0.05), "")</f>
        <v>0</v>
      </c>
      <c r="AG35" s="322">
        <f>IFERROR(MROUND(tblPiNAnalysis5[[#This Row],[Mine Action]]/tblPiNAnalysis5[[#This Row],[Affected population projection 2026]], 0.05), "")</f>
        <v>0</v>
      </c>
      <c r="AH35" s="322">
        <f>IFERROR(MROUND(tblPiNAnalysis5[[#This Row],[HLP]]/tblPiNAnalysis5[[#This Row],[Affected population projection 2026]], 0.05), "")</f>
        <v>0</v>
      </c>
      <c r="AI35" s="325">
        <f>IFERROR(LARGE(tblPiNAnalysis5[[#This Row],[CCCM]:[WASH]], 1), "")</f>
        <v>0</v>
      </c>
      <c r="AJ35" s="326" t="str" cm="1">
        <f t="array" ref="AJ35">IF(tblPiNAnalysis5[[#This Row],[Highest Target]]="", "", _xlfn.TEXTJOIN(CHAR(10), TRUE, IF(tblPiNAnalysis5[[#This Row],[Highest Target]]=tblPiNAnalysis5[[#This Row],[CCCM]:[WASH]], tblPiNAnalysis5[[#Headers],[CCCM]:[WASH]], "")))</f>
        <v>CCCM
Education
Nutrition
Food Security
Health
Overarching Protection
Shelter
WASH</v>
      </c>
      <c r="AK35" s="327">
        <f>IF(tblPiNAnalysis5[[#This Row],[Highest Target]]="", "", tblPiNAnalysis5[[#This Row],[Highest Target]]/tblPiNAnalysis5[[#This Row],[Affected population projection 2026]])</f>
        <v>0</v>
      </c>
      <c r="AL35" s="328" t="str">
        <f>IF(SUM(tblPiNAnalysis5[[#This Row],[CCCM]:[WASH]])=0, "",IF(COUNTIF(tblPiNAnalysis5[[#This Row],[CCCM]:[WASH]],"=0")+COUNTIF(tblPiNAnalysis5[[#This Row],[CCCM]:[WASH]],"")&gt;=zero_pin_thresh, "Flagged", ""))</f>
        <v/>
      </c>
      <c r="AM35" s="329" t="str">
        <f>IFERROR(IF(tblPiNAnalysis5[[#This Row],[Highest Target]]="", "", IF(tblPiNAnalysis5[[#This Row],[Highest sector(s'') Target %]]&gt;=flag_pin_perc, "Flagged", "")), "")</f>
        <v/>
      </c>
      <c r="AN35" s="330" t="str" cm="1">
        <f t="array" ref="AN35">IF(tblPiNAnalysis5[[#This Row],[Highest Target]]=0, "",  IF(OR(COUNTIF(tblPiNAnalysis5[[#This Row],[Highest sector(s)]],tblSubSectorPopulation[Sector])), "Flagged", ""))</f>
        <v/>
      </c>
      <c r="AO35" s="46" cm="1">
        <f t="array" ref="AO3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5" s="331" t="str" cm="1">
        <f t="array" ref="AP35">IF(tblPiNAnalysis5[[#This Row],[2nd Highest Target]]="", "", _xlfn.TEXTJOIN(CHAR(10), TRUE, IF(tblPiNAnalysis5[[#This Row],[2nd Highest Target]]=tblPiNAnalysis5[[#This Row],[CCCM]:[WASH]], tblPiNAnalysis5[[#Headers],[CCCM]:[WASH]], "")))</f>
        <v>CCCM
Education
Nutrition
Food Security
Health
Overarching Protection
Shelter
WASH</v>
      </c>
      <c r="AQ35" s="36">
        <f>IFERROR(tblPiNAnalysis5[[#This Row],[2nd Highest Target]]/tblPiNAnalysis5[[#This Row],[Affected population projection 2026]], "")</f>
        <v>0</v>
      </c>
      <c r="AR35" s="46">
        <f>IFERROR(tblPiNAnalysis5[[#This Row],[Highest Target]]-tblPiNAnalysis5[[#This Row],[2nd Highest Target]], "")</f>
        <v>0</v>
      </c>
      <c r="AS35" s="39" t="str">
        <f>IFERROR(((tblPiNAnalysis5[[#This Row],[Highest Target]]-tblPiNAnalysis5[[#This Row],[2nd Highest Target]])/tblPiNAnalysis5[[#This Row],[2nd Highest Target]]),"")</f>
        <v/>
      </c>
      <c r="AT35" s="39" t="str" cm="1">
        <f t="array" ref="AT3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5" s="332" cm="1">
        <f t="array" ref="AU3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5" s="190" t="str" cm="1">
        <f t="array" ref="AV35">IF(tblPiNAnalysis5[[#This Row],[3rd Highest Target]]="", "", _xlfn.TEXTJOIN(CHAR(10), TRUE, IF(tblPiNAnalysis5[[#This Row],[3rd Highest Target]]=tblPiNAnalysis5[[#This Row],[CCCM]:[WASH]], tblPiNAnalysis5[[#Headers],[CCCM]:[WASH]], "")))</f>
        <v>CCCM
Education
Nutrition
Food Security
Health
Overarching Protection
Shelter
WASH</v>
      </c>
      <c r="AW35" s="190">
        <f>IFERROR(tblPiNAnalysis5[[#This Row],[3rd Highest Target]]/tblPiNAnalysis5[[#This Row],[Affected population projection 2026]], "")</f>
        <v>0</v>
      </c>
      <c r="AX35" s="45">
        <f>IFERROR(tblPiNAnalysis5[[#This Row],[Highest Target]]-tblPiNAnalysis5[[#This Row],[3rd Highest Target]],"")</f>
        <v>0</v>
      </c>
      <c r="AY35" s="39" t="str">
        <f>IFERROR(tblPiNAnalysis5[[#This Row],[Difference of Target between Highest and 3rd Highest]]/tblPiNAnalysis5[[#This Row],[3rd Highest Target]], "")</f>
        <v/>
      </c>
      <c r="AZ35" s="330" t="str" cm="1">
        <f t="array" ref="AZ3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5" s="300" t="str" cm="1">
        <f t="array" ref="BA3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5" s="333" t="str" cm="1">
        <f t="array" ref="BB3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5" s="276" t="str" cm="1">
        <f t="array" ref="BC3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5" s="334" t="str" cm="1">
        <f t="array" ref="BD3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5" s="277" t="e">
        <f>INDEX(tblSeverityAnalysis[Final Severity], MATCH(tblPiNAnalysis5[[#This Row],[ID]],tblSeverityAnalysis[ID], 0))</f>
        <v>#N/A</v>
      </c>
      <c r="BF35" s="61" t="e">
        <f>IF(tblPiNAnalysis5[[#This Row],[Severity]]&gt;2,tblPiNAnalysis5[[#This Row],[Highest Target]],)</f>
        <v>#N/A</v>
      </c>
      <c r="BG35" s="191"/>
      <c r="BH35" s="192"/>
      <c r="BI35" s="193">
        <f>COUNTIFS(tblPiNAnalysis5[[#This Row],[Number of missing / zero PiNs greater than threshold - Data quality]:[Manual Flag]],"Flagged")</f>
        <v>2</v>
      </c>
      <c r="BJ35" s="96" t="str">
        <f>IF(tblPiNAnalysis5[[#This Row],['# Flags]]&gt;0, "Flagged", "")</f>
        <v>Flagged</v>
      </c>
      <c r="BK35" s="326" t="e">
        <f>tblPiNAnalysis5[[#This Row],[Preliminary Target]]</f>
        <v>#N/A</v>
      </c>
      <c r="BL35" s="331"/>
    </row>
    <row r="36" spans="1:64" ht="24.6" x14ac:dyDescent="0.55000000000000004">
      <c r="A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6" s="316" t="s">
        <v>292</v>
      </c>
      <c r="C36" s="317" t="s">
        <v>293</v>
      </c>
      <c r="D36" s="317" t="s">
        <v>306</v>
      </c>
      <c r="E36" s="105" t="s">
        <v>307</v>
      </c>
      <c r="F36" s="100"/>
      <c r="G36" s="34"/>
      <c r="H36" s="34"/>
      <c r="I36" s="97">
        <v>23378.692739825943</v>
      </c>
      <c r="J36" s="97" t="s">
        <v>412</v>
      </c>
      <c r="K36" s="261">
        <v>0</v>
      </c>
      <c r="L36" s="319">
        <v>974.01478627299832</v>
      </c>
      <c r="M36" s="319">
        <v>3168.0394872437519</v>
      </c>
      <c r="N36" s="319">
        <v>4906.4153662859817</v>
      </c>
      <c r="O36" s="319">
        <v>3151.2851478238817</v>
      </c>
      <c r="P36" s="319">
        <v>3372.647702589808</v>
      </c>
      <c r="Q36" s="229">
        <v>0</v>
      </c>
      <c r="R36" s="319">
        <v>3319.197117382696</v>
      </c>
      <c r="S36" s="319"/>
      <c r="T36" s="319"/>
      <c r="U36" s="319"/>
      <c r="V36" s="319"/>
      <c r="W36" s="321">
        <f>IFERROR(IF(tblPiNAnalysis5[[#This Row],[CCCM]]="", "", MROUND(tblPiNAnalysis5[[#This Row],[CCCM]]/tblPiNAnalysis5[[#This Row],[Affected population projection 2026]], 0.05)), "")</f>
        <v>0</v>
      </c>
      <c r="X36" s="322">
        <f>IFERROR(IF(tblPiNAnalysis5[[#This Row],[Education]]="", "", MROUND(tblPiNAnalysis5[[#This Row],[Education]]/tblPiNAnalysis5[[#This Row],[Affected population projection 2026]], 0.05)), "")</f>
        <v>0.05</v>
      </c>
      <c r="Y36" s="322">
        <f>IFERROR(IF(tblPiNAnalysis5[[#This Row],[Nutrition]]="", "", MROUND(tblPiNAnalysis5[[#This Row],[Nutrition]]/tblPiNAnalysis5[[#This Row],[Affected population projection 2026]], 0.05)), "")</f>
        <v>0.15000000000000002</v>
      </c>
      <c r="Z36" s="322">
        <f>IFERROR(IF(tblPiNAnalysis5[[#This Row],[Food Security]]="", "", MROUND(tblPiNAnalysis5[[#This Row],[Food Security]]/tblPiNAnalysis5[[#This Row],[Affected population projection 2026]], 0.05)), "")</f>
        <v>0.2</v>
      </c>
      <c r="AA36" s="322">
        <f>IFERROR(IF(tblPiNAnalysis5[[#This Row],[Health]]="", "", MROUND(tblPiNAnalysis5[[#This Row],[Health]]/tblPiNAnalysis5[[#This Row],[Affected population projection 2026]], 0.05)), "")</f>
        <v>0.15000000000000002</v>
      </c>
      <c r="AB36" s="323">
        <f>IFERROR(IF(tblPiNAnalysis5[[#This Row],[Overarching Protection]]="", "", MROUND(tblPiNAnalysis5[[#This Row],[Overarching Protection]]/tblPiNAnalysis5[[#This Row],[Affected population projection 2026]], 0.05)), "")</f>
        <v>0.15000000000000002</v>
      </c>
      <c r="AC36" s="323">
        <f>IFERROR(IF(tblPiNAnalysis5[[#This Row],[Shelter]]="", "", MROUND(tblPiNAnalysis5[[#This Row],[Shelter]]/tblPiNAnalysis5[[#This Row],[Affected population projection 2026]], 0.05)), "")</f>
        <v>0</v>
      </c>
      <c r="AD36" s="324">
        <f>IFERROR(IF(tblPiNAnalysis5[[#This Row],[WASH]]="", "", MROUND(tblPiNAnalysis5[[#This Row],[WASH]]/tblPiNAnalysis5[[#This Row],[Affected population projection 2026]], 0.05)), "")</f>
        <v>0.15000000000000002</v>
      </c>
      <c r="AE36" s="322">
        <f>IFERROR(MROUND(tblPiNAnalysis5[[#This Row],[CP]]/tblPiNAnalysis5[[#This Row],[Affected population projection 2026]], 0.05), "")</f>
        <v>0</v>
      </c>
      <c r="AF36" s="322">
        <f>IFERROR(MROUND(tblPiNAnalysis5[[#This Row],[GBV]]/tblPiNAnalysis5[[#This Row],[Affected population projection 2026]], 0.05), "")</f>
        <v>0</v>
      </c>
      <c r="AG36" s="322">
        <f>IFERROR(MROUND(tblPiNAnalysis5[[#This Row],[Mine Action]]/tblPiNAnalysis5[[#This Row],[Affected population projection 2026]], 0.05), "")</f>
        <v>0</v>
      </c>
      <c r="AH36" s="322">
        <f>IFERROR(MROUND(tblPiNAnalysis5[[#This Row],[HLP]]/tblPiNAnalysis5[[#This Row],[Affected population projection 2026]], 0.05), "")</f>
        <v>0</v>
      </c>
      <c r="AI36" s="325">
        <f>IFERROR(LARGE(tblPiNAnalysis5[[#This Row],[CCCM]:[WASH]], 1), "")</f>
        <v>4906.4153662859817</v>
      </c>
      <c r="AJ36" s="326" t="str" cm="1">
        <f t="array" ref="AJ36">IF(tblPiNAnalysis5[[#This Row],[Highest Target]]="", "", _xlfn.TEXTJOIN(CHAR(10), TRUE, IF(tblPiNAnalysis5[[#This Row],[Highest Target]]=tblPiNAnalysis5[[#This Row],[CCCM]:[WASH]], tblPiNAnalysis5[[#Headers],[CCCM]:[WASH]], "")))</f>
        <v>Food Security</v>
      </c>
      <c r="AK36" s="327">
        <f>IF(tblPiNAnalysis5[[#This Row],[Highest Target]]="", "", tblPiNAnalysis5[[#This Row],[Highest Target]]/tblPiNAnalysis5[[#This Row],[Affected population projection 2026]])</f>
        <v>0.20986696822135961</v>
      </c>
      <c r="AL36" s="328" t="str">
        <f>IF(SUM(tblPiNAnalysis5[[#This Row],[CCCM]:[WASH]])=0, "",IF(COUNTIF(tblPiNAnalysis5[[#This Row],[CCCM]:[WASH]],"=0")+COUNTIF(tblPiNAnalysis5[[#This Row],[CCCM]:[WASH]],"")&gt;=zero_pin_thresh, "Flagged", ""))</f>
        <v>Flagged</v>
      </c>
      <c r="AM36" s="329" t="str">
        <f>IFERROR(IF(tblPiNAnalysis5[[#This Row],[Highest Target]]="", "", IF(tblPiNAnalysis5[[#This Row],[Highest sector(s'') Target %]]&gt;=flag_pin_perc, "Flagged", "")), "")</f>
        <v/>
      </c>
      <c r="AN36" s="330" t="str" cm="1">
        <f t="array" ref="AN36">IF(tblPiNAnalysis5[[#This Row],[Highest Target]]=0, "",  IF(OR(COUNTIF(tblPiNAnalysis5[[#This Row],[Highest sector(s)]],tblSubSectorPopulation[Sector])), "Flagged", ""))</f>
        <v/>
      </c>
      <c r="AO36" s="46" cm="1">
        <f t="array" ref="AO3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3372.647702589808</v>
      </c>
      <c r="AP36" s="331" t="str" cm="1">
        <f t="array" ref="AP36">IF(tblPiNAnalysis5[[#This Row],[2nd Highest Target]]="", "", _xlfn.TEXTJOIN(CHAR(10), TRUE, IF(tblPiNAnalysis5[[#This Row],[2nd Highest Target]]=tblPiNAnalysis5[[#This Row],[CCCM]:[WASH]], tblPiNAnalysis5[[#Headers],[CCCM]:[WASH]], "")))</f>
        <v>Overarching Protection</v>
      </c>
      <c r="AQ36" s="36">
        <f>IFERROR(tblPiNAnalysis5[[#This Row],[2nd Highest Target]]/tblPiNAnalysis5[[#This Row],[Affected population projection 2026]], "")</f>
        <v>0.14426160350892733</v>
      </c>
      <c r="AR36" s="46">
        <f>IFERROR(tblPiNAnalysis5[[#This Row],[Highest Target]]-tblPiNAnalysis5[[#This Row],[2nd Highest Target]], "")</f>
        <v>1533.7676636961737</v>
      </c>
      <c r="AS36" s="39">
        <f>IFERROR(((tblPiNAnalysis5[[#This Row],[Highest Target]]-tblPiNAnalysis5[[#This Row],[2nd Highest Target]])/tblPiNAnalysis5[[#This Row],[2nd Highest Target]]),"")</f>
        <v>0.45476664002540657</v>
      </c>
      <c r="AT36" s="39" t="str" cm="1">
        <f t="array" ref="AT3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36" s="332" cm="1">
        <f t="array" ref="AU3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3319.197117382696</v>
      </c>
      <c r="AV36" s="190" t="str" cm="1">
        <f t="array" ref="AV36">IF(tblPiNAnalysis5[[#This Row],[3rd Highest Target]]="", "", _xlfn.TEXTJOIN(CHAR(10), TRUE, IF(tblPiNAnalysis5[[#This Row],[3rd Highest Target]]=tblPiNAnalysis5[[#This Row],[CCCM]:[WASH]], tblPiNAnalysis5[[#Headers],[CCCM]:[WASH]], "")))</f>
        <v>WASH</v>
      </c>
      <c r="AW36" s="190">
        <f>IFERROR(tblPiNAnalysis5[[#This Row],[3rd Highest Target]]/tblPiNAnalysis5[[#This Row],[Affected population projection 2026]], "")</f>
        <v>0.14197530864197533</v>
      </c>
      <c r="AX36" s="45">
        <f>IFERROR(tblPiNAnalysis5[[#This Row],[Highest Target]]-tblPiNAnalysis5[[#This Row],[3rd Highest Target]],"")</f>
        <v>1587.2182489032857</v>
      </c>
      <c r="AY36" s="39">
        <f>IFERROR(tblPiNAnalysis5[[#This Row],[Difference of Target between Highest and 3rd Highest]]/tblPiNAnalysis5[[#This Row],[3rd Highest Target]], "")</f>
        <v>0.4781934283417501</v>
      </c>
      <c r="AZ36" s="330" t="str" cm="1">
        <f t="array" ref="AZ3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6" s="300" t="str" cm="1">
        <f t="array" ref="BA3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6" s="333" t="str" cm="1">
        <f t="array" ref="BB3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36" s="276" t="str" cm="1">
        <f t="array" ref="BC3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6" s="334" t="str" cm="1">
        <f t="array" ref="BD3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36" s="277" t="e">
        <f>INDEX(tblSeverityAnalysis[Final Severity], MATCH(tblPiNAnalysis5[[#This Row],[ID]],tblSeverityAnalysis[ID], 0))</f>
        <v>#N/A</v>
      </c>
      <c r="BF36" s="61" t="e">
        <f>IF(tblPiNAnalysis5[[#This Row],[Severity]]&gt;2,tblPiNAnalysis5[[#This Row],[Highest Target]],)</f>
        <v>#N/A</v>
      </c>
      <c r="BG36" s="191"/>
      <c r="BH36" s="192"/>
      <c r="BI36" s="193">
        <f>COUNTIFS(tblPiNAnalysis5[[#This Row],[Number of missing / zero PiNs greater than threshold - Data quality]:[Manual Flag]],"Flagged")</f>
        <v>2</v>
      </c>
      <c r="BJ36" s="96" t="str">
        <f>IF(tblPiNAnalysis5[[#This Row],['# Flags]]&gt;0, "Flagged", "")</f>
        <v>Flagged</v>
      </c>
      <c r="BK36" s="326" t="e">
        <f>tblPiNAnalysis5[[#This Row],[Preliminary Target]]</f>
        <v>#N/A</v>
      </c>
      <c r="BL36" s="331"/>
    </row>
    <row r="37" spans="1:64" ht="110.7" x14ac:dyDescent="0.55000000000000004">
      <c r="A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7" s="316" t="s">
        <v>292</v>
      </c>
      <c r="C37" s="317" t="s">
        <v>293</v>
      </c>
      <c r="D37" s="317" t="s">
        <v>308</v>
      </c>
      <c r="E37" s="105" t="s">
        <v>309</v>
      </c>
      <c r="F37" s="100"/>
      <c r="G37" s="34"/>
      <c r="H37" s="34"/>
      <c r="I37" s="97">
        <v>11657.898587687116</v>
      </c>
      <c r="J37" s="97" t="s">
        <v>412</v>
      </c>
      <c r="K37" s="261">
        <v>0</v>
      </c>
      <c r="L37" s="319">
        <v>0</v>
      </c>
      <c r="M37" s="319">
        <v>0</v>
      </c>
      <c r="N37" s="319">
        <v>0</v>
      </c>
      <c r="O37" s="319">
        <v>0</v>
      </c>
      <c r="P37" s="319">
        <v>0</v>
      </c>
      <c r="Q37" s="229">
        <v>0</v>
      </c>
      <c r="R37" s="319">
        <v>0</v>
      </c>
      <c r="S37" s="319"/>
      <c r="T37" s="319"/>
      <c r="U37" s="319"/>
      <c r="V37" s="319"/>
      <c r="W37" s="321">
        <f>IFERROR(IF(tblPiNAnalysis5[[#This Row],[CCCM]]="", "", MROUND(tblPiNAnalysis5[[#This Row],[CCCM]]/tblPiNAnalysis5[[#This Row],[Affected population projection 2026]], 0.05)), "")</f>
        <v>0</v>
      </c>
      <c r="X37" s="322">
        <f>IFERROR(IF(tblPiNAnalysis5[[#This Row],[Education]]="", "", MROUND(tblPiNAnalysis5[[#This Row],[Education]]/tblPiNAnalysis5[[#This Row],[Affected population projection 2026]], 0.05)), "")</f>
        <v>0</v>
      </c>
      <c r="Y37" s="322">
        <f>IFERROR(IF(tblPiNAnalysis5[[#This Row],[Nutrition]]="", "", MROUND(tblPiNAnalysis5[[#This Row],[Nutrition]]/tblPiNAnalysis5[[#This Row],[Affected population projection 2026]], 0.05)), "")</f>
        <v>0</v>
      </c>
      <c r="Z37" s="322">
        <f>IFERROR(IF(tblPiNAnalysis5[[#This Row],[Food Security]]="", "", MROUND(tblPiNAnalysis5[[#This Row],[Food Security]]/tblPiNAnalysis5[[#This Row],[Affected population projection 2026]], 0.05)), "")</f>
        <v>0</v>
      </c>
      <c r="AA37" s="322">
        <f>IFERROR(IF(tblPiNAnalysis5[[#This Row],[Health]]="", "", MROUND(tblPiNAnalysis5[[#This Row],[Health]]/tblPiNAnalysis5[[#This Row],[Affected population projection 2026]], 0.05)), "")</f>
        <v>0</v>
      </c>
      <c r="AB37" s="323">
        <f>IFERROR(IF(tblPiNAnalysis5[[#This Row],[Overarching Protection]]="", "", MROUND(tblPiNAnalysis5[[#This Row],[Overarching Protection]]/tblPiNAnalysis5[[#This Row],[Affected population projection 2026]], 0.05)), "")</f>
        <v>0</v>
      </c>
      <c r="AC37" s="323">
        <f>IFERROR(IF(tblPiNAnalysis5[[#This Row],[Shelter]]="", "", MROUND(tblPiNAnalysis5[[#This Row],[Shelter]]/tblPiNAnalysis5[[#This Row],[Affected population projection 2026]], 0.05)), "")</f>
        <v>0</v>
      </c>
      <c r="AD37" s="324">
        <f>IFERROR(IF(tblPiNAnalysis5[[#This Row],[WASH]]="", "", MROUND(tblPiNAnalysis5[[#This Row],[WASH]]/tblPiNAnalysis5[[#This Row],[Affected population projection 2026]], 0.05)), "")</f>
        <v>0</v>
      </c>
      <c r="AE37" s="322">
        <f>IFERROR(MROUND(tblPiNAnalysis5[[#This Row],[CP]]/tblPiNAnalysis5[[#This Row],[Affected population projection 2026]], 0.05), "")</f>
        <v>0</v>
      </c>
      <c r="AF37" s="322">
        <f>IFERROR(MROUND(tblPiNAnalysis5[[#This Row],[GBV]]/tblPiNAnalysis5[[#This Row],[Affected population projection 2026]], 0.05), "")</f>
        <v>0</v>
      </c>
      <c r="AG37" s="322">
        <f>IFERROR(MROUND(tblPiNAnalysis5[[#This Row],[Mine Action]]/tblPiNAnalysis5[[#This Row],[Affected population projection 2026]], 0.05), "")</f>
        <v>0</v>
      </c>
      <c r="AH37" s="322">
        <f>IFERROR(MROUND(tblPiNAnalysis5[[#This Row],[HLP]]/tblPiNAnalysis5[[#This Row],[Affected population projection 2026]], 0.05), "")</f>
        <v>0</v>
      </c>
      <c r="AI37" s="325">
        <f>IFERROR(LARGE(tblPiNAnalysis5[[#This Row],[CCCM]:[WASH]], 1), "")</f>
        <v>0</v>
      </c>
      <c r="AJ37" s="326" t="str" cm="1">
        <f t="array" ref="AJ37">IF(tblPiNAnalysis5[[#This Row],[Highest Target]]="", "", _xlfn.TEXTJOIN(CHAR(10), TRUE, IF(tblPiNAnalysis5[[#This Row],[Highest Target]]=tblPiNAnalysis5[[#This Row],[CCCM]:[WASH]], tblPiNAnalysis5[[#Headers],[CCCM]:[WASH]], "")))</f>
        <v>CCCM
Education
Nutrition
Food Security
Health
Overarching Protection
Shelter
WASH</v>
      </c>
      <c r="AK37" s="327">
        <f>IF(tblPiNAnalysis5[[#This Row],[Highest Target]]="", "", tblPiNAnalysis5[[#This Row],[Highest Target]]/tblPiNAnalysis5[[#This Row],[Affected population projection 2026]])</f>
        <v>0</v>
      </c>
      <c r="AL37" s="328" t="str">
        <f>IF(SUM(tblPiNAnalysis5[[#This Row],[CCCM]:[WASH]])=0, "",IF(COUNTIF(tblPiNAnalysis5[[#This Row],[CCCM]:[WASH]],"=0")+COUNTIF(tblPiNAnalysis5[[#This Row],[CCCM]:[WASH]],"")&gt;=zero_pin_thresh, "Flagged", ""))</f>
        <v/>
      </c>
      <c r="AM37" s="329" t="str">
        <f>IFERROR(IF(tblPiNAnalysis5[[#This Row],[Highest Target]]="", "", IF(tblPiNAnalysis5[[#This Row],[Highest sector(s'') Target %]]&gt;=flag_pin_perc, "Flagged", "")), "")</f>
        <v/>
      </c>
      <c r="AN37" s="330" t="str" cm="1">
        <f t="array" ref="AN37">IF(tblPiNAnalysis5[[#This Row],[Highest Target]]=0, "",  IF(OR(COUNTIF(tblPiNAnalysis5[[#This Row],[Highest sector(s)]],tblSubSectorPopulation[Sector])), "Flagged", ""))</f>
        <v/>
      </c>
      <c r="AO37" s="46" cm="1">
        <f t="array" ref="AO3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7" s="331" t="str" cm="1">
        <f t="array" ref="AP37">IF(tblPiNAnalysis5[[#This Row],[2nd Highest Target]]="", "", _xlfn.TEXTJOIN(CHAR(10), TRUE, IF(tblPiNAnalysis5[[#This Row],[2nd Highest Target]]=tblPiNAnalysis5[[#This Row],[CCCM]:[WASH]], tblPiNAnalysis5[[#Headers],[CCCM]:[WASH]], "")))</f>
        <v>CCCM
Education
Nutrition
Food Security
Health
Overarching Protection
Shelter
WASH</v>
      </c>
      <c r="AQ37" s="36">
        <f>IFERROR(tblPiNAnalysis5[[#This Row],[2nd Highest Target]]/tblPiNAnalysis5[[#This Row],[Affected population projection 2026]], "")</f>
        <v>0</v>
      </c>
      <c r="AR37" s="46">
        <f>IFERROR(tblPiNAnalysis5[[#This Row],[Highest Target]]-tblPiNAnalysis5[[#This Row],[2nd Highest Target]], "")</f>
        <v>0</v>
      </c>
      <c r="AS37" s="39" t="str">
        <f>IFERROR(((tblPiNAnalysis5[[#This Row],[Highest Target]]-tblPiNAnalysis5[[#This Row],[2nd Highest Target]])/tblPiNAnalysis5[[#This Row],[2nd Highest Target]]),"")</f>
        <v/>
      </c>
      <c r="AT37" s="39" t="str" cm="1">
        <f t="array" ref="AT3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7" s="332" cm="1">
        <f t="array" ref="AU3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7" s="190" t="str" cm="1">
        <f t="array" ref="AV37">IF(tblPiNAnalysis5[[#This Row],[3rd Highest Target]]="", "", _xlfn.TEXTJOIN(CHAR(10), TRUE, IF(tblPiNAnalysis5[[#This Row],[3rd Highest Target]]=tblPiNAnalysis5[[#This Row],[CCCM]:[WASH]], tblPiNAnalysis5[[#Headers],[CCCM]:[WASH]], "")))</f>
        <v>CCCM
Education
Nutrition
Food Security
Health
Overarching Protection
Shelter
WASH</v>
      </c>
      <c r="AW37" s="190">
        <f>IFERROR(tblPiNAnalysis5[[#This Row],[3rd Highest Target]]/tblPiNAnalysis5[[#This Row],[Affected population projection 2026]], "")</f>
        <v>0</v>
      </c>
      <c r="AX37" s="45">
        <f>IFERROR(tblPiNAnalysis5[[#This Row],[Highest Target]]-tblPiNAnalysis5[[#This Row],[3rd Highest Target]],"")</f>
        <v>0</v>
      </c>
      <c r="AY37" s="39" t="str">
        <f>IFERROR(tblPiNAnalysis5[[#This Row],[Difference of Target between Highest and 3rd Highest]]/tblPiNAnalysis5[[#This Row],[3rd Highest Target]], "")</f>
        <v/>
      </c>
      <c r="AZ37" s="330" t="str" cm="1">
        <f t="array" ref="AZ3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7" s="300" t="str" cm="1">
        <f t="array" ref="BA3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7" s="333" t="str" cm="1">
        <f t="array" ref="BB3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7" s="276" t="str" cm="1">
        <f t="array" ref="BC3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7" s="334" t="str" cm="1">
        <f t="array" ref="BD3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7" s="277" t="e">
        <f>INDEX(tblSeverityAnalysis[Final Severity], MATCH(tblPiNAnalysis5[[#This Row],[ID]],tblSeverityAnalysis[ID], 0))</f>
        <v>#N/A</v>
      </c>
      <c r="BF37" s="61" t="e">
        <f>IF(tblPiNAnalysis5[[#This Row],[Severity]]&gt;2,tblPiNAnalysis5[[#This Row],[Highest Target]],)</f>
        <v>#N/A</v>
      </c>
      <c r="BG37" s="191"/>
      <c r="BH37" s="192"/>
      <c r="BI37" s="193">
        <f>COUNTIFS(tblPiNAnalysis5[[#This Row],[Number of missing / zero PiNs greater than threshold - Data quality]:[Manual Flag]],"Flagged")</f>
        <v>2</v>
      </c>
      <c r="BJ37" s="96" t="str">
        <f>IF(tblPiNAnalysis5[[#This Row],['# Flags]]&gt;0, "Flagged", "")</f>
        <v>Flagged</v>
      </c>
      <c r="BK37" s="326" t="e">
        <f>tblPiNAnalysis5[[#This Row],[Preliminary Target]]</f>
        <v>#N/A</v>
      </c>
      <c r="BL37" s="331"/>
    </row>
    <row r="38" spans="1:64" ht="110.7" x14ac:dyDescent="0.55000000000000004">
      <c r="A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8" s="316" t="s">
        <v>310</v>
      </c>
      <c r="C38" s="317" t="s">
        <v>311</v>
      </c>
      <c r="D38" s="317" t="s">
        <v>312</v>
      </c>
      <c r="E38" s="105" t="s">
        <v>313</v>
      </c>
      <c r="F38" s="100"/>
      <c r="G38" s="34"/>
      <c r="H38" s="34"/>
      <c r="I38" s="97">
        <v>8794.7895188948787</v>
      </c>
      <c r="J38" s="97" t="s">
        <v>412</v>
      </c>
      <c r="K38" s="261">
        <v>0</v>
      </c>
      <c r="L38" s="319">
        <v>0</v>
      </c>
      <c r="M38" s="319">
        <v>0</v>
      </c>
      <c r="N38" s="319">
        <v>0</v>
      </c>
      <c r="O38" s="319">
        <v>0</v>
      </c>
      <c r="P38" s="319">
        <v>0</v>
      </c>
      <c r="Q38" s="229">
        <v>0</v>
      </c>
      <c r="R38" s="319">
        <v>0</v>
      </c>
      <c r="S38" s="319"/>
      <c r="T38" s="319"/>
      <c r="U38" s="319"/>
      <c r="V38" s="319"/>
      <c r="W38" s="321">
        <f>IFERROR(IF(tblPiNAnalysis5[[#This Row],[CCCM]]="", "", MROUND(tblPiNAnalysis5[[#This Row],[CCCM]]/tblPiNAnalysis5[[#This Row],[Affected population projection 2026]], 0.05)), "")</f>
        <v>0</v>
      </c>
      <c r="X38" s="322">
        <f>IFERROR(IF(tblPiNAnalysis5[[#This Row],[Education]]="", "", MROUND(tblPiNAnalysis5[[#This Row],[Education]]/tblPiNAnalysis5[[#This Row],[Affected population projection 2026]], 0.05)), "")</f>
        <v>0</v>
      </c>
      <c r="Y38" s="322">
        <f>IFERROR(IF(tblPiNAnalysis5[[#This Row],[Nutrition]]="", "", MROUND(tblPiNAnalysis5[[#This Row],[Nutrition]]/tblPiNAnalysis5[[#This Row],[Affected population projection 2026]], 0.05)), "")</f>
        <v>0</v>
      </c>
      <c r="Z38" s="322">
        <f>IFERROR(IF(tblPiNAnalysis5[[#This Row],[Food Security]]="", "", MROUND(tblPiNAnalysis5[[#This Row],[Food Security]]/tblPiNAnalysis5[[#This Row],[Affected population projection 2026]], 0.05)), "")</f>
        <v>0</v>
      </c>
      <c r="AA38" s="322">
        <f>IFERROR(IF(tblPiNAnalysis5[[#This Row],[Health]]="", "", MROUND(tblPiNAnalysis5[[#This Row],[Health]]/tblPiNAnalysis5[[#This Row],[Affected population projection 2026]], 0.05)), "")</f>
        <v>0</v>
      </c>
      <c r="AB38" s="323">
        <f>IFERROR(IF(tblPiNAnalysis5[[#This Row],[Overarching Protection]]="", "", MROUND(tblPiNAnalysis5[[#This Row],[Overarching Protection]]/tblPiNAnalysis5[[#This Row],[Affected population projection 2026]], 0.05)), "")</f>
        <v>0</v>
      </c>
      <c r="AC38" s="323">
        <f>IFERROR(IF(tblPiNAnalysis5[[#This Row],[Shelter]]="", "", MROUND(tblPiNAnalysis5[[#This Row],[Shelter]]/tblPiNAnalysis5[[#This Row],[Affected population projection 2026]], 0.05)), "")</f>
        <v>0</v>
      </c>
      <c r="AD38" s="324">
        <f>IFERROR(IF(tblPiNAnalysis5[[#This Row],[WASH]]="", "", MROUND(tblPiNAnalysis5[[#This Row],[WASH]]/tblPiNAnalysis5[[#This Row],[Affected population projection 2026]], 0.05)), "")</f>
        <v>0</v>
      </c>
      <c r="AE38" s="322">
        <f>IFERROR(MROUND(tblPiNAnalysis5[[#This Row],[CP]]/tblPiNAnalysis5[[#This Row],[Affected population projection 2026]], 0.05), "")</f>
        <v>0</v>
      </c>
      <c r="AF38" s="322">
        <f>IFERROR(MROUND(tblPiNAnalysis5[[#This Row],[GBV]]/tblPiNAnalysis5[[#This Row],[Affected population projection 2026]], 0.05), "")</f>
        <v>0</v>
      </c>
      <c r="AG38" s="322">
        <f>IFERROR(MROUND(tblPiNAnalysis5[[#This Row],[Mine Action]]/tblPiNAnalysis5[[#This Row],[Affected population projection 2026]], 0.05), "")</f>
        <v>0</v>
      </c>
      <c r="AH38" s="322">
        <f>IFERROR(MROUND(tblPiNAnalysis5[[#This Row],[HLP]]/tblPiNAnalysis5[[#This Row],[Affected population projection 2026]], 0.05), "")</f>
        <v>0</v>
      </c>
      <c r="AI38" s="325">
        <f>IFERROR(LARGE(tblPiNAnalysis5[[#This Row],[CCCM]:[WASH]], 1), "")</f>
        <v>0</v>
      </c>
      <c r="AJ38" s="326" t="str" cm="1">
        <f t="array" ref="AJ38">IF(tblPiNAnalysis5[[#This Row],[Highest Target]]="", "", _xlfn.TEXTJOIN(CHAR(10), TRUE, IF(tblPiNAnalysis5[[#This Row],[Highest Target]]=tblPiNAnalysis5[[#This Row],[CCCM]:[WASH]], tblPiNAnalysis5[[#Headers],[CCCM]:[WASH]], "")))</f>
        <v>CCCM
Education
Nutrition
Food Security
Health
Overarching Protection
Shelter
WASH</v>
      </c>
      <c r="AK38" s="327">
        <f>IF(tblPiNAnalysis5[[#This Row],[Highest Target]]="", "", tblPiNAnalysis5[[#This Row],[Highest Target]]/tblPiNAnalysis5[[#This Row],[Affected population projection 2026]])</f>
        <v>0</v>
      </c>
      <c r="AL38" s="328" t="str">
        <f>IF(SUM(tblPiNAnalysis5[[#This Row],[CCCM]:[WASH]])=0, "",IF(COUNTIF(tblPiNAnalysis5[[#This Row],[CCCM]:[WASH]],"=0")+COUNTIF(tblPiNAnalysis5[[#This Row],[CCCM]:[WASH]],"")&gt;=zero_pin_thresh, "Flagged", ""))</f>
        <v/>
      </c>
      <c r="AM38" s="329" t="str">
        <f>IFERROR(IF(tblPiNAnalysis5[[#This Row],[Highest Target]]="", "", IF(tblPiNAnalysis5[[#This Row],[Highest sector(s'') Target %]]&gt;=flag_pin_perc, "Flagged", "")), "")</f>
        <v/>
      </c>
      <c r="AN38" s="330" t="str" cm="1">
        <f t="array" ref="AN38">IF(tblPiNAnalysis5[[#This Row],[Highest Target]]=0, "",  IF(OR(COUNTIF(tblPiNAnalysis5[[#This Row],[Highest sector(s)]],tblSubSectorPopulation[Sector])), "Flagged", ""))</f>
        <v/>
      </c>
      <c r="AO38" s="46" cm="1">
        <f t="array" ref="AO3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38" s="331" t="str" cm="1">
        <f t="array" ref="AP38">IF(tblPiNAnalysis5[[#This Row],[2nd Highest Target]]="", "", _xlfn.TEXTJOIN(CHAR(10), TRUE, IF(tblPiNAnalysis5[[#This Row],[2nd Highest Target]]=tblPiNAnalysis5[[#This Row],[CCCM]:[WASH]], tblPiNAnalysis5[[#Headers],[CCCM]:[WASH]], "")))</f>
        <v>CCCM
Education
Nutrition
Food Security
Health
Overarching Protection
Shelter
WASH</v>
      </c>
      <c r="AQ38" s="36">
        <f>IFERROR(tblPiNAnalysis5[[#This Row],[2nd Highest Target]]/tblPiNAnalysis5[[#This Row],[Affected population projection 2026]], "")</f>
        <v>0</v>
      </c>
      <c r="AR38" s="46">
        <f>IFERROR(tblPiNAnalysis5[[#This Row],[Highest Target]]-tblPiNAnalysis5[[#This Row],[2nd Highest Target]], "")</f>
        <v>0</v>
      </c>
      <c r="AS38" s="39" t="str">
        <f>IFERROR(((tblPiNAnalysis5[[#This Row],[Highest Target]]-tblPiNAnalysis5[[#This Row],[2nd Highest Target]])/tblPiNAnalysis5[[#This Row],[2nd Highest Target]]),"")</f>
        <v/>
      </c>
      <c r="AT38" s="39" t="str" cm="1">
        <f t="array" ref="AT3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8" s="332" cm="1">
        <f t="array" ref="AU3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38" s="190" t="str" cm="1">
        <f t="array" ref="AV38">IF(tblPiNAnalysis5[[#This Row],[3rd Highest Target]]="", "", _xlfn.TEXTJOIN(CHAR(10), TRUE, IF(tblPiNAnalysis5[[#This Row],[3rd Highest Target]]=tblPiNAnalysis5[[#This Row],[CCCM]:[WASH]], tblPiNAnalysis5[[#Headers],[CCCM]:[WASH]], "")))</f>
        <v>CCCM
Education
Nutrition
Food Security
Health
Overarching Protection
Shelter
WASH</v>
      </c>
      <c r="AW38" s="190">
        <f>IFERROR(tblPiNAnalysis5[[#This Row],[3rd Highest Target]]/tblPiNAnalysis5[[#This Row],[Affected population projection 2026]], "")</f>
        <v>0</v>
      </c>
      <c r="AX38" s="45">
        <f>IFERROR(tblPiNAnalysis5[[#This Row],[Highest Target]]-tblPiNAnalysis5[[#This Row],[3rd Highest Target]],"")</f>
        <v>0</v>
      </c>
      <c r="AY38" s="39" t="str">
        <f>IFERROR(tblPiNAnalysis5[[#This Row],[Difference of Target between Highest and 3rd Highest]]/tblPiNAnalysis5[[#This Row],[3rd Highest Target]], "")</f>
        <v/>
      </c>
      <c r="AZ38" s="330" t="str" cm="1">
        <f t="array" ref="AZ3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8" s="300" t="str" cm="1">
        <f t="array" ref="BA3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8" s="333" t="str" cm="1">
        <f t="array" ref="BB3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38" s="276" t="str" cm="1">
        <f t="array" ref="BC3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8" s="334" t="str" cm="1">
        <f t="array" ref="BD3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38" s="277" t="e">
        <f>INDEX(tblSeverityAnalysis[Final Severity], MATCH(tblPiNAnalysis5[[#This Row],[ID]],tblSeverityAnalysis[ID], 0))</f>
        <v>#N/A</v>
      </c>
      <c r="BF38" s="61" t="e">
        <f>IF(tblPiNAnalysis5[[#This Row],[Severity]]&gt;2,tblPiNAnalysis5[[#This Row],[Highest Target]],)</f>
        <v>#N/A</v>
      </c>
      <c r="BG38" s="191"/>
      <c r="BH38" s="192"/>
      <c r="BI38" s="193">
        <f>COUNTIFS(tblPiNAnalysis5[[#This Row],[Number of missing / zero PiNs greater than threshold - Data quality]:[Manual Flag]],"Flagged")</f>
        <v>2</v>
      </c>
      <c r="BJ38" s="96" t="str">
        <f>IF(tblPiNAnalysis5[[#This Row],['# Flags]]&gt;0, "Flagged", "")</f>
        <v>Flagged</v>
      </c>
      <c r="BK38" s="326" t="e">
        <f>tblPiNAnalysis5[[#This Row],[Preliminary Target]]</f>
        <v>#N/A</v>
      </c>
      <c r="BL38" s="331"/>
    </row>
    <row r="39" spans="1:64" x14ac:dyDescent="0.55000000000000004">
      <c r="A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9" s="316" t="s">
        <v>310</v>
      </c>
      <c r="C39" s="317" t="s">
        <v>311</v>
      </c>
      <c r="D39" s="317" t="s">
        <v>314</v>
      </c>
      <c r="E39" s="105" t="s">
        <v>315</v>
      </c>
      <c r="F39" s="100"/>
      <c r="G39" s="34"/>
      <c r="H39" s="34"/>
      <c r="I39" s="97">
        <v>56514.282244133567</v>
      </c>
      <c r="J39" s="97" t="s">
        <v>412</v>
      </c>
      <c r="K39" s="261">
        <v>25316</v>
      </c>
      <c r="L39" s="319">
        <v>20725.79920737167</v>
      </c>
      <c r="M39" s="319">
        <v>12364.891220805526</v>
      </c>
      <c r="N39" s="319">
        <v>24921.190568923557</v>
      </c>
      <c r="O39" s="319">
        <v>21485.996491867601</v>
      </c>
      <c r="P39" s="319">
        <v>23438.887965283298</v>
      </c>
      <c r="Q39" s="229">
        <v>20605.220572730457</v>
      </c>
      <c r="R39" s="319">
        <v>6075.8667639011928</v>
      </c>
      <c r="S39" s="319"/>
      <c r="T39" s="319"/>
      <c r="U39" s="319"/>
      <c r="V39" s="319"/>
      <c r="W39" s="321">
        <f>IFERROR(IF(tblPiNAnalysis5[[#This Row],[CCCM]]="", "", MROUND(tblPiNAnalysis5[[#This Row],[CCCM]]/tblPiNAnalysis5[[#This Row],[Affected population projection 2026]], 0.05)), "")</f>
        <v>0.45</v>
      </c>
      <c r="X39" s="322">
        <f>IFERROR(IF(tblPiNAnalysis5[[#This Row],[Education]]="", "", MROUND(tblPiNAnalysis5[[#This Row],[Education]]/tblPiNAnalysis5[[#This Row],[Affected population projection 2026]], 0.05)), "")</f>
        <v>0.35000000000000003</v>
      </c>
      <c r="Y39" s="322">
        <f>IFERROR(IF(tblPiNAnalysis5[[#This Row],[Nutrition]]="", "", MROUND(tblPiNAnalysis5[[#This Row],[Nutrition]]/tblPiNAnalysis5[[#This Row],[Affected population projection 2026]], 0.05)), "")</f>
        <v>0.2</v>
      </c>
      <c r="Z39" s="322">
        <f>IFERROR(IF(tblPiNAnalysis5[[#This Row],[Food Security]]="", "", MROUND(tblPiNAnalysis5[[#This Row],[Food Security]]/tblPiNAnalysis5[[#This Row],[Affected population projection 2026]], 0.05)), "")</f>
        <v>0.45</v>
      </c>
      <c r="AA39" s="322">
        <f>IFERROR(IF(tblPiNAnalysis5[[#This Row],[Health]]="", "", MROUND(tblPiNAnalysis5[[#This Row],[Health]]/tblPiNAnalysis5[[#This Row],[Affected population projection 2026]], 0.05)), "")</f>
        <v>0.4</v>
      </c>
      <c r="AB39" s="323">
        <f>IFERROR(IF(tblPiNAnalysis5[[#This Row],[Overarching Protection]]="", "", MROUND(tblPiNAnalysis5[[#This Row],[Overarching Protection]]/tblPiNAnalysis5[[#This Row],[Affected population projection 2026]], 0.05)), "")</f>
        <v>0.4</v>
      </c>
      <c r="AC39" s="323">
        <f>IFERROR(IF(tblPiNAnalysis5[[#This Row],[Shelter]]="", "", MROUND(tblPiNAnalysis5[[#This Row],[Shelter]]/tblPiNAnalysis5[[#This Row],[Affected population projection 2026]], 0.05)), "")</f>
        <v>0.35000000000000003</v>
      </c>
      <c r="AD39" s="324">
        <f>IFERROR(IF(tblPiNAnalysis5[[#This Row],[WASH]]="", "", MROUND(tblPiNAnalysis5[[#This Row],[WASH]]/tblPiNAnalysis5[[#This Row],[Affected population projection 2026]], 0.05)), "")</f>
        <v>0.1</v>
      </c>
      <c r="AE39" s="322">
        <f>IFERROR(MROUND(tblPiNAnalysis5[[#This Row],[CP]]/tblPiNAnalysis5[[#This Row],[Affected population projection 2026]], 0.05), "")</f>
        <v>0</v>
      </c>
      <c r="AF39" s="322">
        <f>IFERROR(MROUND(tblPiNAnalysis5[[#This Row],[GBV]]/tblPiNAnalysis5[[#This Row],[Affected population projection 2026]], 0.05), "")</f>
        <v>0</v>
      </c>
      <c r="AG39" s="322">
        <f>IFERROR(MROUND(tblPiNAnalysis5[[#This Row],[Mine Action]]/tblPiNAnalysis5[[#This Row],[Affected population projection 2026]], 0.05), "")</f>
        <v>0</v>
      </c>
      <c r="AH39" s="322">
        <f>IFERROR(MROUND(tblPiNAnalysis5[[#This Row],[HLP]]/tblPiNAnalysis5[[#This Row],[Affected population projection 2026]], 0.05), "")</f>
        <v>0</v>
      </c>
      <c r="AI39" s="325">
        <f>IFERROR(LARGE(tblPiNAnalysis5[[#This Row],[CCCM]:[WASH]], 1), "")</f>
        <v>25316</v>
      </c>
      <c r="AJ39" s="326" t="str" cm="1">
        <f t="array" ref="AJ39">IF(tblPiNAnalysis5[[#This Row],[Highest Target]]="", "", _xlfn.TEXTJOIN(CHAR(10), TRUE, IF(tblPiNAnalysis5[[#This Row],[Highest Target]]=tblPiNAnalysis5[[#This Row],[CCCM]:[WASH]], tblPiNAnalysis5[[#Headers],[CCCM]:[WASH]], "")))</f>
        <v>CCCM</v>
      </c>
      <c r="AK39" s="327">
        <f>IF(tblPiNAnalysis5[[#This Row],[Highest Target]]="", "", tblPiNAnalysis5[[#This Row],[Highest Target]]/tblPiNAnalysis5[[#This Row],[Affected population projection 2026]])</f>
        <v>0.4479575603674576</v>
      </c>
      <c r="AL39" s="328" t="str">
        <f>IF(SUM(tblPiNAnalysis5[[#This Row],[CCCM]:[WASH]])=0, "",IF(COUNTIF(tblPiNAnalysis5[[#This Row],[CCCM]:[WASH]],"=0")+COUNTIF(tblPiNAnalysis5[[#This Row],[CCCM]:[WASH]],"")&gt;=zero_pin_thresh, "Flagged", ""))</f>
        <v/>
      </c>
      <c r="AM39" s="329" t="str">
        <f>IFERROR(IF(tblPiNAnalysis5[[#This Row],[Highest Target]]="", "", IF(tblPiNAnalysis5[[#This Row],[Highest sector(s'') Target %]]&gt;=flag_pin_perc, "Flagged", "")), "")</f>
        <v/>
      </c>
      <c r="AN39" s="330" t="str" cm="1">
        <f t="array" ref="AN39">IF(tblPiNAnalysis5[[#This Row],[Highest Target]]=0, "",  IF(OR(COUNTIF(tblPiNAnalysis5[[#This Row],[Highest sector(s)]],tblSubSectorPopulation[Sector])), "Flagged", ""))</f>
        <v/>
      </c>
      <c r="AO39" s="46" cm="1">
        <f t="array" ref="AO3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24921.190568923557</v>
      </c>
      <c r="AP39" s="331" t="str" cm="1">
        <f t="array" ref="AP39">IF(tblPiNAnalysis5[[#This Row],[2nd Highest Target]]="", "", _xlfn.TEXTJOIN(CHAR(10), TRUE, IF(tblPiNAnalysis5[[#This Row],[2nd Highest Target]]=tblPiNAnalysis5[[#This Row],[CCCM]:[WASH]], tblPiNAnalysis5[[#Headers],[CCCM]:[WASH]], "")))</f>
        <v>Food Security</v>
      </c>
      <c r="AQ39" s="36">
        <f>IFERROR(tblPiNAnalysis5[[#This Row],[2nd Highest Target]]/tblPiNAnalysis5[[#This Row],[Affected population projection 2026]], "")</f>
        <v>0.44097154877182376</v>
      </c>
      <c r="AR39" s="46">
        <f>IFERROR(tblPiNAnalysis5[[#This Row],[Highest Target]]-tblPiNAnalysis5[[#This Row],[2nd Highest Target]], "")</f>
        <v>394.80943107644271</v>
      </c>
      <c r="AS39" s="39">
        <f>IFERROR(((tblPiNAnalysis5[[#This Row],[Highest Target]]-tblPiNAnalysis5[[#This Row],[2nd Highest Target]])/tblPiNAnalysis5[[#This Row],[2nd Highest Target]]),"")</f>
        <v>1.5842318206448998E-2</v>
      </c>
      <c r="AT39" s="39" t="str" cm="1">
        <f t="array" ref="AT3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39" s="332" cm="1">
        <f t="array" ref="AU3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23438.887965283298</v>
      </c>
      <c r="AV39" s="190" t="str" cm="1">
        <f t="array" ref="AV39">IF(tblPiNAnalysis5[[#This Row],[3rd Highest Target]]="", "", _xlfn.TEXTJOIN(CHAR(10), TRUE, IF(tblPiNAnalysis5[[#This Row],[3rd Highest Target]]=tblPiNAnalysis5[[#This Row],[CCCM]:[WASH]], tblPiNAnalysis5[[#Headers],[CCCM]:[WASH]], "")))</f>
        <v>Overarching Protection</v>
      </c>
      <c r="AW39" s="190">
        <f>IFERROR(tblPiNAnalysis5[[#This Row],[3rd Highest Target]]/tblPiNAnalysis5[[#This Row],[Affected population projection 2026]], "")</f>
        <v>0.41474273466007539</v>
      </c>
      <c r="AX39" s="45">
        <f>IFERROR(tblPiNAnalysis5[[#This Row],[Highest Target]]-tblPiNAnalysis5[[#This Row],[3rd Highest Target]],"")</f>
        <v>1877.1120347167016</v>
      </c>
      <c r="AY39" s="39">
        <f>IFERROR(tblPiNAnalysis5[[#This Row],[Difference of Target between Highest and 3rd Highest]]/tblPiNAnalysis5[[#This Row],[3rd Highest Target]], "")</f>
        <v>8.0085370837430572E-2</v>
      </c>
      <c r="AZ39" s="330" t="str" cm="1">
        <f t="array" ref="AZ3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39" s="300" t="str" cm="1">
        <f t="array" ref="BA3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39" s="333" t="str" cm="1">
        <f t="array" ref="BB3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39" s="276" t="str" cm="1">
        <f t="array" ref="BC3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39" s="334" t="str" cm="1">
        <f t="array" ref="BD3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39" s="277" t="e">
        <f>INDEX(tblSeverityAnalysis[Final Severity], MATCH(tblPiNAnalysis5[[#This Row],[ID]],tblSeverityAnalysis[ID], 0))</f>
        <v>#N/A</v>
      </c>
      <c r="BF39" s="61" t="e">
        <f>IF(tblPiNAnalysis5[[#This Row],[Severity]]&gt;2,tblPiNAnalysis5[[#This Row],[Highest Target]],)</f>
        <v>#N/A</v>
      </c>
      <c r="BG39" s="191"/>
      <c r="BH39" s="192"/>
      <c r="BI39" s="193">
        <f>COUNTIFS(tblPiNAnalysis5[[#This Row],[Number of missing / zero PiNs greater than threshold - Data quality]:[Manual Flag]],"Flagged")</f>
        <v>0</v>
      </c>
      <c r="BJ39" s="96" t="str">
        <f>IF(tblPiNAnalysis5[[#This Row],['# Flags]]&gt;0, "Flagged", "")</f>
        <v/>
      </c>
      <c r="BK39" s="326" t="e">
        <f>tblPiNAnalysis5[[#This Row],[Preliminary Target]]</f>
        <v>#N/A</v>
      </c>
      <c r="BL39" s="331"/>
    </row>
    <row r="40" spans="1:64" ht="110.7" x14ac:dyDescent="0.55000000000000004">
      <c r="A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0" s="316" t="s">
        <v>310</v>
      </c>
      <c r="C40" s="317" t="s">
        <v>311</v>
      </c>
      <c r="D40" s="317" t="s">
        <v>316</v>
      </c>
      <c r="E40" s="105" t="s">
        <v>317</v>
      </c>
      <c r="F40" s="100"/>
      <c r="G40" s="34"/>
      <c r="H40" s="34"/>
      <c r="I40" s="97">
        <v>0</v>
      </c>
      <c r="J40" s="97" t="s">
        <v>412</v>
      </c>
      <c r="K40" s="261">
        <v>0</v>
      </c>
      <c r="L40" s="319">
        <v>0</v>
      </c>
      <c r="M40" s="319">
        <v>0</v>
      </c>
      <c r="N40" s="319">
        <v>0</v>
      </c>
      <c r="O40" s="319">
        <v>0</v>
      </c>
      <c r="P40" s="319">
        <v>0</v>
      </c>
      <c r="Q40" s="229">
        <v>0</v>
      </c>
      <c r="R40" s="319">
        <v>0</v>
      </c>
      <c r="S40" s="319"/>
      <c r="T40" s="319"/>
      <c r="U40" s="319"/>
      <c r="V40" s="319"/>
      <c r="W40" s="321" t="str">
        <f>IFERROR(IF(tblPiNAnalysis5[[#This Row],[CCCM]]="", "", MROUND(tblPiNAnalysis5[[#This Row],[CCCM]]/tblPiNAnalysis5[[#This Row],[Affected population projection 2026]], 0.05)), "")</f>
        <v/>
      </c>
      <c r="X40" s="322" t="str">
        <f>IFERROR(IF(tblPiNAnalysis5[[#This Row],[Education]]="", "", MROUND(tblPiNAnalysis5[[#This Row],[Education]]/tblPiNAnalysis5[[#This Row],[Affected population projection 2026]], 0.05)), "")</f>
        <v/>
      </c>
      <c r="Y40" s="322" t="str">
        <f>IFERROR(IF(tblPiNAnalysis5[[#This Row],[Nutrition]]="", "", MROUND(tblPiNAnalysis5[[#This Row],[Nutrition]]/tblPiNAnalysis5[[#This Row],[Affected population projection 2026]], 0.05)), "")</f>
        <v/>
      </c>
      <c r="Z40" s="322" t="str">
        <f>IFERROR(IF(tblPiNAnalysis5[[#This Row],[Food Security]]="", "", MROUND(tblPiNAnalysis5[[#This Row],[Food Security]]/tblPiNAnalysis5[[#This Row],[Affected population projection 2026]], 0.05)), "")</f>
        <v/>
      </c>
      <c r="AA40" s="322" t="str">
        <f>IFERROR(IF(tblPiNAnalysis5[[#This Row],[Health]]="", "", MROUND(tblPiNAnalysis5[[#This Row],[Health]]/tblPiNAnalysis5[[#This Row],[Affected population projection 2026]], 0.05)), "")</f>
        <v/>
      </c>
      <c r="AB40" s="323" t="str">
        <f>IFERROR(IF(tblPiNAnalysis5[[#This Row],[Overarching Protection]]="", "", MROUND(tblPiNAnalysis5[[#This Row],[Overarching Protection]]/tblPiNAnalysis5[[#This Row],[Affected population projection 2026]], 0.05)), "")</f>
        <v/>
      </c>
      <c r="AC40" s="323" t="str">
        <f>IFERROR(IF(tblPiNAnalysis5[[#This Row],[Shelter]]="", "", MROUND(tblPiNAnalysis5[[#This Row],[Shelter]]/tblPiNAnalysis5[[#This Row],[Affected population projection 2026]], 0.05)), "")</f>
        <v/>
      </c>
      <c r="AD40" s="324" t="str">
        <f>IFERROR(IF(tblPiNAnalysis5[[#This Row],[WASH]]="", "", MROUND(tblPiNAnalysis5[[#This Row],[WASH]]/tblPiNAnalysis5[[#This Row],[Affected population projection 2026]], 0.05)), "")</f>
        <v/>
      </c>
      <c r="AE40" s="322" t="str">
        <f>IFERROR(MROUND(tblPiNAnalysis5[[#This Row],[CP]]/tblPiNAnalysis5[[#This Row],[Affected population projection 2026]], 0.05), "")</f>
        <v/>
      </c>
      <c r="AF40" s="322" t="str">
        <f>IFERROR(MROUND(tblPiNAnalysis5[[#This Row],[GBV]]/tblPiNAnalysis5[[#This Row],[Affected population projection 2026]], 0.05), "")</f>
        <v/>
      </c>
      <c r="AG40" s="322" t="str">
        <f>IFERROR(MROUND(tblPiNAnalysis5[[#This Row],[Mine Action]]/tblPiNAnalysis5[[#This Row],[Affected population projection 2026]], 0.05), "")</f>
        <v/>
      </c>
      <c r="AH40" s="322" t="str">
        <f>IFERROR(MROUND(tblPiNAnalysis5[[#This Row],[HLP]]/tblPiNAnalysis5[[#This Row],[Affected population projection 2026]], 0.05), "")</f>
        <v/>
      </c>
      <c r="AI40" s="325">
        <f>IFERROR(LARGE(tblPiNAnalysis5[[#This Row],[CCCM]:[WASH]], 1), "")</f>
        <v>0</v>
      </c>
      <c r="AJ40" s="326" t="str" cm="1">
        <f t="array" ref="AJ40">IF(tblPiNAnalysis5[[#This Row],[Highest Target]]="", "", _xlfn.TEXTJOIN(CHAR(10), TRUE, IF(tblPiNAnalysis5[[#This Row],[Highest Target]]=tblPiNAnalysis5[[#This Row],[CCCM]:[WASH]], tblPiNAnalysis5[[#Headers],[CCCM]:[WASH]], "")))</f>
        <v>CCCM
Education
Nutrition
Food Security
Health
Overarching Protection
Shelter
WASH</v>
      </c>
      <c r="AK40" s="327" t="e">
        <f>IF(tblPiNAnalysis5[[#This Row],[Highest Target]]="", "", tblPiNAnalysis5[[#This Row],[Highest Target]]/tblPiNAnalysis5[[#This Row],[Affected population projection 2026]])</f>
        <v>#DIV/0!</v>
      </c>
      <c r="AL40" s="328" t="str">
        <f>IF(SUM(tblPiNAnalysis5[[#This Row],[CCCM]:[WASH]])=0, "",IF(COUNTIF(tblPiNAnalysis5[[#This Row],[CCCM]:[WASH]],"=0")+COUNTIF(tblPiNAnalysis5[[#This Row],[CCCM]:[WASH]],"")&gt;=zero_pin_thresh, "Flagged", ""))</f>
        <v/>
      </c>
      <c r="AM40" s="329" t="str">
        <f>IFERROR(IF(tblPiNAnalysis5[[#This Row],[Highest Target]]="", "", IF(tblPiNAnalysis5[[#This Row],[Highest sector(s'') Target %]]&gt;=flag_pin_perc, "Flagged", "")), "")</f>
        <v/>
      </c>
      <c r="AN40" s="330" t="str" cm="1">
        <f t="array" ref="AN40">IF(tblPiNAnalysis5[[#This Row],[Highest Target]]=0, "",  IF(OR(COUNTIF(tblPiNAnalysis5[[#This Row],[Highest sector(s)]],tblSubSectorPopulation[Sector])), "Flagged", ""))</f>
        <v/>
      </c>
      <c r="AO40" s="46" cm="1">
        <f t="array" ref="AO4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40" s="331" t="str" cm="1">
        <f t="array" ref="AP40">IF(tblPiNAnalysis5[[#This Row],[2nd Highest Target]]="", "", _xlfn.TEXTJOIN(CHAR(10), TRUE, IF(tblPiNAnalysis5[[#This Row],[2nd Highest Target]]=tblPiNAnalysis5[[#This Row],[CCCM]:[WASH]], tblPiNAnalysis5[[#Headers],[CCCM]:[WASH]], "")))</f>
        <v>CCCM
Education
Nutrition
Food Security
Health
Overarching Protection
Shelter
WASH</v>
      </c>
      <c r="AQ40" s="36" t="str">
        <f>IFERROR(tblPiNAnalysis5[[#This Row],[2nd Highest Target]]/tblPiNAnalysis5[[#This Row],[Affected population projection 2026]], "")</f>
        <v/>
      </c>
      <c r="AR40" s="46">
        <f>IFERROR(tblPiNAnalysis5[[#This Row],[Highest Target]]-tblPiNAnalysis5[[#This Row],[2nd Highest Target]], "")</f>
        <v>0</v>
      </c>
      <c r="AS40" s="39" t="str">
        <f>IFERROR(((tblPiNAnalysis5[[#This Row],[Highest Target]]-tblPiNAnalysis5[[#This Row],[2nd Highest Target]])/tblPiNAnalysis5[[#This Row],[2nd Highest Target]]),"")</f>
        <v/>
      </c>
      <c r="AT40" s="39" t="str" cm="1">
        <f t="array" ref="AT4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0" s="332" cm="1">
        <f t="array" ref="AU4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40" s="190" t="str" cm="1">
        <f t="array" ref="AV40">IF(tblPiNAnalysis5[[#This Row],[3rd Highest Target]]="", "", _xlfn.TEXTJOIN(CHAR(10), TRUE, IF(tblPiNAnalysis5[[#This Row],[3rd Highest Target]]=tblPiNAnalysis5[[#This Row],[CCCM]:[WASH]], tblPiNAnalysis5[[#Headers],[CCCM]:[WASH]], "")))</f>
        <v>CCCM
Education
Nutrition
Food Security
Health
Overarching Protection
Shelter
WASH</v>
      </c>
      <c r="AW40" s="190" t="str">
        <f>IFERROR(tblPiNAnalysis5[[#This Row],[3rd Highest Target]]/tblPiNAnalysis5[[#This Row],[Affected population projection 2026]], "")</f>
        <v/>
      </c>
      <c r="AX40" s="45">
        <f>IFERROR(tblPiNAnalysis5[[#This Row],[Highest Target]]-tblPiNAnalysis5[[#This Row],[3rd Highest Target]],"")</f>
        <v>0</v>
      </c>
      <c r="AY40" s="39" t="str">
        <f>IFERROR(tblPiNAnalysis5[[#This Row],[Difference of Target between Highest and 3rd Highest]]/tblPiNAnalysis5[[#This Row],[3rd Highest Target]], "")</f>
        <v/>
      </c>
      <c r="AZ40" s="330" t="str" cm="1">
        <f t="array" ref="AZ4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0" s="300" t="str" cm="1">
        <f t="array" ref="BA4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0" s="333" t="str" cm="1">
        <f t="array" ref="BB4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0" s="276" t="str" cm="1">
        <f t="array" ref="BC4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0" s="334" t="str" cm="1">
        <f t="array" ref="BD4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40" s="277" t="e">
        <f>INDEX(tblSeverityAnalysis[Final Severity], MATCH(tblPiNAnalysis5[[#This Row],[ID]],tblSeverityAnalysis[ID], 0))</f>
        <v>#N/A</v>
      </c>
      <c r="BF40" s="61" t="e">
        <f>IF(tblPiNAnalysis5[[#This Row],[Severity]]&gt;2,tblPiNAnalysis5[[#This Row],[Highest Target]],)</f>
        <v>#N/A</v>
      </c>
      <c r="BG40" s="191"/>
      <c r="BH40" s="192"/>
      <c r="BI40" s="193">
        <f>COUNTIFS(tblPiNAnalysis5[[#This Row],[Number of missing / zero PiNs greater than threshold - Data quality]:[Manual Flag]],"Flagged")</f>
        <v>2</v>
      </c>
      <c r="BJ40" s="96" t="str">
        <f>IF(tblPiNAnalysis5[[#This Row],['# Flags]]&gt;0, "Flagged", "")</f>
        <v>Flagged</v>
      </c>
      <c r="BK40" s="326" t="e">
        <f>tblPiNAnalysis5[[#This Row],[Preliminary Target]]</f>
        <v>#N/A</v>
      </c>
      <c r="BL40" s="331"/>
    </row>
    <row r="41" spans="1:64" x14ac:dyDescent="0.55000000000000004">
      <c r="A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1" s="316" t="s">
        <v>310</v>
      </c>
      <c r="C41" s="317" t="s">
        <v>311</v>
      </c>
      <c r="D41" s="317" t="s">
        <v>318</v>
      </c>
      <c r="E41" s="105" t="s">
        <v>319</v>
      </c>
      <c r="F41" s="100"/>
      <c r="G41" s="34"/>
      <c r="H41" s="34"/>
      <c r="I41" s="97">
        <v>8245.4682123487128</v>
      </c>
      <c r="J41" s="97" t="s">
        <v>412</v>
      </c>
      <c r="K41" s="261">
        <v>0</v>
      </c>
      <c r="L41" s="319">
        <v>752.14130349518405</v>
      </c>
      <c r="M41" s="319">
        <v>2283.1942873618427</v>
      </c>
      <c r="N41" s="319">
        <v>3507.0492208411197</v>
      </c>
      <c r="O41" s="319">
        <v>2721.9506870244163</v>
      </c>
      <c r="P41" s="319">
        <v>3770.9075869371013</v>
      </c>
      <c r="Q41" s="229">
        <v>5964.2889999999998</v>
      </c>
      <c r="R41" s="319">
        <v>1931.8927588436857</v>
      </c>
      <c r="S41" s="319"/>
      <c r="T41" s="319"/>
      <c r="U41" s="319"/>
      <c r="V41" s="319"/>
      <c r="W41" s="321">
        <f>IFERROR(IF(tblPiNAnalysis5[[#This Row],[CCCM]]="", "", MROUND(tblPiNAnalysis5[[#This Row],[CCCM]]/tblPiNAnalysis5[[#This Row],[Affected population projection 2026]], 0.05)), "")</f>
        <v>0</v>
      </c>
      <c r="X41" s="322">
        <f>IFERROR(IF(tblPiNAnalysis5[[#This Row],[Education]]="", "", MROUND(tblPiNAnalysis5[[#This Row],[Education]]/tblPiNAnalysis5[[#This Row],[Affected population projection 2026]], 0.05)), "")</f>
        <v>0.1</v>
      </c>
      <c r="Y41" s="322">
        <f>IFERROR(IF(tblPiNAnalysis5[[#This Row],[Nutrition]]="", "", MROUND(tblPiNAnalysis5[[#This Row],[Nutrition]]/tblPiNAnalysis5[[#This Row],[Affected population projection 2026]], 0.05)), "")</f>
        <v>0.30000000000000004</v>
      </c>
      <c r="Z41" s="322">
        <f>IFERROR(IF(tblPiNAnalysis5[[#This Row],[Food Security]]="", "", MROUND(tblPiNAnalysis5[[#This Row],[Food Security]]/tblPiNAnalysis5[[#This Row],[Affected population projection 2026]], 0.05)), "")</f>
        <v>0.45</v>
      </c>
      <c r="AA41" s="322">
        <f>IFERROR(IF(tblPiNAnalysis5[[#This Row],[Health]]="", "", MROUND(tblPiNAnalysis5[[#This Row],[Health]]/tblPiNAnalysis5[[#This Row],[Affected population projection 2026]], 0.05)), "")</f>
        <v>0.35000000000000003</v>
      </c>
      <c r="AB41" s="323">
        <f>IFERROR(IF(tblPiNAnalysis5[[#This Row],[Overarching Protection]]="", "", MROUND(tblPiNAnalysis5[[#This Row],[Overarching Protection]]/tblPiNAnalysis5[[#This Row],[Affected population projection 2026]], 0.05)), "")</f>
        <v>0.45</v>
      </c>
      <c r="AC41" s="323">
        <f>IFERROR(IF(tblPiNAnalysis5[[#This Row],[Shelter]]="", "", MROUND(tblPiNAnalysis5[[#This Row],[Shelter]]/tblPiNAnalysis5[[#This Row],[Affected population projection 2026]], 0.05)), "")</f>
        <v>0.70000000000000007</v>
      </c>
      <c r="AD41" s="324">
        <f>IFERROR(IF(tblPiNAnalysis5[[#This Row],[WASH]]="", "", MROUND(tblPiNAnalysis5[[#This Row],[WASH]]/tblPiNAnalysis5[[#This Row],[Affected population projection 2026]], 0.05)), "")</f>
        <v>0.25</v>
      </c>
      <c r="AE41" s="322">
        <f>IFERROR(MROUND(tblPiNAnalysis5[[#This Row],[CP]]/tblPiNAnalysis5[[#This Row],[Affected population projection 2026]], 0.05), "")</f>
        <v>0</v>
      </c>
      <c r="AF41" s="322">
        <f>IFERROR(MROUND(tblPiNAnalysis5[[#This Row],[GBV]]/tblPiNAnalysis5[[#This Row],[Affected population projection 2026]], 0.05), "")</f>
        <v>0</v>
      </c>
      <c r="AG41" s="322">
        <f>IFERROR(MROUND(tblPiNAnalysis5[[#This Row],[Mine Action]]/tblPiNAnalysis5[[#This Row],[Affected population projection 2026]], 0.05), "")</f>
        <v>0</v>
      </c>
      <c r="AH41" s="322">
        <f>IFERROR(MROUND(tblPiNAnalysis5[[#This Row],[HLP]]/tblPiNAnalysis5[[#This Row],[Affected population projection 2026]], 0.05), "")</f>
        <v>0</v>
      </c>
      <c r="AI41" s="325">
        <f>IFERROR(LARGE(tblPiNAnalysis5[[#This Row],[CCCM]:[WASH]], 1), "")</f>
        <v>5964.2889999999998</v>
      </c>
      <c r="AJ41" s="326" t="str" cm="1">
        <f t="array" ref="AJ41">IF(tblPiNAnalysis5[[#This Row],[Highest Target]]="", "", _xlfn.TEXTJOIN(CHAR(10), TRUE, IF(tblPiNAnalysis5[[#This Row],[Highest Target]]=tblPiNAnalysis5[[#This Row],[CCCM]:[WASH]], tblPiNAnalysis5[[#Headers],[CCCM]:[WASH]], "")))</f>
        <v>Shelter</v>
      </c>
      <c r="AK41" s="327">
        <f>IF(tblPiNAnalysis5[[#This Row],[Highest Target]]="", "", tblPiNAnalysis5[[#This Row],[Highest Target]]/tblPiNAnalysis5[[#This Row],[Affected population projection 2026]])</f>
        <v>0.72334145816821704</v>
      </c>
      <c r="AL41" s="328" t="str">
        <f>IF(SUM(tblPiNAnalysis5[[#This Row],[CCCM]:[WASH]])=0, "",IF(COUNTIF(tblPiNAnalysis5[[#This Row],[CCCM]:[WASH]],"=0")+COUNTIF(tblPiNAnalysis5[[#This Row],[CCCM]:[WASH]],"")&gt;=zero_pin_thresh, "Flagged", ""))</f>
        <v/>
      </c>
      <c r="AM41" s="329" t="str">
        <f>IFERROR(IF(tblPiNAnalysis5[[#This Row],[Highest Target]]="", "", IF(tblPiNAnalysis5[[#This Row],[Highest sector(s'') Target %]]&gt;=flag_pin_perc, "Flagged", "")), "")</f>
        <v/>
      </c>
      <c r="AN41" s="330" t="str" cm="1">
        <f t="array" ref="AN41">IF(tblPiNAnalysis5[[#This Row],[Highest Target]]=0, "",  IF(OR(COUNTIF(tblPiNAnalysis5[[#This Row],[Highest sector(s)]],tblSubSectorPopulation[Sector])), "Flagged", ""))</f>
        <v/>
      </c>
      <c r="AO41" s="46" cm="1">
        <f t="array" ref="AO4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3770.9075869371013</v>
      </c>
      <c r="AP41" s="331" t="str" cm="1">
        <f t="array" ref="AP41">IF(tblPiNAnalysis5[[#This Row],[2nd Highest Target]]="", "", _xlfn.TEXTJOIN(CHAR(10), TRUE, IF(tblPiNAnalysis5[[#This Row],[2nd Highest Target]]=tblPiNAnalysis5[[#This Row],[CCCM]:[WASH]], tblPiNAnalysis5[[#Headers],[CCCM]:[WASH]], "")))</f>
        <v>Overarching Protection</v>
      </c>
      <c r="AQ41" s="36">
        <f>IFERROR(tblPiNAnalysis5[[#This Row],[2nd Highest Target]]/tblPiNAnalysis5[[#This Row],[Affected population projection 2026]], "")</f>
        <v>0.45733092285646715</v>
      </c>
      <c r="AR41" s="46">
        <f>IFERROR(tblPiNAnalysis5[[#This Row],[Highest Target]]-tblPiNAnalysis5[[#This Row],[2nd Highest Target]], "")</f>
        <v>2193.3814130628984</v>
      </c>
      <c r="AS41" s="39">
        <f>IFERROR(((tblPiNAnalysis5[[#This Row],[Highest Target]]-tblPiNAnalysis5[[#This Row],[2nd Highest Target]])/tblPiNAnalysis5[[#This Row],[2nd Highest Target]]),"")</f>
        <v>0.58165875521878285</v>
      </c>
      <c r="AT41" s="39" t="str" cm="1">
        <f t="array" ref="AT4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41" s="332" cm="1">
        <f t="array" ref="AU4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3507.0492208411197</v>
      </c>
      <c r="AV41" s="190" t="str" cm="1">
        <f t="array" ref="AV41">IF(tblPiNAnalysis5[[#This Row],[3rd Highest Target]]="", "", _xlfn.TEXTJOIN(CHAR(10), TRUE, IF(tblPiNAnalysis5[[#This Row],[3rd Highest Target]]=tblPiNAnalysis5[[#This Row],[CCCM]:[WASH]], tblPiNAnalysis5[[#Headers],[CCCM]:[WASH]], "")))</f>
        <v>Food Security</v>
      </c>
      <c r="AW41" s="190">
        <f>IFERROR(tblPiNAnalysis5[[#This Row],[3rd Highest Target]]/tblPiNAnalysis5[[#This Row],[Affected population projection 2026]], "")</f>
        <v>0.4253305125340045</v>
      </c>
      <c r="AX41" s="45">
        <f>IFERROR(tblPiNAnalysis5[[#This Row],[Highest Target]]-tblPiNAnalysis5[[#This Row],[3rd Highest Target]],"")</f>
        <v>2457.2397791588801</v>
      </c>
      <c r="AY41" s="39">
        <f>IFERROR(tblPiNAnalysis5[[#This Row],[Difference of Target between Highest and 3rd Highest]]/tblPiNAnalysis5[[#This Row],[3rd Highest Target]], "")</f>
        <v>0.7006573402381685</v>
      </c>
      <c r="AZ41" s="330" t="str" cm="1">
        <f t="array" ref="AZ4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41" s="300" t="str" cm="1">
        <f t="array" ref="BA4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1" s="333" t="str" cm="1">
        <f t="array" ref="BB4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1" s="276" t="str" cm="1">
        <f t="array" ref="BC4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1" s="334" t="str" cm="1">
        <f t="array" ref="BD4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1" s="277" t="e">
        <f>INDEX(tblSeverityAnalysis[Final Severity], MATCH(tblPiNAnalysis5[[#This Row],[ID]],tblSeverityAnalysis[ID], 0))</f>
        <v>#N/A</v>
      </c>
      <c r="BF41" s="61" t="e">
        <f>IF(tblPiNAnalysis5[[#This Row],[Severity]]&gt;2,tblPiNAnalysis5[[#This Row],[Highest Target]],)</f>
        <v>#N/A</v>
      </c>
      <c r="BG41" s="191"/>
      <c r="BH41" s="192"/>
      <c r="BI41" s="193">
        <f>COUNTIFS(tblPiNAnalysis5[[#This Row],[Number of missing / zero PiNs greater than threshold - Data quality]:[Manual Flag]],"Flagged")</f>
        <v>3</v>
      </c>
      <c r="BJ41" s="96" t="str">
        <f>IF(tblPiNAnalysis5[[#This Row],['# Flags]]&gt;0, "Flagged", "")</f>
        <v>Flagged</v>
      </c>
      <c r="BK41" s="326" t="e">
        <f>tblPiNAnalysis5[[#This Row],[Preliminary Target]]</f>
        <v>#N/A</v>
      </c>
      <c r="BL41" s="331"/>
    </row>
    <row r="42" spans="1:64" x14ac:dyDescent="0.55000000000000004">
      <c r="A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2" s="316" t="s">
        <v>310</v>
      </c>
      <c r="C42" s="317" t="s">
        <v>311</v>
      </c>
      <c r="D42" s="317" t="s">
        <v>320</v>
      </c>
      <c r="E42" s="105" t="s">
        <v>321</v>
      </c>
      <c r="F42" s="100"/>
      <c r="G42" s="34"/>
      <c r="H42" s="34"/>
      <c r="I42" s="97">
        <v>736.57326854984808</v>
      </c>
      <c r="J42" s="97" t="s">
        <v>412</v>
      </c>
      <c r="K42" s="261">
        <v>0</v>
      </c>
      <c r="L42" s="319">
        <v>28.850101782560451</v>
      </c>
      <c r="M42" s="319">
        <v>130.21598848688026</v>
      </c>
      <c r="N42" s="319">
        <v>135.91231666107845</v>
      </c>
      <c r="O42" s="319">
        <v>109.68564153188382</v>
      </c>
      <c r="P42" s="319">
        <v>67.402041966802386</v>
      </c>
      <c r="Q42" s="229">
        <v>737</v>
      </c>
      <c r="R42" s="319">
        <v>29.293061980456461</v>
      </c>
      <c r="S42" s="319"/>
      <c r="T42" s="319"/>
      <c r="U42" s="319"/>
      <c r="V42" s="319"/>
      <c r="W42" s="321">
        <f>IFERROR(IF(tblPiNAnalysis5[[#This Row],[CCCM]]="", "", MROUND(tblPiNAnalysis5[[#This Row],[CCCM]]/tblPiNAnalysis5[[#This Row],[Affected population projection 2026]], 0.05)), "")</f>
        <v>0</v>
      </c>
      <c r="X42" s="322">
        <f>IFERROR(IF(tblPiNAnalysis5[[#This Row],[Education]]="", "", MROUND(tblPiNAnalysis5[[#This Row],[Education]]/tblPiNAnalysis5[[#This Row],[Affected population projection 2026]], 0.05)), "")</f>
        <v>0.05</v>
      </c>
      <c r="Y42" s="322">
        <f>IFERROR(IF(tblPiNAnalysis5[[#This Row],[Nutrition]]="", "", MROUND(tblPiNAnalysis5[[#This Row],[Nutrition]]/tblPiNAnalysis5[[#This Row],[Affected population projection 2026]], 0.05)), "")</f>
        <v>0.2</v>
      </c>
      <c r="Z42" s="322">
        <f>IFERROR(IF(tblPiNAnalysis5[[#This Row],[Food Security]]="", "", MROUND(tblPiNAnalysis5[[#This Row],[Food Security]]/tblPiNAnalysis5[[#This Row],[Affected population projection 2026]], 0.05)), "")</f>
        <v>0.2</v>
      </c>
      <c r="AA42" s="322">
        <f>IFERROR(IF(tblPiNAnalysis5[[#This Row],[Health]]="", "", MROUND(tblPiNAnalysis5[[#This Row],[Health]]/tblPiNAnalysis5[[#This Row],[Affected population projection 2026]], 0.05)), "")</f>
        <v>0.15000000000000002</v>
      </c>
      <c r="AB42" s="323">
        <f>IFERROR(IF(tblPiNAnalysis5[[#This Row],[Overarching Protection]]="", "", MROUND(tblPiNAnalysis5[[#This Row],[Overarching Protection]]/tblPiNAnalysis5[[#This Row],[Affected population projection 2026]], 0.05)), "")</f>
        <v>0.1</v>
      </c>
      <c r="AC42" s="323">
        <f>IFERROR(IF(tblPiNAnalysis5[[#This Row],[Shelter]]="", "", MROUND(tblPiNAnalysis5[[#This Row],[Shelter]]/tblPiNAnalysis5[[#This Row],[Affected population projection 2026]], 0.05)), "")</f>
        <v>1</v>
      </c>
      <c r="AD42" s="324">
        <f>IFERROR(IF(tblPiNAnalysis5[[#This Row],[WASH]]="", "", MROUND(tblPiNAnalysis5[[#This Row],[WASH]]/tblPiNAnalysis5[[#This Row],[Affected population projection 2026]], 0.05)), "")</f>
        <v>0.05</v>
      </c>
      <c r="AE42" s="322">
        <f>IFERROR(MROUND(tblPiNAnalysis5[[#This Row],[CP]]/tblPiNAnalysis5[[#This Row],[Affected population projection 2026]], 0.05), "")</f>
        <v>0</v>
      </c>
      <c r="AF42" s="322">
        <f>IFERROR(MROUND(tblPiNAnalysis5[[#This Row],[GBV]]/tblPiNAnalysis5[[#This Row],[Affected population projection 2026]], 0.05), "")</f>
        <v>0</v>
      </c>
      <c r="AG42" s="322">
        <f>IFERROR(MROUND(tblPiNAnalysis5[[#This Row],[Mine Action]]/tblPiNAnalysis5[[#This Row],[Affected population projection 2026]], 0.05), "")</f>
        <v>0</v>
      </c>
      <c r="AH42" s="322">
        <f>IFERROR(MROUND(tblPiNAnalysis5[[#This Row],[HLP]]/tblPiNAnalysis5[[#This Row],[Affected population projection 2026]], 0.05), "")</f>
        <v>0</v>
      </c>
      <c r="AI42" s="325">
        <f>IFERROR(LARGE(tblPiNAnalysis5[[#This Row],[CCCM]:[WASH]], 1), "")</f>
        <v>737</v>
      </c>
      <c r="AJ42" s="326" t="str" cm="1">
        <f t="array" ref="AJ42">IF(tblPiNAnalysis5[[#This Row],[Highest Target]]="", "", _xlfn.TEXTJOIN(CHAR(10), TRUE, IF(tblPiNAnalysis5[[#This Row],[Highest Target]]=tblPiNAnalysis5[[#This Row],[CCCM]:[WASH]], tblPiNAnalysis5[[#Headers],[CCCM]:[WASH]], "")))</f>
        <v>Shelter</v>
      </c>
      <c r="AK42" s="327">
        <f>IF(tblPiNAnalysis5[[#This Row],[Highest Target]]="", "", tblPiNAnalysis5[[#This Row],[Highest Target]]/tblPiNAnalysis5[[#This Row],[Affected population projection 2026]])</f>
        <v>1.0005793469141122</v>
      </c>
      <c r="AL42" s="328" t="str">
        <f>IF(SUM(tblPiNAnalysis5[[#This Row],[CCCM]:[WASH]])=0, "",IF(COUNTIF(tblPiNAnalysis5[[#This Row],[CCCM]:[WASH]],"=0")+COUNTIF(tblPiNAnalysis5[[#This Row],[CCCM]:[WASH]],"")&gt;=zero_pin_thresh, "Flagged", ""))</f>
        <v/>
      </c>
      <c r="AM42" s="329" t="str">
        <f>IFERROR(IF(tblPiNAnalysis5[[#This Row],[Highest Target]]="", "", IF(tblPiNAnalysis5[[#This Row],[Highest sector(s'') Target %]]&gt;=flag_pin_perc, "Flagged", "")), "")</f>
        <v>Flagged</v>
      </c>
      <c r="AN42" s="330" t="str" cm="1">
        <f t="array" ref="AN42">IF(tblPiNAnalysis5[[#This Row],[Highest Target]]=0, "",  IF(OR(COUNTIF(tblPiNAnalysis5[[#This Row],[Highest sector(s)]],tblSubSectorPopulation[Sector])), "Flagged", ""))</f>
        <v/>
      </c>
      <c r="AO42" s="46" cm="1">
        <f t="array" ref="AO4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135.91231666107845</v>
      </c>
      <c r="AP42" s="331" t="str" cm="1">
        <f t="array" ref="AP42">IF(tblPiNAnalysis5[[#This Row],[2nd Highest Target]]="", "", _xlfn.TEXTJOIN(CHAR(10), TRUE, IF(tblPiNAnalysis5[[#This Row],[2nd Highest Target]]=tblPiNAnalysis5[[#This Row],[CCCM]:[WASH]], tblPiNAnalysis5[[#Headers],[CCCM]:[WASH]], "")))</f>
        <v>Food Security</v>
      </c>
      <c r="AQ42" s="36">
        <f>IFERROR(tblPiNAnalysis5[[#This Row],[2nd Highest Target]]/tblPiNAnalysis5[[#This Row],[Affected population projection 2026]], "")</f>
        <v>0.18451975175349511</v>
      </c>
      <c r="AR42" s="46">
        <f>IFERROR(tblPiNAnalysis5[[#This Row],[Highest Target]]-tblPiNAnalysis5[[#This Row],[2nd Highest Target]], "")</f>
        <v>601.08768333892158</v>
      </c>
      <c r="AS42" s="39">
        <f>IFERROR(((tblPiNAnalysis5[[#This Row],[Highest Target]]-tblPiNAnalysis5[[#This Row],[2nd Highest Target]])/tblPiNAnalysis5[[#This Row],[2nd Highest Target]]),"")</f>
        <v>4.4226137711848494</v>
      </c>
      <c r="AT42" s="39" t="str" cm="1">
        <f t="array" ref="AT4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42" s="332" cm="1">
        <f t="array" ref="AU4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130.21598848688026</v>
      </c>
      <c r="AV42" s="190" t="str" cm="1">
        <f t="array" ref="AV42">IF(tblPiNAnalysis5[[#This Row],[3rd Highest Target]]="", "", _xlfn.TEXTJOIN(CHAR(10), TRUE, IF(tblPiNAnalysis5[[#This Row],[3rd Highest Target]]=tblPiNAnalysis5[[#This Row],[CCCM]:[WASH]], tblPiNAnalysis5[[#Headers],[CCCM]:[WASH]], "")))</f>
        <v>Nutrition</v>
      </c>
      <c r="AW42" s="190">
        <f>IFERROR(tblPiNAnalysis5[[#This Row],[3rd Highest Target]]/tblPiNAnalysis5[[#This Row],[Affected population projection 2026]], "")</f>
        <v>0.17678619907459731</v>
      </c>
      <c r="AX42" s="45">
        <f>IFERROR(tblPiNAnalysis5[[#This Row],[Highest Target]]-tblPiNAnalysis5[[#This Row],[3rd Highest Target]],"")</f>
        <v>606.78401151311971</v>
      </c>
      <c r="AY42" s="39">
        <f>IFERROR(tblPiNAnalysis5[[#This Row],[Difference of Target between Highest and 3rd Highest]]/tblPiNAnalysis5[[#This Row],[3rd Highest Target]], "")</f>
        <v>4.6598272498177549</v>
      </c>
      <c r="AZ42" s="330" t="str" cm="1">
        <f t="array" ref="AZ4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42" s="300" t="str" cm="1">
        <f t="array" ref="BA4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2" s="333" t="str" cm="1">
        <f t="array" ref="BB4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2" s="276" t="str" cm="1">
        <f t="array" ref="BC4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2" s="334" t="str" cm="1">
        <f t="array" ref="BD4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2" s="277" t="e">
        <f>INDEX(tblSeverityAnalysis[Final Severity], MATCH(tblPiNAnalysis5[[#This Row],[ID]],tblSeverityAnalysis[ID], 0))</f>
        <v>#N/A</v>
      </c>
      <c r="BF42" s="61" t="e">
        <f>IF(tblPiNAnalysis5[[#This Row],[Severity]]&gt;2,tblPiNAnalysis5[[#This Row],[Highest Target]],)</f>
        <v>#N/A</v>
      </c>
      <c r="BG42" s="191"/>
      <c r="BH42" s="192"/>
      <c r="BI42" s="193">
        <f>COUNTIFS(tblPiNAnalysis5[[#This Row],[Number of missing / zero PiNs greater than threshold - Data quality]:[Manual Flag]],"Flagged")</f>
        <v>4</v>
      </c>
      <c r="BJ42" s="96" t="str">
        <f>IF(tblPiNAnalysis5[[#This Row],['# Flags]]&gt;0, "Flagged", "")</f>
        <v>Flagged</v>
      </c>
      <c r="BK42" s="326" t="e">
        <f>tblPiNAnalysis5[[#This Row],[Preliminary Target]]</f>
        <v>#N/A</v>
      </c>
      <c r="BL42" s="331"/>
    </row>
    <row r="43" spans="1:64" ht="110.7" x14ac:dyDescent="0.55000000000000004">
      <c r="A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3" s="316" t="s">
        <v>322</v>
      </c>
      <c r="C43" s="317" t="s">
        <v>323</v>
      </c>
      <c r="D43" s="317" t="s">
        <v>324</v>
      </c>
      <c r="E43" s="105" t="s">
        <v>325</v>
      </c>
      <c r="F43" s="100"/>
      <c r="G43" s="34"/>
      <c r="H43" s="34"/>
      <c r="I43" s="97">
        <v>8191.9832367247782</v>
      </c>
      <c r="J43" s="97" t="s">
        <v>412</v>
      </c>
      <c r="K43" s="261">
        <v>0</v>
      </c>
      <c r="L43" s="319">
        <v>0</v>
      </c>
      <c r="M43" s="319">
        <v>0</v>
      </c>
      <c r="N43" s="319">
        <v>0</v>
      </c>
      <c r="O43" s="319">
        <v>0</v>
      </c>
      <c r="P43" s="319">
        <v>0</v>
      </c>
      <c r="Q43" s="229">
        <v>0</v>
      </c>
      <c r="R43" s="319">
        <v>0</v>
      </c>
      <c r="S43" s="319"/>
      <c r="T43" s="319"/>
      <c r="U43" s="319"/>
      <c r="V43" s="319"/>
      <c r="W43" s="321">
        <f>IFERROR(IF(tblPiNAnalysis5[[#This Row],[CCCM]]="", "", MROUND(tblPiNAnalysis5[[#This Row],[CCCM]]/tblPiNAnalysis5[[#This Row],[Affected population projection 2026]], 0.05)), "")</f>
        <v>0</v>
      </c>
      <c r="X43" s="322">
        <f>IFERROR(IF(tblPiNAnalysis5[[#This Row],[Education]]="", "", MROUND(tblPiNAnalysis5[[#This Row],[Education]]/tblPiNAnalysis5[[#This Row],[Affected population projection 2026]], 0.05)), "")</f>
        <v>0</v>
      </c>
      <c r="Y43" s="322">
        <f>IFERROR(IF(tblPiNAnalysis5[[#This Row],[Nutrition]]="", "", MROUND(tblPiNAnalysis5[[#This Row],[Nutrition]]/tblPiNAnalysis5[[#This Row],[Affected population projection 2026]], 0.05)), "")</f>
        <v>0</v>
      </c>
      <c r="Z43" s="322">
        <f>IFERROR(IF(tblPiNAnalysis5[[#This Row],[Food Security]]="", "", MROUND(tblPiNAnalysis5[[#This Row],[Food Security]]/tblPiNAnalysis5[[#This Row],[Affected population projection 2026]], 0.05)), "")</f>
        <v>0</v>
      </c>
      <c r="AA43" s="322">
        <f>IFERROR(IF(tblPiNAnalysis5[[#This Row],[Health]]="", "", MROUND(tblPiNAnalysis5[[#This Row],[Health]]/tblPiNAnalysis5[[#This Row],[Affected population projection 2026]], 0.05)), "")</f>
        <v>0</v>
      </c>
      <c r="AB43" s="323">
        <f>IFERROR(IF(tblPiNAnalysis5[[#This Row],[Overarching Protection]]="", "", MROUND(tblPiNAnalysis5[[#This Row],[Overarching Protection]]/tblPiNAnalysis5[[#This Row],[Affected population projection 2026]], 0.05)), "")</f>
        <v>0</v>
      </c>
      <c r="AC43" s="323">
        <f>IFERROR(IF(tblPiNAnalysis5[[#This Row],[Shelter]]="", "", MROUND(tblPiNAnalysis5[[#This Row],[Shelter]]/tblPiNAnalysis5[[#This Row],[Affected population projection 2026]], 0.05)), "")</f>
        <v>0</v>
      </c>
      <c r="AD43" s="324">
        <f>IFERROR(IF(tblPiNAnalysis5[[#This Row],[WASH]]="", "", MROUND(tblPiNAnalysis5[[#This Row],[WASH]]/tblPiNAnalysis5[[#This Row],[Affected population projection 2026]], 0.05)), "")</f>
        <v>0</v>
      </c>
      <c r="AE43" s="322">
        <f>IFERROR(MROUND(tblPiNAnalysis5[[#This Row],[CP]]/tblPiNAnalysis5[[#This Row],[Affected population projection 2026]], 0.05), "")</f>
        <v>0</v>
      </c>
      <c r="AF43" s="322">
        <f>IFERROR(MROUND(tblPiNAnalysis5[[#This Row],[GBV]]/tblPiNAnalysis5[[#This Row],[Affected population projection 2026]], 0.05), "")</f>
        <v>0</v>
      </c>
      <c r="AG43" s="322">
        <f>IFERROR(MROUND(tblPiNAnalysis5[[#This Row],[Mine Action]]/tblPiNAnalysis5[[#This Row],[Affected population projection 2026]], 0.05), "")</f>
        <v>0</v>
      </c>
      <c r="AH43" s="322">
        <f>IFERROR(MROUND(tblPiNAnalysis5[[#This Row],[HLP]]/tblPiNAnalysis5[[#This Row],[Affected population projection 2026]], 0.05), "")</f>
        <v>0</v>
      </c>
      <c r="AI43" s="325">
        <f>IFERROR(LARGE(tblPiNAnalysis5[[#This Row],[CCCM]:[WASH]], 1), "")</f>
        <v>0</v>
      </c>
      <c r="AJ43" s="326" t="str" cm="1">
        <f t="array" ref="AJ43">IF(tblPiNAnalysis5[[#This Row],[Highest Target]]="", "", _xlfn.TEXTJOIN(CHAR(10), TRUE, IF(tblPiNAnalysis5[[#This Row],[Highest Target]]=tblPiNAnalysis5[[#This Row],[CCCM]:[WASH]], tblPiNAnalysis5[[#Headers],[CCCM]:[WASH]], "")))</f>
        <v>CCCM
Education
Nutrition
Food Security
Health
Overarching Protection
Shelter
WASH</v>
      </c>
      <c r="AK43" s="327">
        <f>IF(tblPiNAnalysis5[[#This Row],[Highest Target]]="", "", tblPiNAnalysis5[[#This Row],[Highest Target]]/tblPiNAnalysis5[[#This Row],[Affected population projection 2026]])</f>
        <v>0</v>
      </c>
      <c r="AL43" s="328" t="str">
        <f>IF(SUM(tblPiNAnalysis5[[#This Row],[CCCM]:[WASH]])=0, "",IF(COUNTIF(tblPiNAnalysis5[[#This Row],[CCCM]:[WASH]],"=0")+COUNTIF(tblPiNAnalysis5[[#This Row],[CCCM]:[WASH]],"")&gt;=zero_pin_thresh, "Flagged", ""))</f>
        <v/>
      </c>
      <c r="AM43" s="329" t="str">
        <f>IFERROR(IF(tblPiNAnalysis5[[#This Row],[Highest Target]]="", "", IF(tblPiNAnalysis5[[#This Row],[Highest sector(s'') Target %]]&gt;=flag_pin_perc, "Flagged", "")), "")</f>
        <v/>
      </c>
      <c r="AN43" s="330" t="str" cm="1">
        <f t="array" ref="AN43">IF(tblPiNAnalysis5[[#This Row],[Highest Target]]=0, "",  IF(OR(COUNTIF(tblPiNAnalysis5[[#This Row],[Highest sector(s)]],tblSubSectorPopulation[Sector])), "Flagged", ""))</f>
        <v/>
      </c>
      <c r="AO43" s="46" cm="1">
        <f t="array" ref="AO4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43" s="331" t="str" cm="1">
        <f t="array" ref="AP43">IF(tblPiNAnalysis5[[#This Row],[2nd Highest Target]]="", "", _xlfn.TEXTJOIN(CHAR(10), TRUE, IF(tblPiNAnalysis5[[#This Row],[2nd Highest Target]]=tblPiNAnalysis5[[#This Row],[CCCM]:[WASH]], tblPiNAnalysis5[[#Headers],[CCCM]:[WASH]], "")))</f>
        <v>CCCM
Education
Nutrition
Food Security
Health
Overarching Protection
Shelter
WASH</v>
      </c>
      <c r="AQ43" s="36">
        <f>IFERROR(tblPiNAnalysis5[[#This Row],[2nd Highest Target]]/tblPiNAnalysis5[[#This Row],[Affected population projection 2026]], "")</f>
        <v>0</v>
      </c>
      <c r="AR43" s="46">
        <f>IFERROR(tblPiNAnalysis5[[#This Row],[Highest Target]]-tblPiNAnalysis5[[#This Row],[2nd Highest Target]], "")</f>
        <v>0</v>
      </c>
      <c r="AS43" s="39" t="str">
        <f>IFERROR(((tblPiNAnalysis5[[#This Row],[Highest Target]]-tblPiNAnalysis5[[#This Row],[2nd Highest Target]])/tblPiNAnalysis5[[#This Row],[2nd Highest Target]]),"")</f>
        <v/>
      </c>
      <c r="AT43" s="39" t="str" cm="1">
        <f t="array" ref="AT4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3" s="332" cm="1">
        <f t="array" ref="AU4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43" s="190" t="str" cm="1">
        <f t="array" ref="AV43">IF(tblPiNAnalysis5[[#This Row],[3rd Highest Target]]="", "", _xlfn.TEXTJOIN(CHAR(10), TRUE, IF(tblPiNAnalysis5[[#This Row],[3rd Highest Target]]=tblPiNAnalysis5[[#This Row],[CCCM]:[WASH]], tblPiNAnalysis5[[#Headers],[CCCM]:[WASH]], "")))</f>
        <v>CCCM
Education
Nutrition
Food Security
Health
Overarching Protection
Shelter
WASH</v>
      </c>
      <c r="AW43" s="190">
        <f>IFERROR(tblPiNAnalysis5[[#This Row],[3rd Highest Target]]/tblPiNAnalysis5[[#This Row],[Affected population projection 2026]], "")</f>
        <v>0</v>
      </c>
      <c r="AX43" s="45">
        <f>IFERROR(tblPiNAnalysis5[[#This Row],[Highest Target]]-tblPiNAnalysis5[[#This Row],[3rd Highest Target]],"")</f>
        <v>0</v>
      </c>
      <c r="AY43" s="39" t="str">
        <f>IFERROR(tblPiNAnalysis5[[#This Row],[Difference of Target between Highest and 3rd Highest]]/tblPiNAnalysis5[[#This Row],[3rd Highest Target]], "")</f>
        <v/>
      </c>
      <c r="AZ43" s="330" t="str" cm="1">
        <f t="array" ref="AZ4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3" s="300" t="str" cm="1">
        <f t="array" ref="BA4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3" s="333" t="str" cm="1">
        <f t="array" ref="BB4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3" s="276" t="str" cm="1">
        <f t="array" ref="BC4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3" s="334" t="str" cm="1">
        <f t="array" ref="BD4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43" s="277" t="e">
        <f>INDEX(tblSeverityAnalysis[Final Severity], MATCH(tblPiNAnalysis5[[#This Row],[ID]],tblSeverityAnalysis[ID], 0))</f>
        <v>#N/A</v>
      </c>
      <c r="BF43" s="61" t="e">
        <f>IF(tblPiNAnalysis5[[#This Row],[Severity]]&gt;2,tblPiNAnalysis5[[#This Row],[Highest Target]],)</f>
        <v>#N/A</v>
      </c>
      <c r="BG43" s="191"/>
      <c r="BH43" s="192"/>
      <c r="BI43" s="193">
        <f>COUNTIFS(tblPiNAnalysis5[[#This Row],[Number of missing / zero PiNs greater than threshold - Data quality]:[Manual Flag]],"Flagged")</f>
        <v>2</v>
      </c>
      <c r="BJ43" s="96" t="str">
        <f>IF(tblPiNAnalysis5[[#This Row],['# Flags]]&gt;0, "Flagged", "")</f>
        <v>Flagged</v>
      </c>
      <c r="BK43" s="326" t="e">
        <f>tblPiNAnalysis5[[#This Row],[Preliminary Target]]</f>
        <v>#N/A</v>
      </c>
      <c r="BL43" s="331"/>
    </row>
    <row r="44" spans="1:64" x14ac:dyDescent="0.55000000000000004">
      <c r="A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4" s="316" t="s">
        <v>322</v>
      </c>
      <c r="C44" s="317" t="s">
        <v>323</v>
      </c>
      <c r="D44" s="317" t="s">
        <v>326</v>
      </c>
      <c r="E44" s="105" t="s">
        <v>327</v>
      </c>
      <c r="F44" s="100"/>
      <c r="G44" s="34"/>
      <c r="H44" s="34"/>
      <c r="I44" s="97">
        <v>25939.727484978604</v>
      </c>
      <c r="J44" s="97" t="s">
        <v>412</v>
      </c>
      <c r="K44" s="261">
        <v>9023</v>
      </c>
      <c r="L44" s="319">
        <v>1477.4419249368682</v>
      </c>
      <c r="M44" s="319">
        <v>5043.5488413919347</v>
      </c>
      <c r="N44" s="319">
        <v>5859.6732832630205</v>
      </c>
      <c r="O44" s="319">
        <v>4664.5616339204607</v>
      </c>
      <c r="P44" s="319">
        <v>3476.8644893886481</v>
      </c>
      <c r="Q44" s="229">
        <v>6945.4569592522621</v>
      </c>
      <c r="R44" s="319">
        <v>2148.3004758649972</v>
      </c>
      <c r="S44" s="319"/>
      <c r="T44" s="319"/>
      <c r="U44" s="319"/>
      <c r="V44" s="319"/>
      <c r="W44" s="321">
        <f>IFERROR(IF(tblPiNAnalysis5[[#This Row],[CCCM]]="", "", MROUND(tblPiNAnalysis5[[#This Row],[CCCM]]/tblPiNAnalysis5[[#This Row],[Affected population projection 2026]], 0.05)), "")</f>
        <v>0.35000000000000003</v>
      </c>
      <c r="X44" s="322">
        <f>IFERROR(IF(tblPiNAnalysis5[[#This Row],[Education]]="", "", MROUND(tblPiNAnalysis5[[#This Row],[Education]]/tblPiNAnalysis5[[#This Row],[Affected population projection 2026]], 0.05)), "")</f>
        <v>0.05</v>
      </c>
      <c r="Y44" s="322">
        <f>IFERROR(IF(tblPiNAnalysis5[[#This Row],[Nutrition]]="", "", MROUND(tblPiNAnalysis5[[#This Row],[Nutrition]]/tblPiNAnalysis5[[#This Row],[Affected population projection 2026]], 0.05)), "")</f>
        <v>0.2</v>
      </c>
      <c r="Z44" s="322">
        <f>IFERROR(IF(tblPiNAnalysis5[[#This Row],[Food Security]]="", "", MROUND(tblPiNAnalysis5[[#This Row],[Food Security]]/tblPiNAnalysis5[[#This Row],[Affected population projection 2026]], 0.05)), "")</f>
        <v>0.25</v>
      </c>
      <c r="AA44" s="322">
        <f>IFERROR(IF(tblPiNAnalysis5[[#This Row],[Health]]="", "", MROUND(tblPiNAnalysis5[[#This Row],[Health]]/tblPiNAnalysis5[[#This Row],[Affected population projection 2026]], 0.05)), "")</f>
        <v>0.2</v>
      </c>
      <c r="AB44" s="323">
        <f>IFERROR(IF(tblPiNAnalysis5[[#This Row],[Overarching Protection]]="", "", MROUND(tblPiNAnalysis5[[#This Row],[Overarching Protection]]/tblPiNAnalysis5[[#This Row],[Affected population projection 2026]], 0.05)), "")</f>
        <v>0.15000000000000002</v>
      </c>
      <c r="AC44" s="323">
        <f>IFERROR(IF(tblPiNAnalysis5[[#This Row],[Shelter]]="", "", MROUND(tblPiNAnalysis5[[#This Row],[Shelter]]/tblPiNAnalysis5[[#This Row],[Affected population projection 2026]], 0.05)), "")</f>
        <v>0.25</v>
      </c>
      <c r="AD44" s="324">
        <f>IFERROR(IF(tblPiNAnalysis5[[#This Row],[WASH]]="", "", MROUND(tblPiNAnalysis5[[#This Row],[WASH]]/tblPiNAnalysis5[[#This Row],[Affected population projection 2026]], 0.05)), "")</f>
        <v>0.1</v>
      </c>
      <c r="AE44" s="322">
        <f>IFERROR(MROUND(tblPiNAnalysis5[[#This Row],[CP]]/tblPiNAnalysis5[[#This Row],[Affected population projection 2026]], 0.05), "")</f>
        <v>0</v>
      </c>
      <c r="AF44" s="322">
        <f>IFERROR(MROUND(tblPiNAnalysis5[[#This Row],[GBV]]/tblPiNAnalysis5[[#This Row],[Affected population projection 2026]], 0.05), "")</f>
        <v>0</v>
      </c>
      <c r="AG44" s="322">
        <f>IFERROR(MROUND(tblPiNAnalysis5[[#This Row],[Mine Action]]/tblPiNAnalysis5[[#This Row],[Affected population projection 2026]], 0.05), "")</f>
        <v>0</v>
      </c>
      <c r="AH44" s="322">
        <f>IFERROR(MROUND(tblPiNAnalysis5[[#This Row],[HLP]]/tblPiNAnalysis5[[#This Row],[Affected population projection 2026]], 0.05), "")</f>
        <v>0</v>
      </c>
      <c r="AI44" s="325">
        <f>IFERROR(LARGE(tblPiNAnalysis5[[#This Row],[CCCM]:[WASH]], 1), "")</f>
        <v>9023</v>
      </c>
      <c r="AJ44" s="326" t="str" cm="1">
        <f t="array" ref="AJ44">IF(tblPiNAnalysis5[[#This Row],[Highest Target]]="", "", _xlfn.TEXTJOIN(CHAR(10), TRUE, IF(tblPiNAnalysis5[[#This Row],[Highest Target]]=tblPiNAnalysis5[[#This Row],[CCCM]:[WASH]], tblPiNAnalysis5[[#Headers],[CCCM]:[WASH]], "")))</f>
        <v>CCCM</v>
      </c>
      <c r="AK44" s="327">
        <f>IF(tblPiNAnalysis5[[#This Row],[Highest Target]]="", "", tblPiNAnalysis5[[#This Row],[Highest Target]]/tblPiNAnalysis5[[#This Row],[Affected population projection 2026]])</f>
        <v>0.3478448262505886</v>
      </c>
      <c r="AL44" s="328" t="str">
        <f>IF(SUM(tblPiNAnalysis5[[#This Row],[CCCM]:[WASH]])=0, "",IF(COUNTIF(tblPiNAnalysis5[[#This Row],[CCCM]:[WASH]],"=0")+COUNTIF(tblPiNAnalysis5[[#This Row],[CCCM]:[WASH]],"")&gt;=zero_pin_thresh, "Flagged", ""))</f>
        <v/>
      </c>
      <c r="AM44" s="329" t="str">
        <f>IFERROR(IF(tblPiNAnalysis5[[#This Row],[Highest Target]]="", "", IF(tblPiNAnalysis5[[#This Row],[Highest sector(s'') Target %]]&gt;=flag_pin_perc, "Flagged", "")), "")</f>
        <v/>
      </c>
      <c r="AN44" s="330" t="str" cm="1">
        <f t="array" ref="AN44">IF(tblPiNAnalysis5[[#This Row],[Highest Target]]=0, "",  IF(OR(COUNTIF(tblPiNAnalysis5[[#This Row],[Highest sector(s)]],tblSubSectorPopulation[Sector])), "Flagged", ""))</f>
        <v/>
      </c>
      <c r="AO44" s="46" cm="1">
        <f t="array" ref="AO4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6945.4569592522621</v>
      </c>
      <c r="AP44" s="331" t="str" cm="1">
        <f t="array" ref="AP44">IF(tblPiNAnalysis5[[#This Row],[2nd Highest Target]]="", "", _xlfn.TEXTJOIN(CHAR(10), TRUE, IF(tblPiNAnalysis5[[#This Row],[2nd Highest Target]]=tblPiNAnalysis5[[#This Row],[CCCM]:[WASH]], tblPiNAnalysis5[[#Headers],[CCCM]:[WASH]], "")))</f>
        <v>Shelter</v>
      </c>
      <c r="AQ44" s="36">
        <f>IFERROR(tblPiNAnalysis5[[#This Row],[2nd Highest Target]]/tblPiNAnalysis5[[#This Row],[Affected population projection 2026]], "")</f>
        <v>0.26775365945052026</v>
      </c>
      <c r="AR44" s="46">
        <f>IFERROR(tblPiNAnalysis5[[#This Row],[Highest Target]]-tblPiNAnalysis5[[#This Row],[2nd Highest Target]], "")</f>
        <v>2077.5430407477379</v>
      </c>
      <c r="AS44" s="39">
        <f>IFERROR(((tblPiNAnalysis5[[#This Row],[Highest Target]]-tblPiNAnalysis5[[#This Row],[2nd Highest Target]])/tblPiNAnalysis5[[#This Row],[2nd Highest Target]]),"")</f>
        <v>0.29912258515693158</v>
      </c>
      <c r="AT44" s="39" t="str" cm="1">
        <f t="array" ref="AT4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4" s="332" cm="1">
        <f t="array" ref="AU4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5859.6732832630205</v>
      </c>
      <c r="AV44" s="190" t="str" cm="1">
        <f t="array" ref="AV44">IF(tblPiNAnalysis5[[#This Row],[3rd Highest Target]]="", "", _xlfn.TEXTJOIN(CHAR(10), TRUE, IF(tblPiNAnalysis5[[#This Row],[3rd Highest Target]]=tblPiNAnalysis5[[#This Row],[CCCM]:[WASH]], tblPiNAnalysis5[[#Headers],[CCCM]:[WASH]], "")))</f>
        <v>Food Security</v>
      </c>
      <c r="AW44" s="190">
        <f>IFERROR(tblPiNAnalysis5[[#This Row],[3rd Highest Target]]/tblPiNAnalysis5[[#This Row],[Affected population projection 2026]], "")</f>
        <v>0.22589571485114057</v>
      </c>
      <c r="AX44" s="45">
        <f>IFERROR(tblPiNAnalysis5[[#This Row],[Highest Target]]-tblPiNAnalysis5[[#This Row],[3rd Highest Target]],"")</f>
        <v>3163.3267167369795</v>
      </c>
      <c r="AY44" s="39">
        <f>IFERROR(tblPiNAnalysis5[[#This Row],[Difference of Target between Highest and 3rd Highest]]/tblPiNAnalysis5[[#This Row],[3rd Highest Target]], "")</f>
        <v>0.53984694432919778</v>
      </c>
      <c r="AZ44" s="330" t="str" cm="1">
        <f t="array" ref="AZ4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44" s="300" t="str" cm="1">
        <f t="array" ref="BA4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4" s="333" t="str" cm="1">
        <f t="array" ref="BB4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44" s="276" t="str" cm="1">
        <f t="array" ref="BC4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4" s="334" t="str" cm="1">
        <f t="array" ref="BD4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44" s="277" t="e">
        <f>INDEX(tblSeverityAnalysis[Final Severity], MATCH(tblPiNAnalysis5[[#This Row],[ID]],tblSeverityAnalysis[ID], 0))</f>
        <v>#N/A</v>
      </c>
      <c r="BF44" s="61" t="e">
        <f>IF(tblPiNAnalysis5[[#This Row],[Severity]]&gt;2,tblPiNAnalysis5[[#This Row],[Highest Target]],)</f>
        <v>#N/A</v>
      </c>
      <c r="BG44" s="191"/>
      <c r="BH44" s="192"/>
      <c r="BI44" s="193">
        <f>COUNTIFS(tblPiNAnalysis5[[#This Row],[Number of missing / zero PiNs greater than threshold - Data quality]:[Manual Flag]],"Flagged")</f>
        <v>2</v>
      </c>
      <c r="BJ44" s="96" t="str">
        <f>IF(tblPiNAnalysis5[[#This Row],['# Flags]]&gt;0, "Flagged", "")</f>
        <v>Flagged</v>
      </c>
      <c r="BK44" s="326" t="e">
        <f>tblPiNAnalysis5[[#This Row],[Preliminary Target]]</f>
        <v>#N/A</v>
      </c>
      <c r="BL44" s="331"/>
    </row>
    <row r="45" spans="1:64" ht="24.6" x14ac:dyDescent="0.55000000000000004">
      <c r="A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5" s="316" t="s">
        <v>322</v>
      </c>
      <c r="C45" s="317" t="s">
        <v>323</v>
      </c>
      <c r="D45" s="317" t="s">
        <v>328</v>
      </c>
      <c r="E45" s="105" t="s">
        <v>329</v>
      </c>
      <c r="F45" s="100"/>
      <c r="G45" s="34"/>
      <c r="H45" s="34"/>
      <c r="I45" s="97">
        <v>31198.282244133567</v>
      </c>
      <c r="J45" s="97" t="s">
        <v>412</v>
      </c>
      <c r="K45" s="261">
        <v>0</v>
      </c>
      <c r="L45" s="319">
        <v>1869.7348936884955</v>
      </c>
      <c r="M45" s="319">
        <v>6484.1456911756313</v>
      </c>
      <c r="N45" s="319">
        <v>6614.0456280352337</v>
      </c>
      <c r="O45" s="319">
        <v>5597.9883433858558</v>
      </c>
      <c r="P45" s="319">
        <v>4187.147236908173</v>
      </c>
      <c r="Q45" s="229">
        <v>0</v>
      </c>
      <c r="R45" s="319">
        <v>3607.56885946289</v>
      </c>
      <c r="S45" s="319"/>
      <c r="T45" s="319"/>
      <c r="U45" s="319"/>
      <c r="V45" s="319"/>
      <c r="W45" s="321">
        <f>IFERROR(IF(tblPiNAnalysis5[[#This Row],[CCCM]]="", "", MROUND(tblPiNAnalysis5[[#This Row],[CCCM]]/tblPiNAnalysis5[[#This Row],[Affected population projection 2026]], 0.05)), "")</f>
        <v>0</v>
      </c>
      <c r="X45" s="322">
        <f>IFERROR(IF(tblPiNAnalysis5[[#This Row],[Education]]="", "", MROUND(tblPiNAnalysis5[[#This Row],[Education]]/tblPiNAnalysis5[[#This Row],[Affected population projection 2026]], 0.05)), "")</f>
        <v>0.05</v>
      </c>
      <c r="Y45" s="322">
        <f>IFERROR(IF(tblPiNAnalysis5[[#This Row],[Nutrition]]="", "", MROUND(tblPiNAnalysis5[[#This Row],[Nutrition]]/tblPiNAnalysis5[[#This Row],[Affected population projection 2026]], 0.05)), "")</f>
        <v>0.2</v>
      </c>
      <c r="Z45" s="322">
        <f>IFERROR(IF(tblPiNAnalysis5[[#This Row],[Food Security]]="", "", MROUND(tblPiNAnalysis5[[#This Row],[Food Security]]/tblPiNAnalysis5[[#This Row],[Affected population projection 2026]], 0.05)), "")</f>
        <v>0.2</v>
      </c>
      <c r="AA45" s="322">
        <f>IFERROR(IF(tblPiNAnalysis5[[#This Row],[Health]]="", "", MROUND(tblPiNAnalysis5[[#This Row],[Health]]/tblPiNAnalysis5[[#This Row],[Affected population projection 2026]], 0.05)), "")</f>
        <v>0.2</v>
      </c>
      <c r="AB45" s="323">
        <f>IFERROR(IF(tblPiNAnalysis5[[#This Row],[Overarching Protection]]="", "", MROUND(tblPiNAnalysis5[[#This Row],[Overarching Protection]]/tblPiNAnalysis5[[#This Row],[Affected population projection 2026]], 0.05)), "")</f>
        <v>0.15000000000000002</v>
      </c>
      <c r="AC45" s="323">
        <f>IFERROR(IF(tblPiNAnalysis5[[#This Row],[Shelter]]="", "", MROUND(tblPiNAnalysis5[[#This Row],[Shelter]]/tblPiNAnalysis5[[#This Row],[Affected population projection 2026]], 0.05)), "")</f>
        <v>0</v>
      </c>
      <c r="AD45" s="324">
        <f>IFERROR(IF(tblPiNAnalysis5[[#This Row],[WASH]]="", "", MROUND(tblPiNAnalysis5[[#This Row],[WASH]]/tblPiNAnalysis5[[#This Row],[Affected population projection 2026]], 0.05)), "")</f>
        <v>0.1</v>
      </c>
      <c r="AE45" s="322">
        <f>IFERROR(MROUND(tblPiNAnalysis5[[#This Row],[CP]]/tblPiNAnalysis5[[#This Row],[Affected population projection 2026]], 0.05), "")</f>
        <v>0</v>
      </c>
      <c r="AF45" s="322">
        <f>IFERROR(MROUND(tblPiNAnalysis5[[#This Row],[GBV]]/tblPiNAnalysis5[[#This Row],[Affected population projection 2026]], 0.05), "")</f>
        <v>0</v>
      </c>
      <c r="AG45" s="322">
        <f>IFERROR(MROUND(tblPiNAnalysis5[[#This Row],[Mine Action]]/tblPiNAnalysis5[[#This Row],[Affected population projection 2026]], 0.05), "")</f>
        <v>0</v>
      </c>
      <c r="AH45" s="322">
        <f>IFERROR(MROUND(tblPiNAnalysis5[[#This Row],[HLP]]/tblPiNAnalysis5[[#This Row],[Affected population projection 2026]], 0.05), "")</f>
        <v>0</v>
      </c>
      <c r="AI45" s="325">
        <f>IFERROR(LARGE(tblPiNAnalysis5[[#This Row],[CCCM]:[WASH]], 1), "")</f>
        <v>6614.0456280352337</v>
      </c>
      <c r="AJ45" s="326" t="str" cm="1">
        <f t="array" ref="AJ45">IF(tblPiNAnalysis5[[#This Row],[Highest Target]]="", "", _xlfn.TEXTJOIN(CHAR(10), TRUE, IF(tblPiNAnalysis5[[#This Row],[Highest Target]]=tblPiNAnalysis5[[#This Row],[CCCM]:[WASH]], tblPiNAnalysis5[[#Headers],[CCCM]:[WASH]], "")))</f>
        <v>Food Security</v>
      </c>
      <c r="AK45" s="327">
        <f>IF(tblPiNAnalysis5[[#This Row],[Highest Target]]="", "", tblPiNAnalysis5[[#This Row],[Highest Target]]/tblPiNAnalysis5[[#This Row],[Affected population projection 2026]])</f>
        <v>0.21200031387237417</v>
      </c>
      <c r="AL45" s="328" t="str">
        <f>IF(SUM(tblPiNAnalysis5[[#This Row],[CCCM]:[WASH]])=0, "",IF(COUNTIF(tblPiNAnalysis5[[#This Row],[CCCM]:[WASH]],"=0")+COUNTIF(tblPiNAnalysis5[[#This Row],[CCCM]:[WASH]],"")&gt;=zero_pin_thresh, "Flagged", ""))</f>
        <v>Flagged</v>
      </c>
      <c r="AM45" s="329" t="str">
        <f>IFERROR(IF(tblPiNAnalysis5[[#This Row],[Highest Target]]="", "", IF(tblPiNAnalysis5[[#This Row],[Highest sector(s'') Target %]]&gt;=flag_pin_perc, "Flagged", "")), "")</f>
        <v/>
      </c>
      <c r="AN45" s="330" t="str" cm="1">
        <f t="array" ref="AN45">IF(tblPiNAnalysis5[[#This Row],[Highest Target]]=0, "",  IF(OR(COUNTIF(tblPiNAnalysis5[[#This Row],[Highest sector(s)]],tblSubSectorPopulation[Sector])), "Flagged", ""))</f>
        <v/>
      </c>
      <c r="AO45" s="46" cm="1">
        <f t="array" ref="AO4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6484.1456911756313</v>
      </c>
      <c r="AP45" s="331" t="str" cm="1">
        <f t="array" ref="AP45">IF(tblPiNAnalysis5[[#This Row],[2nd Highest Target]]="", "", _xlfn.TEXTJOIN(CHAR(10), TRUE, IF(tblPiNAnalysis5[[#This Row],[2nd Highest Target]]=tblPiNAnalysis5[[#This Row],[CCCM]:[WASH]], tblPiNAnalysis5[[#Headers],[CCCM]:[WASH]], "")))</f>
        <v>Nutrition</v>
      </c>
      <c r="AQ45" s="36">
        <f>IFERROR(tblPiNAnalysis5[[#This Row],[2nd Highest Target]]/tblPiNAnalysis5[[#This Row],[Affected population projection 2026]], "")</f>
        <v>0.20783662512043882</v>
      </c>
      <c r="AR45" s="46">
        <f>IFERROR(tblPiNAnalysis5[[#This Row],[Highest Target]]-tblPiNAnalysis5[[#This Row],[2nd Highest Target]], "")</f>
        <v>129.89993685960235</v>
      </c>
      <c r="AS45" s="39">
        <f>IFERROR(((tblPiNAnalysis5[[#This Row],[Highest Target]]-tblPiNAnalysis5[[#This Row],[2nd Highest Target]])/tblPiNAnalysis5[[#This Row],[2nd Highest Target]]),"")</f>
        <v>2.0033469796396627E-2</v>
      </c>
      <c r="AT45" s="39" t="str" cm="1">
        <f t="array" ref="AT4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5" s="332" cm="1">
        <f t="array" ref="AU4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5597.9883433858558</v>
      </c>
      <c r="AV45" s="190" t="str" cm="1">
        <f t="array" ref="AV45">IF(tblPiNAnalysis5[[#This Row],[3rd Highest Target]]="", "", _xlfn.TEXTJOIN(CHAR(10), TRUE, IF(tblPiNAnalysis5[[#This Row],[3rd Highest Target]]=tblPiNAnalysis5[[#This Row],[CCCM]:[WASH]], tblPiNAnalysis5[[#Headers],[CCCM]:[WASH]], "")))</f>
        <v>Health</v>
      </c>
      <c r="AW45" s="190">
        <f>IFERROR(tblPiNAnalysis5[[#This Row],[3rd Highest Target]]/tblPiNAnalysis5[[#This Row],[Affected population projection 2026]], "")</f>
        <v>0.17943258220373609</v>
      </c>
      <c r="AX45" s="45">
        <f>IFERROR(tblPiNAnalysis5[[#This Row],[Highest Target]]-tblPiNAnalysis5[[#This Row],[3rd Highest Target]],"")</f>
        <v>1016.0572846493778</v>
      </c>
      <c r="AY45" s="39">
        <f>IFERROR(tblPiNAnalysis5[[#This Row],[Difference of Target between Highest and 3rd Highest]]/tblPiNAnalysis5[[#This Row],[3rd Highest Target]], "")</f>
        <v>0.18150400149544282</v>
      </c>
      <c r="AZ45" s="330" t="str" cm="1">
        <f t="array" ref="AZ4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5" s="300" t="str" cm="1">
        <f t="array" ref="BA4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5" s="333" t="str" cm="1">
        <f t="array" ref="BB4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45" s="276" t="str" cm="1">
        <f t="array" ref="BC4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5" s="334" t="str" cm="1">
        <f t="array" ref="BD4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5" s="277" t="e">
        <f>INDEX(tblSeverityAnalysis[Final Severity], MATCH(tblPiNAnalysis5[[#This Row],[ID]],tblSeverityAnalysis[ID], 0))</f>
        <v>#N/A</v>
      </c>
      <c r="BF45" s="61" t="e">
        <f>IF(tblPiNAnalysis5[[#This Row],[Severity]]&gt;2,tblPiNAnalysis5[[#This Row],[Highest Target]],)</f>
        <v>#N/A</v>
      </c>
      <c r="BG45" s="191"/>
      <c r="BH45" s="192"/>
      <c r="BI45" s="193">
        <f>COUNTIFS(tblPiNAnalysis5[[#This Row],[Number of missing / zero PiNs greater than threshold - Data quality]:[Manual Flag]],"Flagged")</f>
        <v>1</v>
      </c>
      <c r="BJ45" s="96" t="str">
        <f>IF(tblPiNAnalysis5[[#This Row],['# Flags]]&gt;0, "Flagged", "")</f>
        <v>Flagged</v>
      </c>
      <c r="BK45" s="326" t="e">
        <f>tblPiNAnalysis5[[#This Row],[Preliminary Target]]</f>
        <v>#N/A</v>
      </c>
      <c r="BL45" s="331"/>
    </row>
    <row r="46" spans="1:64" x14ac:dyDescent="0.55000000000000004">
      <c r="A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6" s="316" t="s">
        <v>322</v>
      </c>
      <c r="C46" s="317" t="s">
        <v>323</v>
      </c>
      <c r="D46" s="317" t="s">
        <v>330</v>
      </c>
      <c r="E46" s="105" t="s">
        <v>331</v>
      </c>
      <c r="F46" s="100"/>
      <c r="G46" s="34"/>
      <c r="H46" s="34"/>
      <c r="I46" s="97">
        <v>44969.201203905293</v>
      </c>
      <c r="J46" s="97" t="s">
        <v>412</v>
      </c>
      <c r="K46" s="261">
        <v>20116</v>
      </c>
      <c r="L46" s="319">
        <v>4386.543216035544</v>
      </c>
      <c r="M46" s="319">
        <v>8463.0890299679504</v>
      </c>
      <c r="N46" s="319">
        <v>17961.501973408838</v>
      </c>
      <c r="O46" s="319">
        <v>22448.556874354894</v>
      </c>
      <c r="P46" s="319">
        <v>15499.002687969452</v>
      </c>
      <c r="Q46" s="229">
        <v>16688.644116809752</v>
      </c>
      <c r="R46" s="319">
        <v>4886.6994621013337</v>
      </c>
      <c r="S46" s="319"/>
      <c r="T46" s="319"/>
      <c r="U46" s="319"/>
      <c r="V46" s="319"/>
      <c r="W46" s="321">
        <f>IFERROR(IF(tblPiNAnalysis5[[#This Row],[CCCM]]="", "", MROUND(tblPiNAnalysis5[[#This Row],[CCCM]]/tblPiNAnalysis5[[#This Row],[Affected population projection 2026]], 0.05)), "")</f>
        <v>0.45</v>
      </c>
      <c r="X46" s="322">
        <f>IFERROR(IF(tblPiNAnalysis5[[#This Row],[Education]]="", "", MROUND(tblPiNAnalysis5[[#This Row],[Education]]/tblPiNAnalysis5[[#This Row],[Affected population projection 2026]], 0.05)), "")</f>
        <v>0.1</v>
      </c>
      <c r="Y46" s="322">
        <f>IFERROR(IF(tblPiNAnalysis5[[#This Row],[Nutrition]]="", "", MROUND(tblPiNAnalysis5[[#This Row],[Nutrition]]/tblPiNAnalysis5[[#This Row],[Affected population projection 2026]], 0.05)), "")</f>
        <v>0.2</v>
      </c>
      <c r="Z46" s="322">
        <f>IFERROR(IF(tblPiNAnalysis5[[#This Row],[Food Security]]="", "", MROUND(tblPiNAnalysis5[[#This Row],[Food Security]]/tblPiNAnalysis5[[#This Row],[Affected population projection 2026]], 0.05)), "")</f>
        <v>0.4</v>
      </c>
      <c r="AA46" s="322">
        <f>IFERROR(IF(tblPiNAnalysis5[[#This Row],[Health]]="", "", MROUND(tblPiNAnalysis5[[#This Row],[Health]]/tblPiNAnalysis5[[#This Row],[Affected population projection 2026]], 0.05)), "")</f>
        <v>0.5</v>
      </c>
      <c r="AB46" s="323">
        <f>IFERROR(IF(tblPiNAnalysis5[[#This Row],[Overarching Protection]]="", "", MROUND(tblPiNAnalysis5[[#This Row],[Overarching Protection]]/tblPiNAnalysis5[[#This Row],[Affected population projection 2026]], 0.05)), "")</f>
        <v>0.35000000000000003</v>
      </c>
      <c r="AC46" s="323">
        <f>IFERROR(IF(tblPiNAnalysis5[[#This Row],[Shelter]]="", "", MROUND(tblPiNAnalysis5[[#This Row],[Shelter]]/tblPiNAnalysis5[[#This Row],[Affected population projection 2026]], 0.05)), "")</f>
        <v>0.35000000000000003</v>
      </c>
      <c r="AD46" s="324">
        <f>IFERROR(IF(tblPiNAnalysis5[[#This Row],[WASH]]="", "", MROUND(tblPiNAnalysis5[[#This Row],[WASH]]/tblPiNAnalysis5[[#This Row],[Affected population projection 2026]], 0.05)), "")</f>
        <v>0.1</v>
      </c>
      <c r="AE46" s="322">
        <f>IFERROR(MROUND(tblPiNAnalysis5[[#This Row],[CP]]/tblPiNAnalysis5[[#This Row],[Affected population projection 2026]], 0.05), "")</f>
        <v>0</v>
      </c>
      <c r="AF46" s="322">
        <f>IFERROR(MROUND(tblPiNAnalysis5[[#This Row],[GBV]]/tblPiNAnalysis5[[#This Row],[Affected population projection 2026]], 0.05), "")</f>
        <v>0</v>
      </c>
      <c r="AG46" s="322">
        <f>IFERROR(MROUND(tblPiNAnalysis5[[#This Row],[Mine Action]]/tblPiNAnalysis5[[#This Row],[Affected population projection 2026]], 0.05), "")</f>
        <v>0</v>
      </c>
      <c r="AH46" s="322">
        <f>IFERROR(MROUND(tblPiNAnalysis5[[#This Row],[HLP]]/tblPiNAnalysis5[[#This Row],[Affected population projection 2026]], 0.05), "")</f>
        <v>0</v>
      </c>
      <c r="AI46" s="325">
        <f>IFERROR(LARGE(tblPiNAnalysis5[[#This Row],[CCCM]:[WASH]], 1), "")</f>
        <v>22448.556874354894</v>
      </c>
      <c r="AJ46" s="326" t="str" cm="1">
        <f t="array" ref="AJ46">IF(tblPiNAnalysis5[[#This Row],[Highest Target]]="", "", _xlfn.TEXTJOIN(CHAR(10), TRUE, IF(tblPiNAnalysis5[[#This Row],[Highest Target]]=tblPiNAnalysis5[[#This Row],[CCCM]:[WASH]], tblPiNAnalysis5[[#Headers],[CCCM]:[WASH]], "")))</f>
        <v>Health</v>
      </c>
      <c r="AK46" s="327">
        <f>IF(tblPiNAnalysis5[[#This Row],[Highest Target]]="", "", tblPiNAnalysis5[[#This Row],[Highest Target]]/tblPiNAnalysis5[[#This Row],[Affected population projection 2026]])</f>
        <v>0.49919847970093312</v>
      </c>
      <c r="AL46" s="328" t="str">
        <f>IF(SUM(tblPiNAnalysis5[[#This Row],[CCCM]:[WASH]])=0, "",IF(COUNTIF(tblPiNAnalysis5[[#This Row],[CCCM]:[WASH]],"=0")+COUNTIF(tblPiNAnalysis5[[#This Row],[CCCM]:[WASH]],"")&gt;=zero_pin_thresh, "Flagged", ""))</f>
        <v/>
      </c>
      <c r="AM46" s="329" t="str">
        <f>IFERROR(IF(tblPiNAnalysis5[[#This Row],[Highest Target]]="", "", IF(tblPiNAnalysis5[[#This Row],[Highest sector(s'') Target %]]&gt;=flag_pin_perc, "Flagged", "")), "")</f>
        <v/>
      </c>
      <c r="AN46" s="330" t="str" cm="1">
        <f t="array" ref="AN46">IF(tblPiNAnalysis5[[#This Row],[Highest Target]]=0, "",  IF(OR(COUNTIF(tblPiNAnalysis5[[#This Row],[Highest sector(s)]],tblSubSectorPopulation[Sector])), "Flagged", ""))</f>
        <v/>
      </c>
      <c r="AO46" s="46" cm="1">
        <f t="array" ref="AO4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20116</v>
      </c>
      <c r="AP46" s="331" t="str" cm="1">
        <f t="array" ref="AP46">IF(tblPiNAnalysis5[[#This Row],[2nd Highest Target]]="", "", _xlfn.TEXTJOIN(CHAR(10), TRUE, IF(tblPiNAnalysis5[[#This Row],[2nd Highest Target]]=tblPiNAnalysis5[[#This Row],[CCCM]:[WASH]], tblPiNAnalysis5[[#Headers],[CCCM]:[WASH]], "")))</f>
        <v>CCCM</v>
      </c>
      <c r="AQ46" s="36">
        <f>IFERROR(tblPiNAnalysis5[[#This Row],[2nd Highest Target]]/tblPiNAnalysis5[[#This Row],[Affected population projection 2026]], "")</f>
        <v>0.44732838168032774</v>
      </c>
      <c r="AR46" s="46">
        <f>IFERROR(tblPiNAnalysis5[[#This Row],[Highest Target]]-tblPiNAnalysis5[[#This Row],[2nd Highest Target]], "")</f>
        <v>2332.5568743548938</v>
      </c>
      <c r="AS46" s="39">
        <f>IFERROR(((tblPiNAnalysis5[[#This Row],[Highest Target]]-tblPiNAnalysis5[[#This Row],[2nd Highest Target]])/tblPiNAnalysis5[[#This Row],[2nd Highest Target]]),"")</f>
        <v>0.11595530296057337</v>
      </c>
      <c r="AT46" s="39" t="str" cm="1">
        <f t="array" ref="AT4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6" s="332" cm="1">
        <f t="array" ref="AU4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17961.501973408838</v>
      </c>
      <c r="AV46" s="190" t="str" cm="1">
        <f t="array" ref="AV46">IF(tblPiNAnalysis5[[#This Row],[3rd Highest Target]]="", "", _xlfn.TEXTJOIN(CHAR(10), TRUE, IF(tblPiNAnalysis5[[#This Row],[3rd Highest Target]]=tblPiNAnalysis5[[#This Row],[CCCM]:[WASH]], tblPiNAnalysis5[[#Headers],[CCCM]:[WASH]], "")))</f>
        <v>Food Security</v>
      </c>
      <c r="AW46" s="190">
        <f>IFERROR(tblPiNAnalysis5[[#This Row],[3rd Highest Target]]/tblPiNAnalysis5[[#This Row],[Affected population projection 2026]], "")</f>
        <v>0.3994178569453663</v>
      </c>
      <c r="AX46" s="45">
        <f>IFERROR(tblPiNAnalysis5[[#This Row],[Highest Target]]-tblPiNAnalysis5[[#This Row],[3rd Highest Target]],"")</f>
        <v>4487.0549009460556</v>
      </c>
      <c r="AY46" s="39">
        <f>IFERROR(tblPiNAnalysis5[[#This Row],[Difference of Target between Highest and 3rd Highest]]/tblPiNAnalysis5[[#This Row],[3rd Highest Target]], "")</f>
        <v>0.2498151272420831</v>
      </c>
      <c r="AZ46" s="330" t="str" cm="1">
        <f t="array" ref="AZ4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6" s="300" t="str" cm="1">
        <f t="array" ref="BA4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6" s="333" t="str" cm="1">
        <f t="array" ref="BB4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6" s="276" t="str" cm="1">
        <f t="array" ref="BC4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6" s="334" t="str" cm="1">
        <f t="array" ref="BD4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6" s="277" t="e">
        <f>INDEX(tblSeverityAnalysis[Final Severity], MATCH(tblPiNAnalysis5[[#This Row],[ID]],tblSeverityAnalysis[ID], 0))</f>
        <v>#N/A</v>
      </c>
      <c r="BF46" s="61" t="e">
        <f>IF(tblPiNAnalysis5[[#This Row],[Severity]]&gt;2,tblPiNAnalysis5[[#This Row],[Highest Target]],)</f>
        <v>#N/A</v>
      </c>
      <c r="BG46" s="191"/>
      <c r="BH46" s="192"/>
      <c r="BI46" s="193">
        <f>COUNTIFS(tblPiNAnalysis5[[#This Row],[Number of missing / zero PiNs greater than threshold - Data quality]:[Manual Flag]],"Flagged")</f>
        <v>1</v>
      </c>
      <c r="BJ46" s="96" t="str">
        <f>IF(tblPiNAnalysis5[[#This Row],['# Flags]]&gt;0, "Flagged", "")</f>
        <v>Flagged</v>
      </c>
      <c r="BK46" s="326" t="e">
        <f>tblPiNAnalysis5[[#This Row],[Preliminary Target]]</f>
        <v>#N/A</v>
      </c>
      <c r="BL46" s="331"/>
    </row>
    <row r="47" spans="1:64" x14ac:dyDescent="0.55000000000000004">
      <c r="A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7" s="316" t="s">
        <v>322</v>
      </c>
      <c r="C47" s="317" t="s">
        <v>323</v>
      </c>
      <c r="D47" s="317" t="s">
        <v>332</v>
      </c>
      <c r="E47" s="105" t="s">
        <v>333</v>
      </c>
      <c r="F47" s="100"/>
      <c r="G47" s="34"/>
      <c r="H47" s="34"/>
      <c r="I47" s="97">
        <v>30389.775329136301</v>
      </c>
      <c r="J47" s="97" t="s">
        <v>412</v>
      </c>
      <c r="K47" s="261">
        <v>12543</v>
      </c>
      <c r="L47" s="319">
        <v>1377.7508543217234</v>
      </c>
      <c r="M47" s="319">
        <v>7305.5912793264833</v>
      </c>
      <c r="N47" s="319">
        <v>12610.420279895701</v>
      </c>
      <c r="O47" s="319">
        <v>13127.117050010369</v>
      </c>
      <c r="P47" s="319">
        <v>11322.524303036585</v>
      </c>
      <c r="Q47" s="229">
        <v>13157.705428606459</v>
      </c>
      <c r="R47" s="319">
        <v>2923.2962893767944</v>
      </c>
      <c r="S47" s="319"/>
      <c r="T47" s="319"/>
      <c r="U47" s="319"/>
      <c r="V47" s="319"/>
      <c r="W47" s="321">
        <f>IFERROR(IF(tblPiNAnalysis5[[#This Row],[CCCM]]="", "", MROUND(tblPiNAnalysis5[[#This Row],[CCCM]]/tblPiNAnalysis5[[#This Row],[Affected population projection 2026]], 0.05)), "")</f>
        <v>0.4</v>
      </c>
      <c r="X47" s="322">
        <f>IFERROR(IF(tblPiNAnalysis5[[#This Row],[Education]]="", "", MROUND(tblPiNAnalysis5[[#This Row],[Education]]/tblPiNAnalysis5[[#This Row],[Affected population projection 2026]], 0.05)), "")</f>
        <v>0.05</v>
      </c>
      <c r="Y47" s="322">
        <f>IFERROR(IF(tblPiNAnalysis5[[#This Row],[Nutrition]]="", "", MROUND(tblPiNAnalysis5[[#This Row],[Nutrition]]/tblPiNAnalysis5[[#This Row],[Affected population projection 2026]], 0.05)), "")</f>
        <v>0.25</v>
      </c>
      <c r="Z47" s="322">
        <f>IFERROR(IF(tblPiNAnalysis5[[#This Row],[Food Security]]="", "", MROUND(tblPiNAnalysis5[[#This Row],[Food Security]]/tblPiNAnalysis5[[#This Row],[Affected population projection 2026]], 0.05)), "")</f>
        <v>0.4</v>
      </c>
      <c r="AA47" s="322">
        <f>IFERROR(IF(tblPiNAnalysis5[[#This Row],[Health]]="", "", MROUND(tblPiNAnalysis5[[#This Row],[Health]]/tblPiNAnalysis5[[#This Row],[Affected population projection 2026]], 0.05)), "")</f>
        <v>0.45</v>
      </c>
      <c r="AB47" s="323">
        <f>IFERROR(IF(tblPiNAnalysis5[[#This Row],[Overarching Protection]]="", "", MROUND(tblPiNAnalysis5[[#This Row],[Overarching Protection]]/tblPiNAnalysis5[[#This Row],[Affected population projection 2026]], 0.05)), "")</f>
        <v>0.35000000000000003</v>
      </c>
      <c r="AC47" s="323">
        <f>IFERROR(IF(tblPiNAnalysis5[[#This Row],[Shelter]]="", "", MROUND(tblPiNAnalysis5[[#This Row],[Shelter]]/tblPiNAnalysis5[[#This Row],[Affected population projection 2026]], 0.05)), "")</f>
        <v>0.45</v>
      </c>
      <c r="AD47" s="324">
        <f>IFERROR(IF(tblPiNAnalysis5[[#This Row],[WASH]]="", "", MROUND(tblPiNAnalysis5[[#This Row],[WASH]]/tblPiNAnalysis5[[#This Row],[Affected population projection 2026]], 0.05)), "")</f>
        <v>0.1</v>
      </c>
      <c r="AE47" s="322">
        <f>IFERROR(MROUND(tblPiNAnalysis5[[#This Row],[CP]]/tblPiNAnalysis5[[#This Row],[Affected population projection 2026]], 0.05), "")</f>
        <v>0</v>
      </c>
      <c r="AF47" s="322">
        <f>IFERROR(MROUND(tblPiNAnalysis5[[#This Row],[GBV]]/tblPiNAnalysis5[[#This Row],[Affected population projection 2026]], 0.05), "")</f>
        <v>0</v>
      </c>
      <c r="AG47" s="322">
        <f>IFERROR(MROUND(tblPiNAnalysis5[[#This Row],[Mine Action]]/tblPiNAnalysis5[[#This Row],[Affected population projection 2026]], 0.05), "")</f>
        <v>0</v>
      </c>
      <c r="AH47" s="322">
        <f>IFERROR(MROUND(tblPiNAnalysis5[[#This Row],[HLP]]/tblPiNAnalysis5[[#This Row],[Affected population projection 2026]], 0.05), "")</f>
        <v>0</v>
      </c>
      <c r="AI47" s="325">
        <f>IFERROR(LARGE(tblPiNAnalysis5[[#This Row],[CCCM]:[WASH]], 1), "")</f>
        <v>13157.705428606459</v>
      </c>
      <c r="AJ47" s="326" t="str" cm="1">
        <f t="array" ref="AJ47">IF(tblPiNAnalysis5[[#This Row],[Highest Target]]="", "", _xlfn.TEXTJOIN(CHAR(10), TRUE, IF(tblPiNAnalysis5[[#This Row],[Highest Target]]=tblPiNAnalysis5[[#This Row],[CCCM]:[WASH]], tblPiNAnalysis5[[#Headers],[CCCM]:[WASH]], "")))</f>
        <v>Shelter</v>
      </c>
      <c r="AK47" s="327">
        <f>IF(tblPiNAnalysis5[[#This Row],[Highest Target]]="", "", tblPiNAnalysis5[[#This Row],[Highest Target]]/tblPiNAnalysis5[[#This Row],[Affected population projection 2026]])</f>
        <v>0.43296488</v>
      </c>
      <c r="AL47" s="328" t="str">
        <f>IF(SUM(tblPiNAnalysis5[[#This Row],[CCCM]:[WASH]])=0, "",IF(COUNTIF(tblPiNAnalysis5[[#This Row],[CCCM]:[WASH]],"=0")+COUNTIF(tblPiNAnalysis5[[#This Row],[CCCM]:[WASH]],"")&gt;=zero_pin_thresh, "Flagged", ""))</f>
        <v/>
      </c>
      <c r="AM47" s="329" t="str">
        <f>IFERROR(IF(tblPiNAnalysis5[[#This Row],[Highest Target]]="", "", IF(tblPiNAnalysis5[[#This Row],[Highest sector(s'') Target %]]&gt;=flag_pin_perc, "Flagged", "")), "")</f>
        <v/>
      </c>
      <c r="AN47" s="330" t="str" cm="1">
        <f t="array" ref="AN47">IF(tblPiNAnalysis5[[#This Row],[Highest Target]]=0, "",  IF(OR(COUNTIF(tblPiNAnalysis5[[#This Row],[Highest sector(s)]],tblSubSectorPopulation[Sector])), "Flagged", ""))</f>
        <v/>
      </c>
      <c r="AO47" s="46" cm="1">
        <f t="array" ref="AO4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13127.117050010369</v>
      </c>
      <c r="AP47" s="331" t="str" cm="1">
        <f t="array" ref="AP47">IF(tblPiNAnalysis5[[#This Row],[2nd Highest Target]]="", "", _xlfn.TEXTJOIN(CHAR(10), TRUE, IF(tblPiNAnalysis5[[#This Row],[2nd Highest Target]]=tblPiNAnalysis5[[#This Row],[CCCM]:[WASH]], tblPiNAnalysis5[[#Headers],[CCCM]:[WASH]], "")))</f>
        <v>Health</v>
      </c>
      <c r="AQ47" s="36">
        <f>IFERROR(tblPiNAnalysis5[[#This Row],[2nd Highest Target]]/tblPiNAnalysis5[[#This Row],[Affected population projection 2026]], "")</f>
        <v>0.43195834479976236</v>
      </c>
      <c r="AR47" s="46">
        <f>IFERROR(tblPiNAnalysis5[[#This Row],[Highest Target]]-tblPiNAnalysis5[[#This Row],[2nd Highest Target]], "")</f>
        <v>30.588378596090479</v>
      </c>
      <c r="AS47" s="39">
        <f>IFERROR(((tblPiNAnalysis5[[#This Row],[Highest Target]]-tblPiNAnalysis5[[#This Row],[2nd Highest Target]])/tblPiNAnalysis5[[#This Row],[2nd Highest Target]]),"")</f>
        <v>2.33016727736623E-3</v>
      </c>
      <c r="AT47" s="39" t="str" cm="1">
        <f t="array" ref="AT4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7" s="332" cm="1">
        <f t="array" ref="AU4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12610.420279895701</v>
      </c>
      <c r="AV47" s="190" t="str" cm="1">
        <f t="array" ref="AV47">IF(tblPiNAnalysis5[[#This Row],[3rd Highest Target]]="", "", _xlfn.TEXTJOIN(CHAR(10), TRUE, IF(tblPiNAnalysis5[[#This Row],[3rd Highest Target]]=tblPiNAnalysis5[[#This Row],[CCCM]:[WASH]], tblPiNAnalysis5[[#Headers],[CCCM]:[WASH]], "")))</f>
        <v>Food Security</v>
      </c>
      <c r="AW47" s="190">
        <f>IFERROR(tblPiNAnalysis5[[#This Row],[3rd Highest Target]]/tblPiNAnalysis5[[#This Row],[Affected population projection 2026]], "")</f>
        <v>0.41495602199485226</v>
      </c>
      <c r="AX47" s="45">
        <f>IFERROR(tblPiNAnalysis5[[#This Row],[Highest Target]]-tblPiNAnalysis5[[#This Row],[3rd Highest Target]],"")</f>
        <v>547.28514871075822</v>
      </c>
      <c r="AY47" s="39">
        <f>IFERROR(tblPiNAnalysis5[[#This Row],[Difference of Target between Highest and 3rd Highest]]/tblPiNAnalysis5[[#This Row],[3rd Highest Target]], "")</f>
        <v>4.3399437652627125E-2</v>
      </c>
      <c r="AZ47" s="330" t="str" cm="1">
        <f t="array" ref="AZ4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7" s="300" t="str" cm="1">
        <f t="array" ref="BA4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7" s="333" t="str" cm="1">
        <f t="array" ref="BB4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7" s="276" t="str" cm="1">
        <f t="array" ref="BC4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7" s="334" t="str" cm="1">
        <f t="array" ref="BD4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47" s="277" t="e">
        <f>INDEX(tblSeverityAnalysis[Final Severity], MATCH(tblPiNAnalysis5[[#This Row],[ID]],tblSeverityAnalysis[ID], 0))</f>
        <v>#N/A</v>
      </c>
      <c r="BF47" s="61" t="e">
        <f>IF(tblPiNAnalysis5[[#This Row],[Severity]]&gt;2,tblPiNAnalysis5[[#This Row],[Highest Target]],)</f>
        <v>#N/A</v>
      </c>
      <c r="BG47" s="191"/>
      <c r="BH47" s="192"/>
      <c r="BI47" s="193">
        <f>COUNTIFS(tblPiNAnalysis5[[#This Row],[Number of missing / zero PiNs greater than threshold - Data quality]:[Manual Flag]],"Flagged")</f>
        <v>2</v>
      </c>
      <c r="BJ47" s="96" t="str">
        <f>IF(tblPiNAnalysis5[[#This Row],['# Flags]]&gt;0, "Flagged", "")</f>
        <v>Flagged</v>
      </c>
      <c r="BK47" s="326" t="e">
        <f>tblPiNAnalysis5[[#This Row],[Preliminary Target]]</f>
        <v>#N/A</v>
      </c>
      <c r="BL47" s="331"/>
    </row>
    <row r="48" spans="1:64" x14ac:dyDescent="0.55000000000000004">
      <c r="A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8" s="316" t="s">
        <v>322</v>
      </c>
      <c r="C48" s="317" t="s">
        <v>323</v>
      </c>
      <c r="D48" s="317" t="s">
        <v>334</v>
      </c>
      <c r="E48" s="105" t="s">
        <v>335</v>
      </c>
      <c r="F48" s="100"/>
      <c r="G48" s="34"/>
      <c r="H48" s="34"/>
      <c r="I48" s="97">
        <v>44141.695035855759</v>
      </c>
      <c r="J48" s="97" t="s">
        <v>412</v>
      </c>
      <c r="K48" s="261">
        <v>0</v>
      </c>
      <c r="L48" s="319">
        <v>3376.9389890567963</v>
      </c>
      <c r="M48" s="319">
        <v>9091.9053198224992</v>
      </c>
      <c r="N48" s="319">
        <v>7950.9468811708621</v>
      </c>
      <c r="O48" s="319">
        <v>8342.224197578782</v>
      </c>
      <c r="P48" s="319">
        <v>5954.1659405482515</v>
      </c>
      <c r="Q48" s="229">
        <v>5964.2889999999998</v>
      </c>
      <c r="R48" s="319">
        <v>2480.6996824419971</v>
      </c>
      <c r="S48" s="319"/>
      <c r="T48" s="319"/>
      <c r="U48" s="319"/>
      <c r="V48" s="319"/>
      <c r="W48" s="321">
        <f>IFERROR(IF(tblPiNAnalysis5[[#This Row],[CCCM]]="", "", MROUND(tblPiNAnalysis5[[#This Row],[CCCM]]/tblPiNAnalysis5[[#This Row],[Affected population projection 2026]], 0.05)), "")</f>
        <v>0</v>
      </c>
      <c r="X48" s="322">
        <f>IFERROR(IF(tblPiNAnalysis5[[#This Row],[Education]]="", "", MROUND(tblPiNAnalysis5[[#This Row],[Education]]/tblPiNAnalysis5[[#This Row],[Affected population projection 2026]], 0.05)), "")</f>
        <v>0.1</v>
      </c>
      <c r="Y48" s="322">
        <f>IFERROR(IF(tblPiNAnalysis5[[#This Row],[Nutrition]]="", "", MROUND(tblPiNAnalysis5[[#This Row],[Nutrition]]/tblPiNAnalysis5[[#This Row],[Affected population projection 2026]], 0.05)), "")</f>
        <v>0.2</v>
      </c>
      <c r="Z48" s="322">
        <f>IFERROR(IF(tblPiNAnalysis5[[#This Row],[Food Security]]="", "", MROUND(tblPiNAnalysis5[[#This Row],[Food Security]]/tblPiNAnalysis5[[#This Row],[Affected population projection 2026]], 0.05)), "")</f>
        <v>0.2</v>
      </c>
      <c r="AA48" s="322">
        <f>IFERROR(IF(tblPiNAnalysis5[[#This Row],[Health]]="", "", MROUND(tblPiNAnalysis5[[#This Row],[Health]]/tblPiNAnalysis5[[#This Row],[Affected population projection 2026]], 0.05)), "")</f>
        <v>0.2</v>
      </c>
      <c r="AB48" s="323">
        <f>IFERROR(IF(tblPiNAnalysis5[[#This Row],[Overarching Protection]]="", "", MROUND(tblPiNAnalysis5[[#This Row],[Overarching Protection]]/tblPiNAnalysis5[[#This Row],[Affected population projection 2026]], 0.05)), "")</f>
        <v>0.15000000000000002</v>
      </c>
      <c r="AC48" s="323">
        <f>IFERROR(IF(tblPiNAnalysis5[[#This Row],[Shelter]]="", "", MROUND(tblPiNAnalysis5[[#This Row],[Shelter]]/tblPiNAnalysis5[[#This Row],[Affected population projection 2026]], 0.05)), "")</f>
        <v>0.15000000000000002</v>
      </c>
      <c r="AD48" s="324">
        <f>IFERROR(IF(tblPiNAnalysis5[[#This Row],[WASH]]="", "", MROUND(tblPiNAnalysis5[[#This Row],[WASH]]/tblPiNAnalysis5[[#This Row],[Affected population projection 2026]], 0.05)), "")</f>
        <v>0.05</v>
      </c>
      <c r="AE48" s="322">
        <f>IFERROR(MROUND(tblPiNAnalysis5[[#This Row],[CP]]/tblPiNAnalysis5[[#This Row],[Affected population projection 2026]], 0.05), "")</f>
        <v>0</v>
      </c>
      <c r="AF48" s="322">
        <f>IFERROR(MROUND(tblPiNAnalysis5[[#This Row],[GBV]]/tblPiNAnalysis5[[#This Row],[Affected population projection 2026]], 0.05), "")</f>
        <v>0</v>
      </c>
      <c r="AG48" s="322">
        <f>IFERROR(MROUND(tblPiNAnalysis5[[#This Row],[Mine Action]]/tblPiNAnalysis5[[#This Row],[Affected population projection 2026]], 0.05), "")</f>
        <v>0</v>
      </c>
      <c r="AH48" s="322">
        <f>IFERROR(MROUND(tblPiNAnalysis5[[#This Row],[HLP]]/tblPiNAnalysis5[[#This Row],[Affected population projection 2026]], 0.05), "")</f>
        <v>0</v>
      </c>
      <c r="AI48" s="325">
        <f>IFERROR(LARGE(tblPiNAnalysis5[[#This Row],[CCCM]:[WASH]], 1), "")</f>
        <v>9091.9053198224992</v>
      </c>
      <c r="AJ48" s="326" t="str" cm="1">
        <f t="array" ref="AJ48">IF(tblPiNAnalysis5[[#This Row],[Highest Target]]="", "", _xlfn.TEXTJOIN(CHAR(10), TRUE, IF(tblPiNAnalysis5[[#This Row],[Highest Target]]=tblPiNAnalysis5[[#This Row],[CCCM]:[WASH]], tblPiNAnalysis5[[#Headers],[CCCM]:[WASH]], "")))</f>
        <v>Nutrition</v>
      </c>
      <c r="AK48" s="327">
        <f>IF(tblPiNAnalysis5[[#This Row],[Highest Target]]="", "", tblPiNAnalysis5[[#This Row],[Highest Target]]/tblPiNAnalysis5[[#This Row],[Affected population projection 2026]])</f>
        <v>0.20597091508237858</v>
      </c>
      <c r="AL48" s="328" t="str">
        <f>IF(SUM(tblPiNAnalysis5[[#This Row],[CCCM]:[WASH]])=0, "",IF(COUNTIF(tblPiNAnalysis5[[#This Row],[CCCM]:[WASH]],"=0")+COUNTIF(tblPiNAnalysis5[[#This Row],[CCCM]:[WASH]],"")&gt;=zero_pin_thresh, "Flagged", ""))</f>
        <v/>
      </c>
      <c r="AM48" s="329" t="str">
        <f>IFERROR(IF(tblPiNAnalysis5[[#This Row],[Highest Target]]="", "", IF(tblPiNAnalysis5[[#This Row],[Highest sector(s'') Target %]]&gt;=flag_pin_perc, "Flagged", "")), "")</f>
        <v/>
      </c>
      <c r="AN48" s="330" t="str" cm="1">
        <f t="array" ref="AN48">IF(tblPiNAnalysis5[[#This Row],[Highest Target]]=0, "",  IF(OR(COUNTIF(tblPiNAnalysis5[[#This Row],[Highest sector(s)]],tblSubSectorPopulation[Sector])), "Flagged", ""))</f>
        <v/>
      </c>
      <c r="AO48" s="46" cm="1">
        <f t="array" ref="AO4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8342.224197578782</v>
      </c>
      <c r="AP48" s="331" t="str" cm="1">
        <f t="array" ref="AP48">IF(tblPiNAnalysis5[[#This Row],[2nd Highest Target]]="", "", _xlfn.TEXTJOIN(CHAR(10), TRUE, IF(tblPiNAnalysis5[[#This Row],[2nd Highest Target]]=tblPiNAnalysis5[[#This Row],[CCCM]:[WASH]], tblPiNAnalysis5[[#Headers],[CCCM]:[WASH]], "")))</f>
        <v>Health</v>
      </c>
      <c r="AQ48" s="36">
        <f>IFERROR(tblPiNAnalysis5[[#This Row],[2nd Highest Target]]/tblPiNAnalysis5[[#This Row],[Affected population projection 2026]], "")</f>
        <v>0.18898740047935395</v>
      </c>
      <c r="AR48" s="46">
        <f>IFERROR(tblPiNAnalysis5[[#This Row],[Highest Target]]-tblPiNAnalysis5[[#This Row],[2nd Highest Target]], "")</f>
        <v>749.68112224371725</v>
      </c>
      <c r="AS48" s="39">
        <f>IFERROR(((tblPiNAnalysis5[[#This Row],[Highest Target]]-tblPiNAnalysis5[[#This Row],[2nd Highest Target]])/tblPiNAnalysis5[[#This Row],[2nd Highest Target]]),"")</f>
        <v>8.9865856453642437E-2</v>
      </c>
      <c r="AT48" s="39" t="str" cm="1">
        <f t="array" ref="AT4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48" s="332" cm="1">
        <f t="array" ref="AU4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7950.9468811708621</v>
      </c>
      <c r="AV48" s="190" t="str" cm="1">
        <f t="array" ref="AV48">IF(tblPiNAnalysis5[[#This Row],[3rd Highest Target]]="", "", _xlfn.TEXTJOIN(CHAR(10), TRUE, IF(tblPiNAnalysis5[[#This Row],[3rd Highest Target]]=tblPiNAnalysis5[[#This Row],[CCCM]:[WASH]], tblPiNAnalysis5[[#Headers],[CCCM]:[WASH]], "")))</f>
        <v>Food Security</v>
      </c>
      <c r="AW48" s="190">
        <f>IFERROR(tblPiNAnalysis5[[#This Row],[3rd Highest Target]]/tblPiNAnalysis5[[#This Row],[Affected population projection 2026]], "")</f>
        <v>0.18012327969536296</v>
      </c>
      <c r="AX48" s="45">
        <f>IFERROR(tblPiNAnalysis5[[#This Row],[Highest Target]]-tblPiNAnalysis5[[#This Row],[3rd Highest Target]],"")</f>
        <v>1140.9584386516372</v>
      </c>
      <c r="AY48" s="39">
        <f>IFERROR(tblPiNAnalysis5[[#This Row],[Difference of Target between Highest and 3rd Highest]]/tblPiNAnalysis5[[#This Row],[3rd Highest Target]], "")</f>
        <v>0.14349969326969253</v>
      </c>
      <c r="AZ48" s="330" t="str" cm="1">
        <f t="array" ref="AZ4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8" s="300" t="str" cm="1">
        <f t="array" ref="BA4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8" s="333" t="str" cm="1">
        <f t="array" ref="BB4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48" s="276" t="str" cm="1">
        <f t="array" ref="BC4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8" s="334" t="str" cm="1">
        <f t="array" ref="BD4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48" s="277" t="e">
        <f>INDEX(tblSeverityAnalysis[Final Severity], MATCH(tblPiNAnalysis5[[#This Row],[ID]],tblSeverityAnalysis[ID], 0))</f>
        <v>#N/A</v>
      </c>
      <c r="BF48" s="61" t="e">
        <f>IF(tblPiNAnalysis5[[#This Row],[Severity]]&gt;2,tblPiNAnalysis5[[#This Row],[Highest Target]],)</f>
        <v>#N/A</v>
      </c>
      <c r="BG48" s="191"/>
      <c r="BH48" s="192"/>
      <c r="BI48" s="193">
        <f>COUNTIFS(tblPiNAnalysis5[[#This Row],[Number of missing / zero PiNs greater than threshold - Data quality]:[Manual Flag]],"Flagged")</f>
        <v>1</v>
      </c>
      <c r="BJ48" s="96" t="str">
        <f>IF(tblPiNAnalysis5[[#This Row],['# Flags]]&gt;0, "Flagged", "")</f>
        <v>Flagged</v>
      </c>
      <c r="BK48" s="326" t="e">
        <f>tblPiNAnalysis5[[#This Row],[Preliminary Target]]</f>
        <v>#N/A</v>
      </c>
      <c r="BL48" s="331"/>
    </row>
    <row r="49" spans="1:64" x14ac:dyDescent="0.55000000000000004">
      <c r="A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9" s="316" t="s">
        <v>322</v>
      </c>
      <c r="C49" s="317" t="s">
        <v>323</v>
      </c>
      <c r="D49" s="317" t="s">
        <v>336</v>
      </c>
      <c r="E49" s="105" t="s">
        <v>337</v>
      </c>
      <c r="F49" s="100"/>
      <c r="G49" s="34"/>
      <c r="H49" s="34"/>
      <c r="I49" s="97">
        <v>63061.040191389133</v>
      </c>
      <c r="J49" s="97" t="s">
        <v>412</v>
      </c>
      <c r="K49" s="261">
        <v>27583</v>
      </c>
      <c r="L49" s="319">
        <v>12479.729405043756</v>
      </c>
      <c r="M49" s="319">
        <v>13869.297777122936</v>
      </c>
      <c r="N49" s="319">
        <v>25599.689584140335</v>
      </c>
      <c r="O49" s="319">
        <v>36467.024864190993</v>
      </c>
      <c r="P49" s="319">
        <v>18519.240929395506</v>
      </c>
      <c r="Q49" s="229">
        <v>23402.756313548547</v>
      </c>
      <c r="R49" s="319">
        <v>16332.939164796517</v>
      </c>
      <c r="S49" s="319"/>
      <c r="T49" s="319"/>
      <c r="U49" s="319"/>
      <c r="V49" s="319"/>
      <c r="W49" s="321">
        <f>IFERROR(IF(tblPiNAnalysis5[[#This Row],[CCCM]]="", "", MROUND(tblPiNAnalysis5[[#This Row],[CCCM]]/tblPiNAnalysis5[[#This Row],[Affected population projection 2026]], 0.05)), "")</f>
        <v>0.45</v>
      </c>
      <c r="X49" s="322">
        <f>IFERROR(IF(tblPiNAnalysis5[[#This Row],[Education]]="", "", MROUND(tblPiNAnalysis5[[#This Row],[Education]]/tblPiNAnalysis5[[#This Row],[Affected population projection 2026]], 0.05)), "")</f>
        <v>0.2</v>
      </c>
      <c r="Y49" s="322">
        <f>IFERROR(IF(tblPiNAnalysis5[[#This Row],[Nutrition]]="", "", MROUND(tblPiNAnalysis5[[#This Row],[Nutrition]]/tblPiNAnalysis5[[#This Row],[Affected population projection 2026]], 0.05)), "")</f>
        <v>0.2</v>
      </c>
      <c r="Z49" s="322">
        <f>IFERROR(IF(tblPiNAnalysis5[[#This Row],[Food Security]]="", "", MROUND(tblPiNAnalysis5[[#This Row],[Food Security]]/tblPiNAnalysis5[[#This Row],[Affected population projection 2026]], 0.05)), "")</f>
        <v>0.4</v>
      </c>
      <c r="AA49" s="322">
        <f>IFERROR(IF(tblPiNAnalysis5[[#This Row],[Health]]="", "", MROUND(tblPiNAnalysis5[[#This Row],[Health]]/tblPiNAnalysis5[[#This Row],[Affected population projection 2026]], 0.05)), "")</f>
        <v>0.60000000000000009</v>
      </c>
      <c r="AB49" s="323">
        <f>IFERROR(IF(tblPiNAnalysis5[[#This Row],[Overarching Protection]]="", "", MROUND(tblPiNAnalysis5[[#This Row],[Overarching Protection]]/tblPiNAnalysis5[[#This Row],[Affected population projection 2026]], 0.05)), "")</f>
        <v>0.30000000000000004</v>
      </c>
      <c r="AC49" s="323">
        <f>IFERROR(IF(tblPiNAnalysis5[[#This Row],[Shelter]]="", "", MROUND(tblPiNAnalysis5[[#This Row],[Shelter]]/tblPiNAnalysis5[[#This Row],[Affected population projection 2026]], 0.05)), "")</f>
        <v>0.35000000000000003</v>
      </c>
      <c r="AD49" s="324">
        <f>IFERROR(IF(tblPiNAnalysis5[[#This Row],[WASH]]="", "", MROUND(tblPiNAnalysis5[[#This Row],[WASH]]/tblPiNAnalysis5[[#This Row],[Affected population projection 2026]], 0.05)), "")</f>
        <v>0.25</v>
      </c>
      <c r="AE49" s="322">
        <f>IFERROR(MROUND(tblPiNAnalysis5[[#This Row],[CP]]/tblPiNAnalysis5[[#This Row],[Affected population projection 2026]], 0.05), "")</f>
        <v>0</v>
      </c>
      <c r="AF49" s="322">
        <f>IFERROR(MROUND(tblPiNAnalysis5[[#This Row],[GBV]]/tblPiNAnalysis5[[#This Row],[Affected population projection 2026]], 0.05), "")</f>
        <v>0</v>
      </c>
      <c r="AG49" s="322">
        <f>IFERROR(MROUND(tblPiNAnalysis5[[#This Row],[Mine Action]]/tblPiNAnalysis5[[#This Row],[Affected population projection 2026]], 0.05), "")</f>
        <v>0</v>
      </c>
      <c r="AH49" s="322">
        <f>IFERROR(MROUND(tblPiNAnalysis5[[#This Row],[HLP]]/tblPiNAnalysis5[[#This Row],[Affected population projection 2026]], 0.05), "")</f>
        <v>0</v>
      </c>
      <c r="AI49" s="325">
        <f>IFERROR(LARGE(tblPiNAnalysis5[[#This Row],[CCCM]:[WASH]], 1), "")</f>
        <v>36467.024864190993</v>
      </c>
      <c r="AJ49" s="326" t="str" cm="1">
        <f t="array" ref="AJ49">IF(tblPiNAnalysis5[[#This Row],[Highest Target]]="", "", _xlfn.TEXTJOIN(CHAR(10), TRUE, IF(tblPiNAnalysis5[[#This Row],[Highest Target]]=tblPiNAnalysis5[[#This Row],[CCCM]:[WASH]], tblPiNAnalysis5[[#Headers],[CCCM]:[WASH]], "")))</f>
        <v>Health</v>
      </c>
      <c r="AK49" s="327">
        <f>IF(tblPiNAnalysis5[[#This Row],[Highest Target]]="", "", tblPiNAnalysis5[[#This Row],[Highest Target]]/tblPiNAnalysis5[[#This Row],[Affected population projection 2026]])</f>
        <v>0.57828137235786503</v>
      </c>
      <c r="AL49" s="328" t="str">
        <f>IF(SUM(tblPiNAnalysis5[[#This Row],[CCCM]:[WASH]])=0, "",IF(COUNTIF(tblPiNAnalysis5[[#This Row],[CCCM]:[WASH]],"=0")+COUNTIF(tblPiNAnalysis5[[#This Row],[CCCM]:[WASH]],"")&gt;=zero_pin_thresh, "Flagged", ""))</f>
        <v/>
      </c>
      <c r="AM49" s="329" t="str">
        <f>IFERROR(IF(tblPiNAnalysis5[[#This Row],[Highest Target]]="", "", IF(tblPiNAnalysis5[[#This Row],[Highest sector(s'') Target %]]&gt;=flag_pin_perc, "Flagged", "")), "")</f>
        <v/>
      </c>
      <c r="AN49" s="330" t="str" cm="1">
        <f t="array" ref="AN49">IF(tblPiNAnalysis5[[#This Row],[Highest Target]]=0, "",  IF(OR(COUNTIF(tblPiNAnalysis5[[#This Row],[Highest sector(s)]],tblSubSectorPopulation[Sector])), "Flagged", ""))</f>
        <v/>
      </c>
      <c r="AO49" s="46" cm="1">
        <f t="array" ref="AO4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27583</v>
      </c>
      <c r="AP49" s="331" t="str" cm="1">
        <f t="array" ref="AP49">IF(tblPiNAnalysis5[[#This Row],[2nd Highest Target]]="", "", _xlfn.TEXTJOIN(CHAR(10), TRUE, IF(tblPiNAnalysis5[[#This Row],[2nd Highest Target]]=tblPiNAnalysis5[[#This Row],[CCCM]:[WASH]], tblPiNAnalysis5[[#Headers],[CCCM]:[WASH]], "")))</f>
        <v>CCCM</v>
      </c>
      <c r="AQ49" s="36">
        <f>IFERROR(tblPiNAnalysis5[[#This Row],[2nd Highest Target]]/tblPiNAnalysis5[[#This Row],[Affected population projection 2026]], "")</f>
        <v>0.43740160194449834</v>
      </c>
      <c r="AR49" s="46">
        <f>IFERROR(tblPiNAnalysis5[[#This Row],[Highest Target]]-tblPiNAnalysis5[[#This Row],[2nd Highest Target]], "")</f>
        <v>8884.024864190993</v>
      </c>
      <c r="AS49" s="39">
        <f>IFERROR(((tblPiNAnalysis5[[#This Row],[Highest Target]]-tblPiNAnalysis5[[#This Row],[2nd Highest Target]])/tblPiNAnalysis5[[#This Row],[2nd Highest Target]]),"")</f>
        <v>0.32208334351560719</v>
      </c>
      <c r="AT49" s="39" t="str" cm="1">
        <f t="array" ref="AT4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49" s="332" cm="1">
        <f t="array" ref="AU4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25599.689584140335</v>
      </c>
      <c r="AV49" s="190" t="str" cm="1">
        <f t="array" ref="AV49">IF(tblPiNAnalysis5[[#This Row],[3rd Highest Target]]="", "", _xlfn.TEXTJOIN(CHAR(10), TRUE, IF(tblPiNAnalysis5[[#This Row],[3rd Highest Target]]=tblPiNAnalysis5[[#This Row],[CCCM]:[WASH]], tblPiNAnalysis5[[#Headers],[CCCM]:[WASH]], "")))</f>
        <v>Food Security</v>
      </c>
      <c r="AW49" s="190">
        <f>IFERROR(tblPiNAnalysis5[[#This Row],[3rd Highest Target]]/tblPiNAnalysis5[[#This Row],[Affected population projection 2026]], "")</f>
        <v>0.40595095650889573</v>
      </c>
      <c r="AX49" s="45">
        <f>IFERROR(tblPiNAnalysis5[[#This Row],[Highest Target]]-tblPiNAnalysis5[[#This Row],[3rd Highest Target]],"")</f>
        <v>10867.335280050658</v>
      </c>
      <c r="AY49" s="39">
        <f>IFERROR(tblPiNAnalysis5[[#This Row],[Difference of Target between Highest and 3rd Highest]]/tblPiNAnalysis5[[#This Row],[3rd Highest Target]], "")</f>
        <v>0.4245104318289567</v>
      </c>
      <c r="AZ49" s="330" t="str" cm="1">
        <f t="array" ref="AZ4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49" s="300" t="str" cm="1">
        <f t="array" ref="BA4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49" s="333" t="str" cm="1">
        <f t="array" ref="BB4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49" s="276" t="str" cm="1">
        <f t="array" ref="BC4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49" s="334" t="str" cm="1">
        <f t="array" ref="BD4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49" s="277" t="e">
        <f>INDEX(tblSeverityAnalysis[Final Severity], MATCH(tblPiNAnalysis5[[#This Row],[ID]],tblSeverityAnalysis[ID], 0))</f>
        <v>#N/A</v>
      </c>
      <c r="BF49" s="61" t="e">
        <f>IF(tblPiNAnalysis5[[#This Row],[Severity]]&gt;2,tblPiNAnalysis5[[#This Row],[Highest Target]],)</f>
        <v>#N/A</v>
      </c>
      <c r="BG49" s="191"/>
      <c r="BH49" s="192"/>
      <c r="BI49" s="193">
        <f>COUNTIFS(tblPiNAnalysis5[[#This Row],[Number of missing / zero PiNs greater than threshold - Data quality]:[Manual Flag]],"Flagged")</f>
        <v>2</v>
      </c>
      <c r="BJ49" s="96" t="str">
        <f>IF(tblPiNAnalysis5[[#This Row],['# Flags]]&gt;0, "Flagged", "")</f>
        <v>Flagged</v>
      </c>
      <c r="BK49" s="326" t="e">
        <f>tblPiNAnalysis5[[#This Row],[Preliminary Target]]</f>
        <v>#N/A</v>
      </c>
      <c r="BL49" s="331"/>
    </row>
    <row r="50" spans="1:64" x14ac:dyDescent="0.55000000000000004">
      <c r="A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0" s="316" t="s">
        <v>322</v>
      </c>
      <c r="C50" s="317" t="s">
        <v>323</v>
      </c>
      <c r="D50" s="317" t="s">
        <v>338</v>
      </c>
      <c r="E50" s="105" t="s">
        <v>339</v>
      </c>
      <c r="F50" s="100"/>
      <c r="G50" s="34"/>
      <c r="H50" s="34"/>
      <c r="I50" s="97">
        <v>12256.01658411525</v>
      </c>
      <c r="J50" s="97" t="s">
        <v>412</v>
      </c>
      <c r="K50" s="261">
        <v>0</v>
      </c>
      <c r="L50" s="319">
        <v>925.18217990169205</v>
      </c>
      <c r="M50" s="319">
        <v>2637.8329751267838</v>
      </c>
      <c r="N50" s="319">
        <v>4094.5227847282067</v>
      </c>
      <c r="O50" s="319">
        <v>7667.9788836034468</v>
      </c>
      <c r="P50" s="319">
        <v>1761.4762886597939</v>
      </c>
      <c r="Q50" s="229">
        <v>0</v>
      </c>
      <c r="R50" s="319">
        <v>1684.5446580136527</v>
      </c>
      <c r="S50" s="319"/>
      <c r="T50" s="319"/>
      <c r="U50" s="319"/>
      <c r="V50" s="319"/>
      <c r="W50" s="321">
        <f>IFERROR(IF(tblPiNAnalysis5[[#This Row],[CCCM]]="", "", MROUND(tblPiNAnalysis5[[#This Row],[CCCM]]/tblPiNAnalysis5[[#This Row],[Affected population projection 2026]], 0.05)), "")</f>
        <v>0</v>
      </c>
      <c r="X50" s="322">
        <f>IFERROR(IF(tblPiNAnalysis5[[#This Row],[Education]]="", "", MROUND(tblPiNAnalysis5[[#This Row],[Education]]/tblPiNAnalysis5[[#This Row],[Affected population projection 2026]], 0.05)), "")</f>
        <v>0.1</v>
      </c>
      <c r="Y50" s="322">
        <f>IFERROR(IF(tblPiNAnalysis5[[#This Row],[Nutrition]]="", "", MROUND(tblPiNAnalysis5[[#This Row],[Nutrition]]/tblPiNAnalysis5[[#This Row],[Affected population projection 2026]], 0.05)), "")</f>
        <v>0.2</v>
      </c>
      <c r="Z50" s="322">
        <f>IFERROR(IF(tblPiNAnalysis5[[#This Row],[Food Security]]="", "", MROUND(tblPiNAnalysis5[[#This Row],[Food Security]]/tblPiNAnalysis5[[#This Row],[Affected population projection 2026]], 0.05)), "")</f>
        <v>0.35000000000000003</v>
      </c>
      <c r="AA50" s="322">
        <f>IFERROR(IF(tblPiNAnalysis5[[#This Row],[Health]]="", "", MROUND(tblPiNAnalysis5[[#This Row],[Health]]/tblPiNAnalysis5[[#This Row],[Affected population projection 2026]], 0.05)), "")</f>
        <v>0.65</v>
      </c>
      <c r="AB50" s="323">
        <f>IFERROR(IF(tblPiNAnalysis5[[#This Row],[Overarching Protection]]="", "", MROUND(tblPiNAnalysis5[[#This Row],[Overarching Protection]]/tblPiNAnalysis5[[#This Row],[Affected population projection 2026]], 0.05)), "")</f>
        <v>0.15000000000000002</v>
      </c>
      <c r="AC50" s="323">
        <f>IFERROR(IF(tblPiNAnalysis5[[#This Row],[Shelter]]="", "", MROUND(tblPiNAnalysis5[[#This Row],[Shelter]]/tblPiNAnalysis5[[#This Row],[Affected population projection 2026]], 0.05)), "")</f>
        <v>0</v>
      </c>
      <c r="AD50" s="324">
        <f>IFERROR(IF(tblPiNAnalysis5[[#This Row],[WASH]]="", "", MROUND(tblPiNAnalysis5[[#This Row],[WASH]]/tblPiNAnalysis5[[#This Row],[Affected population projection 2026]], 0.05)), "")</f>
        <v>0.15000000000000002</v>
      </c>
      <c r="AE50" s="322">
        <f>IFERROR(MROUND(tblPiNAnalysis5[[#This Row],[CP]]/tblPiNAnalysis5[[#This Row],[Affected population projection 2026]], 0.05), "")</f>
        <v>0</v>
      </c>
      <c r="AF50" s="322">
        <f>IFERROR(MROUND(tblPiNAnalysis5[[#This Row],[GBV]]/tblPiNAnalysis5[[#This Row],[Affected population projection 2026]], 0.05), "")</f>
        <v>0</v>
      </c>
      <c r="AG50" s="322">
        <f>IFERROR(MROUND(tblPiNAnalysis5[[#This Row],[Mine Action]]/tblPiNAnalysis5[[#This Row],[Affected population projection 2026]], 0.05), "")</f>
        <v>0</v>
      </c>
      <c r="AH50" s="322">
        <f>IFERROR(MROUND(tblPiNAnalysis5[[#This Row],[HLP]]/tblPiNAnalysis5[[#This Row],[Affected population projection 2026]], 0.05), "")</f>
        <v>0</v>
      </c>
      <c r="AI50" s="325">
        <f>IFERROR(LARGE(tblPiNAnalysis5[[#This Row],[CCCM]:[WASH]], 1), "")</f>
        <v>7667.9788836034468</v>
      </c>
      <c r="AJ50" s="326" t="str" cm="1">
        <f t="array" ref="AJ50">IF(tblPiNAnalysis5[[#This Row],[Highest Target]]="", "", _xlfn.TEXTJOIN(CHAR(10), TRUE, IF(tblPiNAnalysis5[[#This Row],[Highest Target]]=tblPiNAnalysis5[[#This Row],[CCCM]:[WASH]], tblPiNAnalysis5[[#Headers],[CCCM]:[WASH]], "")))</f>
        <v>Health</v>
      </c>
      <c r="AK50" s="327">
        <f>IF(tblPiNAnalysis5[[#This Row],[Highest Target]]="", "", tblPiNAnalysis5[[#This Row],[Highest Target]]/tblPiNAnalysis5[[#This Row],[Affected population projection 2026]])</f>
        <v>0.6256501719769002</v>
      </c>
      <c r="AL50" s="328" t="str">
        <f>IF(SUM(tblPiNAnalysis5[[#This Row],[CCCM]:[WASH]])=0, "",IF(COUNTIF(tblPiNAnalysis5[[#This Row],[CCCM]:[WASH]],"=0")+COUNTIF(tblPiNAnalysis5[[#This Row],[CCCM]:[WASH]],"")&gt;=zero_pin_thresh, "Flagged", ""))</f>
        <v>Flagged</v>
      </c>
      <c r="AM50" s="329" t="str">
        <f>IFERROR(IF(tblPiNAnalysis5[[#This Row],[Highest Target]]="", "", IF(tblPiNAnalysis5[[#This Row],[Highest sector(s'') Target %]]&gt;=flag_pin_perc, "Flagged", "")), "")</f>
        <v/>
      </c>
      <c r="AN50" s="330" t="str" cm="1">
        <f t="array" ref="AN50">IF(tblPiNAnalysis5[[#This Row],[Highest Target]]=0, "",  IF(OR(COUNTIF(tblPiNAnalysis5[[#This Row],[Highest sector(s)]],tblSubSectorPopulation[Sector])), "Flagged", ""))</f>
        <v/>
      </c>
      <c r="AO50" s="46" cm="1">
        <f t="array" ref="AO5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4094.5227847282067</v>
      </c>
      <c r="AP50" s="331" t="str" cm="1">
        <f t="array" ref="AP50">IF(tblPiNAnalysis5[[#This Row],[2nd Highest Target]]="", "", _xlfn.TEXTJOIN(CHAR(10), TRUE, IF(tblPiNAnalysis5[[#This Row],[2nd Highest Target]]=tblPiNAnalysis5[[#This Row],[CCCM]:[WASH]], tblPiNAnalysis5[[#Headers],[CCCM]:[WASH]], "")))</f>
        <v>Food Security</v>
      </c>
      <c r="AQ50" s="36">
        <f>IFERROR(tblPiNAnalysis5[[#This Row],[2nd Highest Target]]/tblPiNAnalysis5[[#This Row],[Affected population projection 2026]], "")</f>
        <v>0.3340826733243023</v>
      </c>
      <c r="AR50" s="46">
        <f>IFERROR(tblPiNAnalysis5[[#This Row],[Highest Target]]-tblPiNAnalysis5[[#This Row],[2nd Highest Target]], "")</f>
        <v>3573.4560988752401</v>
      </c>
      <c r="AS50" s="39">
        <f>IFERROR(((tblPiNAnalysis5[[#This Row],[Highest Target]]-tblPiNAnalysis5[[#This Row],[2nd Highest Target]])/tblPiNAnalysis5[[#This Row],[2nd Highest Target]]),"")</f>
        <v>0.87274055775279924</v>
      </c>
      <c r="AT50" s="39" t="str" cm="1">
        <f t="array" ref="AT5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50" s="332" cm="1">
        <f t="array" ref="AU5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2637.8329751267838</v>
      </c>
      <c r="AV50" s="190" t="str" cm="1">
        <f t="array" ref="AV50">IF(tblPiNAnalysis5[[#This Row],[3rd Highest Target]]="", "", _xlfn.TEXTJOIN(CHAR(10), TRUE, IF(tblPiNAnalysis5[[#This Row],[3rd Highest Target]]=tblPiNAnalysis5[[#This Row],[CCCM]:[WASH]], tblPiNAnalysis5[[#Headers],[CCCM]:[WASH]], "")))</f>
        <v>Nutrition</v>
      </c>
      <c r="AW50" s="190">
        <f>IFERROR(tblPiNAnalysis5[[#This Row],[3rd Highest Target]]/tblPiNAnalysis5[[#This Row],[Affected population projection 2026]], "")</f>
        <v>0.21522759511810879</v>
      </c>
      <c r="AX50" s="45">
        <f>IFERROR(tblPiNAnalysis5[[#This Row],[Highest Target]]-tblPiNAnalysis5[[#This Row],[3rd Highest Target]],"")</f>
        <v>5030.145908476663</v>
      </c>
      <c r="AY50" s="39">
        <f>IFERROR(tblPiNAnalysis5[[#This Row],[Difference of Target between Highest and 3rd Highest]]/tblPiNAnalysis5[[#This Row],[3rd Highest Target]], "")</f>
        <v>1.9069235830729183</v>
      </c>
      <c r="AZ50" s="330" t="str" cm="1">
        <f t="array" ref="AZ5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50" s="300" t="str" cm="1">
        <f t="array" ref="BA5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0" s="333" t="str" cm="1">
        <f t="array" ref="BB5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50" s="276" t="str" cm="1">
        <f t="array" ref="BC5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0" s="334" t="str" cm="1">
        <f t="array" ref="BD5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50" s="277" t="e">
        <f>INDEX(tblSeverityAnalysis[Final Severity], MATCH(tblPiNAnalysis5[[#This Row],[ID]],tblSeverityAnalysis[ID], 0))</f>
        <v>#N/A</v>
      </c>
      <c r="BF50" s="61" t="e">
        <f>IF(tblPiNAnalysis5[[#This Row],[Severity]]&gt;2,tblPiNAnalysis5[[#This Row],[Highest Target]],)</f>
        <v>#N/A</v>
      </c>
      <c r="BG50" s="191"/>
      <c r="BH50" s="192"/>
      <c r="BI50" s="193">
        <f>COUNTIFS(tblPiNAnalysis5[[#This Row],[Number of missing / zero PiNs greater than threshold - Data quality]:[Manual Flag]],"Flagged")</f>
        <v>4</v>
      </c>
      <c r="BJ50" s="96" t="str">
        <f>IF(tblPiNAnalysis5[[#This Row],['# Flags]]&gt;0, "Flagged", "")</f>
        <v>Flagged</v>
      </c>
      <c r="BK50" s="326" t="e">
        <f>tblPiNAnalysis5[[#This Row],[Preliminary Target]]</f>
        <v>#N/A</v>
      </c>
      <c r="BL50" s="331"/>
    </row>
    <row r="51" spans="1:64" x14ac:dyDescent="0.55000000000000004">
      <c r="A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1" s="316" t="s">
        <v>322</v>
      </c>
      <c r="C51" s="317" t="s">
        <v>323</v>
      </c>
      <c r="D51" s="317" t="s">
        <v>340</v>
      </c>
      <c r="E51" s="105" t="s">
        <v>341</v>
      </c>
      <c r="F51" s="100"/>
      <c r="G51" s="34"/>
      <c r="H51" s="34"/>
      <c r="I51" s="97">
        <v>233351.6448103383</v>
      </c>
      <c r="J51" s="97" t="s">
        <v>412</v>
      </c>
      <c r="K51" s="261">
        <v>204648</v>
      </c>
      <c r="L51" s="319">
        <v>64255.662244645791</v>
      </c>
      <c r="M51" s="319">
        <v>41134.902441791375</v>
      </c>
      <c r="N51" s="319">
        <v>108356.63210257863</v>
      </c>
      <c r="O51" s="319">
        <v>132804.97200403735</v>
      </c>
      <c r="P51" s="319">
        <v>85771.815696308287</v>
      </c>
      <c r="Q51" s="229">
        <v>61997.563775317954</v>
      </c>
      <c r="R51" s="319">
        <v>38261.747316509944</v>
      </c>
      <c r="S51" s="319"/>
      <c r="T51" s="319"/>
      <c r="U51" s="319"/>
      <c r="V51" s="319"/>
      <c r="W51" s="321">
        <f>IFERROR(IF(tblPiNAnalysis5[[#This Row],[CCCM]]="", "", MROUND(tblPiNAnalysis5[[#This Row],[CCCM]]/tblPiNAnalysis5[[#This Row],[Affected population projection 2026]], 0.05)), "")</f>
        <v>0.9</v>
      </c>
      <c r="X51" s="322">
        <f>IFERROR(IF(tblPiNAnalysis5[[#This Row],[Education]]="", "", MROUND(tblPiNAnalysis5[[#This Row],[Education]]/tblPiNAnalysis5[[#This Row],[Affected population projection 2026]], 0.05)), "")</f>
        <v>0.30000000000000004</v>
      </c>
      <c r="Y51" s="322">
        <f>IFERROR(IF(tblPiNAnalysis5[[#This Row],[Nutrition]]="", "", MROUND(tblPiNAnalysis5[[#This Row],[Nutrition]]/tblPiNAnalysis5[[#This Row],[Affected population projection 2026]], 0.05)), "")</f>
        <v>0.2</v>
      </c>
      <c r="Z51" s="322">
        <f>IFERROR(IF(tblPiNAnalysis5[[#This Row],[Food Security]]="", "", MROUND(tblPiNAnalysis5[[#This Row],[Food Security]]/tblPiNAnalysis5[[#This Row],[Affected population projection 2026]], 0.05)), "")</f>
        <v>0.45</v>
      </c>
      <c r="AA51" s="322">
        <f>IFERROR(IF(tblPiNAnalysis5[[#This Row],[Health]]="", "", MROUND(tblPiNAnalysis5[[#This Row],[Health]]/tblPiNAnalysis5[[#This Row],[Affected population projection 2026]], 0.05)), "")</f>
        <v>0.55000000000000004</v>
      </c>
      <c r="AB51" s="323">
        <f>IFERROR(IF(tblPiNAnalysis5[[#This Row],[Overarching Protection]]="", "", MROUND(tblPiNAnalysis5[[#This Row],[Overarching Protection]]/tblPiNAnalysis5[[#This Row],[Affected population projection 2026]], 0.05)), "")</f>
        <v>0.35000000000000003</v>
      </c>
      <c r="AC51" s="323">
        <f>IFERROR(IF(tblPiNAnalysis5[[#This Row],[Shelter]]="", "", MROUND(tblPiNAnalysis5[[#This Row],[Shelter]]/tblPiNAnalysis5[[#This Row],[Affected population projection 2026]], 0.05)), "")</f>
        <v>0.25</v>
      </c>
      <c r="AD51" s="324">
        <f>IFERROR(IF(tblPiNAnalysis5[[#This Row],[WASH]]="", "", MROUND(tblPiNAnalysis5[[#This Row],[WASH]]/tblPiNAnalysis5[[#This Row],[Affected population projection 2026]], 0.05)), "")</f>
        <v>0.15000000000000002</v>
      </c>
      <c r="AE51" s="322">
        <f>IFERROR(MROUND(tblPiNAnalysis5[[#This Row],[CP]]/tblPiNAnalysis5[[#This Row],[Affected population projection 2026]], 0.05), "")</f>
        <v>0</v>
      </c>
      <c r="AF51" s="322">
        <f>IFERROR(MROUND(tblPiNAnalysis5[[#This Row],[GBV]]/tblPiNAnalysis5[[#This Row],[Affected population projection 2026]], 0.05), "")</f>
        <v>0</v>
      </c>
      <c r="AG51" s="322">
        <f>IFERROR(MROUND(tblPiNAnalysis5[[#This Row],[Mine Action]]/tblPiNAnalysis5[[#This Row],[Affected population projection 2026]], 0.05), "")</f>
        <v>0</v>
      </c>
      <c r="AH51" s="322">
        <f>IFERROR(MROUND(tblPiNAnalysis5[[#This Row],[HLP]]/tblPiNAnalysis5[[#This Row],[Affected population projection 2026]], 0.05), "")</f>
        <v>0</v>
      </c>
      <c r="AI51" s="325">
        <f>IFERROR(LARGE(tblPiNAnalysis5[[#This Row],[CCCM]:[WASH]], 1), "")</f>
        <v>204648</v>
      </c>
      <c r="AJ51" s="326" t="str" cm="1">
        <f t="array" ref="AJ51">IF(tblPiNAnalysis5[[#This Row],[Highest Target]]="", "", _xlfn.TEXTJOIN(CHAR(10), TRUE, IF(tblPiNAnalysis5[[#This Row],[Highest Target]]=tblPiNAnalysis5[[#This Row],[CCCM]:[WASH]], tblPiNAnalysis5[[#Headers],[CCCM]:[WASH]], "")))</f>
        <v>CCCM</v>
      </c>
      <c r="AK51" s="327">
        <f>IF(tblPiNAnalysis5[[#This Row],[Highest Target]]="", "", tblPiNAnalysis5[[#This Row],[Highest Target]]/tblPiNAnalysis5[[#This Row],[Affected population projection 2026]])</f>
        <v>0.87699403261687814</v>
      </c>
      <c r="AL51" s="328" t="str">
        <f>IF(SUM(tblPiNAnalysis5[[#This Row],[CCCM]:[WASH]])=0, "",IF(COUNTIF(tblPiNAnalysis5[[#This Row],[CCCM]:[WASH]],"=0")+COUNTIF(tblPiNAnalysis5[[#This Row],[CCCM]:[WASH]],"")&gt;=zero_pin_thresh, "Flagged", ""))</f>
        <v/>
      </c>
      <c r="AM51" s="329" t="str">
        <f>IFERROR(IF(tblPiNAnalysis5[[#This Row],[Highest Target]]="", "", IF(tblPiNAnalysis5[[#This Row],[Highest sector(s'') Target %]]&gt;=flag_pin_perc, "Flagged", "")), "")</f>
        <v/>
      </c>
      <c r="AN51" s="330" t="str" cm="1">
        <f t="array" ref="AN51">IF(tblPiNAnalysis5[[#This Row],[Highest Target]]=0, "",  IF(OR(COUNTIF(tblPiNAnalysis5[[#This Row],[Highest sector(s)]],tblSubSectorPopulation[Sector])), "Flagged", ""))</f>
        <v/>
      </c>
      <c r="AO51" s="46" cm="1">
        <f t="array" ref="AO5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132804.97200403735</v>
      </c>
      <c r="AP51" s="331" t="str" cm="1">
        <f t="array" ref="AP51">IF(tblPiNAnalysis5[[#This Row],[2nd Highest Target]]="", "", _xlfn.TEXTJOIN(CHAR(10), TRUE, IF(tblPiNAnalysis5[[#This Row],[2nd Highest Target]]=tblPiNAnalysis5[[#This Row],[CCCM]:[WASH]], tblPiNAnalysis5[[#Headers],[CCCM]:[WASH]], "")))</f>
        <v>Health</v>
      </c>
      <c r="AQ51" s="36">
        <f>IFERROR(tblPiNAnalysis5[[#This Row],[2nd Highest Target]]/tblPiNAnalysis5[[#This Row],[Affected population projection 2026]], "")</f>
        <v>0.56911950250866039</v>
      </c>
      <c r="AR51" s="46">
        <f>IFERROR(tblPiNAnalysis5[[#This Row],[Highest Target]]-tblPiNAnalysis5[[#This Row],[2nd Highest Target]], "")</f>
        <v>71843.02799596265</v>
      </c>
      <c r="AS51" s="39">
        <f>IFERROR(((tblPiNAnalysis5[[#This Row],[Highest Target]]-tblPiNAnalysis5[[#This Row],[2nd Highest Target]])/tblPiNAnalysis5[[#This Row],[2nd Highest Target]]),"")</f>
        <v>0.54096640292788567</v>
      </c>
      <c r="AT51" s="39" t="str" cm="1">
        <f t="array" ref="AT5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51" s="332" cm="1">
        <f t="array" ref="AU5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108356.63210257863</v>
      </c>
      <c r="AV51" s="190" t="str" cm="1">
        <f t="array" ref="AV51">IF(tblPiNAnalysis5[[#This Row],[3rd Highest Target]]="", "", _xlfn.TEXTJOIN(CHAR(10), TRUE, IF(tblPiNAnalysis5[[#This Row],[3rd Highest Target]]=tblPiNAnalysis5[[#This Row],[CCCM]:[WASH]], tblPiNAnalysis5[[#Headers],[CCCM]:[WASH]], "")))</f>
        <v>Food Security</v>
      </c>
      <c r="AW51" s="190">
        <f>IFERROR(tblPiNAnalysis5[[#This Row],[3rd Highest Target]]/tblPiNAnalysis5[[#This Row],[Affected population projection 2026]], "")</f>
        <v>0.46434912507536802</v>
      </c>
      <c r="AX51" s="45">
        <f>IFERROR(tblPiNAnalysis5[[#This Row],[Highest Target]]-tblPiNAnalysis5[[#This Row],[3rd Highest Target]],"")</f>
        <v>96291.367897421369</v>
      </c>
      <c r="AY51" s="39">
        <f>IFERROR(tblPiNAnalysis5[[#This Row],[Difference of Target between Highest and 3rd Highest]]/tblPiNAnalysis5[[#This Row],[3rd Highest Target]], "")</f>
        <v>0.88865227747448472</v>
      </c>
      <c r="AZ51" s="330" t="str" cm="1">
        <f t="array" ref="AZ5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51" s="300" t="str" cm="1">
        <f t="array" ref="BA5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1" s="333" t="str" cm="1">
        <f t="array" ref="BB5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1" s="276" t="str" cm="1">
        <f t="array" ref="BC5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1" s="334" t="str" cm="1">
        <f t="array" ref="BD5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1" s="277" t="e">
        <f>INDEX(tblSeverityAnalysis[Final Severity], MATCH(tblPiNAnalysis5[[#This Row],[ID]],tblSeverityAnalysis[ID], 0))</f>
        <v>#N/A</v>
      </c>
      <c r="BF51" s="61" t="e">
        <f>IF(tblPiNAnalysis5[[#This Row],[Severity]]&gt;2,tblPiNAnalysis5[[#This Row],[Highest Target]],)</f>
        <v>#N/A</v>
      </c>
      <c r="BG51" s="191"/>
      <c r="BH51" s="192"/>
      <c r="BI51" s="193">
        <f>COUNTIFS(tblPiNAnalysis5[[#This Row],[Number of missing / zero PiNs greater than threshold - Data quality]:[Manual Flag]],"Flagged")</f>
        <v>3</v>
      </c>
      <c r="BJ51" s="96" t="str">
        <f>IF(tblPiNAnalysis5[[#This Row],['# Flags]]&gt;0, "Flagged", "")</f>
        <v>Flagged</v>
      </c>
      <c r="BK51" s="326" t="e">
        <f>tblPiNAnalysis5[[#This Row],[Preliminary Target]]</f>
        <v>#N/A</v>
      </c>
      <c r="BL51" s="331"/>
    </row>
    <row r="52" spans="1:64" x14ac:dyDescent="0.55000000000000004">
      <c r="A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2" s="316" t="s">
        <v>342</v>
      </c>
      <c r="C52" s="317" t="s">
        <v>343</v>
      </c>
      <c r="D52" s="317" t="s">
        <v>344</v>
      </c>
      <c r="E52" s="105" t="s">
        <v>345</v>
      </c>
      <c r="F52" s="100"/>
      <c r="G52" s="34"/>
      <c r="H52" s="34"/>
      <c r="I52" s="97">
        <v>6074.719927136859</v>
      </c>
      <c r="J52" s="97" t="s">
        <v>412</v>
      </c>
      <c r="K52" s="261">
        <v>592</v>
      </c>
      <c r="L52" s="319">
        <v>486.8037560810393</v>
      </c>
      <c r="M52" s="319">
        <v>2019.3172490671554</v>
      </c>
      <c r="N52" s="319">
        <v>2712.3344911859526</v>
      </c>
      <c r="O52" s="319">
        <v>2701.0477263767389</v>
      </c>
      <c r="P52" s="319">
        <v>978.62140630412193</v>
      </c>
      <c r="Q52" s="229">
        <v>5964.2889999999998</v>
      </c>
      <c r="R52" s="319">
        <v>4900.2949069299302</v>
      </c>
      <c r="S52" s="319"/>
      <c r="T52" s="319"/>
      <c r="U52" s="319"/>
      <c r="V52" s="319"/>
      <c r="W52" s="321">
        <f>IFERROR(IF(tblPiNAnalysis5[[#This Row],[CCCM]]="", "", MROUND(tblPiNAnalysis5[[#This Row],[CCCM]]/tblPiNAnalysis5[[#This Row],[Affected population projection 2026]], 0.05)), "")</f>
        <v>0.1</v>
      </c>
      <c r="X52" s="322">
        <f>IFERROR(IF(tblPiNAnalysis5[[#This Row],[Education]]="", "", MROUND(tblPiNAnalysis5[[#This Row],[Education]]/tblPiNAnalysis5[[#This Row],[Affected population projection 2026]], 0.05)), "")</f>
        <v>0.1</v>
      </c>
      <c r="Y52" s="322">
        <f>IFERROR(IF(tblPiNAnalysis5[[#This Row],[Nutrition]]="", "", MROUND(tblPiNAnalysis5[[#This Row],[Nutrition]]/tblPiNAnalysis5[[#This Row],[Affected population projection 2026]], 0.05)), "")</f>
        <v>0.35000000000000003</v>
      </c>
      <c r="Z52" s="322">
        <f>IFERROR(IF(tblPiNAnalysis5[[#This Row],[Food Security]]="", "", MROUND(tblPiNAnalysis5[[#This Row],[Food Security]]/tblPiNAnalysis5[[#This Row],[Affected population projection 2026]], 0.05)), "")</f>
        <v>0.45</v>
      </c>
      <c r="AA52" s="322">
        <f>IFERROR(IF(tblPiNAnalysis5[[#This Row],[Health]]="", "", MROUND(tblPiNAnalysis5[[#This Row],[Health]]/tblPiNAnalysis5[[#This Row],[Affected population projection 2026]], 0.05)), "")</f>
        <v>0.45</v>
      </c>
      <c r="AB52" s="323">
        <f>IFERROR(IF(tblPiNAnalysis5[[#This Row],[Overarching Protection]]="", "", MROUND(tblPiNAnalysis5[[#This Row],[Overarching Protection]]/tblPiNAnalysis5[[#This Row],[Affected population projection 2026]], 0.05)), "")</f>
        <v>0.15000000000000002</v>
      </c>
      <c r="AC52" s="323">
        <f>IFERROR(IF(tblPiNAnalysis5[[#This Row],[Shelter]]="", "", MROUND(tblPiNAnalysis5[[#This Row],[Shelter]]/tblPiNAnalysis5[[#This Row],[Affected population projection 2026]], 0.05)), "")</f>
        <v>1</v>
      </c>
      <c r="AD52" s="324">
        <f>IFERROR(IF(tblPiNAnalysis5[[#This Row],[WASH]]="", "", MROUND(tblPiNAnalysis5[[#This Row],[WASH]]/tblPiNAnalysis5[[#This Row],[Affected population projection 2026]], 0.05)), "")</f>
        <v>0.8</v>
      </c>
      <c r="AE52" s="322">
        <f>IFERROR(MROUND(tblPiNAnalysis5[[#This Row],[CP]]/tblPiNAnalysis5[[#This Row],[Affected population projection 2026]], 0.05), "")</f>
        <v>0</v>
      </c>
      <c r="AF52" s="322">
        <f>IFERROR(MROUND(tblPiNAnalysis5[[#This Row],[GBV]]/tblPiNAnalysis5[[#This Row],[Affected population projection 2026]], 0.05), "")</f>
        <v>0</v>
      </c>
      <c r="AG52" s="322">
        <f>IFERROR(MROUND(tblPiNAnalysis5[[#This Row],[Mine Action]]/tblPiNAnalysis5[[#This Row],[Affected population projection 2026]], 0.05), "")</f>
        <v>0</v>
      </c>
      <c r="AH52" s="322">
        <f>IFERROR(MROUND(tblPiNAnalysis5[[#This Row],[HLP]]/tblPiNAnalysis5[[#This Row],[Affected population projection 2026]], 0.05), "")</f>
        <v>0</v>
      </c>
      <c r="AI52" s="325">
        <f>IFERROR(LARGE(tblPiNAnalysis5[[#This Row],[CCCM]:[WASH]], 1), "")</f>
        <v>5964.2889999999998</v>
      </c>
      <c r="AJ52" s="326" t="str" cm="1">
        <f t="array" ref="AJ52">IF(tblPiNAnalysis5[[#This Row],[Highest Target]]="", "", _xlfn.TEXTJOIN(CHAR(10), TRUE, IF(tblPiNAnalysis5[[#This Row],[Highest Target]]=tblPiNAnalysis5[[#This Row],[CCCM]:[WASH]], tblPiNAnalysis5[[#Headers],[CCCM]:[WASH]], "")))</f>
        <v>Shelter</v>
      </c>
      <c r="AK52" s="327">
        <f>IF(tblPiNAnalysis5[[#This Row],[Highest Target]]="", "", tblPiNAnalysis5[[#This Row],[Highest Target]]/tblPiNAnalysis5[[#This Row],[Affected population projection 2026]])</f>
        <v>0.98182123151990186</v>
      </c>
      <c r="AL52" s="328" t="str">
        <f>IF(SUM(tblPiNAnalysis5[[#This Row],[CCCM]:[WASH]])=0, "",IF(COUNTIF(tblPiNAnalysis5[[#This Row],[CCCM]:[WASH]],"=0")+COUNTIF(tblPiNAnalysis5[[#This Row],[CCCM]:[WASH]],"")&gt;=zero_pin_thresh, "Flagged", ""))</f>
        <v/>
      </c>
      <c r="AM52" s="329" t="str">
        <f>IFERROR(IF(tblPiNAnalysis5[[#This Row],[Highest Target]]="", "", IF(tblPiNAnalysis5[[#This Row],[Highest sector(s'') Target %]]&gt;=flag_pin_perc, "Flagged", "")), "")</f>
        <v>Flagged</v>
      </c>
      <c r="AN52" s="330" t="str" cm="1">
        <f t="array" ref="AN52">IF(tblPiNAnalysis5[[#This Row],[Highest Target]]=0, "",  IF(OR(COUNTIF(tblPiNAnalysis5[[#This Row],[Highest sector(s)]],tblSubSectorPopulation[Sector])), "Flagged", ""))</f>
        <v/>
      </c>
      <c r="AO52" s="46" cm="1">
        <f t="array" ref="AO5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4900.2949069299302</v>
      </c>
      <c r="AP52" s="331" t="str" cm="1">
        <f t="array" ref="AP52">IF(tblPiNAnalysis5[[#This Row],[2nd Highest Target]]="", "", _xlfn.TEXTJOIN(CHAR(10), TRUE, IF(tblPiNAnalysis5[[#This Row],[2nd Highest Target]]=tblPiNAnalysis5[[#This Row],[CCCM]:[WASH]], tblPiNAnalysis5[[#Headers],[CCCM]:[WASH]], "")))</f>
        <v>WASH</v>
      </c>
      <c r="AQ52" s="36">
        <f>IFERROR(tblPiNAnalysis5[[#This Row],[2nd Highest Target]]/tblPiNAnalysis5[[#This Row],[Affected population projection 2026]], "")</f>
        <v>0.80667009602194784</v>
      </c>
      <c r="AR52" s="46">
        <f>IFERROR(tblPiNAnalysis5[[#This Row],[Highest Target]]-tblPiNAnalysis5[[#This Row],[2nd Highest Target]], "")</f>
        <v>1063.9940930700695</v>
      </c>
      <c r="AS52" s="39">
        <f>IFERROR(((tblPiNAnalysis5[[#This Row],[Highest Target]]-tblPiNAnalysis5[[#This Row],[2nd Highest Target]])/tblPiNAnalysis5[[#This Row],[2nd Highest Target]]),"")</f>
        <v>0.21712858374408928</v>
      </c>
      <c r="AT52" s="39" t="str" cm="1">
        <f t="array" ref="AT5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2" s="332" cm="1">
        <f t="array" ref="AU5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2712.3344911859526</v>
      </c>
      <c r="AV52" s="190" t="str" cm="1">
        <f t="array" ref="AV52">IF(tblPiNAnalysis5[[#This Row],[3rd Highest Target]]="", "", _xlfn.TEXTJOIN(CHAR(10), TRUE, IF(tblPiNAnalysis5[[#This Row],[3rd Highest Target]]=tblPiNAnalysis5[[#This Row],[CCCM]:[WASH]], tblPiNAnalysis5[[#Headers],[CCCM]:[WASH]], "")))</f>
        <v>Food Security</v>
      </c>
      <c r="AW52" s="190">
        <f>IFERROR(tblPiNAnalysis5[[#This Row],[3rd Highest Target]]/tblPiNAnalysis5[[#This Row],[Affected population projection 2026]], "")</f>
        <v>0.44649539793093507</v>
      </c>
      <c r="AX52" s="45">
        <f>IFERROR(tblPiNAnalysis5[[#This Row],[Highest Target]]-tblPiNAnalysis5[[#This Row],[3rd Highest Target]],"")</f>
        <v>3251.9545088140471</v>
      </c>
      <c r="AY52" s="39">
        <f>IFERROR(tblPiNAnalysis5[[#This Row],[Difference of Target between Highest and 3rd Highest]]/tblPiNAnalysis5[[#This Row],[3rd Highest Target]], "")</f>
        <v>1.1989503947177802</v>
      </c>
      <c r="AZ52" s="330" t="str" cm="1">
        <f t="array" ref="AZ5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52" s="300" t="str" cm="1">
        <f t="array" ref="BA5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2" s="333" t="str" cm="1">
        <f t="array" ref="BB5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52" s="276" t="str" cm="1">
        <f t="array" ref="BC5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2" s="334" t="str" cm="1">
        <f t="array" ref="BD5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52" s="277" t="e">
        <f>INDEX(tblSeverityAnalysis[Final Severity], MATCH(tblPiNAnalysis5[[#This Row],[ID]],tblSeverityAnalysis[ID], 0))</f>
        <v>#N/A</v>
      </c>
      <c r="BF52" s="61" t="e">
        <f>IF(tblPiNAnalysis5[[#This Row],[Severity]]&gt;2,tblPiNAnalysis5[[#This Row],[Highest Target]],)</f>
        <v>#N/A</v>
      </c>
      <c r="BG52" s="191"/>
      <c r="BH52" s="192"/>
      <c r="BI52" s="193">
        <f>COUNTIFS(tblPiNAnalysis5[[#This Row],[Number of missing / zero PiNs greater than threshold - Data quality]:[Manual Flag]],"Flagged")</f>
        <v>3</v>
      </c>
      <c r="BJ52" s="96" t="str">
        <f>IF(tblPiNAnalysis5[[#This Row],['# Flags]]&gt;0, "Flagged", "")</f>
        <v>Flagged</v>
      </c>
      <c r="BK52" s="326" t="e">
        <f>tblPiNAnalysis5[[#This Row],[Preliminary Target]]</f>
        <v>#N/A</v>
      </c>
      <c r="BL52" s="331"/>
    </row>
    <row r="53" spans="1:64" x14ac:dyDescent="0.55000000000000004">
      <c r="A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3" s="316" t="s">
        <v>342</v>
      </c>
      <c r="C53" s="317" t="s">
        <v>343</v>
      </c>
      <c r="D53" s="317" t="s">
        <v>346</v>
      </c>
      <c r="E53" s="105" t="s">
        <v>347</v>
      </c>
      <c r="F53" s="100"/>
      <c r="G53" s="34"/>
      <c r="H53" s="34"/>
      <c r="I53" s="97">
        <v>30713.015967447398</v>
      </c>
      <c r="J53" s="97" t="s">
        <v>412</v>
      </c>
      <c r="K53" s="261">
        <v>15575</v>
      </c>
      <c r="L53" s="319">
        <v>10474.612669666001</v>
      </c>
      <c r="M53" s="319">
        <v>5444.4795536661668</v>
      </c>
      <c r="N53" s="319">
        <v>11909.444927664776</v>
      </c>
      <c r="O53" s="319">
        <v>9464.7070587421695</v>
      </c>
      <c r="P53" s="319">
        <v>16634.218465415983</v>
      </c>
      <c r="Q53" s="229">
        <v>10638.125818227158</v>
      </c>
      <c r="R53" s="319">
        <v>27959.934408207315</v>
      </c>
      <c r="S53" s="319"/>
      <c r="T53" s="319"/>
      <c r="U53" s="319"/>
      <c r="V53" s="319"/>
      <c r="W53" s="321">
        <f>IFERROR(IF(tblPiNAnalysis5[[#This Row],[CCCM]]="", "", MROUND(tblPiNAnalysis5[[#This Row],[CCCM]]/tblPiNAnalysis5[[#This Row],[Affected population projection 2026]], 0.05)), "")</f>
        <v>0.5</v>
      </c>
      <c r="X53" s="322">
        <f>IFERROR(IF(tblPiNAnalysis5[[#This Row],[Education]]="", "", MROUND(tblPiNAnalysis5[[#This Row],[Education]]/tblPiNAnalysis5[[#This Row],[Affected population projection 2026]], 0.05)), "")</f>
        <v>0.35000000000000003</v>
      </c>
      <c r="Y53" s="322">
        <f>IFERROR(IF(tblPiNAnalysis5[[#This Row],[Nutrition]]="", "", MROUND(tblPiNAnalysis5[[#This Row],[Nutrition]]/tblPiNAnalysis5[[#This Row],[Affected population projection 2026]], 0.05)), "")</f>
        <v>0.2</v>
      </c>
      <c r="Z53" s="322">
        <f>IFERROR(IF(tblPiNAnalysis5[[#This Row],[Food Security]]="", "", MROUND(tblPiNAnalysis5[[#This Row],[Food Security]]/tblPiNAnalysis5[[#This Row],[Affected population projection 2026]], 0.05)), "")</f>
        <v>0.4</v>
      </c>
      <c r="AA53" s="322">
        <f>IFERROR(IF(tblPiNAnalysis5[[#This Row],[Health]]="", "", MROUND(tblPiNAnalysis5[[#This Row],[Health]]/tblPiNAnalysis5[[#This Row],[Affected population projection 2026]], 0.05)), "")</f>
        <v>0.30000000000000004</v>
      </c>
      <c r="AB53" s="323">
        <f>IFERROR(IF(tblPiNAnalysis5[[#This Row],[Overarching Protection]]="", "", MROUND(tblPiNAnalysis5[[#This Row],[Overarching Protection]]/tblPiNAnalysis5[[#This Row],[Affected population projection 2026]], 0.05)), "")</f>
        <v>0.55000000000000004</v>
      </c>
      <c r="AC53" s="323">
        <f>IFERROR(IF(tblPiNAnalysis5[[#This Row],[Shelter]]="", "", MROUND(tblPiNAnalysis5[[#This Row],[Shelter]]/tblPiNAnalysis5[[#This Row],[Affected population projection 2026]], 0.05)), "")</f>
        <v>0.35000000000000003</v>
      </c>
      <c r="AD53" s="324">
        <f>IFERROR(IF(tblPiNAnalysis5[[#This Row],[WASH]]="", "", MROUND(tblPiNAnalysis5[[#This Row],[WASH]]/tblPiNAnalysis5[[#This Row],[Affected population projection 2026]], 0.05)), "")</f>
        <v>0.9</v>
      </c>
      <c r="AE53" s="322">
        <f>IFERROR(MROUND(tblPiNAnalysis5[[#This Row],[CP]]/tblPiNAnalysis5[[#This Row],[Affected population projection 2026]], 0.05), "")</f>
        <v>0</v>
      </c>
      <c r="AF53" s="322">
        <f>IFERROR(MROUND(tblPiNAnalysis5[[#This Row],[GBV]]/tblPiNAnalysis5[[#This Row],[Affected population projection 2026]], 0.05), "")</f>
        <v>0</v>
      </c>
      <c r="AG53" s="322">
        <f>IFERROR(MROUND(tblPiNAnalysis5[[#This Row],[Mine Action]]/tblPiNAnalysis5[[#This Row],[Affected population projection 2026]], 0.05), "")</f>
        <v>0</v>
      </c>
      <c r="AH53" s="322">
        <f>IFERROR(MROUND(tblPiNAnalysis5[[#This Row],[HLP]]/tblPiNAnalysis5[[#This Row],[Affected population projection 2026]], 0.05), "")</f>
        <v>0</v>
      </c>
      <c r="AI53" s="325">
        <f>IFERROR(LARGE(tblPiNAnalysis5[[#This Row],[CCCM]:[WASH]], 1), "")</f>
        <v>27959.934408207315</v>
      </c>
      <c r="AJ53" s="326" t="str" cm="1">
        <f t="array" ref="AJ53">IF(tblPiNAnalysis5[[#This Row],[Highest Target]]="", "", _xlfn.TEXTJOIN(CHAR(10), TRUE, IF(tblPiNAnalysis5[[#This Row],[Highest Target]]=tblPiNAnalysis5[[#This Row],[CCCM]:[WASH]], tblPiNAnalysis5[[#Headers],[CCCM]:[WASH]], "")))</f>
        <v>WASH</v>
      </c>
      <c r="AK53" s="327">
        <f>IF(tblPiNAnalysis5[[#This Row],[Highest Target]]="", "", tblPiNAnalysis5[[#This Row],[Highest Target]]/tblPiNAnalysis5[[#This Row],[Affected population projection 2026]])</f>
        <v>0.91036108071711153</v>
      </c>
      <c r="AL53" s="328" t="str">
        <f>IF(SUM(tblPiNAnalysis5[[#This Row],[CCCM]:[WASH]])=0, "",IF(COUNTIF(tblPiNAnalysis5[[#This Row],[CCCM]:[WASH]],"=0")+COUNTIF(tblPiNAnalysis5[[#This Row],[CCCM]:[WASH]],"")&gt;=zero_pin_thresh, "Flagged", ""))</f>
        <v/>
      </c>
      <c r="AM53" s="329" t="str">
        <f>IFERROR(IF(tblPiNAnalysis5[[#This Row],[Highest Target]]="", "", IF(tblPiNAnalysis5[[#This Row],[Highest sector(s'') Target %]]&gt;=flag_pin_perc, "Flagged", "")), "")</f>
        <v>Flagged</v>
      </c>
      <c r="AN53" s="330" t="str" cm="1">
        <f t="array" ref="AN53">IF(tblPiNAnalysis5[[#This Row],[Highest Target]]=0, "",  IF(OR(COUNTIF(tblPiNAnalysis5[[#This Row],[Highest sector(s)]],tblSubSectorPopulation[Sector])), "Flagged", ""))</f>
        <v/>
      </c>
      <c r="AO53" s="46" cm="1">
        <f t="array" ref="AO5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16634.218465415983</v>
      </c>
      <c r="AP53" s="331" t="str" cm="1">
        <f t="array" ref="AP53">IF(tblPiNAnalysis5[[#This Row],[2nd Highest Target]]="", "", _xlfn.TEXTJOIN(CHAR(10), TRUE, IF(tblPiNAnalysis5[[#This Row],[2nd Highest Target]]=tblPiNAnalysis5[[#This Row],[CCCM]:[WASH]], tblPiNAnalysis5[[#Headers],[CCCM]:[WASH]], "")))</f>
        <v>Overarching Protection</v>
      </c>
      <c r="AQ53" s="36">
        <f>IFERROR(tblPiNAnalysis5[[#This Row],[2nd Highest Target]]/tblPiNAnalysis5[[#This Row],[Affected population projection 2026]], "")</f>
        <v>0.54160159598284074</v>
      </c>
      <c r="AR53" s="46">
        <f>IFERROR(tblPiNAnalysis5[[#This Row],[Highest Target]]-tblPiNAnalysis5[[#This Row],[2nd Highest Target]], "")</f>
        <v>11325.715942791332</v>
      </c>
      <c r="AS53" s="39">
        <f>IFERROR(((tblPiNAnalysis5[[#This Row],[Highest Target]]-tblPiNAnalysis5[[#This Row],[2nd Highest Target]])/tblPiNAnalysis5[[#This Row],[2nd Highest Target]]),"")</f>
        <v>0.68086853412070436</v>
      </c>
      <c r="AT53" s="39" t="str" cm="1">
        <f t="array" ref="AT5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53" s="332" cm="1">
        <f t="array" ref="AU5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15575</v>
      </c>
      <c r="AV53" s="190" t="str" cm="1">
        <f t="array" ref="AV53">IF(tblPiNAnalysis5[[#This Row],[3rd Highest Target]]="", "", _xlfn.TEXTJOIN(CHAR(10), TRUE, IF(tblPiNAnalysis5[[#This Row],[3rd Highest Target]]=tblPiNAnalysis5[[#This Row],[CCCM]:[WASH]], tblPiNAnalysis5[[#Headers],[CCCM]:[WASH]], "")))</f>
        <v>CCCM</v>
      </c>
      <c r="AW53" s="190">
        <f>IFERROR(tblPiNAnalysis5[[#This Row],[3rd Highest Target]]/tblPiNAnalysis5[[#This Row],[Affected population projection 2026]], "")</f>
        <v>0.50711398764966231</v>
      </c>
      <c r="AX53" s="45">
        <f>IFERROR(tblPiNAnalysis5[[#This Row],[Highest Target]]-tblPiNAnalysis5[[#This Row],[3rd Highest Target]],"")</f>
        <v>12384.934408207315</v>
      </c>
      <c r="AY53" s="39">
        <f>IFERROR(tblPiNAnalysis5[[#This Row],[Difference of Target between Highest and 3rd Highest]]/tblPiNAnalysis5[[#This Row],[3rd Highest Target]], "")</f>
        <v>0.79518037933915342</v>
      </c>
      <c r="AZ53" s="330" t="str" cm="1">
        <f t="array" ref="AZ5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53" s="300" t="str" cm="1">
        <f t="array" ref="BA5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3" s="333" t="str" cm="1">
        <f t="array" ref="BB5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3" s="276" t="str" cm="1">
        <f t="array" ref="BC5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3" s="334" t="str" cm="1">
        <f t="array" ref="BD5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53" s="277" t="e">
        <f>INDEX(tblSeverityAnalysis[Final Severity], MATCH(tblPiNAnalysis5[[#This Row],[ID]],tblSeverityAnalysis[ID], 0))</f>
        <v>#N/A</v>
      </c>
      <c r="BF53" s="61" t="e">
        <f>IF(tblPiNAnalysis5[[#This Row],[Severity]]&gt;2,tblPiNAnalysis5[[#This Row],[Highest Target]],)</f>
        <v>#N/A</v>
      </c>
      <c r="BG53" s="191"/>
      <c r="BH53" s="192"/>
      <c r="BI53" s="193">
        <f>COUNTIFS(tblPiNAnalysis5[[#This Row],[Number of missing / zero PiNs greater than threshold - Data quality]:[Manual Flag]],"Flagged")</f>
        <v>3</v>
      </c>
      <c r="BJ53" s="96" t="str">
        <f>IF(tblPiNAnalysis5[[#This Row],['# Flags]]&gt;0, "Flagged", "")</f>
        <v>Flagged</v>
      </c>
      <c r="BK53" s="326" t="e">
        <f>tblPiNAnalysis5[[#This Row],[Preliminary Target]]</f>
        <v>#N/A</v>
      </c>
      <c r="BL53" s="331"/>
    </row>
    <row r="54" spans="1:64" ht="24.6" x14ac:dyDescent="0.55000000000000004">
      <c r="A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4" s="316" t="s">
        <v>342</v>
      </c>
      <c r="C54" s="317" t="s">
        <v>343</v>
      </c>
      <c r="D54" s="317" t="s">
        <v>348</v>
      </c>
      <c r="E54" s="105" t="s">
        <v>349</v>
      </c>
      <c r="F54" s="100"/>
      <c r="G54" s="34"/>
      <c r="H54" s="34"/>
      <c r="I54" s="97">
        <v>4270.8268474169781</v>
      </c>
      <c r="J54" s="97" t="s">
        <v>412</v>
      </c>
      <c r="K54" s="261">
        <v>0</v>
      </c>
      <c r="L54" s="319">
        <v>1471.4770882493167</v>
      </c>
      <c r="M54" s="319">
        <v>803.22324479776319</v>
      </c>
      <c r="N54" s="319">
        <v>2237.5550141790695</v>
      </c>
      <c r="O54" s="319">
        <v>1298.3398448072323</v>
      </c>
      <c r="P54" s="319">
        <v>1737.3112220408948</v>
      </c>
      <c r="Q54" s="229">
        <v>1849.1180334926703</v>
      </c>
      <c r="R54" s="319">
        <v>359.10748426643897</v>
      </c>
      <c r="S54" s="319"/>
      <c r="T54" s="319"/>
      <c r="U54" s="319"/>
      <c r="V54" s="319"/>
      <c r="W54" s="321">
        <f>IFERROR(IF(tblPiNAnalysis5[[#This Row],[CCCM]]="", "", MROUND(tblPiNAnalysis5[[#This Row],[CCCM]]/tblPiNAnalysis5[[#This Row],[Affected population projection 2026]], 0.05)), "")</f>
        <v>0</v>
      </c>
      <c r="X54" s="322">
        <f>IFERROR(IF(tblPiNAnalysis5[[#This Row],[Education]]="", "", MROUND(tblPiNAnalysis5[[#This Row],[Education]]/tblPiNAnalysis5[[#This Row],[Affected population projection 2026]], 0.05)), "")</f>
        <v>0.35000000000000003</v>
      </c>
      <c r="Y54" s="322">
        <f>IFERROR(IF(tblPiNAnalysis5[[#This Row],[Nutrition]]="", "", MROUND(tblPiNAnalysis5[[#This Row],[Nutrition]]/tblPiNAnalysis5[[#This Row],[Affected population projection 2026]], 0.05)), "")</f>
        <v>0.2</v>
      </c>
      <c r="Z54" s="322">
        <f>IFERROR(IF(tblPiNAnalysis5[[#This Row],[Food Security]]="", "", MROUND(tblPiNAnalysis5[[#This Row],[Food Security]]/tblPiNAnalysis5[[#This Row],[Affected population projection 2026]], 0.05)), "")</f>
        <v>0.5</v>
      </c>
      <c r="AA54" s="322">
        <f>IFERROR(IF(tblPiNAnalysis5[[#This Row],[Health]]="", "", MROUND(tblPiNAnalysis5[[#This Row],[Health]]/tblPiNAnalysis5[[#This Row],[Affected population projection 2026]], 0.05)), "")</f>
        <v>0.30000000000000004</v>
      </c>
      <c r="AB54" s="323">
        <f>IFERROR(IF(tblPiNAnalysis5[[#This Row],[Overarching Protection]]="", "", MROUND(tblPiNAnalysis5[[#This Row],[Overarching Protection]]/tblPiNAnalysis5[[#This Row],[Affected population projection 2026]], 0.05)), "")</f>
        <v>0.4</v>
      </c>
      <c r="AC54" s="323">
        <f>IFERROR(IF(tblPiNAnalysis5[[#This Row],[Shelter]]="", "", MROUND(tblPiNAnalysis5[[#This Row],[Shelter]]/tblPiNAnalysis5[[#This Row],[Affected population projection 2026]], 0.05)), "")</f>
        <v>0.45</v>
      </c>
      <c r="AD54" s="324">
        <f>IFERROR(IF(tblPiNAnalysis5[[#This Row],[WASH]]="", "", MROUND(tblPiNAnalysis5[[#This Row],[WASH]]/tblPiNAnalysis5[[#This Row],[Affected population projection 2026]], 0.05)), "")</f>
        <v>0.1</v>
      </c>
      <c r="AE54" s="322">
        <f>IFERROR(MROUND(tblPiNAnalysis5[[#This Row],[CP]]/tblPiNAnalysis5[[#This Row],[Affected population projection 2026]], 0.05), "")</f>
        <v>0</v>
      </c>
      <c r="AF54" s="322">
        <f>IFERROR(MROUND(tblPiNAnalysis5[[#This Row],[GBV]]/tblPiNAnalysis5[[#This Row],[Affected population projection 2026]], 0.05), "")</f>
        <v>0</v>
      </c>
      <c r="AG54" s="322">
        <f>IFERROR(MROUND(tblPiNAnalysis5[[#This Row],[Mine Action]]/tblPiNAnalysis5[[#This Row],[Affected population projection 2026]], 0.05), "")</f>
        <v>0</v>
      </c>
      <c r="AH54" s="322">
        <f>IFERROR(MROUND(tblPiNAnalysis5[[#This Row],[HLP]]/tblPiNAnalysis5[[#This Row],[Affected population projection 2026]], 0.05), "")</f>
        <v>0</v>
      </c>
      <c r="AI54" s="325">
        <f>IFERROR(LARGE(tblPiNAnalysis5[[#This Row],[CCCM]:[WASH]], 1), "")</f>
        <v>2237.5550141790695</v>
      </c>
      <c r="AJ54" s="326" t="str" cm="1">
        <f t="array" ref="AJ54">IF(tblPiNAnalysis5[[#This Row],[Highest Target]]="", "", _xlfn.TEXTJOIN(CHAR(10), TRUE, IF(tblPiNAnalysis5[[#This Row],[Highest Target]]=tblPiNAnalysis5[[#This Row],[CCCM]:[WASH]], tblPiNAnalysis5[[#Headers],[CCCM]:[WASH]], "")))</f>
        <v>Food Security</v>
      </c>
      <c r="AK54" s="327">
        <f>IF(tblPiNAnalysis5[[#This Row],[Highest Target]]="", "", tblPiNAnalysis5[[#This Row],[Highest Target]]/tblPiNAnalysis5[[#This Row],[Affected population projection 2026]])</f>
        <v>0.52391611604023614</v>
      </c>
      <c r="AL54" s="328" t="str">
        <f>IF(SUM(tblPiNAnalysis5[[#This Row],[CCCM]:[WASH]])=0, "",IF(COUNTIF(tblPiNAnalysis5[[#This Row],[CCCM]:[WASH]],"=0")+COUNTIF(tblPiNAnalysis5[[#This Row],[CCCM]:[WASH]],"")&gt;=zero_pin_thresh, "Flagged", ""))</f>
        <v/>
      </c>
      <c r="AM54" s="329" t="str">
        <f>IFERROR(IF(tblPiNAnalysis5[[#This Row],[Highest Target]]="", "", IF(tblPiNAnalysis5[[#This Row],[Highest sector(s'') Target %]]&gt;=flag_pin_perc, "Flagged", "")), "")</f>
        <v/>
      </c>
      <c r="AN54" s="330" t="str" cm="1">
        <f t="array" ref="AN54">IF(tblPiNAnalysis5[[#This Row],[Highest Target]]=0, "",  IF(OR(COUNTIF(tblPiNAnalysis5[[#This Row],[Highest sector(s)]],tblSubSectorPopulation[Sector])), "Flagged", ""))</f>
        <v/>
      </c>
      <c r="AO54" s="46" cm="1">
        <f t="array" ref="AO5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1849.1180334926703</v>
      </c>
      <c r="AP54" s="331" t="str" cm="1">
        <f t="array" ref="AP54">IF(tblPiNAnalysis5[[#This Row],[2nd Highest Target]]="", "", _xlfn.TEXTJOIN(CHAR(10), TRUE, IF(tblPiNAnalysis5[[#This Row],[2nd Highest Target]]=tblPiNAnalysis5[[#This Row],[CCCM]:[WASH]], tblPiNAnalysis5[[#Headers],[CCCM]:[WASH]], "")))</f>
        <v>Shelter</v>
      </c>
      <c r="AQ54" s="36">
        <f>IFERROR(tblPiNAnalysis5[[#This Row],[2nd Highest Target]]/tblPiNAnalysis5[[#This Row],[Affected population projection 2026]], "")</f>
        <v>0.43296488</v>
      </c>
      <c r="AR54" s="46">
        <f>IFERROR(tblPiNAnalysis5[[#This Row],[Highest Target]]-tblPiNAnalysis5[[#This Row],[2nd Highest Target]], "")</f>
        <v>388.43698068639924</v>
      </c>
      <c r="AS54" s="39">
        <f>IFERROR(((tblPiNAnalysis5[[#This Row],[Highest Target]]-tblPiNAnalysis5[[#This Row],[2nd Highest Target]])/tblPiNAnalysis5[[#This Row],[2nd Highest Target]]),"")</f>
        <v>0.21006608212711422</v>
      </c>
      <c r="AT54" s="39" t="str" cm="1">
        <f t="array" ref="AT5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4" s="332" cm="1">
        <f t="array" ref="AU5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1737.3112220408948</v>
      </c>
      <c r="AV54" s="190" t="str" cm="1">
        <f t="array" ref="AV54">IF(tblPiNAnalysis5[[#This Row],[3rd Highest Target]]="", "", _xlfn.TEXTJOIN(CHAR(10), TRUE, IF(tblPiNAnalysis5[[#This Row],[3rd Highest Target]]=tblPiNAnalysis5[[#This Row],[CCCM]:[WASH]], tblPiNAnalysis5[[#Headers],[CCCM]:[WASH]], "")))</f>
        <v>Overarching Protection</v>
      </c>
      <c r="AW54" s="190">
        <f>IFERROR(tblPiNAnalysis5[[#This Row],[3rd Highest Target]]/tblPiNAnalysis5[[#This Row],[Affected population projection 2026]], "")</f>
        <v>0.40678568439074769</v>
      </c>
      <c r="AX54" s="45">
        <f>IFERROR(tblPiNAnalysis5[[#This Row],[Highest Target]]-tblPiNAnalysis5[[#This Row],[3rd Highest Target]],"")</f>
        <v>500.24379213817474</v>
      </c>
      <c r="AY54" s="39">
        <f>IFERROR(tblPiNAnalysis5[[#This Row],[Difference of Target between Highest and 3rd Highest]]/tblPiNAnalysis5[[#This Row],[3rd Highest Target]], "")</f>
        <v>0.28794138079101145</v>
      </c>
      <c r="AZ54" s="330" t="str" cm="1">
        <f t="array" ref="AZ5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4" s="300" t="str" cm="1">
        <f t="array" ref="BA5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4" s="333" t="str" cm="1">
        <f t="array" ref="BB5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4" s="276" t="str" cm="1">
        <f t="array" ref="BC5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4" s="334" t="str" cm="1">
        <f t="array" ref="BD5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4" s="277" t="e">
        <f>INDEX(tblSeverityAnalysis[Final Severity], MATCH(tblPiNAnalysis5[[#This Row],[ID]],tblSeverityAnalysis[ID], 0))</f>
        <v>#N/A</v>
      </c>
      <c r="BF54" s="61" t="e">
        <f>IF(tblPiNAnalysis5[[#This Row],[Severity]]&gt;2,tblPiNAnalysis5[[#This Row],[Highest Target]],)</f>
        <v>#N/A</v>
      </c>
      <c r="BG54" s="191"/>
      <c r="BH54" s="192"/>
      <c r="BI54" s="193">
        <f>COUNTIFS(tblPiNAnalysis5[[#This Row],[Number of missing / zero PiNs greater than threshold - Data quality]:[Manual Flag]],"Flagged")</f>
        <v>1</v>
      </c>
      <c r="BJ54" s="96" t="str">
        <f>IF(tblPiNAnalysis5[[#This Row],['# Flags]]&gt;0, "Flagged", "")</f>
        <v>Flagged</v>
      </c>
      <c r="BK54" s="326" t="e">
        <f>tblPiNAnalysis5[[#This Row],[Preliminary Target]]</f>
        <v>#N/A</v>
      </c>
      <c r="BL54" s="331"/>
    </row>
    <row r="55" spans="1:64" x14ac:dyDescent="0.55000000000000004">
      <c r="A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5" s="316" t="s">
        <v>342</v>
      </c>
      <c r="C55" s="317" t="s">
        <v>343</v>
      </c>
      <c r="D55" s="317" t="s">
        <v>350</v>
      </c>
      <c r="E55" s="105" t="s">
        <v>351</v>
      </c>
      <c r="F55" s="100"/>
      <c r="G55" s="34"/>
      <c r="H55" s="34"/>
      <c r="I55" s="97">
        <v>17587.64076058444</v>
      </c>
      <c r="J55" s="97" t="s">
        <v>412</v>
      </c>
      <c r="K55" s="261">
        <v>12381</v>
      </c>
      <c r="L55" s="319">
        <v>0</v>
      </c>
      <c r="M55" s="319">
        <v>3729.8510731024817</v>
      </c>
      <c r="N55" s="319">
        <v>9488.3144215939865</v>
      </c>
      <c r="O55" s="319">
        <v>9774.2941169991682</v>
      </c>
      <c r="P55" s="319">
        <v>8174.8260453974863</v>
      </c>
      <c r="Q55" s="229">
        <v>4759.2692321184695</v>
      </c>
      <c r="R55" s="319">
        <v>13190.730570438327</v>
      </c>
      <c r="S55" s="319"/>
      <c r="T55" s="319"/>
      <c r="U55" s="319"/>
      <c r="V55" s="319"/>
      <c r="W55" s="321">
        <f>IFERROR(IF(tblPiNAnalysis5[[#This Row],[CCCM]]="", "", MROUND(tblPiNAnalysis5[[#This Row],[CCCM]]/tblPiNAnalysis5[[#This Row],[Affected population projection 2026]], 0.05)), "")</f>
        <v>0.70000000000000007</v>
      </c>
      <c r="X55" s="322">
        <f>IFERROR(IF(tblPiNAnalysis5[[#This Row],[Education]]="", "", MROUND(tblPiNAnalysis5[[#This Row],[Education]]/tblPiNAnalysis5[[#This Row],[Affected population projection 2026]], 0.05)), "")</f>
        <v>0</v>
      </c>
      <c r="Y55" s="322">
        <f>IFERROR(IF(tblPiNAnalysis5[[#This Row],[Nutrition]]="", "", MROUND(tblPiNAnalysis5[[#This Row],[Nutrition]]/tblPiNAnalysis5[[#This Row],[Affected population projection 2026]], 0.05)), "")</f>
        <v>0.2</v>
      </c>
      <c r="Z55" s="322">
        <f>IFERROR(IF(tblPiNAnalysis5[[#This Row],[Food Security]]="", "", MROUND(tblPiNAnalysis5[[#This Row],[Food Security]]/tblPiNAnalysis5[[#This Row],[Affected population projection 2026]], 0.05)), "")</f>
        <v>0.55000000000000004</v>
      </c>
      <c r="AA55" s="322">
        <f>IFERROR(IF(tblPiNAnalysis5[[#This Row],[Health]]="", "", MROUND(tblPiNAnalysis5[[#This Row],[Health]]/tblPiNAnalysis5[[#This Row],[Affected population projection 2026]], 0.05)), "")</f>
        <v>0.55000000000000004</v>
      </c>
      <c r="AB55" s="323">
        <f>IFERROR(IF(tblPiNAnalysis5[[#This Row],[Overarching Protection]]="", "", MROUND(tblPiNAnalysis5[[#This Row],[Overarching Protection]]/tblPiNAnalysis5[[#This Row],[Affected population projection 2026]], 0.05)), "")</f>
        <v>0.45</v>
      </c>
      <c r="AC55" s="323">
        <f>IFERROR(IF(tblPiNAnalysis5[[#This Row],[Shelter]]="", "", MROUND(tblPiNAnalysis5[[#This Row],[Shelter]]/tblPiNAnalysis5[[#This Row],[Affected population projection 2026]], 0.05)), "")</f>
        <v>0.25</v>
      </c>
      <c r="AD55" s="324">
        <f>IFERROR(IF(tblPiNAnalysis5[[#This Row],[WASH]]="", "", MROUND(tblPiNAnalysis5[[#This Row],[WASH]]/tblPiNAnalysis5[[#This Row],[Affected population projection 2026]], 0.05)), "")</f>
        <v>0.75</v>
      </c>
      <c r="AE55" s="322">
        <f>IFERROR(MROUND(tblPiNAnalysis5[[#This Row],[CP]]/tblPiNAnalysis5[[#This Row],[Affected population projection 2026]], 0.05), "")</f>
        <v>0</v>
      </c>
      <c r="AF55" s="322">
        <f>IFERROR(MROUND(tblPiNAnalysis5[[#This Row],[GBV]]/tblPiNAnalysis5[[#This Row],[Affected population projection 2026]], 0.05), "")</f>
        <v>0</v>
      </c>
      <c r="AG55" s="322">
        <f>IFERROR(MROUND(tblPiNAnalysis5[[#This Row],[Mine Action]]/tblPiNAnalysis5[[#This Row],[Affected population projection 2026]], 0.05), "")</f>
        <v>0</v>
      </c>
      <c r="AH55" s="322">
        <f>IFERROR(MROUND(tblPiNAnalysis5[[#This Row],[HLP]]/tblPiNAnalysis5[[#This Row],[Affected population projection 2026]], 0.05), "")</f>
        <v>0</v>
      </c>
      <c r="AI55" s="325">
        <f>IFERROR(LARGE(tblPiNAnalysis5[[#This Row],[CCCM]:[WASH]], 1), "")</f>
        <v>13190.730570438327</v>
      </c>
      <c r="AJ55" s="326" t="str" cm="1">
        <f t="array" ref="AJ55">IF(tblPiNAnalysis5[[#This Row],[Highest Target]]="", "", _xlfn.TEXTJOIN(CHAR(10), TRUE, IF(tblPiNAnalysis5[[#This Row],[Highest Target]]=tblPiNAnalysis5[[#This Row],[CCCM]:[WASH]], tblPiNAnalysis5[[#Headers],[CCCM]:[WASH]], "")))</f>
        <v>WASH</v>
      </c>
      <c r="AK55" s="327">
        <f>IF(tblPiNAnalysis5[[#This Row],[Highest Target]]="", "", tblPiNAnalysis5[[#This Row],[Highest Target]]/tblPiNAnalysis5[[#This Row],[Affected population projection 2026]])</f>
        <v>0.74999999999999989</v>
      </c>
      <c r="AL55" s="328" t="str">
        <f>IF(SUM(tblPiNAnalysis5[[#This Row],[CCCM]:[WASH]])=0, "",IF(COUNTIF(tblPiNAnalysis5[[#This Row],[CCCM]:[WASH]],"=0")+COUNTIF(tblPiNAnalysis5[[#This Row],[CCCM]:[WASH]],"")&gt;=zero_pin_thresh, "Flagged", ""))</f>
        <v/>
      </c>
      <c r="AM55" s="329" t="str">
        <f>IFERROR(IF(tblPiNAnalysis5[[#This Row],[Highest Target]]="", "", IF(tblPiNAnalysis5[[#This Row],[Highest sector(s'') Target %]]&gt;=flag_pin_perc, "Flagged", "")), "")</f>
        <v/>
      </c>
      <c r="AN55" s="330" t="str" cm="1">
        <f t="array" ref="AN55">IF(tblPiNAnalysis5[[#This Row],[Highest Target]]=0, "",  IF(OR(COUNTIF(tblPiNAnalysis5[[#This Row],[Highest sector(s)]],tblSubSectorPopulation[Sector])), "Flagged", ""))</f>
        <v/>
      </c>
      <c r="AO55" s="46" cm="1">
        <f t="array" ref="AO5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12381</v>
      </c>
      <c r="AP55" s="331" t="str" cm="1">
        <f t="array" ref="AP55">IF(tblPiNAnalysis5[[#This Row],[2nd Highest Target]]="", "", _xlfn.TEXTJOIN(CHAR(10), TRUE, IF(tblPiNAnalysis5[[#This Row],[2nd Highest Target]]=tblPiNAnalysis5[[#This Row],[CCCM]:[WASH]], tblPiNAnalysis5[[#Headers],[CCCM]:[WASH]], "")))</f>
        <v>CCCM</v>
      </c>
      <c r="AQ55" s="36">
        <f>IFERROR(tblPiNAnalysis5[[#This Row],[2nd Highest Target]]/tblPiNAnalysis5[[#This Row],[Affected population projection 2026]], "")</f>
        <v>0.70396025075443813</v>
      </c>
      <c r="AR55" s="46">
        <f>IFERROR(tblPiNAnalysis5[[#This Row],[Highest Target]]-tblPiNAnalysis5[[#This Row],[2nd Highest Target]], "")</f>
        <v>809.73057043832705</v>
      </c>
      <c r="AS55" s="39">
        <f>IFERROR(((tblPiNAnalysis5[[#This Row],[Highest Target]]-tblPiNAnalysis5[[#This Row],[2nd Highest Target]])/tblPiNAnalysis5[[#This Row],[2nd Highest Target]]),"")</f>
        <v>6.5401063762081171E-2</v>
      </c>
      <c r="AT55" s="39" t="str" cm="1">
        <f t="array" ref="AT5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5" s="332" cm="1">
        <f t="array" ref="AU5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9774.2941169991682</v>
      </c>
      <c r="AV55" s="190" t="str" cm="1">
        <f t="array" ref="AV55">IF(tblPiNAnalysis5[[#This Row],[3rd Highest Target]]="", "", _xlfn.TEXTJOIN(CHAR(10), TRUE, IF(tblPiNAnalysis5[[#This Row],[3rd Highest Target]]=tblPiNAnalysis5[[#This Row],[CCCM]:[WASH]], tblPiNAnalysis5[[#Headers],[CCCM]:[WASH]], "")))</f>
        <v>Health</v>
      </c>
      <c r="AW55" s="190">
        <f>IFERROR(tblPiNAnalysis5[[#This Row],[3rd Highest Target]]/tblPiNAnalysis5[[#This Row],[Affected population projection 2026]], "")</f>
        <v>0.55574788284874921</v>
      </c>
      <c r="AX55" s="45">
        <f>IFERROR(tblPiNAnalysis5[[#This Row],[Highest Target]]-tblPiNAnalysis5[[#This Row],[3rd Highest Target]],"")</f>
        <v>3416.4364534391589</v>
      </c>
      <c r="AY55" s="39">
        <f>IFERROR(tblPiNAnalysis5[[#This Row],[Difference of Target between Highest and 3rd Highest]]/tblPiNAnalysis5[[#This Row],[3rd Highest Target]], "")</f>
        <v>0.34953280641487877</v>
      </c>
      <c r="AZ55" s="330" t="str" cm="1">
        <f t="array" ref="AZ5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5" s="300" t="str" cm="1">
        <f t="array" ref="BA5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5" s="333" t="str" cm="1">
        <f t="array" ref="BB5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5" s="276" t="str" cm="1">
        <f t="array" ref="BC5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5" s="334" t="str" cm="1">
        <f t="array" ref="BD5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55" s="277" t="e">
        <f>INDEX(tblSeverityAnalysis[Final Severity], MATCH(tblPiNAnalysis5[[#This Row],[ID]],tblSeverityAnalysis[ID], 0))</f>
        <v>#N/A</v>
      </c>
      <c r="BF55" s="61" t="e">
        <f>IF(tblPiNAnalysis5[[#This Row],[Severity]]&gt;2,tblPiNAnalysis5[[#This Row],[Highest Target]],)</f>
        <v>#N/A</v>
      </c>
      <c r="BG55" s="191"/>
      <c r="BH55" s="192"/>
      <c r="BI55" s="193">
        <f>COUNTIFS(tblPiNAnalysis5[[#This Row],[Number of missing / zero PiNs greater than threshold - Data quality]:[Manual Flag]],"Flagged")</f>
        <v>0</v>
      </c>
      <c r="BJ55" s="96" t="str">
        <f>IF(tblPiNAnalysis5[[#This Row],['# Flags]]&gt;0, "Flagged", "")</f>
        <v/>
      </c>
      <c r="BK55" s="326" t="e">
        <f>tblPiNAnalysis5[[#This Row],[Preliminary Target]]</f>
        <v>#N/A</v>
      </c>
      <c r="BL55" s="331"/>
    </row>
    <row r="56" spans="1:64" x14ac:dyDescent="0.55000000000000004">
      <c r="A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6" s="316" t="s">
        <v>342</v>
      </c>
      <c r="C56" s="317" t="s">
        <v>343</v>
      </c>
      <c r="D56" s="317" t="s">
        <v>352</v>
      </c>
      <c r="E56" s="105" t="s">
        <v>353</v>
      </c>
      <c r="F56" s="100"/>
      <c r="G56" s="34"/>
      <c r="H56" s="34"/>
      <c r="I56" s="97">
        <v>10736.997624544605</v>
      </c>
      <c r="J56" s="97" t="s">
        <v>412</v>
      </c>
      <c r="K56" s="261">
        <v>5774</v>
      </c>
      <c r="L56" s="319">
        <v>3698.0957753325883</v>
      </c>
      <c r="M56" s="319">
        <v>1790.4208974488868</v>
      </c>
      <c r="N56" s="319">
        <v>3967.6304385992098</v>
      </c>
      <c r="O56" s="319">
        <v>4275.2961503323277</v>
      </c>
      <c r="P56" s="319">
        <v>5163.5464309476283</v>
      </c>
      <c r="Q56" s="229">
        <v>0</v>
      </c>
      <c r="R56" s="319">
        <v>1789.4996040907672</v>
      </c>
      <c r="S56" s="319"/>
      <c r="T56" s="319"/>
      <c r="U56" s="319"/>
      <c r="V56" s="319"/>
      <c r="W56" s="321">
        <f>IFERROR(IF(tblPiNAnalysis5[[#This Row],[CCCM]]="", "", MROUND(tblPiNAnalysis5[[#This Row],[CCCM]]/tblPiNAnalysis5[[#This Row],[Affected population projection 2026]], 0.05)), "")</f>
        <v>0.55000000000000004</v>
      </c>
      <c r="X56" s="322">
        <f>IFERROR(IF(tblPiNAnalysis5[[#This Row],[Education]]="", "", MROUND(tblPiNAnalysis5[[#This Row],[Education]]/tblPiNAnalysis5[[#This Row],[Affected population projection 2026]], 0.05)), "")</f>
        <v>0.35000000000000003</v>
      </c>
      <c r="Y56" s="322">
        <f>IFERROR(IF(tblPiNAnalysis5[[#This Row],[Nutrition]]="", "", MROUND(tblPiNAnalysis5[[#This Row],[Nutrition]]/tblPiNAnalysis5[[#This Row],[Affected population projection 2026]], 0.05)), "")</f>
        <v>0.15000000000000002</v>
      </c>
      <c r="Z56" s="322">
        <f>IFERROR(IF(tblPiNAnalysis5[[#This Row],[Food Security]]="", "", MROUND(tblPiNAnalysis5[[#This Row],[Food Security]]/tblPiNAnalysis5[[#This Row],[Affected population projection 2026]], 0.05)), "")</f>
        <v>0.35000000000000003</v>
      </c>
      <c r="AA56" s="322">
        <f>IFERROR(IF(tblPiNAnalysis5[[#This Row],[Health]]="", "", MROUND(tblPiNAnalysis5[[#This Row],[Health]]/tblPiNAnalysis5[[#This Row],[Affected population projection 2026]], 0.05)), "")</f>
        <v>0.4</v>
      </c>
      <c r="AB56" s="323">
        <f>IFERROR(IF(tblPiNAnalysis5[[#This Row],[Overarching Protection]]="", "", MROUND(tblPiNAnalysis5[[#This Row],[Overarching Protection]]/tblPiNAnalysis5[[#This Row],[Affected population projection 2026]], 0.05)), "")</f>
        <v>0.5</v>
      </c>
      <c r="AC56" s="323">
        <f>IFERROR(IF(tblPiNAnalysis5[[#This Row],[Shelter]]="", "", MROUND(tblPiNAnalysis5[[#This Row],[Shelter]]/tblPiNAnalysis5[[#This Row],[Affected population projection 2026]], 0.05)), "")</f>
        <v>0</v>
      </c>
      <c r="AD56" s="324">
        <f>IFERROR(IF(tblPiNAnalysis5[[#This Row],[WASH]]="", "", MROUND(tblPiNAnalysis5[[#This Row],[WASH]]/tblPiNAnalysis5[[#This Row],[Affected population projection 2026]], 0.05)), "")</f>
        <v>0.15000000000000002</v>
      </c>
      <c r="AE56" s="322">
        <f>IFERROR(MROUND(tblPiNAnalysis5[[#This Row],[CP]]/tblPiNAnalysis5[[#This Row],[Affected population projection 2026]], 0.05), "")</f>
        <v>0</v>
      </c>
      <c r="AF56" s="322">
        <f>IFERROR(MROUND(tblPiNAnalysis5[[#This Row],[GBV]]/tblPiNAnalysis5[[#This Row],[Affected population projection 2026]], 0.05), "")</f>
        <v>0</v>
      </c>
      <c r="AG56" s="322">
        <f>IFERROR(MROUND(tblPiNAnalysis5[[#This Row],[Mine Action]]/tblPiNAnalysis5[[#This Row],[Affected population projection 2026]], 0.05), "")</f>
        <v>0</v>
      </c>
      <c r="AH56" s="322">
        <f>IFERROR(MROUND(tblPiNAnalysis5[[#This Row],[HLP]]/tblPiNAnalysis5[[#This Row],[Affected population projection 2026]], 0.05), "")</f>
        <v>0</v>
      </c>
      <c r="AI56" s="325">
        <f>IFERROR(LARGE(tblPiNAnalysis5[[#This Row],[CCCM]:[WASH]], 1), "")</f>
        <v>5774</v>
      </c>
      <c r="AJ56" s="326" t="str" cm="1">
        <f t="array" ref="AJ56">IF(tblPiNAnalysis5[[#This Row],[Highest Target]]="", "", _xlfn.TEXTJOIN(CHAR(10), TRUE, IF(tblPiNAnalysis5[[#This Row],[Highest Target]]=tblPiNAnalysis5[[#This Row],[CCCM]:[WASH]], tblPiNAnalysis5[[#Headers],[CCCM]:[WASH]], "")))</f>
        <v>CCCM</v>
      </c>
      <c r="AK56" s="327">
        <f>IF(tblPiNAnalysis5[[#This Row],[Highest Target]]="", "", tblPiNAnalysis5[[#This Row],[Highest Target]]/tblPiNAnalysis5[[#This Row],[Affected population projection 2026]])</f>
        <v>0.53776672044713214</v>
      </c>
      <c r="AL56" s="328" t="str">
        <f>IF(SUM(tblPiNAnalysis5[[#This Row],[CCCM]:[WASH]])=0, "",IF(COUNTIF(tblPiNAnalysis5[[#This Row],[CCCM]:[WASH]],"=0")+COUNTIF(tblPiNAnalysis5[[#This Row],[CCCM]:[WASH]],"")&gt;=zero_pin_thresh, "Flagged", ""))</f>
        <v/>
      </c>
      <c r="AM56" s="329" t="str">
        <f>IFERROR(IF(tblPiNAnalysis5[[#This Row],[Highest Target]]="", "", IF(tblPiNAnalysis5[[#This Row],[Highest sector(s'') Target %]]&gt;=flag_pin_perc, "Flagged", "")), "")</f>
        <v/>
      </c>
      <c r="AN56" s="330" t="str" cm="1">
        <f t="array" ref="AN56">IF(tblPiNAnalysis5[[#This Row],[Highest Target]]=0, "",  IF(OR(COUNTIF(tblPiNAnalysis5[[#This Row],[Highest sector(s)]],tblSubSectorPopulation[Sector])), "Flagged", ""))</f>
        <v/>
      </c>
      <c r="AO56" s="46" cm="1">
        <f t="array" ref="AO5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5163.5464309476283</v>
      </c>
      <c r="AP56" s="331" t="str" cm="1">
        <f t="array" ref="AP56">IF(tblPiNAnalysis5[[#This Row],[2nd Highest Target]]="", "", _xlfn.TEXTJOIN(CHAR(10), TRUE, IF(tblPiNAnalysis5[[#This Row],[2nd Highest Target]]=tblPiNAnalysis5[[#This Row],[CCCM]:[WASH]], tblPiNAnalysis5[[#Headers],[CCCM]:[WASH]], "")))</f>
        <v>Overarching Protection</v>
      </c>
      <c r="AQ56" s="36">
        <f>IFERROR(tblPiNAnalysis5[[#This Row],[2nd Highest Target]]/tblPiNAnalysis5[[#This Row],[Affected population projection 2026]], "")</f>
        <v>0.48091157430675441</v>
      </c>
      <c r="AR56" s="46">
        <f>IFERROR(tblPiNAnalysis5[[#This Row],[Highest Target]]-tblPiNAnalysis5[[#This Row],[2nd Highest Target]], "")</f>
        <v>610.45356905237168</v>
      </c>
      <c r="AS56" s="39">
        <f>IFERROR(((tblPiNAnalysis5[[#This Row],[Highest Target]]-tblPiNAnalysis5[[#This Row],[2nd Highest Target]])/tblPiNAnalysis5[[#This Row],[2nd Highest Target]]),"")</f>
        <v>0.11822370094197827</v>
      </c>
      <c r="AT56" s="39" t="str" cm="1">
        <f t="array" ref="AT5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6" s="332" cm="1">
        <f t="array" ref="AU5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4275.2961503323277</v>
      </c>
      <c r="AV56" s="190" t="str" cm="1">
        <f t="array" ref="AV56">IF(tblPiNAnalysis5[[#This Row],[3rd Highest Target]]="", "", _xlfn.TEXTJOIN(CHAR(10), TRUE, IF(tblPiNAnalysis5[[#This Row],[3rd Highest Target]]=tblPiNAnalysis5[[#This Row],[CCCM]:[WASH]], tblPiNAnalysis5[[#Headers],[CCCM]:[WASH]], "")))</f>
        <v>Health</v>
      </c>
      <c r="AW56" s="190">
        <f>IFERROR(tblPiNAnalysis5[[#This Row],[3rd Highest Target]]/tblPiNAnalysis5[[#This Row],[Affected population projection 2026]], "")</f>
        <v>0.39818357978948127</v>
      </c>
      <c r="AX56" s="45">
        <f>IFERROR(tblPiNAnalysis5[[#This Row],[Highest Target]]-tblPiNAnalysis5[[#This Row],[3rd Highest Target]],"")</f>
        <v>1498.7038496676723</v>
      </c>
      <c r="AY56" s="39">
        <f>IFERROR(tblPiNAnalysis5[[#This Row],[Difference of Target between Highest and 3rd Highest]]/tblPiNAnalysis5[[#This Row],[3rd Highest Target]], "")</f>
        <v>0.35054971561471243</v>
      </c>
      <c r="AZ56" s="330" t="str" cm="1">
        <f t="array" ref="AZ5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6" s="300" t="str" cm="1">
        <f t="array" ref="BA5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6" s="333" t="str" cm="1">
        <f t="array" ref="BB5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6" s="276" t="str" cm="1">
        <f t="array" ref="BC5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6" s="334" t="str" cm="1">
        <f t="array" ref="BD5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56" s="277" t="e">
        <f>INDEX(tblSeverityAnalysis[Final Severity], MATCH(tblPiNAnalysis5[[#This Row],[ID]],tblSeverityAnalysis[ID], 0))</f>
        <v>#N/A</v>
      </c>
      <c r="BF56" s="61" t="e">
        <f>IF(tblPiNAnalysis5[[#This Row],[Severity]]&gt;2,tblPiNAnalysis5[[#This Row],[Highest Target]],)</f>
        <v>#N/A</v>
      </c>
      <c r="BG56" s="191"/>
      <c r="BH56" s="192"/>
      <c r="BI56" s="193">
        <f>COUNTIFS(tblPiNAnalysis5[[#This Row],[Number of missing / zero PiNs greater than threshold - Data quality]:[Manual Flag]],"Flagged")</f>
        <v>0</v>
      </c>
      <c r="BJ56" s="96" t="str">
        <f>IF(tblPiNAnalysis5[[#This Row],['# Flags]]&gt;0, "Flagged", "")</f>
        <v/>
      </c>
      <c r="BK56" s="326" t="e">
        <f>tblPiNAnalysis5[[#This Row],[Preliminary Target]]</f>
        <v>#N/A</v>
      </c>
      <c r="BL56" s="331"/>
    </row>
    <row r="57" spans="1:64" ht="110.7" x14ac:dyDescent="0.55000000000000004">
      <c r="A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7" s="316" t="s">
        <v>342</v>
      </c>
      <c r="C57" s="317" t="s">
        <v>343</v>
      </c>
      <c r="D57" s="317" t="s">
        <v>354</v>
      </c>
      <c r="E57" s="105" t="s">
        <v>355</v>
      </c>
      <c r="F57" s="100"/>
      <c r="G57" s="34"/>
      <c r="H57" s="34"/>
      <c r="I57" s="97">
        <v>541.05925656197849</v>
      </c>
      <c r="J57" s="97" t="s">
        <v>412</v>
      </c>
      <c r="K57" s="261">
        <v>0</v>
      </c>
      <c r="L57" s="319">
        <v>0</v>
      </c>
      <c r="M57" s="319">
        <v>0</v>
      </c>
      <c r="N57" s="319">
        <v>0</v>
      </c>
      <c r="O57" s="319">
        <v>0</v>
      </c>
      <c r="P57" s="319">
        <v>0</v>
      </c>
      <c r="Q57" s="229">
        <v>0</v>
      </c>
      <c r="R57" s="319">
        <v>0</v>
      </c>
      <c r="S57" s="319"/>
      <c r="T57" s="319"/>
      <c r="U57" s="319"/>
      <c r="V57" s="319"/>
      <c r="W57" s="321">
        <f>IFERROR(IF(tblPiNAnalysis5[[#This Row],[CCCM]]="", "", MROUND(tblPiNAnalysis5[[#This Row],[CCCM]]/tblPiNAnalysis5[[#This Row],[Affected population projection 2026]], 0.05)), "")</f>
        <v>0</v>
      </c>
      <c r="X57" s="322">
        <f>IFERROR(IF(tblPiNAnalysis5[[#This Row],[Education]]="", "", MROUND(tblPiNAnalysis5[[#This Row],[Education]]/tblPiNAnalysis5[[#This Row],[Affected population projection 2026]], 0.05)), "")</f>
        <v>0</v>
      </c>
      <c r="Y57" s="322">
        <f>IFERROR(IF(tblPiNAnalysis5[[#This Row],[Nutrition]]="", "", MROUND(tblPiNAnalysis5[[#This Row],[Nutrition]]/tblPiNAnalysis5[[#This Row],[Affected population projection 2026]], 0.05)), "")</f>
        <v>0</v>
      </c>
      <c r="Z57" s="322">
        <f>IFERROR(IF(tblPiNAnalysis5[[#This Row],[Food Security]]="", "", MROUND(tblPiNAnalysis5[[#This Row],[Food Security]]/tblPiNAnalysis5[[#This Row],[Affected population projection 2026]], 0.05)), "")</f>
        <v>0</v>
      </c>
      <c r="AA57" s="322">
        <f>IFERROR(IF(tblPiNAnalysis5[[#This Row],[Health]]="", "", MROUND(tblPiNAnalysis5[[#This Row],[Health]]/tblPiNAnalysis5[[#This Row],[Affected population projection 2026]], 0.05)), "")</f>
        <v>0</v>
      </c>
      <c r="AB57" s="323">
        <f>IFERROR(IF(tblPiNAnalysis5[[#This Row],[Overarching Protection]]="", "", MROUND(tblPiNAnalysis5[[#This Row],[Overarching Protection]]/tblPiNAnalysis5[[#This Row],[Affected population projection 2026]], 0.05)), "")</f>
        <v>0</v>
      </c>
      <c r="AC57" s="323">
        <f>IFERROR(IF(tblPiNAnalysis5[[#This Row],[Shelter]]="", "", MROUND(tblPiNAnalysis5[[#This Row],[Shelter]]/tblPiNAnalysis5[[#This Row],[Affected population projection 2026]], 0.05)), "")</f>
        <v>0</v>
      </c>
      <c r="AD57" s="324">
        <f>IFERROR(IF(tblPiNAnalysis5[[#This Row],[WASH]]="", "", MROUND(tblPiNAnalysis5[[#This Row],[WASH]]/tblPiNAnalysis5[[#This Row],[Affected population projection 2026]], 0.05)), "")</f>
        <v>0</v>
      </c>
      <c r="AE57" s="322">
        <f>IFERROR(MROUND(tblPiNAnalysis5[[#This Row],[CP]]/tblPiNAnalysis5[[#This Row],[Affected population projection 2026]], 0.05), "")</f>
        <v>0</v>
      </c>
      <c r="AF57" s="322">
        <f>IFERROR(MROUND(tblPiNAnalysis5[[#This Row],[GBV]]/tblPiNAnalysis5[[#This Row],[Affected population projection 2026]], 0.05), "")</f>
        <v>0</v>
      </c>
      <c r="AG57" s="322">
        <f>IFERROR(MROUND(tblPiNAnalysis5[[#This Row],[Mine Action]]/tblPiNAnalysis5[[#This Row],[Affected population projection 2026]], 0.05), "")</f>
        <v>0</v>
      </c>
      <c r="AH57" s="322">
        <f>IFERROR(MROUND(tblPiNAnalysis5[[#This Row],[HLP]]/tblPiNAnalysis5[[#This Row],[Affected population projection 2026]], 0.05), "")</f>
        <v>0</v>
      </c>
      <c r="AI57" s="325">
        <f>IFERROR(LARGE(tblPiNAnalysis5[[#This Row],[CCCM]:[WASH]], 1), "")</f>
        <v>0</v>
      </c>
      <c r="AJ57" s="326" t="str" cm="1">
        <f t="array" ref="AJ57">IF(tblPiNAnalysis5[[#This Row],[Highest Target]]="", "", _xlfn.TEXTJOIN(CHAR(10), TRUE, IF(tblPiNAnalysis5[[#This Row],[Highest Target]]=tblPiNAnalysis5[[#This Row],[CCCM]:[WASH]], tblPiNAnalysis5[[#Headers],[CCCM]:[WASH]], "")))</f>
        <v>CCCM
Education
Nutrition
Food Security
Health
Overarching Protection
Shelter
WASH</v>
      </c>
      <c r="AK57" s="327">
        <f>IF(tblPiNAnalysis5[[#This Row],[Highest Target]]="", "", tblPiNAnalysis5[[#This Row],[Highest Target]]/tblPiNAnalysis5[[#This Row],[Affected population projection 2026]])</f>
        <v>0</v>
      </c>
      <c r="AL57" s="328" t="str">
        <f>IF(SUM(tblPiNAnalysis5[[#This Row],[CCCM]:[WASH]])=0, "",IF(COUNTIF(tblPiNAnalysis5[[#This Row],[CCCM]:[WASH]],"=0")+COUNTIF(tblPiNAnalysis5[[#This Row],[CCCM]:[WASH]],"")&gt;=zero_pin_thresh, "Flagged", ""))</f>
        <v/>
      </c>
      <c r="AM57" s="329" t="str">
        <f>IFERROR(IF(tblPiNAnalysis5[[#This Row],[Highest Target]]="", "", IF(tblPiNAnalysis5[[#This Row],[Highest sector(s'') Target %]]&gt;=flag_pin_perc, "Flagged", "")), "")</f>
        <v/>
      </c>
      <c r="AN57" s="330" t="str" cm="1">
        <f t="array" ref="AN57">IF(tblPiNAnalysis5[[#This Row],[Highest Target]]=0, "",  IF(OR(COUNTIF(tblPiNAnalysis5[[#This Row],[Highest sector(s)]],tblSubSectorPopulation[Sector])), "Flagged", ""))</f>
        <v/>
      </c>
      <c r="AO57" s="46" cm="1">
        <f t="array" ref="AO5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57" s="331" t="str" cm="1">
        <f t="array" ref="AP57">IF(tblPiNAnalysis5[[#This Row],[2nd Highest Target]]="", "", _xlfn.TEXTJOIN(CHAR(10), TRUE, IF(tblPiNAnalysis5[[#This Row],[2nd Highest Target]]=tblPiNAnalysis5[[#This Row],[CCCM]:[WASH]], tblPiNAnalysis5[[#Headers],[CCCM]:[WASH]], "")))</f>
        <v>CCCM
Education
Nutrition
Food Security
Health
Overarching Protection
Shelter
WASH</v>
      </c>
      <c r="AQ57" s="36">
        <f>IFERROR(tblPiNAnalysis5[[#This Row],[2nd Highest Target]]/tblPiNAnalysis5[[#This Row],[Affected population projection 2026]], "")</f>
        <v>0</v>
      </c>
      <c r="AR57" s="46">
        <f>IFERROR(tblPiNAnalysis5[[#This Row],[Highest Target]]-tblPiNAnalysis5[[#This Row],[2nd Highest Target]], "")</f>
        <v>0</v>
      </c>
      <c r="AS57" s="39" t="str">
        <f>IFERROR(((tblPiNAnalysis5[[#This Row],[Highest Target]]-tblPiNAnalysis5[[#This Row],[2nd Highest Target]])/tblPiNAnalysis5[[#This Row],[2nd Highest Target]]),"")</f>
        <v/>
      </c>
      <c r="AT57" s="39" t="str" cm="1">
        <f t="array" ref="AT5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7" s="332" cm="1">
        <f t="array" ref="AU5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57" s="190" t="str" cm="1">
        <f t="array" ref="AV57">IF(tblPiNAnalysis5[[#This Row],[3rd Highest Target]]="", "", _xlfn.TEXTJOIN(CHAR(10), TRUE, IF(tblPiNAnalysis5[[#This Row],[3rd Highest Target]]=tblPiNAnalysis5[[#This Row],[CCCM]:[WASH]], tblPiNAnalysis5[[#Headers],[CCCM]:[WASH]], "")))</f>
        <v>CCCM
Education
Nutrition
Food Security
Health
Overarching Protection
Shelter
WASH</v>
      </c>
      <c r="AW57" s="190">
        <f>IFERROR(tblPiNAnalysis5[[#This Row],[3rd Highest Target]]/tblPiNAnalysis5[[#This Row],[Affected population projection 2026]], "")</f>
        <v>0</v>
      </c>
      <c r="AX57" s="45">
        <f>IFERROR(tblPiNAnalysis5[[#This Row],[Highest Target]]-tblPiNAnalysis5[[#This Row],[3rd Highest Target]],"")</f>
        <v>0</v>
      </c>
      <c r="AY57" s="39" t="str">
        <f>IFERROR(tblPiNAnalysis5[[#This Row],[Difference of Target between Highest and 3rd Highest]]/tblPiNAnalysis5[[#This Row],[3rd Highest Target]], "")</f>
        <v/>
      </c>
      <c r="AZ57" s="330" t="str" cm="1">
        <f t="array" ref="AZ5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7" s="300" t="str" cm="1">
        <f t="array" ref="BA5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7" s="333" t="str" cm="1">
        <f t="array" ref="BB5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57" s="276" t="str" cm="1">
        <f t="array" ref="BC5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7" s="334" t="str" cm="1">
        <f t="array" ref="BD5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7" s="277" t="e">
        <f>INDEX(tblSeverityAnalysis[Final Severity], MATCH(tblPiNAnalysis5[[#This Row],[ID]],tblSeverityAnalysis[ID], 0))</f>
        <v>#N/A</v>
      </c>
      <c r="BF57" s="61" t="e">
        <f>IF(tblPiNAnalysis5[[#This Row],[Severity]]&gt;2,tblPiNAnalysis5[[#This Row],[Highest Target]],)</f>
        <v>#N/A</v>
      </c>
      <c r="BG57" s="191"/>
      <c r="BH57" s="192"/>
      <c r="BI57" s="193">
        <f>COUNTIFS(tblPiNAnalysis5[[#This Row],[Number of missing / zero PiNs greater than threshold - Data quality]:[Manual Flag]],"Flagged")</f>
        <v>2</v>
      </c>
      <c r="BJ57" s="96" t="str">
        <f>IF(tblPiNAnalysis5[[#This Row],['# Flags]]&gt;0, "Flagged", "")</f>
        <v>Flagged</v>
      </c>
      <c r="BK57" s="326" t="e">
        <f>tblPiNAnalysis5[[#This Row],[Preliminary Target]]</f>
        <v>#N/A</v>
      </c>
      <c r="BL57" s="331"/>
    </row>
    <row r="58" spans="1:64" x14ac:dyDescent="0.55000000000000004">
      <c r="A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8" s="316" t="s">
        <v>342</v>
      </c>
      <c r="C58" s="317" t="s">
        <v>343</v>
      </c>
      <c r="D58" s="317" t="s">
        <v>356</v>
      </c>
      <c r="E58" s="105" t="s">
        <v>357</v>
      </c>
      <c r="F58" s="100"/>
      <c r="G58" s="34"/>
      <c r="H58" s="34"/>
      <c r="I58" s="97">
        <v>107560.86765914821</v>
      </c>
      <c r="J58" s="97" t="s">
        <v>412</v>
      </c>
      <c r="K58" s="261">
        <v>59348</v>
      </c>
      <c r="L58" s="319">
        <v>3013.7694631152058</v>
      </c>
      <c r="M58" s="319">
        <v>22315.110124894109</v>
      </c>
      <c r="N58" s="319">
        <v>49250.661159626798</v>
      </c>
      <c r="O58" s="319">
        <v>65410.749382801841</v>
      </c>
      <c r="P58" s="319">
        <v>37333.618816313312</v>
      </c>
      <c r="Q58" s="229">
        <v>37106.63981632144</v>
      </c>
      <c r="R58" s="319">
        <v>67220.086111146898</v>
      </c>
      <c r="S58" s="319"/>
      <c r="T58" s="319"/>
      <c r="U58" s="319"/>
      <c r="V58" s="319"/>
      <c r="W58" s="321">
        <f>IFERROR(IF(tblPiNAnalysis5[[#This Row],[CCCM]]="", "", MROUND(tblPiNAnalysis5[[#This Row],[CCCM]]/tblPiNAnalysis5[[#This Row],[Affected population projection 2026]], 0.05)), "")</f>
        <v>0.55000000000000004</v>
      </c>
      <c r="X58" s="322">
        <f>IFERROR(IF(tblPiNAnalysis5[[#This Row],[Education]]="", "", MROUND(tblPiNAnalysis5[[#This Row],[Education]]/tblPiNAnalysis5[[#This Row],[Affected population projection 2026]], 0.05)), "")</f>
        <v>0.05</v>
      </c>
      <c r="Y58" s="322">
        <f>IFERROR(IF(tblPiNAnalysis5[[#This Row],[Nutrition]]="", "", MROUND(tblPiNAnalysis5[[#This Row],[Nutrition]]/tblPiNAnalysis5[[#This Row],[Affected population projection 2026]], 0.05)), "")</f>
        <v>0.2</v>
      </c>
      <c r="Z58" s="322">
        <f>IFERROR(IF(tblPiNAnalysis5[[#This Row],[Food Security]]="", "", MROUND(tblPiNAnalysis5[[#This Row],[Food Security]]/tblPiNAnalysis5[[#This Row],[Affected population projection 2026]], 0.05)), "")</f>
        <v>0.45</v>
      </c>
      <c r="AA58" s="322">
        <f>IFERROR(IF(tblPiNAnalysis5[[#This Row],[Health]]="", "", MROUND(tblPiNAnalysis5[[#This Row],[Health]]/tblPiNAnalysis5[[#This Row],[Affected population projection 2026]], 0.05)), "")</f>
        <v>0.60000000000000009</v>
      </c>
      <c r="AB58" s="323">
        <f>IFERROR(IF(tblPiNAnalysis5[[#This Row],[Overarching Protection]]="", "", MROUND(tblPiNAnalysis5[[#This Row],[Overarching Protection]]/tblPiNAnalysis5[[#This Row],[Affected population projection 2026]], 0.05)), "")</f>
        <v>0.35000000000000003</v>
      </c>
      <c r="AC58" s="323">
        <f>IFERROR(IF(tblPiNAnalysis5[[#This Row],[Shelter]]="", "", MROUND(tblPiNAnalysis5[[#This Row],[Shelter]]/tblPiNAnalysis5[[#This Row],[Affected population projection 2026]], 0.05)), "")</f>
        <v>0.35000000000000003</v>
      </c>
      <c r="AD58" s="324">
        <f>IFERROR(IF(tblPiNAnalysis5[[#This Row],[WASH]]="", "", MROUND(tblPiNAnalysis5[[#This Row],[WASH]]/tblPiNAnalysis5[[#This Row],[Affected population projection 2026]], 0.05)), "")</f>
        <v>0.60000000000000009</v>
      </c>
      <c r="AE58" s="322">
        <f>IFERROR(MROUND(tblPiNAnalysis5[[#This Row],[CP]]/tblPiNAnalysis5[[#This Row],[Affected population projection 2026]], 0.05), "")</f>
        <v>0</v>
      </c>
      <c r="AF58" s="322">
        <f>IFERROR(MROUND(tblPiNAnalysis5[[#This Row],[GBV]]/tblPiNAnalysis5[[#This Row],[Affected population projection 2026]], 0.05), "")</f>
        <v>0</v>
      </c>
      <c r="AG58" s="322">
        <f>IFERROR(MROUND(tblPiNAnalysis5[[#This Row],[Mine Action]]/tblPiNAnalysis5[[#This Row],[Affected population projection 2026]], 0.05), "")</f>
        <v>0</v>
      </c>
      <c r="AH58" s="322">
        <f>IFERROR(MROUND(tblPiNAnalysis5[[#This Row],[HLP]]/tblPiNAnalysis5[[#This Row],[Affected population projection 2026]], 0.05), "")</f>
        <v>0</v>
      </c>
      <c r="AI58" s="325">
        <f>IFERROR(LARGE(tblPiNAnalysis5[[#This Row],[CCCM]:[WASH]], 1), "")</f>
        <v>67220.086111146898</v>
      </c>
      <c r="AJ58" s="326" t="str" cm="1">
        <f t="array" ref="AJ58">IF(tblPiNAnalysis5[[#This Row],[Highest Target]]="", "", _xlfn.TEXTJOIN(CHAR(10), TRUE, IF(tblPiNAnalysis5[[#This Row],[Highest Target]]=tblPiNAnalysis5[[#This Row],[CCCM]:[WASH]], tblPiNAnalysis5[[#Headers],[CCCM]:[WASH]], "")))</f>
        <v>WASH</v>
      </c>
      <c r="AK58" s="327">
        <f>IF(tblPiNAnalysis5[[#This Row],[Highest Target]]="", "", tblPiNAnalysis5[[#This Row],[Highest Target]]/tblPiNAnalysis5[[#This Row],[Affected population projection 2026]])</f>
        <v>0.62494927359792207</v>
      </c>
      <c r="AL58" s="328" t="str">
        <f>IF(SUM(tblPiNAnalysis5[[#This Row],[CCCM]:[WASH]])=0, "",IF(COUNTIF(tblPiNAnalysis5[[#This Row],[CCCM]:[WASH]],"=0")+COUNTIF(tblPiNAnalysis5[[#This Row],[CCCM]:[WASH]],"")&gt;=zero_pin_thresh, "Flagged", ""))</f>
        <v/>
      </c>
      <c r="AM58" s="329" t="str">
        <f>IFERROR(IF(tblPiNAnalysis5[[#This Row],[Highest Target]]="", "", IF(tblPiNAnalysis5[[#This Row],[Highest sector(s'') Target %]]&gt;=flag_pin_perc, "Flagged", "")), "")</f>
        <v/>
      </c>
      <c r="AN58" s="330" t="str" cm="1">
        <f t="array" ref="AN58">IF(tblPiNAnalysis5[[#This Row],[Highest Target]]=0, "",  IF(OR(COUNTIF(tblPiNAnalysis5[[#This Row],[Highest sector(s)]],tblSubSectorPopulation[Sector])), "Flagged", ""))</f>
        <v/>
      </c>
      <c r="AO58" s="46" cm="1">
        <f t="array" ref="AO5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65410.749382801841</v>
      </c>
      <c r="AP58" s="331" t="str" cm="1">
        <f t="array" ref="AP58">IF(tblPiNAnalysis5[[#This Row],[2nd Highest Target]]="", "", _xlfn.TEXTJOIN(CHAR(10), TRUE, IF(tblPiNAnalysis5[[#This Row],[2nd Highest Target]]=tblPiNAnalysis5[[#This Row],[CCCM]:[WASH]], tblPiNAnalysis5[[#Headers],[CCCM]:[WASH]], "")))</f>
        <v>Health</v>
      </c>
      <c r="AQ58" s="36">
        <f>IFERROR(tblPiNAnalysis5[[#This Row],[2nd Highest Target]]/tblPiNAnalysis5[[#This Row],[Affected population projection 2026]], "")</f>
        <v>0.60812775878754788</v>
      </c>
      <c r="AR58" s="46">
        <f>IFERROR(tblPiNAnalysis5[[#This Row],[Highest Target]]-tblPiNAnalysis5[[#This Row],[2nd Highest Target]], "")</f>
        <v>1809.3367283450571</v>
      </c>
      <c r="AS58" s="39">
        <f>IFERROR(((tblPiNAnalysis5[[#This Row],[Highest Target]]-tblPiNAnalysis5[[#This Row],[2nd Highest Target]])/tblPiNAnalysis5[[#This Row],[2nd Highest Target]]),"")</f>
        <v>2.7661152722105609E-2</v>
      </c>
      <c r="AT58" s="39" t="str" cm="1">
        <f t="array" ref="AT5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8" s="332" cm="1">
        <f t="array" ref="AU5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59348</v>
      </c>
      <c r="AV58" s="190" t="str" cm="1">
        <f t="array" ref="AV58">IF(tblPiNAnalysis5[[#This Row],[3rd Highest Target]]="", "", _xlfn.TEXTJOIN(CHAR(10), TRUE, IF(tblPiNAnalysis5[[#This Row],[3rd Highest Target]]=tblPiNAnalysis5[[#This Row],[CCCM]:[WASH]], tblPiNAnalysis5[[#Headers],[CCCM]:[WASH]], "")))</f>
        <v>CCCM</v>
      </c>
      <c r="AW58" s="190">
        <f>IFERROR(tblPiNAnalysis5[[#This Row],[3rd Highest Target]]/tblPiNAnalysis5[[#This Row],[Affected population projection 2026]], "")</f>
        <v>0.55176200500789063</v>
      </c>
      <c r="AX58" s="45">
        <f>IFERROR(tblPiNAnalysis5[[#This Row],[Highest Target]]-tblPiNAnalysis5[[#This Row],[3rd Highest Target]],"")</f>
        <v>7872.0861111468985</v>
      </c>
      <c r="AY58" s="39">
        <f>IFERROR(tblPiNAnalysis5[[#This Row],[Difference of Target between Highest and 3rd Highest]]/tblPiNAnalysis5[[#This Row],[3rd Highest Target]], "")</f>
        <v>0.13264282050190232</v>
      </c>
      <c r="AZ58" s="330" t="str" cm="1">
        <f t="array" ref="AZ5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58" s="300" t="str" cm="1">
        <f t="array" ref="BA5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8" s="333" t="str" cm="1">
        <f t="array" ref="BB5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8" s="276" t="str" cm="1">
        <f t="array" ref="BC5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8" s="334" t="str" cm="1">
        <f t="array" ref="BD5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8" s="277" t="e">
        <f>INDEX(tblSeverityAnalysis[Final Severity], MATCH(tblPiNAnalysis5[[#This Row],[ID]],tblSeverityAnalysis[ID], 0))</f>
        <v>#N/A</v>
      </c>
      <c r="BF58" s="61" t="e">
        <f>IF(tblPiNAnalysis5[[#This Row],[Severity]]&gt;2,tblPiNAnalysis5[[#This Row],[Highest Target]],)</f>
        <v>#N/A</v>
      </c>
      <c r="BG58" s="191"/>
      <c r="BH58" s="192"/>
      <c r="BI58" s="193">
        <f>COUNTIFS(tblPiNAnalysis5[[#This Row],[Number of missing / zero PiNs greater than threshold - Data quality]:[Manual Flag]],"Flagged")</f>
        <v>1</v>
      </c>
      <c r="BJ58" s="96" t="str">
        <f>IF(tblPiNAnalysis5[[#This Row],['# Flags]]&gt;0, "Flagged", "")</f>
        <v>Flagged</v>
      </c>
      <c r="BK58" s="326" t="e">
        <f>tblPiNAnalysis5[[#This Row],[Preliminary Target]]</f>
        <v>#N/A</v>
      </c>
      <c r="BL58" s="331"/>
    </row>
    <row r="59" spans="1:64" x14ac:dyDescent="0.55000000000000004">
      <c r="A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9" s="316" t="s">
        <v>342</v>
      </c>
      <c r="C59" s="317" t="s">
        <v>343</v>
      </c>
      <c r="D59" s="317" t="s">
        <v>358</v>
      </c>
      <c r="E59" s="105" t="s">
        <v>359</v>
      </c>
      <c r="F59" s="100"/>
      <c r="G59" s="34"/>
      <c r="H59" s="34"/>
      <c r="I59" s="97">
        <v>19743.531183340554</v>
      </c>
      <c r="J59" s="97" t="s">
        <v>412</v>
      </c>
      <c r="K59" s="261">
        <v>0</v>
      </c>
      <c r="L59" s="319">
        <v>530.94304058239413</v>
      </c>
      <c r="M59" s="319">
        <v>4281.7518927834572</v>
      </c>
      <c r="N59" s="319">
        <v>3748.988020193754</v>
      </c>
      <c r="O59" s="319">
        <v>3408.215722989094</v>
      </c>
      <c r="P59" s="319">
        <v>2488.2227741843913</v>
      </c>
      <c r="Q59" s="229">
        <v>5964.2889999999998</v>
      </c>
      <c r="R59" s="319">
        <v>6546.4769248602197</v>
      </c>
      <c r="S59" s="319"/>
      <c r="T59" s="319"/>
      <c r="U59" s="319"/>
      <c r="V59" s="319"/>
      <c r="W59" s="321">
        <f>IFERROR(IF(tblPiNAnalysis5[[#This Row],[CCCM]]="", "", MROUND(tblPiNAnalysis5[[#This Row],[CCCM]]/tblPiNAnalysis5[[#This Row],[Affected population projection 2026]], 0.05)), "")</f>
        <v>0</v>
      </c>
      <c r="X59" s="322">
        <f>IFERROR(IF(tblPiNAnalysis5[[#This Row],[Education]]="", "", MROUND(tblPiNAnalysis5[[#This Row],[Education]]/tblPiNAnalysis5[[#This Row],[Affected population projection 2026]], 0.05)), "")</f>
        <v>0.05</v>
      </c>
      <c r="Y59" s="322">
        <f>IFERROR(IF(tblPiNAnalysis5[[#This Row],[Nutrition]]="", "", MROUND(tblPiNAnalysis5[[#This Row],[Nutrition]]/tblPiNAnalysis5[[#This Row],[Affected population projection 2026]], 0.05)), "")</f>
        <v>0.2</v>
      </c>
      <c r="Z59" s="322">
        <f>IFERROR(IF(tblPiNAnalysis5[[#This Row],[Food Security]]="", "", MROUND(tblPiNAnalysis5[[#This Row],[Food Security]]/tblPiNAnalysis5[[#This Row],[Affected population projection 2026]], 0.05)), "")</f>
        <v>0.2</v>
      </c>
      <c r="AA59" s="322">
        <f>IFERROR(IF(tblPiNAnalysis5[[#This Row],[Health]]="", "", MROUND(tblPiNAnalysis5[[#This Row],[Health]]/tblPiNAnalysis5[[#This Row],[Affected population projection 2026]], 0.05)), "")</f>
        <v>0.15000000000000002</v>
      </c>
      <c r="AB59" s="323">
        <f>IFERROR(IF(tblPiNAnalysis5[[#This Row],[Overarching Protection]]="", "", MROUND(tblPiNAnalysis5[[#This Row],[Overarching Protection]]/tblPiNAnalysis5[[#This Row],[Affected population projection 2026]], 0.05)), "")</f>
        <v>0.15000000000000002</v>
      </c>
      <c r="AC59" s="323">
        <f>IFERROR(IF(tblPiNAnalysis5[[#This Row],[Shelter]]="", "", MROUND(tblPiNAnalysis5[[#This Row],[Shelter]]/tblPiNAnalysis5[[#This Row],[Affected population projection 2026]], 0.05)), "")</f>
        <v>0.30000000000000004</v>
      </c>
      <c r="AD59" s="324">
        <f>IFERROR(IF(tblPiNAnalysis5[[#This Row],[WASH]]="", "", MROUND(tblPiNAnalysis5[[#This Row],[WASH]]/tblPiNAnalysis5[[#This Row],[Affected population projection 2026]], 0.05)), "")</f>
        <v>0.35000000000000003</v>
      </c>
      <c r="AE59" s="322">
        <f>IFERROR(MROUND(tblPiNAnalysis5[[#This Row],[CP]]/tblPiNAnalysis5[[#This Row],[Affected population projection 2026]], 0.05), "")</f>
        <v>0</v>
      </c>
      <c r="AF59" s="322">
        <f>IFERROR(MROUND(tblPiNAnalysis5[[#This Row],[GBV]]/tblPiNAnalysis5[[#This Row],[Affected population projection 2026]], 0.05), "")</f>
        <v>0</v>
      </c>
      <c r="AG59" s="322">
        <f>IFERROR(MROUND(tblPiNAnalysis5[[#This Row],[Mine Action]]/tblPiNAnalysis5[[#This Row],[Affected population projection 2026]], 0.05), "")</f>
        <v>0</v>
      </c>
      <c r="AH59" s="322">
        <f>IFERROR(MROUND(tblPiNAnalysis5[[#This Row],[HLP]]/tblPiNAnalysis5[[#This Row],[Affected population projection 2026]], 0.05), "")</f>
        <v>0</v>
      </c>
      <c r="AI59" s="325">
        <f>IFERROR(LARGE(tblPiNAnalysis5[[#This Row],[CCCM]:[WASH]], 1), "")</f>
        <v>6546.4769248602197</v>
      </c>
      <c r="AJ59" s="326" t="str" cm="1">
        <f t="array" ref="AJ59">IF(tblPiNAnalysis5[[#This Row],[Highest Target]]="", "", _xlfn.TEXTJOIN(CHAR(10), TRUE, IF(tblPiNAnalysis5[[#This Row],[Highest Target]]=tblPiNAnalysis5[[#This Row],[CCCM]:[WASH]], tblPiNAnalysis5[[#Headers],[CCCM]:[WASH]], "")))</f>
        <v>WASH</v>
      </c>
      <c r="AK59" s="327">
        <f>IF(tblPiNAnalysis5[[#This Row],[Highest Target]]="", "", tblPiNAnalysis5[[#This Row],[Highest Target]]/tblPiNAnalysis5[[#This Row],[Affected population projection 2026]])</f>
        <v>0.33157578875171473</v>
      </c>
      <c r="AL59" s="328" t="str">
        <f>IF(SUM(tblPiNAnalysis5[[#This Row],[CCCM]:[WASH]])=0, "",IF(COUNTIF(tblPiNAnalysis5[[#This Row],[CCCM]:[WASH]],"=0")+COUNTIF(tblPiNAnalysis5[[#This Row],[CCCM]:[WASH]],"")&gt;=zero_pin_thresh, "Flagged", ""))</f>
        <v/>
      </c>
      <c r="AM59" s="329" t="str">
        <f>IFERROR(IF(tblPiNAnalysis5[[#This Row],[Highest Target]]="", "", IF(tblPiNAnalysis5[[#This Row],[Highest sector(s'') Target %]]&gt;=flag_pin_perc, "Flagged", "")), "")</f>
        <v/>
      </c>
      <c r="AN59" s="330" t="str" cm="1">
        <f t="array" ref="AN59">IF(tblPiNAnalysis5[[#This Row],[Highest Target]]=0, "",  IF(OR(COUNTIF(tblPiNAnalysis5[[#This Row],[Highest sector(s)]],tblSubSectorPopulation[Sector])), "Flagged", ""))</f>
        <v/>
      </c>
      <c r="AO59" s="46" cm="1">
        <f t="array" ref="AO5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5964.2889999999998</v>
      </c>
      <c r="AP59" s="331" t="str" cm="1">
        <f t="array" ref="AP59">IF(tblPiNAnalysis5[[#This Row],[2nd Highest Target]]="", "", _xlfn.TEXTJOIN(CHAR(10), TRUE, IF(tblPiNAnalysis5[[#This Row],[2nd Highest Target]]=tblPiNAnalysis5[[#This Row],[CCCM]:[WASH]], tblPiNAnalysis5[[#Headers],[CCCM]:[WASH]], "")))</f>
        <v>Shelter</v>
      </c>
      <c r="AQ59" s="36">
        <f>IFERROR(tblPiNAnalysis5[[#This Row],[2nd Highest Target]]/tblPiNAnalysis5[[#This Row],[Affected population projection 2026]], "")</f>
        <v>0.30208826094050606</v>
      </c>
      <c r="AR59" s="46">
        <f>IFERROR(tblPiNAnalysis5[[#This Row],[Highest Target]]-tblPiNAnalysis5[[#This Row],[2nd Highest Target]], "")</f>
        <v>582.18792486021994</v>
      </c>
      <c r="AS59" s="39">
        <f>IFERROR(((tblPiNAnalysis5[[#This Row],[Highest Target]]-tblPiNAnalysis5[[#This Row],[2nd Highest Target]])/tblPiNAnalysis5[[#This Row],[2nd Highest Target]]),"")</f>
        <v>9.7612292908713844E-2</v>
      </c>
      <c r="AT59" s="39" t="str" cm="1">
        <f t="array" ref="AT5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59" s="332" cm="1">
        <f t="array" ref="AU5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4281.7518927834572</v>
      </c>
      <c r="AV59" s="190" t="str" cm="1">
        <f t="array" ref="AV59">IF(tblPiNAnalysis5[[#This Row],[3rd Highest Target]]="", "", _xlfn.TEXTJOIN(CHAR(10), TRUE, IF(tblPiNAnalysis5[[#This Row],[3rd Highest Target]]=tblPiNAnalysis5[[#This Row],[CCCM]:[WASH]], tblPiNAnalysis5[[#Headers],[CCCM]:[WASH]], "")))</f>
        <v>Nutrition</v>
      </c>
      <c r="AW59" s="190">
        <f>IFERROR(tblPiNAnalysis5[[#This Row],[3rd Highest Target]]/tblPiNAnalysis5[[#This Row],[Affected population projection 2026]], "")</f>
        <v>0.21686859625173677</v>
      </c>
      <c r="AX59" s="45">
        <f>IFERROR(tblPiNAnalysis5[[#This Row],[Highest Target]]-tblPiNAnalysis5[[#This Row],[3rd Highest Target]],"")</f>
        <v>2264.7250320767625</v>
      </c>
      <c r="AY59" s="39">
        <f>IFERROR(tblPiNAnalysis5[[#This Row],[Difference of Target between Highest and 3rd Highest]]/tblPiNAnalysis5[[#This Row],[3rd Highest Target]], "")</f>
        <v>0.52892486271653705</v>
      </c>
      <c r="AZ59" s="330" t="str" cm="1">
        <f t="array" ref="AZ5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59" s="300" t="str" cm="1">
        <f t="array" ref="BA5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59" s="333" t="str" cm="1">
        <f t="array" ref="BB5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59" s="276" t="str" cm="1">
        <f t="array" ref="BC5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59" s="334" t="str" cm="1">
        <f t="array" ref="BD5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59" s="277" t="e">
        <f>INDEX(tblSeverityAnalysis[Final Severity], MATCH(tblPiNAnalysis5[[#This Row],[ID]],tblSeverityAnalysis[ID], 0))</f>
        <v>#N/A</v>
      </c>
      <c r="BF59" s="61" t="e">
        <f>IF(tblPiNAnalysis5[[#This Row],[Severity]]&gt;2,tblPiNAnalysis5[[#This Row],[Highest Target]],)</f>
        <v>#N/A</v>
      </c>
      <c r="BG59" s="191"/>
      <c r="BH59" s="192"/>
      <c r="BI59" s="193">
        <f>COUNTIFS(tblPiNAnalysis5[[#This Row],[Number of missing / zero PiNs greater than threshold - Data quality]:[Manual Flag]],"Flagged")</f>
        <v>2</v>
      </c>
      <c r="BJ59" s="96" t="str">
        <f>IF(tblPiNAnalysis5[[#This Row],['# Flags]]&gt;0, "Flagged", "")</f>
        <v>Flagged</v>
      </c>
      <c r="BK59" s="326" t="e">
        <f>tblPiNAnalysis5[[#This Row],[Preliminary Target]]</f>
        <v>#N/A</v>
      </c>
      <c r="BL59" s="331"/>
    </row>
    <row r="60" spans="1:64" ht="110.7" x14ac:dyDescent="0.55000000000000004">
      <c r="A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0" s="316" t="s">
        <v>342</v>
      </c>
      <c r="C60" s="317" t="s">
        <v>343</v>
      </c>
      <c r="D60" s="317" t="s">
        <v>360</v>
      </c>
      <c r="E60" s="105" t="s">
        <v>361</v>
      </c>
      <c r="F60" s="100"/>
      <c r="G60" s="34"/>
      <c r="H60" s="34"/>
      <c r="I60" s="97">
        <v>33846.254411291047</v>
      </c>
      <c r="J60" s="97" t="s">
        <v>412</v>
      </c>
      <c r="K60" s="261">
        <v>0</v>
      </c>
      <c r="L60" s="319">
        <v>0</v>
      </c>
      <c r="M60" s="319">
        <v>0</v>
      </c>
      <c r="N60" s="319">
        <v>0</v>
      </c>
      <c r="O60" s="319">
        <v>0</v>
      </c>
      <c r="P60" s="319">
        <v>0</v>
      </c>
      <c r="Q60" s="229">
        <v>0</v>
      </c>
      <c r="R60" s="319">
        <v>0</v>
      </c>
      <c r="S60" s="319"/>
      <c r="T60" s="319"/>
      <c r="U60" s="319"/>
      <c r="V60" s="319"/>
      <c r="W60" s="321">
        <f>IFERROR(IF(tblPiNAnalysis5[[#This Row],[CCCM]]="", "", MROUND(tblPiNAnalysis5[[#This Row],[CCCM]]/tblPiNAnalysis5[[#This Row],[Affected population projection 2026]], 0.05)), "")</f>
        <v>0</v>
      </c>
      <c r="X60" s="322">
        <f>IFERROR(IF(tblPiNAnalysis5[[#This Row],[Education]]="", "", MROUND(tblPiNAnalysis5[[#This Row],[Education]]/tblPiNAnalysis5[[#This Row],[Affected population projection 2026]], 0.05)), "")</f>
        <v>0</v>
      </c>
      <c r="Y60" s="322">
        <f>IFERROR(IF(tblPiNAnalysis5[[#This Row],[Nutrition]]="", "", MROUND(tblPiNAnalysis5[[#This Row],[Nutrition]]/tblPiNAnalysis5[[#This Row],[Affected population projection 2026]], 0.05)), "")</f>
        <v>0</v>
      </c>
      <c r="Z60" s="322">
        <f>IFERROR(IF(tblPiNAnalysis5[[#This Row],[Food Security]]="", "", MROUND(tblPiNAnalysis5[[#This Row],[Food Security]]/tblPiNAnalysis5[[#This Row],[Affected population projection 2026]], 0.05)), "")</f>
        <v>0</v>
      </c>
      <c r="AA60" s="322">
        <f>IFERROR(IF(tblPiNAnalysis5[[#This Row],[Health]]="", "", MROUND(tblPiNAnalysis5[[#This Row],[Health]]/tblPiNAnalysis5[[#This Row],[Affected population projection 2026]], 0.05)), "")</f>
        <v>0</v>
      </c>
      <c r="AB60" s="323">
        <f>IFERROR(IF(tblPiNAnalysis5[[#This Row],[Overarching Protection]]="", "", MROUND(tblPiNAnalysis5[[#This Row],[Overarching Protection]]/tblPiNAnalysis5[[#This Row],[Affected population projection 2026]], 0.05)), "")</f>
        <v>0</v>
      </c>
      <c r="AC60" s="323">
        <f>IFERROR(IF(tblPiNAnalysis5[[#This Row],[Shelter]]="", "", MROUND(tblPiNAnalysis5[[#This Row],[Shelter]]/tblPiNAnalysis5[[#This Row],[Affected population projection 2026]], 0.05)), "")</f>
        <v>0</v>
      </c>
      <c r="AD60" s="324">
        <f>IFERROR(IF(tblPiNAnalysis5[[#This Row],[WASH]]="", "", MROUND(tblPiNAnalysis5[[#This Row],[WASH]]/tblPiNAnalysis5[[#This Row],[Affected population projection 2026]], 0.05)), "")</f>
        <v>0</v>
      </c>
      <c r="AE60" s="322">
        <f>IFERROR(MROUND(tblPiNAnalysis5[[#This Row],[CP]]/tblPiNAnalysis5[[#This Row],[Affected population projection 2026]], 0.05), "")</f>
        <v>0</v>
      </c>
      <c r="AF60" s="322">
        <f>IFERROR(MROUND(tblPiNAnalysis5[[#This Row],[GBV]]/tblPiNAnalysis5[[#This Row],[Affected population projection 2026]], 0.05), "")</f>
        <v>0</v>
      </c>
      <c r="AG60" s="322">
        <f>IFERROR(MROUND(tblPiNAnalysis5[[#This Row],[Mine Action]]/tblPiNAnalysis5[[#This Row],[Affected population projection 2026]], 0.05), "")</f>
        <v>0</v>
      </c>
      <c r="AH60" s="322">
        <f>IFERROR(MROUND(tblPiNAnalysis5[[#This Row],[HLP]]/tblPiNAnalysis5[[#This Row],[Affected population projection 2026]], 0.05), "")</f>
        <v>0</v>
      </c>
      <c r="AI60" s="325">
        <f>IFERROR(LARGE(tblPiNAnalysis5[[#This Row],[CCCM]:[WASH]], 1), "")</f>
        <v>0</v>
      </c>
      <c r="AJ60" s="326" t="str" cm="1">
        <f t="array" ref="AJ60">IF(tblPiNAnalysis5[[#This Row],[Highest Target]]="", "", _xlfn.TEXTJOIN(CHAR(10), TRUE, IF(tblPiNAnalysis5[[#This Row],[Highest Target]]=tblPiNAnalysis5[[#This Row],[CCCM]:[WASH]], tblPiNAnalysis5[[#Headers],[CCCM]:[WASH]], "")))</f>
        <v>CCCM
Education
Nutrition
Food Security
Health
Overarching Protection
Shelter
WASH</v>
      </c>
      <c r="AK60" s="327">
        <f>IF(tblPiNAnalysis5[[#This Row],[Highest Target]]="", "", tblPiNAnalysis5[[#This Row],[Highest Target]]/tblPiNAnalysis5[[#This Row],[Affected population projection 2026]])</f>
        <v>0</v>
      </c>
      <c r="AL60" s="328" t="str">
        <f>IF(SUM(tblPiNAnalysis5[[#This Row],[CCCM]:[WASH]])=0, "",IF(COUNTIF(tblPiNAnalysis5[[#This Row],[CCCM]:[WASH]],"=0")+COUNTIF(tblPiNAnalysis5[[#This Row],[CCCM]:[WASH]],"")&gt;=zero_pin_thresh, "Flagged", ""))</f>
        <v/>
      </c>
      <c r="AM60" s="329" t="str">
        <f>IFERROR(IF(tblPiNAnalysis5[[#This Row],[Highest Target]]="", "", IF(tblPiNAnalysis5[[#This Row],[Highest sector(s'') Target %]]&gt;=flag_pin_perc, "Flagged", "")), "")</f>
        <v/>
      </c>
      <c r="AN60" s="330" t="str" cm="1">
        <f t="array" ref="AN60">IF(tblPiNAnalysis5[[#This Row],[Highest Target]]=0, "",  IF(OR(COUNTIF(tblPiNAnalysis5[[#This Row],[Highest sector(s)]],tblSubSectorPopulation[Sector])), "Flagged", ""))</f>
        <v/>
      </c>
      <c r="AO60" s="46" cm="1">
        <f t="array" ref="AO6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60" s="331" t="str" cm="1">
        <f t="array" ref="AP60">IF(tblPiNAnalysis5[[#This Row],[2nd Highest Target]]="", "", _xlfn.TEXTJOIN(CHAR(10), TRUE, IF(tblPiNAnalysis5[[#This Row],[2nd Highest Target]]=tblPiNAnalysis5[[#This Row],[CCCM]:[WASH]], tblPiNAnalysis5[[#Headers],[CCCM]:[WASH]], "")))</f>
        <v>CCCM
Education
Nutrition
Food Security
Health
Overarching Protection
Shelter
WASH</v>
      </c>
      <c r="AQ60" s="36">
        <f>IFERROR(tblPiNAnalysis5[[#This Row],[2nd Highest Target]]/tblPiNAnalysis5[[#This Row],[Affected population projection 2026]], "")</f>
        <v>0</v>
      </c>
      <c r="AR60" s="46">
        <f>IFERROR(tblPiNAnalysis5[[#This Row],[Highest Target]]-tblPiNAnalysis5[[#This Row],[2nd Highest Target]], "")</f>
        <v>0</v>
      </c>
      <c r="AS60" s="39" t="str">
        <f>IFERROR(((tblPiNAnalysis5[[#This Row],[Highest Target]]-tblPiNAnalysis5[[#This Row],[2nd Highest Target]])/tblPiNAnalysis5[[#This Row],[2nd Highest Target]]),"")</f>
        <v/>
      </c>
      <c r="AT60" s="39" t="str" cm="1">
        <f t="array" ref="AT6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0" s="332" cm="1">
        <f t="array" ref="AU6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60" s="190" t="str" cm="1">
        <f t="array" ref="AV60">IF(tblPiNAnalysis5[[#This Row],[3rd Highest Target]]="", "", _xlfn.TEXTJOIN(CHAR(10), TRUE, IF(tblPiNAnalysis5[[#This Row],[3rd Highest Target]]=tblPiNAnalysis5[[#This Row],[CCCM]:[WASH]], tblPiNAnalysis5[[#Headers],[CCCM]:[WASH]], "")))</f>
        <v>CCCM
Education
Nutrition
Food Security
Health
Overarching Protection
Shelter
WASH</v>
      </c>
      <c r="AW60" s="190">
        <f>IFERROR(tblPiNAnalysis5[[#This Row],[3rd Highest Target]]/tblPiNAnalysis5[[#This Row],[Affected population projection 2026]], "")</f>
        <v>0</v>
      </c>
      <c r="AX60" s="45">
        <f>IFERROR(tblPiNAnalysis5[[#This Row],[Highest Target]]-tblPiNAnalysis5[[#This Row],[3rd Highest Target]],"")</f>
        <v>0</v>
      </c>
      <c r="AY60" s="39" t="str">
        <f>IFERROR(tblPiNAnalysis5[[#This Row],[Difference of Target between Highest and 3rd Highest]]/tblPiNAnalysis5[[#This Row],[3rd Highest Target]], "")</f>
        <v/>
      </c>
      <c r="AZ60" s="330" t="str" cm="1">
        <f t="array" ref="AZ6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0" s="300" t="str" cm="1">
        <f t="array" ref="BA6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0" s="333" t="str" cm="1">
        <f t="array" ref="BB6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0" s="276" t="str" cm="1">
        <f t="array" ref="BC6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0" s="334" t="str" cm="1">
        <f t="array" ref="BD6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0" s="277" t="e">
        <f>INDEX(tblSeverityAnalysis[Final Severity], MATCH(tblPiNAnalysis5[[#This Row],[ID]],tblSeverityAnalysis[ID], 0))</f>
        <v>#N/A</v>
      </c>
      <c r="BF60" s="61" t="e">
        <f>IF(tblPiNAnalysis5[[#This Row],[Severity]]&gt;2,tblPiNAnalysis5[[#This Row],[Highest Target]],)</f>
        <v>#N/A</v>
      </c>
      <c r="BG60" s="191"/>
      <c r="BH60" s="192"/>
      <c r="BI60" s="193">
        <f>COUNTIFS(tblPiNAnalysis5[[#This Row],[Number of missing / zero PiNs greater than threshold - Data quality]:[Manual Flag]],"Flagged")</f>
        <v>2</v>
      </c>
      <c r="BJ60" s="96" t="str">
        <f>IF(tblPiNAnalysis5[[#This Row],['# Flags]]&gt;0, "Flagged", "")</f>
        <v>Flagged</v>
      </c>
      <c r="BK60" s="326" t="e">
        <f>tblPiNAnalysis5[[#This Row],[Preliminary Target]]</f>
        <v>#N/A</v>
      </c>
      <c r="BL60" s="331"/>
    </row>
    <row r="61" spans="1:64" x14ac:dyDescent="0.55000000000000004">
      <c r="A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1" s="316" t="s">
        <v>342</v>
      </c>
      <c r="C61" s="317" t="s">
        <v>343</v>
      </c>
      <c r="D61" s="317" t="s">
        <v>362</v>
      </c>
      <c r="E61" s="105" t="s">
        <v>363</v>
      </c>
      <c r="F61" s="100"/>
      <c r="G61" s="34"/>
      <c r="H61" s="34"/>
      <c r="I61" s="97">
        <v>17038.14092740557</v>
      </c>
      <c r="J61" s="97" t="s">
        <v>412</v>
      </c>
      <c r="K61" s="261">
        <v>1984</v>
      </c>
      <c r="L61" s="319">
        <v>1409.2553047593842</v>
      </c>
      <c r="M61" s="319">
        <v>4777.6809424247476</v>
      </c>
      <c r="N61" s="319">
        <v>8336.8899108872847</v>
      </c>
      <c r="O61" s="319">
        <v>9321.9440506130777</v>
      </c>
      <c r="P61" s="319">
        <v>6283.1418271572857</v>
      </c>
      <c r="Q61" s="229">
        <v>5964.2889999999998</v>
      </c>
      <c r="R61" s="319">
        <v>15524.42179542532</v>
      </c>
      <c r="S61" s="319"/>
      <c r="T61" s="319"/>
      <c r="U61" s="319"/>
      <c r="V61" s="319"/>
      <c r="W61" s="321">
        <f>IFERROR(IF(tblPiNAnalysis5[[#This Row],[CCCM]]="", "", MROUND(tblPiNAnalysis5[[#This Row],[CCCM]]/tblPiNAnalysis5[[#This Row],[Affected population projection 2026]], 0.05)), "")</f>
        <v>0.1</v>
      </c>
      <c r="X61" s="322">
        <f>IFERROR(IF(tblPiNAnalysis5[[#This Row],[Education]]="", "", MROUND(tblPiNAnalysis5[[#This Row],[Education]]/tblPiNAnalysis5[[#This Row],[Affected population projection 2026]], 0.05)), "")</f>
        <v>0.1</v>
      </c>
      <c r="Y61" s="322">
        <f>IFERROR(IF(tblPiNAnalysis5[[#This Row],[Nutrition]]="", "", MROUND(tblPiNAnalysis5[[#This Row],[Nutrition]]/tblPiNAnalysis5[[#This Row],[Affected population projection 2026]], 0.05)), "")</f>
        <v>0.30000000000000004</v>
      </c>
      <c r="Z61" s="322">
        <f>IFERROR(IF(tblPiNAnalysis5[[#This Row],[Food Security]]="", "", MROUND(tblPiNAnalysis5[[#This Row],[Food Security]]/tblPiNAnalysis5[[#This Row],[Affected population projection 2026]], 0.05)), "")</f>
        <v>0.5</v>
      </c>
      <c r="AA61" s="322">
        <f>IFERROR(IF(tblPiNAnalysis5[[#This Row],[Health]]="", "", MROUND(tblPiNAnalysis5[[#This Row],[Health]]/tblPiNAnalysis5[[#This Row],[Affected population projection 2026]], 0.05)), "")</f>
        <v>0.55000000000000004</v>
      </c>
      <c r="AB61" s="323">
        <f>IFERROR(IF(tblPiNAnalysis5[[#This Row],[Overarching Protection]]="", "", MROUND(tblPiNAnalysis5[[#This Row],[Overarching Protection]]/tblPiNAnalysis5[[#This Row],[Affected population projection 2026]], 0.05)), "")</f>
        <v>0.35000000000000003</v>
      </c>
      <c r="AC61" s="323">
        <f>IFERROR(IF(tblPiNAnalysis5[[#This Row],[Shelter]]="", "", MROUND(tblPiNAnalysis5[[#This Row],[Shelter]]/tblPiNAnalysis5[[#This Row],[Affected population projection 2026]], 0.05)), "")</f>
        <v>0.35000000000000003</v>
      </c>
      <c r="AD61" s="324">
        <f>IFERROR(IF(tblPiNAnalysis5[[#This Row],[WASH]]="", "", MROUND(tblPiNAnalysis5[[#This Row],[WASH]]/tblPiNAnalysis5[[#This Row],[Affected population projection 2026]], 0.05)), "")</f>
        <v>0.9</v>
      </c>
      <c r="AE61" s="322">
        <f>IFERROR(MROUND(tblPiNAnalysis5[[#This Row],[CP]]/tblPiNAnalysis5[[#This Row],[Affected population projection 2026]], 0.05), "")</f>
        <v>0</v>
      </c>
      <c r="AF61" s="322">
        <f>IFERROR(MROUND(tblPiNAnalysis5[[#This Row],[GBV]]/tblPiNAnalysis5[[#This Row],[Affected population projection 2026]], 0.05), "")</f>
        <v>0</v>
      </c>
      <c r="AG61" s="322">
        <f>IFERROR(MROUND(tblPiNAnalysis5[[#This Row],[Mine Action]]/tblPiNAnalysis5[[#This Row],[Affected population projection 2026]], 0.05), "")</f>
        <v>0</v>
      </c>
      <c r="AH61" s="322">
        <f>IFERROR(MROUND(tblPiNAnalysis5[[#This Row],[HLP]]/tblPiNAnalysis5[[#This Row],[Affected population projection 2026]], 0.05), "")</f>
        <v>0</v>
      </c>
      <c r="AI61" s="325">
        <f>IFERROR(LARGE(tblPiNAnalysis5[[#This Row],[CCCM]:[WASH]], 1), "")</f>
        <v>15524.42179542532</v>
      </c>
      <c r="AJ61" s="326" t="str" cm="1">
        <f t="array" ref="AJ61">IF(tblPiNAnalysis5[[#This Row],[Highest Target]]="", "", _xlfn.TEXTJOIN(CHAR(10), TRUE, IF(tblPiNAnalysis5[[#This Row],[Highest Target]]=tblPiNAnalysis5[[#This Row],[CCCM]:[WASH]], tblPiNAnalysis5[[#Headers],[CCCM]:[WASH]], "")))</f>
        <v>WASH</v>
      </c>
      <c r="AK61" s="327">
        <f>IF(tblPiNAnalysis5[[#This Row],[Highest Target]]="", "", tblPiNAnalysis5[[#This Row],[Highest Target]]/tblPiNAnalysis5[[#This Row],[Affected population projection 2026]])</f>
        <v>0.91115702479338823</v>
      </c>
      <c r="AL61" s="328" t="str">
        <f>IF(SUM(tblPiNAnalysis5[[#This Row],[CCCM]:[WASH]])=0, "",IF(COUNTIF(tblPiNAnalysis5[[#This Row],[CCCM]:[WASH]],"=0")+COUNTIF(tblPiNAnalysis5[[#This Row],[CCCM]:[WASH]],"")&gt;=zero_pin_thresh, "Flagged", ""))</f>
        <v/>
      </c>
      <c r="AM61" s="329" t="str">
        <f>IFERROR(IF(tblPiNAnalysis5[[#This Row],[Highest Target]]="", "", IF(tblPiNAnalysis5[[#This Row],[Highest sector(s'') Target %]]&gt;=flag_pin_perc, "Flagged", "")), "")</f>
        <v>Flagged</v>
      </c>
      <c r="AN61" s="330" t="str" cm="1">
        <f t="array" ref="AN61">IF(tblPiNAnalysis5[[#This Row],[Highest Target]]=0, "",  IF(OR(COUNTIF(tblPiNAnalysis5[[#This Row],[Highest sector(s)]],tblSubSectorPopulation[Sector])), "Flagged", ""))</f>
        <v/>
      </c>
      <c r="AO61" s="46" cm="1">
        <f t="array" ref="AO6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9321.9440506130777</v>
      </c>
      <c r="AP61" s="331" t="str" cm="1">
        <f t="array" ref="AP61">IF(tblPiNAnalysis5[[#This Row],[2nd Highest Target]]="", "", _xlfn.TEXTJOIN(CHAR(10), TRUE, IF(tblPiNAnalysis5[[#This Row],[2nd Highest Target]]=tblPiNAnalysis5[[#This Row],[CCCM]:[WASH]], tblPiNAnalysis5[[#Headers],[CCCM]:[WASH]], "")))</f>
        <v>Health</v>
      </c>
      <c r="AQ61" s="36">
        <f>IFERROR(tblPiNAnalysis5[[#This Row],[2nd Highest Target]]/tblPiNAnalysis5[[#This Row],[Affected population projection 2026]], "")</f>
        <v>0.54712213558574829</v>
      </c>
      <c r="AR61" s="46">
        <f>IFERROR(tblPiNAnalysis5[[#This Row],[Highest Target]]-tblPiNAnalysis5[[#This Row],[2nd Highest Target]], "")</f>
        <v>6202.4777448122422</v>
      </c>
      <c r="AS61" s="39">
        <f>IFERROR(((tblPiNAnalysis5[[#This Row],[Highest Target]]-tblPiNAnalysis5[[#This Row],[2nd Highest Target]])/tblPiNAnalysis5[[#This Row],[2nd Highest Target]]),"")</f>
        <v>0.66536311644182444</v>
      </c>
      <c r="AT61" s="39" t="str" cm="1">
        <f t="array" ref="AT6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61" s="332" cm="1">
        <f t="array" ref="AU6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8336.8899108872847</v>
      </c>
      <c r="AV61" s="190" t="str" cm="1">
        <f t="array" ref="AV61">IF(tblPiNAnalysis5[[#This Row],[3rd Highest Target]]="", "", _xlfn.TEXTJOIN(CHAR(10), TRUE, IF(tblPiNAnalysis5[[#This Row],[3rd Highest Target]]=tblPiNAnalysis5[[#This Row],[CCCM]:[WASH]], tblPiNAnalysis5[[#Headers],[CCCM]:[WASH]], "")))</f>
        <v>Food Security</v>
      </c>
      <c r="AW61" s="190">
        <f>IFERROR(tblPiNAnalysis5[[#This Row],[3rd Highest Target]]/tblPiNAnalysis5[[#This Row],[Affected population projection 2026]], "")</f>
        <v>0.48930748644516342</v>
      </c>
      <c r="AX61" s="45">
        <f>IFERROR(tblPiNAnalysis5[[#This Row],[Highest Target]]-tblPiNAnalysis5[[#This Row],[3rd Highest Target]],"")</f>
        <v>7187.5318845380352</v>
      </c>
      <c r="AY61" s="39">
        <f>IFERROR(tblPiNAnalysis5[[#This Row],[Difference of Target between Highest and 3rd Highest]]/tblPiNAnalysis5[[#This Row],[3rd Highest Target]], "")</f>
        <v>0.86213587577205697</v>
      </c>
      <c r="AZ61" s="330" t="str" cm="1">
        <f t="array" ref="AZ6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61" s="300" t="str" cm="1">
        <f t="array" ref="BA6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1" s="333" t="str" cm="1">
        <f t="array" ref="BB6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61" s="276" t="str" cm="1">
        <f t="array" ref="BC6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1" s="334" t="str" cm="1">
        <f t="array" ref="BD6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1" s="277" t="e">
        <f>INDEX(tblSeverityAnalysis[Final Severity], MATCH(tblPiNAnalysis5[[#This Row],[ID]],tblSeverityAnalysis[ID], 0))</f>
        <v>#N/A</v>
      </c>
      <c r="BF61" s="61" t="e">
        <f>IF(tblPiNAnalysis5[[#This Row],[Severity]]&gt;2,tblPiNAnalysis5[[#This Row],[Highest Target]],)</f>
        <v>#N/A</v>
      </c>
      <c r="BG61" s="191"/>
      <c r="BH61" s="192"/>
      <c r="BI61" s="193">
        <f>COUNTIFS(tblPiNAnalysis5[[#This Row],[Number of missing / zero PiNs greater than threshold - Data quality]:[Manual Flag]],"Flagged")</f>
        <v>4</v>
      </c>
      <c r="BJ61" s="96" t="str">
        <f>IF(tblPiNAnalysis5[[#This Row],['# Flags]]&gt;0, "Flagged", "")</f>
        <v>Flagged</v>
      </c>
      <c r="BK61" s="326" t="e">
        <f>tblPiNAnalysis5[[#This Row],[Preliminary Target]]</f>
        <v>#N/A</v>
      </c>
      <c r="BL61" s="331"/>
    </row>
    <row r="62" spans="1:64" ht="24.6" x14ac:dyDescent="0.55000000000000004">
      <c r="A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2" s="316" t="s">
        <v>342</v>
      </c>
      <c r="C62" s="317" t="s">
        <v>343</v>
      </c>
      <c r="D62" s="317" t="s">
        <v>364</v>
      </c>
      <c r="E62" s="105" t="s">
        <v>365</v>
      </c>
      <c r="F62" s="100"/>
      <c r="G62" s="34"/>
      <c r="H62" s="34"/>
      <c r="I62" s="97">
        <v>119449.90934019189</v>
      </c>
      <c r="J62" s="97" t="s">
        <v>412</v>
      </c>
      <c r="K62" s="261">
        <v>11554</v>
      </c>
      <c r="L62" s="319">
        <v>21877.250895656147</v>
      </c>
      <c r="M62" s="319">
        <v>19541.698900197116</v>
      </c>
      <c r="N62" s="319">
        <v>43135.041624416102</v>
      </c>
      <c r="O62" s="319">
        <v>35332.616272001105</v>
      </c>
      <c r="P62" s="319">
        <v>28640.415903531131</v>
      </c>
      <c r="Q62" s="229">
        <v>17239.205221162356</v>
      </c>
      <c r="R62" s="319">
        <v>23697.452864643696</v>
      </c>
      <c r="S62" s="319"/>
      <c r="T62" s="319"/>
      <c r="U62" s="319"/>
      <c r="V62" s="319"/>
      <c r="W62" s="321">
        <f>IFERROR(IF(tblPiNAnalysis5[[#This Row],[CCCM]]="", "", MROUND(tblPiNAnalysis5[[#This Row],[CCCM]]/tblPiNAnalysis5[[#This Row],[Affected population projection 2026]], 0.05)), "")</f>
        <v>0.1</v>
      </c>
      <c r="X62" s="322">
        <f>IFERROR(IF(tblPiNAnalysis5[[#This Row],[Education]]="", "", MROUND(tblPiNAnalysis5[[#This Row],[Education]]/tblPiNAnalysis5[[#This Row],[Affected population projection 2026]], 0.05)), "")</f>
        <v>0.2</v>
      </c>
      <c r="Y62" s="322">
        <f>IFERROR(IF(tblPiNAnalysis5[[#This Row],[Nutrition]]="", "", MROUND(tblPiNAnalysis5[[#This Row],[Nutrition]]/tblPiNAnalysis5[[#This Row],[Affected population projection 2026]], 0.05)), "")</f>
        <v>0.15000000000000002</v>
      </c>
      <c r="Z62" s="322">
        <f>IFERROR(IF(tblPiNAnalysis5[[#This Row],[Food Security]]="", "", MROUND(tblPiNAnalysis5[[#This Row],[Food Security]]/tblPiNAnalysis5[[#This Row],[Affected population projection 2026]], 0.05)), "")</f>
        <v>0.35000000000000003</v>
      </c>
      <c r="AA62" s="322">
        <f>IFERROR(IF(tblPiNAnalysis5[[#This Row],[Health]]="", "", MROUND(tblPiNAnalysis5[[#This Row],[Health]]/tblPiNAnalysis5[[#This Row],[Affected population projection 2026]], 0.05)), "")</f>
        <v>0.30000000000000004</v>
      </c>
      <c r="AB62" s="323">
        <f>IFERROR(IF(tblPiNAnalysis5[[#This Row],[Overarching Protection]]="", "", MROUND(tblPiNAnalysis5[[#This Row],[Overarching Protection]]/tblPiNAnalysis5[[#This Row],[Affected population projection 2026]], 0.05)), "")</f>
        <v>0.25</v>
      </c>
      <c r="AC62" s="323">
        <f>IFERROR(IF(tblPiNAnalysis5[[#This Row],[Shelter]]="", "", MROUND(tblPiNAnalysis5[[#This Row],[Shelter]]/tblPiNAnalysis5[[#This Row],[Affected population projection 2026]], 0.05)), "")</f>
        <v>0.15000000000000002</v>
      </c>
      <c r="AD62" s="324">
        <f>IFERROR(IF(tblPiNAnalysis5[[#This Row],[WASH]]="", "", MROUND(tblPiNAnalysis5[[#This Row],[WASH]]/tblPiNAnalysis5[[#This Row],[Affected population projection 2026]], 0.05)), "")</f>
        <v>0.2</v>
      </c>
      <c r="AE62" s="322">
        <f>IFERROR(MROUND(tblPiNAnalysis5[[#This Row],[CP]]/tblPiNAnalysis5[[#This Row],[Affected population projection 2026]], 0.05), "")</f>
        <v>0</v>
      </c>
      <c r="AF62" s="322">
        <f>IFERROR(MROUND(tblPiNAnalysis5[[#This Row],[GBV]]/tblPiNAnalysis5[[#This Row],[Affected population projection 2026]], 0.05), "")</f>
        <v>0</v>
      </c>
      <c r="AG62" s="322">
        <f>IFERROR(MROUND(tblPiNAnalysis5[[#This Row],[Mine Action]]/tblPiNAnalysis5[[#This Row],[Affected population projection 2026]], 0.05), "")</f>
        <v>0</v>
      </c>
      <c r="AH62" s="322">
        <f>IFERROR(MROUND(tblPiNAnalysis5[[#This Row],[HLP]]/tblPiNAnalysis5[[#This Row],[Affected population projection 2026]], 0.05), "")</f>
        <v>0</v>
      </c>
      <c r="AI62" s="325">
        <f>IFERROR(LARGE(tblPiNAnalysis5[[#This Row],[CCCM]:[WASH]], 1), "")</f>
        <v>43135.041624416102</v>
      </c>
      <c r="AJ62" s="326" t="str" cm="1">
        <f t="array" ref="AJ62">IF(tblPiNAnalysis5[[#This Row],[Highest Target]]="", "", _xlfn.TEXTJOIN(CHAR(10), TRUE, IF(tblPiNAnalysis5[[#This Row],[Highest Target]]=tblPiNAnalysis5[[#This Row],[CCCM]:[WASH]], tblPiNAnalysis5[[#Headers],[CCCM]:[WASH]], "")))</f>
        <v>Food Security</v>
      </c>
      <c r="AK62" s="327">
        <f>IF(tblPiNAnalysis5[[#This Row],[Highest Target]]="", "", tblPiNAnalysis5[[#This Row],[Highest Target]]/tblPiNAnalysis5[[#This Row],[Affected population projection 2026]])</f>
        <v>0.36111405912890254</v>
      </c>
      <c r="AL62" s="328" t="str">
        <f>IF(SUM(tblPiNAnalysis5[[#This Row],[CCCM]:[WASH]])=0, "",IF(COUNTIF(tblPiNAnalysis5[[#This Row],[CCCM]:[WASH]],"=0")+COUNTIF(tblPiNAnalysis5[[#This Row],[CCCM]:[WASH]],"")&gt;=zero_pin_thresh, "Flagged", ""))</f>
        <v/>
      </c>
      <c r="AM62" s="329" t="str">
        <f>IFERROR(IF(tblPiNAnalysis5[[#This Row],[Highest Target]]="", "", IF(tblPiNAnalysis5[[#This Row],[Highest sector(s'') Target %]]&gt;=flag_pin_perc, "Flagged", "")), "")</f>
        <v/>
      </c>
      <c r="AN62" s="330" t="str" cm="1">
        <f t="array" ref="AN62">IF(tblPiNAnalysis5[[#This Row],[Highest Target]]=0, "",  IF(OR(COUNTIF(tblPiNAnalysis5[[#This Row],[Highest sector(s)]],tblSubSectorPopulation[Sector])), "Flagged", ""))</f>
        <v/>
      </c>
      <c r="AO62" s="46" cm="1">
        <f t="array" ref="AO6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35332.616272001105</v>
      </c>
      <c r="AP62" s="331" t="str" cm="1">
        <f t="array" ref="AP62">IF(tblPiNAnalysis5[[#This Row],[2nd Highest Target]]="", "", _xlfn.TEXTJOIN(CHAR(10), TRUE, IF(tblPiNAnalysis5[[#This Row],[2nd Highest Target]]=tblPiNAnalysis5[[#This Row],[CCCM]:[WASH]], tblPiNAnalysis5[[#Headers],[CCCM]:[WASH]], "")))</f>
        <v>Health</v>
      </c>
      <c r="AQ62" s="36">
        <f>IFERROR(tblPiNAnalysis5[[#This Row],[2nd Highest Target]]/tblPiNAnalysis5[[#This Row],[Affected population projection 2026]], "")</f>
        <v>0.29579441681595792</v>
      </c>
      <c r="AR62" s="46">
        <f>IFERROR(tblPiNAnalysis5[[#This Row],[Highest Target]]-tblPiNAnalysis5[[#This Row],[2nd Highest Target]], "")</f>
        <v>7802.4253524149972</v>
      </c>
      <c r="AS62" s="39">
        <f>IFERROR(((tblPiNAnalysis5[[#This Row],[Highest Target]]-tblPiNAnalysis5[[#This Row],[2nd Highest Target]])/tblPiNAnalysis5[[#This Row],[2nd Highest Target]]),"")</f>
        <v>0.22082784055246801</v>
      </c>
      <c r="AT62" s="39" t="str" cm="1">
        <f t="array" ref="AT6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2" s="332" cm="1">
        <f t="array" ref="AU6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28640.415903531131</v>
      </c>
      <c r="AV62" s="190" t="str" cm="1">
        <f t="array" ref="AV62">IF(tblPiNAnalysis5[[#This Row],[3rd Highest Target]]="", "", _xlfn.TEXTJOIN(CHAR(10), TRUE, IF(tblPiNAnalysis5[[#This Row],[3rd Highest Target]]=tblPiNAnalysis5[[#This Row],[CCCM]:[WASH]], tblPiNAnalysis5[[#Headers],[CCCM]:[WASH]], "")))</f>
        <v>Overarching Protection</v>
      </c>
      <c r="AW62" s="190">
        <f>IFERROR(tblPiNAnalysis5[[#This Row],[3rd Highest Target]]/tblPiNAnalysis5[[#This Row],[Affected population projection 2026]], "")</f>
        <v>0.23976925609850044</v>
      </c>
      <c r="AX62" s="45">
        <f>IFERROR(tblPiNAnalysis5[[#This Row],[Highest Target]]-tblPiNAnalysis5[[#This Row],[3rd Highest Target]],"")</f>
        <v>14494.625720884971</v>
      </c>
      <c r="AY62" s="39">
        <f>IFERROR(tblPiNAnalysis5[[#This Row],[Difference of Target between Highest and 3rd Highest]]/tblPiNAnalysis5[[#This Row],[3rd Highest Target]], "")</f>
        <v>0.5060899174686182</v>
      </c>
      <c r="AZ62" s="330" t="str" cm="1">
        <f t="array" ref="AZ6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62" s="300" t="str" cm="1">
        <f t="array" ref="BA6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2" s="333" t="str" cm="1">
        <f t="array" ref="BB6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62" s="276" t="str" cm="1">
        <f t="array" ref="BC6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2" s="334" t="str" cm="1">
        <f t="array" ref="BD6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2" s="277" t="e">
        <f>INDEX(tblSeverityAnalysis[Final Severity], MATCH(tblPiNAnalysis5[[#This Row],[ID]],tblSeverityAnalysis[ID], 0))</f>
        <v>#N/A</v>
      </c>
      <c r="BF62" s="61" t="e">
        <f>IF(tblPiNAnalysis5[[#This Row],[Severity]]&gt;2,tblPiNAnalysis5[[#This Row],[Highest Target]],)</f>
        <v>#N/A</v>
      </c>
      <c r="BG62" s="191"/>
      <c r="BH62" s="192"/>
      <c r="BI62" s="193">
        <f>COUNTIFS(tblPiNAnalysis5[[#This Row],[Number of missing / zero PiNs greater than threshold - Data quality]:[Manual Flag]],"Flagged")</f>
        <v>2</v>
      </c>
      <c r="BJ62" s="96" t="str">
        <f>IF(tblPiNAnalysis5[[#This Row],['# Flags]]&gt;0, "Flagged", "")</f>
        <v>Flagged</v>
      </c>
      <c r="BK62" s="326" t="e">
        <f>tblPiNAnalysis5[[#This Row],[Preliminary Target]]</f>
        <v>#N/A</v>
      </c>
      <c r="BL62" s="331"/>
    </row>
    <row r="63" spans="1:64" x14ac:dyDescent="0.55000000000000004">
      <c r="A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3" s="316" t="s">
        <v>342</v>
      </c>
      <c r="C63" s="317" t="s">
        <v>343</v>
      </c>
      <c r="D63" s="317" t="s">
        <v>366</v>
      </c>
      <c r="E63" s="105" t="s">
        <v>367</v>
      </c>
      <c r="F63" s="100"/>
      <c r="G63" s="34"/>
      <c r="H63" s="34"/>
      <c r="I63" s="97">
        <v>18966</v>
      </c>
      <c r="J63" s="97" t="s">
        <v>412</v>
      </c>
      <c r="K63" s="261">
        <v>18966</v>
      </c>
      <c r="L63" s="319">
        <v>6161.2947599999998</v>
      </c>
      <c r="M63" s="319">
        <v>3813.6559315961349</v>
      </c>
      <c r="N63" s="319">
        <v>9775.2632140054211</v>
      </c>
      <c r="O63" s="319">
        <v>11004.401041173787</v>
      </c>
      <c r="P63" s="319">
        <v>7491.4631086578611</v>
      </c>
      <c r="Q63" s="229">
        <v>5474.4079427200004</v>
      </c>
      <c r="R63" s="319">
        <v>14224.500000000002</v>
      </c>
      <c r="S63" s="319"/>
      <c r="T63" s="319"/>
      <c r="U63" s="319"/>
      <c r="V63" s="319"/>
      <c r="W63" s="321">
        <f>IFERROR(IF(tblPiNAnalysis5[[#This Row],[CCCM]]="", "", MROUND(tblPiNAnalysis5[[#This Row],[CCCM]]/tblPiNAnalysis5[[#This Row],[Affected population projection 2026]], 0.05)), "")</f>
        <v>1</v>
      </c>
      <c r="X63" s="322">
        <f>IFERROR(IF(tblPiNAnalysis5[[#This Row],[Education]]="", "", MROUND(tblPiNAnalysis5[[#This Row],[Education]]/tblPiNAnalysis5[[#This Row],[Affected population projection 2026]], 0.05)), "")</f>
        <v>0.30000000000000004</v>
      </c>
      <c r="Y63" s="322">
        <f>IFERROR(IF(tblPiNAnalysis5[[#This Row],[Nutrition]]="", "", MROUND(tblPiNAnalysis5[[#This Row],[Nutrition]]/tblPiNAnalysis5[[#This Row],[Affected population projection 2026]], 0.05)), "")</f>
        <v>0.2</v>
      </c>
      <c r="Z63" s="322">
        <f>IFERROR(IF(tblPiNAnalysis5[[#This Row],[Food Security]]="", "", MROUND(tblPiNAnalysis5[[#This Row],[Food Security]]/tblPiNAnalysis5[[#This Row],[Affected population projection 2026]], 0.05)), "")</f>
        <v>0.5</v>
      </c>
      <c r="AA63" s="322">
        <f>IFERROR(IF(tblPiNAnalysis5[[#This Row],[Health]]="", "", MROUND(tblPiNAnalysis5[[#This Row],[Health]]/tblPiNAnalysis5[[#This Row],[Affected population projection 2026]], 0.05)), "")</f>
        <v>0.60000000000000009</v>
      </c>
      <c r="AB63" s="323">
        <f>IFERROR(IF(tblPiNAnalysis5[[#This Row],[Overarching Protection]]="", "", MROUND(tblPiNAnalysis5[[#This Row],[Overarching Protection]]/tblPiNAnalysis5[[#This Row],[Affected population projection 2026]], 0.05)), "")</f>
        <v>0.4</v>
      </c>
      <c r="AC63" s="323">
        <f>IFERROR(IF(tblPiNAnalysis5[[#This Row],[Shelter]]="", "", MROUND(tblPiNAnalysis5[[#This Row],[Shelter]]/tblPiNAnalysis5[[#This Row],[Affected population projection 2026]], 0.05)), "")</f>
        <v>0.30000000000000004</v>
      </c>
      <c r="AD63" s="324">
        <f>IFERROR(IF(tblPiNAnalysis5[[#This Row],[WASH]]="", "", MROUND(tblPiNAnalysis5[[#This Row],[WASH]]/tblPiNAnalysis5[[#This Row],[Affected population projection 2026]], 0.05)), "")</f>
        <v>0.75</v>
      </c>
      <c r="AE63" s="322">
        <f>IFERROR(MROUND(tblPiNAnalysis5[[#This Row],[CP]]/tblPiNAnalysis5[[#This Row],[Affected population projection 2026]], 0.05), "")</f>
        <v>0</v>
      </c>
      <c r="AF63" s="322">
        <f>IFERROR(MROUND(tblPiNAnalysis5[[#This Row],[GBV]]/tblPiNAnalysis5[[#This Row],[Affected population projection 2026]], 0.05), "")</f>
        <v>0</v>
      </c>
      <c r="AG63" s="322">
        <f>IFERROR(MROUND(tblPiNAnalysis5[[#This Row],[Mine Action]]/tblPiNAnalysis5[[#This Row],[Affected population projection 2026]], 0.05), "")</f>
        <v>0</v>
      </c>
      <c r="AH63" s="322">
        <f>IFERROR(MROUND(tblPiNAnalysis5[[#This Row],[HLP]]/tblPiNAnalysis5[[#This Row],[Affected population projection 2026]], 0.05), "")</f>
        <v>0</v>
      </c>
      <c r="AI63" s="325">
        <f>IFERROR(LARGE(tblPiNAnalysis5[[#This Row],[CCCM]:[WASH]], 1), "")</f>
        <v>18966</v>
      </c>
      <c r="AJ63" s="326" t="str" cm="1">
        <f t="array" ref="AJ63">IF(tblPiNAnalysis5[[#This Row],[Highest Target]]="", "", _xlfn.TEXTJOIN(CHAR(10), TRUE, IF(tblPiNAnalysis5[[#This Row],[Highest Target]]=tblPiNAnalysis5[[#This Row],[CCCM]:[WASH]], tblPiNAnalysis5[[#Headers],[CCCM]:[WASH]], "")))</f>
        <v>CCCM</v>
      </c>
      <c r="AK63" s="327">
        <f>IF(tblPiNAnalysis5[[#This Row],[Highest Target]]="", "", tblPiNAnalysis5[[#This Row],[Highest Target]]/tblPiNAnalysis5[[#This Row],[Affected population projection 2026]])</f>
        <v>1</v>
      </c>
      <c r="AL63" s="328" t="str">
        <f>IF(SUM(tblPiNAnalysis5[[#This Row],[CCCM]:[WASH]])=0, "",IF(COUNTIF(tblPiNAnalysis5[[#This Row],[CCCM]:[WASH]],"=0")+COUNTIF(tblPiNAnalysis5[[#This Row],[CCCM]:[WASH]],"")&gt;=zero_pin_thresh, "Flagged", ""))</f>
        <v/>
      </c>
      <c r="AM63" s="329" t="str">
        <f>IFERROR(IF(tblPiNAnalysis5[[#This Row],[Highest Target]]="", "", IF(tblPiNAnalysis5[[#This Row],[Highest sector(s'') Target %]]&gt;=flag_pin_perc, "Flagged", "")), "")</f>
        <v>Flagged</v>
      </c>
      <c r="AN63" s="330" t="str" cm="1">
        <f t="array" ref="AN63">IF(tblPiNAnalysis5[[#This Row],[Highest Target]]=0, "",  IF(OR(COUNTIF(tblPiNAnalysis5[[#This Row],[Highest sector(s)]],tblSubSectorPopulation[Sector])), "Flagged", ""))</f>
        <v/>
      </c>
      <c r="AO63" s="46" cm="1">
        <f t="array" ref="AO6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14224.500000000002</v>
      </c>
      <c r="AP63" s="331" t="str" cm="1">
        <f t="array" ref="AP63">IF(tblPiNAnalysis5[[#This Row],[2nd Highest Target]]="", "", _xlfn.TEXTJOIN(CHAR(10), TRUE, IF(tblPiNAnalysis5[[#This Row],[2nd Highest Target]]=tblPiNAnalysis5[[#This Row],[CCCM]:[WASH]], tblPiNAnalysis5[[#Headers],[CCCM]:[WASH]], "")))</f>
        <v>WASH</v>
      </c>
      <c r="AQ63" s="36">
        <f>IFERROR(tblPiNAnalysis5[[#This Row],[2nd Highest Target]]/tblPiNAnalysis5[[#This Row],[Affected population projection 2026]], "")</f>
        <v>0.75000000000000011</v>
      </c>
      <c r="AR63" s="46">
        <f>IFERROR(tblPiNAnalysis5[[#This Row],[Highest Target]]-tblPiNAnalysis5[[#This Row],[2nd Highest Target]], "")</f>
        <v>4741.4999999999982</v>
      </c>
      <c r="AS63" s="39">
        <f>IFERROR(((tblPiNAnalysis5[[#This Row],[Highest Target]]-tblPiNAnalysis5[[#This Row],[2nd Highest Target]])/tblPiNAnalysis5[[#This Row],[2nd Highest Target]]),"")</f>
        <v>0.33333333333333315</v>
      </c>
      <c r="AT63" s="39" t="str" cm="1">
        <f t="array" ref="AT6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63" s="332" cm="1">
        <f t="array" ref="AU6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11004.401041173787</v>
      </c>
      <c r="AV63" s="190" t="str" cm="1">
        <f t="array" ref="AV63">IF(tblPiNAnalysis5[[#This Row],[3rd Highest Target]]="", "", _xlfn.TEXTJOIN(CHAR(10), TRUE, IF(tblPiNAnalysis5[[#This Row],[3rd Highest Target]]=tblPiNAnalysis5[[#This Row],[CCCM]:[WASH]], tblPiNAnalysis5[[#Headers],[CCCM]:[WASH]], "")))</f>
        <v>Health</v>
      </c>
      <c r="AW63" s="190">
        <f>IFERROR(tblPiNAnalysis5[[#This Row],[3rd Highest Target]]/tblPiNAnalysis5[[#This Row],[Affected population projection 2026]], "")</f>
        <v>0.58021728573098108</v>
      </c>
      <c r="AX63" s="45">
        <f>IFERROR(tblPiNAnalysis5[[#This Row],[Highest Target]]-tblPiNAnalysis5[[#This Row],[3rd Highest Target]],"")</f>
        <v>7961.5989588262128</v>
      </c>
      <c r="AY63" s="39">
        <f>IFERROR(tblPiNAnalysis5[[#This Row],[Difference of Target between Highest and 3rd Highest]]/tblPiNAnalysis5[[#This Row],[3rd Highest Target]], "")</f>
        <v>0.72349225814629037</v>
      </c>
      <c r="AZ63" s="330" t="str" cm="1">
        <f t="array" ref="AZ6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63" s="300" t="str" cm="1">
        <f t="array" ref="BA6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3" s="333" t="str" cm="1">
        <f t="array" ref="BB6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63" s="276" t="str" cm="1">
        <f t="array" ref="BC6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3" s="334" t="str" cm="1">
        <f t="array" ref="BD6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63" s="277" t="e">
        <f>INDEX(tblSeverityAnalysis[Final Severity], MATCH(tblPiNAnalysis5[[#This Row],[ID]],tblSeverityAnalysis[ID], 0))</f>
        <v>#N/A</v>
      </c>
      <c r="BF63" s="61" t="e">
        <f>IF(tblPiNAnalysis5[[#This Row],[Severity]]&gt;2,tblPiNAnalysis5[[#This Row],[Highest Target]],)</f>
        <v>#N/A</v>
      </c>
      <c r="BG63" s="191"/>
      <c r="BH63" s="192"/>
      <c r="BI63" s="193">
        <f>COUNTIFS(tblPiNAnalysis5[[#This Row],[Number of missing / zero PiNs greater than threshold - Data quality]:[Manual Flag]],"Flagged")</f>
        <v>3</v>
      </c>
      <c r="BJ63" s="96" t="str">
        <f>IF(tblPiNAnalysis5[[#This Row],['# Flags]]&gt;0, "Flagged", "")</f>
        <v>Flagged</v>
      </c>
      <c r="BK63" s="326" t="e">
        <f>tblPiNAnalysis5[[#This Row],[Preliminary Target]]</f>
        <v>#N/A</v>
      </c>
      <c r="BL63" s="331"/>
    </row>
    <row r="64" spans="1:64" x14ac:dyDescent="0.55000000000000004">
      <c r="A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4" s="316" t="s">
        <v>368</v>
      </c>
      <c r="C64" s="317" t="s">
        <v>369</v>
      </c>
      <c r="D64" s="317" t="s">
        <v>370</v>
      </c>
      <c r="E64" s="105" t="s">
        <v>371</v>
      </c>
      <c r="F64" s="100"/>
      <c r="G64" s="34"/>
      <c r="H64" s="34"/>
      <c r="I64" s="97">
        <v>18326.432795999659</v>
      </c>
      <c r="J64" s="97" t="s">
        <v>412</v>
      </c>
      <c r="K64" s="261">
        <v>0</v>
      </c>
      <c r="L64" s="319">
        <v>1724.5173261035679</v>
      </c>
      <c r="M64" s="319">
        <v>3279.7964753861993</v>
      </c>
      <c r="N64" s="319">
        <v>2962.5236695305334</v>
      </c>
      <c r="O64" s="319">
        <v>3086.6542488943078</v>
      </c>
      <c r="P64" s="319">
        <v>2548.833692188442</v>
      </c>
      <c r="Q64" s="229">
        <v>3117.204269279594</v>
      </c>
      <c r="R64" s="319">
        <v>509.06757766665714</v>
      </c>
      <c r="S64" s="319"/>
      <c r="T64" s="319"/>
      <c r="U64" s="319"/>
      <c r="V64" s="319"/>
      <c r="W64" s="321">
        <f>IFERROR(IF(tblPiNAnalysis5[[#This Row],[CCCM]]="", "", MROUND(tblPiNAnalysis5[[#This Row],[CCCM]]/tblPiNAnalysis5[[#This Row],[Affected population projection 2026]], 0.05)), "")</f>
        <v>0</v>
      </c>
      <c r="X64" s="322">
        <f>IFERROR(IF(tblPiNAnalysis5[[#This Row],[Education]]="", "", MROUND(tblPiNAnalysis5[[#This Row],[Education]]/tblPiNAnalysis5[[#This Row],[Affected population projection 2026]], 0.05)), "")</f>
        <v>0.1</v>
      </c>
      <c r="Y64" s="322">
        <f>IFERROR(IF(tblPiNAnalysis5[[#This Row],[Nutrition]]="", "", MROUND(tblPiNAnalysis5[[#This Row],[Nutrition]]/tblPiNAnalysis5[[#This Row],[Affected population projection 2026]], 0.05)), "")</f>
        <v>0.2</v>
      </c>
      <c r="Z64" s="322">
        <f>IFERROR(IF(tblPiNAnalysis5[[#This Row],[Food Security]]="", "", MROUND(tblPiNAnalysis5[[#This Row],[Food Security]]/tblPiNAnalysis5[[#This Row],[Affected population projection 2026]], 0.05)), "")</f>
        <v>0.15000000000000002</v>
      </c>
      <c r="AA64" s="322">
        <f>IFERROR(IF(tblPiNAnalysis5[[#This Row],[Health]]="", "", MROUND(tblPiNAnalysis5[[#This Row],[Health]]/tblPiNAnalysis5[[#This Row],[Affected population projection 2026]], 0.05)), "")</f>
        <v>0.15000000000000002</v>
      </c>
      <c r="AB64" s="323">
        <f>IFERROR(IF(tblPiNAnalysis5[[#This Row],[Overarching Protection]]="", "", MROUND(tblPiNAnalysis5[[#This Row],[Overarching Protection]]/tblPiNAnalysis5[[#This Row],[Affected population projection 2026]], 0.05)), "")</f>
        <v>0.15000000000000002</v>
      </c>
      <c r="AC64" s="323">
        <f>IFERROR(IF(tblPiNAnalysis5[[#This Row],[Shelter]]="", "", MROUND(tblPiNAnalysis5[[#This Row],[Shelter]]/tblPiNAnalysis5[[#This Row],[Affected population projection 2026]], 0.05)), "")</f>
        <v>0.15000000000000002</v>
      </c>
      <c r="AD64" s="324">
        <f>IFERROR(IF(tblPiNAnalysis5[[#This Row],[WASH]]="", "", MROUND(tblPiNAnalysis5[[#This Row],[WASH]]/tblPiNAnalysis5[[#This Row],[Affected population projection 2026]], 0.05)), "")</f>
        <v>0.05</v>
      </c>
      <c r="AE64" s="322">
        <f>IFERROR(MROUND(tblPiNAnalysis5[[#This Row],[CP]]/tblPiNAnalysis5[[#This Row],[Affected population projection 2026]], 0.05), "")</f>
        <v>0</v>
      </c>
      <c r="AF64" s="322">
        <f>IFERROR(MROUND(tblPiNAnalysis5[[#This Row],[GBV]]/tblPiNAnalysis5[[#This Row],[Affected population projection 2026]], 0.05), "")</f>
        <v>0</v>
      </c>
      <c r="AG64" s="322">
        <f>IFERROR(MROUND(tblPiNAnalysis5[[#This Row],[Mine Action]]/tblPiNAnalysis5[[#This Row],[Affected population projection 2026]], 0.05), "")</f>
        <v>0</v>
      </c>
      <c r="AH64" s="322">
        <f>IFERROR(MROUND(tblPiNAnalysis5[[#This Row],[HLP]]/tblPiNAnalysis5[[#This Row],[Affected population projection 2026]], 0.05), "")</f>
        <v>0</v>
      </c>
      <c r="AI64" s="325">
        <f>IFERROR(LARGE(tblPiNAnalysis5[[#This Row],[CCCM]:[WASH]], 1), "")</f>
        <v>3279.7964753861993</v>
      </c>
      <c r="AJ64" s="326" t="str" cm="1">
        <f t="array" ref="AJ64">IF(tblPiNAnalysis5[[#This Row],[Highest Target]]="", "", _xlfn.TEXTJOIN(CHAR(10), TRUE, IF(tblPiNAnalysis5[[#This Row],[Highest Target]]=tblPiNAnalysis5[[#This Row],[CCCM]:[WASH]], tblPiNAnalysis5[[#Headers],[CCCM]:[WASH]], "")))</f>
        <v>Nutrition</v>
      </c>
      <c r="AK64" s="327">
        <f>IF(tblPiNAnalysis5[[#This Row],[Highest Target]]="", "", tblPiNAnalysis5[[#This Row],[Highest Target]]/tblPiNAnalysis5[[#This Row],[Affected population projection 2026]])</f>
        <v>0.17896535086206858</v>
      </c>
      <c r="AL64" s="328" t="str">
        <f>IF(SUM(tblPiNAnalysis5[[#This Row],[CCCM]:[WASH]])=0, "",IF(COUNTIF(tblPiNAnalysis5[[#This Row],[CCCM]:[WASH]],"=0")+COUNTIF(tblPiNAnalysis5[[#This Row],[CCCM]:[WASH]],"")&gt;=zero_pin_thresh, "Flagged", ""))</f>
        <v/>
      </c>
      <c r="AM64" s="329" t="str">
        <f>IFERROR(IF(tblPiNAnalysis5[[#This Row],[Highest Target]]="", "", IF(tblPiNAnalysis5[[#This Row],[Highest sector(s'') Target %]]&gt;=flag_pin_perc, "Flagged", "")), "")</f>
        <v/>
      </c>
      <c r="AN64" s="330" t="str" cm="1">
        <f t="array" ref="AN64">IF(tblPiNAnalysis5[[#This Row],[Highest Target]]=0, "",  IF(OR(COUNTIF(tblPiNAnalysis5[[#This Row],[Highest sector(s)]],tblSubSectorPopulation[Sector])), "Flagged", ""))</f>
        <v/>
      </c>
      <c r="AO64" s="46" cm="1">
        <f t="array" ref="AO6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3117.204269279594</v>
      </c>
      <c r="AP64" s="331" t="str" cm="1">
        <f t="array" ref="AP64">IF(tblPiNAnalysis5[[#This Row],[2nd Highest Target]]="", "", _xlfn.TEXTJOIN(CHAR(10), TRUE, IF(tblPiNAnalysis5[[#This Row],[2nd Highest Target]]=tblPiNAnalysis5[[#This Row],[CCCM]:[WASH]], tblPiNAnalysis5[[#Headers],[CCCM]:[WASH]], "")))</f>
        <v>Shelter</v>
      </c>
      <c r="AQ64" s="36">
        <f>IFERROR(tblPiNAnalysis5[[#This Row],[2nd Highest Target]]/tblPiNAnalysis5[[#This Row],[Affected population projection 2026]], "")</f>
        <v>0.17009334571428572</v>
      </c>
      <c r="AR64" s="46">
        <f>IFERROR(tblPiNAnalysis5[[#This Row],[Highest Target]]-tblPiNAnalysis5[[#This Row],[2nd Highest Target]], "")</f>
        <v>162.59220610660532</v>
      </c>
      <c r="AS64" s="39">
        <f>IFERROR(((tblPiNAnalysis5[[#This Row],[Highest Target]]-tblPiNAnalysis5[[#This Row],[2nd Highest Target]])/tblPiNAnalysis5[[#This Row],[2nd Highest Target]]),"")</f>
        <v>5.2159625119524627E-2</v>
      </c>
      <c r="AT64" s="39" t="str" cm="1">
        <f t="array" ref="AT6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4" s="332" cm="1">
        <f t="array" ref="AU6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3086.6542488943078</v>
      </c>
      <c r="AV64" s="190" t="str" cm="1">
        <f t="array" ref="AV64">IF(tblPiNAnalysis5[[#This Row],[3rd Highest Target]]="", "", _xlfn.TEXTJOIN(CHAR(10), TRUE, IF(tblPiNAnalysis5[[#This Row],[3rd Highest Target]]=tblPiNAnalysis5[[#This Row],[CCCM]:[WASH]], tblPiNAnalysis5[[#Headers],[CCCM]:[WASH]], "")))</f>
        <v>Health</v>
      </c>
      <c r="AW64" s="190">
        <f>IFERROR(tblPiNAnalysis5[[#This Row],[3rd Highest Target]]/tblPiNAnalysis5[[#This Row],[Affected population projection 2026]], "")</f>
        <v>0.16842635352189603</v>
      </c>
      <c r="AX64" s="45">
        <f>IFERROR(tblPiNAnalysis5[[#This Row],[Highest Target]]-tblPiNAnalysis5[[#This Row],[3rd Highest Target]],"")</f>
        <v>193.14222649189151</v>
      </c>
      <c r="AY64" s="39">
        <f>IFERROR(tblPiNAnalysis5[[#This Row],[Difference of Target between Highest and 3rd Highest]]/tblPiNAnalysis5[[#This Row],[3rd Highest Target]], "")</f>
        <v>6.2573327272103227E-2</v>
      </c>
      <c r="AZ64" s="330" t="str" cm="1">
        <f t="array" ref="AZ6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4" s="300" t="str" cm="1">
        <f t="array" ref="BA6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4" s="333" t="str" cm="1">
        <f t="array" ref="BB6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64" s="276" t="str" cm="1">
        <f t="array" ref="BC6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4" s="334" t="str" cm="1">
        <f t="array" ref="BD6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4" s="277" t="e">
        <f>INDEX(tblSeverityAnalysis[Final Severity], MATCH(tblPiNAnalysis5[[#This Row],[ID]],tblSeverityAnalysis[ID], 0))</f>
        <v>#N/A</v>
      </c>
      <c r="BF64" s="61" t="e">
        <f>IF(tblPiNAnalysis5[[#This Row],[Severity]]&gt;2,tblPiNAnalysis5[[#This Row],[Highest Target]],)</f>
        <v>#N/A</v>
      </c>
      <c r="BG64" s="191"/>
      <c r="BH64" s="192"/>
      <c r="BI64" s="193">
        <f>COUNTIFS(tblPiNAnalysis5[[#This Row],[Number of missing / zero PiNs greater than threshold - Data quality]:[Manual Flag]],"Flagged")</f>
        <v>1</v>
      </c>
      <c r="BJ64" s="96" t="str">
        <f>IF(tblPiNAnalysis5[[#This Row],['# Flags]]&gt;0, "Flagged", "")</f>
        <v>Flagged</v>
      </c>
      <c r="BK64" s="326" t="e">
        <f>tblPiNAnalysis5[[#This Row],[Preliminary Target]]</f>
        <v>#N/A</v>
      </c>
      <c r="BL64" s="331"/>
    </row>
    <row r="65" spans="1:64" x14ac:dyDescent="0.55000000000000004">
      <c r="A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5" s="316" t="s">
        <v>368</v>
      </c>
      <c r="C65" s="317" t="s">
        <v>369</v>
      </c>
      <c r="D65" s="317" t="s">
        <v>372</v>
      </c>
      <c r="E65" s="105" t="s">
        <v>373</v>
      </c>
      <c r="F65" s="100"/>
      <c r="G65" s="34"/>
      <c r="H65" s="34"/>
      <c r="I65" s="97">
        <v>24686.538616861621</v>
      </c>
      <c r="J65" s="97" t="s">
        <v>412</v>
      </c>
      <c r="K65" s="261">
        <v>1044.5</v>
      </c>
      <c r="L65" s="319">
        <v>1404.47210946168</v>
      </c>
      <c r="M65" s="319">
        <v>4403.5343260166583</v>
      </c>
      <c r="N65" s="319">
        <v>3674.6523171672875</v>
      </c>
      <c r="O65" s="319">
        <v>4380.1618867785864</v>
      </c>
      <c r="P65" s="319">
        <v>2799.7980819186428</v>
      </c>
      <c r="Q65" s="229">
        <v>3400.8558913206371</v>
      </c>
      <c r="R65" s="319">
        <v>2328.3894377267211</v>
      </c>
      <c r="S65" s="319"/>
      <c r="T65" s="319"/>
      <c r="U65" s="319"/>
      <c r="V65" s="319"/>
      <c r="W65" s="321">
        <f>IFERROR(IF(tblPiNAnalysis5[[#This Row],[CCCM]]="", "", MROUND(tblPiNAnalysis5[[#This Row],[CCCM]]/tblPiNAnalysis5[[#This Row],[Affected population projection 2026]], 0.05)), "")</f>
        <v>0.05</v>
      </c>
      <c r="X65" s="322">
        <f>IFERROR(IF(tblPiNAnalysis5[[#This Row],[Education]]="", "", MROUND(tblPiNAnalysis5[[#This Row],[Education]]/tblPiNAnalysis5[[#This Row],[Affected population projection 2026]], 0.05)), "")</f>
        <v>0.05</v>
      </c>
      <c r="Y65" s="322">
        <f>IFERROR(IF(tblPiNAnalysis5[[#This Row],[Nutrition]]="", "", MROUND(tblPiNAnalysis5[[#This Row],[Nutrition]]/tblPiNAnalysis5[[#This Row],[Affected population projection 2026]], 0.05)), "")</f>
        <v>0.2</v>
      </c>
      <c r="Z65" s="322">
        <f>IFERROR(IF(tblPiNAnalysis5[[#This Row],[Food Security]]="", "", MROUND(tblPiNAnalysis5[[#This Row],[Food Security]]/tblPiNAnalysis5[[#This Row],[Affected population projection 2026]], 0.05)), "")</f>
        <v>0.15000000000000002</v>
      </c>
      <c r="AA65" s="322">
        <f>IFERROR(IF(tblPiNAnalysis5[[#This Row],[Health]]="", "", MROUND(tblPiNAnalysis5[[#This Row],[Health]]/tblPiNAnalysis5[[#This Row],[Affected population projection 2026]], 0.05)), "")</f>
        <v>0.2</v>
      </c>
      <c r="AB65" s="323">
        <f>IFERROR(IF(tblPiNAnalysis5[[#This Row],[Overarching Protection]]="", "", MROUND(tblPiNAnalysis5[[#This Row],[Overarching Protection]]/tblPiNAnalysis5[[#This Row],[Affected population projection 2026]], 0.05)), "")</f>
        <v>0.1</v>
      </c>
      <c r="AC65" s="323">
        <f>IFERROR(IF(tblPiNAnalysis5[[#This Row],[Shelter]]="", "", MROUND(tblPiNAnalysis5[[#This Row],[Shelter]]/tblPiNAnalysis5[[#This Row],[Affected population projection 2026]], 0.05)), "")</f>
        <v>0.15000000000000002</v>
      </c>
      <c r="AD65" s="324">
        <f>IFERROR(IF(tblPiNAnalysis5[[#This Row],[WASH]]="", "", MROUND(tblPiNAnalysis5[[#This Row],[WASH]]/tblPiNAnalysis5[[#This Row],[Affected population projection 2026]], 0.05)), "")</f>
        <v>0.1</v>
      </c>
      <c r="AE65" s="322">
        <f>IFERROR(MROUND(tblPiNAnalysis5[[#This Row],[CP]]/tblPiNAnalysis5[[#This Row],[Affected population projection 2026]], 0.05), "")</f>
        <v>0</v>
      </c>
      <c r="AF65" s="322">
        <f>IFERROR(MROUND(tblPiNAnalysis5[[#This Row],[GBV]]/tblPiNAnalysis5[[#This Row],[Affected population projection 2026]], 0.05), "")</f>
        <v>0</v>
      </c>
      <c r="AG65" s="322">
        <f>IFERROR(MROUND(tblPiNAnalysis5[[#This Row],[Mine Action]]/tblPiNAnalysis5[[#This Row],[Affected population projection 2026]], 0.05), "")</f>
        <v>0</v>
      </c>
      <c r="AH65" s="322">
        <f>IFERROR(MROUND(tblPiNAnalysis5[[#This Row],[HLP]]/tblPiNAnalysis5[[#This Row],[Affected population projection 2026]], 0.05), "")</f>
        <v>0</v>
      </c>
      <c r="AI65" s="325">
        <f>IFERROR(LARGE(tblPiNAnalysis5[[#This Row],[CCCM]:[WASH]], 1), "")</f>
        <v>4403.5343260166583</v>
      </c>
      <c r="AJ65" s="326" t="str" cm="1">
        <f t="array" ref="AJ65">IF(tblPiNAnalysis5[[#This Row],[Highest Target]]="", "", _xlfn.TEXTJOIN(CHAR(10), TRUE, IF(tblPiNAnalysis5[[#This Row],[Highest Target]]=tblPiNAnalysis5[[#This Row],[CCCM]:[WASH]], tblPiNAnalysis5[[#Headers],[CCCM]:[WASH]], "")))</f>
        <v>Nutrition</v>
      </c>
      <c r="AK65" s="327">
        <f>IF(tblPiNAnalysis5[[#This Row],[Highest Target]]="", "", tblPiNAnalysis5[[#This Row],[Highest Target]]/tblPiNAnalysis5[[#This Row],[Affected population projection 2026]])</f>
        <v>0.17837795708665763</v>
      </c>
      <c r="AL65" s="328" t="str">
        <f>IF(SUM(tblPiNAnalysis5[[#This Row],[CCCM]:[WASH]])=0, "",IF(COUNTIF(tblPiNAnalysis5[[#This Row],[CCCM]:[WASH]],"=0")+COUNTIF(tblPiNAnalysis5[[#This Row],[CCCM]:[WASH]],"")&gt;=zero_pin_thresh, "Flagged", ""))</f>
        <v/>
      </c>
      <c r="AM65" s="329" t="str">
        <f>IFERROR(IF(tblPiNAnalysis5[[#This Row],[Highest Target]]="", "", IF(tblPiNAnalysis5[[#This Row],[Highest sector(s'') Target %]]&gt;=flag_pin_perc, "Flagged", "")), "")</f>
        <v/>
      </c>
      <c r="AN65" s="330" t="str" cm="1">
        <f t="array" ref="AN65">IF(tblPiNAnalysis5[[#This Row],[Highest Target]]=0, "",  IF(OR(COUNTIF(tblPiNAnalysis5[[#This Row],[Highest sector(s)]],tblSubSectorPopulation[Sector])), "Flagged", ""))</f>
        <v/>
      </c>
      <c r="AO65" s="46" cm="1">
        <f t="array" ref="AO6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4380.1618867785864</v>
      </c>
      <c r="AP65" s="331" t="str" cm="1">
        <f t="array" ref="AP65">IF(tblPiNAnalysis5[[#This Row],[2nd Highest Target]]="", "", _xlfn.TEXTJOIN(CHAR(10), TRUE, IF(tblPiNAnalysis5[[#This Row],[2nd Highest Target]]=tblPiNAnalysis5[[#This Row],[CCCM]:[WASH]], tblPiNAnalysis5[[#Headers],[CCCM]:[WASH]], "")))</f>
        <v>Health</v>
      </c>
      <c r="AQ65" s="36">
        <f>IFERROR(tblPiNAnalysis5[[#This Row],[2nd Highest Target]]/tblPiNAnalysis5[[#This Row],[Affected population projection 2026]], "")</f>
        <v>0.17743118850152645</v>
      </c>
      <c r="AR65" s="46">
        <f>IFERROR(tblPiNAnalysis5[[#This Row],[Highest Target]]-tblPiNAnalysis5[[#This Row],[2nd Highest Target]], "")</f>
        <v>23.37243923807182</v>
      </c>
      <c r="AS65" s="39">
        <f>IFERROR(((tblPiNAnalysis5[[#This Row],[Highest Target]]-tblPiNAnalysis5[[#This Row],[2nd Highest Target]])/tblPiNAnalysis5[[#This Row],[2nd Highest Target]]),"")</f>
        <v>5.3359761219376311E-3</v>
      </c>
      <c r="AT65" s="39" t="str" cm="1">
        <f t="array" ref="AT6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5" s="332" cm="1">
        <f t="array" ref="AU6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3674.6523171672875</v>
      </c>
      <c r="AV65" s="190" t="str" cm="1">
        <f t="array" ref="AV65">IF(tblPiNAnalysis5[[#This Row],[3rd Highest Target]]="", "", _xlfn.TEXTJOIN(CHAR(10), TRUE, IF(tblPiNAnalysis5[[#This Row],[3rd Highest Target]]=tblPiNAnalysis5[[#This Row],[CCCM]:[WASH]], tblPiNAnalysis5[[#Headers],[CCCM]:[WASH]], "")))</f>
        <v>Food Security</v>
      </c>
      <c r="AW65" s="190">
        <f>IFERROR(tblPiNAnalysis5[[#This Row],[3rd Highest Target]]/tblPiNAnalysis5[[#This Row],[Affected population projection 2026]], "")</f>
        <v>0.1488524727665706</v>
      </c>
      <c r="AX65" s="45">
        <f>IFERROR(tblPiNAnalysis5[[#This Row],[Highest Target]]-tblPiNAnalysis5[[#This Row],[3rd Highest Target]],"")</f>
        <v>728.88200884937078</v>
      </c>
      <c r="AY65" s="39">
        <f>IFERROR(tblPiNAnalysis5[[#This Row],[Difference of Target between Highest and 3rd Highest]]/tblPiNAnalysis5[[#This Row],[3rd Highest Target]], "")</f>
        <v>0.19835400629446506</v>
      </c>
      <c r="AZ65" s="330" t="str" cm="1">
        <f t="array" ref="AZ6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5" s="300" t="str" cm="1">
        <f t="array" ref="BA6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5" s="333" t="str" cm="1">
        <f t="array" ref="BB6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65" s="276" t="str" cm="1">
        <f t="array" ref="BC6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5" s="334" t="str" cm="1">
        <f t="array" ref="BD6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5" s="277" t="e">
        <f>INDEX(tblSeverityAnalysis[Final Severity], MATCH(tblPiNAnalysis5[[#This Row],[ID]],tblSeverityAnalysis[ID], 0))</f>
        <v>#N/A</v>
      </c>
      <c r="BF65" s="61" t="e">
        <f>IF(tblPiNAnalysis5[[#This Row],[Severity]]&gt;2,tblPiNAnalysis5[[#This Row],[Highest Target]],)</f>
        <v>#N/A</v>
      </c>
      <c r="BG65" s="191"/>
      <c r="BH65" s="192"/>
      <c r="BI65" s="193">
        <f>COUNTIFS(tblPiNAnalysis5[[#This Row],[Number of missing / zero PiNs greater than threshold - Data quality]:[Manual Flag]],"Flagged")</f>
        <v>1</v>
      </c>
      <c r="BJ65" s="96" t="str">
        <f>IF(tblPiNAnalysis5[[#This Row],['# Flags]]&gt;0, "Flagged", "")</f>
        <v>Flagged</v>
      </c>
      <c r="BK65" s="326" t="e">
        <f>tblPiNAnalysis5[[#This Row],[Preliminary Target]]</f>
        <v>#N/A</v>
      </c>
      <c r="BL65" s="331"/>
    </row>
    <row r="66" spans="1:64" x14ac:dyDescent="0.55000000000000004">
      <c r="A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6" s="316" t="s">
        <v>368</v>
      </c>
      <c r="C66" s="317" t="s">
        <v>369</v>
      </c>
      <c r="D66" s="317" t="s">
        <v>374</v>
      </c>
      <c r="E66" s="105" t="s">
        <v>375</v>
      </c>
      <c r="F66" s="100"/>
      <c r="G66" s="34"/>
      <c r="H66" s="34"/>
      <c r="I66" s="97">
        <v>23538.621025019514</v>
      </c>
      <c r="J66" s="97" t="s">
        <v>412</v>
      </c>
      <c r="K66" s="261">
        <v>192</v>
      </c>
      <c r="L66" s="319">
        <v>7700.4762670911396</v>
      </c>
      <c r="M66" s="319">
        <v>5891.1816534653799</v>
      </c>
      <c r="N66" s="319">
        <v>9720.1228223356502</v>
      </c>
      <c r="O66" s="319">
        <v>7048.1715905523179</v>
      </c>
      <c r="P66" s="319">
        <v>8913.418757841906</v>
      </c>
      <c r="Q66" s="229">
        <v>10191.39622746305</v>
      </c>
      <c r="R66" s="319">
        <v>3529.5823193380597</v>
      </c>
      <c r="S66" s="319"/>
      <c r="T66" s="319"/>
      <c r="U66" s="319"/>
      <c r="V66" s="319"/>
      <c r="W66" s="321">
        <f>IFERROR(IF(tblPiNAnalysis5[[#This Row],[CCCM]]="", "", MROUND(tblPiNAnalysis5[[#This Row],[CCCM]]/tblPiNAnalysis5[[#This Row],[Affected population projection 2026]], 0.05)), "")</f>
        <v>0</v>
      </c>
      <c r="X66" s="322">
        <f>IFERROR(IF(tblPiNAnalysis5[[#This Row],[Education]]="", "", MROUND(tblPiNAnalysis5[[#This Row],[Education]]/tblPiNAnalysis5[[#This Row],[Affected population projection 2026]], 0.05)), "")</f>
        <v>0.35000000000000003</v>
      </c>
      <c r="Y66" s="322">
        <f>IFERROR(IF(tblPiNAnalysis5[[#This Row],[Nutrition]]="", "", MROUND(tblPiNAnalysis5[[#This Row],[Nutrition]]/tblPiNAnalysis5[[#This Row],[Affected population projection 2026]], 0.05)), "")</f>
        <v>0.25</v>
      </c>
      <c r="Z66" s="322">
        <f>IFERROR(IF(tblPiNAnalysis5[[#This Row],[Food Security]]="", "", MROUND(tblPiNAnalysis5[[#This Row],[Food Security]]/tblPiNAnalysis5[[#This Row],[Affected population projection 2026]], 0.05)), "")</f>
        <v>0.4</v>
      </c>
      <c r="AA66" s="322">
        <f>IFERROR(IF(tblPiNAnalysis5[[#This Row],[Health]]="", "", MROUND(tblPiNAnalysis5[[#This Row],[Health]]/tblPiNAnalysis5[[#This Row],[Affected population projection 2026]], 0.05)), "")</f>
        <v>0.30000000000000004</v>
      </c>
      <c r="AB66" s="323">
        <f>IFERROR(IF(tblPiNAnalysis5[[#This Row],[Overarching Protection]]="", "", MROUND(tblPiNAnalysis5[[#This Row],[Overarching Protection]]/tblPiNAnalysis5[[#This Row],[Affected population projection 2026]], 0.05)), "")</f>
        <v>0.4</v>
      </c>
      <c r="AC66" s="323">
        <f>IFERROR(IF(tblPiNAnalysis5[[#This Row],[Shelter]]="", "", MROUND(tblPiNAnalysis5[[#This Row],[Shelter]]/tblPiNAnalysis5[[#This Row],[Affected population projection 2026]], 0.05)), "")</f>
        <v>0.45</v>
      </c>
      <c r="AD66" s="324">
        <f>IFERROR(IF(tblPiNAnalysis5[[#This Row],[WASH]]="", "", MROUND(tblPiNAnalysis5[[#This Row],[WASH]]/tblPiNAnalysis5[[#This Row],[Affected population projection 2026]], 0.05)), "")</f>
        <v>0.15000000000000002</v>
      </c>
      <c r="AE66" s="322">
        <f>IFERROR(MROUND(tblPiNAnalysis5[[#This Row],[CP]]/tblPiNAnalysis5[[#This Row],[Affected population projection 2026]], 0.05), "")</f>
        <v>0</v>
      </c>
      <c r="AF66" s="322">
        <f>IFERROR(MROUND(tblPiNAnalysis5[[#This Row],[GBV]]/tblPiNAnalysis5[[#This Row],[Affected population projection 2026]], 0.05), "")</f>
        <v>0</v>
      </c>
      <c r="AG66" s="322">
        <f>IFERROR(MROUND(tblPiNAnalysis5[[#This Row],[Mine Action]]/tblPiNAnalysis5[[#This Row],[Affected population projection 2026]], 0.05), "")</f>
        <v>0</v>
      </c>
      <c r="AH66" s="322">
        <f>IFERROR(MROUND(tblPiNAnalysis5[[#This Row],[HLP]]/tblPiNAnalysis5[[#This Row],[Affected population projection 2026]], 0.05), "")</f>
        <v>0</v>
      </c>
      <c r="AI66" s="325">
        <f>IFERROR(LARGE(tblPiNAnalysis5[[#This Row],[CCCM]:[WASH]], 1), "")</f>
        <v>10191.39622746305</v>
      </c>
      <c r="AJ66" s="326" t="str" cm="1">
        <f t="array" ref="AJ66">IF(tblPiNAnalysis5[[#This Row],[Highest Target]]="", "", _xlfn.TEXTJOIN(CHAR(10), TRUE, IF(tblPiNAnalysis5[[#This Row],[Highest Target]]=tblPiNAnalysis5[[#This Row],[CCCM]:[WASH]], tblPiNAnalysis5[[#Headers],[CCCM]:[WASH]], "")))</f>
        <v>Shelter</v>
      </c>
      <c r="AK66" s="327">
        <f>IF(tblPiNAnalysis5[[#This Row],[Highest Target]]="", "", tblPiNAnalysis5[[#This Row],[Highest Target]]/tblPiNAnalysis5[[#This Row],[Affected population projection 2026]])</f>
        <v>0.43296487999999994</v>
      </c>
      <c r="AL66" s="328" t="str">
        <f>IF(SUM(tblPiNAnalysis5[[#This Row],[CCCM]:[WASH]])=0, "",IF(COUNTIF(tblPiNAnalysis5[[#This Row],[CCCM]:[WASH]],"=0")+COUNTIF(tblPiNAnalysis5[[#This Row],[CCCM]:[WASH]],"")&gt;=zero_pin_thresh, "Flagged", ""))</f>
        <v/>
      </c>
      <c r="AM66" s="329" t="str">
        <f>IFERROR(IF(tblPiNAnalysis5[[#This Row],[Highest Target]]="", "", IF(tblPiNAnalysis5[[#This Row],[Highest sector(s'') Target %]]&gt;=flag_pin_perc, "Flagged", "")), "")</f>
        <v/>
      </c>
      <c r="AN66" s="330" t="str" cm="1">
        <f t="array" ref="AN66">IF(tblPiNAnalysis5[[#This Row],[Highest Target]]=0, "",  IF(OR(COUNTIF(tblPiNAnalysis5[[#This Row],[Highest sector(s)]],tblSubSectorPopulation[Sector])), "Flagged", ""))</f>
        <v/>
      </c>
      <c r="AO66" s="46" cm="1">
        <f t="array" ref="AO6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9720.1228223356502</v>
      </c>
      <c r="AP66" s="331" t="str" cm="1">
        <f t="array" ref="AP66">IF(tblPiNAnalysis5[[#This Row],[2nd Highest Target]]="", "", _xlfn.TEXTJOIN(CHAR(10), TRUE, IF(tblPiNAnalysis5[[#This Row],[2nd Highest Target]]=tblPiNAnalysis5[[#This Row],[CCCM]:[WASH]], tblPiNAnalysis5[[#Headers],[CCCM]:[WASH]], "")))</f>
        <v>Food Security</v>
      </c>
      <c r="AQ66" s="36">
        <f>IFERROR(tblPiNAnalysis5[[#This Row],[2nd Highest Target]]/tblPiNAnalysis5[[#This Row],[Affected population projection 2026]], "")</f>
        <v>0.41294359648358336</v>
      </c>
      <c r="AR66" s="46">
        <f>IFERROR(tblPiNAnalysis5[[#This Row],[Highest Target]]-tblPiNAnalysis5[[#This Row],[2nd Highest Target]], "")</f>
        <v>471.27340512740011</v>
      </c>
      <c r="AS66" s="39">
        <f>IFERROR(((tblPiNAnalysis5[[#This Row],[Highest Target]]-tblPiNAnalysis5[[#This Row],[2nd Highest Target]])/tblPiNAnalysis5[[#This Row],[2nd Highest Target]]),"")</f>
        <v>4.8484305573225021E-2</v>
      </c>
      <c r="AT66" s="39" t="str" cm="1">
        <f t="array" ref="AT6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6" s="332" cm="1">
        <f t="array" ref="AU6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8913.418757841906</v>
      </c>
      <c r="AV66" s="190" t="str" cm="1">
        <f t="array" ref="AV66">IF(tblPiNAnalysis5[[#This Row],[3rd Highest Target]]="", "", _xlfn.TEXTJOIN(CHAR(10), TRUE, IF(tblPiNAnalysis5[[#This Row],[3rd Highest Target]]=tblPiNAnalysis5[[#This Row],[CCCM]:[WASH]], tblPiNAnalysis5[[#Headers],[CCCM]:[WASH]], "")))</f>
        <v>Overarching Protection</v>
      </c>
      <c r="AW66" s="190">
        <f>IFERROR(tblPiNAnalysis5[[#This Row],[3rd Highest Target]]/tblPiNAnalysis5[[#This Row],[Affected population projection 2026]], "")</f>
        <v>0.37867208739066383</v>
      </c>
      <c r="AX66" s="45">
        <f>IFERROR(tblPiNAnalysis5[[#This Row],[Highest Target]]-tblPiNAnalysis5[[#This Row],[3rd Highest Target]],"")</f>
        <v>1277.9774696211443</v>
      </c>
      <c r="AY66" s="39">
        <f>IFERROR(tblPiNAnalysis5[[#This Row],[Difference of Target between Highest and 3rd Highest]]/tblPiNAnalysis5[[#This Row],[3rd Highest Target]], "")</f>
        <v>0.14337680124102742</v>
      </c>
      <c r="AZ66" s="330" t="str" cm="1">
        <f t="array" ref="AZ6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6" s="300" t="str" cm="1">
        <f t="array" ref="BA6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6" s="333" t="str" cm="1">
        <f t="array" ref="BB6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6" s="276" t="str" cm="1">
        <f t="array" ref="BC6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6" s="334" t="str" cm="1">
        <f t="array" ref="BD6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66" s="277" t="e">
        <f>INDEX(tblSeverityAnalysis[Final Severity], MATCH(tblPiNAnalysis5[[#This Row],[ID]],tblSeverityAnalysis[ID], 0))</f>
        <v>#N/A</v>
      </c>
      <c r="BF66" s="61" t="e">
        <f>IF(tblPiNAnalysis5[[#This Row],[Severity]]&gt;2,tblPiNAnalysis5[[#This Row],[Highest Target]],)</f>
        <v>#N/A</v>
      </c>
      <c r="BG66" s="191"/>
      <c r="BH66" s="192"/>
      <c r="BI66" s="193">
        <f>COUNTIFS(tblPiNAnalysis5[[#This Row],[Number of missing / zero PiNs greater than threshold - Data quality]:[Manual Flag]],"Flagged")</f>
        <v>1</v>
      </c>
      <c r="BJ66" s="96" t="str">
        <f>IF(tblPiNAnalysis5[[#This Row],['# Flags]]&gt;0, "Flagged", "")</f>
        <v>Flagged</v>
      </c>
      <c r="BK66" s="326" t="e">
        <f>tblPiNAnalysis5[[#This Row],[Preliminary Target]]</f>
        <v>#N/A</v>
      </c>
      <c r="BL66" s="331"/>
    </row>
    <row r="67" spans="1:64" x14ac:dyDescent="0.55000000000000004">
      <c r="A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7" s="316" t="s">
        <v>368</v>
      </c>
      <c r="C67" s="317" t="s">
        <v>369</v>
      </c>
      <c r="D67" s="317" t="s">
        <v>376</v>
      </c>
      <c r="E67" s="105" t="s">
        <v>377</v>
      </c>
      <c r="F67" s="100"/>
      <c r="G67" s="34"/>
      <c r="H67" s="34"/>
      <c r="I67" s="97">
        <v>35756.212335130236</v>
      </c>
      <c r="J67" s="97" t="s">
        <v>412</v>
      </c>
      <c r="K67" s="261">
        <v>0</v>
      </c>
      <c r="L67" s="319">
        <v>2370.1541689526102</v>
      </c>
      <c r="M67" s="319">
        <v>6740.0184613508673</v>
      </c>
      <c r="N67" s="319">
        <v>6395.0433612719116</v>
      </c>
      <c r="O67" s="319">
        <v>7254.1110362208838</v>
      </c>
      <c r="P67" s="319">
        <v>5503.3810972725842</v>
      </c>
      <c r="Q67" s="229">
        <v>5964.2889999999998</v>
      </c>
      <c r="R67" s="319">
        <v>4333.8773310005454</v>
      </c>
      <c r="S67" s="319"/>
      <c r="T67" s="319"/>
      <c r="U67" s="319"/>
      <c r="V67" s="319"/>
      <c r="W67" s="321">
        <f>IFERROR(IF(tblPiNAnalysis5[[#This Row],[CCCM]]="", "", MROUND(tblPiNAnalysis5[[#This Row],[CCCM]]/tblPiNAnalysis5[[#This Row],[Affected population projection 2026]], 0.05)), "")</f>
        <v>0</v>
      </c>
      <c r="X67" s="322">
        <f>IFERROR(IF(tblPiNAnalysis5[[#This Row],[Education]]="", "", MROUND(tblPiNAnalysis5[[#This Row],[Education]]/tblPiNAnalysis5[[#This Row],[Affected population projection 2026]], 0.05)), "")</f>
        <v>0.05</v>
      </c>
      <c r="Y67" s="322">
        <f>IFERROR(IF(tblPiNAnalysis5[[#This Row],[Nutrition]]="", "", MROUND(tblPiNAnalysis5[[#This Row],[Nutrition]]/tblPiNAnalysis5[[#This Row],[Affected population projection 2026]], 0.05)), "")</f>
        <v>0.2</v>
      </c>
      <c r="Z67" s="322">
        <f>IFERROR(IF(tblPiNAnalysis5[[#This Row],[Food Security]]="", "", MROUND(tblPiNAnalysis5[[#This Row],[Food Security]]/tblPiNAnalysis5[[#This Row],[Affected population projection 2026]], 0.05)), "")</f>
        <v>0.2</v>
      </c>
      <c r="AA67" s="322">
        <f>IFERROR(IF(tblPiNAnalysis5[[#This Row],[Health]]="", "", MROUND(tblPiNAnalysis5[[#This Row],[Health]]/tblPiNAnalysis5[[#This Row],[Affected population projection 2026]], 0.05)), "")</f>
        <v>0.2</v>
      </c>
      <c r="AB67" s="323">
        <f>IFERROR(IF(tblPiNAnalysis5[[#This Row],[Overarching Protection]]="", "", MROUND(tblPiNAnalysis5[[#This Row],[Overarching Protection]]/tblPiNAnalysis5[[#This Row],[Affected population projection 2026]], 0.05)), "")</f>
        <v>0.15000000000000002</v>
      </c>
      <c r="AC67" s="323">
        <f>IFERROR(IF(tblPiNAnalysis5[[#This Row],[Shelter]]="", "", MROUND(tblPiNAnalysis5[[#This Row],[Shelter]]/tblPiNAnalysis5[[#This Row],[Affected population projection 2026]], 0.05)), "")</f>
        <v>0.15000000000000002</v>
      </c>
      <c r="AD67" s="324">
        <f>IFERROR(IF(tblPiNAnalysis5[[#This Row],[WASH]]="", "", MROUND(tblPiNAnalysis5[[#This Row],[WASH]]/tblPiNAnalysis5[[#This Row],[Affected population projection 2026]], 0.05)), "")</f>
        <v>0.1</v>
      </c>
      <c r="AE67" s="322">
        <f>IFERROR(MROUND(tblPiNAnalysis5[[#This Row],[CP]]/tblPiNAnalysis5[[#This Row],[Affected population projection 2026]], 0.05), "")</f>
        <v>0</v>
      </c>
      <c r="AF67" s="322">
        <f>IFERROR(MROUND(tblPiNAnalysis5[[#This Row],[GBV]]/tblPiNAnalysis5[[#This Row],[Affected population projection 2026]], 0.05), "")</f>
        <v>0</v>
      </c>
      <c r="AG67" s="322">
        <f>IFERROR(MROUND(tblPiNAnalysis5[[#This Row],[Mine Action]]/tblPiNAnalysis5[[#This Row],[Affected population projection 2026]], 0.05), "")</f>
        <v>0</v>
      </c>
      <c r="AH67" s="322">
        <f>IFERROR(MROUND(tblPiNAnalysis5[[#This Row],[HLP]]/tblPiNAnalysis5[[#This Row],[Affected population projection 2026]], 0.05), "")</f>
        <v>0</v>
      </c>
      <c r="AI67" s="325">
        <f>IFERROR(LARGE(tblPiNAnalysis5[[#This Row],[CCCM]:[WASH]], 1), "")</f>
        <v>7254.1110362208838</v>
      </c>
      <c r="AJ67" s="326" t="str" cm="1">
        <f t="array" ref="AJ67">IF(tblPiNAnalysis5[[#This Row],[Highest Target]]="", "", _xlfn.TEXTJOIN(CHAR(10), TRUE, IF(tblPiNAnalysis5[[#This Row],[Highest Target]]=tblPiNAnalysis5[[#This Row],[CCCM]:[WASH]], tblPiNAnalysis5[[#Headers],[CCCM]:[WASH]], "")))</f>
        <v>Health</v>
      </c>
      <c r="AK67" s="327">
        <f>IF(tblPiNAnalysis5[[#This Row],[Highest Target]]="", "", tblPiNAnalysis5[[#This Row],[Highest Target]]/tblPiNAnalysis5[[#This Row],[Affected population projection 2026]])</f>
        <v>0.2028769425640134</v>
      </c>
      <c r="AL67" s="328" t="str">
        <f>IF(SUM(tblPiNAnalysis5[[#This Row],[CCCM]:[WASH]])=0, "",IF(COUNTIF(tblPiNAnalysis5[[#This Row],[CCCM]:[WASH]],"=0")+COUNTIF(tblPiNAnalysis5[[#This Row],[CCCM]:[WASH]],"")&gt;=zero_pin_thresh, "Flagged", ""))</f>
        <v/>
      </c>
      <c r="AM67" s="329" t="str">
        <f>IFERROR(IF(tblPiNAnalysis5[[#This Row],[Highest Target]]="", "", IF(tblPiNAnalysis5[[#This Row],[Highest sector(s'') Target %]]&gt;=flag_pin_perc, "Flagged", "")), "")</f>
        <v/>
      </c>
      <c r="AN67" s="330" t="str" cm="1">
        <f t="array" ref="AN67">IF(tblPiNAnalysis5[[#This Row],[Highest Target]]=0, "",  IF(OR(COUNTIF(tblPiNAnalysis5[[#This Row],[Highest sector(s)]],tblSubSectorPopulation[Sector])), "Flagged", ""))</f>
        <v/>
      </c>
      <c r="AO67" s="46" cm="1">
        <f t="array" ref="AO6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6740.0184613508673</v>
      </c>
      <c r="AP67" s="331" t="str" cm="1">
        <f t="array" ref="AP67">IF(tblPiNAnalysis5[[#This Row],[2nd Highest Target]]="", "", _xlfn.TEXTJOIN(CHAR(10), TRUE, IF(tblPiNAnalysis5[[#This Row],[2nd Highest Target]]=tblPiNAnalysis5[[#This Row],[CCCM]:[WASH]], tblPiNAnalysis5[[#Headers],[CCCM]:[WASH]], "")))</f>
        <v>Nutrition</v>
      </c>
      <c r="AQ67" s="36">
        <f>IFERROR(tblPiNAnalysis5[[#This Row],[2nd Highest Target]]/tblPiNAnalysis5[[#This Row],[Affected population projection 2026]], "")</f>
        <v>0.18849922911798028</v>
      </c>
      <c r="AR67" s="46">
        <f>IFERROR(tblPiNAnalysis5[[#This Row],[Highest Target]]-tblPiNAnalysis5[[#This Row],[2nd Highest Target]], "")</f>
        <v>514.09257487001651</v>
      </c>
      <c r="AS67" s="39">
        <f>IFERROR(((tblPiNAnalysis5[[#This Row],[Highest Target]]-tblPiNAnalysis5[[#This Row],[2nd Highest Target]])/tblPiNAnalysis5[[#This Row],[2nd Highest Target]]),"")</f>
        <v>7.6274653818526716E-2</v>
      </c>
      <c r="AT67" s="39" t="str" cm="1">
        <f t="array" ref="AT6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7" s="332" cm="1">
        <f t="array" ref="AU6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6395.0433612719116</v>
      </c>
      <c r="AV67" s="190" t="str" cm="1">
        <f t="array" ref="AV67">IF(tblPiNAnalysis5[[#This Row],[3rd Highest Target]]="", "", _xlfn.TEXTJOIN(CHAR(10), TRUE, IF(tblPiNAnalysis5[[#This Row],[3rd Highest Target]]=tblPiNAnalysis5[[#This Row],[CCCM]:[WASH]], tblPiNAnalysis5[[#Headers],[CCCM]:[WASH]], "")))</f>
        <v>Food Security</v>
      </c>
      <c r="AW67" s="190">
        <f>IFERROR(tblPiNAnalysis5[[#This Row],[3rd Highest Target]]/tblPiNAnalysis5[[#This Row],[Affected population projection 2026]], "")</f>
        <v>0.17885125251336603</v>
      </c>
      <c r="AX67" s="45">
        <f>IFERROR(tblPiNAnalysis5[[#This Row],[Highest Target]]-tblPiNAnalysis5[[#This Row],[3rd Highest Target]],"")</f>
        <v>859.06767494897213</v>
      </c>
      <c r="AY67" s="39">
        <f>IFERROR(tblPiNAnalysis5[[#This Row],[Difference of Target between Highest and 3rd Highest]]/tblPiNAnalysis5[[#This Row],[3rd Highest Target]], "")</f>
        <v>0.13433336201462628</v>
      </c>
      <c r="AZ67" s="330" t="str" cm="1">
        <f t="array" ref="AZ6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7" s="300" t="str" cm="1">
        <f t="array" ref="BA6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7" s="333" t="str" cm="1">
        <f t="array" ref="BB6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7" s="276" t="str" cm="1">
        <f t="array" ref="BC6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7" s="334" t="str" cm="1">
        <f t="array" ref="BD6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67" s="277" t="e">
        <f>INDEX(tblSeverityAnalysis[Final Severity], MATCH(tblPiNAnalysis5[[#This Row],[ID]],tblSeverityAnalysis[ID], 0))</f>
        <v>#N/A</v>
      </c>
      <c r="BF67" s="61" t="e">
        <f>IF(tblPiNAnalysis5[[#This Row],[Severity]]&gt;2,tblPiNAnalysis5[[#This Row],[Highest Target]],)</f>
        <v>#N/A</v>
      </c>
      <c r="BG67" s="191"/>
      <c r="BH67" s="192"/>
      <c r="BI67" s="193">
        <f>COUNTIFS(tblPiNAnalysis5[[#This Row],[Number of missing / zero PiNs greater than threshold - Data quality]:[Manual Flag]],"Flagged")</f>
        <v>1</v>
      </c>
      <c r="BJ67" s="96" t="str">
        <f>IF(tblPiNAnalysis5[[#This Row],['# Flags]]&gt;0, "Flagged", "")</f>
        <v>Flagged</v>
      </c>
      <c r="BK67" s="326" t="e">
        <f>tblPiNAnalysis5[[#This Row],[Preliminary Target]]</f>
        <v>#N/A</v>
      </c>
      <c r="BL67" s="331"/>
    </row>
    <row r="68" spans="1:64" ht="110.7" x14ac:dyDescent="0.55000000000000004">
      <c r="A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8" s="316" t="s">
        <v>368</v>
      </c>
      <c r="C68" s="317" t="s">
        <v>369</v>
      </c>
      <c r="D68" s="317" t="s">
        <v>378</v>
      </c>
      <c r="E68" s="105" t="s">
        <v>379</v>
      </c>
      <c r="F68" s="100"/>
      <c r="G68" s="34"/>
      <c r="H68" s="34"/>
      <c r="I68" s="97">
        <v>7457.5791677040434</v>
      </c>
      <c r="J68" s="97" t="s">
        <v>412</v>
      </c>
      <c r="K68" s="261">
        <v>0</v>
      </c>
      <c r="L68" s="319">
        <v>0</v>
      </c>
      <c r="M68" s="319">
        <v>0</v>
      </c>
      <c r="N68" s="319">
        <v>0</v>
      </c>
      <c r="O68" s="319">
        <v>0</v>
      </c>
      <c r="P68" s="319">
        <v>0</v>
      </c>
      <c r="Q68" s="229">
        <v>0</v>
      </c>
      <c r="R68" s="319">
        <v>0</v>
      </c>
      <c r="S68" s="319"/>
      <c r="T68" s="319"/>
      <c r="U68" s="319"/>
      <c r="V68" s="319"/>
      <c r="W68" s="321">
        <f>IFERROR(IF(tblPiNAnalysis5[[#This Row],[CCCM]]="", "", MROUND(tblPiNAnalysis5[[#This Row],[CCCM]]/tblPiNAnalysis5[[#This Row],[Affected population projection 2026]], 0.05)), "")</f>
        <v>0</v>
      </c>
      <c r="X68" s="322">
        <f>IFERROR(IF(tblPiNAnalysis5[[#This Row],[Education]]="", "", MROUND(tblPiNAnalysis5[[#This Row],[Education]]/tblPiNAnalysis5[[#This Row],[Affected population projection 2026]], 0.05)), "")</f>
        <v>0</v>
      </c>
      <c r="Y68" s="322">
        <f>IFERROR(IF(tblPiNAnalysis5[[#This Row],[Nutrition]]="", "", MROUND(tblPiNAnalysis5[[#This Row],[Nutrition]]/tblPiNAnalysis5[[#This Row],[Affected population projection 2026]], 0.05)), "")</f>
        <v>0</v>
      </c>
      <c r="Z68" s="322">
        <f>IFERROR(IF(tblPiNAnalysis5[[#This Row],[Food Security]]="", "", MROUND(tblPiNAnalysis5[[#This Row],[Food Security]]/tblPiNAnalysis5[[#This Row],[Affected population projection 2026]], 0.05)), "")</f>
        <v>0</v>
      </c>
      <c r="AA68" s="322">
        <f>IFERROR(IF(tblPiNAnalysis5[[#This Row],[Health]]="", "", MROUND(tblPiNAnalysis5[[#This Row],[Health]]/tblPiNAnalysis5[[#This Row],[Affected population projection 2026]], 0.05)), "")</f>
        <v>0</v>
      </c>
      <c r="AB68" s="323">
        <f>IFERROR(IF(tblPiNAnalysis5[[#This Row],[Overarching Protection]]="", "", MROUND(tblPiNAnalysis5[[#This Row],[Overarching Protection]]/tblPiNAnalysis5[[#This Row],[Affected population projection 2026]], 0.05)), "")</f>
        <v>0</v>
      </c>
      <c r="AC68" s="323">
        <f>IFERROR(IF(tblPiNAnalysis5[[#This Row],[Shelter]]="", "", MROUND(tblPiNAnalysis5[[#This Row],[Shelter]]/tblPiNAnalysis5[[#This Row],[Affected population projection 2026]], 0.05)), "")</f>
        <v>0</v>
      </c>
      <c r="AD68" s="324">
        <f>IFERROR(IF(tblPiNAnalysis5[[#This Row],[WASH]]="", "", MROUND(tblPiNAnalysis5[[#This Row],[WASH]]/tblPiNAnalysis5[[#This Row],[Affected population projection 2026]], 0.05)), "")</f>
        <v>0</v>
      </c>
      <c r="AE68" s="322">
        <f>IFERROR(MROUND(tblPiNAnalysis5[[#This Row],[CP]]/tblPiNAnalysis5[[#This Row],[Affected population projection 2026]], 0.05), "")</f>
        <v>0</v>
      </c>
      <c r="AF68" s="322">
        <f>IFERROR(MROUND(tblPiNAnalysis5[[#This Row],[GBV]]/tblPiNAnalysis5[[#This Row],[Affected population projection 2026]], 0.05), "")</f>
        <v>0</v>
      </c>
      <c r="AG68" s="322">
        <f>IFERROR(MROUND(tblPiNAnalysis5[[#This Row],[Mine Action]]/tblPiNAnalysis5[[#This Row],[Affected population projection 2026]], 0.05), "")</f>
        <v>0</v>
      </c>
      <c r="AH68" s="322">
        <f>IFERROR(MROUND(tblPiNAnalysis5[[#This Row],[HLP]]/tblPiNAnalysis5[[#This Row],[Affected population projection 2026]], 0.05), "")</f>
        <v>0</v>
      </c>
      <c r="AI68" s="325">
        <f>IFERROR(LARGE(tblPiNAnalysis5[[#This Row],[CCCM]:[WASH]], 1), "")</f>
        <v>0</v>
      </c>
      <c r="AJ68" s="326" t="str" cm="1">
        <f t="array" ref="AJ68">IF(tblPiNAnalysis5[[#This Row],[Highest Target]]="", "", _xlfn.TEXTJOIN(CHAR(10), TRUE, IF(tblPiNAnalysis5[[#This Row],[Highest Target]]=tblPiNAnalysis5[[#This Row],[CCCM]:[WASH]], tblPiNAnalysis5[[#Headers],[CCCM]:[WASH]], "")))</f>
        <v>CCCM
Education
Nutrition
Food Security
Health
Overarching Protection
Shelter
WASH</v>
      </c>
      <c r="AK68" s="327">
        <f>IF(tblPiNAnalysis5[[#This Row],[Highest Target]]="", "", tblPiNAnalysis5[[#This Row],[Highest Target]]/tblPiNAnalysis5[[#This Row],[Affected population projection 2026]])</f>
        <v>0</v>
      </c>
      <c r="AL68" s="328" t="str">
        <f>IF(SUM(tblPiNAnalysis5[[#This Row],[CCCM]:[WASH]])=0, "",IF(COUNTIF(tblPiNAnalysis5[[#This Row],[CCCM]:[WASH]],"=0")+COUNTIF(tblPiNAnalysis5[[#This Row],[CCCM]:[WASH]],"")&gt;=zero_pin_thresh, "Flagged", ""))</f>
        <v/>
      </c>
      <c r="AM68" s="329" t="str">
        <f>IFERROR(IF(tblPiNAnalysis5[[#This Row],[Highest Target]]="", "", IF(tblPiNAnalysis5[[#This Row],[Highest sector(s'') Target %]]&gt;=flag_pin_perc, "Flagged", "")), "")</f>
        <v/>
      </c>
      <c r="AN68" s="330" t="str" cm="1">
        <f t="array" ref="AN68">IF(tblPiNAnalysis5[[#This Row],[Highest Target]]=0, "",  IF(OR(COUNTIF(tblPiNAnalysis5[[#This Row],[Highest sector(s)]],tblSubSectorPopulation[Sector])), "Flagged", ""))</f>
        <v/>
      </c>
      <c r="AO68" s="46" cm="1">
        <f t="array" ref="AO6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68" s="331" t="str" cm="1">
        <f t="array" ref="AP68">IF(tblPiNAnalysis5[[#This Row],[2nd Highest Target]]="", "", _xlfn.TEXTJOIN(CHAR(10), TRUE, IF(tblPiNAnalysis5[[#This Row],[2nd Highest Target]]=tblPiNAnalysis5[[#This Row],[CCCM]:[WASH]], tblPiNAnalysis5[[#Headers],[CCCM]:[WASH]], "")))</f>
        <v>CCCM
Education
Nutrition
Food Security
Health
Overarching Protection
Shelter
WASH</v>
      </c>
      <c r="AQ68" s="36">
        <f>IFERROR(tblPiNAnalysis5[[#This Row],[2nd Highest Target]]/tblPiNAnalysis5[[#This Row],[Affected population projection 2026]], "")</f>
        <v>0</v>
      </c>
      <c r="AR68" s="46">
        <f>IFERROR(tblPiNAnalysis5[[#This Row],[Highest Target]]-tblPiNAnalysis5[[#This Row],[2nd Highest Target]], "")</f>
        <v>0</v>
      </c>
      <c r="AS68" s="39" t="str">
        <f>IFERROR(((tblPiNAnalysis5[[#This Row],[Highest Target]]-tblPiNAnalysis5[[#This Row],[2nd Highest Target]])/tblPiNAnalysis5[[#This Row],[2nd Highest Target]]),"")</f>
        <v/>
      </c>
      <c r="AT68" s="39" t="str" cm="1">
        <f t="array" ref="AT6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8" s="332" cm="1">
        <f t="array" ref="AU6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68" s="190" t="str" cm="1">
        <f t="array" ref="AV68">IF(tblPiNAnalysis5[[#This Row],[3rd Highest Target]]="", "", _xlfn.TEXTJOIN(CHAR(10), TRUE, IF(tblPiNAnalysis5[[#This Row],[3rd Highest Target]]=tblPiNAnalysis5[[#This Row],[CCCM]:[WASH]], tblPiNAnalysis5[[#Headers],[CCCM]:[WASH]], "")))</f>
        <v>CCCM
Education
Nutrition
Food Security
Health
Overarching Protection
Shelter
WASH</v>
      </c>
      <c r="AW68" s="190">
        <f>IFERROR(tblPiNAnalysis5[[#This Row],[3rd Highest Target]]/tblPiNAnalysis5[[#This Row],[Affected population projection 2026]], "")</f>
        <v>0</v>
      </c>
      <c r="AX68" s="45">
        <f>IFERROR(tblPiNAnalysis5[[#This Row],[Highest Target]]-tblPiNAnalysis5[[#This Row],[3rd Highest Target]],"")</f>
        <v>0</v>
      </c>
      <c r="AY68" s="39" t="str">
        <f>IFERROR(tblPiNAnalysis5[[#This Row],[Difference of Target between Highest and 3rd Highest]]/tblPiNAnalysis5[[#This Row],[3rd Highest Target]], "")</f>
        <v/>
      </c>
      <c r="AZ68" s="330" t="str" cm="1">
        <f t="array" ref="AZ6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68" s="300" t="str" cm="1">
        <f t="array" ref="BA6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8" s="333" t="str" cm="1">
        <f t="array" ref="BB6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8" s="276" t="str" cm="1">
        <f t="array" ref="BC6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8" s="334" t="str" cm="1">
        <f t="array" ref="BD6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68" s="277" t="e">
        <f>INDEX(tblSeverityAnalysis[Final Severity], MATCH(tblPiNAnalysis5[[#This Row],[ID]],tblSeverityAnalysis[ID], 0))</f>
        <v>#N/A</v>
      </c>
      <c r="BF68" s="61" t="e">
        <f>IF(tblPiNAnalysis5[[#This Row],[Severity]]&gt;2,tblPiNAnalysis5[[#This Row],[Highest Target]],)</f>
        <v>#N/A</v>
      </c>
      <c r="BG68" s="191"/>
      <c r="BH68" s="192"/>
      <c r="BI68" s="193">
        <f>COUNTIFS(tblPiNAnalysis5[[#This Row],[Number of missing / zero PiNs greater than threshold - Data quality]:[Manual Flag]],"Flagged")</f>
        <v>2</v>
      </c>
      <c r="BJ68" s="96" t="str">
        <f>IF(tblPiNAnalysis5[[#This Row],['# Flags]]&gt;0, "Flagged", "")</f>
        <v>Flagged</v>
      </c>
      <c r="BK68" s="326" t="e">
        <f>tblPiNAnalysis5[[#This Row],[Preliminary Target]]</f>
        <v>#N/A</v>
      </c>
      <c r="BL68" s="331"/>
    </row>
    <row r="69" spans="1:64" x14ac:dyDescent="0.55000000000000004">
      <c r="A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9" s="316" t="s">
        <v>368</v>
      </c>
      <c r="C69" s="317" t="s">
        <v>369</v>
      </c>
      <c r="D69" s="317" t="s">
        <v>380</v>
      </c>
      <c r="E69" s="105" t="s">
        <v>381</v>
      </c>
      <c r="F69" s="100"/>
      <c r="G69" s="34"/>
      <c r="H69" s="34"/>
      <c r="I69" s="97">
        <v>150879.3340223525</v>
      </c>
      <c r="J69" s="97" t="s">
        <v>412</v>
      </c>
      <c r="K69" s="261">
        <v>67460</v>
      </c>
      <c r="L69" s="319">
        <v>18528.283976612929</v>
      </c>
      <c r="M69" s="319">
        <v>35940.485923085216</v>
      </c>
      <c r="N69" s="319">
        <v>49939.952433345177</v>
      </c>
      <c r="O69" s="319">
        <v>82033.862123911051</v>
      </c>
      <c r="P69" s="319">
        <v>48223.966062731808</v>
      </c>
      <c r="Q69" s="229">
        <v>36923.08198882961</v>
      </c>
      <c r="R69" s="319">
        <v>19332.061445165113</v>
      </c>
      <c r="S69" s="319"/>
      <c r="T69" s="319"/>
      <c r="U69" s="319"/>
      <c r="V69" s="319"/>
      <c r="W69" s="321">
        <f>IFERROR(IF(tblPiNAnalysis5[[#This Row],[CCCM]]="", "", MROUND(tblPiNAnalysis5[[#This Row],[CCCM]]/tblPiNAnalysis5[[#This Row],[Affected population projection 2026]], 0.05)), "")</f>
        <v>0.45</v>
      </c>
      <c r="X69" s="322">
        <f>IFERROR(IF(tblPiNAnalysis5[[#This Row],[Education]]="", "", MROUND(tblPiNAnalysis5[[#This Row],[Education]]/tblPiNAnalysis5[[#This Row],[Affected population projection 2026]], 0.05)), "")</f>
        <v>0.1</v>
      </c>
      <c r="Y69" s="322">
        <f>IFERROR(IF(tblPiNAnalysis5[[#This Row],[Nutrition]]="", "", MROUND(tblPiNAnalysis5[[#This Row],[Nutrition]]/tblPiNAnalysis5[[#This Row],[Affected population projection 2026]], 0.05)), "")</f>
        <v>0.25</v>
      </c>
      <c r="Z69" s="322">
        <f>IFERROR(IF(tblPiNAnalysis5[[#This Row],[Food Security]]="", "", MROUND(tblPiNAnalysis5[[#This Row],[Food Security]]/tblPiNAnalysis5[[#This Row],[Affected population projection 2026]], 0.05)), "")</f>
        <v>0.35000000000000003</v>
      </c>
      <c r="AA69" s="322">
        <f>IFERROR(IF(tblPiNAnalysis5[[#This Row],[Health]]="", "", MROUND(tblPiNAnalysis5[[#This Row],[Health]]/tblPiNAnalysis5[[#This Row],[Affected population projection 2026]], 0.05)), "")</f>
        <v>0.55000000000000004</v>
      </c>
      <c r="AB69" s="323">
        <f>IFERROR(IF(tblPiNAnalysis5[[#This Row],[Overarching Protection]]="", "", MROUND(tblPiNAnalysis5[[#This Row],[Overarching Protection]]/tblPiNAnalysis5[[#This Row],[Affected population projection 2026]], 0.05)), "")</f>
        <v>0.30000000000000004</v>
      </c>
      <c r="AC69" s="323">
        <f>IFERROR(IF(tblPiNAnalysis5[[#This Row],[Shelter]]="", "", MROUND(tblPiNAnalysis5[[#This Row],[Shelter]]/tblPiNAnalysis5[[#This Row],[Affected population projection 2026]], 0.05)), "")</f>
        <v>0.25</v>
      </c>
      <c r="AD69" s="324">
        <f>IFERROR(IF(tblPiNAnalysis5[[#This Row],[WASH]]="", "", MROUND(tblPiNAnalysis5[[#This Row],[WASH]]/tblPiNAnalysis5[[#This Row],[Affected population projection 2026]], 0.05)), "")</f>
        <v>0.15000000000000002</v>
      </c>
      <c r="AE69" s="322">
        <f>IFERROR(MROUND(tblPiNAnalysis5[[#This Row],[CP]]/tblPiNAnalysis5[[#This Row],[Affected population projection 2026]], 0.05), "")</f>
        <v>0</v>
      </c>
      <c r="AF69" s="322">
        <f>IFERROR(MROUND(tblPiNAnalysis5[[#This Row],[GBV]]/tblPiNAnalysis5[[#This Row],[Affected population projection 2026]], 0.05), "")</f>
        <v>0</v>
      </c>
      <c r="AG69" s="322">
        <f>IFERROR(MROUND(tblPiNAnalysis5[[#This Row],[Mine Action]]/tblPiNAnalysis5[[#This Row],[Affected population projection 2026]], 0.05), "")</f>
        <v>0</v>
      </c>
      <c r="AH69" s="322">
        <f>IFERROR(MROUND(tblPiNAnalysis5[[#This Row],[HLP]]/tblPiNAnalysis5[[#This Row],[Affected population projection 2026]], 0.05), "")</f>
        <v>0</v>
      </c>
      <c r="AI69" s="325">
        <f>IFERROR(LARGE(tblPiNAnalysis5[[#This Row],[CCCM]:[WASH]], 1), "")</f>
        <v>82033.862123911051</v>
      </c>
      <c r="AJ69" s="326" t="str" cm="1">
        <f t="array" ref="AJ69">IF(tblPiNAnalysis5[[#This Row],[Highest Target]]="", "", _xlfn.TEXTJOIN(CHAR(10), TRUE, IF(tblPiNAnalysis5[[#This Row],[Highest Target]]=tblPiNAnalysis5[[#This Row],[CCCM]:[WASH]], tblPiNAnalysis5[[#Headers],[CCCM]:[WASH]], "")))</f>
        <v>Health</v>
      </c>
      <c r="AK69" s="327">
        <f>IF(tblPiNAnalysis5[[#This Row],[Highest Target]]="", "", tblPiNAnalysis5[[#This Row],[Highest Target]]/tblPiNAnalysis5[[#This Row],[Affected population projection 2026]])</f>
        <v>0.54370509159165481</v>
      </c>
      <c r="AL69" s="328" t="str">
        <f>IF(SUM(tblPiNAnalysis5[[#This Row],[CCCM]:[WASH]])=0, "",IF(COUNTIF(tblPiNAnalysis5[[#This Row],[CCCM]:[WASH]],"=0")+COUNTIF(tblPiNAnalysis5[[#This Row],[CCCM]:[WASH]],"")&gt;=zero_pin_thresh, "Flagged", ""))</f>
        <v/>
      </c>
      <c r="AM69" s="329" t="str">
        <f>IFERROR(IF(tblPiNAnalysis5[[#This Row],[Highest Target]]="", "", IF(tblPiNAnalysis5[[#This Row],[Highest sector(s'') Target %]]&gt;=flag_pin_perc, "Flagged", "")), "")</f>
        <v/>
      </c>
      <c r="AN69" s="330" t="str" cm="1">
        <f t="array" ref="AN69">IF(tblPiNAnalysis5[[#This Row],[Highest Target]]=0, "",  IF(OR(COUNTIF(tblPiNAnalysis5[[#This Row],[Highest sector(s)]],tblSubSectorPopulation[Sector])), "Flagged", ""))</f>
        <v/>
      </c>
      <c r="AO69" s="46" cm="1">
        <f t="array" ref="AO6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67460</v>
      </c>
      <c r="AP69" s="331" t="str" cm="1">
        <f t="array" ref="AP69">IF(tblPiNAnalysis5[[#This Row],[2nd Highest Target]]="", "", _xlfn.TEXTJOIN(CHAR(10), TRUE, IF(tblPiNAnalysis5[[#This Row],[2nd Highest Target]]=tblPiNAnalysis5[[#This Row],[CCCM]:[WASH]], tblPiNAnalysis5[[#Headers],[CCCM]:[WASH]], "")))</f>
        <v>CCCM</v>
      </c>
      <c r="AQ69" s="36">
        <f>IFERROR(tblPiNAnalysis5[[#This Row],[2nd Highest Target]]/tblPiNAnalysis5[[#This Row],[Affected population projection 2026]], "")</f>
        <v>0.44711225985399644</v>
      </c>
      <c r="AR69" s="46">
        <f>IFERROR(tblPiNAnalysis5[[#This Row],[Highest Target]]-tblPiNAnalysis5[[#This Row],[2nd Highest Target]], "")</f>
        <v>14573.862123911051</v>
      </c>
      <c r="AS69" s="39">
        <f>IFERROR(((tblPiNAnalysis5[[#This Row],[Highest Target]]-tblPiNAnalysis5[[#This Row],[2nd Highest Target]])/tblPiNAnalysis5[[#This Row],[2nd Highest Target]]),"")</f>
        <v>0.21603709048193079</v>
      </c>
      <c r="AT69" s="39" t="str" cm="1">
        <f t="array" ref="AT6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69" s="332" cm="1">
        <f t="array" ref="AU6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49939.952433345177</v>
      </c>
      <c r="AV69" s="190" t="str" cm="1">
        <f t="array" ref="AV69">IF(tblPiNAnalysis5[[#This Row],[3rd Highest Target]]="", "", _xlfn.TEXTJOIN(CHAR(10), TRUE, IF(tblPiNAnalysis5[[#This Row],[3rd Highest Target]]=tblPiNAnalysis5[[#This Row],[CCCM]:[WASH]], tblPiNAnalysis5[[#Headers],[CCCM]:[WASH]], "")))</f>
        <v>Food Security</v>
      </c>
      <c r="AW69" s="190">
        <f>IFERROR(tblPiNAnalysis5[[#This Row],[3rd Highest Target]]/tblPiNAnalysis5[[#This Row],[Affected population projection 2026]], "")</f>
        <v>0.33099266216237849</v>
      </c>
      <c r="AX69" s="45">
        <f>IFERROR(tblPiNAnalysis5[[#This Row],[Highest Target]]-tblPiNAnalysis5[[#This Row],[3rd Highest Target]],"")</f>
        <v>32093.909690565873</v>
      </c>
      <c r="AY69" s="39">
        <f>IFERROR(tblPiNAnalysis5[[#This Row],[Difference of Target between Highest and 3rd Highest]]/tblPiNAnalysis5[[#This Row],[3rd Highest Target]], "")</f>
        <v>0.6426499851677191</v>
      </c>
      <c r="AZ69" s="330" t="str" cm="1">
        <f t="array" ref="AZ6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69" s="300" t="str" cm="1">
        <f t="array" ref="BA6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69" s="333" t="str" cm="1">
        <f t="array" ref="BB6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69" s="276" t="str" cm="1">
        <f t="array" ref="BC6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69" s="334" t="str" cm="1">
        <f t="array" ref="BD6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69" s="277" t="e">
        <f>INDEX(tblSeverityAnalysis[Final Severity], MATCH(tblPiNAnalysis5[[#This Row],[ID]],tblSeverityAnalysis[ID], 0))</f>
        <v>#N/A</v>
      </c>
      <c r="BF69" s="61" t="e">
        <f>IF(tblPiNAnalysis5[[#This Row],[Severity]]&gt;2,tblPiNAnalysis5[[#This Row],[Highest Target]],)</f>
        <v>#N/A</v>
      </c>
      <c r="BG69" s="191"/>
      <c r="BH69" s="192"/>
      <c r="BI69" s="193">
        <f>COUNTIFS(tblPiNAnalysis5[[#This Row],[Number of missing / zero PiNs greater than threshold - Data quality]:[Manual Flag]],"Flagged")</f>
        <v>2</v>
      </c>
      <c r="BJ69" s="96" t="str">
        <f>IF(tblPiNAnalysis5[[#This Row],['# Flags]]&gt;0, "Flagged", "")</f>
        <v>Flagged</v>
      </c>
      <c r="BK69" s="326" t="e">
        <f>tblPiNAnalysis5[[#This Row],[Preliminary Target]]</f>
        <v>#N/A</v>
      </c>
      <c r="BL69" s="331"/>
    </row>
    <row r="70" spans="1:64" ht="110.7" x14ac:dyDescent="0.55000000000000004">
      <c r="A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0" s="316" t="s">
        <v>382</v>
      </c>
      <c r="C70" s="317" t="s">
        <v>383</v>
      </c>
      <c r="D70" s="317" t="s">
        <v>384</v>
      </c>
      <c r="E70" s="105" t="s">
        <v>385</v>
      </c>
      <c r="F70" s="100"/>
      <c r="G70" s="34"/>
      <c r="H70" s="34"/>
      <c r="I70" s="97">
        <v>47398.331065600592</v>
      </c>
      <c r="J70" s="97" t="s">
        <v>412</v>
      </c>
      <c r="K70" s="261">
        <v>0</v>
      </c>
      <c r="L70" s="319">
        <v>0</v>
      </c>
      <c r="M70" s="319">
        <v>0</v>
      </c>
      <c r="N70" s="319">
        <v>0</v>
      </c>
      <c r="O70" s="319">
        <v>0</v>
      </c>
      <c r="P70" s="319">
        <v>0</v>
      </c>
      <c r="Q70" s="229">
        <v>0</v>
      </c>
      <c r="R70" s="319">
        <v>0</v>
      </c>
      <c r="S70" s="319"/>
      <c r="T70" s="319"/>
      <c r="U70" s="319"/>
      <c r="V70" s="319"/>
      <c r="W70" s="321">
        <f>IFERROR(IF(tblPiNAnalysis5[[#This Row],[CCCM]]="", "", MROUND(tblPiNAnalysis5[[#This Row],[CCCM]]/tblPiNAnalysis5[[#This Row],[Affected population projection 2026]], 0.05)), "")</f>
        <v>0</v>
      </c>
      <c r="X70" s="322">
        <f>IFERROR(IF(tblPiNAnalysis5[[#This Row],[Education]]="", "", MROUND(tblPiNAnalysis5[[#This Row],[Education]]/tblPiNAnalysis5[[#This Row],[Affected population projection 2026]], 0.05)), "")</f>
        <v>0</v>
      </c>
      <c r="Y70" s="322">
        <f>IFERROR(IF(tblPiNAnalysis5[[#This Row],[Nutrition]]="", "", MROUND(tblPiNAnalysis5[[#This Row],[Nutrition]]/tblPiNAnalysis5[[#This Row],[Affected population projection 2026]], 0.05)), "")</f>
        <v>0</v>
      </c>
      <c r="Z70" s="322">
        <f>IFERROR(IF(tblPiNAnalysis5[[#This Row],[Food Security]]="", "", MROUND(tblPiNAnalysis5[[#This Row],[Food Security]]/tblPiNAnalysis5[[#This Row],[Affected population projection 2026]], 0.05)), "")</f>
        <v>0</v>
      </c>
      <c r="AA70" s="322">
        <f>IFERROR(IF(tblPiNAnalysis5[[#This Row],[Health]]="", "", MROUND(tblPiNAnalysis5[[#This Row],[Health]]/tblPiNAnalysis5[[#This Row],[Affected population projection 2026]], 0.05)), "")</f>
        <v>0</v>
      </c>
      <c r="AB70" s="323">
        <f>IFERROR(IF(tblPiNAnalysis5[[#This Row],[Overarching Protection]]="", "", MROUND(tblPiNAnalysis5[[#This Row],[Overarching Protection]]/tblPiNAnalysis5[[#This Row],[Affected population projection 2026]], 0.05)), "")</f>
        <v>0</v>
      </c>
      <c r="AC70" s="323">
        <f>IFERROR(IF(tblPiNAnalysis5[[#This Row],[Shelter]]="", "", MROUND(tblPiNAnalysis5[[#This Row],[Shelter]]/tblPiNAnalysis5[[#This Row],[Affected population projection 2026]], 0.05)), "")</f>
        <v>0</v>
      </c>
      <c r="AD70" s="324">
        <f>IFERROR(IF(tblPiNAnalysis5[[#This Row],[WASH]]="", "", MROUND(tblPiNAnalysis5[[#This Row],[WASH]]/tblPiNAnalysis5[[#This Row],[Affected population projection 2026]], 0.05)), "")</f>
        <v>0</v>
      </c>
      <c r="AE70" s="322">
        <f>IFERROR(MROUND(tblPiNAnalysis5[[#This Row],[CP]]/tblPiNAnalysis5[[#This Row],[Affected population projection 2026]], 0.05), "")</f>
        <v>0</v>
      </c>
      <c r="AF70" s="322">
        <f>IFERROR(MROUND(tblPiNAnalysis5[[#This Row],[GBV]]/tblPiNAnalysis5[[#This Row],[Affected population projection 2026]], 0.05), "")</f>
        <v>0</v>
      </c>
      <c r="AG70" s="322">
        <f>IFERROR(MROUND(tblPiNAnalysis5[[#This Row],[Mine Action]]/tblPiNAnalysis5[[#This Row],[Affected population projection 2026]], 0.05), "")</f>
        <v>0</v>
      </c>
      <c r="AH70" s="322">
        <f>IFERROR(MROUND(tblPiNAnalysis5[[#This Row],[HLP]]/tblPiNAnalysis5[[#This Row],[Affected population projection 2026]], 0.05), "")</f>
        <v>0</v>
      </c>
      <c r="AI70" s="325">
        <f>IFERROR(LARGE(tblPiNAnalysis5[[#This Row],[CCCM]:[WASH]], 1), "")</f>
        <v>0</v>
      </c>
      <c r="AJ70" s="326" t="str" cm="1">
        <f t="array" ref="AJ70">IF(tblPiNAnalysis5[[#This Row],[Highest Target]]="", "", _xlfn.TEXTJOIN(CHAR(10), TRUE, IF(tblPiNAnalysis5[[#This Row],[Highest Target]]=tblPiNAnalysis5[[#This Row],[CCCM]:[WASH]], tblPiNAnalysis5[[#Headers],[CCCM]:[WASH]], "")))</f>
        <v>CCCM
Education
Nutrition
Food Security
Health
Overarching Protection
Shelter
WASH</v>
      </c>
      <c r="AK70" s="327">
        <f>IF(tblPiNAnalysis5[[#This Row],[Highest Target]]="", "", tblPiNAnalysis5[[#This Row],[Highest Target]]/tblPiNAnalysis5[[#This Row],[Affected population projection 2026]])</f>
        <v>0</v>
      </c>
      <c r="AL70" s="328" t="str">
        <f>IF(SUM(tblPiNAnalysis5[[#This Row],[CCCM]:[WASH]])=0, "",IF(COUNTIF(tblPiNAnalysis5[[#This Row],[CCCM]:[WASH]],"=0")+COUNTIF(tblPiNAnalysis5[[#This Row],[CCCM]:[WASH]],"")&gt;=zero_pin_thresh, "Flagged", ""))</f>
        <v/>
      </c>
      <c r="AM70" s="329" t="str">
        <f>IFERROR(IF(tblPiNAnalysis5[[#This Row],[Highest Target]]="", "", IF(tblPiNAnalysis5[[#This Row],[Highest sector(s'') Target %]]&gt;=flag_pin_perc, "Flagged", "")), "")</f>
        <v/>
      </c>
      <c r="AN70" s="330" t="str" cm="1">
        <f t="array" ref="AN70">IF(tblPiNAnalysis5[[#This Row],[Highest Target]]=0, "",  IF(OR(COUNTIF(tblPiNAnalysis5[[#This Row],[Highest sector(s)]],tblSubSectorPopulation[Sector])), "Flagged", ""))</f>
        <v/>
      </c>
      <c r="AO70" s="46" cm="1">
        <f t="array" ref="AO7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0" s="331" t="str" cm="1">
        <f t="array" ref="AP70">IF(tblPiNAnalysis5[[#This Row],[2nd Highest Target]]="", "", _xlfn.TEXTJOIN(CHAR(10), TRUE, IF(tblPiNAnalysis5[[#This Row],[2nd Highest Target]]=tblPiNAnalysis5[[#This Row],[CCCM]:[WASH]], tblPiNAnalysis5[[#Headers],[CCCM]:[WASH]], "")))</f>
        <v>CCCM
Education
Nutrition
Food Security
Health
Overarching Protection
Shelter
WASH</v>
      </c>
      <c r="AQ70" s="36">
        <f>IFERROR(tblPiNAnalysis5[[#This Row],[2nd Highest Target]]/tblPiNAnalysis5[[#This Row],[Affected population projection 2026]], "")</f>
        <v>0</v>
      </c>
      <c r="AR70" s="46">
        <f>IFERROR(tblPiNAnalysis5[[#This Row],[Highest Target]]-tblPiNAnalysis5[[#This Row],[2nd Highest Target]], "")</f>
        <v>0</v>
      </c>
      <c r="AS70" s="39" t="str">
        <f>IFERROR(((tblPiNAnalysis5[[#This Row],[Highest Target]]-tblPiNAnalysis5[[#This Row],[2nd Highest Target]])/tblPiNAnalysis5[[#This Row],[2nd Highest Target]]),"")</f>
        <v/>
      </c>
      <c r="AT70" s="39" t="str" cm="1">
        <f t="array" ref="AT7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0" s="332" cm="1">
        <f t="array" ref="AU7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0" s="190" t="str" cm="1">
        <f t="array" ref="AV70">IF(tblPiNAnalysis5[[#This Row],[3rd Highest Target]]="", "", _xlfn.TEXTJOIN(CHAR(10), TRUE, IF(tblPiNAnalysis5[[#This Row],[3rd Highest Target]]=tblPiNAnalysis5[[#This Row],[CCCM]:[WASH]], tblPiNAnalysis5[[#Headers],[CCCM]:[WASH]], "")))</f>
        <v>CCCM
Education
Nutrition
Food Security
Health
Overarching Protection
Shelter
WASH</v>
      </c>
      <c r="AW70" s="190">
        <f>IFERROR(tblPiNAnalysis5[[#This Row],[3rd Highest Target]]/tblPiNAnalysis5[[#This Row],[Affected population projection 2026]], "")</f>
        <v>0</v>
      </c>
      <c r="AX70" s="45">
        <f>IFERROR(tblPiNAnalysis5[[#This Row],[Highest Target]]-tblPiNAnalysis5[[#This Row],[3rd Highest Target]],"")</f>
        <v>0</v>
      </c>
      <c r="AY70" s="39" t="str">
        <f>IFERROR(tblPiNAnalysis5[[#This Row],[Difference of Target between Highest and 3rd Highest]]/tblPiNAnalysis5[[#This Row],[3rd Highest Target]], "")</f>
        <v/>
      </c>
      <c r="AZ70" s="330" t="str" cm="1">
        <f t="array" ref="AZ7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0" s="300" t="str" cm="1">
        <f t="array" ref="BA7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0" s="333" t="str" cm="1">
        <f t="array" ref="BB7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0" s="276" t="str" cm="1">
        <f t="array" ref="BC7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0" s="334" t="str" cm="1">
        <f t="array" ref="BD7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0" s="277" t="e">
        <f>INDEX(tblSeverityAnalysis[Final Severity], MATCH(tblPiNAnalysis5[[#This Row],[ID]],tblSeverityAnalysis[ID], 0))</f>
        <v>#N/A</v>
      </c>
      <c r="BF70" s="61" t="e">
        <f>IF(tblPiNAnalysis5[[#This Row],[Severity]]&gt;2,tblPiNAnalysis5[[#This Row],[Highest Target]],)</f>
        <v>#N/A</v>
      </c>
      <c r="BG70" s="191"/>
      <c r="BH70" s="192"/>
      <c r="BI70" s="193">
        <f>COUNTIFS(tblPiNAnalysis5[[#This Row],[Number of missing / zero PiNs greater than threshold - Data quality]:[Manual Flag]],"Flagged")</f>
        <v>2</v>
      </c>
      <c r="BJ70" s="96" t="str">
        <f>IF(tblPiNAnalysis5[[#This Row],['# Flags]]&gt;0, "Flagged", "")</f>
        <v>Flagged</v>
      </c>
      <c r="BK70" s="326" t="e">
        <f>tblPiNAnalysis5[[#This Row],[Preliminary Target]]</f>
        <v>#N/A</v>
      </c>
      <c r="BL70" s="331"/>
    </row>
    <row r="71" spans="1:64" x14ac:dyDescent="0.55000000000000004">
      <c r="A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1" s="316" t="s">
        <v>382</v>
      </c>
      <c r="C71" s="317" t="s">
        <v>383</v>
      </c>
      <c r="D71" s="317" t="s">
        <v>386</v>
      </c>
      <c r="E71" s="105" t="s">
        <v>387</v>
      </c>
      <c r="F71" s="100"/>
      <c r="G71" s="34"/>
      <c r="H71" s="34"/>
      <c r="I71" s="97">
        <v>7607.0241213008612</v>
      </c>
      <c r="J71" s="97" t="s">
        <v>412</v>
      </c>
      <c r="K71" s="261">
        <v>2283.5</v>
      </c>
      <c r="L71" s="319">
        <v>500.55454859579373</v>
      </c>
      <c r="M71" s="319">
        <v>1072.4000200532541</v>
      </c>
      <c r="N71" s="319">
        <v>1002.4645579168952</v>
      </c>
      <c r="O71" s="319">
        <v>1380.7805445851691</v>
      </c>
      <c r="P71" s="319">
        <v>1146.2423225806451</v>
      </c>
      <c r="Q71" s="229">
        <v>5964.2889999999998</v>
      </c>
      <c r="R71" s="319">
        <v>150.65351269037203</v>
      </c>
      <c r="S71" s="319"/>
      <c r="T71" s="319"/>
      <c r="U71" s="319"/>
      <c r="V71" s="319"/>
      <c r="W71" s="321">
        <f>IFERROR(IF(tblPiNAnalysis5[[#This Row],[CCCM]]="", "", MROUND(tblPiNAnalysis5[[#This Row],[CCCM]]/tblPiNAnalysis5[[#This Row],[Affected population projection 2026]], 0.05)), "")</f>
        <v>0.30000000000000004</v>
      </c>
      <c r="X71" s="322">
        <f>IFERROR(IF(tblPiNAnalysis5[[#This Row],[Education]]="", "", MROUND(tblPiNAnalysis5[[#This Row],[Education]]/tblPiNAnalysis5[[#This Row],[Affected population projection 2026]], 0.05)), "")</f>
        <v>0.05</v>
      </c>
      <c r="Y71" s="322">
        <f>IFERROR(IF(tblPiNAnalysis5[[#This Row],[Nutrition]]="", "", MROUND(tblPiNAnalysis5[[#This Row],[Nutrition]]/tblPiNAnalysis5[[#This Row],[Affected population projection 2026]], 0.05)), "")</f>
        <v>0.15000000000000002</v>
      </c>
      <c r="Z71" s="322">
        <f>IFERROR(IF(tblPiNAnalysis5[[#This Row],[Food Security]]="", "", MROUND(tblPiNAnalysis5[[#This Row],[Food Security]]/tblPiNAnalysis5[[#This Row],[Affected population projection 2026]], 0.05)), "")</f>
        <v>0.15000000000000002</v>
      </c>
      <c r="AA71" s="322">
        <f>IFERROR(IF(tblPiNAnalysis5[[#This Row],[Health]]="", "", MROUND(tblPiNAnalysis5[[#This Row],[Health]]/tblPiNAnalysis5[[#This Row],[Affected population projection 2026]], 0.05)), "")</f>
        <v>0.2</v>
      </c>
      <c r="AB71" s="323">
        <f>IFERROR(IF(tblPiNAnalysis5[[#This Row],[Overarching Protection]]="", "", MROUND(tblPiNAnalysis5[[#This Row],[Overarching Protection]]/tblPiNAnalysis5[[#This Row],[Affected population projection 2026]], 0.05)), "")</f>
        <v>0.15000000000000002</v>
      </c>
      <c r="AC71" s="323">
        <f>IFERROR(IF(tblPiNAnalysis5[[#This Row],[Shelter]]="", "", MROUND(tblPiNAnalysis5[[#This Row],[Shelter]]/tblPiNAnalysis5[[#This Row],[Affected population projection 2026]], 0.05)), "")</f>
        <v>0.8</v>
      </c>
      <c r="AD71" s="324">
        <f>IFERROR(IF(tblPiNAnalysis5[[#This Row],[WASH]]="", "", MROUND(tblPiNAnalysis5[[#This Row],[WASH]]/tblPiNAnalysis5[[#This Row],[Affected population projection 2026]], 0.05)), "")</f>
        <v>0</v>
      </c>
      <c r="AE71" s="322">
        <f>IFERROR(MROUND(tblPiNAnalysis5[[#This Row],[CP]]/tblPiNAnalysis5[[#This Row],[Affected population projection 2026]], 0.05), "")</f>
        <v>0</v>
      </c>
      <c r="AF71" s="322">
        <f>IFERROR(MROUND(tblPiNAnalysis5[[#This Row],[GBV]]/tblPiNAnalysis5[[#This Row],[Affected population projection 2026]], 0.05), "")</f>
        <v>0</v>
      </c>
      <c r="AG71" s="322">
        <f>IFERROR(MROUND(tblPiNAnalysis5[[#This Row],[Mine Action]]/tblPiNAnalysis5[[#This Row],[Affected population projection 2026]], 0.05), "")</f>
        <v>0</v>
      </c>
      <c r="AH71" s="322">
        <f>IFERROR(MROUND(tblPiNAnalysis5[[#This Row],[HLP]]/tblPiNAnalysis5[[#This Row],[Affected population projection 2026]], 0.05), "")</f>
        <v>0</v>
      </c>
      <c r="AI71" s="325">
        <f>IFERROR(LARGE(tblPiNAnalysis5[[#This Row],[CCCM]:[WASH]], 1), "")</f>
        <v>5964.2889999999998</v>
      </c>
      <c r="AJ71" s="326" t="str" cm="1">
        <f t="array" ref="AJ71">IF(tblPiNAnalysis5[[#This Row],[Highest Target]]="", "", _xlfn.TEXTJOIN(CHAR(10), TRUE, IF(tblPiNAnalysis5[[#This Row],[Highest Target]]=tblPiNAnalysis5[[#This Row],[CCCM]:[WASH]], tblPiNAnalysis5[[#Headers],[CCCM]:[WASH]], "")))</f>
        <v>Shelter</v>
      </c>
      <c r="AK71" s="327">
        <f>IF(tblPiNAnalysis5[[#This Row],[Highest Target]]="", "", tblPiNAnalysis5[[#This Row],[Highest Target]]/tblPiNAnalysis5[[#This Row],[Affected population projection 2026]])</f>
        <v>0.78405022843283156</v>
      </c>
      <c r="AL71" s="328" t="str">
        <f>IF(SUM(tblPiNAnalysis5[[#This Row],[CCCM]:[WASH]])=0, "",IF(COUNTIF(tblPiNAnalysis5[[#This Row],[CCCM]:[WASH]],"=0")+COUNTIF(tblPiNAnalysis5[[#This Row],[CCCM]:[WASH]],"")&gt;=zero_pin_thresh, "Flagged", ""))</f>
        <v/>
      </c>
      <c r="AM71" s="329" t="str">
        <f>IFERROR(IF(tblPiNAnalysis5[[#This Row],[Highest Target]]="", "", IF(tblPiNAnalysis5[[#This Row],[Highest sector(s'') Target %]]&gt;=flag_pin_perc, "Flagged", "")), "")</f>
        <v/>
      </c>
      <c r="AN71" s="330" t="str" cm="1">
        <f t="array" ref="AN71">IF(tblPiNAnalysis5[[#This Row],[Highest Target]]=0, "",  IF(OR(COUNTIF(tblPiNAnalysis5[[#This Row],[Highest sector(s)]],tblSubSectorPopulation[Sector])), "Flagged", ""))</f>
        <v/>
      </c>
      <c r="AO71" s="46" cm="1">
        <f t="array" ref="AO7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2283.5</v>
      </c>
      <c r="AP71" s="331" t="str" cm="1">
        <f t="array" ref="AP71">IF(tblPiNAnalysis5[[#This Row],[2nd Highest Target]]="", "", _xlfn.TEXTJOIN(CHAR(10), TRUE, IF(tblPiNAnalysis5[[#This Row],[2nd Highest Target]]=tblPiNAnalysis5[[#This Row],[CCCM]:[WASH]], tblPiNAnalysis5[[#Headers],[CCCM]:[WASH]], "")))</f>
        <v>CCCM</v>
      </c>
      <c r="AQ71" s="36">
        <f>IFERROR(tblPiNAnalysis5[[#This Row],[2nd Highest Target]]/tblPiNAnalysis5[[#This Row],[Affected population projection 2026]], "")</f>
        <v>0.30018308915385739</v>
      </c>
      <c r="AR71" s="46">
        <f>IFERROR(tblPiNAnalysis5[[#This Row],[Highest Target]]-tblPiNAnalysis5[[#This Row],[2nd Highest Target]], "")</f>
        <v>3680.7889999999998</v>
      </c>
      <c r="AS71" s="39">
        <f>IFERROR(((tblPiNAnalysis5[[#This Row],[Highest Target]]-tblPiNAnalysis5[[#This Row],[2nd Highest Target]])/tblPiNAnalysis5[[#This Row],[2nd Highest Target]]),"")</f>
        <v>1.6119067221370702</v>
      </c>
      <c r="AT71" s="39" t="str" cm="1">
        <f t="array" ref="AT7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71" s="332" cm="1">
        <f t="array" ref="AU7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1380.7805445851691</v>
      </c>
      <c r="AV71" s="190" t="str" cm="1">
        <f t="array" ref="AV71">IF(tblPiNAnalysis5[[#This Row],[3rd Highest Target]]="", "", _xlfn.TEXTJOIN(CHAR(10), TRUE, IF(tblPiNAnalysis5[[#This Row],[3rd Highest Target]]=tblPiNAnalysis5[[#This Row],[CCCM]:[WASH]], tblPiNAnalysis5[[#Headers],[CCCM]:[WASH]], "")))</f>
        <v>Health</v>
      </c>
      <c r="AW71" s="190">
        <f>IFERROR(tblPiNAnalysis5[[#This Row],[3rd Highest Target]]/tblPiNAnalysis5[[#This Row],[Affected population projection 2026]], "")</f>
        <v>0.18151389065781542</v>
      </c>
      <c r="AX71" s="45">
        <f>IFERROR(tblPiNAnalysis5[[#This Row],[Highest Target]]-tblPiNAnalysis5[[#This Row],[3rd Highest Target]],"")</f>
        <v>4583.5084554148307</v>
      </c>
      <c r="AY71" s="39">
        <f>IFERROR(tblPiNAnalysis5[[#This Row],[Difference of Target between Highest and 3rd Highest]]/tblPiNAnalysis5[[#This Row],[3rd Highest Target]], "")</f>
        <v>3.3195053865651505</v>
      </c>
      <c r="AZ71" s="330" t="str" cm="1">
        <f t="array" ref="AZ7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71" s="300" t="str" cm="1">
        <f t="array" ref="BA7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1" s="333" t="str" cm="1">
        <f t="array" ref="BB7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1" s="276" t="str" cm="1">
        <f t="array" ref="BC7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1" s="334" t="str" cm="1">
        <f t="array" ref="BD7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71" s="277" t="e">
        <f>INDEX(tblSeverityAnalysis[Final Severity], MATCH(tblPiNAnalysis5[[#This Row],[ID]],tblSeverityAnalysis[ID], 0))</f>
        <v>#N/A</v>
      </c>
      <c r="BF71" s="61" t="e">
        <f>IF(tblPiNAnalysis5[[#This Row],[Severity]]&gt;2,tblPiNAnalysis5[[#This Row],[Highest Target]],)</f>
        <v>#N/A</v>
      </c>
      <c r="BG71" s="191"/>
      <c r="BH71" s="192"/>
      <c r="BI71" s="193">
        <f>COUNTIFS(tblPiNAnalysis5[[#This Row],[Number of missing / zero PiNs greater than threshold - Data quality]:[Manual Flag]],"Flagged")</f>
        <v>3</v>
      </c>
      <c r="BJ71" s="96" t="str">
        <f>IF(tblPiNAnalysis5[[#This Row],['# Flags]]&gt;0, "Flagged", "")</f>
        <v>Flagged</v>
      </c>
      <c r="BK71" s="326" t="e">
        <f>tblPiNAnalysis5[[#This Row],[Preliminary Target]]</f>
        <v>#N/A</v>
      </c>
      <c r="BL71" s="331"/>
    </row>
    <row r="72" spans="1:64" ht="110.7" x14ac:dyDescent="0.55000000000000004">
      <c r="A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2" s="316" t="s">
        <v>382</v>
      </c>
      <c r="C72" s="317" t="s">
        <v>383</v>
      </c>
      <c r="D72" s="317" t="s">
        <v>388</v>
      </c>
      <c r="E72" s="105" t="s">
        <v>389</v>
      </c>
      <c r="F72" s="100"/>
      <c r="G72" s="34"/>
      <c r="H72" s="34"/>
      <c r="I72" s="97">
        <v>17868.652727011824</v>
      </c>
      <c r="J72" s="97" t="s">
        <v>412</v>
      </c>
      <c r="K72" s="261">
        <v>0</v>
      </c>
      <c r="L72" s="319">
        <v>0</v>
      </c>
      <c r="M72" s="319">
        <v>0</v>
      </c>
      <c r="N72" s="319">
        <v>0</v>
      </c>
      <c r="O72" s="319">
        <v>0</v>
      </c>
      <c r="P72" s="319">
        <v>0</v>
      </c>
      <c r="Q72" s="229">
        <v>0</v>
      </c>
      <c r="R72" s="319">
        <v>0</v>
      </c>
      <c r="S72" s="319"/>
      <c r="T72" s="319"/>
      <c r="U72" s="319"/>
      <c r="V72" s="319"/>
      <c r="W72" s="321">
        <f>IFERROR(IF(tblPiNAnalysis5[[#This Row],[CCCM]]="", "", MROUND(tblPiNAnalysis5[[#This Row],[CCCM]]/tblPiNAnalysis5[[#This Row],[Affected population projection 2026]], 0.05)), "")</f>
        <v>0</v>
      </c>
      <c r="X72" s="322">
        <f>IFERROR(IF(tblPiNAnalysis5[[#This Row],[Education]]="", "", MROUND(tblPiNAnalysis5[[#This Row],[Education]]/tblPiNAnalysis5[[#This Row],[Affected population projection 2026]], 0.05)), "")</f>
        <v>0</v>
      </c>
      <c r="Y72" s="322">
        <f>IFERROR(IF(tblPiNAnalysis5[[#This Row],[Nutrition]]="", "", MROUND(tblPiNAnalysis5[[#This Row],[Nutrition]]/tblPiNAnalysis5[[#This Row],[Affected population projection 2026]], 0.05)), "")</f>
        <v>0</v>
      </c>
      <c r="Z72" s="322">
        <f>IFERROR(IF(tblPiNAnalysis5[[#This Row],[Food Security]]="", "", MROUND(tblPiNAnalysis5[[#This Row],[Food Security]]/tblPiNAnalysis5[[#This Row],[Affected population projection 2026]], 0.05)), "")</f>
        <v>0</v>
      </c>
      <c r="AA72" s="322">
        <f>IFERROR(IF(tblPiNAnalysis5[[#This Row],[Health]]="", "", MROUND(tblPiNAnalysis5[[#This Row],[Health]]/tblPiNAnalysis5[[#This Row],[Affected population projection 2026]], 0.05)), "")</f>
        <v>0</v>
      </c>
      <c r="AB72" s="323">
        <f>IFERROR(IF(tblPiNAnalysis5[[#This Row],[Overarching Protection]]="", "", MROUND(tblPiNAnalysis5[[#This Row],[Overarching Protection]]/tblPiNAnalysis5[[#This Row],[Affected population projection 2026]], 0.05)), "")</f>
        <v>0</v>
      </c>
      <c r="AC72" s="323">
        <f>IFERROR(IF(tblPiNAnalysis5[[#This Row],[Shelter]]="", "", MROUND(tblPiNAnalysis5[[#This Row],[Shelter]]/tblPiNAnalysis5[[#This Row],[Affected population projection 2026]], 0.05)), "")</f>
        <v>0</v>
      </c>
      <c r="AD72" s="324">
        <f>IFERROR(IF(tblPiNAnalysis5[[#This Row],[WASH]]="", "", MROUND(tblPiNAnalysis5[[#This Row],[WASH]]/tblPiNAnalysis5[[#This Row],[Affected population projection 2026]], 0.05)), "")</f>
        <v>0</v>
      </c>
      <c r="AE72" s="322">
        <f>IFERROR(MROUND(tblPiNAnalysis5[[#This Row],[CP]]/tblPiNAnalysis5[[#This Row],[Affected population projection 2026]], 0.05), "")</f>
        <v>0</v>
      </c>
      <c r="AF72" s="322">
        <f>IFERROR(MROUND(tblPiNAnalysis5[[#This Row],[GBV]]/tblPiNAnalysis5[[#This Row],[Affected population projection 2026]], 0.05), "")</f>
        <v>0</v>
      </c>
      <c r="AG72" s="322">
        <f>IFERROR(MROUND(tblPiNAnalysis5[[#This Row],[Mine Action]]/tblPiNAnalysis5[[#This Row],[Affected population projection 2026]], 0.05), "")</f>
        <v>0</v>
      </c>
      <c r="AH72" s="322">
        <f>IFERROR(MROUND(tblPiNAnalysis5[[#This Row],[HLP]]/tblPiNAnalysis5[[#This Row],[Affected population projection 2026]], 0.05), "")</f>
        <v>0</v>
      </c>
      <c r="AI72" s="325">
        <f>IFERROR(LARGE(tblPiNAnalysis5[[#This Row],[CCCM]:[WASH]], 1), "")</f>
        <v>0</v>
      </c>
      <c r="AJ72" s="326" t="str" cm="1">
        <f t="array" ref="AJ72">IF(tblPiNAnalysis5[[#This Row],[Highest Target]]="", "", _xlfn.TEXTJOIN(CHAR(10), TRUE, IF(tblPiNAnalysis5[[#This Row],[Highest Target]]=tblPiNAnalysis5[[#This Row],[CCCM]:[WASH]], tblPiNAnalysis5[[#Headers],[CCCM]:[WASH]], "")))</f>
        <v>CCCM
Education
Nutrition
Food Security
Health
Overarching Protection
Shelter
WASH</v>
      </c>
      <c r="AK72" s="327">
        <f>IF(tblPiNAnalysis5[[#This Row],[Highest Target]]="", "", tblPiNAnalysis5[[#This Row],[Highest Target]]/tblPiNAnalysis5[[#This Row],[Affected population projection 2026]])</f>
        <v>0</v>
      </c>
      <c r="AL72" s="328" t="str">
        <f>IF(SUM(tblPiNAnalysis5[[#This Row],[CCCM]:[WASH]])=0, "",IF(COUNTIF(tblPiNAnalysis5[[#This Row],[CCCM]:[WASH]],"=0")+COUNTIF(tblPiNAnalysis5[[#This Row],[CCCM]:[WASH]],"")&gt;=zero_pin_thresh, "Flagged", ""))</f>
        <v/>
      </c>
      <c r="AM72" s="329" t="str">
        <f>IFERROR(IF(tblPiNAnalysis5[[#This Row],[Highest Target]]="", "", IF(tblPiNAnalysis5[[#This Row],[Highest sector(s'') Target %]]&gt;=flag_pin_perc, "Flagged", "")), "")</f>
        <v/>
      </c>
      <c r="AN72" s="330" t="str" cm="1">
        <f t="array" ref="AN72">IF(tblPiNAnalysis5[[#This Row],[Highest Target]]=0, "",  IF(OR(COUNTIF(tblPiNAnalysis5[[#This Row],[Highest sector(s)]],tblSubSectorPopulation[Sector])), "Flagged", ""))</f>
        <v/>
      </c>
      <c r="AO72" s="46" cm="1">
        <f t="array" ref="AO7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2" s="331" t="str" cm="1">
        <f t="array" ref="AP72">IF(tblPiNAnalysis5[[#This Row],[2nd Highest Target]]="", "", _xlfn.TEXTJOIN(CHAR(10), TRUE, IF(tblPiNAnalysis5[[#This Row],[2nd Highest Target]]=tblPiNAnalysis5[[#This Row],[CCCM]:[WASH]], tblPiNAnalysis5[[#Headers],[CCCM]:[WASH]], "")))</f>
        <v>CCCM
Education
Nutrition
Food Security
Health
Overarching Protection
Shelter
WASH</v>
      </c>
      <c r="AQ72" s="36">
        <f>IFERROR(tblPiNAnalysis5[[#This Row],[2nd Highest Target]]/tblPiNAnalysis5[[#This Row],[Affected population projection 2026]], "")</f>
        <v>0</v>
      </c>
      <c r="AR72" s="46">
        <f>IFERROR(tblPiNAnalysis5[[#This Row],[Highest Target]]-tblPiNAnalysis5[[#This Row],[2nd Highest Target]], "")</f>
        <v>0</v>
      </c>
      <c r="AS72" s="39" t="str">
        <f>IFERROR(((tblPiNAnalysis5[[#This Row],[Highest Target]]-tblPiNAnalysis5[[#This Row],[2nd Highest Target]])/tblPiNAnalysis5[[#This Row],[2nd Highest Target]]),"")</f>
        <v/>
      </c>
      <c r="AT72" s="39" t="str" cm="1">
        <f t="array" ref="AT7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2" s="332" cm="1">
        <f t="array" ref="AU7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2" s="190" t="str" cm="1">
        <f t="array" ref="AV72">IF(tblPiNAnalysis5[[#This Row],[3rd Highest Target]]="", "", _xlfn.TEXTJOIN(CHAR(10), TRUE, IF(tblPiNAnalysis5[[#This Row],[3rd Highest Target]]=tblPiNAnalysis5[[#This Row],[CCCM]:[WASH]], tblPiNAnalysis5[[#Headers],[CCCM]:[WASH]], "")))</f>
        <v>CCCM
Education
Nutrition
Food Security
Health
Overarching Protection
Shelter
WASH</v>
      </c>
      <c r="AW72" s="190">
        <f>IFERROR(tblPiNAnalysis5[[#This Row],[3rd Highest Target]]/tblPiNAnalysis5[[#This Row],[Affected population projection 2026]], "")</f>
        <v>0</v>
      </c>
      <c r="AX72" s="45">
        <f>IFERROR(tblPiNAnalysis5[[#This Row],[Highest Target]]-tblPiNAnalysis5[[#This Row],[3rd Highest Target]],"")</f>
        <v>0</v>
      </c>
      <c r="AY72" s="39" t="str">
        <f>IFERROR(tblPiNAnalysis5[[#This Row],[Difference of Target between Highest and 3rd Highest]]/tblPiNAnalysis5[[#This Row],[3rd Highest Target]], "")</f>
        <v/>
      </c>
      <c r="AZ72" s="330" t="str" cm="1">
        <f t="array" ref="AZ7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2" s="300" t="str" cm="1">
        <f t="array" ref="BA7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2" s="333" t="str" cm="1">
        <f t="array" ref="BB7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2" s="276" t="str" cm="1">
        <f t="array" ref="BC7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2" s="334" t="str" cm="1">
        <f t="array" ref="BD7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2" s="277" t="e">
        <f>INDEX(tblSeverityAnalysis[Final Severity], MATCH(tblPiNAnalysis5[[#This Row],[ID]],tblSeverityAnalysis[ID], 0))</f>
        <v>#N/A</v>
      </c>
      <c r="BF72" s="61" t="e">
        <f>IF(tblPiNAnalysis5[[#This Row],[Severity]]&gt;2,tblPiNAnalysis5[[#This Row],[Highest Target]],)</f>
        <v>#N/A</v>
      </c>
      <c r="BG72" s="191"/>
      <c r="BH72" s="192"/>
      <c r="BI72" s="193">
        <f>COUNTIFS(tblPiNAnalysis5[[#This Row],[Number of missing / zero PiNs greater than threshold - Data quality]:[Manual Flag]],"Flagged")</f>
        <v>2</v>
      </c>
      <c r="BJ72" s="96" t="str">
        <f>IF(tblPiNAnalysis5[[#This Row],['# Flags]]&gt;0, "Flagged", "")</f>
        <v>Flagged</v>
      </c>
      <c r="BK72" s="326" t="e">
        <f>tblPiNAnalysis5[[#This Row],[Preliminary Target]]</f>
        <v>#N/A</v>
      </c>
      <c r="BL72" s="331"/>
    </row>
    <row r="73" spans="1:64" x14ac:dyDescent="0.55000000000000004">
      <c r="A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3" s="316" t="s">
        <v>390</v>
      </c>
      <c r="C73" s="317" t="s">
        <v>391</v>
      </c>
      <c r="D73" s="317" t="s">
        <v>392</v>
      </c>
      <c r="E73" s="105" t="s">
        <v>393</v>
      </c>
      <c r="F73" s="100"/>
      <c r="G73" s="34"/>
      <c r="H73" s="34"/>
      <c r="I73" s="97">
        <v>41205.344743342968</v>
      </c>
      <c r="J73" s="97" t="s">
        <v>412</v>
      </c>
      <c r="K73" s="261">
        <v>11377.5</v>
      </c>
      <c r="L73" s="319">
        <v>2265.8870581045226</v>
      </c>
      <c r="M73" s="319">
        <v>7235.0903774809867</v>
      </c>
      <c r="N73" s="319">
        <v>2062.6150735348333</v>
      </c>
      <c r="O73" s="319">
        <v>5091.4320712425588</v>
      </c>
      <c r="P73" s="319">
        <v>5039.9215275961287</v>
      </c>
      <c r="Q73" s="229">
        <v>5964.2889999999998</v>
      </c>
      <c r="R73" s="319">
        <v>9043.6970630108026</v>
      </c>
      <c r="S73" s="319"/>
      <c r="T73" s="319"/>
      <c r="U73" s="319"/>
      <c r="V73" s="319"/>
      <c r="W73" s="321">
        <f>IFERROR(IF(tblPiNAnalysis5[[#This Row],[CCCM]]="", "", MROUND(tblPiNAnalysis5[[#This Row],[CCCM]]/tblPiNAnalysis5[[#This Row],[Affected population projection 2026]], 0.05)), "")</f>
        <v>0.30000000000000004</v>
      </c>
      <c r="X73" s="322">
        <f>IFERROR(IF(tblPiNAnalysis5[[#This Row],[Education]]="", "", MROUND(tblPiNAnalysis5[[#This Row],[Education]]/tblPiNAnalysis5[[#This Row],[Affected population projection 2026]], 0.05)), "")</f>
        <v>0.05</v>
      </c>
      <c r="Y73" s="322">
        <f>IFERROR(IF(tblPiNAnalysis5[[#This Row],[Nutrition]]="", "", MROUND(tblPiNAnalysis5[[#This Row],[Nutrition]]/tblPiNAnalysis5[[#This Row],[Affected population projection 2026]], 0.05)), "")</f>
        <v>0.2</v>
      </c>
      <c r="Z73" s="322">
        <f>IFERROR(IF(tblPiNAnalysis5[[#This Row],[Food Security]]="", "", MROUND(tblPiNAnalysis5[[#This Row],[Food Security]]/tblPiNAnalysis5[[#This Row],[Affected population projection 2026]], 0.05)), "")</f>
        <v>0.05</v>
      </c>
      <c r="AA73" s="322">
        <f>IFERROR(IF(tblPiNAnalysis5[[#This Row],[Health]]="", "", MROUND(tblPiNAnalysis5[[#This Row],[Health]]/tblPiNAnalysis5[[#This Row],[Affected population projection 2026]], 0.05)), "")</f>
        <v>0.1</v>
      </c>
      <c r="AB73" s="323">
        <f>IFERROR(IF(tblPiNAnalysis5[[#This Row],[Overarching Protection]]="", "", MROUND(tblPiNAnalysis5[[#This Row],[Overarching Protection]]/tblPiNAnalysis5[[#This Row],[Affected population projection 2026]], 0.05)), "")</f>
        <v>0.1</v>
      </c>
      <c r="AC73" s="323">
        <f>IFERROR(IF(tblPiNAnalysis5[[#This Row],[Shelter]]="", "", MROUND(tblPiNAnalysis5[[#This Row],[Shelter]]/tblPiNAnalysis5[[#This Row],[Affected population projection 2026]], 0.05)), "")</f>
        <v>0.15000000000000002</v>
      </c>
      <c r="AD73" s="324">
        <f>IFERROR(IF(tblPiNAnalysis5[[#This Row],[WASH]]="", "", MROUND(tblPiNAnalysis5[[#This Row],[WASH]]/tblPiNAnalysis5[[#This Row],[Affected population projection 2026]], 0.05)), "")</f>
        <v>0.2</v>
      </c>
      <c r="AE73" s="322">
        <f>IFERROR(MROUND(tblPiNAnalysis5[[#This Row],[CP]]/tblPiNAnalysis5[[#This Row],[Affected population projection 2026]], 0.05), "")</f>
        <v>0</v>
      </c>
      <c r="AF73" s="322">
        <f>IFERROR(MROUND(tblPiNAnalysis5[[#This Row],[GBV]]/tblPiNAnalysis5[[#This Row],[Affected population projection 2026]], 0.05), "")</f>
        <v>0</v>
      </c>
      <c r="AG73" s="322">
        <f>IFERROR(MROUND(tblPiNAnalysis5[[#This Row],[Mine Action]]/tblPiNAnalysis5[[#This Row],[Affected population projection 2026]], 0.05), "")</f>
        <v>0</v>
      </c>
      <c r="AH73" s="322">
        <f>IFERROR(MROUND(tblPiNAnalysis5[[#This Row],[HLP]]/tblPiNAnalysis5[[#This Row],[Affected population projection 2026]], 0.05), "")</f>
        <v>0</v>
      </c>
      <c r="AI73" s="325">
        <f>IFERROR(LARGE(tblPiNAnalysis5[[#This Row],[CCCM]:[WASH]], 1), "")</f>
        <v>11377.5</v>
      </c>
      <c r="AJ73" s="326" t="str" cm="1">
        <f t="array" ref="AJ73">IF(tblPiNAnalysis5[[#This Row],[Highest Target]]="", "", _xlfn.TEXTJOIN(CHAR(10), TRUE, IF(tblPiNAnalysis5[[#This Row],[Highest Target]]=tblPiNAnalysis5[[#This Row],[CCCM]:[WASH]], tblPiNAnalysis5[[#Headers],[CCCM]:[WASH]], "")))</f>
        <v>CCCM</v>
      </c>
      <c r="AK73" s="327">
        <f>IF(tblPiNAnalysis5[[#This Row],[Highest Target]]="", "", tblPiNAnalysis5[[#This Row],[Highest Target]]/tblPiNAnalysis5[[#This Row],[Affected population projection 2026]])</f>
        <v>0.27611709283995545</v>
      </c>
      <c r="AL73" s="328" t="str">
        <f>IF(SUM(tblPiNAnalysis5[[#This Row],[CCCM]:[WASH]])=0, "",IF(COUNTIF(tblPiNAnalysis5[[#This Row],[CCCM]:[WASH]],"=0")+COUNTIF(tblPiNAnalysis5[[#This Row],[CCCM]:[WASH]],"")&gt;=zero_pin_thresh, "Flagged", ""))</f>
        <v/>
      </c>
      <c r="AM73" s="329" t="str">
        <f>IFERROR(IF(tblPiNAnalysis5[[#This Row],[Highest Target]]="", "", IF(tblPiNAnalysis5[[#This Row],[Highest sector(s'') Target %]]&gt;=flag_pin_perc, "Flagged", "")), "")</f>
        <v/>
      </c>
      <c r="AN73" s="330" t="str" cm="1">
        <f t="array" ref="AN73">IF(tblPiNAnalysis5[[#This Row],[Highest Target]]=0, "",  IF(OR(COUNTIF(tblPiNAnalysis5[[#This Row],[Highest sector(s)]],tblSubSectorPopulation[Sector])), "Flagged", ""))</f>
        <v/>
      </c>
      <c r="AO73" s="46" cm="1">
        <f t="array" ref="AO7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9043.6970630108026</v>
      </c>
      <c r="AP73" s="331" t="str" cm="1">
        <f t="array" ref="AP73">IF(tblPiNAnalysis5[[#This Row],[2nd Highest Target]]="", "", _xlfn.TEXTJOIN(CHAR(10), TRUE, IF(tblPiNAnalysis5[[#This Row],[2nd Highest Target]]=tblPiNAnalysis5[[#This Row],[CCCM]:[WASH]], tblPiNAnalysis5[[#Headers],[CCCM]:[WASH]], "")))</f>
        <v>WASH</v>
      </c>
      <c r="AQ73" s="36">
        <f>IFERROR(tblPiNAnalysis5[[#This Row],[2nd Highest Target]]/tblPiNAnalysis5[[#This Row],[Affected population projection 2026]], "")</f>
        <v>0.21947873799725653</v>
      </c>
      <c r="AR73" s="46">
        <f>IFERROR(tblPiNAnalysis5[[#This Row],[Highest Target]]-tblPiNAnalysis5[[#This Row],[2nd Highest Target]], "")</f>
        <v>2333.8029369891974</v>
      </c>
      <c r="AS73" s="39">
        <f>IFERROR(((tblPiNAnalysis5[[#This Row],[Highest Target]]-tblPiNAnalysis5[[#This Row],[2nd Highest Target]])/tblPiNAnalysis5[[#This Row],[2nd Highest Target]]),"")</f>
        <v>0.25805850425204691</v>
      </c>
      <c r="AT73" s="39" t="str" cm="1">
        <f t="array" ref="AT7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3" s="332" cm="1">
        <f t="array" ref="AU7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7235.0903774809867</v>
      </c>
      <c r="AV73" s="190" t="str" cm="1">
        <f t="array" ref="AV73">IF(tblPiNAnalysis5[[#This Row],[3rd Highest Target]]="", "", _xlfn.TEXTJOIN(CHAR(10), TRUE, IF(tblPiNAnalysis5[[#This Row],[3rd Highest Target]]=tblPiNAnalysis5[[#This Row],[CCCM]:[WASH]], tblPiNAnalysis5[[#Headers],[CCCM]:[WASH]], "")))</f>
        <v>Nutrition</v>
      </c>
      <c r="AW73" s="190">
        <f>IFERROR(tblPiNAnalysis5[[#This Row],[3rd Highest Target]]/tblPiNAnalysis5[[#This Row],[Affected population projection 2026]], "")</f>
        <v>0.17558621151082274</v>
      </c>
      <c r="AX73" s="45">
        <f>IFERROR(tblPiNAnalysis5[[#This Row],[Highest Target]]-tblPiNAnalysis5[[#This Row],[3rd Highest Target]],"")</f>
        <v>4142.4096225190133</v>
      </c>
      <c r="AY73" s="39">
        <f>IFERROR(tblPiNAnalysis5[[#This Row],[Difference of Target between Highest and 3rd Highest]]/tblPiNAnalysis5[[#This Row],[3rd Highest Target]], "")</f>
        <v>0.57254428160457338</v>
      </c>
      <c r="AZ73" s="330" t="str" cm="1">
        <f t="array" ref="AZ7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73" s="300" t="str" cm="1">
        <f t="array" ref="BA7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3" s="333" t="str" cm="1">
        <f t="array" ref="BB7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73" s="276" t="str" cm="1">
        <f t="array" ref="BC7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3" s="334" t="str" cm="1">
        <f t="array" ref="BD7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73" s="277" t="e">
        <f>INDEX(tblSeverityAnalysis[Final Severity], MATCH(tblPiNAnalysis5[[#This Row],[ID]],tblSeverityAnalysis[ID], 0))</f>
        <v>#N/A</v>
      </c>
      <c r="BF73" s="61" t="e">
        <f>IF(tblPiNAnalysis5[[#This Row],[Severity]]&gt;2,tblPiNAnalysis5[[#This Row],[Highest Target]],)</f>
        <v>#N/A</v>
      </c>
      <c r="BG73" s="191"/>
      <c r="BH73" s="192"/>
      <c r="BI73" s="193">
        <f>COUNTIFS(tblPiNAnalysis5[[#This Row],[Number of missing / zero PiNs greater than threshold - Data quality]:[Manual Flag]],"Flagged")</f>
        <v>1</v>
      </c>
      <c r="BJ73" s="96" t="str">
        <f>IF(tblPiNAnalysis5[[#This Row],['# Flags]]&gt;0, "Flagged", "")</f>
        <v>Flagged</v>
      </c>
      <c r="BK73" s="326" t="e">
        <f>tblPiNAnalysis5[[#This Row],[Preliminary Target]]</f>
        <v>#N/A</v>
      </c>
      <c r="BL73" s="331"/>
    </row>
    <row r="74" spans="1:64" ht="110.7" x14ac:dyDescent="0.55000000000000004">
      <c r="A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4" s="316" t="s">
        <v>390</v>
      </c>
      <c r="C74" s="317" t="s">
        <v>391</v>
      </c>
      <c r="D74" s="317" t="s">
        <v>394</v>
      </c>
      <c r="E74" s="105" t="s">
        <v>395</v>
      </c>
      <c r="F74" s="100"/>
      <c r="G74" s="34"/>
      <c r="H74" s="34"/>
      <c r="I74" s="97">
        <v>7434.8763775539119</v>
      </c>
      <c r="J74" s="97" t="s">
        <v>412</v>
      </c>
      <c r="K74" s="261">
        <v>0</v>
      </c>
      <c r="L74" s="319">
        <v>0</v>
      </c>
      <c r="M74" s="319">
        <v>0</v>
      </c>
      <c r="N74" s="319">
        <v>0</v>
      </c>
      <c r="O74" s="319">
        <v>0</v>
      </c>
      <c r="P74" s="319">
        <v>0</v>
      </c>
      <c r="Q74" s="229">
        <v>0</v>
      </c>
      <c r="R74" s="319">
        <v>0</v>
      </c>
      <c r="S74" s="319"/>
      <c r="T74" s="319"/>
      <c r="U74" s="319"/>
      <c r="V74" s="319"/>
      <c r="W74" s="321">
        <f>IFERROR(IF(tblPiNAnalysis5[[#This Row],[CCCM]]="", "", MROUND(tblPiNAnalysis5[[#This Row],[CCCM]]/tblPiNAnalysis5[[#This Row],[Affected population projection 2026]], 0.05)), "")</f>
        <v>0</v>
      </c>
      <c r="X74" s="322">
        <f>IFERROR(IF(tblPiNAnalysis5[[#This Row],[Education]]="", "", MROUND(tblPiNAnalysis5[[#This Row],[Education]]/tblPiNAnalysis5[[#This Row],[Affected population projection 2026]], 0.05)), "")</f>
        <v>0</v>
      </c>
      <c r="Y74" s="322">
        <f>IFERROR(IF(tblPiNAnalysis5[[#This Row],[Nutrition]]="", "", MROUND(tblPiNAnalysis5[[#This Row],[Nutrition]]/tblPiNAnalysis5[[#This Row],[Affected population projection 2026]], 0.05)), "")</f>
        <v>0</v>
      </c>
      <c r="Z74" s="322">
        <f>IFERROR(IF(tblPiNAnalysis5[[#This Row],[Food Security]]="", "", MROUND(tblPiNAnalysis5[[#This Row],[Food Security]]/tblPiNAnalysis5[[#This Row],[Affected population projection 2026]], 0.05)), "")</f>
        <v>0</v>
      </c>
      <c r="AA74" s="322">
        <f>IFERROR(IF(tblPiNAnalysis5[[#This Row],[Health]]="", "", MROUND(tblPiNAnalysis5[[#This Row],[Health]]/tblPiNAnalysis5[[#This Row],[Affected population projection 2026]], 0.05)), "")</f>
        <v>0</v>
      </c>
      <c r="AB74" s="323">
        <f>IFERROR(IF(tblPiNAnalysis5[[#This Row],[Overarching Protection]]="", "", MROUND(tblPiNAnalysis5[[#This Row],[Overarching Protection]]/tblPiNAnalysis5[[#This Row],[Affected population projection 2026]], 0.05)), "")</f>
        <v>0</v>
      </c>
      <c r="AC74" s="323">
        <f>IFERROR(IF(tblPiNAnalysis5[[#This Row],[Shelter]]="", "", MROUND(tblPiNAnalysis5[[#This Row],[Shelter]]/tblPiNAnalysis5[[#This Row],[Affected population projection 2026]], 0.05)), "")</f>
        <v>0</v>
      </c>
      <c r="AD74" s="324">
        <f>IFERROR(IF(tblPiNAnalysis5[[#This Row],[WASH]]="", "", MROUND(tblPiNAnalysis5[[#This Row],[WASH]]/tblPiNAnalysis5[[#This Row],[Affected population projection 2026]], 0.05)), "")</f>
        <v>0</v>
      </c>
      <c r="AE74" s="322">
        <f>IFERROR(MROUND(tblPiNAnalysis5[[#This Row],[CP]]/tblPiNAnalysis5[[#This Row],[Affected population projection 2026]], 0.05), "")</f>
        <v>0</v>
      </c>
      <c r="AF74" s="322">
        <f>IFERROR(MROUND(tblPiNAnalysis5[[#This Row],[GBV]]/tblPiNAnalysis5[[#This Row],[Affected population projection 2026]], 0.05), "")</f>
        <v>0</v>
      </c>
      <c r="AG74" s="322">
        <f>IFERROR(MROUND(tblPiNAnalysis5[[#This Row],[Mine Action]]/tblPiNAnalysis5[[#This Row],[Affected population projection 2026]], 0.05), "")</f>
        <v>0</v>
      </c>
      <c r="AH74" s="322">
        <f>IFERROR(MROUND(tblPiNAnalysis5[[#This Row],[HLP]]/tblPiNAnalysis5[[#This Row],[Affected population projection 2026]], 0.05), "")</f>
        <v>0</v>
      </c>
      <c r="AI74" s="325">
        <f>IFERROR(LARGE(tblPiNAnalysis5[[#This Row],[CCCM]:[WASH]], 1), "")</f>
        <v>0</v>
      </c>
      <c r="AJ74" s="326" t="str" cm="1">
        <f t="array" ref="AJ74">IF(tblPiNAnalysis5[[#This Row],[Highest Target]]="", "", _xlfn.TEXTJOIN(CHAR(10), TRUE, IF(tblPiNAnalysis5[[#This Row],[Highest Target]]=tblPiNAnalysis5[[#This Row],[CCCM]:[WASH]], tblPiNAnalysis5[[#Headers],[CCCM]:[WASH]], "")))</f>
        <v>CCCM
Education
Nutrition
Food Security
Health
Overarching Protection
Shelter
WASH</v>
      </c>
      <c r="AK74" s="327">
        <f>IF(tblPiNAnalysis5[[#This Row],[Highest Target]]="", "", tblPiNAnalysis5[[#This Row],[Highest Target]]/tblPiNAnalysis5[[#This Row],[Affected population projection 2026]])</f>
        <v>0</v>
      </c>
      <c r="AL74" s="328" t="str">
        <f>IF(SUM(tblPiNAnalysis5[[#This Row],[CCCM]:[WASH]])=0, "",IF(COUNTIF(tblPiNAnalysis5[[#This Row],[CCCM]:[WASH]],"=0")+COUNTIF(tblPiNAnalysis5[[#This Row],[CCCM]:[WASH]],"")&gt;=zero_pin_thresh, "Flagged", ""))</f>
        <v/>
      </c>
      <c r="AM74" s="329" t="str">
        <f>IFERROR(IF(tblPiNAnalysis5[[#This Row],[Highest Target]]="", "", IF(tblPiNAnalysis5[[#This Row],[Highest sector(s'') Target %]]&gt;=flag_pin_perc, "Flagged", "")), "")</f>
        <v/>
      </c>
      <c r="AN74" s="330" t="str" cm="1">
        <f t="array" ref="AN74">IF(tblPiNAnalysis5[[#This Row],[Highest Target]]=0, "",  IF(OR(COUNTIF(tblPiNAnalysis5[[#This Row],[Highest sector(s)]],tblSubSectorPopulation[Sector])), "Flagged", ""))</f>
        <v/>
      </c>
      <c r="AO74" s="46" cm="1">
        <f t="array" ref="AO7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4" s="331" t="str" cm="1">
        <f t="array" ref="AP74">IF(tblPiNAnalysis5[[#This Row],[2nd Highest Target]]="", "", _xlfn.TEXTJOIN(CHAR(10), TRUE, IF(tblPiNAnalysis5[[#This Row],[2nd Highest Target]]=tblPiNAnalysis5[[#This Row],[CCCM]:[WASH]], tblPiNAnalysis5[[#Headers],[CCCM]:[WASH]], "")))</f>
        <v>CCCM
Education
Nutrition
Food Security
Health
Overarching Protection
Shelter
WASH</v>
      </c>
      <c r="AQ74" s="36">
        <f>IFERROR(tblPiNAnalysis5[[#This Row],[2nd Highest Target]]/tblPiNAnalysis5[[#This Row],[Affected population projection 2026]], "")</f>
        <v>0</v>
      </c>
      <c r="AR74" s="46">
        <f>IFERROR(tblPiNAnalysis5[[#This Row],[Highest Target]]-tblPiNAnalysis5[[#This Row],[2nd Highest Target]], "")</f>
        <v>0</v>
      </c>
      <c r="AS74" s="39" t="str">
        <f>IFERROR(((tblPiNAnalysis5[[#This Row],[Highest Target]]-tblPiNAnalysis5[[#This Row],[2nd Highest Target]])/tblPiNAnalysis5[[#This Row],[2nd Highest Target]]),"")</f>
        <v/>
      </c>
      <c r="AT74" s="39" t="str" cm="1">
        <f t="array" ref="AT7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4" s="332" cm="1">
        <f t="array" ref="AU7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4" s="190" t="str" cm="1">
        <f t="array" ref="AV74">IF(tblPiNAnalysis5[[#This Row],[3rd Highest Target]]="", "", _xlfn.TEXTJOIN(CHAR(10), TRUE, IF(tblPiNAnalysis5[[#This Row],[3rd Highest Target]]=tblPiNAnalysis5[[#This Row],[CCCM]:[WASH]], tblPiNAnalysis5[[#Headers],[CCCM]:[WASH]], "")))</f>
        <v>CCCM
Education
Nutrition
Food Security
Health
Overarching Protection
Shelter
WASH</v>
      </c>
      <c r="AW74" s="190">
        <f>IFERROR(tblPiNAnalysis5[[#This Row],[3rd Highest Target]]/tblPiNAnalysis5[[#This Row],[Affected population projection 2026]], "")</f>
        <v>0</v>
      </c>
      <c r="AX74" s="45">
        <f>IFERROR(tblPiNAnalysis5[[#This Row],[Highest Target]]-tblPiNAnalysis5[[#This Row],[3rd Highest Target]],"")</f>
        <v>0</v>
      </c>
      <c r="AY74" s="39" t="str">
        <f>IFERROR(tblPiNAnalysis5[[#This Row],[Difference of Target between Highest and 3rd Highest]]/tblPiNAnalysis5[[#This Row],[3rd Highest Target]], "")</f>
        <v/>
      </c>
      <c r="AZ74" s="330" t="str" cm="1">
        <f t="array" ref="AZ7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4" s="300" t="str" cm="1">
        <f t="array" ref="BA7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4" s="333" t="str" cm="1">
        <f t="array" ref="BB7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4" s="276" t="str" cm="1">
        <f t="array" ref="BC7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4" s="334" t="str" cm="1">
        <f t="array" ref="BD7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4" s="277" t="e">
        <f>INDEX(tblSeverityAnalysis[Final Severity], MATCH(tblPiNAnalysis5[[#This Row],[ID]],tblSeverityAnalysis[ID], 0))</f>
        <v>#N/A</v>
      </c>
      <c r="BF74" s="61" t="e">
        <f>IF(tblPiNAnalysis5[[#This Row],[Severity]]&gt;2,tblPiNAnalysis5[[#This Row],[Highest Target]],)</f>
        <v>#N/A</v>
      </c>
      <c r="BG74" s="191"/>
      <c r="BH74" s="192"/>
      <c r="BI74" s="193">
        <f>COUNTIFS(tblPiNAnalysis5[[#This Row],[Number of missing / zero PiNs greater than threshold - Data quality]:[Manual Flag]],"Flagged")</f>
        <v>2</v>
      </c>
      <c r="BJ74" s="96" t="str">
        <f>IF(tblPiNAnalysis5[[#This Row],['# Flags]]&gt;0, "Flagged", "")</f>
        <v>Flagged</v>
      </c>
      <c r="BK74" s="326" t="e">
        <f>tblPiNAnalysis5[[#This Row],[Preliminary Target]]</f>
        <v>#N/A</v>
      </c>
      <c r="BL74" s="331"/>
    </row>
    <row r="75" spans="1:64" ht="110.7" x14ac:dyDescent="0.55000000000000004">
      <c r="A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5" s="316" t="s">
        <v>390</v>
      </c>
      <c r="C75" s="317" t="s">
        <v>391</v>
      </c>
      <c r="D75" s="317" t="s">
        <v>396</v>
      </c>
      <c r="E75" s="105" t="s">
        <v>397</v>
      </c>
      <c r="F75" s="100"/>
      <c r="G75" s="34"/>
      <c r="H75" s="34"/>
      <c r="I75" s="97">
        <v>11522.074781291758</v>
      </c>
      <c r="J75" s="97" t="s">
        <v>412</v>
      </c>
      <c r="K75" s="261">
        <v>0</v>
      </c>
      <c r="L75" s="319">
        <v>0</v>
      </c>
      <c r="M75" s="319">
        <v>0</v>
      </c>
      <c r="N75" s="319">
        <v>0</v>
      </c>
      <c r="O75" s="319">
        <v>0</v>
      </c>
      <c r="P75" s="319">
        <v>0</v>
      </c>
      <c r="Q75" s="229">
        <v>0</v>
      </c>
      <c r="R75" s="319">
        <v>0</v>
      </c>
      <c r="S75" s="319"/>
      <c r="T75" s="319"/>
      <c r="U75" s="319"/>
      <c r="V75" s="319"/>
      <c r="W75" s="321">
        <f>IFERROR(IF(tblPiNAnalysis5[[#This Row],[CCCM]]="", "", MROUND(tblPiNAnalysis5[[#This Row],[CCCM]]/tblPiNAnalysis5[[#This Row],[Affected population projection 2026]], 0.05)), "")</f>
        <v>0</v>
      </c>
      <c r="X75" s="322">
        <f>IFERROR(IF(tblPiNAnalysis5[[#This Row],[Education]]="", "", MROUND(tblPiNAnalysis5[[#This Row],[Education]]/tblPiNAnalysis5[[#This Row],[Affected population projection 2026]], 0.05)), "")</f>
        <v>0</v>
      </c>
      <c r="Y75" s="322">
        <f>IFERROR(IF(tblPiNAnalysis5[[#This Row],[Nutrition]]="", "", MROUND(tblPiNAnalysis5[[#This Row],[Nutrition]]/tblPiNAnalysis5[[#This Row],[Affected population projection 2026]], 0.05)), "")</f>
        <v>0</v>
      </c>
      <c r="Z75" s="322">
        <f>IFERROR(IF(tblPiNAnalysis5[[#This Row],[Food Security]]="", "", MROUND(tblPiNAnalysis5[[#This Row],[Food Security]]/tblPiNAnalysis5[[#This Row],[Affected population projection 2026]], 0.05)), "")</f>
        <v>0</v>
      </c>
      <c r="AA75" s="322">
        <f>IFERROR(IF(tblPiNAnalysis5[[#This Row],[Health]]="", "", MROUND(tblPiNAnalysis5[[#This Row],[Health]]/tblPiNAnalysis5[[#This Row],[Affected population projection 2026]], 0.05)), "")</f>
        <v>0</v>
      </c>
      <c r="AB75" s="323">
        <f>IFERROR(IF(tblPiNAnalysis5[[#This Row],[Overarching Protection]]="", "", MROUND(tblPiNAnalysis5[[#This Row],[Overarching Protection]]/tblPiNAnalysis5[[#This Row],[Affected population projection 2026]], 0.05)), "")</f>
        <v>0</v>
      </c>
      <c r="AC75" s="323">
        <f>IFERROR(IF(tblPiNAnalysis5[[#This Row],[Shelter]]="", "", MROUND(tblPiNAnalysis5[[#This Row],[Shelter]]/tblPiNAnalysis5[[#This Row],[Affected population projection 2026]], 0.05)), "")</f>
        <v>0</v>
      </c>
      <c r="AD75" s="324">
        <f>IFERROR(IF(tblPiNAnalysis5[[#This Row],[WASH]]="", "", MROUND(tblPiNAnalysis5[[#This Row],[WASH]]/tblPiNAnalysis5[[#This Row],[Affected population projection 2026]], 0.05)), "")</f>
        <v>0</v>
      </c>
      <c r="AE75" s="322">
        <f>IFERROR(MROUND(tblPiNAnalysis5[[#This Row],[CP]]/tblPiNAnalysis5[[#This Row],[Affected population projection 2026]], 0.05), "")</f>
        <v>0</v>
      </c>
      <c r="AF75" s="322">
        <f>IFERROR(MROUND(tblPiNAnalysis5[[#This Row],[GBV]]/tblPiNAnalysis5[[#This Row],[Affected population projection 2026]], 0.05), "")</f>
        <v>0</v>
      </c>
      <c r="AG75" s="322">
        <f>IFERROR(MROUND(tblPiNAnalysis5[[#This Row],[Mine Action]]/tblPiNAnalysis5[[#This Row],[Affected population projection 2026]], 0.05), "")</f>
        <v>0</v>
      </c>
      <c r="AH75" s="322">
        <f>IFERROR(MROUND(tblPiNAnalysis5[[#This Row],[HLP]]/tblPiNAnalysis5[[#This Row],[Affected population projection 2026]], 0.05), "")</f>
        <v>0</v>
      </c>
      <c r="AI75" s="325">
        <f>IFERROR(LARGE(tblPiNAnalysis5[[#This Row],[CCCM]:[WASH]], 1), "")</f>
        <v>0</v>
      </c>
      <c r="AJ75" s="326" t="str" cm="1">
        <f t="array" ref="AJ75">IF(tblPiNAnalysis5[[#This Row],[Highest Target]]="", "", _xlfn.TEXTJOIN(CHAR(10), TRUE, IF(tblPiNAnalysis5[[#This Row],[Highest Target]]=tblPiNAnalysis5[[#This Row],[CCCM]:[WASH]], tblPiNAnalysis5[[#Headers],[CCCM]:[WASH]], "")))</f>
        <v>CCCM
Education
Nutrition
Food Security
Health
Overarching Protection
Shelter
WASH</v>
      </c>
      <c r="AK75" s="327">
        <f>IF(tblPiNAnalysis5[[#This Row],[Highest Target]]="", "", tblPiNAnalysis5[[#This Row],[Highest Target]]/tblPiNAnalysis5[[#This Row],[Affected population projection 2026]])</f>
        <v>0</v>
      </c>
      <c r="AL75" s="328" t="str">
        <f>IF(SUM(tblPiNAnalysis5[[#This Row],[CCCM]:[WASH]])=0, "",IF(COUNTIF(tblPiNAnalysis5[[#This Row],[CCCM]:[WASH]],"=0")+COUNTIF(tblPiNAnalysis5[[#This Row],[CCCM]:[WASH]],"")&gt;=zero_pin_thresh, "Flagged", ""))</f>
        <v/>
      </c>
      <c r="AM75" s="329" t="str">
        <f>IFERROR(IF(tblPiNAnalysis5[[#This Row],[Highest Target]]="", "", IF(tblPiNAnalysis5[[#This Row],[Highest sector(s'') Target %]]&gt;=flag_pin_perc, "Flagged", "")), "")</f>
        <v/>
      </c>
      <c r="AN75" s="330" t="str" cm="1">
        <f t="array" ref="AN75">IF(tblPiNAnalysis5[[#This Row],[Highest Target]]=0, "",  IF(OR(COUNTIF(tblPiNAnalysis5[[#This Row],[Highest sector(s)]],tblSubSectorPopulation[Sector])), "Flagged", ""))</f>
        <v/>
      </c>
      <c r="AO75" s="46" cm="1">
        <f t="array" ref="AO7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5" s="331" t="str" cm="1">
        <f t="array" ref="AP75">IF(tblPiNAnalysis5[[#This Row],[2nd Highest Target]]="", "", _xlfn.TEXTJOIN(CHAR(10), TRUE, IF(tblPiNAnalysis5[[#This Row],[2nd Highest Target]]=tblPiNAnalysis5[[#This Row],[CCCM]:[WASH]], tblPiNAnalysis5[[#Headers],[CCCM]:[WASH]], "")))</f>
        <v>CCCM
Education
Nutrition
Food Security
Health
Overarching Protection
Shelter
WASH</v>
      </c>
      <c r="AQ75" s="36">
        <f>IFERROR(tblPiNAnalysis5[[#This Row],[2nd Highest Target]]/tblPiNAnalysis5[[#This Row],[Affected population projection 2026]], "")</f>
        <v>0</v>
      </c>
      <c r="AR75" s="46">
        <f>IFERROR(tblPiNAnalysis5[[#This Row],[Highest Target]]-tblPiNAnalysis5[[#This Row],[2nd Highest Target]], "")</f>
        <v>0</v>
      </c>
      <c r="AS75" s="39" t="str">
        <f>IFERROR(((tblPiNAnalysis5[[#This Row],[Highest Target]]-tblPiNAnalysis5[[#This Row],[2nd Highest Target]])/tblPiNAnalysis5[[#This Row],[2nd Highest Target]]),"")</f>
        <v/>
      </c>
      <c r="AT75" s="39" t="str" cm="1">
        <f t="array" ref="AT7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5" s="332" cm="1">
        <f t="array" ref="AU7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5" s="190" t="str" cm="1">
        <f t="array" ref="AV75">IF(tblPiNAnalysis5[[#This Row],[3rd Highest Target]]="", "", _xlfn.TEXTJOIN(CHAR(10), TRUE, IF(tblPiNAnalysis5[[#This Row],[3rd Highest Target]]=tblPiNAnalysis5[[#This Row],[CCCM]:[WASH]], tblPiNAnalysis5[[#Headers],[CCCM]:[WASH]], "")))</f>
        <v>CCCM
Education
Nutrition
Food Security
Health
Overarching Protection
Shelter
WASH</v>
      </c>
      <c r="AW75" s="190">
        <f>IFERROR(tblPiNAnalysis5[[#This Row],[3rd Highest Target]]/tblPiNAnalysis5[[#This Row],[Affected population projection 2026]], "")</f>
        <v>0</v>
      </c>
      <c r="AX75" s="45">
        <f>IFERROR(tblPiNAnalysis5[[#This Row],[Highest Target]]-tblPiNAnalysis5[[#This Row],[3rd Highest Target]],"")</f>
        <v>0</v>
      </c>
      <c r="AY75" s="39" t="str">
        <f>IFERROR(tblPiNAnalysis5[[#This Row],[Difference of Target between Highest and 3rd Highest]]/tblPiNAnalysis5[[#This Row],[3rd Highest Target]], "")</f>
        <v/>
      </c>
      <c r="AZ75" s="330" t="str" cm="1">
        <f t="array" ref="AZ7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5" s="300" t="str" cm="1">
        <f t="array" ref="BA7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5" s="333" t="str" cm="1">
        <f t="array" ref="BB7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5" s="276" t="str" cm="1">
        <f t="array" ref="BC7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5" s="334" t="str" cm="1">
        <f t="array" ref="BD7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5" s="277" t="e">
        <f>INDEX(tblSeverityAnalysis[Final Severity], MATCH(tblPiNAnalysis5[[#This Row],[ID]],tblSeverityAnalysis[ID], 0))</f>
        <v>#N/A</v>
      </c>
      <c r="BF75" s="61" t="e">
        <f>IF(tblPiNAnalysis5[[#This Row],[Severity]]&gt;2,tblPiNAnalysis5[[#This Row],[Highest Target]],)</f>
        <v>#N/A</v>
      </c>
      <c r="BG75" s="191"/>
      <c r="BH75" s="192"/>
      <c r="BI75" s="193">
        <f>COUNTIFS(tblPiNAnalysis5[[#This Row],[Number of missing / zero PiNs greater than threshold - Data quality]:[Manual Flag]],"Flagged")</f>
        <v>2</v>
      </c>
      <c r="BJ75" s="96" t="str">
        <f>IF(tblPiNAnalysis5[[#This Row],['# Flags]]&gt;0, "Flagged", "")</f>
        <v>Flagged</v>
      </c>
      <c r="BK75" s="326" t="e">
        <f>tblPiNAnalysis5[[#This Row],[Preliminary Target]]</f>
        <v>#N/A</v>
      </c>
      <c r="BL75" s="331"/>
    </row>
    <row r="76" spans="1:64" ht="110.7" x14ac:dyDescent="0.55000000000000004">
      <c r="A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6" s="316" t="s">
        <v>390</v>
      </c>
      <c r="C76" s="317" t="s">
        <v>391</v>
      </c>
      <c r="D76" s="317" t="s">
        <v>398</v>
      </c>
      <c r="E76" s="105" t="s">
        <v>399</v>
      </c>
      <c r="F76" s="100"/>
      <c r="G76" s="34"/>
      <c r="H76" s="34"/>
      <c r="I76" s="97">
        <v>17357.293062226148</v>
      </c>
      <c r="J76" s="97" t="s">
        <v>412</v>
      </c>
      <c r="K76" s="261">
        <v>0</v>
      </c>
      <c r="L76" s="319">
        <v>0</v>
      </c>
      <c r="M76" s="319">
        <v>0</v>
      </c>
      <c r="N76" s="319">
        <v>0</v>
      </c>
      <c r="O76" s="319">
        <v>0</v>
      </c>
      <c r="P76" s="319">
        <v>0</v>
      </c>
      <c r="Q76" s="229">
        <v>0</v>
      </c>
      <c r="R76" s="319">
        <v>0</v>
      </c>
      <c r="S76" s="319"/>
      <c r="T76" s="319"/>
      <c r="U76" s="319"/>
      <c r="V76" s="319"/>
      <c r="W76" s="321">
        <f>IFERROR(IF(tblPiNAnalysis5[[#This Row],[CCCM]]="", "", MROUND(tblPiNAnalysis5[[#This Row],[CCCM]]/tblPiNAnalysis5[[#This Row],[Affected population projection 2026]], 0.05)), "")</f>
        <v>0</v>
      </c>
      <c r="X76" s="322">
        <f>IFERROR(IF(tblPiNAnalysis5[[#This Row],[Education]]="", "", MROUND(tblPiNAnalysis5[[#This Row],[Education]]/tblPiNAnalysis5[[#This Row],[Affected population projection 2026]], 0.05)), "")</f>
        <v>0</v>
      </c>
      <c r="Y76" s="322">
        <f>IFERROR(IF(tblPiNAnalysis5[[#This Row],[Nutrition]]="", "", MROUND(tblPiNAnalysis5[[#This Row],[Nutrition]]/tblPiNAnalysis5[[#This Row],[Affected population projection 2026]], 0.05)), "")</f>
        <v>0</v>
      </c>
      <c r="Z76" s="322">
        <f>IFERROR(IF(tblPiNAnalysis5[[#This Row],[Food Security]]="", "", MROUND(tblPiNAnalysis5[[#This Row],[Food Security]]/tblPiNAnalysis5[[#This Row],[Affected population projection 2026]], 0.05)), "")</f>
        <v>0</v>
      </c>
      <c r="AA76" s="322">
        <f>IFERROR(IF(tblPiNAnalysis5[[#This Row],[Health]]="", "", MROUND(tblPiNAnalysis5[[#This Row],[Health]]/tblPiNAnalysis5[[#This Row],[Affected population projection 2026]], 0.05)), "")</f>
        <v>0</v>
      </c>
      <c r="AB76" s="323">
        <f>IFERROR(IF(tblPiNAnalysis5[[#This Row],[Overarching Protection]]="", "", MROUND(tblPiNAnalysis5[[#This Row],[Overarching Protection]]/tblPiNAnalysis5[[#This Row],[Affected population projection 2026]], 0.05)), "")</f>
        <v>0</v>
      </c>
      <c r="AC76" s="323">
        <f>IFERROR(IF(tblPiNAnalysis5[[#This Row],[Shelter]]="", "", MROUND(tblPiNAnalysis5[[#This Row],[Shelter]]/tblPiNAnalysis5[[#This Row],[Affected population projection 2026]], 0.05)), "")</f>
        <v>0</v>
      </c>
      <c r="AD76" s="324">
        <f>IFERROR(IF(tblPiNAnalysis5[[#This Row],[WASH]]="", "", MROUND(tblPiNAnalysis5[[#This Row],[WASH]]/tblPiNAnalysis5[[#This Row],[Affected population projection 2026]], 0.05)), "")</f>
        <v>0</v>
      </c>
      <c r="AE76" s="322">
        <f>IFERROR(MROUND(tblPiNAnalysis5[[#This Row],[CP]]/tblPiNAnalysis5[[#This Row],[Affected population projection 2026]], 0.05), "")</f>
        <v>0</v>
      </c>
      <c r="AF76" s="322">
        <f>IFERROR(MROUND(tblPiNAnalysis5[[#This Row],[GBV]]/tblPiNAnalysis5[[#This Row],[Affected population projection 2026]], 0.05), "")</f>
        <v>0</v>
      </c>
      <c r="AG76" s="322">
        <f>IFERROR(MROUND(tblPiNAnalysis5[[#This Row],[Mine Action]]/tblPiNAnalysis5[[#This Row],[Affected population projection 2026]], 0.05), "")</f>
        <v>0</v>
      </c>
      <c r="AH76" s="322">
        <f>IFERROR(MROUND(tblPiNAnalysis5[[#This Row],[HLP]]/tblPiNAnalysis5[[#This Row],[Affected population projection 2026]], 0.05), "")</f>
        <v>0</v>
      </c>
      <c r="AI76" s="325">
        <f>IFERROR(LARGE(tblPiNAnalysis5[[#This Row],[CCCM]:[WASH]], 1), "")</f>
        <v>0</v>
      </c>
      <c r="AJ76" s="326" t="str" cm="1">
        <f t="array" ref="AJ76">IF(tblPiNAnalysis5[[#This Row],[Highest Target]]="", "", _xlfn.TEXTJOIN(CHAR(10), TRUE, IF(tblPiNAnalysis5[[#This Row],[Highest Target]]=tblPiNAnalysis5[[#This Row],[CCCM]:[WASH]], tblPiNAnalysis5[[#Headers],[CCCM]:[WASH]], "")))</f>
        <v>CCCM
Education
Nutrition
Food Security
Health
Overarching Protection
Shelter
WASH</v>
      </c>
      <c r="AK76" s="327">
        <f>IF(tblPiNAnalysis5[[#This Row],[Highest Target]]="", "", tblPiNAnalysis5[[#This Row],[Highest Target]]/tblPiNAnalysis5[[#This Row],[Affected population projection 2026]])</f>
        <v>0</v>
      </c>
      <c r="AL76" s="328" t="str">
        <f>IF(SUM(tblPiNAnalysis5[[#This Row],[CCCM]:[WASH]])=0, "",IF(COUNTIF(tblPiNAnalysis5[[#This Row],[CCCM]:[WASH]],"=0")+COUNTIF(tblPiNAnalysis5[[#This Row],[CCCM]:[WASH]],"")&gt;=zero_pin_thresh, "Flagged", ""))</f>
        <v/>
      </c>
      <c r="AM76" s="329" t="str">
        <f>IFERROR(IF(tblPiNAnalysis5[[#This Row],[Highest Target]]="", "", IF(tblPiNAnalysis5[[#This Row],[Highest sector(s'') Target %]]&gt;=flag_pin_perc, "Flagged", "")), "")</f>
        <v/>
      </c>
      <c r="AN76" s="330" t="str" cm="1">
        <f t="array" ref="AN76">IF(tblPiNAnalysis5[[#This Row],[Highest Target]]=0, "",  IF(OR(COUNTIF(tblPiNAnalysis5[[#This Row],[Highest sector(s)]],tblSubSectorPopulation[Sector])), "Flagged", ""))</f>
        <v/>
      </c>
      <c r="AO76" s="46" cm="1">
        <f t="array" ref="AO7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6" s="331" t="str" cm="1">
        <f t="array" ref="AP76">IF(tblPiNAnalysis5[[#This Row],[2nd Highest Target]]="", "", _xlfn.TEXTJOIN(CHAR(10), TRUE, IF(tblPiNAnalysis5[[#This Row],[2nd Highest Target]]=tblPiNAnalysis5[[#This Row],[CCCM]:[WASH]], tblPiNAnalysis5[[#Headers],[CCCM]:[WASH]], "")))</f>
        <v>CCCM
Education
Nutrition
Food Security
Health
Overarching Protection
Shelter
WASH</v>
      </c>
      <c r="AQ76" s="36">
        <f>IFERROR(tblPiNAnalysis5[[#This Row],[2nd Highest Target]]/tblPiNAnalysis5[[#This Row],[Affected population projection 2026]], "")</f>
        <v>0</v>
      </c>
      <c r="AR76" s="46">
        <f>IFERROR(tblPiNAnalysis5[[#This Row],[Highest Target]]-tblPiNAnalysis5[[#This Row],[2nd Highest Target]], "")</f>
        <v>0</v>
      </c>
      <c r="AS76" s="39" t="str">
        <f>IFERROR(((tblPiNAnalysis5[[#This Row],[Highest Target]]-tblPiNAnalysis5[[#This Row],[2nd Highest Target]])/tblPiNAnalysis5[[#This Row],[2nd Highest Target]]),"")</f>
        <v/>
      </c>
      <c r="AT76" s="39" t="str" cm="1">
        <f t="array" ref="AT7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6" s="332" cm="1">
        <f t="array" ref="AU7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6" s="190" t="str" cm="1">
        <f t="array" ref="AV76">IF(tblPiNAnalysis5[[#This Row],[3rd Highest Target]]="", "", _xlfn.TEXTJOIN(CHAR(10), TRUE, IF(tblPiNAnalysis5[[#This Row],[3rd Highest Target]]=tblPiNAnalysis5[[#This Row],[CCCM]:[WASH]], tblPiNAnalysis5[[#Headers],[CCCM]:[WASH]], "")))</f>
        <v>CCCM
Education
Nutrition
Food Security
Health
Overarching Protection
Shelter
WASH</v>
      </c>
      <c r="AW76" s="190">
        <f>IFERROR(tblPiNAnalysis5[[#This Row],[3rd Highest Target]]/tblPiNAnalysis5[[#This Row],[Affected population projection 2026]], "")</f>
        <v>0</v>
      </c>
      <c r="AX76" s="45">
        <f>IFERROR(tblPiNAnalysis5[[#This Row],[Highest Target]]-tblPiNAnalysis5[[#This Row],[3rd Highest Target]],"")</f>
        <v>0</v>
      </c>
      <c r="AY76" s="39" t="str">
        <f>IFERROR(tblPiNAnalysis5[[#This Row],[Difference of Target between Highest and 3rd Highest]]/tblPiNAnalysis5[[#This Row],[3rd Highest Target]], "")</f>
        <v/>
      </c>
      <c r="AZ76" s="330" t="str" cm="1">
        <f t="array" ref="AZ7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6" s="300" t="str" cm="1">
        <f t="array" ref="BA7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6" s="333" t="str" cm="1">
        <f t="array" ref="BB7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6" s="276" t="str" cm="1">
        <f t="array" ref="BC7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6" s="334" t="str" cm="1">
        <f t="array" ref="BD7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6" s="277" t="e">
        <f>INDEX(tblSeverityAnalysis[Final Severity], MATCH(tblPiNAnalysis5[[#This Row],[ID]],tblSeverityAnalysis[ID], 0))</f>
        <v>#N/A</v>
      </c>
      <c r="BF76" s="61" t="e">
        <f>IF(tblPiNAnalysis5[[#This Row],[Severity]]&gt;2,tblPiNAnalysis5[[#This Row],[Highest Target]],)</f>
        <v>#N/A</v>
      </c>
      <c r="BG76" s="191"/>
      <c r="BH76" s="192"/>
      <c r="BI76" s="193">
        <f>COUNTIFS(tblPiNAnalysis5[[#This Row],[Number of missing / zero PiNs greater than threshold - Data quality]:[Manual Flag]],"Flagged")</f>
        <v>2</v>
      </c>
      <c r="BJ76" s="96" t="str">
        <f>IF(tblPiNAnalysis5[[#This Row],['# Flags]]&gt;0, "Flagged", "")</f>
        <v>Flagged</v>
      </c>
      <c r="BK76" s="326" t="e">
        <f>tblPiNAnalysis5[[#This Row],[Preliminary Target]]</f>
        <v>#N/A</v>
      </c>
      <c r="BL76" s="331"/>
    </row>
    <row r="77" spans="1:64" ht="110.7" x14ac:dyDescent="0.55000000000000004">
      <c r="A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7" s="316" t="s">
        <v>390</v>
      </c>
      <c r="C77" s="317" t="s">
        <v>391</v>
      </c>
      <c r="D77" s="317" t="s">
        <v>400</v>
      </c>
      <c r="E77" s="105" t="s">
        <v>401</v>
      </c>
      <c r="F77" s="100"/>
      <c r="G77" s="34"/>
      <c r="H77" s="34"/>
      <c r="I77" s="97">
        <v>1326.2143950586142</v>
      </c>
      <c r="J77" s="97" t="s">
        <v>412</v>
      </c>
      <c r="K77" s="261">
        <v>0</v>
      </c>
      <c r="L77" s="319">
        <v>0</v>
      </c>
      <c r="M77" s="319">
        <v>0</v>
      </c>
      <c r="N77" s="319">
        <v>0</v>
      </c>
      <c r="O77" s="319">
        <v>0</v>
      </c>
      <c r="P77" s="319">
        <v>0</v>
      </c>
      <c r="Q77" s="229">
        <v>0</v>
      </c>
      <c r="R77" s="319">
        <v>0</v>
      </c>
      <c r="S77" s="319"/>
      <c r="T77" s="319"/>
      <c r="U77" s="319"/>
      <c r="V77" s="319"/>
      <c r="W77" s="321">
        <f>IFERROR(IF(tblPiNAnalysis5[[#This Row],[CCCM]]="", "", MROUND(tblPiNAnalysis5[[#This Row],[CCCM]]/tblPiNAnalysis5[[#This Row],[Affected population projection 2026]], 0.05)), "")</f>
        <v>0</v>
      </c>
      <c r="X77" s="322">
        <f>IFERROR(IF(tblPiNAnalysis5[[#This Row],[Education]]="", "", MROUND(tblPiNAnalysis5[[#This Row],[Education]]/tblPiNAnalysis5[[#This Row],[Affected population projection 2026]], 0.05)), "")</f>
        <v>0</v>
      </c>
      <c r="Y77" s="322">
        <f>IFERROR(IF(tblPiNAnalysis5[[#This Row],[Nutrition]]="", "", MROUND(tblPiNAnalysis5[[#This Row],[Nutrition]]/tblPiNAnalysis5[[#This Row],[Affected population projection 2026]], 0.05)), "")</f>
        <v>0</v>
      </c>
      <c r="Z77" s="322">
        <f>IFERROR(IF(tblPiNAnalysis5[[#This Row],[Food Security]]="", "", MROUND(tblPiNAnalysis5[[#This Row],[Food Security]]/tblPiNAnalysis5[[#This Row],[Affected population projection 2026]], 0.05)), "")</f>
        <v>0</v>
      </c>
      <c r="AA77" s="322">
        <f>IFERROR(IF(tblPiNAnalysis5[[#This Row],[Health]]="", "", MROUND(tblPiNAnalysis5[[#This Row],[Health]]/tblPiNAnalysis5[[#This Row],[Affected population projection 2026]], 0.05)), "")</f>
        <v>0</v>
      </c>
      <c r="AB77" s="323">
        <f>IFERROR(IF(tblPiNAnalysis5[[#This Row],[Overarching Protection]]="", "", MROUND(tblPiNAnalysis5[[#This Row],[Overarching Protection]]/tblPiNAnalysis5[[#This Row],[Affected population projection 2026]], 0.05)), "")</f>
        <v>0</v>
      </c>
      <c r="AC77" s="323">
        <f>IFERROR(IF(tblPiNAnalysis5[[#This Row],[Shelter]]="", "", MROUND(tblPiNAnalysis5[[#This Row],[Shelter]]/tblPiNAnalysis5[[#This Row],[Affected population projection 2026]], 0.05)), "")</f>
        <v>0</v>
      </c>
      <c r="AD77" s="324">
        <f>IFERROR(IF(tblPiNAnalysis5[[#This Row],[WASH]]="", "", MROUND(tblPiNAnalysis5[[#This Row],[WASH]]/tblPiNAnalysis5[[#This Row],[Affected population projection 2026]], 0.05)), "")</f>
        <v>0</v>
      </c>
      <c r="AE77" s="322">
        <f>IFERROR(MROUND(tblPiNAnalysis5[[#This Row],[CP]]/tblPiNAnalysis5[[#This Row],[Affected population projection 2026]], 0.05), "")</f>
        <v>0</v>
      </c>
      <c r="AF77" s="322">
        <f>IFERROR(MROUND(tblPiNAnalysis5[[#This Row],[GBV]]/tblPiNAnalysis5[[#This Row],[Affected population projection 2026]], 0.05), "")</f>
        <v>0</v>
      </c>
      <c r="AG77" s="322">
        <f>IFERROR(MROUND(tblPiNAnalysis5[[#This Row],[Mine Action]]/tblPiNAnalysis5[[#This Row],[Affected population projection 2026]], 0.05), "")</f>
        <v>0</v>
      </c>
      <c r="AH77" s="322">
        <f>IFERROR(MROUND(tblPiNAnalysis5[[#This Row],[HLP]]/tblPiNAnalysis5[[#This Row],[Affected population projection 2026]], 0.05), "")</f>
        <v>0</v>
      </c>
      <c r="AI77" s="325">
        <f>IFERROR(LARGE(tblPiNAnalysis5[[#This Row],[CCCM]:[WASH]], 1), "")</f>
        <v>0</v>
      </c>
      <c r="AJ77" s="326" t="str" cm="1">
        <f t="array" ref="AJ77">IF(tblPiNAnalysis5[[#This Row],[Highest Target]]="", "", _xlfn.TEXTJOIN(CHAR(10), TRUE, IF(tblPiNAnalysis5[[#This Row],[Highest Target]]=tblPiNAnalysis5[[#This Row],[CCCM]:[WASH]], tblPiNAnalysis5[[#Headers],[CCCM]:[WASH]], "")))</f>
        <v>CCCM
Education
Nutrition
Food Security
Health
Overarching Protection
Shelter
WASH</v>
      </c>
      <c r="AK77" s="327">
        <f>IF(tblPiNAnalysis5[[#This Row],[Highest Target]]="", "", tblPiNAnalysis5[[#This Row],[Highest Target]]/tblPiNAnalysis5[[#This Row],[Affected population projection 2026]])</f>
        <v>0</v>
      </c>
      <c r="AL77" s="328" t="str">
        <f>IF(SUM(tblPiNAnalysis5[[#This Row],[CCCM]:[WASH]])=0, "",IF(COUNTIF(tblPiNAnalysis5[[#This Row],[CCCM]:[WASH]],"=0")+COUNTIF(tblPiNAnalysis5[[#This Row],[CCCM]:[WASH]],"")&gt;=zero_pin_thresh, "Flagged", ""))</f>
        <v/>
      </c>
      <c r="AM77" s="329" t="str">
        <f>IFERROR(IF(tblPiNAnalysis5[[#This Row],[Highest Target]]="", "", IF(tblPiNAnalysis5[[#This Row],[Highest sector(s'') Target %]]&gt;=flag_pin_perc, "Flagged", "")), "")</f>
        <v/>
      </c>
      <c r="AN77" s="330" t="str" cm="1">
        <f t="array" ref="AN77">IF(tblPiNAnalysis5[[#This Row],[Highest Target]]=0, "",  IF(OR(COUNTIF(tblPiNAnalysis5[[#This Row],[Highest sector(s)]],tblSubSectorPopulation[Sector])), "Flagged", ""))</f>
        <v/>
      </c>
      <c r="AO77" s="46" cm="1">
        <f t="array" ref="AO7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7" s="331" t="str" cm="1">
        <f t="array" ref="AP77">IF(tblPiNAnalysis5[[#This Row],[2nd Highest Target]]="", "", _xlfn.TEXTJOIN(CHAR(10), TRUE, IF(tblPiNAnalysis5[[#This Row],[2nd Highest Target]]=tblPiNAnalysis5[[#This Row],[CCCM]:[WASH]], tblPiNAnalysis5[[#Headers],[CCCM]:[WASH]], "")))</f>
        <v>CCCM
Education
Nutrition
Food Security
Health
Overarching Protection
Shelter
WASH</v>
      </c>
      <c r="AQ77" s="36">
        <f>IFERROR(tblPiNAnalysis5[[#This Row],[2nd Highest Target]]/tblPiNAnalysis5[[#This Row],[Affected population projection 2026]], "")</f>
        <v>0</v>
      </c>
      <c r="AR77" s="46">
        <f>IFERROR(tblPiNAnalysis5[[#This Row],[Highest Target]]-tblPiNAnalysis5[[#This Row],[2nd Highest Target]], "")</f>
        <v>0</v>
      </c>
      <c r="AS77" s="39" t="str">
        <f>IFERROR(((tblPiNAnalysis5[[#This Row],[Highest Target]]-tblPiNAnalysis5[[#This Row],[2nd Highest Target]])/tblPiNAnalysis5[[#This Row],[2nd Highest Target]]),"")</f>
        <v/>
      </c>
      <c r="AT77" s="39" t="str" cm="1">
        <f t="array" ref="AT7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7" s="332" cm="1">
        <f t="array" ref="AU7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7" s="190" t="str" cm="1">
        <f t="array" ref="AV77">IF(tblPiNAnalysis5[[#This Row],[3rd Highest Target]]="", "", _xlfn.TEXTJOIN(CHAR(10), TRUE, IF(tblPiNAnalysis5[[#This Row],[3rd Highest Target]]=tblPiNAnalysis5[[#This Row],[CCCM]:[WASH]], tblPiNAnalysis5[[#Headers],[CCCM]:[WASH]], "")))</f>
        <v>CCCM
Education
Nutrition
Food Security
Health
Overarching Protection
Shelter
WASH</v>
      </c>
      <c r="AW77" s="190">
        <f>IFERROR(tblPiNAnalysis5[[#This Row],[3rd Highest Target]]/tblPiNAnalysis5[[#This Row],[Affected population projection 2026]], "")</f>
        <v>0</v>
      </c>
      <c r="AX77" s="45">
        <f>IFERROR(tblPiNAnalysis5[[#This Row],[Highest Target]]-tblPiNAnalysis5[[#This Row],[3rd Highest Target]],"")</f>
        <v>0</v>
      </c>
      <c r="AY77" s="39" t="str">
        <f>IFERROR(tblPiNAnalysis5[[#This Row],[Difference of Target between Highest and 3rd Highest]]/tblPiNAnalysis5[[#This Row],[3rd Highest Target]], "")</f>
        <v/>
      </c>
      <c r="AZ77" s="330" t="str" cm="1">
        <f t="array" ref="AZ7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7" s="300" t="str" cm="1">
        <f t="array" ref="BA7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7" s="333" t="str" cm="1">
        <f t="array" ref="BB7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7" s="276" t="str" cm="1">
        <f t="array" ref="BC7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7" s="334" t="str" cm="1">
        <f t="array" ref="BD7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7" s="277" t="e">
        <f>INDEX(tblSeverityAnalysis[Final Severity], MATCH(tblPiNAnalysis5[[#This Row],[ID]],tblSeverityAnalysis[ID], 0))</f>
        <v>#N/A</v>
      </c>
      <c r="BF77" s="61" t="e">
        <f>IF(tblPiNAnalysis5[[#This Row],[Severity]]&gt;2,tblPiNAnalysis5[[#This Row],[Highest Target]],)</f>
        <v>#N/A</v>
      </c>
      <c r="BG77" s="191"/>
      <c r="BH77" s="192"/>
      <c r="BI77" s="193">
        <f>COUNTIFS(tblPiNAnalysis5[[#This Row],[Number of missing / zero PiNs greater than threshold - Data quality]:[Manual Flag]],"Flagged")</f>
        <v>2</v>
      </c>
      <c r="BJ77" s="96" t="str">
        <f>IF(tblPiNAnalysis5[[#This Row],['# Flags]]&gt;0, "Flagged", "")</f>
        <v>Flagged</v>
      </c>
      <c r="BK77" s="326" t="e">
        <f>tblPiNAnalysis5[[#This Row],[Preliminary Target]]</f>
        <v>#N/A</v>
      </c>
      <c r="BL77" s="331"/>
    </row>
    <row r="78" spans="1:64" ht="110.7" x14ac:dyDescent="0.55000000000000004">
      <c r="A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8" s="316" t="s">
        <v>390</v>
      </c>
      <c r="C78" s="317" t="s">
        <v>391</v>
      </c>
      <c r="D78" s="317" t="s">
        <v>402</v>
      </c>
      <c r="E78" s="105" t="s">
        <v>403</v>
      </c>
      <c r="F78" s="100"/>
      <c r="G78" s="34"/>
      <c r="H78" s="34"/>
      <c r="I78" s="97">
        <v>0</v>
      </c>
      <c r="J78" s="97" t="s">
        <v>412</v>
      </c>
      <c r="K78" s="261">
        <v>0</v>
      </c>
      <c r="L78" s="319">
        <v>0</v>
      </c>
      <c r="M78" s="319">
        <v>0</v>
      </c>
      <c r="N78" s="319">
        <v>0</v>
      </c>
      <c r="O78" s="319">
        <v>0</v>
      </c>
      <c r="P78" s="319">
        <v>0</v>
      </c>
      <c r="Q78" s="229">
        <v>0</v>
      </c>
      <c r="R78" s="319">
        <v>0</v>
      </c>
      <c r="S78" s="319"/>
      <c r="T78" s="319"/>
      <c r="U78" s="319"/>
      <c r="V78" s="319"/>
      <c r="W78" s="321" t="str">
        <f>IFERROR(IF(tblPiNAnalysis5[[#This Row],[CCCM]]="", "", MROUND(tblPiNAnalysis5[[#This Row],[CCCM]]/tblPiNAnalysis5[[#This Row],[Affected population projection 2026]], 0.05)), "")</f>
        <v/>
      </c>
      <c r="X78" s="322" t="str">
        <f>IFERROR(IF(tblPiNAnalysis5[[#This Row],[Education]]="", "", MROUND(tblPiNAnalysis5[[#This Row],[Education]]/tblPiNAnalysis5[[#This Row],[Affected population projection 2026]], 0.05)), "")</f>
        <v/>
      </c>
      <c r="Y78" s="322" t="str">
        <f>IFERROR(IF(tblPiNAnalysis5[[#This Row],[Nutrition]]="", "", MROUND(tblPiNAnalysis5[[#This Row],[Nutrition]]/tblPiNAnalysis5[[#This Row],[Affected population projection 2026]], 0.05)), "")</f>
        <v/>
      </c>
      <c r="Z78" s="322" t="str">
        <f>IFERROR(IF(tblPiNAnalysis5[[#This Row],[Food Security]]="", "", MROUND(tblPiNAnalysis5[[#This Row],[Food Security]]/tblPiNAnalysis5[[#This Row],[Affected population projection 2026]], 0.05)), "")</f>
        <v/>
      </c>
      <c r="AA78" s="322" t="str">
        <f>IFERROR(IF(tblPiNAnalysis5[[#This Row],[Health]]="", "", MROUND(tblPiNAnalysis5[[#This Row],[Health]]/tblPiNAnalysis5[[#This Row],[Affected population projection 2026]], 0.05)), "")</f>
        <v/>
      </c>
      <c r="AB78" s="323" t="str">
        <f>IFERROR(IF(tblPiNAnalysis5[[#This Row],[Overarching Protection]]="", "", MROUND(tblPiNAnalysis5[[#This Row],[Overarching Protection]]/tblPiNAnalysis5[[#This Row],[Affected population projection 2026]], 0.05)), "")</f>
        <v/>
      </c>
      <c r="AC78" s="323" t="str">
        <f>IFERROR(IF(tblPiNAnalysis5[[#This Row],[Shelter]]="", "", MROUND(tblPiNAnalysis5[[#This Row],[Shelter]]/tblPiNAnalysis5[[#This Row],[Affected population projection 2026]], 0.05)), "")</f>
        <v/>
      </c>
      <c r="AD78" s="324" t="str">
        <f>IFERROR(IF(tblPiNAnalysis5[[#This Row],[WASH]]="", "", MROUND(tblPiNAnalysis5[[#This Row],[WASH]]/tblPiNAnalysis5[[#This Row],[Affected population projection 2026]], 0.05)), "")</f>
        <v/>
      </c>
      <c r="AE78" s="322" t="str">
        <f>IFERROR(MROUND(tblPiNAnalysis5[[#This Row],[CP]]/tblPiNAnalysis5[[#This Row],[Affected population projection 2026]], 0.05), "")</f>
        <v/>
      </c>
      <c r="AF78" s="322" t="str">
        <f>IFERROR(MROUND(tblPiNAnalysis5[[#This Row],[GBV]]/tblPiNAnalysis5[[#This Row],[Affected population projection 2026]], 0.05), "")</f>
        <v/>
      </c>
      <c r="AG78" s="322" t="str">
        <f>IFERROR(MROUND(tblPiNAnalysis5[[#This Row],[Mine Action]]/tblPiNAnalysis5[[#This Row],[Affected population projection 2026]], 0.05), "")</f>
        <v/>
      </c>
      <c r="AH78" s="322" t="str">
        <f>IFERROR(MROUND(tblPiNAnalysis5[[#This Row],[HLP]]/tblPiNAnalysis5[[#This Row],[Affected population projection 2026]], 0.05), "")</f>
        <v/>
      </c>
      <c r="AI78" s="325">
        <f>IFERROR(LARGE(tblPiNAnalysis5[[#This Row],[CCCM]:[WASH]], 1), "")</f>
        <v>0</v>
      </c>
      <c r="AJ78" s="326" t="str" cm="1">
        <f t="array" ref="AJ78">IF(tblPiNAnalysis5[[#This Row],[Highest Target]]="", "", _xlfn.TEXTJOIN(CHAR(10), TRUE, IF(tblPiNAnalysis5[[#This Row],[Highest Target]]=tblPiNAnalysis5[[#This Row],[CCCM]:[WASH]], tblPiNAnalysis5[[#Headers],[CCCM]:[WASH]], "")))</f>
        <v>CCCM
Education
Nutrition
Food Security
Health
Overarching Protection
Shelter
WASH</v>
      </c>
      <c r="AK78" s="327" t="e">
        <f>IF(tblPiNAnalysis5[[#This Row],[Highest Target]]="", "", tblPiNAnalysis5[[#This Row],[Highest Target]]/tblPiNAnalysis5[[#This Row],[Affected population projection 2026]])</f>
        <v>#DIV/0!</v>
      </c>
      <c r="AL78" s="328" t="str">
        <f>IF(SUM(tblPiNAnalysis5[[#This Row],[CCCM]:[WASH]])=0, "",IF(COUNTIF(tblPiNAnalysis5[[#This Row],[CCCM]:[WASH]],"=0")+COUNTIF(tblPiNAnalysis5[[#This Row],[CCCM]:[WASH]],"")&gt;=zero_pin_thresh, "Flagged", ""))</f>
        <v/>
      </c>
      <c r="AM78" s="329" t="str">
        <f>IFERROR(IF(tblPiNAnalysis5[[#This Row],[Highest Target]]="", "", IF(tblPiNAnalysis5[[#This Row],[Highest sector(s'') Target %]]&gt;=flag_pin_perc, "Flagged", "")), "")</f>
        <v/>
      </c>
      <c r="AN78" s="330" t="str" cm="1">
        <f t="array" ref="AN78">IF(tblPiNAnalysis5[[#This Row],[Highest Target]]=0, "",  IF(OR(COUNTIF(tblPiNAnalysis5[[#This Row],[Highest sector(s)]],tblSubSectorPopulation[Sector])), "Flagged", ""))</f>
        <v/>
      </c>
      <c r="AO78" s="46" cm="1">
        <f t="array" ref="AO7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78" s="331" t="str" cm="1">
        <f t="array" ref="AP78">IF(tblPiNAnalysis5[[#This Row],[2nd Highest Target]]="", "", _xlfn.TEXTJOIN(CHAR(10), TRUE, IF(tblPiNAnalysis5[[#This Row],[2nd Highest Target]]=tblPiNAnalysis5[[#This Row],[CCCM]:[WASH]], tblPiNAnalysis5[[#Headers],[CCCM]:[WASH]], "")))</f>
        <v>CCCM
Education
Nutrition
Food Security
Health
Overarching Protection
Shelter
WASH</v>
      </c>
      <c r="AQ78" s="36" t="str">
        <f>IFERROR(tblPiNAnalysis5[[#This Row],[2nd Highest Target]]/tblPiNAnalysis5[[#This Row],[Affected population projection 2026]], "")</f>
        <v/>
      </c>
      <c r="AR78" s="46">
        <f>IFERROR(tblPiNAnalysis5[[#This Row],[Highest Target]]-tblPiNAnalysis5[[#This Row],[2nd Highest Target]], "")</f>
        <v>0</v>
      </c>
      <c r="AS78" s="39" t="str">
        <f>IFERROR(((tblPiNAnalysis5[[#This Row],[Highest Target]]-tblPiNAnalysis5[[#This Row],[2nd Highest Target]])/tblPiNAnalysis5[[#This Row],[2nd Highest Target]]),"")</f>
        <v/>
      </c>
      <c r="AT78" s="39" t="str" cm="1">
        <f t="array" ref="AT7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8" s="332" cm="1">
        <f t="array" ref="AU7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78" s="190" t="str" cm="1">
        <f t="array" ref="AV78">IF(tblPiNAnalysis5[[#This Row],[3rd Highest Target]]="", "", _xlfn.TEXTJOIN(CHAR(10), TRUE, IF(tblPiNAnalysis5[[#This Row],[3rd Highest Target]]=tblPiNAnalysis5[[#This Row],[CCCM]:[WASH]], tblPiNAnalysis5[[#Headers],[CCCM]:[WASH]], "")))</f>
        <v>CCCM
Education
Nutrition
Food Security
Health
Overarching Protection
Shelter
WASH</v>
      </c>
      <c r="AW78" s="190" t="str">
        <f>IFERROR(tblPiNAnalysis5[[#This Row],[3rd Highest Target]]/tblPiNAnalysis5[[#This Row],[Affected population projection 2026]], "")</f>
        <v/>
      </c>
      <c r="AX78" s="45">
        <f>IFERROR(tblPiNAnalysis5[[#This Row],[Highest Target]]-tblPiNAnalysis5[[#This Row],[3rd Highest Target]],"")</f>
        <v>0</v>
      </c>
      <c r="AY78" s="39" t="str">
        <f>IFERROR(tblPiNAnalysis5[[#This Row],[Difference of Target between Highest and 3rd Highest]]/tblPiNAnalysis5[[#This Row],[3rd Highest Target]], "")</f>
        <v/>
      </c>
      <c r="AZ78" s="330" t="str" cm="1">
        <f t="array" ref="AZ7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8" s="300" t="str" cm="1">
        <f t="array" ref="BA7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8" s="333" t="str" cm="1">
        <f t="array" ref="BB7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8" s="276" t="str" cm="1">
        <f t="array" ref="BC7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8" s="334" t="str" cm="1">
        <f t="array" ref="BD7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78" s="277" t="e">
        <f>INDEX(tblSeverityAnalysis[Final Severity], MATCH(tblPiNAnalysis5[[#This Row],[ID]],tblSeverityAnalysis[ID], 0))</f>
        <v>#N/A</v>
      </c>
      <c r="BF78" s="61" t="e">
        <f>IF(tblPiNAnalysis5[[#This Row],[Severity]]&gt;2,tblPiNAnalysis5[[#This Row],[Highest Target]],)</f>
        <v>#N/A</v>
      </c>
      <c r="BG78" s="191"/>
      <c r="BH78" s="192"/>
      <c r="BI78" s="193">
        <f>COUNTIFS(tblPiNAnalysis5[[#This Row],[Number of missing / zero PiNs greater than threshold - Data quality]:[Manual Flag]],"Flagged")</f>
        <v>2</v>
      </c>
      <c r="BJ78" s="96" t="str">
        <f>IF(tblPiNAnalysis5[[#This Row],['# Flags]]&gt;0, "Flagged", "")</f>
        <v>Flagged</v>
      </c>
      <c r="BK78" s="326" t="e">
        <f>tblPiNAnalysis5[[#This Row],[Preliminary Target]]</f>
        <v>#N/A</v>
      </c>
      <c r="BL78" s="331"/>
    </row>
    <row r="79" spans="1:64" x14ac:dyDescent="0.55000000000000004">
      <c r="A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9" s="316" t="s">
        <v>390</v>
      </c>
      <c r="C79" s="317" t="s">
        <v>391</v>
      </c>
      <c r="D79" s="317" t="s">
        <v>404</v>
      </c>
      <c r="E79" s="105" t="s">
        <v>405</v>
      </c>
      <c r="F79" s="100"/>
      <c r="G79" s="34"/>
      <c r="H79" s="34"/>
      <c r="I79" s="97">
        <v>36534.526328235108</v>
      </c>
      <c r="J79" s="97" t="s">
        <v>412</v>
      </c>
      <c r="K79" s="261">
        <v>3510</v>
      </c>
      <c r="L79" s="319">
        <v>1916.1336092422125</v>
      </c>
      <c r="M79" s="319">
        <v>6836.870387112871</v>
      </c>
      <c r="N79" s="319">
        <v>10717.118264456685</v>
      </c>
      <c r="O79" s="319">
        <v>13828.875993010917</v>
      </c>
      <c r="P79" s="319">
        <v>11971.050628910942</v>
      </c>
      <c r="Q79" s="229">
        <v>8755.4569592522621</v>
      </c>
      <c r="R79" s="319">
        <v>10035.718651891744</v>
      </c>
      <c r="S79" s="319"/>
      <c r="T79" s="319"/>
      <c r="U79" s="319"/>
      <c r="V79" s="319"/>
      <c r="W79" s="321">
        <f>IFERROR(IF(tblPiNAnalysis5[[#This Row],[CCCM]]="", "", MROUND(tblPiNAnalysis5[[#This Row],[CCCM]]/tblPiNAnalysis5[[#This Row],[Affected population projection 2026]], 0.05)), "")</f>
        <v>0.1</v>
      </c>
      <c r="X79" s="322">
        <f>IFERROR(IF(tblPiNAnalysis5[[#This Row],[Education]]="", "", MROUND(tblPiNAnalysis5[[#This Row],[Education]]/tblPiNAnalysis5[[#This Row],[Affected population projection 2026]], 0.05)), "")</f>
        <v>0.05</v>
      </c>
      <c r="Y79" s="322">
        <f>IFERROR(IF(tblPiNAnalysis5[[#This Row],[Nutrition]]="", "", MROUND(tblPiNAnalysis5[[#This Row],[Nutrition]]/tblPiNAnalysis5[[#This Row],[Affected population projection 2026]], 0.05)), "")</f>
        <v>0.2</v>
      </c>
      <c r="Z79" s="322">
        <f>IFERROR(IF(tblPiNAnalysis5[[#This Row],[Food Security]]="", "", MROUND(tblPiNAnalysis5[[#This Row],[Food Security]]/tblPiNAnalysis5[[#This Row],[Affected population projection 2026]], 0.05)), "")</f>
        <v>0.30000000000000004</v>
      </c>
      <c r="AA79" s="322">
        <f>IFERROR(IF(tblPiNAnalysis5[[#This Row],[Health]]="", "", MROUND(tblPiNAnalysis5[[#This Row],[Health]]/tblPiNAnalysis5[[#This Row],[Affected population projection 2026]], 0.05)), "")</f>
        <v>0.4</v>
      </c>
      <c r="AB79" s="323">
        <f>IFERROR(IF(tblPiNAnalysis5[[#This Row],[Overarching Protection]]="", "", MROUND(tblPiNAnalysis5[[#This Row],[Overarching Protection]]/tblPiNAnalysis5[[#This Row],[Affected population projection 2026]], 0.05)), "")</f>
        <v>0.35000000000000003</v>
      </c>
      <c r="AC79" s="323">
        <f>IFERROR(IF(tblPiNAnalysis5[[#This Row],[Shelter]]="", "", MROUND(tblPiNAnalysis5[[#This Row],[Shelter]]/tblPiNAnalysis5[[#This Row],[Affected population projection 2026]], 0.05)), "")</f>
        <v>0.25</v>
      </c>
      <c r="AD79" s="324">
        <f>IFERROR(IF(tblPiNAnalysis5[[#This Row],[WASH]]="", "", MROUND(tblPiNAnalysis5[[#This Row],[WASH]]/tblPiNAnalysis5[[#This Row],[Affected population projection 2026]], 0.05)), "")</f>
        <v>0.25</v>
      </c>
      <c r="AE79" s="322">
        <f>IFERROR(MROUND(tblPiNAnalysis5[[#This Row],[CP]]/tblPiNAnalysis5[[#This Row],[Affected population projection 2026]], 0.05), "")</f>
        <v>0</v>
      </c>
      <c r="AF79" s="322">
        <f>IFERROR(MROUND(tblPiNAnalysis5[[#This Row],[GBV]]/tblPiNAnalysis5[[#This Row],[Affected population projection 2026]], 0.05), "")</f>
        <v>0</v>
      </c>
      <c r="AG79" s="322">
        <f>IFERROR(MROUND(tblPiNAnalysis5[[#This Row],[Mine Action]]/tblPiNAnalysis5[[#This Row],[Affected population projection 2026]], 0.05), "")</f>
        <v>0</v>
      </c>
      <c r="AH79" s="322">
        <f>IFERROR(MROUND(tblPiNAnalysis5[[#This Row],[HLP]]/tblPiNAnalysis5[[#This Row],[Affected population projection 2026]], 0.05), "")</f>
        <v>0</v>
      </c>
      <c r="AI79" s="325">
        <f>IFERROR(LARGE(tblPiNAnalysis5[[#This Row],[CCCM]:[WASH]], 1), "")</f>
        <v>13828.875993010917</v>
      </c>
      <c r="AJ79" s="326" t="str" cm="1">
        <f t="array" ref="AJ79">IF(tblPiNAnalysis5[[#This Row],[Highest Target]]="", "", _xlfn.TEXTJOIN(CHAR(10), TRUE, IF(tblPiNAnalysis5[[#This Row],[Highest Target]]=tblPiNAnalysis5[[#This Row],[CCCM]:[WASH]], tblPiNAnalysis5[[#Headers],[CCCM]:[WASH]], "")))</f>
        <v>Health</v>
      </c>
      <c r="AK79" s="327">
        <f>IF(tblPiNAnalysis5[[#This Row],[Highest Target]]="", "", tblPiNAnalysis5[[#This Row],[Highest Target]]/tblPiNAnalysis5[[#This Row],[Affected population projection 2026]])</f>
        <v>0.37851526714124928</v>
      </c>
      <c r="AL79" s="328" t="str">
        <f>IF(SUM(tblPiNAnalysis5[[#This Row],[CCCM]:[WASH]])=0, "",IF(COUNTIF(tblPiNAnalysis5[[#This Row],[CCCM]:[WASH]],"=0")+COUNTIF(tblPiNAnalysis5[[#This Row],[CCCM]:[WASH]],"")&gt;=zero_pin_thresh, "Flagged", ""))</f>
        <v/>
      </c>
      <c r="AM79" s="329" t="str">
        <f>IFERROR(IF(tblPiNAnalysis5[[#This Row],[Highest Target]]="", "", IF(tblPiNAnalysis5[[#This Row],[Highest sector(s'') Target %]]&gt;=flag_pin_perc, "Flagged", "")), "")</f>
        <v/>
      </c>
      <c r="AN79" s="330" t="str" cm="1">
        <f t="array" ref="AN79">IF(tblPiNAnalysis5[[#This Row],[Highest Target]]=0, "",  IF(OR(COUNTIF(tblPiNAnalysis5[[#This Row],[Highest sector(s)]],tblSubSectorPopulation[Sector])), "Flagged", ""))</f>
        <v/>
      </c>
      <c r="AO79" s="46" cm="1">
        <f t="array" ref="AO7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11971.050628910942</v>
      </c>
      <c r="AP79" s="331" t="str" cm="1">
        <f t="array" ref="AP79">IF(tblPiNAnalysis5[[#This Row],[2nd Highest Target]]="", "", _xlfn.TEXTJOIN(CHAR(10), TRUE, IF(tblPiNAnalysis5[[#This Row],[2nd Highest Target]]=tblPiNAnalysis5[[#This Row],[CCCM]:[WASH]], tblPiNAnalysis5[[#Headers],[CCCM]:[WASH]], "")))</f>
        <v>Overarching Protection</v>
      </c>
      <c r="AQ79" s="36">
        <f>IFERROR(tblPiNAnalysis5[[#This Row],[2nd Highest Target]]/tblPiNAnalysis5[[#This Row],[Affected population projection 2026]], "")</f>
        <v>0.32766404363259288</v>
      </c>
      <c r="AR79" s="46">
        <f>IFERROR(tblPiNAnalysis5[[#This Row],[Highest Target]]-tblPiNAnalysis5[[#This Row],[2nd Highest Target]], "")</f>
        <v>1857.8253640999756</v>
      </c>
      <c r="AS79" s="39">
        <f>IFERROR(((tblPiNAnalysis5[[#This Row],[Highest Target]]-tblPiNAnalysis5[[#This Row],[2nd Highest Target]])/tblPiNAnalysis5[[#This Row],[2nd Highest Target]]),"")</f>
        <v>0.15519317574459127</v>
      </c>
      <c r="AT79" s="39" t="str" cm="1">
        <f t="array" ref="AT7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79" s="332" cm="1">
        <f t="array" ref="AU7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10717.118264456685</v>
      </c>
      <c r="AV79" s="190" t="str" cm="1">
        <f t="array" ref="AV79">IF(tblPiNAnalysis5[[#This Row],[3rd Highest Target]]="", "", _xlfn.TEXTJOIN(CHAR(10), TRUE, IF(tblPiNAnalysis5[[#This Row],[3rd Highest Target]]=tblPiNAnalysis5[[#This Row],[CCCM]:[WASH]], tblPiNAnalysis5[[#Headers],[CCCM]:[WASH]], "")))</f>
        <v>Food Security</v>
      </c>
      <c r="AW79" s="190">
        <f>IFERROR(tblPiNAnalysis5[[#This Row],[3rd Highest Target]]/tblPiNAnalysis5[[#This Row],[Affected population projection 2026]], "")</f>
        <v>0.29334219823110547</v>
      </c>
      <c r="AX79" s="45">
        <f>IFERROR(tblPiNAnalysis5[[#This Row],[Highest Target]]-tblPiNAnalysis5[[#This Row],[3rd Highest Target]],"")</f>
        <v>3111.757728554232</v>
      </c>
      <c r="AY79" s="39">
        <f>IFERROR(tblPiNAnalysis5[[#This Row],[Difference of Target between Highest and 3rd Highest]]/tblPiNAnalysis5[[#This Row],[3rd Highest Target]], "")</f>
        <v>0.29035396006353448</v>
      </c>
      <c r="AZ79" s="330" t="str" cm="1">
        <f t="array" ref="AZ7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79" s="300" t="str" cm="1">
        <f t="array" ref="BA7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79" s="333" t="str" cm="1">
        <f t="array" ref="BB7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79" s="276" t="str" cm="1">
        <f t="array" ref="BC7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79" s="334" t="str" cm="1">
        <f t="array" ref="BD7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79" s="277" t="e">
        <f>INDEX(tblSeverityAnalysis[Final Severity], MATCH(tblPiNAnalysis5[[#This Row],[ID]],tblSeverityAnalysis[ID], 0))</f>
        <v>#N/A</v>
      </c>
      <c r="BF79" s="61" t="e">
        <f>IF(tblPiNAnalysis5[[#This Row],[Severity]]&gt;2,tblPiNAnalysis5[[#This Row],[Highest Target]],)</f>
        <v>#N/A</v>
      </c>
      <c r="BG79" s="191"/>
      <c r="BH79" s="192"/>
      <c r="BI79" s="193">
        <f>COUNTIFS(tblPiNAnalysis5[[#This Row],[Number of missing / zero PiNs greater than threshold - Data quality]:[Manual Flag]],"Flagged")</f>
        <v>1</v>
      </c>
      <c r="BJ79" s="96" t="str">
        <f>IF(tblPiNAnalysis5[[#This Row],['# Flags]]&gt;0, "Flagged", "")</f>
        <v>Flagged</v>
      </c>
      <c r="BK79" s="326" t="e">
        <f>tblPiNAnalysis5[[#This Row],[Preliminary Target]]</f>
        <v>#N/A</v>
      </c>
      <c r="BL79" s="331"/>
    </row>
    <row r="80" spans="1:64" ht="110.7" x14ac:dyDescent="0.55000000000000004">
      <c r="A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0" s="316" t="s">
        <v>390</v>
      </c>
      <c r="C80" s="317" t="s">
        <v>391</v>
      </c>
      <c r="D80" s="317" t="s">
        <v>406</v>
      </c>
      <c r="E80" s="105" t="s">
        <v>407</v>
      </c>
      <c r="F80" s="100"/>
      <c r="G80" s="34"/>
      <c r="H80" s="34"/>
      <c r="I80" s="97">
        <v>2761.8509896481692</v>
      </c>
      <c r="J80" s="97" t="s">
        <v>412</v>
      </c>
      <c r="K80" s="261">
        <v>0</v>
      </c>
      <c r="L80" s="319">
        <v>0</v>
      </c>
      <c r="M80" s="319">
        <v>0</v>
      </c>
      <c r="N80" s="319">
        <v>0</v>
      </c>
      <c r="O80" s="319">
        <v>0</v>
      </c>
      <c r="P80" s="319">
        <v>0</v>
      </c>
      <c r="Q80" s="229">
        <v>0</v>
      </c>
      <c r="R80" s="319">
        <v>0</v>
      </c>
      <c r="S80" s="319"/>
      <c r="T80" s="319"/>
      <c r="U80" s="319"/>
      <c r="V80" s="319"/>
      <c r="W80" s="321">
        <f>IFERROR(IF(tblPiNAnalysis5[[#This Row],[CCCM]]="", "", MROUND(tblPiNAnalysis5[[#This Row],[CCCM]]/tblPiNAnalysis5[[#This Row],[Affected population projection 2026]], 0.05)), "")</f>
        <v>0</v>
      </c>
      <c r="X80" s="322">
        <f>IFERROR(IF(tblPiNAnalysis5[[#This Row],[Education]]="", "", MROUND(tblPiNAnalysis5[[#This Row],[Education]]/tblPiNAnalysis5[[#This Row],[Affected population projection 2026]], 0.05)), "")</f>
        <v>0</v>
      </c>
      <c r="Y80" s="322">
        <f>IFERROR(IF(tblPiNAnalysis5[[#This Row],[Nutrition]]="", "", MROUND(tblPiNAnalysis5[[#This Row],[Nutrition]]/tblPiNAnalysis5[[#This Row],[Affected population projection 2026]], 0.05)), "")</f>
        <v>0</v>
      </c>
      <c r="Z80" s="322">
        <f>IFERROR(IF(tblPiNAnalysis5[[#This Row],[Food Security]]="", "", MROUND(tblPiNAnalysis5[[#This Row],[Food Security]]/tblPiNAnalysis5[[#This Row],[Affected population projection 2026]], 0.05)), "")</f>
        <v>0</v>
      </c>
      <c r="AA80" s="322">
        <f>IFERROR(IF(tblPiNAnalysis5[[#This Row],[Health]]="", "", MROUND(tblPiNAnalysis5[[#This Row],[Health]]/tblPiNAnalysis5[[#This Row],[Affected population projection 2026]], 0.05)), "")</f>
        <v>0</v>
      </c>
      <c r="AB80" s="323">
        <f>IFERROR(IF(tblPiNAnalysis5[[#This Row],[Overarching Protection]]="", "", MROUND(tblPiNAnalysis5[[#This Row],[Overarching Protection]]/tblPiNAnalysis5[[#This Row],[Affected population projection 2026]], 0.05)), "")</f>
        <v>0</v>
      </c>
      <c r="AC80" s="323">
        <f>IFERROR(IF(tblPiNAnalysis5[[#This Row],[Shelter]]="", "", MROUND(tblPiNAnalysis5[[#This Row],[Shelter]]/tblPiNAnalysis5[[#This Row],[Affected population projection 2026]], 0.05)), "")</f>
        <v>0</v>
      </c>
      <c r="AD80" s="324">
        <f>IFERROR(IF(tblPiNAnalysis5[[#This Row],[WASH]]="", "", MROUND(tblPiNAnalysis5[[#This Row],[WASH]]/tblPiNAnalysis5[[#This Row],[Affected population projection 2026]], 0.05)), "")</f>
        <v>0</v>
      </c>
      <c r="AE80" s="322">
        <f>IFERROR(MROUND(tblPiNAnalysis5[[#This Row],[CP]]/tblPiNAnalysis5[[#This Row],[Affected population projection 2026]], 0.05), "")</f>
        <v>0</v>
      </c>
      <c r="AF80" s="322">
        <f>IFERROR(MROUND(tblPiNAnalysis5[[#This Row],[GBV]]/tblPiNAnalysis5[[#This Row],[Affected population projection 2026]], 0.05), "")</f>
        <v>0</v>
      </c>
      <c r="AG80" s="322">
        <f>IFERROR(MROUND(tblPiNAnalysis5[[#This Row],[Mine Action]]/tblPiNAnalysis5[[#This Row],[Affected population projection 2026]], 0.05), "")</f>
        <v>0</v>
      </c>
      <c r="AH80" s="322">
        <f>IFERROR(MROUND(tblPiNAnalysis5[[#This Row],[HLP]]/tblPiNAnalysis5[[#This Row],[Affected population projection 2026]], 0.05), "")</f>
        <v>0</v>
      </c>
      <c r="AI80" s="325">
        <f>IFERROR(LARGE(tblPiNAnalysis5[[#This Row],[CCCM]:[WASH]], 1), "")</f>
        <v>0</v>
      </c>
      <c r="AJ80" s="326" t="str" cm="1">
        <f t="array" ref="AJ80">IF(tblPiNAnalysis5[[#This Row],[Highest Target]]="", "", _xlfn.TEXTJOIN(CHAR(10), TRUE, IF(tblPiNAnalysis5[[#This Row],[Highest Target]]=tblPiNAnalysis5[[#This Row],[CCCM]:[WASH]], tblPiNAnalysis5[[#Headers],[CCCM]:[WASH]], "")))</f>
        <v>CCCM
Education
Nutrition
Food Security
Health
Overarching Protection
Shelter
WASH</v>
      </c>
      <c r="AK80" s="327">
        <f>IF(tblPiNAnalysis5[[#This Row],[Highest Target]]="", "", tblPiNAnalysis5[[#This Row],[Highest Target]]/tblPiNAnalysis5[[#This Row],[Affected population projection 2026]])</f>
        <v>0</v>
      </c>
      <c r="AL80" s="328" t="str">
        <f>IF(SUM(tblPiNAnalysis5[[#This Row],[CCCM]:[WASH]])=0, "",IF(COUNTIF(tblPiNAnalysis5[[#This Row],[CCCM]:[WASH]],"=0")+COUNTIF(tblPiNAnalysis5[[#This Row],[CCCM]:[WASH]],"")&gt;=zero_pin_thresh, "Flagged", ""))</f>
        <v/>
      </c>
      <c r="AM80" s="329" t="str">
        <f>IFERROR(IF(tblPiNAnalysis5[[#This Row],[Highest Target]]="", "", IF(tblPiNAnalysis5[[#This Row],[Highest sector(s'') Target %]]&gt;=flag_pin_perc, "Flagged", "")), "")</f>
        <v/>
      </c>
      <c r="AN80" s="330" t="str" cm="1">
        <f t="array" ref="AN80">IF(tblPiNAnalysis5[[#This Row],[Highest Target]]=0, "",  IF(OR(COUNTIF(tblPiNAnalysis5[[#This Row],[Highest sector(s)]],tblSubSectorPopulation[Sector])), "Flagged", ""))</f>
        <v/>
      </c>
      <c r="AO80" s="46" cm="1">
        <f t="array" ref="AO8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0" s="331" t="str" cm="1">
        <f t="array" ref="AP80">IF(tblPiNAnalysis5[[#This Row],[2nd Highest Target]]="", "", _xlfn.TEXTJOIN(CHAR(10), TRUE, IF(tblPiNAnalysis5[[#This Row],[2nd Highest Target]]=tblPiNAnalysis5[[#This Row],[CCCM]:[WASH]], tblPiNAnalysis5[[#Headers],[CCCM]:[WASH]], "")))</f>
        <v>CCCM
Education
Nutrition
Food Security
Health
Overarching Protection
Shelter
WASH</v>
      </c>
      <c r="AQ80" s="36">
        <f>IFERROR(tblPiNAnalysis5[[#This Row],[2nd Highest Target]]/tblPiNAnalysis5[[#This Row],[Affected population projection 2026]], "")</f>
        <v>0</v>
      </c>
      <c r="AR80" s="46">
        <f>IFERROR(tblPiNAnalysis5[[#This Row],[Highest Target]]-tblPiNAnalysis5[[#This Row],[2nd Highest Target]], "")</f>
        <v>0</v>
      </c>
      <c r="AS80" s="39" t="str">
        <f>IFERROR(((tblPiNAnalysis5[[#This Row],[Highest Target]]-tblPiNAnalysis5[[#This Row],[2nd Highest Target]])/tblPiNAnalysis5[[#This Row],[2nd Highest Target]]),"")</f>
        <v/>
      </c>
      <c r="AT80" s="39" t="str" cm="1">
        <f t="array" ref="AT8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0" s="332" cm="1">
        <f t="array" ref="AU8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0" s="190" t="str" cm="1">
        <f t="array" ref="AV80">IF(tblPiNAnalysis5[[#This Row],[3rd Highest Target]]="", "", _xlfn.TEXTJOIN(CHAR(10), TRUE, IF(tblPiNAnalysis5[[#This Row],[3rd Highest Target]]=tblPiNAnalysis5[[#This Row],[CCCM]:[WASH]], tblPiNAnalysis5[[#Headers],[CCCM]:[WASH]], "")))</f>
        <v>CCCM
Education
Nutrition
Food Security
Health
Overarching Protection
Shelter
WASH</v>
      </c>
      <c r="AW80" s="190">
        <f>IFERROR(tblPiNAnalysis5[[#This Row],[3rd Highest Target]]/tblPiNAnalysis5[[#This Row],[Affected population projection 2026]], "")</f>
        <v>0</v>
      </c>
      <c r="AX80" s="45">
        <f>IFERROR(tblPiNAnalysis5[[#This Row],[Highest Target]]-tblPiNAnalysis5[[#This Row],[3rd Highest Target]],"")</f>
        <v>0</v>
      </c>
      <c r="AY80" s="39" t="str">
        <f>IFERROR(tblPiNAnalysis5[[#This Row],[Difference of Target between Highest and 3rd Highest]]/tblPiNAnalysis5[[#This Row],[3rd Highest Target]], "")</f>
        <v/>
      </c>
      <c r="AZ80" s="330" t="str" cm="1">
        <f t="array" ref="AZ8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0" s="300" t="str" cm="1">
        <f t="array" ref="BA8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0" s="333" t="str" cm="1">
        <f t="array" ref="BB8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0" s="276" t="str" cm="1">
        <f t="array" ref="BC8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0" s="334" t="str" cm="1">
        <f t="array" ref="BD8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0" s="277" t="e">
        <f>INDEX(tblSeverityAnalysis[Final Severity], MATCH(tblPiNAnalysis5[[#This Row],[ID]],tblSeverityAnalysis[ID], 0))</f>
        <v>#N/A</v>
      </c>
      <c r="BF80" s="61" t="e">
        <f>IF(tblPiNAnalysis5[[#This Row],[Severity]]&gt;2,tblPiNAnalysis5[[#This Row],[Highest Target]],)</f>
        <v>#N/A</v>
      </c>
      <c r="BG80" s="191"/>
      <c r="BH80" s="192"/>
      <c r="BI80" s="193">
        <f>COUNTIFS(tblPiNAnalysis5[[#This Row],[Number of missing / zero PiNs greater than threshold - Data quality]:[Manual Flag]],"Flagged")</f>
        <v>2</v>
      </c>
      <c r="BJ80" s="96" t="str">
        <f>IF(tblPiNAnalysis5[[#This Row],['# Flags]]&gt;0, "Flagged", "")</f>
        <v>Flagged</v>
      </c>
      <c r="BK80" s="326" t="e">
        <f>tblPiNAnalysis5[[#This Row],[Preliminary Target]]</f>
        <v>#N/A</v>
      </c>
      <c r="BL80" s="331"/>
    </row>
    <row r="81" spans="1:64" x14ac:dyDescent="0.55000000000000004">
      <c r="A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1" s="316" t="s">
        <v>390</v>
      </c>
      <c r="C81" s="317" t="s">
        <v>391</v>
      </c>
      <c r="D81" s="317" t="s">
        <v>408</v>
      </c>
      <c r="E81" s="105" t="s">
        <v>409</v>
      </c>
      <c r="F81" s="100"/>
      <c r="G81" s="34"/>
      <c r="H81" s="34"/>
      <c r="I81" s="97">
        <v>24855.8360229996</v>
      </c>
      <c r="J81" s="97" t="s">
        <v>412</v>
      </c>
      <c r="K81" s="261">
        <v>22574</v>
      </c>
      <c r="L81" s="319">
        <v>5005.1948441154063</v>
      </c>
      <c r="M81" s="319">
        <v>4559.3211983314986</v>
      </c>
      <c r="N81" s="319">
        <v>5860.7803064083755</v>
      </c>
      <c r="O81" s="319">
        <v>10584.306921328942</v>
      </c>
      <c r="P81" s="319">
        <v>9538.4506531204643</v>
      </c>
      <c r="Q81" s="229">
        <v>10445.183353321296</v>
      </c>
      <c r="R81" s="319">
        <v>13530.703946162206</v>
      </c>
      <c r="S81" s="319"/>
      <c r="T81" s="319"/>
      <c r="U81" s="319"/>
      <c r="V81" s="319"/>
      <c r="W81" s="321">
        <f>IFERROR(IF(tblPiNAnalysis5[[#This Row],[CCCM]]="", "", MROUND(tblPiNAnalysis5[[#This Row],[CCCM]]/tblPiNAnalysis5[[#This Row],[Affected population projection 2026]], 0.05)), "")</f>
        <v>0.9</v>
      </c>
      <c r="X81" s="322">
        <f>IFERROR(IF(tblPiNAnalysis5[[#This Row],[Education]]="", "", MROUND(tblPiNAnalysis5[[#This Row],[Education]]/tblPiNAnalysis5[[#This Row],[Affected population projection 2026]], 0.05)), "")</f>
        <v>0.2</v>
      </c>
      <c r="Y81" s="322">
        <f>IFERROR(IF(tblPiNAnalysis5[[#This Row],[Nutrition]]="", "", MROUND(tblPiNAnalysis5[[#This Row],[Nutrition]]/tblPiNAnalysis5[[#This Row],[Affected population projection 2026]], 0.05)), "")</f>
        <v>0.2</v>
      </c>
      <c r="Z81" s="322">
        <f>IFERROR(IF(tblPiNAnalysis5[[#This Row],[Food Security]]="", "", MROUND(tblPiNAnalysis5[[#This Row],[Food Security]]/tblPiNAnalysis5[[#This Row],[Affected population projection 2026]], 0.05)), "")</f>
        <v>0.25</v>
      </c>
      <c r="AA81" s="322">
        <f>IFERROR(IF(tblPiNAnalysis5[[#This Row],[Health]]="", "", MROUND(tblPiNAnalysis5[[#This Row],[Health]]/tblPiNAnalysis5[[#This Row],[Affected population projection 2026]], 0.05)), "")</f>
        <v>0.45</v>
      </c>
      <c r="AB81" s="323">
        <f>IFERROR(IF(tblPiNAnalysis5[[#This Row],[Overarching Protection]]="", "", MROUND(tblPiNAnalysis5[[#This Row],[Overarching Protection]]/tblPiNAnalysis5[[#This Row],[Affected population projection 2026]], 0.05)), "")</f>
        <v>0.4</v>
      </c>
      <c r="AC81" s="323">
        <f>IFERROR(IF(tblPiNAnalysis5[[#This Row],[Shelter]]="", "", MROUND(tblPiNAnalysis5[[#This Row],[Shelter]]/tblPiNAnalysis5[[#This Row],[Affected population projection 2026]], 0.05)), "")</f>
        <v>0.4</v>
      </c>
      <c r="AD81" s="324">
        <f>IFERROR(IF(tblPiNAnalysis5[[#This Row],[WASH]]="", "", MROUND(tblPiNAnalysis5[[#This Row],[WASH]]/tblPiNAnalysis5[[#This Row],[Affected population projection 2026]], 0.05)), "")</f>
        <v>0.55000000000000004</v>
      </c>
      <c r="AE81" s="322">
        <f>IFERROR(MROUND(tblPiNAnalysis5[[#This Row],[CP]]/tblPiNAnalysis5[[#This Row],[Affected population projection 2026]], 0.05), "")</f>
        <v>0</v>
      </c>
      <c r="AF81" s="322">
        <f>IFERROR(MROUND(tblPiNAnalysis5[[#This Row],[GBV]]/tblPiNAnalysis5[[#This Row],[Affected population projection 2026]], 0.05), "")</f>
        <v>0</v>
      </c>
      <c r="AG81" s="322">
        <f>IFERROR(MROUND(tblPiNAnalysis5[[#This Row],[Mine Action]]/tblPiNAnalysis5[[#This Row],[Affected population projection 2026]], 0.05), "")</f>
        <v>0</v>
      </c>
      <c r="AH81" s="322">
        <f>IFERROR(MROUND(tblPiNAnalysis5[[#This Row],[HLP]]/tblPiNAnalysis5[[#This Row],[Affected population projection 2026]], 0.05), "")</f>
        <v>0</v>
      </c>
      <c r="AI81" s="325">
        <f>IFERROR(LARGE(tblPiNAnalysis5[[#This Row],[CCCM]:[WASH]], 1), "")</f>
        <v>22574</v>
      </c>
      <c r="AJ81" s="326" t="str" cm="1">
        <f t="array" ref="AJ81">IF(tblPiNAnalysis5[[#This Row],[Highest Target]]="", "", _xlfn.TEXTJOIN(CHAR(10), TRUE, IF(tblPiNAnalysis5[[#This Row],[Highest Target]]=tblPiNAnalysis5[[#This Row],[CCCM]:[WASH]], tblPiNAnalysis5[[#Headers],[CCCM]:[WASH]], "")))</f>
        <v>CCCM</v>
      </c>
      <c r="AK81" s="327">
        <f>IF(tblPiNAnalysis5[[#This Row],[Highest Target]]="", "", tblPiNAnalysis5[[#This Row],[Highest Target]]/tblPiNAnalysis5[[#This Row],[Affected population projection 2026]])</f>
        <v>0.90819717265240363</v>
      </c>
      <c r="AL81" s="328" t="str">
        <f>IF(SUM(tblPiNAnalysis5[[#This Row],[CCCM]:[WASH]])=0, "",IF(COUNTIF(tblPiNAnalysis5[[#This Row],[CCCM]:[WASH]],"=0")+COUNTIF(tblPiNAnalysis5[[#This Row],[CCCM]:[WASH]],"")&gt;=zero_pin_thresh, "Flagged", ""))</f>
        <v/>
      </c>
      <c r="AM81" s="329" t="str">
        <f>IFERROR(IF(tblPiNAnalysis5[[#This Row],[Highest Target]]="", "", IF(tblPiNAnalysis5[[#This Row],[Highest sector(s'') Target %]]&gt;=flag_pin_perc, "Flagged", "")), "")</f>
        <v>Flagged</v>
      </c>
      <c r="AN81" s="330" t="str" cm="1">
        <f t="array" ref="AN81">IF(tblPiNAnalysis5[[#This Row],[Highest Target]]=0, "",  IF(OR(COUNTIF(tblPiNAnalysis5[[#This Row],[Highest sector(s)]],tblSubSectorPopulation[Sector])), "Flagged", ""))</f>
        <v/>
      </c>
      <c r="AO81" s="46" cm="1">
        <f t="array" ref="AO8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13530.703946162206</v>
      </c>
      <c r="AP81" s="331" t="str" cm="1">
        <f t="array" ref="AP81">IF(tblPiNAnalysis5[[#This Row],[2nd Highest Target]]="", "", _xlfn.TEXTJOIN(CHAR(10), TRUE, IF(tblPiNAnalysis5[[#This Row],[2nd Highest Target]]=tblPiNAnalysis5[[#This Row],[CCCM]:[WASH]], tblPiNAnalysis5[[#Headers],[CCCM]:[WASH]], "")))</f>
        <v>WASH</v>
      </c>
      <c r="AQ81" s="36">
        <f>IFERROR(tblPiNAnalysis5[[#This Row],[2nd Highest Target]]/tblPiNAnalysis5[[#This Row],[Affected population projection 2026]], "")</f>
        <v>0.54436728395061729</v>
      </c>
      <c r="AR81" s="46">
        <f>IFERROR(tblPiNAnalysis5[[#This Row],[Highest Target]]-tblPiNAnalysis5[[#This Row],[2nd Highest Target]], "")</f>
        <v>9043.2960538377938</v>
      </c>
      <c r="AS81" s="39">
        <f>IFERROR(((tblPiNAnalysis5[[#This Row],[Highest Target]]-tblPiNAnalysis5[[#This Row],[2nd Highest Target]])/tblPiNAnalysis5[[#This Row],[2nd Highest Target]]),"")</f>
        <v>0.66835370057762566</v>
      </c>
      <c r="AT81" s="39" t="str" cm="1">
        <f t="array" ref="AT8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81" s="332" cm="1">
        <f t="array" ref="AU8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10584.306921328942</v>
      </c>
      <c r="AV81" s="190" t="str" cm="1">
        <f t="array" ref="AV81">IF(tblPiNAnalysis5[[#This Row],[3rd Highest Target]]="", "", _xlfn.TEXTJOIN(CHAR(10), TRUE, IF(tblPiNAnalysis5[[#This Row],[3rd Highest Target]]=tblPiNAnalysis5[[#This Row],[CCCM]:[WASH]], tblPiNAnalysis5[[#Headers],[CCCM]:[WASH]], "")))</f>
        <v>Health</v>
      </c>
      <c r="AW81" s="190">
        <f>IFERROR(tblPiNAnalysis5[[#This Row],[3rd Highest Target]]/tblPiNAnalysis5[[#This Row],[Affected population projection 2026]], "")</f>
        <v>0.42582783824028581</v>
      </c>
      <c r="AX81" s="45">
        <f>IFERROR(tblPiNAnalysis5[[#This Row],[Highest Target]]-tblPiNAnalysis5[[#This Row],[3rd Highest Target]],"")</f>
        <v>11989.693078671058</v>
      </c>
      <c r="AY81" s="39">
        <f>IFERROR(tblPiNAnalysis5[[#This Row],[Difference of Target between Highest and 3rd Highest]]/tblPiNAnalysis5[[#This Row],[3rd Highest Target]], "")</f>
        <v>1.1327801780303683</v>
      </c>
      <c r="AZ81" s="330" t="str" cm="1">
        <f t="array" ref="AZ8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81" s="300" t="str" cm="1">
        <f t="array" ref="BA8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1" s="333" t="str" cm="1">
        <f t="array" ref="BB8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81" s="276" t="str" cm="1">
        <f t="array" ref="BC8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1" s="334" t="str" cm="1">
        <f t="array" ref="BD8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81" s="277" t="e">
        <f>INDEX(tblSeverityAnalysis[Final Severity], MATCH(tblPiNAnalysis5[[#This Row],[ID]],tblSeverityAnalysis[ID], 0))</f>
        <v>#N/A</v>
      </c>
      <c r="BF81" s="61" t="e">
        <f>IF(tblPiNAnalysis5[[#This Row],[Severity]]&gt;2,tblPiNAnalysis5[[#This Row],[Highest Target]],)</f>
        <v>#N/A</v>
      </c>
      <c r="BG81" s="191"/>
      <c r="BH81" s="192"/>
      <c r="BI81" s="193">
        <f>COUNTIFS(tblPiNAnalysis5[[#This Row],[Number of missing / zero PiNs greater than threshold - Data quality]:[Manual Flag]],"Flagged")</f>
        <v>3</v>
      </c>
      <c r="BJ81" s="96" t="str">
        <f>IF(tblPiNAnalysis5[[#This Row],['# Flags]]&gt;0, "Flagged", "")</f>
        <v>Flagged</v>
      </c>
      <c r="BK81" s="326" t="e">
        <f>tblPiNAnalysis5[[#This Row],[Preliminary Target]]</f>
        <v>#N/A</v>
      </c>
      <c r="BL81" s="331"/>
    </row>
    <row r="82" spans="1:64" ht="110.7" x14ac:dyDescent="0.55000000000000004">
      <c r="A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2" s="316" t="s">
        <v>390</v>
      </c>
      <c r="C82" s="317" t="s">
        <v>391</v>
      </c>
      <c r="D82" s="317" t="s">
        <v>410</v>
      </c>
      <c r="E82" s="105" t="s">
        <v>411</v>
      </c>
      <c r="F82" s="100"/>
      <c r="G82" s="34"/>
      <c r="H82" s="34"/>
      <c r="I82" s="97">
        <v>10973.797642312536</v>
      </c>
      <c r="J82" s="97" t="s">
        <v>412</v>
      </c>
      <c r="K82" s="261">
        <v>0</v>
      </c>
      <c r="L82" s="319">
        <v>0</v>
      </c>
      <c r="M82" s="319">
        <v>0</v>
      </c>
      <c r="N82" s="319">
        <v>0</v>
      </c>
      <c r="O82" s="319">
        <v>0</v>
      </c>
      <c r="P82" s="319">
        <v>0</v>
      </c>
      <c r="Q82" s="229">
        <v>0</v>
      </c>
      <c r="R82" s="319">
        <v>0</v>
      </c>
      <c r="S82" s="319"/>
      <c r="T82" s="319"/>
      <c r="U82" s="319"/>
      <c r="V82" s="319"/>
      <c r="W82" s="321">
        <f>IFERROR(IF(tblPiNAnalysis5[[#This Row],[CCCM]]="", "", MROUND(tblPiNAnalysis5[[#This Row],[CCCM]]/tblPiNAnalysis5[[#This Row],[Affected population projection 2026]], 0.05)), "")</f>
        <v>0</v>
      </c>
      <c r="X82" s="322">
        <f>IFERROR(IF(tblPiNAnalysis5[[#This Row],[Education]]="", "", MROUND(tblPiNAnalysis5[[#This Row],[Education]]/tblPiNAnalysis5[[#This Row],[Affected population projection 2026]], 0.05)), "")</f>
        <v>0</v>
      </c>
      <c r="Y82" s="322">
        <f>IFERROR(IF(tblPiNAnalysis5[[#This Row],[Nutrition]]="", "", MROUND(tblPiNAnalysis5[[#This Row],[Nutrition]]/tblPiNAnalysis5[[#This Row],[Affected population projection 2026]], 0.05)), "")</f>
        <v>0</v>
      </c>
      <c r="Z82" s="322">
        <f>IFERROR(IF(tblPiNAnalysis5[[#This Row],[Food Security]]="", "", MROUND(tblPiNAnalysis5[[#This Row],[Food Security]]/tblPiNAnalysis5[[#This Row],[Affected population projection 2026]], 0.05)), "")</f>
        <v>0</v>
      </c>
      <c r="AA82" s="322">
        <f>IFERROR(IF(tblPiNAnalysis5[[#This Row],[Health]]="", "", MROUND(tblPiNAnalysis5[[#This Row],[Health]]/tblPiNAnalysis5[[#This Row],[Affected population projection 2026]], 0.05)), "")</f>
        <v>0</v>
      </c>
      <c r="AB82" s="323">
        <f>IFERROR(IF(tblPiNAnalysis5[[#This Row],[Overarching Protection]]="", "", MROUND(tblPiNAnalysis5[[#This Row],[Overarching Protection]]/tblPiNAnalysis5[[#This Row],[Affected population projection 2026]], 0.05)), "")</f>
        <v>0</v>
      </c>
      <c r="AC82" s="323">
        <f>IFERROR(IF(tblPiNAnalysis5[[#This Row],[Shelter]]="", "", MROUND(tblPiNAnalysis5[[#This Row],[Shelter]]/tblPiNAnalysis5[[#This Row],[Affected population projection 2026]], 0.05)), "")</f>
        <v>0</v>
      </c>
      <c r="AD82" s="324">
        <f>IFERROR(IF(tblPiNAnalysis5[[#This Row],[WASH]]="", "", MROUND(tblPiNAnalysis5[[#This Row],[WASH]]/tblPiNAnalysis5[[#This Row],[Affected population projection 2026]], 0.05)), "")</f>
        <v>0</v>
      </c>
      <c r="AE82" s="322">
        <f>IFERROR(MROUND(tblPiNAnalysis5[[#This Row],[CP]]/tblPiNAnalysis5[[#This Row],[Affected population projection 2026]], 0.05), "")</f>
        <v>0</v>
      </c>
      <c r="AF82" s="322">
        <f>IFERROR(MROUND(tblPiNAnalysis5[[#This Row],[GBV]]/tblPiNAnalysis5[[#This Row],[Affected population projection 2026]], 0.05), "")</f>
        <v>0</v>
      </c>
      <c r="AG82" s="322">
        <f>IFERROR(MROUND(tblPiNAnalysis5[[#This Row],[Mine Action]]/tblPiNAnalysis5[[#This Row],[Affected population projection 2026]], 0.05), "")</f>
        <v>0</v>
      </c>
      <c r="AH82" s="322">
        <f>IFERROR(MROUND(tblPiNAnalysis5[[#This Row],[HLP]]/tblPiNAnalysis5[[#This Row],[Affected population projection 2026]], 0.05), "")</f>
        <v>0</v>
      </c>
      <c r="AI82" s="325">
        <f>IFERROR(LARGE(tblPiNAnalysis5[[#This Row],[CCCM]:[WASH]], 1), "")</f>
        <v>0</v>
      </c>
      <c r="AJ82" s="326" t="str" cm="1">
        <f t="array" ref="AJ82">IF(tblPiNAnalysis5[[#This Row],[Highest Target]]="", "", _xlfn.TEXTJOIN(CHAR(10), TRUE, IF(tblPiNAnalysis5[[#This Row],[Highest Target]]=tblPiNAnalysis5[[#This Row],[CCCM]:[WASH]], tblPiNAnalysis5[[#Headers],[CCCM]:[WASH]], "")))</f>
        <v>CCCM
Education
Nutrition
Food Security
Health
Overarching Protection
Shelter
WASH</v>
      </c>
      <c r="AK82" s="327">
        <f>IF(tblPiNAnalysis5[[#This Row],[Highest Target]]="", "", tblPiNAnalysis5[[#This Row],[Highest Target]]/tblPiNAnalysis5[[#This Row],[Affected population projection 2026]])</f>
        <v>0</v>
      </c>
      <c r="AL82" s="328" t="str">
        <f>IF(SUM(tblPiNAnalysis5[[#This Row],[CCCM]:[WASH]])=0, "",IF(COUNTIF(tblPiNAnalysis5[[#This Row],[CCCM]:[WASH]],"=0")+COUNTIF(tblPiNAnalysis5[[#This Row],[CCCM]:[WASH]],"")&gt;=zero_pin_thresh, "Flagged", ""))</f>
        <v/>
      </c>
      <c r="AM82" s="329" t="str">
        <f>IFERROR(IF(tblPiNAnalysis5[[#This Row],[Highest Target]]="", "", IF(tblPiNAnalysis5[[#This Row],[Highest sector(s'') Target %]]&gt;=flag_pin_perc, "Flagged", "")), "")</f>
        <v/>
      </c>
      <c r="AN82" s="330" t="str" cm="1">
        <f t="array" ref="AN82">IF(tblPiNAnalysis5[[#This Row],[Highest Target]]=0, "",  IF(OR(COUNTIF(tblPiNAnalysis5[[#This Row],[Highest sector(s)]],tblSubSectorPopulation[Sector])), "Flagged", ""))</f>
        <v/>
      </c>
      <c r="AO82" s="46" cm="1">
        <f t="array" ref="AO8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2" s="331" t="str" cm="1">
        <f t="array" ref="AP82">IF(tblPiNAnalysis5[[#This Row],[2nd Highest Target]]="", "", _xlfn.TEXTJOIN(CHAR(10), TRUE, IF(tblPiNAnalysis5[[#This Row],[2nd Highest Target]]=tblPiNAnalysis5[[#This Row],[CCCM]:[WASH]], tblPiNAnalysis5[[#Headers],[CCCM]:[WASH]], "")))</f>
        <v>CCCM
Education
Nutrition
Food Security
Health
Overarching Protection
Shelter
WASH</v>
      </c>
      <c r="AQ82" s="36">
        <f>IFERROR(tblPiNAnalysis5[[#This Row],[2nd Highest Target]]/tblPiNAnalysis5[[#This Row],[Affected population projection 2026]], "")</f>
        <v>0</v>
      </c>
      <c r="AR82" s="46">
        <f>IFERROR(tblPiNAnalysis5[[#This Row],[Highest Target]]-tblPiNAnalysis5[[#This Row],[2nd Highest Target]], "")</f>
        <v>0</v>
      </c>
      <c r="AS82" s="39" t="str">
        <f>IFERROR(((tblPiNAnalysis5[[#This Row],[Highest Target]]-tblPiNAnalysis5[[#This Row],[2nd Highest Target]])/tblPiNAnalysis5[[#This Row],[2nd Highest Target]]),"")</f>
        <v/>
      </c>
      <c r="AT82" s="39" t="str" cm="1">
        <f t="array" ref="AT8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2" s="332" cm="1">
        <f t="array" ref="AU8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2" s="190" t="str" cm="1">
        <f t="array" ref="AV82">IF(tblPiNAnalysis5[[#This Row],[3rd Highest Target]]="", "", _xlfn.TEXTJOIN(CHAR(10), TRUE, IF(tblPiNAnalysis5[[#This Row],[3rd Highest Target]]=tblPiNAnalysis5[[#This Row],[CCCM]:[WASH]], tblPiNAnalysis5[[#Headers],[CCCM]:[WASH]], "")))</f>
        <v>CCCM
Education
Nutrition
Food Security
Health
Overarching Protection
Shelter
WASH</v>
      </c>
      <c r="AW82" s="190">
        <f>IFERROR(tblPiNAnalysis5[[#This Row],[3rd Highest Target]]/tblPiNAnalysis5[[#This Row],[Affected population projection 2026]], "")</f>
        <v>0</v>
      </c>
      <c r="AX82" s="45">
        <f>IFERROR(tblPiNAnalysis5[[#This Row],[Highest Target]]-tblPiNAnalysis5[[#This Row],[3rd Highest Target]],"")</f>
        <v>0</v>
      </c>
      <c r="AY82" s="39" t="str">
        <f>IFERROR(tblPiNAnalysis5[[#This Row],[Difference of Target between Highest and 3rd Highest]]/tblPiNAnalysis5[[#This Row],[3rd Highest Target]], "")</f>
        <v/>
      </c>
      <c r="AZ82" s="330" t="str" cm="1">
        <f t="array" ref="AZ8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2" s="300" t="str" cm="1">
        <f t="array" ref="BA8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2" s="333" t="str" cm="1">
        <f t="array" ref="BB8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2" s="276" t="str" cm="1">
        <f t="array" ref="BC8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2" s="334" t="str" cm="1">
        <f t="array" ref="BD8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2" s="277" t="e">
        <f>INDEX(tblSeverityAnalysis[Final Severity], MATCH(tblPiNAnalysis5[[#This Row],[ID]],tblSeverityAnalysis[ID], 0))</f>
        <v>#N/A</v>
      </c>
      <c r="BF82" s="61" t="e">
        <f>IF(tblPiNAnalysis5[[#This Row],[Severity]]&gt;2,tblPiNAnalysis5[[#This Row],[Highest Target]],)</f>
        <v>#N/A</v>
      </c>
      <c r="BG82" s="191"/>
      <c r="BH82" s="192"/>
      <c r="BI82" s="193">
        <f>COUNTIFS(tblPiNAnalysis5[[#This Row],[Number of missing / zero PiNs greater than threshold - Data quality]:[Manual Flag]],"Flagged")</f>
        <v>2</v>
      </c>
      <c r="BJ82" s="96" t="str">
        <f>IF(tblPiNAnalysis5[[#This Row],['# Flags]]&gt;0, "Flagged", "")</f>
        <v>Flagged</v>
      </c>
      <c r="BK82" s="326" t="e">
        <f>tblPiNAnalysis5[[#This Row],[Preliminary Target]]</f>
        <v>#N/A</v>
      </c>
      <c r="BL82" s="331"/>
    </row>
    <row r="83" spans="1:64" ht="27.6" x14ac:dyDescent="0.55000000000000004">
      <c r="A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3" s="316" t="s">
        <v>233</v>
      </c>
      <c r="C83" s="317" t="s">
        <v>234</v>
      </c>
      <c r="D83" s="317" t="s">
        <v>233</v>
      </c>
      <c r="E83" s="105" t="s">
        <v>235</v>
      </c>
      <c r="F83" s="100"/>
      <c r="G83" s="34"/>
      <c r="H83" s="34"/>
      <c r="I83" s="97">
        <v>14516.802522734295</v>
      </c>
      <c r="J83" s="97" t="s">
        <v>413</v>
      </c>
      <c r="K83" s="318">
        <v>0</v>
      </c>
      <c r="L83" s="319">
        <v>384.11459475154942</v>
      </c>
      <c r="M83" s="319">
        <v>3895.0672639218305</v>
      </c>
      <c r="N83" s="319">
        <v>5017.9928151869372</v>
      </c>
      <c r="O83" s="319">
        <v>7113.7750119754764</v>
      </c>
      <c r="P83" s="319">
        <v>1053.4830495781116</v>
      </c>
      <c r="Q83" s="320">
        <v>137.21361288611871</v>
      </c>
      <c r="R83" s="319">
        <v>1568.1731120237662</v>
      </c>
      <c r="S83" s="319"/>
      <c r="T83" s="319"/>
      <c r="U83" s="319"/>
      <c r="V83" s="319"/>
      <c r="W83" s="321">
        <f>IFERROR(IF(tblPiNAnalysis5[[#This Row],[CCCM]]="", "", MROUND(tblPiNAnalysis5[[#This Row],[CCCM]]/tblPiNAnalysis5[[#This Row],[Affected population projection 2026]], 0.05)), "")</f>
        <v>0</v>
      </c>
      <c r="X83" s="322">
        <f>IFERROR(IF(tblPiNAnalysis5[[#This Row],[Education]]="", "", MROUND(tblPiNAnalysis5[[#This Row],[Education]]/tblPiNAnalysis5[[#This Row],[Affected population projection 2026]], 0.05)), "")</f>
        <v>0.05</v>
      </c>
      <c r="Y83" s="322">
        <f>IFERROR(IF(tblPiNAnalysis5[[#This Row],[Nutrition]]="", "", MROUND(tblPiNAnalysis5[[#This Row],[Nutrition]]/tblPiNAnalysis5[[#This Row],[Affected population projection 2026]], 0.05)), "")</f>
        <v>0.25</v>
      </c>
      <c r="Z83" s="322">
        <f>IFERROR(IF(tblPiNAnalysis5[[#This Row],[Food Security]]="", "", MROUND(tblPiNAnalysis5[[#This Row],[Food Security]]/tblPiNAnalysis5[[#This Row],[Affected population projection 2026]], 0.05)), "")</f>
        <v>0.35000000000000003</v>
      </c>
      <c r="AA83" s="322">
        <f>IFERROR(IF(tblPiNAnalysis5[[#This Row],[Health]]="", "", MROUND(tblPiNAnalysis5[[#This Row],[Health]]/tblPiNAnalysis5[[#This Row],[Affected population projection 2026]], 0.05)), "")</f>
        <v>0.5</v>
      </c>
      <c r="AB83" s="323">
        <f>IFERROR(IF(tblPiNAnalysis5[[#This Row],[Overarching Protection]]="", "", MROUND(tblPiNAnalysis5[[#This Row],[Overarching Protection]]/tblPiNAnalysis5[[#This Row],[Affected population projection 2026]], 0.05)), "")</f>
        <v>0.05</v>
      </c>
      <c r="AC83" s="323">
        <f>IFERROR(IF(tblPiNAnalysis5[[#This Row],[Shelter]]="", "", MROUND(tblPiNAnalysis5[[#This Row],[Shelter]]/tblPiNAnalysis5[[#This Row],[Affected population projection 2026]], 0.05)), "")</f>
        <v>0</v>
      </c>
      <c r="AD83" s="324">
        <f>IFERROR(IF(tblPiNAnalysis5[[#This Row],[WASH]]="", "", MROUND(tblPiNAnalysis5[[#This Row],[WASH]]/tblPiNAnalysis5[[#This Row],[Affected population projection 2026]], 0.05)), "")</f>
        <v>0.1</v>
      </c>
      <c r="AE83" s="322">
        <f>IFERROR(MROUND(tblPiNAnalysis5[[#This Row],[CP]]/tblPiNAnalysis5[[#This Row],[Affected population projection 2026]], 0.05), "")</f>
        <v>0</v>
      </c>
      <c r="AF83" s="322">
        <f>IFERROR(MROUND(tblPiNAnalysis5[[#This Row],[GBV]]/tblPiNAnalysis5[[#This Row],[Affected population projection 2026]], 0.05), "")</f>
        <v>0</v>
      </c>
      <c r="AG83" s="322">
        <f>IFERROR(MROUND(tblPiNAnalysis5[[#This Row],[Mine Action]]/tblPiNAnalysis5[[#This Row],[Affected population projection 2026]], 0.05), "")</f>
        <v>0</v>
      </c>
      <c r="AH83" s="322">
        <f>IFERROR(MROUND(tblPiNAnalysis5[[#This Row],[HLP]]/tblPiNAnalysis5[[#This Row],[Affected population projection 2026]], 0.05), "")</f>
        <v>0</v>
      </c>
      <c r="AI83" s="325">
        <f>IFERROR(LARGE(tblPiNAnalysis5[[#This Row],[CCCM]:[WASH]], 1), "")</f>
        <v>7113.7750119754764</v>
      </c>
      <c r="AJ83" s="326" t="str" cm="1">
        <f t="array" ref="AJ83">IF(tblPiNAnalysis5[[#This Row],[Highest Target]]="", "", _xlfn.TEXTJOIN(CHAR(10), TRUE, IF(tblPiNAnalysis5[[#This Row],[Highest Target]]=tblPiNAnalysis5[[#This Row],[CCCM]:[WASH]], tblPiNAnalysis5[[#Headers],[CCCM]:[WASH]], "")))</f>
        <v>Health</v>
      </c>
      <c r="AK83" s="327">
        <f>IF(tblPiNAnalysis5[[#This Row],[Highest Target]]="", "", tblPiNAnalysis5[[#This Row],[Highest Target]]/tblPiNAnalysis5[[#This Row],[Affected population projection 2026]])</f>
        <v>0.49003732060381916</v>
      </c>
      <c r="AL83" s="328" t="str">
        <f>IF(SUM(tblPiNAnalysis5[[#This Row],[CCCM]:[WASH]])=0, "",IF(COUNTIF(tblPiNAnalysis5[[#This Row],[CCCM]:[WASH]],"=0")+COUNTIF(tblPiNAnalysis5[[#This Row],[CCCM]:[WASH]],"")&gt;=zero_pin_thresh, "Flagged", ""))</f>
        <v/>
      </c>
      <c r="AM83" s="329" t="str">
        <f>IFERROR(IF(tblPiNAnalysis5[[#This Row],[Highest Target]]="", "", IF(tblPiNAnalysis5[[#This Row],[Highest sector(s'') Target %]]&gt;=flag_pin_perc, "Flagged", "")), "")</f>
        <v/>
      </c>
      <c r="AN83" s="330" t="str" cm="1">
        <f t="array" ref="AN83">IF(tblPiNAnalysis5[[#This Row],[Highest Target]]=0, "",  IF(OR(COUNTIF(tblPiNAnalysis5[[#This Row],[Highest sector(s)]],tblSubSectorPopulation[Sector])), "Flagged", ""))</f>
        <v/>
      </c>
      <c r="AO83" s="46" cm="1">
        <f t="array" ref="AO8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5017.9928151869372</v>
      </c>
      <c r="AP83" s="331" t="str" cm="1">
        <f t="array" ref="AP83">IF(tblPiNAnalysis5[[#This Row],[2nd Highest Target]]="", "", _xlfn.TEXTJOIN(CHAR(10), TRUE, IF(tblPiNAnalysis5[[#This Row],[2nd Highest Target]]=tblPiNAnalysis5[[#This Row],[CCCM]:[WASH]], tblPiNAnalysis5[[#Headers],[CCCM]:[WASH]], "")))</f>
        <v>Food Security</v>
      </c>
      <c r="AQ83" s="36">
        <f>IFERROR(tblPiNAnalysis5[[#This Row],[2nd Highest Target]]/tblPiNAnalysis5[[#This Row],[Affected population projection 2026]], "")</f>
        <v>0.34566791187855733</v>
      </c>
      <c r="AR83" s="46">
        <f>IFERROR(tblPiNAnalysis5[[#This Row],[Highest Target]]-tblPiNAnalysis5[[#This Row],[2nd Highest Target]], "")</f>
        <v>2095.7821967885393</v>
      </c>
      <c r="AS83" s="39">
        <f>IFERROR(((tblPiNAnalysis5[[#This Row],[Highest Target]]-tblPiNAnalysis5[[#This Row],[2nd Highest Target]])/tblPiNAnalysis5[[#This Row],[2nd Highest Target]]),"")</f>
        <v>0.41765348695710802</v>
      </c>
      <c r="AT83" s="39" t="str" cm="1">
        <f t="array" ref="AT8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83" s="332" cm="1">
        <f t="array" ref="AU8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3895.0672639218305</v>
      </c>
      <c r="AV83" s="190" t="str" cm="1">
        <f t="array" ref="AV83">IF(tblPiNAnalysis5[[#This Row],[3rd Highest Target]]="", "", _xlfn.TEXTJOIN(CHAR(10), TRUE, IF(tblPiNAnalysis5[[#This Row],[3rd Highest Target]]=tblPiNAnalysis5[[#This Row],[CCCM]:[WASH]], tblPiNAnalysis5[[#Headers],[CCCM]:[WASH]], "")))</f>
        <v>Nutrition</v>
      </c>
      <c r="AW83" s="190">
        <f>IFERROR(tblPiNAnalysis5[[#This Row],[3rd Highest Target]]/tblPiNAnalysis5[[#This Row],[Affected population projection 2026]], "")</f>
        <v>0.26831440724098105</v>
      </c>
      <c r="AX83" s="45">
        <f>IFERROR(tblPiNAnalysis5[[#This Row],[Highest Target]]-tblPiNAnalysis5[[#This Row],[3rd Highest Target]],"")</f>
        <v>3218.7077480536459</v>
      </c>
      <c r="AY83" s="39">
        <f>IFERROR(tblPiNAnalysis5[[#This Row],[Difference of Target between Highest and 3rd Highest]]/tblPiNAnalysis5[[#This Row],[3rd Highest Target]], "")</f>
        <v>0.82635485601674108</v>
      </c>
      <c r="AZ83" s="330" t="str" cm="1">
        <f t="array" ref="AZ8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83" s="300" t="str" cm="1">
        <f t="array" ref="BA8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3" s="333" t="str" cm="1">
        <f t="array" ref="BB8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3" s="276" t="str" cm="1">
        <f t="array" ref="BC8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3" s="334" t="str" cm="1">
        <f t="array" ref="BD8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83" s="277" t="e">
        <f>INDEX(tblSeverityAnalysis[Final Severity], MATCH(tblPiNAnalysis5[[#This Row],[ID]],tblSeverityAnalysis[ID], 0))</f>
        <v>#N/A</v>
      </c>
      <c r="BF83" s="61" t="e">
        <f>IF(tblPiNAnalysis5[[#This Row],[Severity]]&gt;2,tblPiNAnalysis5[[#This Row],[Highest Target]],)</f>
        <v>#N/A</v>
      </c>
      <c r="BG83" s="191"/>
      <c r="BH83" s="192"/>
      <c r="BI83" s="193">
        <f>COUNTIFS(tblPiNAnalysis5[[#This Row],[Number of missing / zero PiNs greater than threshold - Data quality]:[Manual Flag]],"Flagged")</f>
        <v>3</v>
      </c>
      <c r="BJ83" s="96" t="str">
        <f>IF(tblPiNAnalysis5[[#This Row],['# Flags]]&gt;0, "Flagged", "")</f>
        <v>Flagged</v>
      </c>
      <c r="BK83" s="326" t="e">
        <f>tblPiNAnalysis5[[#This Row],[Preliminary Target]]</f>
        <v>#N/A</v>
      </c>
      <c r="BL83" s="331"/>
    </row>
    <row r="84" spans="1:64" ht="110.7" x14ac:dyDescent="0.55000000000000004">
      <c r="A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4" s="316" t="s">
        <v>236</v>
      </c>
      <c r="C84" s="317" t="s">
        <v>237</v>
      </c>
      <c r="D84" s="317" t="s">
        <v>238</v>
      </c>
      <c r="E84" s="105" t="s">
        <v>239</v>
      </c>
      <c r="F84" s="100"/>
      <c r="G84" s="34"/>
      <c r="H84" s="34"/>
      <c r="I84" s="97">
        <v>310546.09109739598</v>
      </c>
      <c r="J84" s="97" t="s">
        <v>413</v>
      </c>
      <c r="K84" s="318">
        <v>0</v>
      </c>
      <c r="L84" s="319">
        <v>0</v>
      </c>
      <c r="M84" s="319">
        <v>0</v>
      </c>
      <c r="N84" s="319">
        <v>0</v>
      </c>
      <c r="O84" s="319">
        <v>0</v>
      </c>
      <c r="P84" s="319">
        <v>0</v>
      </c>
      <c r="Q84" s="320">
        <v>0</v>
      </c>
      <c r="R84" s="319">
        <v>0</v>
      </c>
      <c r="S84" s="319"/>
      <c r="T84" s="319"/>
      <c r="U84" s="319"/>
      <c r="V84" s="319"/>
      <c r="W84" s="321">
        <f>IFERROR(IF(tblPiNAnalysis5[[#This Row],[CCCM]]="", "", MROUND(tblPiNAnalysis5[[#This Row],[CCCM]]/tblPiNAnalysis5[[#This Row],[Affected population projection 2026]], 0.05)), "")</f>
        <v>0</v>
      </c>
      <c r="X84" s="322">
        <f>IFERROR(IF(tblPiNAnalysis5[[#This Row],[Education]]="", "", MROUND(tblPiNAnalysis5[[#This Row],[Education]]/tblPiNAnalysis5[[#This Row],[Affected population projection 2026]], 0.05)), "")</f>
        <v>0</v>
      </c>
      <c r="Y84" s="322">
        <f>IFERROR(IF(tblPiNAnalysis5[[#This Row],[Nutrition]]="", "", MROUND(tblPiNAnalysis5[[#This Row],[Nutrition]]/tblPiNAnalysis5[[#This Row],[Affected population projection 2026]], 0.05)), "")</f>
        <v>0</v>
      </c>
      <c r="Z84" s="322">
        <f>IFERROR(IF(tblPiNAnalysis5[[#This Row],[Food Security]]="", "", MROUND(tblPiNAnalysis5[[#This Row],[Food Security]]/tblPiNAnalysis5[[#This Row],[Affected population projection 2026]], 0.05)), "")</f>
        <v>0</v>
      </c>
      <c r="AA84" s="322">
        <f>IFERROR(IF(tblPiNAnalysis5[[#This Row],[Health]]="", "", MROUND(tblPiNAnalysis5[[#This Row],[Health]]/tblPiNAnalysis5[[#This Row],[Affected population projection 2026]], 0.05)), "")</f>
        <v>0</v>
      </c>
      <c r="AB84" s="323">
        <f>IFERROR(IF(tblPiNAnalysis5[[#This Row],[Overarching Protection]]="", "", MROUND(tblPiNAnalysis5[[#This Row],[Overarching Protection]]/tblPiNAnalysis5[[#This Row],[Affected population projection 2026]], 0.05)), "")</f>
        <v>0</v>
      </c>
      <c r="AC84" s="323">
        <f>IFERROR(IF(tblPiNAnalysis5[[#This Row],[Shelter]]="", "", MROUND(tblPiNAnalysis5[[#This Row],[Shelter]]/tblPiNAnalysis5[[#This Row],[Affected population projection 2026]], 0.05)), "")</f>
        <v>0</v>
      </c>
      <c r="AD84" s="324">
        <f>IFERROR(IF(tblPiNAnalysis5[[#This Row],[WASH]]="", "", MROUND(tblPiNAnalysis5[[#This Row],[WASH]]/tblPiNAnalysis5[[#This Row],[Affected population projection 2026]], 0.05)), "")</f>
        <v>0</v>
      </c>
      <c r="AE84" s="322">
        <f>IFERROR(MROUND(tblPiNAnalysis5[[#This Row],[CP]]/tblPiNAnalysis5[[#This Row],[Affected population projection 2026]], 0.05), "")</f>
        <v>0</v>
      </c>
      <c r="AF84" s="322">
        <f>IFERROR(MROUND(tblPiNAnalysis5[[#This Row],[GBV]]/tblPiNAnalysis5[[#This Row],[Affected population projection 2026]], 0.05), "")</f>
        <v>0</v>
      </c>
      <c r="AG84" s="322">
        <f>IFERROR(MROUND(tblPiNAnalysis5[[#This Row],[Mine Action]]/tblPiNAnalysis5[[#This Row],[Affected population projection 2026]], 0.05), "")</f>
        <v>0</v>
      </c>
      <c r="AH84" s="322">
        <f>IFERROR(MROUND(tblPiNAnalysis5[[#This Row],[HLP]]/tblPiNAnalysis5[[#This Row],[Affected population projection 2026]], 0.05), "")</f>
        <v>0</v>
      </c>
      <c r="AI84" s="325">
        <f>IFERROR(LARGE(tblPiNAnalysis5[[#This Row],[CCCM]:[WASH]], 1), "")</f>
        <v>0</v>
      </c>
      <c r="AJ84" s="326" t="str" cm="1">
        <f t="array" ref="AJ84">IF(tblPiNAnalysis5[[#This Row],[Highest Target]]="", "", _xlfn.TEXTJOIN(CHAR(10), TRUE, IF(tblPiNAnalysis5[[#This Row],[Highest Target]]=tblPiNAnalysis5[[#This Row],[CCCM]:[WASH]], tblPiNAnalysis5[[#Headers],[CCCM]:[WASH]], "")))</f>
        <v>CCCM
Education
Nutrition
Food Security
Health
Overarching Protection
Shelter
WASH</v>
      </c>
      <c r="AK84" s="327">
        <f>IF(tblPiNAnalysis5[[#This Row],[Highest Target]]="", "", tblPiNAnalysis5[[#This Row],[Highest Target]]/tblPiNAnalysis5[[#This Row],[Affected population projection 2026]])</f>
        <v>0</v>
      </c>
      <c r="AL84" s="328" t="str">
        <f>IF(SUM(tblPiNAnalysis5[[#This Row],[CCCM]:[WASH]])=0, "",IF(COUNTIF(tblPiNAnalysis5[[#This Row],[CCCM]:[WASH]],"=0")+COUNTIF(tblPiNAnalysis5[[#This Row],[CCCM]:[WASH]],"")&gt;=zero_pin_thresh, "Flagged", ""))</f>
        <v/>
      </c>
      <c r="AM84" s="329" t="str">
        <f>IFERROR(IF(tblPiNAnalysis5[[#This Row],[Highest Target]]="", "", IF(tblPiNAnalysis5[[#This Row],[Highest sector(s'') Target %]]&gt;=flag_pin_perc, "Flagged", "")), "")</f>
        <v/>
      </c>
      <c r="AN84" s="330" t="str" cm="1">
        <f t="array" ref="AN84">IF(tblPiNAnalysis5[[#This Row],[Highest Target]]=0, "",  IF(OR(COUNTIF(tblPiNAnalysis5[[#This Row],[Highest sector(s)]],tblSubSectorPopulation[Sector])), "Flagged", ""))</f>
        <v/>
      </c>
      <c r="AO84" s="46" cm="1">
        <f t="array" ref="AO8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4" s="331" t="str" cm="1">
        <f t="array" ref="AP84">IF(tblPiNAnalysis5[[#This Row],[2nd Highest Target]]="", "", _xlfn.TEXTJOIN(CHAR(10), TRUE, IF(tblPiNAnalysis5[[#This Row],[2nd Highest Target]]=tblPiNAnalysis5[[#This Row],[CCCM]:[WASH]], tblPiNAnalysis5[[#Headers],[CCCM]:[WASH]], "")))</f>
        <v>CCCM
Education
Nutrition
Food Security
Health
Overarching Protection
Shelter
WASH</v>
      </c>
      <c r="AQ84" s="36">
        <f>IFERROR(tblPiNAnalysis5[[#This Row],[2nd Highest Target]]/tblPiNAnalysis5[[#This Row],[Affected population projection 2026]], "")</f>
        <v>0</v>
      </c>
      <c r="AR84" s="46">
        <f>IFERROR(tblPiNAnalysis5[[#This Row],[Highest Target]]-tblPiNAnalysis5[[#This Row],[2nd Highest Target]], "")</f>
        <v>0</v>
      </c>
      <c r="AS84" s="39" t="str">
        <f>IFERROR(((tblPiNAnalysis5[[#This Row],[Highest Target]]-tblPiNAnalysis5[[#This Row],[2nd Highest Target]])/tblPiNAnalysis5[[#This Row],[2nd Highest Target]]),"")</f>
        <v/>
      </c>
      <c r="AT84" s="39" t="str" cm="1">
        <f t="array" ref="AT8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4" s="332" cm="1">
        <f t="array" ref="AU8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4" s="190" t="str" cm="1">
        <f t="array" ref="AV84">IF(tblPiNAnalysis5[[#This Row],[3rd Highest Target]]="", "", _xlfn.TEXTJOIN(CHAR(10), TRUE, IF(tblPiNAnalysis5[[#This Row],[3rd Highest Target]]=tblPiNAnalysis5[[#This Row],[CCCM]:[WASH]], tblPiNAnalysis5[[#Headers],[CCCM]:[WASH]], "")))</f>
        <v>CCCM
Education
Nutrition
Food Security
Health
Overarching Protection
Shelter
WASH</v>
      </c>
      <c r="AW84" s="190">
        <f>IFERROR(tblPiNAnalysis5[[#This Row],[3rd Highest Target]]/tblPiNAnalysis5[[#This Row],[Affected population projection 2026]], "")</f>
        <v>0</v>
      </c>
      <c r="AX84" s="45">
        <f>IFERROR(tblPiNAnalysis5[[#This Row],[Highest Target]]-tblPiNAnalysis5[[#This Row],[3rd Highest Target]],"")</f>
        <v>0</v>
      </c>
      <c r="AY84" s="39" t="str">
        <f>IFERROR(tblPiNAnalysis5[[#This Row],[Difference of Target between Highest and 3rd Highest]]/tblPiNAnalysis5[[#This Row],[3rd Highest Target]], "")</f>
        <v/>
      </c>
      <c r="AZ84" s="330" t="str" cm="1">
        <f t="array" ref="AZ8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4" s="300" t="str" cm="1">
        <f t="array" ref="BA8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4" s="333" t="str" cm="1">
        <f t="array" ref="BB8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4" s="276" t="str" cm="1">
        <f t="array" ref="BC8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4" s="334" t="str" cm="1">
        <f t="array" ref="BD8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4" s="277" t="e">
        <f>INDEX(tblSeverityAnalysis[Final Severity], MATCH(tblPiNAnalysis5[[#This Row],[ID]],tblSeverityAnalysis[ID], 0))</f>
        <v>#N/A</v>
      </c>
      <c r="BF84" s="61" t="e">
        <f>IF(tblPiNAnalysis5[[#This Row],[Severity]]&gt;2,tblPiNAnalysis5[[#This Row],[Highest Target]],)</f>
        <v>#N/A</v>
      </c>
      <c r="BG84" s="191"/>
      <c r="BH84" s="192"/>
      <c r="BI84" s="193">
        <f>COUNTIFS(tblPiNAnalysis5[[#This Row],[Number of missing / zero PiNs greater than threshold - Data quality]:[Manual Flag]],"Flagged")</f>
        <v>2</v>
      </c>
      <c r="BJ84" s="96" t="str">
        <f>IF(tblPiNAnalysis5[[#This Row],['# Flags]]&gt;0, "Flagged", "")</f>
        <v>Flagged</v>
      </c>
      <c r="BK84" s="326" t="e">
        <f>tblPiNAnalysis5[[#This Row],[Preliminary Target]]</f>
        <v>#N/A</v>
      </c>
      <c r="BL84" s="331"/>
    </row>
    <row r="85" spans="1:64" ht="110.7" x14ac:dyDescent="0.55000000000000004">
      <c r="A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5" s="316" t="s">
        <v>236</v>
      </c>
      <c r="C85" s="317" t="s">
        <v>237</v>
      </c>
      <c r="D85" s="317" t="s">
        <v>240</v>
      </c>
      <c r="E85" s="105" t="s">
        <v>241</v>
      </c>
      <c r="F85" s="100"/>
      <c r="G85" s="34"/>
      <c r="H85" s="34"/>
      <c r="I85" s="97">
        <v>165087.87496325735</v>
      </c>
      <c r="J85" s="97" t="s">
        <v>413</v>
      </c>
      <c r="K85" s="318">
        <v>0</v>
      </c>
      <c r="L85" s="319">
        <v>0</v>
      </c>
      <c r="M85" s="319">
        <v>0</v>
      </c>
      <c r="N85" s="319">
        <v>0</v>
      </c>
      <c r="O85" s="319">
        <v>0</v>
      </c>
      <c r="P85" s="319">
        <v>0</v>
      </c>
      <c r="Q85" s="320">
        <v>0</v>
      </c>
      <c r="R85" s="319">
        <v>0</v>
      </c>
      <c r="S85" s="319"/>
      <c r="T85" s="319"/>
      <c r="U85" s="319"/>
      <c r="V85" s="319"/>
      <c r="W85" s="321">
        <f>IFERROR(IF(tblPiNAnalysis5[[#This Row],[CCCM]]="", "", MROUND(tblPiNAnalysis5[[#This Row],[CCCM]]/tblPiNAnalysis5[[#This Row],[Affected population projection 2026]], 0.05)), "")</f>
        <v>0</v>
      </c>
      <c r="X85" s="322">
        <f>IFERROR(IF(tblPiNAnalysis5[[#This Row],[Education]]="", "", MROUND(tblPiNAnalysis5[[#This Row],[Education]]/tblPiNAnalysis5[[#This Row],[Affected population projection 2026]], 0.05)), "")</f>
        <v>0</v>
      </c>
      <c r="Y85" s="322">
        <f>IFERROR(IF(tblPiNAnalysis5[[#This Row],[Nutrition]]="", "", MROUND(tblPiNAnalysis5[[#This Row],[Nutrition]]/tblPiNAnalysis5[[#This Row],[Affected population projection 2026]], 0.05)), "")</f>
        <v>0</v>
      </c>
      <c r="Z85" s="322">
        <f>IFERROR(IF(tblPiNAnalysis5[[#This Row],[Food Security]]="", "", MROUND(tblPiNAnalysis5[[#This Row],[Food Security]]/tblPiNAnalysis5[[#This Row],[Affected population projection 2026]], 0.05)), "")</f>
        <v>0</v>
      </c>
      <c r="AA85" s="322">
        <f>IFERROR(IF(tblPiNAnalysis5[[#This Row],[Health]]="", "", MROUND(tblPiNAnalysis5[[#This Row],[Health]]/tblPiNAnalysis5[[#This Row],[Affected population projection 2026]], 0.05)), "")</f>
        <v>0</v>
      </c>
      <c r="AB85" s="323">
        <f>IFERROR(IF(tblPiNAnalysis5[[#This Row],[Overarching Protection]]="", "", MROUND(tblPiNAnalysis5[[#This Row],[Overarching Protection]]/tblPiNAnalysis5[[#This Row],[Affected population projection 2026]], 0.05)), "")</f>
        <v>0</v>
      </c>
      <c r="AC85" s="323">
        <f>IFERROR(IF(tblPiNAnalysis5[[#This Row],[Shelter]]="", "", MROUND(tblPiNAnalysis5[[#This Row],[Shelter]]/tblPiNAnalysis5[[#This Row],[Affected population projection 2026]], 0.05)), "")</f>
        <v>0</v>
      </c>
      <c r="AD85" s="324">
        <f>IFERROR(IF(tblPiNAnalysis5[[#This Row],[WASH]]="", "", MROUND(tblPiNAnalysis5[[#This Row],[WASH]]/tblPiNAnalysis5[[#This Row],[Affected population projection 2026]], 0.05)), "")</f>
        <v>0</v>
      </c>
      <c r="AE85" s="322">
        <f>IFERROR(MROUND(tblPiNAnalysis5[[#This Row],[CP]]/tblPiNAnalysis5[[#This Row],[Affected population projection 2026]], 0.05), "")</f>
        <v>0</v>
      </c>
      <c r="AF85" s="322">
        <f>IFERROR(MROUND(tblPiNAnalysis5[[#This Row],[GBV]]/tblPiNAnalysis5[[#This Row],[Affected population projection 2026]], 0.05), "")</f>
        <v>0</v>
      </c>
      <c r="AG85" s="322">
        <f>IFERROR(MROUND(tblPiNAnalysis5[[#This Row],[Mine Action]]/tblPiNAnalysis5[[#This Row],[Affected population projection 2026]], 0.05), "")</f>
        <v>0</v>
      </c>
      <c r="AH85" s="322">
        <f>IFERROR(MROUND(tblPiNAnalysis5[[#This Row],[HLP]]/tblPiNAnalysis5[[#This Row],[Affected population projection 2026]], 0.05), "")</f>
        <v>0</v>
      </c>
      <c r="AI85" s="325">
        <f>IFERROR(LARGE(tblPiNAnalysis5[[#This Row],[CCCM]:[WASH]], 1), "")</f>
        <v>0</v>
      </c>
      <c r="AJ85" s="326" t="str" cm="1">
        <f t="array" ref="AJ85">IF(tblPiNAnalysis5[[#This Row],[Highest Target]]="", "", _xlfn.TEXTJOIN(CHAR(10), TRUE, IF(tblPiNAnalysis5[[#This Row],[Highest Target]]=tblPiNAnalysis5[[#This Row],[CCCM]:[WASH]], tblPiNAnalysis5[[#Headers],[CCCM]:[WASH]], "")))</f>
        <v>CCCM
Education
Nutrition
Food Security
Health
Overarching Protection
Shelter
WASH</v>
      </c>
      <c r="AK85" s="327">
        <f>IF(tblPiNAnalysis5[[#This Row],[Highest Target]]="", "", tblPiNAnalysis5[[#This Row],[Highest Target]]/tblPiNAnalysis5[[#This Row],[Affected population projection 2026]])</f>
        <v>0</v>
      </c>
      <c r="AL85" s="328" t="str">
        <f>IF(SUM(tblPiNAnalysis5[[#This Row],[CCCM]:[WASH]])=0, "",IF(COUNTIF(tblPiNAnalysis5[[#This Row],[CCCM]:[WASH]],"=0")+COUNTIF(tblPiNAnalysis5[[#This Row],[CCCM]:[WASH]],"")&gt;=zero_pin_thresh, "Flagged", ""))</f>
        <v/>
      </c>
      <c r="AM85" s="329" t="str">
        <f>IFERROR(IF(tblPiNAnalysis5[[#This Row],[Highest Target]]="", "", IF(tblPiNAnalysis5[[#This Row],[Highest sector(s'') Target %]]&gt;=flag_pin_perc, "Flagged", "")), "")</f>
        <v/>
      </c>
      <c r="AN85" s="330" t="str" cm="1">
        <f t="array" ref="AN85">IF(tblPiNAnalysis5[[#This Row],[Highest Target]]=0, "",  IF(OR(COUNTIF(tblPiNAnalysis5[[#This Row],[Highest sector(s)]],tblSubSectorPopulation[Sector])), "Flagged", ""))</f>
        <v/>
      </c>
      <c r="AO85" s="46" cm="1">
        <f t="array" ref="AO8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5" s="331" t="str" cm="1">
        <f t="array" ref="AP85">IF(tblPiNAnalysis5[[#This Row],[2nd Highest Target]]="", "", _xlfn.TEXTJOIN(CHAR(10), TRUE, IF(tblPiNAnalysis5[[#This Row],[2nd Highest Target]]=tblPiNAnalysis5[[#This Row],[CCCM]:[WASH]], tblPiNAnalysis5[[#Headers],[CCCM]:[WASH]], "")))</f>
        <v>CCCM
Education
Nutrition
Food Security
Health
Overarching Protection
Shelter
WASH</v>
      </c>
      <c r="AQ85" s="36">
        <f>IFERROR(tblPiNAnalysis5[[#This Row],[2nd Highest Target]]/tblPiNAnalysis5[[#This Row],[Affected population projection 2026]], "")</f>
        <v>0</v>
      </c>
      <c r="AR85" s="46">
        <f>IFERROR(tblPiNAnalysis5[[#This Row],[Highest Target]]-tblPiNAnalysis5[[#This Row],[2nd Highest Target]], "")</f>
        <v>0</v>
      </c>
      <c r="AS85" s="39" t="str">
        <f>IFERROR(((tblPiNAnalysis5[[#This Row],[Highest Target]]-tblPiNAnalysis5[[#This Row],[2nd Highest Target]])/tblPiNAnalysis5[[#This Row],[2nd Highest Target]]),"")</f>
        <v/>
      </c>
      <c r="AT85" s="39" t="str" cm="1">
        <f t="array" ref="AT8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5" s="332" cm="1">
        <f t="array" ref="AU8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5" s="190" t="str" cm="1">
        <f t="array" ref="AV85">IF(tblPiNAnalysis5[[#This Row],[3rd Highest Target]]="", "", _xlfn.TEXTJOIN(CHAR(10), TRUE, IF(tblPiNAnalysis5[[#This Row],[3rd Highest Target]]=tblPiNAnalysis5[[#This Row],[CCCM]:[WASH]], tblPiNAnalysis5[[#Headers],[CCCM]:[WASH]], "")))</f>
        <v>CCCM
Education
Nutrition
Food Security
Health
Overarching Protection
Shelter
WASH</v>
      </c>
      <c r="AW85" s="190">
        <f>IFERROR(tblPiNAnalysis5[[#This Row],[3rd Highest Target]]/tblPiNAnalysis5[[#This Row],[Affected population projection 2026]], "")</f>
        <v>0</v>
      </c>
      <c r="AX85" s="45">
        <f>IFERROR(tblPiNAnalysis5[[#This Row],[Highest Target]]-tblPiNAnalysis5[[#This Row],[3rd Highest Target]],"")</f>
        <v>0</v>
      </c>
      <c r="AY85" s="39" t="str">
        <f>IFERROR(tblPiNAnalysis5[[#This Row],[Difference of Target between Highest and 3rd Highest]]/tblPiNAnalysis5[[#This Row],[3rd Highest Target]], "")</f>
        <v/>
      </c>
      <c r="AZ85" s="330" t="str" cm="1">
        <f t="array" ref="AZ8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5" s="300" t="str" cm="1">
        <f t="array" ref="BA8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5" s="333" t="str" cm="1">
        <f t="array" ref="BB8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5" s="276" t="str" cm="1">
        <f t="array" ref="BC8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5" s="334" t="str" cm="1">
        <f t="array" ref="BD8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5" s="277" t="e">
        <f>INDEX(tblSeverityAnalysis[Final Severity], MATCH(tblPiNAnalysis5[[#This Row],[ID]],tblSeverityAnalysis[ID], 0))</f>
        <v>#N/A</v>
      </c>
      <c r="BF85" s="61" t="e">
        <f>IF(tblPiNAnalysis5[[#This Row],[Severity]]&gt;2,tblPiNAnalysis5[[#This Row],[Highest Target]],)</f>
        <v>#N/A</v>
      </c>
      <c r="BG85" s="191"/>
      <c r="BH85" s="192"/>
      <c r="BI85" s="193">
        <f>COUNTIFS(tblPiNAnalysis5[[#This Row],[Number of missing / zero PiNs greater than threshold - Data quality]:[Manual Flag]],"Flagged")</f>
        <v>2</v>
      </c>
      <c r="BJ85" s="96" t="str">
        <f>IF(tblPiNAnalysis5[[#This Row],['# Flags]]&gt;0, "Flagged", "")</f>
        <v>Flagged</v>
      </c>
      <c r="BK85" s="326" t="e">
        <f>tblPiNAnalysis5[[#This Row],[Preliminary Target]]</f>
        <v>#N/A</v>
      </c>
      <c r="BL85" s="331"/>
    </row>
    <row r="86" spans="1:64" ht="110.7" x14ac:dyDescent="0.55000000000000004">
      <c r="A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6" s="316" t="s">
        <v>236</v>
      </c>
      <c r="C86" s="317" t="s">
        <v>237</v>
      </c>
      <c r="D86" s="317" t="s">
        <v>242</v>
      </c>
      <c r="E86" s="105" t="s">
        <v>243</v>
      </c>
      <c r="F86" s="100"/>
      <c r="G86" s="34"/>
      <c r="H86" s="34"/>
      <c r="I86" s="97">
        <v>81323.353354623177</v>
      </c>
      <c r="J86" s="97" t="s">
        <v>413</v>
      </c>
      <c r="K86" s="318">
        <v>0</v>
      </c>
      <c r="L86" s="319">
        <v>0</v>
      </c>
      <c r="M86" s="319">
        <v>0</v>
      </c>
      <c r="N86" s="319">
        <v>0</v>
      </c>
      <c r="O86" s="319">
        <v>0</v>
      </c>
      <c r="P86" s="319">
        <v>0</v>
      </c>
      <c r="Q86" s="320">
        <v>0</v>
      </c>
      <c r="R86" s="319">
        <v>0</v>
      </c>
      <c r="S86" s="319"/>
      <c r="T86" s="319"/>
      <c r="U86" s="319"/>
      <c r="V86" s="319"/>
      <c r="W86" s="321">
        <f>IFERROR(IF(tblPiNAnalysis5[[#This Row],[CCCM]]="", "", MROUND(tblPiNAnalysis5[[#This Row],[CCCM]]/tblPiNAnalysis5[[#This Row],[Affected population projection 2026]], 0.05)), "")</f>
        <v>0</v>
      </c>
      <c r="X86" s="322">
        <f>IFERROR(IF(tblPiNAnalysis5[[#This Row],[Education]]="", "", MROUND(tblPiNAnalysis5[[#This Row],[Education]]/tblPiNAnalysis5[[#This Row],[Affected population projection 2026]], 0.05)), "")</f>
        <v>0</v>
      </c>
      <c r="Y86" s="322">
        <f>IFERROR(IF(tblPiNAnalysis5[[#This Row],[Nutrition]]="", "", MROUND(tblPiNAnalysis5[[#This Row],[Nutrition]]/tblPiNAnalysis5[[#This Row],[Affected population projection 2026]], 0.05)), "")</f>
        <v>0</v>
      </c>
      <c r="Z86" s="322">
        <f>IFERROR(IF(tblPiNAnalysis5[[#This Row],[Food Security]]="", "", MROUND(tblPiNAnalysis5[[#This Row],[Food Security]]/tblPiNAnalysis5[[#This Row],[Affected population projection 2026]], 0.05)), "")</f>
        <v>0</v>
      </c>
      <c r="AA86" s="322">
        <f>IFERROR(IF(tblPiNAnalysis5[[#This Row],[Health]]="", "", MROUND(tblPiNAnalysis5[[#This Row],[Health]]/tblPiNAnalysis5[[#This Row],[Affected population projection 2026]], 0.05)), "")</f>
        <v>0</v>
      </c>
      <c r="AB86" s="323">
        <f>IFERROR(IF(tblPiNAnalysis5[[#This Row],[Overarching Protection]]="", "", MROUND(tblPiNAnalysis5[[#This Row],[Overarching Protection]]/tblPiNAnalysis5[[#This Row],[Affected population projection 2026]], 0.05)), "")</f>
        <v>0</v>
      </c>
      <c r="AC86" s="323">
        <f>IFERROR(IF(tblPiNAnalysis5[[#This Row],[Shelter]]="", "", MROUND(tblPiNAnalysis5[[#This Row],[Shelter]]/tblPiNAnalysis5[[#This Row],[Affected population projection 2026]], 0.05)), "")</f>
        <v>0</v>
      </c>
      <c r="AD86" s="324">
        <f>IFERROR(IF(tblPiNAnalysis5[[#This Row],[WASH]]="", "", MROUND(tblPiNAnalysis5[[#This Row],[WASH]]/tblPiNAnalysis5[[#This Row],[Affected population projection 2026]], 0.05)), "")</f>
        <v>0</v>
      </c>
      <c r="AE86" s="322">
        <f>IFERROR(MROUND(tblPiNAnalysis5[[#This Row],[CP]]/tblPiNAnalysis5[[#This Row],[Affected population projection 2026]], 0.05), "")</f>
        <v>0</v>
      </c>
      <c r="AF86" s="322">
        <f>IFERROR(MROUND(tblPiNAnalysis5[[#This Row],[GBV]]/tblPiNAnalysis5[[#This Row],[Affected population projection 2026]], 0.05), "")</f>
        <v>0</v>
      </c>
      <c r="AG86" s="322">
        <f>IFERROR(MROUND(tblPiNAnalysis5[[#This Row],[Mine Action]]/tblPiNAnalysis5[[#This Row],[Affected population projection 2026]], 0.05), "")</f>
        <v>0</v>
      </c>
      <c r="AH86" s="322">
        <f>IFERROR(MROUND(tblPiNAnalysis5[[#This Row],[HLP]]/tblPiNAnalysis5[[#This Row],[Affected population projection 2026]], 0.05), "")</f>
        <v>0</v>
      </c>
      <c r="AI86" s="325">
        <f>IFERROR(LARGE(tblPiNAnalysis5[[#This Row],[CCCM]:[WASH]], 1), "")</f>
        <v>0</v>
      </c>
      <c r="AJ86" s="326" t="str" cm="1">
        <f t="array" ref="AJ86">IF(tblPiNAnalysis5[[#This Row],[Highest Target]]="", "", _xlfn.TEXTJOIN(CHAR(10), TRUE, IF(tblPiNAnalysis5[[#This Row],[Highest Target]]=tblPiNAnalysis5[[#This Row],[CCCM]:[WASH]], tblPiNAnalysis5[[#Headers],[CCCM]:[WASH]], "")))</f>
        <v>CCCM
Education
Nutrition
Food Security
Health
Overarching Protection
Shelter
WASH</v>
      </c>
      <c r="AK86" s="327">
        <f>IF(tblPiNAnalysis5[[#This Row],[Highest Target]]="", "", tblPiNAnalysis5[[#This Row],[Highest Target]]/tblPiNAnalysis5[[#This Row],[Affected population projection 2026]])</f>
        <v>0</v>
      </c>
      <c r="AL86" s="328" t="str">
        <f>IF(SUM(tblPiNAnalysis5[[#This Row],[CCCM]:[WASH]])=0, "",IF(COUNTIF(tblPiNAnalysis5[[#This Row],[CCCM]:[WASH]],"=0")+COUNTIF(tblPiNAnalysis5[[#This Row],[CCCM]:[WASH]],"")&gt;=zero_pin_thresh, "Flagged", ""))</f>
        <v/>
      </c>
      <c r="AM86" s="329" t="str">
        <f>IFERROR(IF(tblPiNAnalysis5[[#This Row],[Highest Target]]="", "", IF(tblPiNAnalysis5[[#This Row],[Highest sector(s'') Target %]]&gt;=flag_pin_perc, "Flagged", "")), "")</f>
        <v/>
      </c>
      <c r="AN86" s="330" t="str" cm="1">
        <f t="array" ref="AN86">IF(tblPiNAnalysis5[[#This Row],[Highest Target]]=0, "",  IF(OR(COUNTIF(tblPiNAnalysis5[[#This Row],[Highest sector(s)]],tblSubSectorPopulation[Sector])), "Flagged", ""))</f>
        <v/>
      </c>
      <c r="AO86" s="46" cm="1">
        <f t="array" ref="AO8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6" s="331" t="str" cm="1">
        <f t="array" ref="AP86">IF(tblPiNAnalysis5[[#This Row],[2nd Highest Target]]="", "", _xlfn.TEXTJOIN(CHAR(10), TRUE, IF(tblPiNAnalysis5[[#This Row],[2nd Highest Target]]=tblPiNAnalysis5[[#This Row],[CCCM]:[WASH]], tblPiNAnalysis5[[#Headers],[CCCM]:[WASH]], "")))</f>
        <v>CCCM
Education
Nutrition
Food Security
Health
Overarching Protection
Shelter
WASH</v>
      </c>
      <c r="AQ86" s="36">
        <f>IFERROR(tblPiNAnalysis5[[#This Row],[2nd Highest Target]]/tblPiNAnalysis5[[#This Row],[Affected population projection 2026]], "")</f>
        <v>0</v>
      </c>
      <c r="AR86" s="46">
        <f>IFERROR(tblPiNAnalysis5[[#This Row],[Highest Target]]-tblPiNAnalysis5[[#This Row],[2nd Highest Target]], "")</f>
        <v>0</v>
      </c>
      <c r="AS86" s="39" t="str">
        <f>IFERROR(((tblPiNAnalysis5[[#This Row],[Highest Target]]-tblPiNAnalysis5[[#This Row],[2nd Highest Target]])/tblPiNAnalysis5[[#This Row],[2nd Highest Target]]),"")</f>
        <v/>
      </c>
      <c r="AT86" s="39" t="str" cm="1">
        <f t="array" ref="AT8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6" s="332" cm="1">
        <f t="array" ref="AU8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6" s="190" t="str" cm="1">
        <f t="array" ref="AV86">IF(tblPiNAnalysis5[[#This Row],[3rd Highest Target]]="", "", _xlfn.TEXTJOIN(CHAR(10), TRUE, IF(tblPiNAnalysis5[[#This Row],[3rd Highest Target]]=tblPiNAnalysis5[[#This Row],[CCCM]:[WASH]], tblPiNAnalysis5[[#Headers],[CCCM]:[WASH]], "")))</f>
        <v>CCCM
Education
Nutrition
Food Security
Health
Overarching Protection
Shelter
WASH</v>
      </c>
      <c r="AW86" s="190">
        <f>IFERROR(tblPiNAnalysis5[[#This Row],[3rd Highest Target]]/tblPiNAnalysis5[[#This Row],[Affected population projection 2026]], "")</f>
        <v>0</v>
      </c>
      <c r="AX86" s="45">
        <f>IFERROR(tblPiNAnalysis5[[#This Row],[Highest Target]]-tblPiNAnalysis5[[#This Row],[3rd Highest Target]],"")</f>
        <v>0</v>
      </c>
      <c r="AY86" s="39" t="str">
        <f>IFERROR(tblPiNAnalysis5[[#This Row],[Difference of Target between Highest and 3rd Highest]]/tblPiNAnalysis5[[#This Row],[3rd Highest Target]], "")</f>
        <v/>
      </c>
      <c r="AZ86" s="330" t="str" cm="1">
        <f t="array" ref="AZ8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6" s="300" t="str" cm="1">
        <f t="array" ref="BA8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6" s="333" t="str" cm="1">
        <f t="array" ref="BB8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6" s="276" t="str" cm="1">
        <f t="array" ref="BC8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6" s="334" t="str" cm="1">
        <f t="array" ref="BD8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6" s="277" t="e">
        <f>INDEX(tblSeverityAnalysis[Final Severity], MATCH(tblPiNAnalysis5[[#This Row],[ID]],tblSeverityAnalysis[ID], 0))</f>
        <v>#N/A</v>
      </c>
      <c r="BF86" s="61" t="e">
        <f>IF(tblPiNAnalysis5[[#This Row],[Severity]]&gt;2,tblPiNAnalysis5[[#This Row],[Highest Target]],)</f>
        <v>#N/A</v>
      </c>
      <c r="BG86" s="191"/>
      <c r="BH86" s="192"/>
      <c r="BI86" s="193">
        <f>COUNTIFS(tblPiNAnalysis5[[#This Row],[Number of missing / zero PiNs greater than threshold - Data quality]:[Manual Flag]],"Flagged")</f>
        <v>2</v>
      </c>
      <c r="BJ86" s="96" t="str">
        <f>IF(tblPiNAnalysis5[[#This Row],['# Flags]]&gt;0, "Flagged", "")</f>
        <v>Flagged</v>
      </c>
      <c r="BK86" s="326" t="e">
        <f>tblPiNAnalysis5[[#This Row],[Preliminary Target]]</f>
        <v>#N/A</v>
      </c>
      <c r="BL86" s="331"/>
    </row>
    <row r="87" spans="1:64" ht="110.7" x14ac:dyDescent="0.55000000000000004">
      <c r="A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7" s="316" t="s">
        <v>236</v>
      </c>
      <c r="C87" s="317" t="s">
        <v>237</v>
      </c>
      <c r="D87" s="317" t="s">
        <v>244</v>
      </c>
      <c r="E87" s="105" t="s">
        <v>245</v>
      </c>
      <c r="F87" s="100"/>
      <c r="G87" s="34"/>
      <c r="H87" s="34"/>
      <c r="I87" s="97">
        <v>76038.235545987191</v>
      </c>
      <c r="J87" s="97" t="s">
        <v>413</v>
      </c>
      <c r="K87" s="318">
        <v>0</v>
      </c>
      <c r="L87" s="319">
        <v>0</v>
      </c>
      <c r="M87" s="319">
        <v>0</v>
      </c>
      <c r="N87" s="319">
        <v>0</v>
      </c>
      <c r="O87" s="319">
        <v>0</v>
      </c>
      <c r="P87" s="319">
        <v>0</v>
      </c>
      <c r="Q87" s="320">
        <v>0</v>
      </c>
      <c r="R87" s="319">
        <v>0</v>
      </c>
      <c r="S87" s="319"/>
      <c r="T87" s="319"/>
      <c r="U87" s="319"/>
      <c r="V87" s="319"/>
      <c r="W87" s="321">
        <f>IFERROR(IF(tblPiNAnalysis5[[#This Row],[CCCM]]="", "", MROUND(tblPiNAnalysis5[[#This Row],[CCCM]]/tblPiNAnalysis5[[#This Row],[Affected population projection 2026]], 0.05)), "")</f>
        <v>0</v>
      </c>
      <c r="X87" s="322">
        <f>IFERROR(IF(tblPiNAnalysis5[[#This Row],[Education]]="", "", MROUND(tblPiNAnalysis5[[#This Row],[Education]]/tblPiNAnalysis5[[#This Row],[Affected population projection 2026]], 0.05)), "")</f>
        <v>0</v>
      </c>
      <c r="Y87" s="322">
        <f>IFERROR(IF(tblPiNAnalysis5[[#This Row],[Nutrition]]="", "", MROUND(tblPiNAnalysis5[[#This Row],[Nutrition]]/tblPiNAnalysis5[[#This Row],[Affected population projection 2026]], 0.05)), "")</f>
        <v>0</v>
      </c>
      <c r="Z87" s="322">
        <f>IFERROR(IF(tblPiNAnalysis5[[#This Row],[Food Security]]="", "", MROUND(tblPiNAnalysis5[[#This Row],[Food Security]]/tblPiNAnalysis5[[#This Row],[Affected population projection 2026]], 0.05)), "")</f>
        <v>0</v>
      </c>
      <c r="AA87" s="322">
        <f>IFERROR(IF(tblPiNAnalysis5[[#This Row],[Health]]="", "", MROUND(tblPiNAnalysis5[[#This Row],[Health]]/tblPiNAnalysis5[[#This Row],[Affected population projection 2026]], 0.05)), "")</f>
        <v>0</v>
      </c>
      <c r="AB87" s="323">
        <f>IFERROR(IF(tblPiNAnalysis5[[#This Row],[Overarching Protection]]="", "", MROUND(tblPiNAnalysis5[[#This Row],[Overarching Protection]]/tblPiNAnalysis5[[#This Row],[Affected population projection 2026]], 0.05)), "")</f>
        <v>0</v>
      </c>
      <c r="AC87" s="323">
        <f>IFERROR(IF(tblPiNAnalysis5[[#This Row],[Shelter]]="", "", MROUND(tblPiNAnalysis5[[#This Row],[Shelter]]/tblPiNAnalysis5[[#This Row],[Affected population projection 2026]], 0.05)), "")</f>
        <v>0</v>
      </c>
      <c r="AD87" s="324">
        <f>IFERROR(IF(tblPiNAnalysis5[[#This Row],[WASH]]="", "", MROUND(tblPiNAnalysis5[[#This Row],[WASH]]/tblPiNAnalysis5[[#This Row],[Affected population projection 2026]], 0.05)), "")</f>
        <v>0</v>
      </c>
      <c r="AE87" s="322">
        <f>IFERROR(MROUND(tblPiNAnalysis5[[#This Row],[CP]]/tblPiNAnalysis5[[#This Row],[Affected population projection 2026]], 0.05), "")</f>
        <v>0</v>
      </c>
      <c r="AF87" s="322">
        <f>IFERROR(MROUND(tblPiNAnalysis5[[#This Row],[GBV]]/tblPiNAnalysis5[[#This Row],[Affected population projection 2026]], 0.05), "")</f>
        <v>0</v>
      </c>
      <c r="AG87" s="322">
        <f>IFERROR(MROUND(tblPiNAnalysis5[[#This Row],[Mine Action]]/tblPiNAnalysis5[[#This Row],[Affected population projection 2026]], 0.05), "")</f>
        <v>0</v>
      </c>
      <c r="AH87" s="322">
        <f>IFERROR(MROUND(tblPiNAnalysis5[[#This Row],[HLP]]/tblPiNAnalysis5[[#This Row],[Affected population projection 2026]], 0.05), "")</f>
        <v>0</v>
      </c>
      <c r="AI87" s="325">
        <f>IFERROR(LARGE(tblPiNAnalysis5[[#This Row],[CCCM]:[WASH]], 1), "")</f>
        <v>0</v>
      </c>
      <c r="AJ87" s="326" t="str" cm="1">
        <f t="array" ref="AJ87">IF(tblPiNAnalysis5[[#This Row],[Highest Target]]="", "", _xlfn.TEXTJOIN(CHAR(10), TRUE, IF(tblPiNAnalysis5[[#This Row],[Highest Target]]=tblPiNAnalysis5[[#This Row],[CCCM]:[WASH]], tblPiNAnalysis5[[#Headers],[CCCM]:[WASH]], "")))</f>
        <v>CCCM
Education
Nutrition
Food Security
Health
Overarching Protection
Shelter
WASH</v>
      </c>
      <c r="AK87" s="327">
        <f>IF(tblPiNAnalysis5[[#This Row],[Highest Target]]="", "", tblPiNAnalysis5[[#This Row],[Highest Target]]/tblPiNAnalysis5[[#This Row],[Affected population projection 2026]])</f>
        <v>0</v>
      </c>
      <c r="AL87" s="328" t="str">
        <f>IF(SUM(tblPiNAnalysis5[[#This Row],[CCCM]:[WASH]])=0, "",IF(COUNTIF(tblPiNAnalysis5[[#This Row],[CCCM]:[WASH]],"=0")+COUNTIF(tblPiNAnalysis5[[#This Row],[CCCM]:[WASH]],"")&gt;=zero_pin_thresh, "Flagged", ""))</f>
        <v/>
      </c>
      <c r="AM87" s="329" t="str">
        <f>IFERROR(IF(tblPiNAnalysis5[[#This Row],[Highest Target]]="", "", IF(tblPiNAnalysis5[[#This Row],[Highest sector(s'') Target %]]&gt;=flag_pin_perc, "Flagged", "")), "")</f>
        <v/>
      </c>
      <c r="AN87" s="330" t="str" cm="1">
        <f t="array" ref="AN87">IF(tblPiNAnalysis5[[#This Row],[Highest Target]]=0, "",  IF(OR(COUNTIF(tblPiNAnalysis5[[#This Row],[Highest sector(s)]],tblSubSectorPopulation[Sector])), "Flagged", ""))</f>
        <v/>
      </c>
      <c r="AO87" s="46" cm="1">
        <f t="array" ref="AO8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7" s="331" t="str" cm="1">
        <f t="array" ref="AP87">IF(tblPiNAnalysis5[[#This Row],[2nd Highest Target]]="", "", _xlfn.TEXTJOIN(CHAR(10), TRUE, IF(tblPiNAnalysis5[[#This Row],[2nd Highest Target]]=tblPiNAnalysis5[[#This Row],[CCCM]:[WASH]], tblPiNAnalysis5[[#Headers],[CCCM]:[WASH]], "")))</f>
        <v>CCCM
Education
Nutrition
Food Security
Health
Overarching Protection
Shelter
WASH</v>
      </c>
      <c r="AQ87" s="36">
        <f>IFERROR(tblPiNAnalysis5[[#This Row],[2nd Highest Target]]/tblPiNAnalysis5[[#This Row],[Affected population projection 2026]], "")</f>
        <v>0</v>
      </c>
      <c r="AR87" s="46">
        <f>IFERROR(tblPiNAnalysis5[[#This Row],[Highest Target]]-tblPiNAnalysis5[[#This Row],[2nd Highest Target]], "")</f>
        <v>0</v>
      </c>
      <c r="AS87" s="39" t="str">
        <f>IFERROR(((tblPiNAnalysis5[[#This Row],[Highest Target]]-tblPiNAnalysis5[[#This Row],[2nd Highest Target]])/tblPiNAnalysis5[[#This Row],[2nd Highest Target]]),"")</f>
        <v/>
      </c>
      <c r="AT87" s="39" t="str" cm="1">
        <f t="array" ref="AT8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7" s="332" cm="1">
        <f t="array" ref="AU8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7" s="190" t="str" cm="1">
        <f t="array" ref="AV87">IF(tblPiNAnalysis5[[#This Row],[3rd Highest Target]]="", "", _xlfn.TEXTJOIN(CHAR(10), TRUE, IF(tblPiNAnalysis5[[#This Row],[3rd Highest Target]]=tblPiNAnalysis5[[#This Row],[CCCM]:[WASH]], tblPiNAnalysis5[[#Headers],[CCCM]:[WASH]], "")))</f>
        <v>CCCM
Education
Nutrition
Food Security
Health
Overarching Protection
Shelter
WASH</v>
      </c>
      <c r="AW87" s="190">
        <f>IFERROR(tblPiNAnalysis5[[#This Row],[3rd Highest Target]]/tblPiNAnalysis5[[#This Row],[Affected population projection 2026]], "")</f>
        <v>0</v>
      </c>
      <c r="AX87" s="45">
        <f>IFERROR(tblPiNAnalysis5[[#This Row],[Highest Target]]-tblPiNAnalysis5[[#This Row],[3rd Highest Target]],"")</f>
        <v>0</v>
      </c>
      <c r="AY87" s="39" t="str">
        <f>IFERROR(tblPiNAnalysis5[[#This Row],[Difference of Target between Highest and 3rd Highest]]/tblPiNAnalysis5[[#This Row],[3rd Highest Target]], "")</f>
        <v/>
      </c>
      <c r="AZ87" s="330" t="str" cm="1">
        <f t="array" ref="AZ8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7" s="300" t="str" cm="1">
        <f t="array" ref="BA8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7" s="333" t="str" cm="1">
        <f t="array" ref="BB8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7" s="276" t="str" cm="1">
        <f t="array" ref="BC8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7" s="334" t="str" cm="1">
        <f t="array" ref="BD8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7" s="277" t="e">
        <f>INDEX(tblSeverityAnalysis[Final Severity], MATCH(tblPiNAnalysis5[[#This Row],[ID]],tblSeverityAnalysis[ID], 0))</f>
        <v>#N/A</v>
      </c>
      <c r="BF87" s="61" t="e">
        <f>IF(tblPiNAnalysis5[[#This Row],[Severity]]&gt;2,tblPiNAnalysis5[[#This Row],[Highest Target]],)</f>
        <v>#N/A</v>
      </c>
      <c r="BG87" s="191"/>
      <c r="BH87" s="192"/>
      <c r="BI87" s="193">
        <f>COUNTIFS(tblPiNAnalysis5[[#This Row],[Number of missing / zero PiNs greater than threshold - Data quality]:[Manual Flag]],"Flagged")</f>
        <v>2</v>
      </c>
      <c r="BJ87" s="96" t="str">
        <f>IF(tblPiNAnalysis5[[#This Row],['# Flags]]&gt;0, "Flagged", "")</f>
        <v>Flagged</v>
      </c>
      <c r="BK87" s="326" t="e">
        <f>tblPiNAnalysis5[[#This Row],[Preliminary Target]]</f>
        <v>#N/A</v>
      </c>
      <c r="BL87" s="331"/>
    </row>
    <row r="88" spans="1:64" ht="110.7" x14ac:dyDescent="0.55000000000000004">
      <c r="A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8" s="316" t="s">
        <v>236</v>
      </c>
      <c r="C88" s="317" t="s">
        <v>237</v>
      </c>
      <c r="D88" s="317" t="s">
        <v>246</v>
      </c>
      <c r="E88" s="105" t="s">
        <v>247</v>
      </c>
      <c r="F88" s="100"/>
      <c r="G88" s="34"/>
      <c r="H88" s="34"/>
      <c r="I88" s="97">
        <v>198861.49864411939</v>
      </c>
      <c r="J88" s="97" t="s">
        <v>413</v>
      </c>
      <c r="K88" s="318">
        <v>0</v>
      </c>
      <c r="L88" s="319">
        <v>0</v>
      </c>
      <c r="M88" s="319">
        <v>0</v>
      </c>
      <c r="N88" s="319">
        <v>0</v>
      </c>
      <c r="O88" s="319">
        <v>0</v>
      </c>
      <c r="P88" s="319">
        <v>0</v>
      </c>
      <c r="Q88" s="320">
        <v>0</v>
      </c>
      <c r="R88" s="319">
        <v>0</v>
      </c>
      <c r="S88" s="319"/>
      <c r="T88" s="319"/>
      <c r="U88" s="319"/>
      <c r="V88" s="319"/>
      <c r="W88" s="321">
        <f>IFERROR(IF(tblPiNAnalysis5[[#This Row],[CCCM]]="", "", MROUND(tblPiNAnalysis5[[#This Row],[CCCM]]/tblPiNAnalysis5[[#This Row],[Affected population projection 2026]], 0.05)), "")</f>
        <v>0</v>
      </c>
      <c r="X88" s="322">
        <f>IFERROR(IF(tblPiNAnalysis5[[#This Row],[Education]]="", "", MROUND(tblPiNAnalysis5[[#This Row],[Education]]/tblPiNAnalysis5[[#This Row],[Affected population projection 2026]], 0.05)), "")</f>
        <v>0</v>
      </c>
      <c r="Y88" s="322">
        <f>IFERROR(IF(tblPiNAnalysis5[[#This Row],[Nutrition]]="", "", MROUND(tblPiNAnalysis5[[#This Row],[Nutrition]]/tblPiNAnalysis5[[#This Row],[Affected population projection 2026]], 0.05)), "")</f>
        <v>0</v>
      </c>
      <c r="Z88" s="322">
        <f>IFERROR(IF(tblPiNAnalysis5[[#This Row],[Food Security]]="", "", MROUND(tblPiNAnalysis5[[#This Row],[Food Security]]/tblPiNAnalysis5[[#This Row],[Affected population projection 2026]], 0.05)), "")</f>
        <v>0</v>
      </c>
      <c r="AA88" s="322">
        <f>IFERROR(IF(tblPiNAnalysis5[[#This Row],[Health]]="", "", MROUND(tblPiNAnalysis5[[#This Row],[Health]]/tblPiNAnalysis5[[#This Row],[Affected population projection 2026]], 0.05)), "")</f>
        <v>0</v>
      </c>
      <c r="AB88" s="323">
        <f>IFERROR(IF(tblPiNAnalysis5[[#This Row],[Overarching Protection]]="", "", MROUND(tblPiNAnalysis5[[#This Row],[Overarching Protection]]/tblPiNAnalysis5[[#This Row],[Affected population projection 2026]], 0.05)), "")</f>
        <v>0</v>
      </c>
      <c r="AC88" s="323">
        <f>IFERROR(IF(tblPiNAnalysis5[[#This Row],[Shelter]]="", "", MROUND(tblPiNAnalysis5[[#This Row],[Shelter]]/tblPiNAnalysis5[[#This Row],[Affected population projection 2026]], 0.05)), "")</f>
        <v>0</v>
      </c>
      <c r="AD88" s="324">
        <f>IFERROR(IF(tblPiNAnalysis5[[#This Row],[WASH]]="", "", MROUND(tblPiNAnalysis5[[#This Row],[WASH]]/tblPiNAnalysis5[[#This Row],[Affected population projection 2026]], 0.05)), "")</f>
        <v>0</v>
      </c>
      <c r="AE88" s="322">
        <f>IFERROR(MROUND(tblPiNAnalysis5[[#This Row],[CP]]/tblPiNAnalysis5[[#This Row],[Affected population projection 2026]], 0.05), "")</f>
        <v>0</v>
      </c>
      <c r="AF88" s="322">
        <f>IFERROR(MROUND(tblPiNAnalysis5[[#This Row],[GBV]]/tblPiNAnalysis5[[#This Row],[Affected population projection 2026]], 0.05), "")</f>
        <v>0</v>
      </c>
      <c r="AG88" s="322">
        <f>IFERROR(MROUND(tblPiNAnalysis5[[#This Row],[Mine Action]]/tblPiNAnalysis5[[#This Row],[Affected population projection 2026]], 0.05), "")</f>
        <v>0</v>
      </c>
      <c r="AH88" s="322">
        <f>IFERROR(MROUND(tblPiNAnalysis5[[#This Row],[HLP]]/tblPiNAnalysis5[[#This Row],[Affected population projection 2026]], 0.05), "")</f>
        <v>0</v>
      </c>
      <c r="AI88" s="325">
        <f>IFERROR(LARGE(tblPiNAnalysis5[[#This Row],[CCCM]:[WASH]], 1), "")</f>
        <v>0</v>
      </c>
      <c r="AJ88" s="326" t="str" cm="1">
        <f t="array" ref="AJ88">IF(tblPiNAnalysis5[[#This Row],[Highest Target]]="", "", _xlfn.TEXTJOIN(CHAR(10), TRUE, IF(tblPiNAnalysis5[[#This Row],[Highest Target]]=tblPiNAnalysis5[[#This Row],[CCCM]:[WASH]], tblPiNAnalysis5[[#Headers],[CCCM]:[WASH]], "")))</f>
        <v>CCCM
Education
Nutrition
Food Security
Health
Overarching Protection
Shelter
WASH</v>
      </c>
      <c r="AK88" s="327">
        <f>IF(tblPiNAnalysis5[[#This Row],[Highest Target]]="", "", tblPiNAnalysis5[[#This Row],[Highest Target]]/tblPiNAnalysis5[[#This Row],[Affected population projection 2026]])</f>
        <v>0</v>
      </c>
      <c r="AL88" s="328" t="str">
        <f>IF(SUM(tblPiNAnalysis5[[#This Row],[CCCM]:[WASH]])=0, "",IF(COUNTIF(tblPiNAnalysis5[[#This Row],[CCCM]:[WASH]],"=0")+COUNTIF(tblPiNAnalysis5[[#This Row],[CCCM]:[WASH]],"")&gt;=zero_pin_thresh, "Flagged", ""))</f>
        <v/>
      </c>
      <c r="AM88" s="329" t="str">
        <f>IFERROR(IF(tblPiNAnalysis5[[#This Row],[Highest Target]]="", "", IF(tblPiNAnalysis5[[#This Row],[Highest sector(s'') Target %]]&gt;=flag_pin_perc, "Flagged", "")), "")</f>
        <v/>
      </c>
      <c r="AN88" s="330" t="str" cm="1">
        <f t="array" ref="AN88">IF(tblPiNAnalysis5[[#This Row],[Highest Target]]=0, "",  IF(OR(COUNTIF(tblPiNAnalysis5[[#This Row],[Highest sector(s)]],tblSubSectorPopulation[Sector])), "Flagged", ""))</f>
        <v/>
      </c>
      <c r="AO88" s="46" cm="1">
        <f t="array" ref="AO8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8" s="331" t="str" cm="1">
        <f t="array" ref="AP88">IF(tblPiNAnalysis5[[#This Row],[2nd Highest Target]]="", "", _xlfn.TEXTJOIN(CHAR(10), TRUE, IF(tblPiNAnalysis5[[#This Row],[2nd Highest Target]]=tblPiNAnalysis5[[#This Row],[CCCM]:[WASH]], tblPiNAnalysis5[[#Headers],[CCCM]:[WASH]], "")))</f>
        <v>CCCM
Education
Nutrition
Food Security
Health
Overarching Protection
Shelter
WASH</v>
      </c>
      <c r="AQ88" s="36">
        <f>IFERROR(tblPiNAnalysis5[[#This Row],[2nd Highest Target]]/tblPiNAnalysis5[[#This Row],[Affected population projection 2026]], "")</f>
        <v>0</v>
      </c>
      <c r="AR88" s="46">
        <f>IFERROR(tblPiNAnalysis5[[#This Row],[Highest Target]]-tblPiNAnalysis5[[#This Row],[2nd Highest Target]], "")</f>
        <v>0</v>
      </c>
      <c r="AS88" s="39" t="str">
        <f>IFERROR(((tblPiNAnalysis5[[#This Row],[Highest Target]]-tblPiNAnalysis5[[#This Row],[2nd Highest Target]])/tblPiNAnalysis5[[#This Row],[2nd Highest Target]]),"")</f>
        <v/>
      </c>
      <c r="AT88" s="39" t="str" cm="1">
        <f t="array" ref="AT8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8" s="332" cm="1">
        <f t="array" ref="AU8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8" s="190" t="str" cm="1">
        <f t="array" ref="AV88">IF(tblPiNAnalysis5[[#This Row],[3rd Highest Target]]="", "", _xlfn.TEXTJOIN(CHAR(10), TRUE, IF(tblPiNAnalysis5[[#This Row],[3rd Highest Target]]=tblPiNAnalysis5[[#This Row],[CCCM]:[WASH]], tblPiNAnalysis5[[#Headers],[CCCM]:[WASH]], "")))</f>
        <v>CCCM
Education
Nutrition
Food Security
Health
Overarching Protection
Shelter
WASH</v>
      </c>
      <c r="AW88" s="190">
        <f>IFERROR(tblPiNAnalysis5[[#This Row],[3rd Highest Target]]/tblPiNAnalysis5[[#This Row],[Affected population projection 2026]], "")</f>
        <v>0</v>
      </c>
      <c r="AX88" s="45">
        <f>IFERROR(tblPiNAnalysis5[[#This Row],[Highest Target]]-tblPiNAnalysis5[[#This Row],[3rd Highest Target]],"")</f>
        <v>0</v>
      </c>
      <c r="AY88" s="39" t="str">
        <f>IFERROR(tblPiNAnalysis5[[#This Row],[Difference of Target between Highest and 3rd Highest]]/tblPiNAnalysis5[[#This Row],[3rd Highest Target]], "")</f>
        <v/>
      </c>
      <c r="AZ88" s="330" t="str" cm="1">
        <f t="array" ref="AZ8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8" s="300" t="str" cm="1">
        <f t="array" ref="BA8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8" s="333" t="str" cm="1">
        <f t="array" ref="BB8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8" s="276" t="str" cm="1">
        <f t="array" ref="BC8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8" s="334" t="str" cm="1">
        <f t="array" ref="BD8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8" s="277" t="e">
        <f>INDEX(tblSeverityAnalysis[Final Severity], MATCH(tblPiNAnalysis5[[#This Row],[ID]],tblSeverityAnalysis[ID], 0))</f>
        <v>#N/A</v>
      </c>
      <c r="BF88" s="61" t="e">
        <f>IF(tblPiNAnalysis5[[#This Row],[Severity]]&gt;2,tblPiNAnalysis5[[#This Row],[Highest Target]],)</f>
        <v>#N/A</v>
      </c>
      <c r="BG88" s="191"/>
      <c r="BH88" s="192"/>
      <c r="BI88" s="193">
        <f>COUNTIFS(tblPiNAnalysis5[[#This Row],[Number of missing / zero PiNs greater than threshold - Data quality]:[Manual Flag]],"Flagged")</f>
        <v>2</v>
      </c>
      <c r="BJ88" s="96" t="str">
        <f>IF(tblPiNAnalysis5[[#This Row],['# Flags]]&gt;0, "Flagged", "")</f>
        <v>Flagged</v>
      </c>
      <c r="BK88" s="326" t="e">
        <f>tblPiNAnalysis5[[#This Row],[Preliminary Target]]</f>
        <v>#N/A</v>
      </c>
      <c r="BL88" s="331"/>
    </row>
    <row r="89" spans="1:64" ht="110.7" x14ac:dyDescent="0.55000000000000004">
      <c r="A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9" s="316" t="s">
        <v>236</v>
      </c>
      <c r="C89" s="317" t="s">
        <v>237</v>
      </c>
      <c r="D89" s="317" t="s">
        <v>248</v>
      </c>
      <c r="E89" s="105" t="s">
        <v>249</v>
      </c>
      <c r="F89" s="100"/>
      <c r="G89" s="34"/>
      <c r="H89" s="34"/>
      <c r="I89" s="97">
        <v>194205.26881302349</v>
      </c>
      <c r="J89" s="97" t="s">
        <v>413</v>
      </c>
      <c r="K89" s="318">
        <v>0</v>
      </c>
      <c r="L89" s="319">
        <v>0</v>
      </c>
      <c r="M89" s="319">
        <v>0</v>
      </c>
      <c r="N89" s="319">
        <v>0</v>
      </c>
      <c r="O89" s="319">
        <v>0</v>
      </c>
      <c r="P89" s="319">
        <v>0</v>
      </c>
      <c r="Q89" s="320">
        <v>0</v>
      </c>
      <c r="R89" s="319">
        <v>0</v>
      </c>
      <c r="S89" s="319"/>
      <c r="T89" s="319"/>
      <c r="U89" s="319"/>
      <c r="V89" s="319"/>
      <c r="W89" s="321">
        <f>IFERROR(IF(tblPiNAnalysis5[[#This Row],[CCCM]]="", "", MROUND(tblPiNAnalysis5[[#This Row],[CCCM]]/tblPiNAnalysis5[[#This Row],[Affected population projection 2026]], 0.05)), "")</f>
        <v>0</v>
      </c>
      <c r="X89" s="322">
        <f>IFERROR(IF(tblPiNAnalysis5[[#This Row],[Education]]="", "", MROUND(tblPiNAnalysis5[[#This Row],[Education]]/tblPiNAnalysis5[[#This Row],[Affected population projection 2026]], 0.05)), "")</f>
        <v>0</v>
      </c>
      <c r="Y89" s="322">
        <f>IFERROR(IF(tblPiNAnalysis5[[#This Row],[Nutrition]]="", "", MROUND(tblPiNAnalysis5[[#This Row],[Nutrition]]/tblPiNAnalysis5[[#This Row],[Affected population projection 2026]], 0.05)), "")</f>
        <v>0</v>
      </c>
      <c r="Z89" s="322">
        <f>IFERROR(IF(tblPiNAnalysis5[[#This Row],[Food Security]]="", "", MROUND(tblPiNAnalysis5[[#This Row],[Food Security]]/tblPiNAnalysis5[[#This Row],[Affected population projection 2026]], 0.05)), "")</f>
        <v>0</v>
      </c>
      <c r="AA89" s="322">
        <f>IFERROR(IF(tblPiNAnalysis5[[#This Row],[Health]]="", "", MROUND(tblPiNAnalysis5[[#This Row],[Health]]/tblPiNAnalysis5[[#This Row],[Affected population projection 2026]], 0.05)), "")</f>
        <v>0</v>
      </c>
      <c r="AB89" s="323">
        <f>IFERROR(IF(tblPiNAnalysis5[[#This Row],[Overarching Protection]]="", "", MROUND(tblPiNAnalysis5[[#This Row],[Overarching Protection]]/tblPiNAnalysis5[[#This Row],[Affected population projection 2026]], 0.05)), "")</f>
        <v>0</v>
      </c>
      <c r="AC89" s="323">
        <f>IFERROR(IF(tblPiNAnalysis5[[#This Row],[Shelter]]="", "", MROUND(tblPiNAnalysis5[[#This Row],[Shelter]]/tblPiNAnalysis5[[#This Row],[Affected population projection 2026]], 0.05)), "")</f>
        <v>0</v>
      </c>
      <c r="AD89" s="324">
        <f>IFERROR(IF(tblPiNAnalysis5[[#This Row],[WASH]]="", "", MROUND(tblPiNAnalysis5[[#This Row],[WASH]]/tblPiNAnalysis5[[#This Row],[Affected population projection 2026]], 0.05)), "")</f>
        <v>0</v>
      </c>
      <c r="AE89" s="322">
        <f>IFERROR(MROUND(tblPiNAnalysis5[[#This Row],[CP]]/tblPiNAnalysis5[[#This Row],[Affected population projection 2026]], 0.05), "")</f>
        <v>0</v>
      </c>
      <c r="AF89" s="322">
        <f>IFERROR(MROUND(tblPiNAnalysis5[[#This Row],[GBV]]/tblPiNAnalysis5[[#This Row],[Affected population projection 2026]], 0.05), "")</f>
        <v>0</v>
      </c>
      <c r="AG89" s="322">
        <f>IFERROR(MROUND(tblPiNAnalysis5[[#This Row],[Mine Action]]/tblPiNAnalysis5[[#This Row],[Affected population projection 2026]], 0.05), "")</f>
        <v>0</v>
      </c>
      <c r="AH89" s="322">
        <f>IFERROR(MROUND(tblPiNAnalysis5[[#This Row],[HLP]]/tblPiNAnalysis5[[#This Row],[Affected population projection 2026]], 0.05), "")</f>
        <v>0</v>
      </c>
      <c r="AI89" s="325">
        <f>IFERROR(LARGE(tblPiNAnalysis5[[#This Row],[CCCM]:[WASH]], 1), "")</f>
        <v>0</v>
      </c>
      <c r="AJ89" s="326" t="str" cm="1">
        <f t="array" ref="AJ89">IF(tblPiNAnalysis5[[#This Row],[Highest Target]]="", "", _xlfn.TEXTJOIN(CHAR(10), TRUE, IF(tblPiNAnalysis5[[#This Row],[Highest Target]]=tblPiNAnalysis5[[#This Row],[CCCM]:[WASH]], tblPiNAnalysis5[[#Headers],[CCCM]:[WASH]], "")))</f>
        <v>CCCM
Education
Nutrition
Food Security
Health
Overarching Protection
Shelter
WASH</v>
      </c>
      <c r="AK89" s="327">
        <f>IF(tblPiNAnalysis5[[#This Row],[Highest Target]]="", "", tblPiNAnalysis5[[#This Row],[Highest Target]]/tblPiNAnalysis5[[#This Row],[Affected population projection 2026]])</f>
        <v>0</v>
      </c>
      <c r="AL89" s="328" t="str">
        <f>IF(SUM(tblPiNAnalysis5[[#This Row],[CCCM]:[WASH]])=0, "",IF(COUNTIF(tblPiNAnalysis5[[#This Row],[CCCM]:[WASH]],"=0")+COUNTIF(tblPiNAnalysis5[[#This Row],[CCCM]:[WASH]],"")&gt;=zero_pin_thresh, "Flagged", ""))</f>
        <v/>
      </c>
      <c r="AM89" s="329" t="str">
        <f>IFERROR(IF(tblPiNAnalysis5[[#This Row],[Highest Target]]="", "", IF(tblPiNAnalysis5[[#This Row],[Highest sector(s'') Target %]]&gt;=flag_pin_perc, "Flagged", "")), "")</f>
        <v/>
      </c>
      <c r="AN89" s="330" t="str" cm="1">
        <f t="array" ref="AN89">IF(tblPiNAnalysis5[[#This Row],[Highest Target]]=0, "",  IF(OR(COUNTIF(tblPiNAnalysis5[[#This Row],[Highest sector(s)]],tblSubSectorPopulation[Sector])), "Flagged", ""))</f>
        <v/>
      </c>
      <c r="AO89" s="46" cm="1">
        <f t="array" ref="AO8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89" s="331" t="str" cm="1">
        <f t="array" ref="AP89">IF(tblPiNAnalysis5[[#This Row],[2nd Highest Target]]="", "", _xlfn.TEXTJOIN(CHAR(10), TRUE, IF(tblPiNAnalysis5[[#This Row],[2nd Highest Target]]=tblPiNAnalysis5[[#This Row],[CCCM]:[WASH]], tblPiNAnalysis5[[#Headers],[CCCM]:[WASH]], "")))</f>
        <v>CCCM
Education
Nutrition
Food Security
Health
Overarching Protection
Shelter
WASH</v>
      </c>
      <c r="AQ89" s="36">
        <f>IFERROR(tblPiNAnalysis5[[#This Row],[2nd Highest Target]]/tblPiNAnalysis5[[#This Row],[Affected population projection 2026]], "")</f>
        <v>0</v>
      </c>
      <c r="AR89" s="46">
        <f>IFERROR(tblPiNAnalysis5[[#This Row],[Highest Target]]-tblPiNAnalysis5[[#This Row],[2nd Highest Target]], "")</f>
        <v>0</v>
      </c>
      <c r="AS89" s="39" t="str">
        <f>IFERROR(((tblPiNAnalysis5[[#This Row],[Highest Target]]-tblPiNAnalysis5[[#This Row],[2nd Highest Target]])/tblPiNAnalysis5[[#This Row],[2nd Highest Target]]),"")</f>
        <v/>
      </c>
      <c r="AT89" s="39" t="str" cm="1">
        <f t="array" ref="AT8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89" s="332" cm="1">
        <f t="array" ref="AU8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89" s="190" t="str" cm="1">
        <f t="array" ref="AV89">IF(tblPiNAnalysis5[[#This Row],[3rd Highest Target]]="", "", _xlfn.TEXTJOIN(CHAR(10), TRUE, IF(tblPiNAnalysis5[[#This Row],[3rd Highest Target]]=tblPiNAnalysis5[[#This Row],[CCCM]:[WASH]], tblPiNAnalysis5[[#Headers],[CCCM]:[WASH]], "")))</f>
        <v>CCCM
Education
Nutrition
Food Security
Health
Overarching Protection
Shelter
WASH</v>
      </c>
      <c r="AW89" s="190">
        <f>IFERROR(tblPiNAnalysis5[[#This Row],[3rd Highest Target]]/tblPiNAnalysis5[[#This Row],[Affected population projection 2026]], "")</f>
        <v>0</v>
      </c>
      <c r="AX89" s="45">
        <f>IFERROR(tblPiNAnalysis5[[#This Row],[Highest Target]]-tblPiNAnalysis5[[#This Row],[3rd Highest Target]],"")</f>
        <v>0</v>
      </c>
      <c r="AY89" s="39" t="str">
        <f>IFERROR(tblPiNAnalysis5[[#This Row],[Difference of Target between Highest and 3rd Highest]]/tblPiNAnalysis5[[#This Row],[3rd Highest Target]], "")</f>
        <v/>
      </c>
      <c r="AZ89" s="330" t="str" cm="1">
        <f t="array" ref="AZ8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89" s="300" t="str" cm="1">
        <f t="array" ref="BA8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89" s="333" t="str" cm="1">
        <f t="array" ref="BB8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89" s="276" t="str" cm="1">
        <f t="array" ref="BC8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89" s="334" t="str" cm="1">
        <f t="array" ref="BD8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89" s="277" t="e">
        <f>INDEX(tblSeverityAnalysis[Final Severity], MATCH(tblPiNAnalysis5[[#This Row],[ID]],tblSeverityAnalysis[ID], 0))</f>
        <v>#N/A</v>
      </c>
      <c r="BF89" s="61" t="e">
        <f>IF(tblPiNAnalysis5[[#This Row],[Severity]]&gt;2,tblPiNAnalysis5[[#This Row],[Highest Target]],)</f>
        <v>#N/A</v>
      </c>
      <c r="BG89" s="191"/>
      <c r="BH89" s="192"/>
      <c r="BI89" s="193">
        <f>COUNTIFS(tblPiNAnalysis5[[#This Row],[Number of missing / zero PiNs greater than threshold - Data quality]:[Manual Flag]],"Flagged")</f>
        <v>2</v>
      </c>
      <c r="BJ89" s="96" t="str">
        <f>IF(tblPiNAnalysis5[[#This Row],['# Flags]]&gt;0, "Flagged", "")</f>
        <v>Flagged</v>
      </c>
      <c r="BK89" s="326" t="e">
        <f>tblPiNAnalysis5[[#This Row],[Preliminary Target]]</f>
        <v>#N/A</v>
      </c>
      <c r="BL89" s="331"/>
    </row>
    <row r="90" spans="1:64" ht="110.7" x14ac:dyDescent="0.55000000000000004">
      <c r="A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0" s="316" t="s">
        <v>250</v>
      </c>
      <c r="C90" s="317" t="s">
        <v>251</v>
      </c>
      <c r="D90" s="317" t="s">
        <v>252</v>
      </c>
      <c r="E90" s="105" t="s">
        <v>253</v>
      </c>
      <c r="F90" s="100"/>
      <c r="G90" s="34"/>
      <c r="H90" s="34"/>
      <c r="I90" s="97">
        <v>80977.342990929319</v>
      </c>
      <c r="J90" s="97" t="s">
        <v>413</v>
      </c>
      <c r="K90" s="318">
        <v>0</v>
      </c>
      <c r="L90" s="319">
        <v>0</v>
      </c>
      <c r="M90" s="319">
        <v>0</v>
      </c>
      <c r="N90" s="319">
        <v>0</v>
      </c>
      <c r="O90" s="319">
        <v>0</v>
      </c>
      <c r="P90" s="319">
        <v>0</v>
      </c>
      <c r="Q90" s="320">
        <v>0</v>
      </c>
      <c r="R90" s="319">
        <v>0</v>
      </c>
      <c r="S90" s="319"/>
      <c r="T90" s="319"/>
      <c r="U90" s="319"/>
      <c r="V90" s="319"/>
      <c r="W90" s="321">
        <f>IFERROR(IF(tblPiNAnalysis5[[#This Row],[CCCM]]="", "", MROUND(tblPiNAnalysis5[[#This Row],[CCCM]]/tblPiNAnalysis5[[#This Row],[Affected population projection 2026]], 0.05)), "")</f>
        <v>0</v>
      </c>
      <c r="X90" s="322">
        <f>IFERROR(IF(tblPiNAnalysis5[[#This Row],[Education]]="", "", MROUND(tblPiNAnalysis5[[#This Row],[Education]]/tblPiNAnalysis5[[#This Row],[Affected population projection 2026]], 0.05)), "")</f>
        <v>0</v>
      </c>
      <c r="Y90" s="322">
        <f>IFERROR(IF(tblPiNAnalysis5[[#This Row],[Nutrition]]="", "", MROUND(tblPiNAnalysis5[[#This Row],[Nutrition]]/tblPiNAnalysis5[[#This Row],[Affected population projection 2026]], 0.05)), "")</f>
        <v>0</v>
      </c>
      <c r="Z90" s="322">
        <f>IFERROR(IF(tblPiNAnalysis5[[#This Row],[Food Security]]="", "", MROUND(tblPiNAnalysis5[[#This Row],[Food Security]]/tblPiNAnalysis5[[#This Row],[Affected population projection 2026]], 0.05)), "")</f>
        <v>0</v>
      </c>
      <c r="AA90" s="322">
        <f>IFERROR(IF(tblPiNAnalysis5[[#This Row],[Health]]="", "", MROUND(tblPiNAnalysis5[[#This Row],[Health]]/tblPiNAnalysis5[[#This Row],[Affected population projection 2026]], 0.05)), "")</f>
        <v>0</v>
      </c>
      <c r="AB90" s="323">
        <f>IFERROR(IF(tblPiNAnalysis5[[#This Row],[Overarching Protection]]="", "", MROUND(tblPiNAnalysis5[[#This Row],[Overarching Protection]]/tblPiNAnalysis5[[#This Row],[Affected population projection 2026]], 0.05)), "")</f>
        <v>0</v>
      </c>
      <c r="AC90" s="323">
        <f>IFERROR(IF(tblPiNAnalysis5[[#This Row],[Shelter]]="", "", MROUND(tblPiNAnalysis5[[#This Row],[Shelter]]/tblPiNAnalysis5[[#This Row],[Affected population projection 2026]], 0.05)), "")</f>
        <v>0</v>
      </c>
      <c r="AD90" s="324">
        <f>IFERROR(IF(tblPiNAnalysis5[[#This Row],[WASH]]="", "", MROUND(tblPiNAnalysis5[[#This Row],[WASH]]/tblPiNAnalysis5[[#This Row],[Affected population projection 2026]], 0.05)), "")</f>
        <v>0</v>
      </c>
      <c r="AE90" s="322">
        <f>IFERROR(MROUND(tblPiNAnalysis5[[#This Row],[CP]]/tblPiNAnalysis5[[#This Row],[Affected population projection 2026]], 0.05), "")</f>
        <v>0</v>
      </c>
      <c r="AF90" s="322">
        <f>IFERROR(MROUND(tblPiNAnalysis5[[#This Row],[GBV]]/tblPiNAnalysis5[[#This Row],[Affected population projection 2026]], 0.05), "")</f>
        <v>0</v>
      </c>
      <c r="AG90" s="322">
        <f>IFERROR(MROUND(tblPiNAnalysis5[[#This Row],[Mine Action]]/tblPiNAnalysis5[[#This Row],[Affected population projection 2026]], 0.05), "")</f>
        <v>0</v>
      </c>
      <c r="AH90" s="322">
        <f>IFERROR(MROUND(tblPiNAnalysis5[[#This Row],[HLP]]/tblPiNAnalysis5[[#This Row],[Affected population projection 2026]], 0.05), "")</f>
        <v>0</v>
      </c>
      <c r="AI90" s="325">
        <f>IFERROR(LARGE(tblPiNAnalysis5[[#This Row],[CCCM]:[WASH]], 1), "")</f>
        <v>0</v>
      </c>
      <c r="AJ90" s="326" t="str" cm="1">
        <f t="array" ref="AJ90">IF(tblPiNAnalysis5[[#This Row],[Highest Target]]="", "", _xlfn.TEXTJOIN(CHAR(10), TRUE, IF(tblPiNAnalysis5[[#This Row],[Highest Target]]=tblPiNAnalysis5[[#This Row],[CCCM]:[WASH]], tblPiNAnalysis5[[#Headers],[CCCM]:[WASH]], "")))</f>
        <v>CCCM
Education
Nutrition
Food Security
Health
Overarching Protection
Shelter
WASH</v>
      </c>
      <c r="AK90" s="327">
        <f>IF(tblPiNAnalysis5[[#This Row],[Highest Target]]="", "", tblPiNAnalysis5[[#This Row],[Highest Target]]/tblPiNAnalysis5[[#This Row],[Affected population projection 2026]])</f>
        <v>0</v>
      </c>
      <c r="AL90" s="328" t="str">
        <f>IF(SUM(tblPiNAnalysis5[[#This Row],[CCCM]:[WASH]])=0, "",IF(COUNTIF(tblPiNAnalysis5[[#This Row],[CCCM]:[WASH]],"=0")+COUNTIF(tblPiNAnalysis5[[#This Row],[CCCM]:[WASH]],"")&gt;=zero_pin_thresh, "Flagged", ""))</f>
        <v/>
      </c>
      <c r="AM90" s="329" t="str">
        <f>IFERROR(IF(tblPiNAnalysis5[[#This Row],[Highest Target]]="", "", IF(tblPiNAnalysis5[[#This Row],[Highest sector(s'') Target %]]&gt;=flag_pin_perc, "Flagged", "")), "")</f>
        <v/>
      </c>
      <c r="AN90" s="330" t="str" cm="1">
        <f t="array" ref="AN90">IF(tblPiNAnalysis5[[#This Row],[Highest Target]]=0, "",  IF(OR(COUNTIF(tblPiNAnalysis5[[#This Row],[Highest sector(s)]],tblSubSectorPopulation[Sector])), "Flagged", ""))</f>
        <v/>
      </c>
      <c r="AO90" s="46" cm="1">
        <f t="array" ref="AO9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90" s="331" t="str" cm="1">
        <f t="array" ref="AP90">IF(tblPiNAnalysis5[[#This Row],[2nd Highest Target]]="", "", _xlfn.TEXTJOIN(CHAR(10), TRUE, IF(tblPiNAnalysis5[[#This Row],[2nd Highest Target]]=tblPiNAnalysis5[[#This Row],[CCCM]:[WASH]], tblPiNAnalysis5[[#Headers],[CCCM]:[WASH]], "")))</f>
        <v>CCCM
Education
Nutrition
Food Security
Health
Overarching Protection
Shelter
WASH</v>
      </c>
      <c r="AQ90" s="36">
        <f>IFERROR(tblPiNAnalysis5[[#This Row],[2nd Highest Target]]/tblPiNAnalysis5[[#This Row],[Affected population projection 2026]], "")</f>
        <v>0</v>
      </c>
      <c r="AR90" s="46">
        <f>IFERROR(tblPiNAnalysis5[[#This Row],[Highest Target]]-tblPiNAnalysis5[[#This Row],[2nd Highest Target]], "")</f>
        <v>0</v>
      </c>
      <c r="AS90" s="39" t="str">
        <f>IFERROR(((tblPiNAnalysis5[[#This Row],[Highest Target]]-tblPiNAnalysis5[[#This Row],[2nd Highest Target]])/tblPiNAnalysis5[[#This Row],[2nd Highest Target]]),"")</f>
        <v/>
      </c>
      <c r="AT90" s="39" t="str" cm="1">
        <f t="array" ref="AT9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0" s="332" cm="1">
        <f t="array" ref="AU9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90" s="190" t="str" cm="1">
        <f t="array" ref="AV90">IF(tblPiNAnalysis5[[#This Row],[3rd Highest Target]]="", "", _xlfn.TEXTJOIN(CHAR(10), TRUE, IF(tblPiNAnalysis5[[#This Row],[3rd Highest Target]]=tblPiNAnalysis5[[#This Row],[CCCM]:[WASH]], tblPiNAnalysis5[[#Headers],[CCCM]:[WASH]], "")))</f>
        <v>CCCM
Education
Nutrition
Food Security
Health
Overarching Protection
Shelter
WASH</v>
      </c>
      <c r="AW90" s="190">
        <f>IFERROR(tblPiNAnalysis5[[#This Row],[3rd Highest Target]]/tblPiNAnalysis5[[#This Row],[Affected population projection 2026]], "")</f>
        <v>0</v>
      </c>
      <c r="AX90" s="45">
        <f>IFERROR(tblPiNAnalysis5[[#This Row],[Highest Target]]-tblPiNAnalysis5[[#This Row],[3rd Highest Target]],"")</f>
        <v>0</v>
      </c>
      <c r="AY90" s="39" t="str">
        <f>IFERROR(tblPiNAnalysis5[[#This Row],[Difference of Target between Highest and 3rd Highest]]/tblPiNAnalysis5[[#This Row],[3rd Highest Target]], "")</f>
        <v/>
      </c>
      <c r="AZ90" s="330" t="str" cm="1">
        <f t="array" ref="AZ9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0" s="300" t="str" cm="1">
        <f t="array" ref="BA9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0" s="333" t="str" cm="1">
        <f t="array" ref="BB9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90" s="276" t="str" cm="1">
        <f t="array" ref="BC9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0" s="334" t="str" cm="1">
        <f t="array" ref="BD9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0" s="277" t="e">
        <f>INDEX(tblSeverityAnalysis[Final Severity], MATCH(tblPiNAnalysis5[[#This Row],[ID]],tblSeverityAnalysis[ID], 0))</f>
        <v>#N/A</v>
      </c>
      <c r="BF90" s="61" t="e">
        <f>IF(tblPiNAnalysis5[[#This Row],[Severity]]&gt;2,tblPiNAnalysis5[[#This Row],[Highest Target]],)</f>
        <v>#N/A</v>
      </c>
      <c r="BG90" s="191"/>
      <c r="BH90" s="192"/>
      <c r="BI90" s="193">
        <f>COUNTIFS(tblPiNAnalysis5[[#This Row],[Number of missing / zero PiNs greater than threshold - Data quality]:[Manual Flag]],"Flagged")</f>
        <v>2</v>
      </c>
      <c r="BJ90" s="96" t="str">
        <f>IF(tblPiNAnalysis5[[#This Row],['# Flags]]&gt;0, "Flagged", "")</f>
        <v>Flagged</v>
      </c>
      <c r="BK90" s="326" t="e">
        <f>tblPiNAnalysis5[[#This Row],[Preliminary Target]]</f>
        <v>#N/A</v>
      </c>
      <c r="BL90" s="331"/>
    </row>
    <row r="91" spans="1:64" ht="110.7" x14ac:dyDescent="0.55000000000000004">
      <c r="A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1" s="316" t="s">
        <v>250</v>
      </c>
      <c r="C91" s="317" t="s">
        <v>251</v>
      </c>
      <c r="D91" s="317" t="s">
        <v>254</v>
      </c>
      <c r="E91" s="105" t="s">
        <v>255</v>
      </c>
      <c r="F91" s="100"/>
      <c r="G91" s="34"/>
      <c r="H91" s="34"/>
      <c r="I91" s="97">
        <v>79454.880620653479</v>
      </c>
      <c r="J91" s="97" t="s">
        <v>413</v>
      </c>
      <c r="K91" s="318">
        <v>0</v>
      </c>
      <c r="L91" s="319">
        <v>0</v>
      </c>
      <c r="M91" s="319">
        <v>0</v>
      </c>
      <c r="N91" s="319">
        <v>0</v>
      </c>
      <c r="O91" s="319">
        <v>0</v>
      </c>
      <c r="P91" s="319">
        <v>0</v>
      </c>
      <c r="Q91" s="320">
        <v>0</v>
      </c>
      <c r="R91" s="319">
        <v>0</v>
      </c>
      <c r="S91" s="319"/>
      <c r="T91" s="319"/>
      <c r="U91" s="319"/>
      <c r="V91" s="319"/>
      <c r="W91" s="321">
        <f>IFERROR(IF(tblPiNAnalysis5[[#This Row],[CCCM]]="", "", MROUND(tblPiNAnalysis5[[#This Row],[CCCM]]/tblPiNAnalysis5[[#This Row],[Affected population projection 2026]], 0.05)), "")</f>
        <v>0</v>
      </c>
      <c r="X91" s="322">
        <f>IFERROR(IF(tblPiNAnalysis5[[#This Row],[Education]]="", "", MROUND(tblPiNAnalysis5[[#This Row],[Education]]/tblPiNAnalysis5[[#This Row],[Affected population projection 2026]], 0.05)), "")</f>
        <v>0</v>
      </c>
      <c r="Y91" s="322">
        <f>IFERROR(IF(tblPiNAnalysis5[[#This Row],[Nutrition]]="", "", MROUND(tblPiNAnalysis5[[#This Row],[Nutrition]]/tblPiNAnalysis5[[#This Row],[Affected population projection 2026]], 0.05)), "")</f>
        <v>0</v>
      </c>
      <c r="Z91" s="322">
        <f>IFERROR(IF(tblPiNAnalysis5[[#This Row],[Food Security]]="", "", MROUND(tblPiNAnalysis5[[#This Row],[Food Security]]/tblPiNAnalysis5[[#This Row],[Affected population projection 2026]], 0.05)), "")</f>
        <v>0</v>
      </c>
      <c r="AA91" s="322">
        <f>IFERROR(IF(tblPiNAnalysis5[[#This Row],[Health]]="", "", MROUND(tblPiNAnalysis5[[#This Row],[Health]]/tblPiNAnalysis5[[#This Row],[Affected population projection 2026]], 0.05)), "")</f>
        <v>0</v>
      </c>
      <c r="AB91" s="323">
        <f>IFERROR(IF(tblPiNAnalysis5[[#This Row],[Overarching Protection]]="", "", MROUND(tblPiNAnalysis5[[#This Row],[Overarching Protection]]/tblPiNAnalysis5[[#This Row],[Affected population projection 2026]], 0.05)), "")</f>
        <v>0</v>
      </c>
      <c r="AC91" s="323">
        <f>IFERROR(IF(tblPiNAnalysis5[[#This Row],[Shelter]]="", "", MROUND(tblPiNAnalysis5[[#This Row],[Shelter]]/tblPiNAnalysis5[[#This Row],[Affected population projection 2026]], 0.05)), "")</f>
        <v>0</v>
      </c>
      <c r="AD91" s="324">
        <f>IFERROR(IF(tblPiNAnalysis5[[#This Row],[WASH]]="", "", MROUND(tblPiNAnalysis5[[#This Row],[WASH]]/tblPiNAnalysis5[[#This Row],[Affected population projection 2026]], 0.05)), "")</f>
        <v>0</v>
      </c>
      <c r="AE91" s="322">
        <f>IFERROR(MROUND(tblPiNAnalysis5[[#This Row],[CP]]/tblPiNAnalysis5[[#This Row],[Affected population projection 2026]], 0.05), "")</f>
        <v>0</v>
      </c>
      <c r="AF91" s="322">
        <f>IFERROR(MROUND(tblPiNAnalysis5[[#This Row],[GBV]]/tblPiNAnalysis5[[#This Row],[Affected population projection 2026]], 0.05), "")</f>
        <v>0</v>
      </c>
      <c r="AG91" s="322">
        <f>IFERROR(MROUND(tblPiNAnalysis5[[#This Row],[Mine Action]]/tblPiNAnalysis5[[#This Row],[Affected population projection 2026]], 0.05), "")</f>
        <v>0</v>
      </c>
      <c r="AH91" s="322">
        <f>IFERROR(MROUND(tblPiNAnalysis5[[#This Row],[HLP]]/tblPiNAnalysis5[[#This Row],[Affected population projection 2026]], 0.05), "")</f>
        <v>0</v>
      </c>
      <c r="AI91" s="325">
        <f>IFERROR(LARGE(tblPiNAnalysis5[[#This Row],[CCCM]:[WASH]], 1), "")</f>
        <v>0</v>
      </c>
      <c r="AJ91" s="326" t="str" cm="1">
        <f t="array" ref="AJ91">IF(tblPiNAnalysis5[[#This Row],[Highest Target]]="", "", _xlfn.TEXTJOIN(CHAR(10), TRUE, IF(tblPiNAnalysis5[[#This Row],[Highest Target]]=tblPiNAnalysis5[[#This Row],[CCCM]:[WASH]], tblPiNAnalysis5[[#Headers],[CCCM]:[WASH]], "")))</f>
        <v>CCCM
Education
Nutrition
Food Security
Health
Overarching Protection
Shelter
WASH</v>
      </c>
      <c r="AK91" s="327">
        <f>IF(tblPiNAnalysis5[[#This Row],[Highest Target]]="", "", tblPiNAnalysis5[[#This Row],[Highest Target]]/tblPiNAnalysis5[[#This Row],[Affected population projection 2026]])</f>
        <v>0</v>
      </c>
      <c r="AL91" s="328" t="str">
        <f>IF(SUM(tblPiNAnalysis5[[#This Row],[CCCM]:[WASH]])=0, "",IF(COUNTIF(tblPiNAnalysis5[[#This Row],[CCCM]:[WASH]],"=0")+COUNTIF(tblPiNAnalysis5[[#This Row],[CCCM]:[WASH]],"")&gt;=zero_pin_thresh, "Flagged", ""))</f>
        <v/>
      </c>
      <c r="AM91" s="329" t="str">
        <f>IFERROR(IF(tblPiNAnalysis5[[#This Row],[Highest Target]]="", "", IF(tblPiNAnalysis5[[#This Row],[Highest sector(s'') Target %]]&gt;=flag_pin_perc, "Flagged", "")), "")</f>
        <v/>
      </c>
      <c r="AN91" s="330" t="str" cm="1">
        <f t="array" ref="AN91">IF(tblPiNAnalysis5[[#This Row],[Highest Target]]=0, "",  IF(OR(COUNTIF(tblPiNAnalysis5[[#This Row],[Highest sector(s)]],tblSubSectorPopulation[Sector])), "Flagged", ""))</f>
        <v/>
      </c>
      <c r="AO91" s="46" cm="1">
        <f t="array" ref="AO9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91" s="331" t="str" cm="1">
        <f t="array" ref="AP91">IF(tblPiNAnalysis5[[#This Row],[2nd Highest Target]]="", "", _xlfn.TEXTJOIN(CHAR(10), TRUE, IF(tblPiNAnalysis5[[#This Row],[2nd Highest Target]]=tblPiNAnalysis5[[#This Row],[CCCM]:[WASH]], tblPiNAnalysis5[[#Headers],[CCCM]:[WASH]], "")))</f>
        <v>CCCM
Education
Nutrition
Food Security
Health
Overarching Protection
Shelter
WASH</v>
      </c>
      <c r="AQ91" s="36">
        <f>IFERROR(tblPiNAnalysis5[[#This Row],[2nd Highest Target]]/tblPiNAnalysis5[[#This Row],[Affected population projection 2026]], "")</f>
        <v>0</v>
      </c>
      <c r="AR91" s="46">
        <f>IFERROR(tblPiNAnalysis5[[#This Row],[Highest Target]]-tblPiNAnalysis5[[#This Row],[2nd Highest Target]], "")</f>
        <v>0</v>
      </c>
      <c r="AS91" s="39" t="str">
        <f>IFERROR(((tblPiNAnalysis5[[#This Row],[Highest Target]]-tblPiNAnalysis5[[#This Row],[2nd Highest Target]])/tblPiNAnalysis5[[#This Row],[2nd Highest Target]]),"")</f>
        <v/>
      </c>
      <c r="AT91" s="39" t="str" cm="1">
        <f t="array" ref="AT9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1" s="332" cm="1">
        <f t="array" ref="AU9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91" s="190" t="str" cm="1">
        <f t="array" ref="AV91">IF(tblPiNAnalysis5[[#This Row],[3rd Highest Target]]="", "", _xlfn.TEXTJOIN(CHAR(10), TRUE, IF(tblPiNAnalysis5[[#This Row],[3rd Highest Target]]=tblPiNAnalysis5[[#This Row],[CCCM]:[WASH]], tblPiNAnalysis5[[#Headers],[CCCM]:[WASH]], "")))</f>
        <v>CCCM
Education
Nutrition
Food Security
Health
Overarching Protection
Shelter
WASH</v>
      </c>
      <c r="AW91" s="190">
        <f>IFERROR(tblPiNAnalysis5[[#This Row],[3rd Highest Target]]/tblPiNAnalysis5[[#This Row],[Affected population projection 2026]], "")</f>
        <v>0</v>
      </c>
      <c r="AX91" s="45">
        <f>IFERROR(tblPiNAnalysis5[[#This Row],[Highest Target]]-tblPiNAnalysis5[[#This Row],[3rd Highest Target]],"")</f>
        <v>0</v>
      </c>
      <c r="AY91" s="39" t="str">
        <f>IFERROR(tblPiNAnalysis5[[#This Row],[Difference of Target between Highest and 3rd Highest]]/tblPiNAnalysis5[[#This Row],[3rd Highest Target]], "")</f>
        <v/>
      </c>
      <c r="AZ91" s="330" t="str" cm="1">
        <f t="array" ref="AZ9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1" s="300" t="str" cm="1">
        <f t="array" ref="BA9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1" s="333" t="str" cm="1">
        <f t="array" ref="BB9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91" s="276" t="str" cm="1">
        <f t="array" ref="BC9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1" s="334" t="str" cm="1">
        <f t="array" ref="BD9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1" s="277" t="e">
        <f>INDEX(tblSeverityAnalysis[Final Severity], MATCH(tblPiNAnalysis5[[#This Row],[ID]],tblSeverityAnalysis[ID], 0))</f>
        <v>#N/A</v>
      </c>
      <c r="BF91" s="61" t="e">
        <f>IF(tblPiNAnalysis5[[#This Row],[Severity]]&gt;2,tblPiNAnalysis5[[#This Row],[Highest Target]],)</f>
        <v>#N/A</v>
      </c>
      <c r="BG91" s="191"/>
      <c r="BH91" s="192"/>
      <c r="BI91" s="193">
        <f>COUNTIFS(tblPiNAnalysis5[[#This Row],[Number of missing / zero PiNs greater than threshold - Data quality]:[Manual Flag]],"Flagged")</f>
        <v>2</v>
      </c>
      <c r="BJ91" s="96" t="str">
        <f>IF(tblPiNAnalysis5[[#This Row],['# Flags]]&gt;0, "Flagged", "")</f>
        <v>Flagged</v>
      </c>
      <c r="BK91" s="326" t="e">
        <f>tblPiNAnalysis5[[#This Row],[Preliminary Target]]</f>
        <v>#N/A</v>
      </c>
      <c r="BL91" s="331"/>
    </row>
    <row r="92" spans="1:64" x14ac:dyDescent="0.55000000000000004">
      <c r="A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2" s="316" t="s">
        <v>250</v>
      </c>
      <c r="C92" s="317" t="s">
        <v>251</v>
      </c>
      <c r="D92" s="317" t="s">
        <v>256</v>
      </c>
      <c r="E92" s="105" t="s">
        <v>257</v>
      </c>
      <c r="F92" s="100"/>
      <c r="G92" s="34"/>
      <c r="H92" s="34"/>
      <c r="I92" s="97">
        <v>135919.18209910189</v>
      </c>
      <c r="J92" s="97" t="s">
        <v>413</v>
      </c>
      <c r="K92" s="318">
        <v>0</v>
      </c>
      <c r="L92" s="319">
        <v>9285.9985210106443</v>
      </c>
      <c r="M92" s="319">
        <v>39397.422947361774</v>
      </c>
      <c r="N92" s="319">
        <v>54978.271363370288</v>
      </c>
      <c r="O92" s="319">
        <v>36905.722333005782</v>
      </c>
      <c r="P92" s="319">
        <v>26787.52244613746</v>
      </c>
      <c r="Q92" s="320">
        <v>0</v>
      </c>
      <c r="R92" s="319">
        <v>76163.217952651743</v>
      </c>
      <c r="S92" s="319"/>
      <c r="T92" s="319"/>
      <c r="U92" s="319"/>
      <c r="V92" s="319"/>
      <c r="W92" s="321">
        <f>IFERROR(IF(tblPiNAnalysis5[[#This Row],[CCCM]]="", "", MROUND(tblPiNAnalysis5[[#This Row],[CCCM]]/tblPiNAnalysis5[[#This Row],[Affected population projection 2026]], 0.05)), "")</f>
        <v>0</v>
      </c>
      <c r="X92" s="322">
        <f>IFERROR(IF(tblPiNAnalysis5[[#This Row],[Education]]="", "", MROUND(tblPiNAnalysis5[[#This Row],[Education]]/tblPiNAnalysis5[[#This Row],[Affected population projection 2026]], 0.05)), "")</f>
        <v>0.05</v>
      </c>
      <c r="Y92" s="322">
        <f>IFERROR(IF(tblPiNAnalysis5[[#This Row],[Nutrition]]="", "", MROUND(tblPiNAnalysis5[[#This Row],[Nutrition]]/tblPiNAnalysis5[[#This Row],[Affected population projection 2026]], 0.05)), "")</f>
        <v>0.30000000000000004</v>
      </c>
      <c r="Z92" s="322">
        <f>IFERROR(IF(tblPiNAnalysis5[[#This Row],[Food Security]]="", "", MROUND(tblPiNAnalysis5[[#This Row],[Food Security]]/tblPiNAnalysis5[[#This Row],[Affected population projection 2026]], 0.05)), "")</f>
        <v>0.4</v>
      </c>
      <c r="AA92" s="322">
        <f>IFERROR(IF(tblPiNAnalysis5[[#This Row],[Health]]="", "", MROUND(tblPiNAnalysis5[[#This Row],[Health]]/tblPiNAnalysis5[[#This Row],[Affected population projection 2026]], 0.05)), "")</f>
        <v>0.25</v>
      </c>
      <c r="AB92" s="323">
        <f>IFERROR(IF(tblPiNAnalysis5[[#This Row],[Overarching Protection]]="", "", MROUND(tblPiNAnalysis5[[#This Row],[Overarching Protection]]/tblPiNAnalysis5[[#This Row],[Affected population projection 2026]], 0.05)), "")</f>
        <v>0.2</v>
      </c>
      <c r="AC92" s="323">
        <f>IFERROR(IF(tblPiNAnalysis5[[#This Row],[Shelter]]="", "", MROUND(tblPiNAnalysis5[[#This Row],[Shelter]]/tblPiNAnalysis5[[#This Row],[Affected population projection 2026]], 0.05)), "")</f>
        <v>0</v>
      </c>
      <c r="AD92" s="324">
        <f>IFERROR(IF(tblPiNAnalysis5[[#This Row],[WASH]]="", "", MROUND(tblPiNAnalysis5[[#This Row],[WASH]]/tblPiNAnalysis5[[#This Row],[Affected population projection 2026]], 0.05)), "")</f>
        <v>0.55000000000000004</v>
      </c>
      <c r="AE92" s="322">
        <f>IFERROR(MROUND(tblPiNAnalysis5[[#This Row],[CP]]/tblPiNAnalysis5[[#This Row],[Affected population projection 2026]], 0.05), "")</f>
        <v>0</v>
      </c>
      <c r="AF92" s="322">
        <f>IFERROR(MROUND(tblPiNAnalysis5[[#This Row],[GBV]]/tblPiNAnalysis5[[#This Row],[Affected population projection 2026]], 0.05), "")</f>
        <v>0</v>
      </c>
      <c r="AG92" s="322">
        <f>IFERROR(MROUND(tblPiNAnalysis5[[#This Row],[Mine Action]]/tblPiNAnalysis5[[#This Row],[Affected population projection 2026]], 0.05), "")</f>
        <v>0</v>
      </c>
      <c r="AH92" s="322">
        <f>IFERROR(MROUND(tblPiNAnalysis5[[#This Row],[HLP]]/tblPiNAnalysis5[[#This Row],[Affected population projection 2026]], 0.05), "")</f>
        <v>0</v>
      </c>
      <c r="AI92" s="325">
        <f>IFERROR(LARGE(tblPiNAnalysis5[[#This Row],[CCCM]:[WASH]], 1), "")</f>
        <v>76163.217952651743</v>
      </c>
      <c r="AJ92" s="326" t="str" cm="1">
        <f t="array" ref="AJ92">IF(tblPiNAnalysis5[[#This Row],[Highest Target]]="", "", _xlfn.TEXTJOIN(CHAR(10), TRUE, IF(tblPiNAnalysis5[[#This Row],[Highest Target]]=tblPiNAnalysis5[[#This Row],[CCCM]:[WASH]], tblPiNAnalysis5[[#Headers],[CCCM]:[WASH]], "")))</f>
        <v>WASH</v>
      </c>
      <c r="AK92" s="327">
        <f>IF(tblPiNAnalysis5[[#This Row],[Highest Target]]="", "", tblPiNAnalysis5[[#This Row],[Highest Target]]/tblPiNAnalysis5[[#This Row],[Affected population projection 2026]])</f>
        <v>0.56035665294924553</v>
      </c>
      <c r="AL92" s="328" t="str">
        <f>IF(SUM(tblPiNAnalysis5[[#This Row],[CCCM]:[WASH]])=0, "",IF(COUNTIF(tblPiNAnalysis5[[#This Row],[CCCM]:[WASH]],"=0")+COUNTIF(tblPiNAnalysis5[[#This Row],[CCCM]:[WASH]],"")&gt;=zero_pin_thresh, "Flagged", ""))</f>
        <v>Flagged</v>
      </c>
      <c r="AM92" s="329" t="str">
        <f>IFERROR(IF(tblPiNAnalysis5[[#This Row],[Highest Target]]="", "", IF(tblPiNAnalysis5[[#This Row],[Highest sector(s'') Target %]]&gt;=flag_pin_perc, "Flagged", "")), "")</f>
        <v/>
      </c>
      <c r="AN92" s="330" t="str" cm="1">
        <f t="array" ref="AN92">IF(tblPiNAnalysis5[[#This Row],[Highest Target]]=0, "",  IF(OR(COUNTIF(tblPiNAnalysis5[[#This Row],[Highest sector(s)]],tblSubSectorPopulation[Sector])), "Flagged", ""))</f>
        <v/>
      </c>
      <c r="AO92" s="46" cm="1">
        <f t="array" ref="AO9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54978.271363370288</v>
      </c>
      <c r="AP92" s="331" t="str" cm="1">
        <f t="array" ref="AP92">IF(tblPiNAnalysis5[[#This Row],[2nd Highest Target]]="", "", _xlfn.TEXTJOIN(CHAR(10), TRUE, IF(tblPiNAnalysis5[[#This Row],[2nd Highest Target]]=tblPiNAnalysis5[[#This Row],[CCCM]:[WASH]], tblPiNAnalysis5[[#Headers],[CCCM]:[WASH]], "")))</f>
        <v>Food Security</v>
      </c>
      <c r="AQ92" s="36">
        <f>IFERROR(tblPiNAnalysis5[[#This Row],[2nd Highest Target]]/tblPiNAnalysis5[[#This Row],[Affected population projection 2026]], "")</f>
        <v>0.40449236461182003</v>
      </c>
      <c r="AR92" s="46">
        <f>IFERROR(tblPiNAnalysis5[[#This Row],[Highest Target]]-tblPiNAnalysis5[[#This Row],[2nd Highest Target]], "")</f>
        <v>21184.946589281455</v>
      </c>
      <c r="AS92" s="39">
        <f>IFERROR(((tblPiNAnalysis5[[#This Row],[Highest Target]]-tblPiNAnalysis5[[#This Row],[2nd Highest Target]])/tblPiNAnalysis5[[#This Row],[2nd Highest Target]]),"")</f>
        <v>0.3853330791225294</v>
      </c>
      <c r="AT92" s="39" t="str" cm="1">
        <f t="array" ref="AT9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92" s="332" cm="1">
        <f t="array" ref="AU9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39397.422947361774</v>
      </c>
      <c r="AV92" s="190" t="str" cm="1">
        <f t="array" ref="AV92">IF(tblPiNAnalysis5[[#This Row],[3rd Highest Target]]="", "", _xlfn.TEXTJOIN(CHAR(10), TRUE, IF(tblPiNAnalysis5[[#This Row],[3rd Highest Target]]=tblPiNAnalysis5[[#This Row],[CCCM]:[WASH]], tblPiNAnalysis5[[#Headers],[CCCM]:[WASH]], "")))</f>
        <v>Nutrition</v>
      </c>
      <c r="AW92" s="190">
        <f>IFERROR(tblPiNAnalysis5[[#This Row],[3rd Highest Target]]/tblPiNAnalysis5[[#This Row],[Affected population projection 2026]], "")</f>
        <v>0.28985918204419581</v>
      </c>
      <c r="AX92" s="45">
        <f>IFERROR(tblPiNAnalysis5[[#This Row],[Highest Target]]-tblPiNAnalysis5[[#This Row],[3rd Highest Target]],"")</f>
        <v>36765.795005289969</v>
      </c>
      <c r="AY92" s="39">
        <f>IFERROR(tblPiNAnalysis5[[#This Row],[Difference of Target between Highest and 3rd Highest]]/tblPiNAnalysis5[[#This Row],[3rd Highest Target]], "")</f>
        <v>0.93320304362069872</v>
      </c>
      <c r="AZ92" s="330" t="str" cm="1">
        <f t="array" ref="AZ9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92" s="300" t="str" cm="1">
        <f t="array" ref="BA9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2" s="333" t="str" cm="1">
        <f t="array" ref="BB9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2" s="276" t="str" cm="1">
        <f t="array" ref="BC9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2" s="334" t="str" cm="1">
        <f t="array" ref="BD9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92" s="277" t="e">
        <f>INDEX(tblSeverityAnalysis[Final Severity], MATCH(tblPiNAnalysis5[[#This Row],[ID]],tblSeverityAnalysis[ID], 0))</f>
        <v>#N/A</v>
      </c>
      <c r="BF92" s="61" t="e">
        <f>IF(tblPiNAnalysis5[[#This Row],[Severity]]&gt;2,tblPiNAnalysis5[[#This Row],[Highest Target]],)</f>
        <v>#N/A</v>
      </c>
      <c r="BG92" s="191"/>
      <c r="BH92" s="192"/>
      <c r="BI92" s="193">
        <f>COUNTIFS(tblPiNAnalysis5[[#This Row],[Number of missing / zero PiNs greater than threshold - Data quality]:[Manual Flag]],"Flagged")</f>
        <v>3</v>
      </c>
      <c r="BJ92" s="96" t="str">
        <f>IF(tblPiNAnalysis5[[#This Row],['# Flags]]&gt;0, "Flagged", "")</f>
        <v>Flagged</v>
      </c>
      <c r="BK92" s="326" t="e">
        <f>tblPiNAnalysis5[[#This Row],[Preliminary Target]]</f>
        <v>#N/A</v>
      </c>
      <c r="BL92" s="331"/>
    </row>
    <row r="93" spans="1:64" x14ac:dyDescent="0.55000000000000004">
      <c r="A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3" s="316" t="s">
        <v>250</v>
      </c>
      <c r="C93" s="317" t="s">
        <v>251</v>
      </c>
      <c r="D93" s="317" t="s">
        <v>258</v>
      </c>
      <c r="E93" s="105" t="s">
        <v>259</v>
      </c>
      <c r="F93" s="100"/>
      <c r="G93" s="34"/>
      <c r="H93" s="34"/>
      <c r="I93" s="97">
        <v>121484.03458105327</v>
      </c>
      <c r="J93" s="97" t="s">
        <v>413</v>
      </c>
      <c r="K93" s="318">
        <v>0</v>
      </c>
      <c r="L93" s="319">
        <v>4604.2449106219201</v>
      </c>
      <c r="M93" s="319">
        <v>26774.875801139246</v>
      </c>
      <c r="N93" s="319">
        <v>24442.83071673743</v>
      </c>
      <c r="O93" s="319">
        <v>15132.399219141458</v>
      </c>
      <c r="P93" s="319">
        <v>6688.7269912405791</v>
      </c>
      <c r="Q93" s="320">
        <v>0</v>
      </c>
      <c r="R93" s="319">
        <v>14171.944443173124</v>
      </c>
      <c r="S93" s="319"/>
      <c r="T93" s="319"/>
      <c r="U93" s="319"/>
      <c r="V93" s="319"/>
      <c r="W93" s="321">
        <f>IFERROR(IF(tblPiNAnalysis5[[#This Row],[CCCM]]="", "", MROUND(tblPiNAnalysis5[[#This Row],[CCCM]]/tblPiNAnalysis5[[#This Row],[Affected population projection 2026]], 0.05)), "")</f>
        <v>0</v>
      </c>
      <c r="X93" s="322">
        <f>IFERROR(IF(tblPiNAnalysis5[[#This Row],[Education]]="", "", MROUND(tblPiNAnalysis5[[#This Row],[Education]]/tblPiNAnalysis5[[#This Row],[Affected population projection 2026]], 0.05)), "")</f>
        <v>0.05</v>
      </c>
      <c r="Y93" s="322">
        <f>IFERROR(IF(tblPiNAnalysis5[[#This Row],[Nutrition]]="", "", MROUND(tblPiNAnalysis5[[#This Row],[Nutrition]]/tblPiNAnalysis5[[#This Row],[Affected population projection 2026]], 0.05)), "")</f>
        <v>0.2</v>
      </c>
      <c r="Z93" s="322">
        <f>IFERROR(IF(tblPiNAnalysis5[[#This Row],[Food Security]]="", "", MROUND(tblPiNAnalysis5[[#This Row],[Food Security]]/tblPiNAnalysis5[[#This Row],[Affected population projection 2026]], 0.05)), "")</f>
        <v>0.2</v>
      </c>
      <c r="AA93" s="322">
        <f>IFERROR(IF(tblPiNAnalysis5[[#This Row],[Health]]="", "", MROUND(tblPiNAnalysis5[[#This Row],[Health]]/tblPiNAnalysis5[[#This Row],[Affected population projection 2026]], 0.05)), "")</f>
        <v>0.1</v>
      </c>
      <c r="AB93" s="323">
        <f>IFERROR(IF(tblPiNAnalysis5[[#This Row],[Overarching Protection]]="", "", MROUND(tblPiNAnalysis5[[#This Row],[Overarching Protection]]/tblPiNAnalysis5[[#This Row],[Affected population projection 2026]], 0.05)), "")</f>
        <v>0.05</v>
      </c>
      <c r="AC93" s="323">
        <f>IFERROR(IF(tblPiNAnalysis5[[#This Row],[Shelter]]="", "", MROUND(tblPiNAnalysis5[[#This Row],[Shelter]]/tblPiNAnalysis5[[#This Row],[Affected population projection 2026]], 0.05)), "")</f>
        <v>0</v>
      </c>
      <c r="AD93" s="324">
        <f>IFERROR(IF(tblPiNAnalysis5[[#This Row],[WASH]]="", "", MROUND(tblPiNAnalysis5[[#This Row],[WASH]]/tblPiNAnalysis5[[#This Row],[Affected population projection 2026]], 0.05)), "")</f>
        <v>0.1</v>
      </c>
      <c r="AE93" s="322">
        <f>IFERROR(MROUND(tblPiNAnalysis5[[#This Row],[CP]]/tblPiNAnalysis5[[#This Row],[Affected population projection 2026]], 0.05), "")</f>
        <v>0</v>
      </c>
      <c r="AF93" s="322">
        <f>IFERROR(MROUND(tblPiNAnalysis5[[#This Row],[GBV]]/tblPiNAnalysis5[[#This Row],[Affected population projection 2026]], 0.05), "")</f>
        <v>0</v>
      </c>
      <c r="AG93" s="322">
        <f>IFERROR(MROUND(tblPiNAnalysis5[[#This Row],[Mine Action]]/tblPiNAnalysis5[[#This Row],[Affected population projection 2026]], 0.05), "")</f>
        <v>0</v>
      </c>
      <c r="AH93" s="322">
        <f>IFERROR(MROUND(tblPiNAnalysis5[[#This Row],[HLP]]/tblPiNAnalysis5[[#This Row],[Affected population projection 2026]], 0.05), "")</f>
        <v>0</v>
      </c>
      <c r="AI93" s="325">
        <f>IFERROR(LARGE(tblPiNAnalysis5[[#This Row],[CCCM]:[WASH]], 1), "")</f>
        <v>26774.875801139246</v>
      </c>
      <c r="AJ93" s="326" t="str" cm="1">
        <f t="array" ref="AJ93">IF(tblPiNAnalysis5[[#This Row],[Highest Target]]="", "", _xlfn.TEXTJOIN(CHAR(10), TRUE, IF(tblPiNAnalysis5[[#This Row],[Highest Target]]=tblPiNAnalysis5[[#This Row],[CCCM]:[WASH]], tblPiNAnalysis5[[#Headers],[CCCM]:[WASH]], "")))</f>
        <v>Nutrition</v>
      </c>
      <c r="AK93" s="327">
        <f>IF(tblPiNAnalysis5[[#This Row],[Highest Target]]="", "", tblPiNAnalysis5[[#This Row],[Highest Target]]/tblPiNAnalysis5[[#This Row],[Affected population projection 2026]])</f>
        <v>0.22039830907389926</v>
      </c>
      <c r="AL93" s="328" t="str">
        <f>IF(SUM(tblPiNAnalysis5[[#This Row],[CCCM]:[WASH]])=0, "",IF(COUNTIF(tblPiNAnalysis5[[#This Row],[CCCM]:[WASH]],"=0")+COUNTIF(tblPiNAnalysis5[[#This Row],[CCCM]:[WASH]],"")&gt;=zero_pin_thresh, "Flagged", ""))</f>
        <v>Flagged</v>
      </c>
      <c r="AM93" s="329" t="str">
        <f>IFERROR(IF(tblPiNAnalysis5[[#This Row],[Highest Target]]="", "", IF(tblPiNAnalysis5[[#This Row],[Highest sector(s'') Target %]]&gt;=flag_pin_perc, "Flagged", "")), "")</f>
        <v/>
      </c>
      <c r="AN93" s="330" t="str" cm="1">
        <f t="array" ref="AN93">IF(tblPiNAnalysis5[[#This Row],[Highest Target]]=0, "",  IF(OR(COUNTIF(tblPiNAnalysis5[[#This Row],[Highest sector(s)]],tblSubSectorPopulation[Sector])), "Flagged", ""))</f>
        <v/>
      </c>
      <c r="AO93" s="46" cm="1">
        <f t="array" ref="AO9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24442.83071673743</v>
      </c>
      <c r="AP93" s="331" t="str" cm="1">
        <f t="array" ref="AP93">IF(tblPiNAnalysis5[[#This Row],[2nd Highest Target]]="", "", _xlfn.TEXTJOIN(CHAR(10), TRUE, IF(tblPiNAnalysis5[[#This Row],[2nd Highest Target]]=tblPiNAnalysis5[[#This Row],[CCCM]:[WASH]], tblPiNAnalysis5[[#Headers],[CCCM]:[WASH]], "")))</f>
        <v>Food Security</v>
      </c>
      <c r="AQ93" s="36">
        <f>IFERROR(tblPiNAnalysis5[[#This Row],[2nd Highest Target]]/tblPiNAnalysis5[[#This Row],[Affected population projection 2026]], "")</f>
        <v>0.20120199992558979</v>
      </c>
      <c r="AR93" s="46">
        <f>IFERROR(tblPiNAnalysis5[[#This Row],[Highest Target]]-tblPiNAnalysis5[[#This Row],[2nd Highest Target]], "")</f>
        <v>2332.045084401816</v>
      </c>
      <c r="AS93" s="39">
        <f>IFERROR(((tblPiNAnalysis5[[#This Row],[Highest Target]]-tblPiNAnalysis5[[#This Row],[2nd Highest Target]])/tblPiNAnalysis5[[#This Row],[2nd Highest Target]]),"")</f>
        <v>9.540814283858412E-2</v>
      </c>
      <c r="AT93" s="39" t="str" cm="1">
        <f t="array" ref="AT9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3" s="332" cm="1">
        <f t="array" ref="AU9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15132.399219141458</v>
      </c>
      <c r="AV93" s="190" t="str" cm="1">
        <f t="array" ref="AV93">IF(tblPiNAnalysis5[[#This Row],[3rd Highest Target]]="", "", _xlfn.TEXTJOIN(CHAR(10), TRUE, IF(tblPiNAnalysis5[[#This Row],[3rd Highest Target]]=tblPiNAnalysis5[[#This Row],[CCCM]:[WASH]], tblPiNAnalysis5[[#Headers],[CCCM]:[WASH]], "")))</f>
        <v>Health</v>
      </c>
      <c r="AW93" s="190">
        <f>IFERROR(tblPiNAnalysis5[[#This Row],[3rd Highest Target]]/tblPiNAnalysis5[[#This Row],[Affected population projection 2026]], "")</f>
        <v>0.12456286351804714</v>
      </c>
      <c r="AX93" s="45">
        <f>IFERROR(tblPiNAnalysis5[[#This Row],[Highest Target]]-tblPiNAnalysis5[[#This Row],[3rd Highest Target]],"")</f>
        <v>11642.476581997787</v>
      </c>
      <c r="AY93" s="39">
        <f>IFERROR(tblPiNAnalysis5[[#This Row],[Difference of Target between Highest and 3rd Highest]]/tblPiNAnalysis5[[#This Row],[3rd Highest Target]], "")</f>
        <v>0.76937413647340502</v>
      </c>
      <c r="AZ93" s="330" t="str" cm="1">
        <f t="array" ref="AZ9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93" s="300" t="str" cm="1">
        <f t="array" ref="BA9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3" s="333" t="str" cm="1">
        <f t="array" ref="BB9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3" s="276" t="str" cm="1">
        <f t="array" ref="BC9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3" s="334" t="str" cm="1">
        <f t="array" ref="BD9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93" s="277" t="e">
        <f>INDEX(tblSeverityAnalysis[Final Severity], MATCH(tblPiNAnalysis5[[#This Row],[ID]],tblSeverityAnalysis[ID], 0))</f>
        <v>#N/A</v>
      </c>
      <c r="BF93" s="61" t="e">
        <f>IF(tblPiNAnalysis5[[#This Row],[Severity]]&gt;2,tblPiNAnalysis5[[#This Row],[Highest Target]],)</f>
        <v>#N/A</v>
      </c>
      <c r="BG93" s="191"/>
      <c r="BH93" s="192"/>
      <c r="BI93" s="193">
        <f>COUNTIFS(tblPiNAnalysis5[[#This Row],[Number of missing / zero PiNs greater than threshold - Data quality]:[Manual Flag]],"Flagged")</f>
        <v>2</v>
      </c>
      <c r="BJ93" s="96" t="str">
        <f>IF(tblPiNAnalysis5[[#This Row],['# Flags]]&gt;0, "Flagged", "")</f>
        <v>Flagged</v>
      </c>
      <c r="BK93" s="326" t="e">
        <f>tblPiNAnalysis5[[#This Row],[Preliminary Target]]</f>
        <v>#N/A</v>
      </c>
      <c r="BL93" s="331"/>
    </row>
    <row r="94" spans="1:64" x14ac:dyDescent="0.55000000000000004">
      <c r="A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4" s="316" t="s">
        <v>250</v>
      </c>
      <c r="C94" s="317" t="s">
        <v>251</v>
      </c>
      <c r="D94" s="317" t="s">
        <v>260</v>
      </c>
      <c r="E94" s="105" t="s">
        <v>261</v>
      </c>
      <c r="F94" s="100"/>
      <c r="G94" s="34"/>
      <c r="H94" s="34"/>
      <c r="I94" s="97">
        <v>79271.088602523028</v>
      </c>
      <c r="J94" s="97" t="s">
        <v>413</v>
      </c>
      <c r="K94" s="318">
        <v>0</v>
      </c>
      <c r="L94" s="319">
        <v>1968.6721186953064</v>
      </c>
      <c r="M94" s="319">
        <v>18979.200035484413</v>
      </c>
      <c r="N94" s="319">
        <v>9007.0350451972445</v>
      </c>
      <c r="O94" s="319">
        <v>17409.698860704852</v>
      </c>
      <c r="P94" s="319">
        <v>3653.2266526757608</v>
      </c>
      <c r="Q94" s="320">
        <v>0</v>
      </c>
      <c r="R94" s="319">
        <v>35450.772970071223</v>
      </c>
      <c r="S94" s="319"/>
      <c r="T94" s="319"/>
      <c r="U94" s="319"/>
      <c r="V94" s="319"/>
      <c r="W94" s="321">
        <f>IFERROR(IF(tblPiNAnalysis5[[#This Row],[CCCM]]="", "", MROUND(tblPiNAnalysis5[[#This Row],[CCCM]]/tblPiNAnalysis5[[#This Row],[Affected population projection 2026]], 0.05)), "")</f>
        <v>0</v>
      </c>
      <c r="X94" s="322">
        <f>IFERROR(IF(tblPiNAnalysis5[[#This Row],[Education]]="", "", MROUND(tblPiNAnalysis5[[#This Row],[Education]]/tblPiNAnalysis5[[#This Row],[Affected population projection 2026]], 0.05)), "")</f>
        <v>0</v>
      </c>
      <c r="Y94" s="322">
        <f>IFERROR(IF(tblPiNAnalysis5[[#This Row],[Nutrition]]="", "", MROUND(tblPiNAnalysis5[[#This Row],[Nutrition]]/tblPiNAnalysis5[[#This Row],[Affected population projection 2026]], 0.05)), "")</f>
        <v>0.25</v>
      </c>
      <c r="Z94" s="322">
        <f>IFERROR(IF(tblPiNAnalysis5[[#This Row],[Food Security]]="", "", MROUND(tblPiNAnalysis5[[#This Row],[Food Security]]/tblPiNAnalysis5[[#This Row],[Affected population projection 2026]], 0.05)), "")</f>
        <v>0.1</v>
      </c>
      <c r="AA94" s="322">
        <f>IFERROR(IF(tblPiNAnalysis5[[#This Row],[Health]]="", "", MROUND(tblPiNAnalysis5[[#This Row],[Health]]/tblPiNAnalysis5[[#This Row],[Affected population projection 2026]], 0.05)), "")</f>
        <v>0.2</v>
      </c>
      <c r="AB94" s="323">
        <f>IFERROR(IF(tblPiNAnalysis5[[#This Row],[Overarching Protection]]="", "", MROUND(tblPiNAnalysis5[[#This Row],[Overarching Protection]]/tblPiNAnalysis5[[#This Row],[Affected population projection 2026]], 0.05)), "")</f>
        <v>0.05</v>
      </c>
      <c r="AC94" s="323">
        <f>IFERROR(IF(tblPiNAnalysis5[[#This Row],[Shelter]]="", "", MROUND(tblPiNAnalysis5[[#This Row],[Shelter]]/tblPiNAnalysis5[[#This Row],[Affected population projection 2026]], 0.05)), "")</f>
        <v>0</v>
      </c>
      <c r="AD94" s="324">
        <f>IFERROR(IF(tblPiNAnalysis5[[#This Row],[WASH]]="", "", MROUND(tblPiNAnalysis5[[#This Row],[WASH]]/tblPiNAnalysis5[[#This Row],[Affected population projection 2026]], 0.05)), "")</f>
        <v>0.45</v>
      </c>
      <c r="AE94" s="322">
        <f>IFERROR(MROUND(tblPiNAnalysis5[[#This Row],[CP]]/tblPiNAnalysis5[[#This Row],[Affected population projection 2026]], 0.05), "")</f>
        <v>0</v>
      </c>
      <c r="AF94" s="322">
        <f>IFERROR(MROUND(tblPiNAnalysis5[[#This Row],[GBV]]/tblPiNAnalysis5[[#This Row],[Affected population projection 2026]], 0.05), "")</f>
        <v>0</v>
      </c>
      <c r="AG94" s="322">
        <f>IFERROR(MROUND(tblPiNAnalysis5[[#This Row],[Mine Action]]/tblPiNAnalysis5[[#This Row],[Affected population projection 2026]], 0.05), "")</f>
        <v>0</v>
      </c>
      <c r="AH94" s="322">
        <f>IFERROR(MROUND(tblPiNAnalysis5[[#This Row],[HLP]]/tblPiNAnalysis5[[#This Row],[Affected population projection 2026]], 0.05), "")</f>
        <v>0</v>
      </c>
      <c r="AI94" s="325">
        <f>IFERROR(LARGE(tblPiNAnalysis5[[#This Row],[CCCM]:[WASH]], 1), "")</f>
        <v>35450.772970071223</v>
      </c>
      <c r="AJ94" s="326" t="str" cm="1">
        <f t="array" ref="AJ94">IF(tblPiNAnalysis5[[#This Row],[Highest Target]]="", "", _xlfn.TEXTJOIN(CHAR(10), TRUE, IF(tblPiNAnalysis5[[#This Row],[Highest Target]]=tblPiNAnalysis5[[#This Row],[CCCM]:[WASH]], tblPiNAnalysis5[[#Headers],[CCCM]:[WASH]], "")))</f>
        <v>WASH</v>
      </c>
      <c r="AK94" s="327">
        <f>IF(tblPiNAnalysis5[[#This Row],[Highest Target]]="", "", tblPiNAnalysis5[[#This Row],[Highest Target]]/tblPiNAnalysis5[[#This Row],[Affected population projection 2026]])</f>
        <v>0.44720936213991769</v>
      </c>
      <c r="AL94" s="328" t="str">
        <f>IF(SUM(tblPiNAnalysis5[[#This Row],[CCCM]:[WASH]])=0, "",IF(COUNTIF(tblPiNAnalysis5[[#This Row],[CCCM]:[WASH]],"=0")+COUNTIF(tblPiNAnalysis5[[#This Row],[CCCM]:[WASH]],"")&gt;=zero_pin_thresh, "Flagged", ""))</f>
        <v>Flagged</v>
      </c>
      <c r="AM94" s="329" t="str">
        <f>IFERROR(IF(tblPiNAnalysis5[[#This Row],[Highest Target]]="", "", IF(tblPiNAnalysis5[[#This Row],[Highest sector(s'') Target %]]&gt;=flag_pin_perc, "Flagged", "")), "")</f>
        <v/>
      </c>
      <c r="AN94" s="330" t="str" cm="1">
        <f t="array" ref="AN94">IF(tblPiNAnalysis5[[#This Row],[Highest Target]]=0, "",  IF(OR(COUNTIF(tblPiNAnalysis5[[#This Row],[Highest sector(s)]],tblSubSectorPopulation[Sector])), "Flagged", ""))</f>
        <v/>
      </c>
      <c r="AO94" s="46" cm="1">
        <f t="array" ref="AO9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18979.200035484413</v>
      </c>
      <c r="AP94" s="331" t="str" cm="1">
        <f t="array" ref="AP94">IF(tblPiNAnalysis5[[#This Row],[2nd Highest Target]]="", "", _xlfn.TEXTJOIN(CHAR(10), TRUE, IF(tblPiNAnalysis5[[#This Row],[2nd Highest Target]]=tblPiNAnalysis5[[#This Row],[CCCM]:[WASH]], tblPiNAnalysis5[[#Headers],[CCCM]:[WASH]], "")))</f>
        <v>Nutrition</v>
      </c>
      <c r="AQ94" s="36">
        <f>IFERROR(tblPiNAnalysis5[[#This Row],[2nd Highest Target]]/tblPiNAnalysis5[[#This Row],[Affected population projection 2026]], "")</f>
        <v>0.23942146336161638</v>
      </c>
      <c r="AR94" s="46">
        <f>IFERROR(tblPiNAnalysis5[[#This Row],[Highest Target]]-tblPiNAnalysis5[[#This Row],[2nd Highest Target]], "")</f>
        <v>16471.572934586809</v>
      </c>
      <c r="AS94" s="39">
        <f>IFERROR(((tblPiNAnalysis5[[#This Row],[Highest Target]]-tblPiNAnalysis5[[#This Row],[2nd Highest Target]])/tblPiNAnalysis5[[#This Row],[2nd Highest Target]]),"")</f>
        <v>0.86787498439295518</v>
      </c>
      <c r="AT94" s="39" t="str" cm="1">
        <f t="array" ref="AT9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94" s="332" cm="1">
        <f t="array" ref="AU9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17409.698860704852</v>
      </c>
      <c r="AV94" s="190" t="str" cm="1">
        <f t="array" ref="AV94">IF(tblPiNAnalysis5[[#This Row],[3rd Highest Target]]="", "", _xlfn.TEXTJOIN(CHAR(10), TRUE, IF(tblPiNAnalysis5[[#This Row],[3rd Highest Target]]=tblPiNAnalysis5[[#This Row],[CCCM]:[WASH]], tblPiNAnalysis5[[#Headers],[CCCM]:[WASH]], "")))</f>
        <v>Health</v>
      </c>
      <c r="AW94" s="190">
        <f>IFERROR(tblPiNAnalysis5[[#This Row],[3rd Highest Target]]/tblPiNAnalysis5[[#This Row],[Affected population projection 2026]], "")</f>
        <v>0.21962230073563968</v>
      </c>
      <c r="AX94" s="45">
        <f>IFERROR(tblPiNAnalysis5[[#This Row],[Highest Target]]-tblPiNAnalysis5[[#This Row],[3rd Highest Target]],"")</f>
        <v>18041.074109366371</v>
      </c>
      <c r="AY94" s="39">
        <f>IFERROR(tblPiNAnalysis5[[#This Row],[Difference of Target between Highest and 3rd Highest]]/tblPiNAnalysis5[[#This Row],[3rd Highest Target]], "")</f>
        <v>1.0362657191093976</v>
      </c>
      <c r="AZ94" s="330" t="str" cm="1">
        <f t="array" ref="AZ9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94" s="300" t="str" cm="1">
        <f t="array" ref="BA9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4" s="333" t="str" cm="1">
        <f t="array" ref="BB9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4" s="276" t="str" cm="1">
        <f t="array" ref="BC9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4" s="334" t="str" cm="1">
        <f t="array" ref="BD9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94" s="277" t="e">
        <f>INDEX(tblSeverityAnalysis[Final Severity], MATCH(tblPiNAnalysis5[[#This Row],[ID]],tblSeverityAnalysis[ID], 0))</f>
        <v>#N/A</v>
      </c>
      <c r="BF94" s="61" t="e">
        <f>IF(tblPiNAnalysis5[[#This Row],[Severity]]&gt;2,tblPiNAnalysis5[[#This Row],[Highest Target]],)</f>
        <v>#N/A</v>
      </c>
      <c r="BG94" s="191"/>
      <c r="BH94" s="192"/>
      <c r="BI94" s="193">
        <f>COUNTIFS(tblPiNAnalysis5[[#This Row],[Number of missing / zero PiNs greater than threshold - Data quality]:[Manual Flag]],"Flagged")</f>
        <v>3</v>
      </c>
      <c r="BJ94" s="96" t="str">
        <f>IF(tblPiNAnalysis5[[#This Row],['# Flags]]&gt;0, "Flagged", "")</f>
        <v>Flagged</v>
      </c>
      <c r="BK94" s="326" t="e">
        <f>tblPiNAnalysis5[[#This Row],[Preliminary Target]]</f>
        <v>#N/A</v>
      </c>
      <c r="BL94" s="331"/>
    </row>
    <row r="95" spans="1:64" x14ac:dyDescent="0.55000000000000004">
      <c r="A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5" s="316" t="s">
        <v>250</v>
      </c>
      <c r="C95" s="317" t="s">
        <v>251</v>
      </c>
      <c r="D95" s="317" t="s">
        <v>262</v>
      </c>
      <c r="E95" s="105" t="s">
        <v>263</v>
      </c>
      <c r="F95" s="100"/>
      <c r="G95" s="34"/>
      <c r="H95" s="34"/>
      <c r="I95" s="97">
        <v>107170.91979145796</v>
      </c>
      <c r="J95" s="97" t="s">
        <v>413</v>
      </c>
      <c r="K95" s="318">
        <v>0</v>
      </c>
      <c r="L95" s="319">
        <v>572.93573720513427</v>
      </c>
      <c r="M95" s="319">
        <v>21639.302641081067</v>
      </c>
      <c r="N95" s="319">
        <v>20848.453605562008</v>
      </c>
      <c r="O95" s="319">
        <v>15542.775657131408</v>
      </c>
      <c r="P95" s="319">
        <v>4819.1863955391564</v>
      </c>
      <c r="Q95" s="320">
        <v>0</v>
      </c>
      <c r="R95" s="319">
        <v>2956.8338497109266</v>
      </c>
      <c r="S95" s="319"/>
      <c r="T95" s="319"/>
      <c r="U95" s="319"/>
      <c r="V95" s="319"/>
      <c r="W95" s="321">
        <f>IFERROR(IF(tblPiNAnalysis5[[#This Row],[CCCM]]="", "", MROUND(tblPiNAnalysis5[[#This Row],[CCCM]]/tblPiNAnalysis5[[#This Row],[Affected population projection 2026]], 0.05)), "")</f>
        <v>0</v>
      </c>
      <c r="X95" s="322">
        <f>IFERROR(IF(tblPiNAnalysis5[[#This Row],[Education]]="", "", MROUND(tblPiNAnalysis5[[#This Row],[Education]]/tblPiNAnalysis5[[#This Row],[Affected population projection 2026]], 0.05)), "")</f>
        <v>0</v>
      </c>
      <c r="Y95" s="322">
        <f>IFERROR(IF(tblPiNAnalysis5[[#This Row],[Nutrition]]="", "", MROUND(tblPiNAnalysis5[[#This Row],[Nutrition]]/tblPiNAnalysis5[[#This Row],[Affected population projection 2026]], 0.05)), "")</f>
        <v>0.2</v>
      </c>
      <c r="Z95" s="322">
        <f>IFERROR(IF(tblPiNAnalysis5[[#This Row],[Food Security]]="", "", MROUND(tblPiNAnalysis5[[#This Row],[Food Security]]/tblPiNAnalysis5[[#This Row],[Affected population projection 2026]], 0.05)), "")</f>
        <v>0.2</v>
      </c>
      <c r="AA95" s="322">
        <f>IFERROR(IF(tblPiNAnalysis5[[#This Row],[Health]]="", "", MROUND(tblPiNAnalysis5[[#This Row],[Health]]/tblPiNAnalysis5[[#This Row],[Affected population projection 2026]], 0.05)), "")</f>
        <v>0.15000000000000002</v>
      </c>
      <c r="AB95" s="323">
        <f>IFERROR(IF(tblPiNAnalysis5[[#This Row],[Overarching Protection]]="", "", MROUND(tblPiNAnalysis5[[#This Row],[Overarching Protection]]/tblPiNAnalysis5[[#This Row],[Affected population projection 2026]], 0.05)), "")</f>
        <v>0.05</v>
      </c>
      <c r="AC95" s="323">
        <f>IFERROR(IF(tblPiNAnalysis5[[#This Row],[Shelter]]="", "", MROUND(tblPiNAnalysis5[[#This Row],[Shelter]]/tblPiNAnalysis5[[#This Row],[Affected population projection 2026]], 0.05)), "")</f>
        <v>0</v>
      </c>
      <c r="AD95" s="324">
        <f>IFERROR(IF(tblPiNAnalysis5[[#This Row],[WASH]]="", "", MROUND(tblPiNAnalysis5[[#This Row],[WASH]]/tblPiNAnalysis5[[#This Row],[Affected population projection 2026]], 0.05)), "")</f>
        <v>0.05</v>
      </c>
      <c r="AE95" s="322">
        <f>IFERROR(MROUND(tblPiNAnalysis5[[#This Row],[CP]]/tblPiNAnalysis5[[#This Row],[Affected population projection 2026]], 0.05), "")</f>
        <v>0</v>
      </c>
      <c r="AF95" s="322">
        <f>IFERROR(MROUND(tblPiNAnalysis5[[#This Row],[GBV]]/tblPiNAnalysis5[[#This Row],[Affected population projection 2026]], 0.05), "")</f>
        <v>0</v>
      </c>
      <c r="AG95" s="322">
        <f>IFERROR(MROUND(tblPiNAnalysis5[[#This Row],[Mine Action]]/tblPiNAnalysis5[[#This Row],[Affected population projection 2026]], 0.05), "")</f>
        <v>0</v>
      </c>
      <c r="AH95" s="322">
        <f>IFERROR(MROUND(tblPiNAnalysis5[[#This Row],[HLP]]/tblPiNAnalysis5[[#This Row],[Affected population projection 2026]], 0.05), "")</f>
        <v>0</v>
      </c>
      <c r="AI95" s="325">
        <f>IFERROR(LARGE(tblPiNAnalysis5[[#This Row],[CCCM]:[WASH]], 1), "")</f>
        <v>21639.302641081067</v>
      </c>
      <c r="AJ95" s="326" t="str" cm="1">
        <f t="array" ref="AJ95">IF(tblPiNAnalysis5[[#This Row],[Highest Target]]="", "", _xlfn.TEXTJOIN(CHAR(10), TRUE, IF(tblPiNAnalysis5[[#This Row],[Highest Target]]=tblPiNAnalysis5[[#This Row],[CCCM]:[WASH]], tblPiNAnalysis5[[#Headers],[CCCM]:[WASH]], "")))</f>
        <v>Nutrition</v>
      </c>
      <c r="AK95" s="327">
        <f>IF(tblPiNAnalysis5[[#This Row],[Highest Target]]="", "", tblPiNAnalysis5[[#This Row],[Highest Target]]/tblPiNAnalysis5[[#This Row],[Affected population projection 2026]])</f>
        <v>0.20191393974399596</v>
      </c>
      <c r="AL95" s="328" t="str">
        <f>IF(SUM(tblPiNAnalysis5[[#This Row],[CCCM]:[WASH]])=0, "",IF(COUNTIF(tblPiNAnalysis5[[#This Row],[CCCM]:[WASH]],"=0")+COUNTIF(tblPiNAnalysis5[[#This Row],[CCCM]:[WASH]],"")&gt;=zero_pin_thresh, "Flagged", ""))</f>
        <v>Flagged</v>
      </c>
      <c r="AM95" s="329" t="str">
        <f>IFERROR(IF(tblPiNAnalysis5[[#This Row],[Highest Target]]="", "", IF(tblPiNAnalysis5[[#This Row],[Highest sector(s'') Target %]]&gt;=flag_pin_perc, "Flagged", "")), "")</f>
        <v/>
      </c>
      <c r="AN95" s="330" t="str" cm="1">
        <f t="array" ref="AN95">IF(tblPiNAnalysis5[[#This Row],[Highest Target]]=0, "",  IF(OR(COUNTIF(tblPiNAnalysis5[[#This Row],[Highest sector(s)]],tblSubSectorPopulation[Sector])), "Flagged", ""))</f>
        <v/>
      </c>
      <c r="AO95" s="46" cm="1">
        <f t="array" ref="AO9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20848.453605562008</v>
      </c>
      <c r="AP95" s="331" t="str" cm="1">
        <f t="array" ref="AP95">IF(tblPiNAnalysis5[[#This Row],[2nd Highest Target]]="", "", _xlfn.TEXTJOIN(CHAR(10), TRUE, IF(tblPiNAnalysis5[[#This Row],[2nd Highest Target]]=tblPiNAnalysis5[[#This Row],[CCCM]:[WASH]], tblPiNAnalysis5[[#Headers],[CCCM]:[WASH]], "")))</f>
        <v>Food Security</v>
      </c>
      <c r="AQ95" s="36">
        <f>IFERROR(tblPiNAnalysis5[[#This Row],[2nd Highest Target]]/tblPiNAnalysis5[[#This Row],[Affected population projection 2026]], "")</f>
        <v>0.19453461485756263</v>
      </c>
      <c r="AR95" s="46">
        <f>IFERROR(tblPiNAnalysis5[[#This Row],[Highest Target]]-tblPiNAnalysis5[[#This Row],[2nd Highest Target]], "")</f>
        <v>790.84903551905882</v>
      </c>
      <c r="AS95" s="39">
        <f>IFERROR(((tblPiNAnalysis5[[#This Row],[Highest Target]]-tblPiNAnalysis5[[#This Row],[2nd Highest Target]])/tblPiNAnalysis5[[#This Row],[2nd Highest Target]]),"")</f>
        <v>3.7933222793467711E-2</v>
      </c>
      <c r="AT95" s="39" t="str" cm="1">
        <f t="array" ref="AT9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5" s="332" cm="1">
        <f t="array" ref="AU9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15542.775657131408</v>
      </c>
      <c r="AV95" s="190" t="str" cm="1">
        <f t="array" ref="AV95">IF(tblPiNAnalysis5[[#This Row],[3rd Highest Target]]="", "", _xlfn.TEXTJOIN(CHAR(10), TRUE, IF(tblPiNAnalysis5[[#This Row],[3rd Highest Target]]=tblPiNAnalysis5[[#This Row],[CCCM]:[WASH]], tblPiNAnalysis5[[#Headers],[CCCM]:[WASH]], "")))</f>
        <v>Health</v>
      </c>
      <c r="AW95" s="190">
        <f>IFERROR(tblPiNAnalysis5[[#This Row],[3rd Highest Target]]/tblPiNAnalysis5[[#This Row],[Affected population projection 2026]], "")</f>
        <v>0.1450279207025173</v>
      </c>
      <c r="AX95" s="45">
        <f>IFERROR(tblPiNAnalysis5[[#This Row],[Highest Target]]-tblPiNAnalysis5[[#This Row],[3rd Highest Target]],"")</f>
        <v>6096.5269839496596</v>
      </c>
      <c r="AY95" s="39">
        <f>IFERROR(tblPiNAnalysis5[[#This Row],[Difference of Target between Highest and 3rd Highest]]/tblPiNAnalysis5[[#This Row],[3rd Highest Target]], "")</f>
        <v>0.3922418439561291</v>
      </c>
      <c r="AZ95" s="330" t="str" cm="1">
        <f t="array" ref="AZ9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5" s="300" t="str" cm="1">
        <f t="array" ref="BA9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5" s="333" t="str" cm="1">
        <f t="array" ref="BB9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5" s="276" t="str" cm="1">
        <f t="array" ref="BC9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5" s="334" t="str" cm="1">
        <f t="array" ref="BD9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95" s="277" t="e">
        <f>INDEX(tblSeverityAnalysis[Final Severity], MATCH(tblPiNAnalysis5[[#This Row],[ID]],tblSeverityAnalysis[ID], 0))</f>
        <v>#N/A</v>
      </c>
      <c r="BF95" s="61" t="e">
        <f>IF(tblPiNAnalysis5[[#This Row],[Severity]]&gt;2,tblPiNAnalysis5[[#This Row],[Highest Target]],)</f>
        <v>#N/A</v>
      </c>
      <c r="BG95" s="191"/>
      <c r="BH95" s="192"/>
      <c r="BI95" s="193">
        <f>COUNTIFS(tblPiNAnalysis5[[#This Row],[Number of missing / zero PiNs greater than threshold - Data quality]:[Manual Flag]],"Flagged")</f>
        <v>1</v>
      </c>
      <c r="BJ95" s="96" t="str">
        <f>IF(tblPiNAnalysis5[[#This Row],['# Flags]]&gt;0, "Flagged", "")</f>
        <v>Flagged</v>
      </c>
      <c r="BK95" s="326" t="e">
        <f>tblPiNAnalysis5[[#This Row],[Preliminary Target]]</f>
        <v>#N/A</v>
      </c>
      <c r="BL95" s="331"/>
    </row>
    <row r="96" spans="1:64" ht="110.7" x14ac:dyDescent="0.55000000000000004">
      <c r="A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6" s="316" t="s">
        <v>250</v>
      </c>
      <c r="C96" s="317" t="s">
        <v>251</v>
      </c>
      <c r="D96" s="317" t="s">
        <v>264</v>
      </c>
      <c r="E96" s="105" t="s">
        <v>265</v>
      </c>
      <c r="F96" s="100"/>
      <c r="G96" s="34"/>
      <c r="H96" s="34"/>
      <c r="I96" s="97">
        <v>159337.28264572358</v>
      </c>
      <c r="J96" s="97" t="s">
        <v>413</v>
      </c>
      <c r="K96" s="318">
        <v>0</v>
      </c>
      <c r="L96" s="319">
        <v>0</v>
      </c>
      <c r="M96" s="319">
        <v>0</v>
      </c>
      <c r="N96" s="319">
        <v>0</v>
      </c>
      <c r="O96" s="319">
        <v>0</v>
      </c>
      <c r="P96" s="319">
        <v>0</v>
      </c>
      <c r="Q96" s="320">
        <v>0</v>
      </c>
      <c r="R96" s="319">
        <v>0</v>
      </c>
      <c r="S96" s="319"/>
      <c r="T96" s="319"/>
      <c r="U96" s="319"/>
      <c r="V96" s="319"/>
      <c r="W96" s="321">
        <f>IFERROR(IF(tblPiNAnalysis5[[#This Row],[CCCM]]="", "", MROUND(tblPiNAnalysis5[[#This Row],[CCCM]]/tblPiNAnalysis5[[#This Row],[Affected population projection 2026]], 0.05)), "")</f>
        <v>0</v>
      </c>
      <c r="X96" s="322">
        <f>IFERROR(IF(tblPiNAnalysis5[[#This Row],[Education]]="", "", MROUND(tblPiNAnalysis5[[#This Row],[Education]]/tblPiNAnalysis5[[#This Row],[Affected population projection 2026]], 0.05)), "")</f>
        <v>0</v>
      </c>
      <c r="Y96" s="322">
        <f>IFERROR(IF(tblPiNAnalysis5[[#This Row],[Nutrition]]="", "", MROUND(tblPiNAnalysis5[[#This Row],[Nutrition]]/tblPiNAnalysis5[[#This Row],[Affected population projection 2026]], 0.05)), "")</f>
        <v>0</v>
      </c>
      <c r="Z96" s="322">
        <f>IFERROR(IF(tblPiNAnalysis5[[#This Row],[Food Security]]="", "", MROUND(tblPiNAnalysis5[[#This Row],[Food Security]]/tblPiNAnalysis5[[#This Row],[Affected population projection 2026]], 0.05)), "")</f>
        <v>0</v>
      </c>
      <c r="AA96" s="322">
        <f>IFERROR(IF(tblPiNAnalysis5[[#This Row],[Health]]="", "", MROUND(tblPiNAnalysis5[[#This Row],[Health]]/tblPiNAnalysis5[[#This Row],[Affected population projection 2026]], 0.05)), "")</f>
        <v>0</v>
      </c>
      <c r="AB96" s="323">
        <f>IFERROR(IF(tblPiNAnalysis5[[#This Row],[Overarching Protection]]="", "", MROUND(tblPiNAnalysis5[[#This Row],[Overarching Protection]]/tblPiNAnalysis5[[#This Row],[Affected population projection 2026]], 0.05)), "")</f>
        <v>0</v>
      </c>
      <c r="AC96" s="323">
        <f>IFERROR(IF(tblPiNAnalysis5[[#This Row],[Shelter]]="", "", MROUND(tblPiNAnalysis5[[#This Row],[Shelter]]/tblPiNAnalysis5[[#This Row],[Affected population projection 2026]], 0.05)), "")</f>
        <v>0</v>
      </c>
      <c r="AD96" s="324">
        <f>IFERROR(IF(tblPiNAnalysis5[[#This Row],[WASH]]="", "", MROUND(tblPiNAnalysis5[[#This Row],[WASH]]/tblPiNAnalysis5[[#This Row],[Affected population projection 2026]], 0.05)), "")</f>
        <v>0</v>
      </c>
      <c r="AE96" s="322">
        <f>IFERROR(MROUND(tblPiNAnalysis5[[#This Row],[CP]]/tblPiNAnalysis5[[#This Row],[Affected population projection 2026]], 0.05), "")</f>
        <v>0</v>
      </c>
      <c r="AF96" s="322">
        <f>IFERROR(MROUND(tblPiNAnalysis5[[#This Row],[GBV]]/tblPiNAnalysis5[[#This Row],[Affected population projection 2026]], 0.05), "")</f>
        <v>0</v>
      </c>
      <c r="AG96" s="322">
        <f>IFERROR(MROUND(tblPiNAnalysis5[[#This Row],[Mine Action]]/tblPiNAnalysis5[[#This Row],[Affected population projection 2026]], 0.05), "")</f>
        <v>0</v>
      </c>
      <c r="AH96" s="322">
        <f>IFERROR(MROUND(tblPiNAnalysis5[[#This Row],[HLP]]/tblPiNAnalysis5[[#This Row],[Affected population projection 2026]], 0.05), "")</f>
        <v>0</v>
      </c>
      <c r="AI96" s="325">
        <f>IFERROR(LARGE(tblPiNAnalysis5[[#This Row],[CCCM]:[WASH]], 1), "")</f>
        <v>0</v>
      </c>
      <c r="AJ96" s="326" t="str" cm="1">
        <f t="array" ref="AJ96">IF(tblPiNAnalysis5[[#This Row],[Highest Target]]="", "", _xlfn.TEXTJOIN(CHAR(10), TRUE, IF(tblPiNAnalysis5[[#This Row],[Highest Target]]=tblPiNAnalysis5[[#This Row],[CCCM]:[WASH]], tblPiNAnalysis5[[#Headers],[CCCM]:[WASH]], "")))</f>
        <v>CCCM
Education
Nutrition
Food Security
Health
Overarching Protection
Shelter
WASH</v>
      </c>
      <c r="AK96" s="327">
        <f>IF(tblPiNAnalysis5[[#This Row],[Highest Target]]="", "", tblPiNAnalysis5[[#This Row],[Highest Target]]/tblPiNAnalysis5[[#This Row],[Affected population projection 2026]])</f>
        <v>0</v>
      </c>
      <c r="AL96" s="328" t="str">
        <f>IF(SUM(tblPiNAnalysis5[[#This Row],[CCCM]:[WASH]])=0, "",IF(COUNTIF(tblPiNAnalysis5[[#This Row],[CCCM]:[WASH]],"=0")+COUNTIF(tblPiNAnalysis5[[#This Row],[CCCM]:[WASH]],"")&gt;=zero_pin_thresh, "Flagged", ""))</f>
        <v/>
      </c>
      <c r="AM96" s="329" t="str">
        <f>IFERROR(IF(tblPiNAnalysis5[[#This Row],[Highest Target]]="", "", IF(tblPiNAnalysis5[[#This Row],[Highest sector(s'') Target %]]&gt;=flag_pin_perc, "Flagged", "")), "")</f>
        <v/>
      </c>
      <c r="AN96" s="330" t="str" cm="1">
        <f t="array" ref="AN96">IF(tblPiNAnalysis5[[#This Row],[Highest Target]]=0, "",  IF(OR(COUNTIF(tblPiNAnalysis5[[#This Row],[Highest sector(s)]],tblSubSectorPopulation[Sector])), "Flagged", ""))</f>
        <v/>
      </c>
      <c r="AO96" s="46" cm="1">
        <f t="array" ref="AO9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96" s="331" t="str" cm="1">
        <f t="array" ref="AP96">IF(tblPiNAnalysis5[[#This Row],[2nd Highest Target]]="", "", _xlfn.TEXTJOIN(CHAR(10), TRUE, IF(tblPiNAnalysis5[[#This Row],[2nd Highest Target]]=tblPiNAnalysis5[[#This Row],[CCCM]:[WASH]], tblPiNAnalysis5[[#Headers],[CCCM]:[WASH]], "")))</f>
        <v>CCCM
Education
Nutrition
Food Security
Health
Overarching Protection
Shelter
WASH</v>
      </c>
      <c r="AQ96" s="36">
        <f>IFERROR(tblPiNAnalysis5[[#This Row],[2nd Highest Target]]/tblPiNAnalysis5[[#This Row],[Affected population projection 2026]], "")</f>
        <v>0</v>
      </c>
      <c r="AR96" s="46">
        <f>IFERROR(tblPiNAnalysis5[[#This Row],[Highest Target]]-tblPiNAnalysis5[[#This Row],[2nd Highest Target]], "")</f>
        <v>0</v>
      </c>
      <c r="AS96" s="39" t="str">
        <f>IFERROR(((tblPiNAnalysis5[[#This Row],[Highest Target]]-tblPiNAnalysis5[[#This Row],[2nd Highest Target]])/tblPiNAnalysis5[[#This Row],[2nd Highest Target]]),"")</f>
        <v/>
      </c>
      <c r="AT96" s="39" t="str" cm="1">
        <f t="array" ref="AT9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6" s="332" cm="1">
        <f t="array" ref="AU9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96" s="190" t="str" cm="1">
        <f t="array" ref="AV96">IF(tblPiNAnalysis5[[#This Row],[3rd Highest Target]]="", "", _xlfn.TEXTJOIN(CHAR(10), TRUE, IF(tblPiNAnalysis5[[#This Row],[3rd Highest Target]]=tblPiNAnalysis5[[#This Row],[CCCM]:[WASH]], tblPiNAnalysis5[[#Headers],[CCCM]:[WASH]], "")))</f>
        <v>CCCM
Education
Nutrition
Food Security
Health
Overarching Protection
Shelter
WASH</v>
      </c>
      <c r="AW96" s="190">
        <f>IFERROR(tblPiNAnalysis5[[#This Row],[3rd Highest Target]]/tblPiNAnalysis5[[#This Row],[Affected population projection 2026]], "")</f>
        <v>0</v>
      </c>
      <c r="AX96" s="45">
        <f>IFERROR(tblPiNAnalysis5[[#This Row],[Highest Target]]-tblPiNAnalysis5[[#This Row],[3rd Highest Target]],"")</f>
        <v>0</v>
      </c>
      <c r="AY96" s="39" t="str">
        <f>IFERROR(tblPiNAnalysis5[[#This Row],[Difference of Target between Highest and 3rd Highest]]/tblPiNAnalysis5[[#This Row],[3rd Highest Target]], "")</f>
        <v/>
      </c>
      <c r="AZ96" s="330" t="str" cm="1">
        <f t="array" ref="AZ9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6" s="300" t="str" cm="1">
        <f t="array" ref="BA9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6" s="333" t="str" cm="1">
        <f t="array" ref="BB9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96" s="276" t="str" cm="1">
        <f t="array" ref="BC9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6" s="334" t="str" cm="1">
        <f t="array" ref="BD9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6" s="277" t="e">
        <f>INDEX(tblSeverityAnalysis[Final Severity], MATCH(tblPiNAnalysis5[[#This Row],[ID]],tblSeverityAnalysis[ID], 0))</f>
        <v>#N/A</v>
      </c>
      <c r="BF96" s="61" t="e">
        <f>IF(tblPiNAnalysis5[[#This Row],[Severity]]&gt;2,tblPiNAnalysis5[[#This Row],[Highest Target]],)</f>
        <v>#N/A</v>
      </c>
      <c r="BG96" s="191"/>
      <c r="BH96" s="192"/>
      <c r="BI96" s="193">
        <f>COUNTIFS(tblPiNAnalysis5[[#This Row],[Number of missing / zero PiNs greater than threshold - Data quality]:[Manual Flag]],"Flagged")</f>
        <v>2</v>
      </c>
      <c r="BJ96" s="96" t="str">
        <f>IF(tblPiNAnalysis5[[#This Row],['# Flags]]&gt;0, "Flagged", "")</f>
        <v>Flagged</v>
      </c>
      <c r="BK96" s="326" t="e">
        <f>tblPiNAnalysis5[[#This Row],[Preliminary Target]]</f>
        <v>#N/A</v>
      </c>
      <c r="BL96" s="331"/>
    </row>
    <row r="97" spans="1:64" ht="110.7" x14ac:dyDescent="0.55000000000000004">
      <c r="A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7" s="316" t="s">
        <v>250</v>
      </c>
      <c r="C97" s="317" t="s">
        <v>251</v>
      </c>
      <c r="D97" s="317" t="s">
        <v>266</v>
      </c>
      <c r="E97" s="105" t="s">
        <v>267</v>
      </c>
      <c r="F97" s="100"/>
      <c r="G97" s="34"/>
      <c r="H97" s="34"/>
      <c r="I97" s="97">
        <v>47474.399116158442</v>
      </c>
      <c r="J97" s="97" t="s">
        <v>413</v>
      </c>
      <c r="K97" s="318">
        <v>0</v>
      </c>
      <c r="L97" s="319">
        <v>0</v>
      </c>
      <c r="M97" s="319">
        <v>0</v>
      </c>
      <c r="N97" s="319">
        <v>0</v>
      </c>
      <c r="O97" s="319">
        <v>0</v>
      </c>
      <c r="P97" s="319">
        <v>0</v>
      </c>
      <c r="Q97" s="320">
        <v>0</v>
      </c>
      <c r="R97" s="319">
        <v>0</v>
      </c>
      <c r="S97" s="319"/>
      <c r="T97" s="319"/>
      <c r="U97" s="319"/>
      <c r="V97" s="319"/>
      <c r="W97" s="321">
        <f>IFERROR(IF(tblPiNAnalysis5[[#This Row],[CCCM]]="", "", MROUND(tblPiNAnalysis5[[#This Row],[CCCM]]/tblPiNAnalysis5[[#This Row],[Affected population projection 2026]], 0.05)), "")</f>
        <v>0</v>
      </c>
      <c r="X97" s="322">
        <f>IFERROR(IF(tblPiNAnalysis5[[#This Row],[Education]]="", "", MROUND(tblPiNAnalysis5[[#This Row],[Education]]/tblPiNAnalysis5[[#This Row],[Affected population projection 2026]], 0.05)), "")</f>
        <v>0</v>
      </c>
      <c r="Y97" s="322">
        <f>IFERROR(IF(tblPiNAnalysis5[[#This Row],[Nutrition]]="", "", MROUND(tblPiNAnalysis5[[#This Row],[Nutrition]]/tblPiNAnalysis5[[#This Row],[Affected population projection 2026]], 0.05)), "")</f>
        <v>0</v>
      </c>
      <c r="Z97" s="322">
        <f>IFERROR(IF(tblPiNAnalysis5[[#This Row],[Food Security]]="", "", MROUND(tblPiNAnalysis5[[#This Row],[Food Security]]/tblPiNAnalysis5[[#This Row],[Affected population projection 2026]], 0.05)), "")</f>
        <v>0</v>
      </c>
      <c r="AA97" s="322">
        <f>IFERROR(IF(tblPiNAnalysis5[[#This Row],[Health]]="", "", MROUND(tblPiNAnalysis5[[#This Row],[Health]]/tblPiNAnalysis5[[#This Row],[Affected population projection 2026]], 0.05)), "")</f>
        <v>0</v>
      </c>
      <c r="AB97" s="323">
        <f>IFERROR(IF(tblPiNAnalysis5[[#This Row],[Overarching Protection]]="", "", MROUND(tblPiNAnalysis5[[#This Row],[Overarching Protection]]/tblPiNAnalysis5[[#This Row],[Affected population projection 2026]], 0.05)), "")</f>
        <v>0</v>
      </c>
      <c r="AC97" s="323">
        <f>IFERROR(IF(tblPiNAnalysis5[[#This Row],[Shelter]]="", "", MROUND(tblPiNAnalysis5[[#This Row],[Shelter]]/tblPiNAnalysis5[[#This Row],[Affected population projection 2026]], 0.05)), "")</f>
        <v>0</v>
      </c>
      <c r="AD97" s="324">
        <f>IFERROR(IF(tblPiNAnalysis5[[#This Row],[WASH]]="", "", MROUND(tblPiNAnalysis5[[#This Row],[WASH]]/tblPiNAnalysis5[[#This Row],[Affected population projection 2026]], 0.05)), "")</f>
        <v>0</v>
      </c>
      <c r="AE97" s="322">
        <f>IFERROR(MROUND(tblPiNAnalysis5[[#This Row],[CP]]/tblPiNAnalysis5[[#This Row],[Affected population projection 2026]], 0.05), "")</f>
        <v>0</v>
      </c>
      <c r="AF97" s="322">
        <f>IFERROR(MROUND(tblPiNAnalysis5[[#This Row],[GBV]]/tblPiNAnalysis5[[#This Row],[Affected population projection 2026]], 0.05), "")</f>
        <v>0</v>
      </c>
      <c r="AG97" s="322">
        <f>IFERROR(MROUND(tblPiNAnalysis5[[#This Row],[Mine Action]]/tblPiNAnalysis5[[#This Row],[Affected population projection 2026]], 0.05), "")</f>
        <v>0</v>
      </c>
      <c r="AH97" s="322">
        <f>IFERROR(MROUND(tblPiNAnalysis5[[#This Row],[HLP]]/tblPiNAnalysis5[[#This Row],[Affected population projection 2026]], 0.05), "")</f>
        <v>0</v>
      </c>
      <c r="AI97" s="325">
        <f>IFERROR(LARGE(tblPiNAnalysis5[[#This Row],[CCCM]:[WASH]], 1), "")</f>
        <v>0</v>
      </c>
      <c r="AJ97" s="326" t="str" cm="1">
        <f t="array" ref="AJ97">IF(tblPiNAnalysis5[[#This Row],[Highest Target]]="", "", _xlfn.TEXTJOIN(CHAR(10), TRUE, IF(tblPiNAnalysis5[[#This Row],[Highest Target]]=tblPiNAnalysis5[[#This Row],[CCCM]:[WASH]], tblPiNAnalysis5[[#Headers],[CCCM]:[WASH]], "")))</f>
        <v>CCCM
Education
Nutrition
Food Security
Health
Overarching Protection
Shelter
WASH</v>
      </c>
      <c r="AK97" s="327">
        <f>IF(tblPiNAnalysis5[[#This Row],[Highest Target]]="", "", tblPiNAnalysis5[[#This Row],[Highest Target]]/tblPiNAnalysis5[[#This Row],[Affected population projection 2026]])</f>
        <v>0</v>
      </c>
      <c r="AL97" s="328" t="str">
        <f>IF(SUM(tblPiNAnalysis5[[#This Row],[CCCM]:[WASH]])=0, "",IF(COUNTIF(tblPiNAnalysis5[[#This Row],[CCCM]:[WASH]],"=0")+COUNTIF(tblPiNAnalysis5[[#This Row],[CCCM]:[WASH]],"")&gt;=zero_pin_thresh, "Flagged", ""))</f>
        <v/>
      </c>
      <c r="AM97" s="329" t="str">
        <f>IFERROR(IF(tblPiNAnalysis5[[#This Row],[Highest Target]]="", "", IF(tblPiNAnalysis5[[#This Row],[Highest sector(s'') Target %]]&gt;=flag_pin_perc, "Flagged", "")), "")</f>
        <v/>
      </c>
      <c r="AN97" s="330" t="str" cm="1">
        <f t="array" ref="AN97">IF(tblPiNAnalysis5[[#This Row],[Highest Target]]=0, "",  IF(OR(COUNTIF(tblPiNAnalysis5[[#This Row],[Highest sector(s)]],tblSubSectorPopulation[Sector])), "Flagged", ""))</f>
        <v/>
      </c>
      <c r="AO97" s="46" cm="1">
        <f t="array" ref="AO9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97" s="331" t="str" cm="1">
        <f t="array" ref="AP97">IF(tblPiNAnalysis5[[#This Row],[2nd Highest Target]]="", "", _xlfn.TEXTJOIN(CHAR(10), TRUE, IF(tblPiNAnalysis5[[#This Row],[2nd Highest Target]]=tblPiNAnalysis5[[#This Row],[CCCM]:[WASH]], tblPiNAnalysis5[[#Headers],[CCCM]:[WASH]], "")))</f>
        <v>CCCM
Education
Nutrition
Food Security
Health
Overarching Protection
Shelter
WASH</v>
      </c>
      <c r="AQ97" s="36">
        <f>IFERROR(tblPiNAnalysis5[[#This Row],[2nd Highest Target]]/tblPiNAnalysis5[[#This Row],[Affected population projection 2026]], "")</f>
        <v>0</v>
      </c>
      <c r="AR97" s="46">
        <f>IFERROR(tblPiNAnalysis5[[#This Row],[Highest Target]]-tblPiNAnalysis5[[#This Row],[2nd Highest Target]], "")</f>
        <v>0</v>
      </c>
      <c r="AS97" s="39" t="str">
        <f>IFERROR(((tblPiNAnalysis5[[#This Row],[Highest Target]]-tblPiNAnalysis5[[#This Row],[2nd Highest Target]])/tblPiNAnalysis5[[#This Row],[2nd Highest Target]]),"")</f>
        <v/>
      </c>
      <c r="AT97" s="39" t="str" cm="1">
        <f t="array" ref="AT9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7" s="332" cm="1">
        <f t="array" ref="AU9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97" s="190" t="str" cm="1">
        <f t="array" ref="AV97">IF(tblPiNAnalysis5[[#This Row],[3rd Highest Target]]="", "", _xlfn.TEXTJOIN(CHAR(10), TRUE, IF(tblPiNAnalysis5[[#This Row],[3rd Highest Target]]=tblPiNAnalysis5[[#This Row],[CCCM]:[WASH]], tblPiNAnalysis5[[#Headers],[CCCM]:[WASH]], "")))</f>
        <v>CCCM
Education
Nutrition
Food Security
Health
Overarching Protection
Shelter
WASH</v>
      </c>
      <c r="AW97" s="190">
        <f>IFERROR(tblPiNAnalysis5[[#This Row],[3rd Highest Target]]/tblPiNAnalysis5[[#This Row],[Affected population projection 2026]], "")</f>
        <v>0</v>
      </c>
      <c r="AX97" s="45">
        <f>IFERROR(tblPiNAnalysis5[[#This Row],[Highest Target]]-tblPiNAnalysis5[[#This Row],[3rd Highest Target]],"")</f>
        <v>0</v>
      </c>
      <c r="AY97" s="39" t="str">
        <f>IFERROR(tblPiNAnalysis5[[#This Row],[Difference of Target between Highest and 3rd Highest]]/tblPiNAnalysis5[[#This Row],[3rd Highest Target]], "")</f>
        <v/>
      </c>
      <c r="AZ97" s="330" t="str" cm="1">
        <f t="array" ref="AZ9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7" s="300" t="str" cm="1">
        <f t="array" ref="BA9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7" s="333" t="str" cm="1">
        <f t="array" ref="BB9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97" s="276" t="str" cm="1">
        <f t="array" ref="BC9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7" s="334" t="str" cm="1">
        <f t="array" ref="BD9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7" s="277" t="e">
        <f>INDEX(tblSeverityAnalysis[Final Severity], MATCH(tblPiNAnalysis5[[#This Row],[ID]],tblSeverityAnalysis[ID], 0))</f>
        <v>#N/A</v>
      </c>
      <c r="BF97" s="61" t="e">
        <f>IF(tblPiNAnalysis5[[#This Row],[Severity]]&gt;2,tblPiNAnalysis5[[#This Row],[Highest Target]],)</f>
        <v>#N/A</v>
      </c>
      <c r="BG97" s="191"/>
      <c r="BH97" s="192"/>
      <c r="BI97" s="193">
        <f>COUNTIFS(tblPiNAnalysis5[[#This Row],[Number of missing / zero PiNs greater than threshold - Data quality]:[Manual Flag]],"Flagged")</f>
        <v>2</v>
      </c>
      <c r="BJ97" s="96" t="str">
        <f>IF(tblPiNAnalysis5[[#This Row],['# Flags]]&gt;0, "Flagged", "")</f>
        <v>Flagged</v>
      </c>
      <c r="BK97" s="326" t="e">
        <f>tblPiNAnalysis5[[#This Row],[Preliminary Target]]</f>
        <v>#N/A</v>
      </c>
      <c r="BL97" s="331"/>
    </row>
    <row r="98" spans="1:64" ht="24.6" x14ac:dyDescent="0.55000000000000004">
      <c r="A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8" s="316" t="s">
        <v>268</v>
      </c>
      <c r="C98" s="317" t="s">
        <v>269</v>
      </c>
      <c r="D98" s="317" t="s">
        <v>270</v>
      </c>
      <c r="E98" s="105" t="s">
        <v>271</v>
      </c>
      <c r="F98" s="100"/>
      <c r="G98" s="34"/>
      <c r="H98" s="34"/>
      <c r="I98" s="97">
        <v>146807.46329287597</v>
      </c>
      <c r="J98" s="97" t="s">
        <v>413</v>
      </c>
      <c r="K98" s="318">
        <v>0</v>
      </c>
      <c r="L98" s="319">
        <v>8686.5388800541532</v>
      </c>
      <c r="M98" s="319">
        <v>50135.129326768183</v>
      </c>
      <c r="N98" s="319">
        <v>71357.403009888134</v>
      </c>
      <c r="O98" s="319">
        <v>70728.71066493931</v>
      </c>
      <c r="P98" s="319">
        <v>35297.439420517789</v>
      </c>
      <c r="Q98" s="320">
        <v>3049.0780837751163</v>
      </c>
      <c r="R98" s="319">
        <v>25147.574730724125</v>
      </c>
      <c r="S98" s="319"/>
      <c r="T98" s="319"/>
      <c r="U98" s="319"/>
      <c r="V98" s="319"/>
      <c r="W98" s="321">
        <f>IFERROR(IF(tblPiNAnalysis5[[#This Row],[CCCM]]="", "", MROUND(tblPiNAnalysis5[[#This Row],[CCCM]]/tblPiNAnalysis5[[#This Row],[Affected population projection 2026]], 0.05)), "")</f>
        <v>0</v>
      </c>
      <c r="X98" s="322">
        <f>IFERROR(IF(tblPiNAnalysis5[[#This Row],[Education]]="", "", MROUND(tblPiNAnalysis5[[#This Row],[Education]]/tblPiNAnalysis5[[#This Row],[Affected population projection 2026]], 0.05)), "")</f>
        <v>0.05</v>
      </c>
      <c r="Y98" s="322">
        <f>IFERROR(IF(tblPiNAnalysis5[[#This Row],[Nutrition]]="", "", MROUND(tblPiNAnalysis5[[#This Row],[Nutrition]]/tblPiNAnalysis5[[#This Row],[Affected population projection 2026]], 0.05)), "")</f>
        <v>0.35000000000000003</v>
      </c>
      <c r="Z98" s="322">
        <f>IFERROR(IF(tblPiNAnalysis5[[#This Row],[Food Security]]="", "", MROUND(tblPiNAnalysis5[[#This Row],[Food Security]]/tblPiNAnalysis5[[#This Row],[Affected population projection 2026]], 0.05)), "")</f>
        <v>0.5</v>
      </c>
      <c r="AA98" s="322">
        <f>IFERROR(IF(tblPiNAnalysis5[[#This Row],[Health]]="", "", MROUND(tblPiNAnalysis5[[#This Row],[Health]]/tblPiNAnalysis5[[#This Row],[Affected population projection 2026]], 0.05)), "")</f>
        <v>0.5</v>
      </c>
      <c r="AB98" s="323">
        <f>IFERROR(IF(tblPiNAnalysis5[[#This Row],[Overarching Protection]]="", "", MROUND(tblPiNAnalysis5[[#This Row],[Overarching Protection]]/tblPiNAnalysis5[[#This Row],[Affected population projection 2026]], 0.05)), "")</f>
        <v>0.25</v>
      </c>
      <c r="AC98" s="323">
        <f>IFERROR(IF(tblPiNAnalysis5[[#This Row],[Shelter]]="", "", MROUND(tblPiNAnalysis5[[#This Row],[Shelter]]/tblPiNAnalysis5[[#This Row],[Affected population projection 2026]], 0.05)), "")</f>
        <v>0</v>
      </c>
      <c r="AD98" s="324">
        <f>IFERROR(IF(tblPiNAnalysis5[[#This Row],[WASH]]="", "", MROUND(tblPiNAnalysis5[[#This Row],[WASH]]/tblPiNAnalysis5[[#This Row],[Affected population projection 2026]], 0.05)), "")</f>
        <v>0.15000000000000002</v>
      </c>
      <c r="AE98" s="322">
        <f>IFERROR(MROUND(tblPiNAnalysis5[[#This Row],[CP]]/tblPiNAnalysis5[[#This Row],[Affected population projection 2026]], 0.05), "")</f>
        <v>0</v>
      </c>
      <c r="AF98" s="322">
        <f>IFERROR(MROUND(tblPiNAnalysis5[[#This Row],[GBV]]/tblPiNAnalysis5[[#This Row],[Affected population projection 2026]], 0.05), "")</f>
        <v>0</v>
      </c>
      <c r="AG98" s="322">
        <f>IFERROR(MROUND(tblPiNAnalysis5[[#This Row],[Mine Action]]/tblPiNAnalysis5[[#This Row],[Affected population projection 2026]], 0.05), "")</f>
        <v>0</v>
      </c>
      <c r="AH98" s="322">
        <f>IFERROR(MROUND(tblPiNAnalysis5[[#This Row],[HLP]]/tblPiNAnalysis5[[#This Row],[Affected population projection 2026]], 0.05), "")</f>
        <v>0</v>
      </c>
      <c r="AI98" s="325">
        <f>IFERROR(LARGE(tblPiNAnalysis5[[#This Row],[CCCM]:[WASH]], 1), "")</f>
        <v>71357.403009888134</v>
      </c>
      <c r="AJ98" s="326" t="str" cm="1">
        <f t="array" ref="AJ98">IF(tblPiNAnalysis5[[#This Row],[Highest Target]]="", "", _xlfn.TEXTJOIN(CHAR(10), TRUE, IF(tblPiNAnalysis5[[#This Row],[Highest Target]]=tblPiNAnalysis5[[#This Row],[CCCM]:[WASH]], tblPiNAnalysis5[[#Headers],[CCCM]:[WASH]], "")))</f>
        <v>Food Security</v>
      </c>
      <c r="AK98" s="327">
        <f>IF(tblPiNAnalysis5[[#This Row],[Highest Target]]="", "", tblPiNAnalysis5[[#This Row],[Highest Target]]/tblPiNAnalysis5[[#This Row],[Affected population projection 2026]])</f>
        <v>0.4860611402809441</v>
      </c>
      <c r="AL98" s="328" t="str">
        <f>IF(SUM(tblPiNAnalysis5[[#This Row],[CCCM]:[WASH]])=0, "",IF(COUNTIF(tblPiNAnalysis5[[#This Row],[CCCM]:[WASH]],"=0")+COUNTIF(tblPiNAnalysis5[[#This Row],[CCCM]:[WASH]],"")&gt;=zero_pin_thresh, "Flagged", ""))</f>
        <v/>
      </c>
      <c r="AM98" s="329" t="str">
        <f>IFERROR(IF(tblPiNAnalysis5[[#This Row],[Highest Target]]="", "", IF(tblPiNAnalysis5[[#This Row],[Highest sector(s'') Target %]]&gt;=flag_pin_perc, "Flagged", "")), "")</f>
        <v/>
      </c>
      <c r="AN98" s="330" t="str" cm="1">
        <f t="array" ref="AN98">IF(tblPiNAnalysis5[[#This Row],[Highest Target]]=0, "",  IF(OR(COUNTIF(tblPiNAnalysis5[[#This Row],[Highest sector(s)]],tblSubSectorPopulation[Sector])), "Flagged", ""))</f>
        <v/>
      </c>
      <c r="AO98" s="46" cm="1">
        <f t="array" ref="AO9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70728.71066493931</v>
      </c>
      <c r="AP98" s="331" t="str" cm="1">
        <f t="array" ref="AP98">IF(tblPiNAnalysis5[[#This Row],[2nd Highest Target]]="", "", _xlfn.TEXTJOIN(CHAR(10), TRUE, IF(tblPiNAnalysis5[[#This Row],[2nd Highest Target]]=tblPiNAnalysis5[[#This Row],[CCCM]:[WASH]], tblPiNAnalysis5[[#Headers],[CCCM]:[WASH]], "")))</f>
        <v>Health</v>
      </c>
      <c r="AQ98" s="36">
        <f>IFERROR(tblPiNAnalysis5[[#This Row],[2nd Highest Target]]/tblPiNAnalysis5[[#This Row],[Affected population projection 2026]], "")</f>
        <v>0.48177871259745086</v>
      </c>
      <c r="AR98" s="46">
        <f>IFERROR(tblPiNAnalysis5[[#This Row],[Highest Target]]-tblPiNAnalysis5[[#This Row],[2nd Highest Target]], "")</f>
        <v>628.69234494882403</v>
      </c>
      <c r="AS98" s="39">
        <f>IFERROR(((tblPiNAnalysis5[[#This Row],[Highest Target]]-tblPiNAnalysis5[[#This Row],[2nd Highest Target]])/tblPiNAnalysis5[[#This Row],[2nd Highest Target]]),"")</f>
        <v>8.8887856011840329E-3</v>
      </c>
      <c r="AT98" s="39" t="str" cm="1">
        <f t="array" ref="AT9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98" s="332" cm="1">
        <f t="array" ref="AU9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50135.129326768183</v>
      </c>
      <c r="AV98" s="190" t="str" cm="1">
        <f t="array" ref="AV98">IF(tblPiNAnalysis5[[#This Row],[3rd Highest Target]]="", "", _xlfn.TEXTJOIN(CHAR(10), TRUE, IF(tblPiNAnalysis5[[#This Row],[3rd Highest Target]]=tblPiNAnalysis5[[#This Row],[CCCM]:[WASH]], tblPiNAnalysis5[[#Headers],[CCCM]:[WASH]], "")))</f>
        <v>Nutrition</v>
      </c>
      <c r="AW98" s="190">
        <f>IFERROR(tblPiNAnalysis5[[#This Row],[3rd Highest Target]]/tblPiNAnalysis5[[#This Row],[Affected population projection 2026]], "")</f>
        <v>0.34150259259469856</v>
      </c>
      <c r="AX98" s="45">
        <f>IFERROR(tblPiNAnalysis5[[#This Row],[Highest Target]]-tblPiNAnalysis5[[#This Row],[3rd Highest Target]],"")</f>
        <v>21222.273683119951</v>
      </c>
      <c r="AY98" s="39">
        <f>IFERROR(tblPiNAnalysis5[[#This Row],[Difference of Target between Highest and 3rd Highest]]/tblPiNAnalysis5[[#This Row],[3rd Highest Target]], "")</f>
        <v>0.42330146482316822</v>
      </c>
      <c r="AZ98" s="330" t="str" cm="1">
        <f t="array" ref="AZ9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98" s="300" t="str" cm="1">
        <f t="array" ref="BA9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8" s="333" t="str" cm="1">
        <f t="array" ref="BB9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8" s="276" t="str" cm="1">
        <f t="array" ref="BC9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8" s="334" t="str" cm="1">
        <f t="array" ref="BD9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98" s="277" t="e">
        <f>INDEX(tblSeverityAnalysis[Final Severity], MATCH(tblPiNAnalysis5[[#This Row],[ID]],tblSeverityAnalysis[ID], 0))</f>
        <v>#N/A</v>
      </c>
      <c r="BF98" s="61" t="e">
        <f>IF(tblPiNAnalysis5[[#This Row],[Severity]]&gt;2,tblPiNAnalysis5[[#This Row],[Highest Target]],)</f>
        <v>#N/A</v>
      </c>
      <c r="BG98" s="191"/>
      <c r="BH98" s="192"/>
      <c r="BI98" s="193">
        <f>COUNTIFS(tblPiNAnalysis5[[#This Row],[Number of missing / zero PiNs greater than threshold - Data quality]:[Manual Flag]],"Flagged")</f>
        <v>1</v>
      </c>
      <c r="BJ98" s="96" t="str">
        <f>IF(tblPiNAnalysis5[[#This Row],['# Flags]]&gt;0, "Flagged", "")</f>
        <v>Flagged</v>
      </c>
      <c r="BK98" s="326" t="e">
        <f>tblPiNAnalysis5[[#This Row],[Preliminary Target]]</f>
        <v>#N/A</v>
      </c>
      <c r="BL98" s="331"/>
    </row>
    <row r="99" spans="1:64" x14ac:dyDescent="0.55000000000000004">
      <c r="A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9" s="316" t="s">
        <v>268</v>
      </c>
      <c r="C99" s="317" t="s">
        <v>269</v>
      </c>
      <c r="D99" s="317" t="s">
        <v>272</v>
      </c>
      <c r="E99" s="105" t="s">
        <v>273</v>
      </c>
      <c r="F99" s="100"/>
      <c r="G99" s="34"/>
      <c r="H99" s="34"/>
      <c r="I99" s="97">
        <v>126785.47631993188</v>
      </c>
      <c r="J99" s="97" t="s">
        <v>413</v>
      </c>
      <c r="K99" s="318">
        <v>0</v>
      </c>
      <c r="L99" s="319">
        <v>5241.6158762091518</v>
      </c>
      <c r="M99" s="319">
        <v>29343.305071128358</v>
      </c>
      <c r="N99" s="319">
        <v>54404.084525413884</v>
      </c>
      <c r="O99" s="319">
        <v>51234.416560604725</v>
      </c>
      <c r="P99" s="319">
        <v>21166.315500242446</v>
      </c>
      <c r="Q99" s="320">
        <v>1674.7036797483538</v>
      </c>
      <c r="R99" s="319">
        <v>87773.110093587602</v>
      </c>
      <c r="S99" s="319"/>
      <c r="T99" s="319"/>
      <c r="U99" s="319"/>
      <c r="V99" s="319"/>
      <c r="W99" s="321">
        <f>IFERROR(IF(tblPiNAnalysis5[[#This Row],[CCCM]]="", "", MROUND(tblPiNAnalysis5[[#This Row],[CCCM]]/tblPiNAnalysis5[[#This Row],[Affected population projection 2026]], 0.05)), "")</f>
        <v>0</v>
      </c>
      <c r="X99" s="322">
        <f>IFERROR(IF(tblPiNAnalysis5[[#This Row],[Education]]="", "", MROUND(tblPiNAnalysis5[[#This Row],[Education]]/tblPiNAnalysis5[[#This Row],[Affected population projection 2026]], 0.05)), "")</f>
        <v>0.05</v>
      </c>
      <c r="Y99" s="322">
        <f>IFERROR(IF(tblPiNAnalysis5[[#This Row],[Nutrition]]="", "", MROUND(tblPiNAnalysis5[[#This Row],[Nutrition]]/tblPiNAnalysis5[[#This Row],[Affected population projection 2026]], 0.05)), "")</f>
        <v>0.25</v>
      </c>
      <c r="Z99" s="322">
        <f>IFERROR(IF(tblPiNAnalysis5[[#This Row],[Food Security]]="", "", MROUND(tblPiNAnalysis5[[#This Row],[Food Security]]/tblPiNAnalysis5[[#This Row],[Affected population projection 2026]], 0.05)), "")</f>
        <v>0.45</v>
      </c>
      <c r="AA99" s="322">
        <f>IFERROR(IF(tblPiNAnalysis5[[#This Row],[Health]]="", "", MROUND(tblPiNAnalysis5[[#This Row],[Health]]/tblPiNAnalysis5[[#This Row],[Affected population projection 2026]], 0.05)), "")</f>
        <v>0.4</v>
      </c>
      <c r="AB99" s="323">
        <f>IFERROR(IF(tblPiNAnalysis5[[#This Row],[Overarching Protection]]="", "", MROUND(tblPiNAnalysis5[[#This Row],[Overarching Protection]]/tblPiNAnalysis5[[#This Row],[Affected population projection 2026]], 0.05)), "")</f>
        <v>0.15000000000000002</v>
      </c>
      <c r="AC99" s="323">
        <f>IFERROR(IF(tblPiNAnalysis5[[#This Row],[Shelter]]="", "", MROUND(tblPiNAnalysis5[[#This Row],[Shelter]]/tblPiNAnalysis5[[#This Row],[Affected population projection 2026]], 0.05)), "")</f>
        <v>0</v>
      </c>
      <c r="AD99" s="324">
        <f>IFERROR(IF(tblPiNAnalysis5[[#This Row],[WASH]]="", "", MROUND(tblPiNAnalysis5[[#This Row],[WASH]]/tblPiNAnalysis5[[#This Row],[Affected population projection 2026]], 0.05)), "")</f>
        <v>0.70000000000000007</v>
      </c>
      <c r="AE99" s="322">
        <f>IFERROR(MROUND(tblPiNAnalysis5[[#This Row],[CP]]/tblPiNAnalysis5[[#This Row],[Affected population projection 2026]], 0.05), "")</f>
        <v>0</v>
      </c>
      <c r="AF99" s="322">
        <f>IFERROR(MROUND(tblPiNAnalysis5[[#This Row],[GBV]]/tblPiNAnalysis5[[#This Row],[Affected population projection 2026]], 0.05), "")</f>
        <v>0</v>
      </c>
      <c r="AG99" s="322">
        <f>IFERROR(MROUND(tblPiNAnalysis5[[#This Row],[Mine Action]]/tblPiNAnalysis5[[#This Row],[Affected population projection 2026]], 0.05), "")</f>
        <v>0</v>
      </c>
      <c r="AH99" s="322">
        <f>IFERROR(MROUND(tblPiNAnalysis5[[#This Row],[HLP]]/tblPiNAnalysis5[[#This Row],[Affected population projection 2026]], 0.05), "")</f>
        <v>0</v>
      </c>
      <c r="AI99" s="325">
        <f>IFERROR(LARGE(tblPiNAnalysis5[[#This Row],[CCCM]:[WASH]], 1), "")</f>
        <v>87773.110093587602</v>
      </c>
      <c r="AJ99" s="326" t="str" cm="1">
        <f t="array" ref="AJ99">IF(tblPiNAnalysis5[[#This Row],[Highest Target]]="", "", _xlfn.TEXTJOIN(CHAR(10), TRUE, IF(tblPiNAnalysis5[[#This Row],[Highest Target]]=tblPiNAnalysis5[[#This Row],[CCCM]:[WASH]], tblPiNAnalysis5[[#Headers],[CCCM]:[WASH]], "")))</f>
        <v>WASH</v>
      </c>
      <c r="AK99" s="327">
        <f>IF(tblPiNAnalysis5[[#This Row],[Highest Target]]="", "", tblPiNAnalysis5[[#This Row],[Highest Target]]/tblPiNAnalysis5[[#This Row],[Affected population projection 2026]])</f>
        <v>0.69229625223081515</v>
      </c>
      <c r="AL99" s="328" t="str">
        <f>IF(SUM(tblPiNAnalysis5[[#This Row],[CCCM]:[WASH]])=0, "",IF(COUNTIF(tblPiNAnalysis5[[#This Row],[CCCM]:[WASH]],"=0")+COUNTIF(tblPiNAnalysis5[[#This Row],[CCCM]:[WASH]],"")&gt;=zero_pin_thresh, "Flagged", ""))</f>
        <v/>
      </c>
      <c r="AM99" s="329" t="str">
        <f>IFERROR(IF(tblPiNAnalysis5[[#This Row],[Highest Target]]="", "", IF(tblPiNAnalysis5[[#This Row],[Highest sector(s'') Target %]]&gt;=flag_pin_perc, "Flagged", "")), "")</f>
        <v/>
      </c>
      <c r="AN99" s="330" t="str" cm="1">
        <f t="array" ref="AN99">IF(tblPiNAnalysis5[[#This Row],[Highest Target]]=0, "",  IF(OR(COUNTIF(tblPiNAnalysis5[[#This Row],[Highest sector(s)]],tblSubSectorPopulation[Sector])), "Flagged", ""))</f>
        <v/>
      </c>
      <c r="AO99" s="46" cm="1">
        <f t="array" ref="AO9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54404.084525413884</v>
      </c>
      <c r="AP99" s="331" t="str" cm="1">
        <f t="array" ref="AP99">IF(tblPiNAnalysis5[[#This Row],[2nd Highest Target]]="", "", _xlfn.TEXTJOIN(CHAR(10), TRUE, IF(tblPiNAnalysis5[[#This Row],[2nd Highest Target]]=tblPiNAnalysis5[[#This Row],[CCCM]:[WASH]], tblPiNAnalysis5[[#Headers],[CCCM]:[WASH]], "")))</f>
        <v>Food Security</v>
      </c>
      <c r="AQ99" s="36">
        <f>IFERROR(tblPiNAnalysis5[[#This Row],[2nd Highest Target]]/tblPiNAnalysis5[[#This Row],[Affected population projection 2026]], "")</f>
        <v>0.42910344390023042</v>
      </c>
      <c r="AR99" s="46">
        <f>IFERROR(tblPiNAnalysis5[[#This Row],[Highest Target]]-tblPiNAnalysis5[[#This Row],[2nd Highest Target]], "")</f>
        <v>33369.025568173718</v>
      </c>
      <c r="AS99" s="39">
        <f>IFERROR(((tblPiNAnalysis5[[#This Row],[Highest Target]]-tblPiNAnalysis5[[#This Row],[2nd Highest Target]])/tblPiNAnalysis5[[#This Row],[2nd Highest Target]]),"")</f>
        <v>0.61335515263722495</v>
      </c>
      <c r="AT99" s="39" t="str" cm="1">
        <f t="array" ref="AT9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99" s="332" cm="1">
        <f t="array" ref="AU9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51234.416560604725</v>
      </c>
      <c r="AV99" s="190" t="str" cm="1">
        <f t="array" ref="AV99">IF(tblPiNAnalysis5[[#This Row],[3rd Highest Target]]="", "", _xlfn.TEXTJOIN(CHAR(10), TRUE, IF(tblPiNAnalysis5[[#This Row],[3rd Highest Target]]=tblPiNAnalysis5[[#This Row],[CCCM]:[WASH]], tblPiNAnalysis5[[#Headers],[CCCM]:[WASH]], "")))</f>
        <v>Health</v>
      </c>
      <c r="AW99" s="190">
        <f>IFERROR(tblPiNAnalysis5[[#This Row],[3rd Highest Target]]/tblPiNAnalysis5[[#This Row],[Affected population projection 2026]], "")</f>
        <v>0.40410319894464275</v>
      </c>
      <c r="AX99" s="45">
        <f>IFERROR(tblPiNAnalysis5[[#This Row],[Highest Target]]-tblPiNAnalysis5[[#This Row],[3rd Highest Target]],"")</f>
        <v>36538.693532982878</v>
      </c>
      <c r="AY99" s="39">
        <f>IFERROR(tblPiNAnalysis5[[#This Row],[Difference of Target between Highest and 3rd Highest]]/tblPiNAnalysis5[[#This Row],[3rd Highest Target]], "")</f>
        <v>0.71316696833585658</v>
      </c>
      <c r="AZ99" s="330" t="str" cm="1">
        <f t="array" ref="AZ9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99" s="300" t="str" cm="1">
        <f t="array" ref="BA9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99" s="333" t="str" cm="1">
        <f t="array" ref="BB9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99" s="276" t="str" cm="1">
        <f t="array" ref="BC9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99" s="334" t="str" cm="1">
        <f t="array" ref="BD9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99" s="277" t="e">
        <f>INDEX(tblSeverityAnalysis[Final Severity], MATCH(tblPiNAnalysis5[[#This Row],[ID]],tblSeverityAnalysis[ID], 0))</f>
        <v>#N/A</v>
      </c>
      <c r="BF99" s="61" t="e">
        <f>IF(tblPiNAnalysis5[[#This Row],[Severity]]&gt;2,tblPiNAnalysis5[[#This Row],[Highest Target]],)</f>
        <v>#N/A</v>
      </c>
      <c r="BG99" s="191"/>
      <c r="BH99" s="192"/>
      <c r="BI99" s="193">
        <f>COUNTIFS(tblPiNAnalysis5[[#This Row],[Number of missing / zero PiNs greater than threshold - Data quality]:[Manual Flag]],"Flagged")</f>
        <v>2</v>
      </c>
      <c r="BJ99" s="96" t="str">
        <f>IF(tblPiNAnalysis5[[#This Row],['# Flags]]&gt;0, "Flagged", "")</f>
        <v>Flagged</v>
      </c>
      <c r="BK99" s="326" t="e">
        <f>tblPiNAnalysis5[[#This Row],[Preliminary Target]]</f>
        <v>#N/A</v>
      </c>
      <c r="BL99" s="331"/>
    </row>
    <row r="100" spans="1:64" ht="110.7" x14ac:dyDescent="0.55000000000000004">
      <c r="A1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0" s="316" t="s">
        <v>268</v>
      </c>
      <c r="C100" s="317" t="s">
        <v>269</v>
      </c>
      <c r="D100" s="317" t="s">
        <v>274</v>
      </c>
      <c r="E100" s="105" t="s">
        <v>275</v>
      </c>
      <c r="F100" s="100"/>
      <c r="G100" s="34"/>
      <c r="H100" s="34"/>
      <c r="I100" s="97">
        <v>191777.77641387403</v>
      </c>
      <c r="J100" s="97" t="s">
        <v>413</v>
      </c>
      <c r="K100" s="318">
        <v>0</v>
      </c>
      <c r="L100" s="319">
        <v>0</v>
      </c>
      <c r="M100" s="319">
        <v>0</v>
      </c>
      <c r="N100" s="319">
        <v>0</v>
      </c>
      <c r="O100" s="319">
        <v>0</v>
      </c>
      <c r="P100" s="319">
        <v>0</v>
      </c>
      <c r="Q100" s="320">
        <v>0</v>
      </c>
      <c r="R100" s="319">
        <v>0</v>
      </c>
      <c r="S100" s="319"/>
      <c r="T100" s="319"/>
      <c r="U100" s="319"/>
      <c r="V100" s="319"/>
      <c r="W100" s="321">
        <f>IFERROR(IF(tblPiNAnalysis5[[#This Row],[CCCM]]="", "", MROUND(tblPiNAnalysis5[[#This Row],[CCCM]]/tblPiNAnalysis5[[#This Row],[Affected population projection 2026]], 0.05)), "")</f>
        <v>0</v>
      </c>
      <c r="X100" s="322">
        <f>IFERROR(IF(tblPiNAnalysis5[[#This Row],[Education]]="", "", MROUND(tblPiNAnalysis5[[#This Row],[Education]]/tblPiNAnalysis5[[#This Row],[Affected population projection 2026]], 0.05)), "")</f>
        <v>0</v>
      </c>
      <c r="Y100" s="322">
        <f>IFERROR(IF(tblPiNAnalysis5[[#This Row],[Nutrition]]="", "", MROUND(tblPiNAnalysis5[[#This Row],[Nutrition]]/tblPiNAnalysis5[[#This Row],[Affected population projection 2026]], 0.05)), "")</f>
        <v>0</v>
      </c>
      <c r="Z100" s="322">
        <f>IFERROR(IF(tblPiNAnalysis5[[#This Row],[Food Security]]="", "", MROUND(tblPiNAnalysis5[[#This Row],[Food Security]]/tblPiNAnalysis5[[#This Row],[Affected population projection 2026]], 0.05)), "")</f>
        <v>0</v>
      </c>
      <c r="AA100" s="322">
        <f>IFERROR(IF(tblPiNAnalysis5[[#This Row],[Health]]="", "", MROUND(tblPiNAnalysis5[[#This Row],[Health]]/tblPiNAnalysis5[[#This Row],[Affected population projection 2026]], 0.05)), "")</f>
        <v>0</v>
      </c>
      <c r="AB100" s="323">
        <f>IFERROR(IF(tblPiNAnalysis5[[#This Row],[Overarching Protection]]="", "", MROUND(tblPiNAnalysis5[[#This Row],[Overarching Protection]]/tblPiNAnalysis5[[#This Row],[Affected population projection 2026]], 0.05)), "")</f>
        <v>0</v>
      </c>
      <c r="AC100" s="323">
        <f>IFERROR(IF(tblPiNAnalysis5[[#This Row],[Shelter]]="", "", MROUND(tblPiNAnalysis5[[#This Row],[Shelter]]/tblPiNAnalysis5[[#This Row],[Affected population projection 2026]], 0.05)), "")</f>
        <v>0</v>
      </c>
      <c r="AD100" s="324">
        <f>IFERROR(IF(tblPiNAnalysis5[[#This Row],[WASH]]="", "", MROUND(tblPiNAnalysis5[[#This Row],[WASH]]/tblPiNAnalysis5[[#This Row],[Affected population projection 2026]], 0.05)), "")</f>
        <v>0</v>
      </c>
      <c r="AE100" s="322">
        <f>IFERROR(MROUND(tblPiNAnalysis5[[#This Row],[CP]]/tblPiNAnalysis5[[#This Row],[Affected population projection 2026]], 0.05), "")</f>
        <v>0</v>
      </c>
      <c r="AF100" s="322">
        <f>IFERROR(MROUND(tblPiNAnalysis5[[#This Row],[GBV]]/tblPiNAnalysis5[[#This Row],[Affected population projection 2026]], 0.05), "")</f>
        <v>0</v>
      </c>
      <c r="AG100" s="322">
        <f>IFERROR(MROUND(tblPiNAnalysis5[[#This Row],[Mine Action]]/tblPiNAnalysis5[[#This Row],[Affected population projection 2026]], 0.05), "")</f>
        <v>0</v>
      </c>
      <c r="AH100" s="322">
        <f>IFERROR(MROUND(tblPiNAnalysis5[[#This Row],[HLP]]/tblPiNAnalysis5[[#This Row],[Affected population projection 2026]], 0.05), "")</f>
        <v>0</v>
      </c>
      <c r="AI100" s="325">
        <f>IFERROR(LARGE(tblPiNAnalysis5[[#This Row],[CCCM]:[WASH]], 1), "")</f>
        <v>0</v>
      </c>
      <c r="AJ100" s="326" t="str" cm="1">
        <f t="array" ref="AJ100">IF(tblPiNAnalysis5[[#This Row],[Highest Target]]="", "", _xlfn.TEXTJOIN(CHAR(10), TRUE, IF(tblPiNAnalysis5[[#This Row],[Highest Target]]=tblPiNAnalysis5[[#This Row],[CCCM]:[WASH]], tblPiNAnalysis5[[#Headers],[CCCM]:[WASH]], "")))</f>
        <v>CCCM
Education
Nutrition
Food Security
Health
Overarching Protection
Shelter
WASH</v>
      </c>
      <c r="AK100" s="327">
        <f>IF(tblPiNAnalysis5[[#This Row],[Highest Target]]="", "", tblPiNAnalysis5[[#This Row],[Highest Target]]/tblPiNAnalysis5[[#This Row],[Affected population projection 2026]])</f>
        <v>0</v>
      </c>
      <c r="AL100" s="328" t="str">
        <f>IF(SUM(tblPiNAnalysis5[[#This Row],[CCCM]:[WASH]])=0, "",IF(COUNTIF(tblPiNAnalysis5[[#This Row],[CCCM]:[WASH]],"=0")+COUNTIF(tblPiNAnalysis5[[#This Row],[CCCM]:[WASH]],"")&gt;=zero_pin_thresh, "Flagged", ""))</f>
        <v/>
      </c>
      <c r="AM100" s="329" t="str">
        <f>IFERROR(IF(tblPiNAnalysis5[[#This Row],[Highest Target]]="", "", IF(tblPiNAnalysis5[[#This Row],[Highest sector(s'') Target %]]&gt;=flag_pin_perc, "Flagged", "")), "")</f>
        <v/>
      </c>
      <c r="AN100" s="330" t="str" cm="1">
        <f t="array" ref="AN100">IF(tblPiNAnalysis5[[#This Row],[Highest Target]]=0, "",  IF(OR(COUNTIF(tblPiNAnalysis5[[#This Row],[Highest sector(s)]],tblSubSectorPopulation[Sector])), "Flagged", ""))</f>
        <v/>
      </c>
      <c r="AO100" s="46" cm="1">
        <f t="array" ref="AO10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00" s="331" t="str" cm="1">
        <f t="array" ref="AP100">IF(tblPiNAnalysis5[[#This Row],[2nd Highest Target]]="", "", _xlfn.TEXTJOIN(CHAR(10), TRUE, IF(tblPiNAnalysis5[[#This Row],[2nd Highest Target]]=tblPiNAnalysis5[[#This Row],[CCCM]:[WASH]], tblPiNAnalysis5[[#Headers],[CCCM]:[WASH]], "")))</f>
        <v>CCCM
Education
Nutrition
Food Security
Health
Overarching Protection
Shelter
WASH</v>
      </c>
      <c r="AQ100" s="36">
        <f>IFERROR(tblPiNAnalysis5[[#This Row],[2nd Highest Target]]/tblPiNAnalysis5[[#This Row],[Affected population projection 2026]], "")</f>
        <v>0</v>
      </c>
      <c r="AR100" s="46">
        <f>IFERROR(tblPiNAnalysis5[[#This Row],[Highest Target]]-tblPiNAnalysis5[[#This Row],[2nd Highest Target]], "")</f>
        <v>0</v>
      </c>
      <c r="AS100" s="39" t="str">
        <f>IFERROR(((tblPiNAnalysis5[[#This Row],[Highest Target]]-tblPiNAnalysis5[[#This Row],[2nd Highest Target]])/tblPiNAnalysis5[[#This Row],[2nd Highest Target]]),"")</f>
        <v/>
      </c>
      <c r="AT100" s="39" t="str" cm="1">
        <f t="array" ref="AT10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0" s="332" cm="1">
        <f t="array" ref="AU10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00" s="190" t="str" cm="1">
        <f t="array" ref="AV100">IF(tblPiNAnalysis5[[#This Row],[3rd Highest Target]]="", "", _xlfn.TEXTJOIN(CHAR(10), TRUE, IF(tblPiNAnalysis5[[#This Row],[3rd Highest Target]]=tblPiNAnalysis5[[#This Row],[CCCM]:[WASH]], tblPiNAnalysis5[[#Headers],[CCCM]:[WASH]], "")))</f>
        <v>CCCM
Education
Nutrition
Food Security
Health
Overarching Protection
Shelter
WASH</v>
      </c>
      <c r="AW100" s="190">
        <f>IFERROR(tblPiNAnalysis5[[#This Row],[3rd Highest Target]]/tblPiNAnalysis5[[#This Row],[Affected population projection 2026]], "")</f>
        <v>0</v>
      </c>
      <c r="AX100" s="45">
        <f>IFERROR(tblPiNAnalysis5[[#This Row],[Highest Target]]-tblPiNAnalysis5[[#This Row],[3rd Highest Target]],"")</f>
        <v>0</v>
      </c>
      <c r="AY100" s="39" t="str">
        <f>IFERROR(tblPiNAnalysis5[[#This Row],[Difference of Target between Highest and 3rd Highest]]/tblPiNAnalysis5[[#This Row],[3rd Highest Target]], "")</f>
        <v/>
      </c>
      <c r="AZ100" s="330" t="str" cm="1">
        <f t="array" ref="AZ10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0" s="300" t="str" cm="1">
        <f t="array" ref="BA10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0" s="333" t="str" cm="1">
        <f t="array" ref="BB10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0" s="276" t="str" cm="1">
        <f t="array" ref="BC10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0" s="334" t="str" cm="1">
        <f t="array" ref="BD10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00" s="277" t="e">
        <f>INDEX(tblSeverityAnalysis[Final Severity], MATCH(tblPiNAnalysis5[[#This Row],[ID]],tblSeverityAnalysis[ID], 0))</f>
        <v>#N/A</v>
      </c>
      <c r="BF100" s="61" t="e">
        <f>IF(tblPiNAnalysis5[[#This Row],[Severity]]&gt;2,tblPiNAnalysis5[[#This Row],[Highest Target]],)</f>
        <v>#N/A</v>
      </c>
      <c r="BG100" s="191"/>
      <c r="BH100" s="192"/>
      <c r="BI100" s="193">
        <f>COUNTIFS(tblPiNAnalysis5[[#This Row],[Number of missing / zero PiNs greater than threshold - Data quality]:[Manual Flag]],"Flagged")</f>
        <v>2</v>
      </c>
      <c r="BJ100" s="96" t="str">
        <f>IF(tblPiNAnalysis5[[#This Row],['# Flags]]&gt;0, "Flagged", "")</f>
        <v>Flagged</v>
      </c>
      <c r="BK100" s="326" t="e">
        <f>tblPiNAnalysis5[[#This Row],[Preliminary Target]]</f>
        <v>#N/A</v>
      </c>
      <c r="BL100" s="331"/>
    </row>
    <row r="101" spans="1:64" x14ac:dyDescent="0.55000000000000004">
      <c r="A1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1" s="316" t="s">
        <v>268</v>
      </c>
      <c r="C101" s="317" t="s">
        <v>269</v>
      </c>
      <c r="D101" s="317" t="s">
        <v>276</v>
      </c>
      <c r="E101" s="105" t="s">
        <v>277</v>
      </c>
      <c r="F101" s="100"/>
      <c r="G101" s="34"/>
      <c r="H101" s="34"/>
      <c r="I101" s="97">
        <v>32762.733973342118</v>
      </c>
      <c r="J101" s="97" t="s">
        <v>413</v>
      </c>
      <c r="K101" s="318">
        <v>0</v>
      </c>
      <c r="L101" s="319">
        <v>1377.2634294043694</v>
      </c>
      <c r="M101" s="319">
        <v>9279.5970762729612</v>
      </c>
      <c r="N101" s="319">
        <v>16839.399520814484</v>
      </c>
      <c r="O101" s="319">
        <v>21721.54972837575</v>
      </c>
      <c r="P101" s="319">
        <v>6210.4942305634941</v>
      </c>
      <c r="Q101" s="320">
        <v>764.46379271131605</v>
      </c>
      <c r="R101" s="319">
        <v>30234.745240831155</v>
      </c>
      <c r="S101" s="319"/>
      <c r="T101" s="319"/>
      <c r="U101" s="319"/>
      <c r="V101" s="319"/>
      <c r="W101" s="321">
        <f>IFERROR(IF(tblPiNAnalysis5[[#This Row],[CCCM]]="", "", MROUND(tblPiNAnalysis5[[#This Row],[CCCM]]/tblPiNAnalysis5[[#This Row],[Affected population projection 2026]], 0.05)), "")</f>
        <v>0</v>
      </c>
      <c r="X101" s="322">
        <f>IFERROR(IF(tblPiNAnalysis5[[#This Row],[Education]]="", "", MROUND(tblPiNAnalysis5[[#This Row],[Education]]/tblPiNAnalysis5[[#This Row],[Affected population projection 2026]], 0.05)), "")</f>
        <v>0.05</v>
      </c>
      <c r="Y101" s="322">
        <f>IFERROR(IF(tblPiNAnalysis5[[#This Row],[Nutrition]]="", "", MROUND(tblPiNAnalysis5[[#This Row],[Nutrition]]/tblPiNAnalysis5[[#This Row],[Affected population projection 2026]], 0.05)), "")</f>
        <v>0.30000000000000004</v>
      </c>
      <c r="Z101" s="322">
        <f>IFERROR(IF(tblPiNAnalysis5[[#This Row],[Food Security]]="", "", MROUND(tblPiNAnalysis5[[#This Row],[Food Security]]/tblPiNAnalysis5[[#This Row],[Affected population projection 2026]], 0.05)), "")</f>
        <v>0.5</v>
      </c>
      <c r="AA101" s="322">
        <f>IFERROR(IF(tblPiNAnalysis5[[#This Row],[Health]]="", "", MROUND(tblPiNAnalysis5[[#This Row],[Health]]/tblPiNAnalysis5[[#This Row],[Affected population projection 2026]], 0.05)), "")</f>
        <v>0.65</v>
      </c>
      <c r="AB101" s="323">
        <f>IFERROR(IF(tblPiNAnalysis5[[#This Row],[Overarching Protection]]="", "", MROUND(tblPiNAnalysis5[[#This Row],[Overarching Protection]]/tblPiNAnalysis5[[#This Row],[Affected population projection 2026]], 0.05)), "")</f>
        <v>0.2</v>
      </c>
      <c r="AC101" s="323">
        <f>IFERROR(IF(tblPiNAnalysis5[[#This Row],[Shelter]]="", "", MROUND(tblPiNAnalysis5[[#This Row],[Shelter]]/tblPiNAnalysis5[[#This Row],[Affected population projection 2026]], 0.05)), "")</f>
        <v>0</v>
      </c>
      <c r="AD101" s="324">
        <f>IFERROR(IF(tblPiNAnalysis5[[#This Row],[WASH]]="", "", MROUND(tblPiNAnalysis5[[#This Row],[WASH]]/tblPiNAnalysis5[[#This Row],[Affected population projection 2026]], 0.05)), "")</f>
        <v>0.9</v>
      </c>
      <c r="AE101" s="322">
        <f>IFERROR(MROUND(tblPiNAnalysis5[[#This Row],[CP]]/tblPiNAnalysis5[[#This Row],[Affected population projection 2026]], 0.05), "")</f>
        <v>0</v>
      </c>
      <c r="AF101" s="322">
        <f>IFERROR(MROUND(tblPiNAnalysis5[[#This Row],[GBV]]/tblPiNAnalysis5[[#This Row],[Affected population projection 2026]], 0.05), "")</f>
        <v>0</v>
      </c>
      <c r="AG101" s="322">
        <f>IFERROR(MROUND(tblPiNAnalysis5[[#This Row],[Mine Action]]/tblPiNAnalysis5[[#This Row],[Affected population projection 2026]], 0.05), "")</f>
        <v>0</v>
      </c>
      <c r="AH101" s="322">
        <f>IFERROR(MROUND(tblPiNAnalysis5[[#This Row],[HLP]]/tblPiNAnalysis5[[#This Row],[Affected population projection 2026]], 0.05), "")</f>
        <v>0</v>
      </c>
      <c r="AI101" s="325">
        <f>IFERROR(LARGE(tblPiNAnalysis5[[#This Row],[CCCM]:[WASH]], 1), "")</f>
        <v>30234.745240831155</v>
      </c>
      <c r="AJ101" s="326" t="str" cm="1">
        <f t="array" ref="AJ101">IF(tblPiNAnalysis5[[#This Row],[Highest Target]]="", "", _xlfn.TEXTJOIN(CHAR(10), TRUE, IF(tblPiNAnalysis5[[#This Row],[Highest Target]]=tblPiNAnalysis5[[#This Row],[CCCM]:[WASH]], tblPiNAnalysis5[[#Headers],[CCCM]:[WASH]], "")))</f>
        <v>WASH</v>
      </c>
      <c r="AK101" s="327">
        <f>IF(tblPiNAnalysis5[[#This Row],[Highest Target]]="", "", tblPiNAnalysis5[[#This Row],[Highest Target]]/tblPiNAnalysis5[[#This Row],[Affected population projection 2026]])</f>
        <v>0.92283950617283961</v>
      </c>
      <c r="AL101" s="328" t="str">
        <f>IF(SUM(tblPiNAnalysis5[[#This Row],[CCCM]:[WASH]])=0, "",IF(COUNTIF(tblPiNAnalysis5[[#This Row],[CCCM]:[WASH]],"=0")+COUNTIF(tblPiNAnalysis5[[#This Row],[CCCM]:[WASH]],"")&gt;=zero_pin_thresh, "Flagged", ""))</f>
        <v/>
      </c>
      <c r="AM101" s="329" t="str">
        <f>IFERROR(IF(tblPiNAnalysis5[[#This Row],[Highest Target]]="", "", IF(tblPiNAnalysis5[[#This Row],[Highest sector(s'') Target %]]&gt;=flag_pin_perc, "Flagged", "")), "")</f>
        <v>Flagged</v>
      </c>
      <c r="AN101" s="330" t="str" cm="1">
        <f t="array" ref="AN101">IF(tblPiNAnalysis5[[#This Row],[Highest Target]]=0, "",  IF(OR(COUNTIF(tblPiNAnalysis5[[#This Row],[Highest sector(s)]],tblSubSectorPopulation[Sector])), "Flagged", ""))</f>
        <v/>
      </c>
      <c r="AO101" s="46" cm="1">
        <f t="array" ref="AO10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21721.54972837575</v>
      </c>
      <c r="AP101" s="331" t="str" cm="1">
        <f t="array" ref="AP101">IF(tblPiNAnalysis5[[#This Row],[2nd Highest Target]]="", "", _xlfn.TEXTJOIN(CHAR(10), TRUE, IF(tblPiNAnalysis5[[#This Row],[2nd Highest Target]]=tblPiNAnalysis5[[#This Row],[CCCM]:[WASH]], tblPiNAnalysis5[[#Headers],[CCCM]:[WASH]], "")))</f>
        <v>Health</v>
      </c>
      <c r="AQ101" s="36">
        <f>IFERROR(tblPiNAnalysis5[[#This Row],[2nd Highest Target]]/tblPiNAnalysis5[[#This Row],[Affected population projection 2026]], "")</f>
        <v>0.66299563846075271</v>
      </c>
      <c r="AR101" s="46">
        <f>IFERROR(tblPiNAnalysis5[[#This Row],[Highest Target]]-tblPiNAnalysis5[[#This Row],[2nd Highest Target]], "")</f>
        <v>8513.1955124554042</v>
      </c>
      <c r="AS101" s="39">
        <f>IFERROR(((tblPiNAnalysis5[[#This Row],[Highest Target]]-tblPiNAnalysis5[[#This Row],[2nd Highest Target]])/tblPiNAnalysis5[[#This Row],[2nd Highest Target]]),"")</f>
        <v>0.39192394736616182</v>
      </c>
      <c r="AT101" s="39" t="str" cm="1">
        <f t="array" ref="AT10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01" s="332" cm="1">
        <f t="array" ref="AU10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16839.399520814484</v>
      </c>
      <c r="AV101" s="190" t="str" cm="1">
        <f t="array" ref="AV101">IF(tblPiNAnalysis5[[#This Row],[3rd Highest Target]]="", "", _xlfn.TEXTJOIN(CHAR(10), TRUE, IF(tblPiNAnalysis5[[#This Row],[3rd Highest Target]]=tblPiNAnalysis5[[#This Row],[CCCM]:[WASH]], tblPiNAnalysis5[[#Headers],[CCCM]:[WASH]], "")))</f>
        <v>Food Security</v>
      </c>
      <c r="AW101" s="190">
        <f>IFERROR(tblPiNAnalysis5[[#This Row],[3rd Highest Target]]/tblPiNAnalysis5[[#This Row],[Affected population projection 2026]], "")</f>
        <v>0.51398029036636905</v>
      </c>
      <c r="AX101" s="45">
        <f>IFERROR(tblPiNAnalysis5[[#This Row],[Highest Target]]-tblPiNAnalysis5[[#This Row],[3rd Highest Target]],"")</f>
        <v>13395.34572001667</v>
      </c>
      <c r="AY101" s="39">
        <f>IFERROR(tblPiNAnalysis5[[#This Row],[Difference of Target between Highest and 3rd Highest]]/tblPiNAnalysis5[[#This Row],[3rd Highest Target]], "")</f>
        <v>0.79547644816308549</v>
      </c>
      <c r="AZ101" s="330" t="str" cm="1">
        <f t="array" ref="AZ10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01" s="300" t="str" cm="1">
        <f t="array" ref="BA10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1" s="333" t="str" cm="1">
        <f t="array" ref="BB10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01" s="276" t="str" cm="1">
        <f t="array" ref="BC10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1" s="334" t="str" cm="1">
        <f t="array" ref="BD10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01" s="277" t="e">
        <f>INDEX(tblSeverityAnalysis[Final Severity], MATCH(tblPiNAnalysis5[[#This Row],[ID]],tblSeverityAnalysis[ID], 0))</f>
        <v>#N/A</v>
      </c>
      <c r="BF101" s="61" t="e">
        <f>IF(tblPiNAnalysis5[[#This Row],[Severity]]&gt;2,tblPiNAnalysis5[[#This Row],[Highest Target]],)</f>
        <v>#N/A</v>
      </c>
      <c r="BG101" s="191"/>
      <c r="BH101" s="192"/>
      <c r="BI101" s="193">
        <f>COUNTIFS(tblPiNAnalysis5[[#This Row],[Number of missing / zero PiNs greater than threshold - Data quality]:[Manual Flag]],"Flagged")</f>
        <v>4</v>
      </c>
      <c r="BJ101" s="96" t="str">
        <f>IF(tblPiNAnalysis5[[#This Row],['# Flags]]&gt;0, "Flagged", "")</f>
        <v>Flagged</v>
      </c>
      <c r="BK101" s="326" t="e">
        <f>tblPiNAnalysis5[[#This Row],[Preliminary Target]]</f>
        <v>#N/A</v>
      </c>
      <c r="BL101" s="331"/>
    </row>
    <row r="102" spans="1:64" x14ac:dyDescent="0.55000000000000004">
      <c r="A1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2" s="316" t="s">
        <v>268</v>
      </c>
      <c r="C102" s="317" t="s">
        <v>269</v>
      </c>
      <c r="D102" s="317" t="s">
        <v>278</v>
      </c>
      <c r="E102" s="105" t="s">
        <v>279</v>
      </c>
      <c r="F102" s="100"/>
      <c r="G102" s="34"/>
      <c r="H102" s="34"/>
      <c r="I102" s="97">
        <v>95901.718428606313</v>
      </c>
      <c r="J102" s="97" t="s">
        <v>413</v>
      </c>
      <c r="K102" s="318">
        <v>0</v>
      </c>
      <c r="L102" s="319">
        <v>3238.409227897178</v>
      </c>
      <c r="M102" s="319">
        <v>27224.60497860179</v>
      </c>
      <c r="N102" s="319">
        <v>38799.117265337714</v>
      </c>
      <c r="O102" s="319">
        <v>57411.330673761615</v>
      </c>
      <c r="P102" s="319">
        <v>17364.701498131351</v>
      </c>
      <c r="Q102" s="320">
        <v>2724.0168957912642</v>
      </c>
      <c r="R102" s="319">
        <v>11741.0540051483</v>
      </c>
      <c r="S102" s="319"/>
      <c r="T102" s="319"/>
      <c r="U102" s="319"/>
      <c r="V102" s="319"/>
      <c r="W102" s="321">
        <f>IFERROR(IF(tblPiNAnalysis5[[#This Row],[CCCM]]="", "", MROUND(tblPiNAnalysis5[[#This Row],[CCCM]]/tblPiNAnalysis5[[#This Row],[Affected population projection 2026]], 0.05)), "")</f>
        <v>0</v>
      </c>
      <c r="X102" s="322">
        <f>IFERROR(IF(tblPiNAnalysis5[[#This Row],[Education]]="", "", MROUND(tblPiNAnalysis5[[#This Row],[Education]]/tblPiNAnalysis5[[#This Row],[Affected population projection 2026]], 0.05)), "")</f>
        <v>0.05</v>
      </c>
      <c r="Y102" s="322">
        <f>IFERROR(IF(tblPiNAnalysis5[[#This Row],[Nutrition]]="", "", MROUND(tblPiNAnalysis5[[#This Row],[Nutrition]]/tblPiNAnalysis5[[#This Row],[Affected population projection 2026]], 0.05)), "")</f>
        <v>0.30000000000000004</v>
      </c>
      <c r="Z102" s="322">
        <f>IFERROR(IF(tblPiNAnalysis5[[#This Row],[Food Security]]="", "", MROUND(tblPiNAnalysis5[[#This Row],[Food Security]]/tblPiNAnalysis5[[#This Row],[Affected population projection 2026]], 0.05)), "")</f>
        <v>0.4</v>
      </c>
      <c r="AA102" s="322">
        <f>IFERROR(IF(tblPiNAnalysis5[[#This Row],[Health]]="", "", MROUND(tblPiNAnalysis5[[#This Row],[Health]]/tblPiNAnalysis5[[#This Row],[Affected population projection 2026]], 0.05)), "")</f>
        <v>0.60000000000000009</v>
      </c>
      <c r="AB102" s="323">
        <f>IFERROR(IF(tblPiNAnalysis5[[#This Row],[Overarching Protection]]="", "", MROUND(tblPiNAnalysis5[[#This Row],[Overarching Protection]]/tblPiNAnalysis5[[#This Row],[Affected population projection 2026]], 0.05)), "")</f>
        <v>0.2</v>
      </c>
      <c r="AC102" s="323">
        <f>IFERROR(IF(tblPiNAnalysis5[[#This Row],[Shelter]]="", "", MROUND(tblPiNAnalysis5[[#This Row],[Shelter]]/tblPiNAnalysis5[[#This Row],[Affected population projection 2026]], 0.05)), "")</f>
        <v>0.05</v>
      </c>
      <c r="AD102" s="324">
        <f>IFERROR(IF(tblPiNAnalysis5[[#This Row],[WASH]]="", "", MROUND(tblPiNAnalysis5[[#This Row],[WASH]]/tblPiNAnalysis5[[#This Row],[Affected population projection 2026]], 0.05)), "")</f>
        <v>0.1</v>
      </c>
      <c r="AE102" s="322">
        <f>IFERROR(MROUND(tblPiNAnalysis5[[#This Row],[CP]]/tblPiNAnalysis5[[#This Row],[Affected population projection 2026]], 0.05), "")</f>
        <v>0</v>
      </c>
      <c r="AF102" s="322">
        <f>IFERROR(MROUND(tblPiNAnalysis5[[#This Row],[GBV]]/tblPiNAnalysis5[[#This Row],[Affected population projection 2026]], 0.05), "")</f>
        <v>0</v>
      </c>
      <c r="AG102" s="322">
        <f>IFERROR(MROUND(tblPiNAnalysis5[[#This Row],[Mine Action]]/tblPiNAnalysis5[[#This Row],[Affected population projection 2026]], 0.05), "")</f>
        <v>0</v>
      </c>
      <c r="AH102" s="322">
        <f>IFERROR(MROUND(tblPiNAnalysis5[[#This Row],[HLP]]/tblPiNAnalysis5[[#This Row],[Affected population projection 2026]], 0.05), "")</f>
        <v>0</v>
      </c>
      <c r="AI102" s="325">
        <f>IFERROR(LARGE(tblPiNAnalysis5[[#This Row],[CCCM]:[WASH]], 1), "")</f>
        <v>57411.330673761615</v>
      </c>
      <c r="AJ102" s="326" t="str" cm="1">
        <f t="array" ref="AJ102">IF(tblPiNAnalysis5[[#This Row],[Highest Target]]="", "", _xlfn.TEXTJOIN(CHAR(10), TRUE, IF(tblPiNAnalysis5[[#This Row],[Highest Target]]=tblPiNAnalysis5[[#This Row],[CCCM]:[WASH]], tblPiNAnalysis5[[#Headers],[CCCM]:[WASH]], "")))</f>
        <v>Health</v>
      </c>
      <c r="AK102" s="327">
        <f>IF(tblPiNAnalysis5[[#This Row],[Highest Target]]="", "", tblPiNAnalysis5[[#This Row],[Highest Target]]/tblPiNAnalysis5[[#This Row],[Affected population projection 2026]])</f>
        <v>0.59864756976697209</v>
      </c>
      <c r="AL102" s="328" t="str">
        <f>IF(SUM(tblPiNAnalysis5[[#This Row],[CCCM]:[WASH]])=0, "",IF(COUNTIF(tblPiNAnalysis5[[#This Row],[CCCM]:[WASH]],"=0")+COUNTIF(tblPiNAnalysis5[[#This Row],[CCCM]:[WASH]],"")&gt;=zero_pin_thresh, "Flagged", ""))</f>
        <v/>
      </c>
      <c r="AM102" s="329" t="str">
        <f>IFERROR(IF(tblPiNAnalysis5[[#This Row],[Highest Target]]="", "", IF(tblPiNAnalysis5[[#This Row],[Highest sector(s'') Target %]]&gt;=flag_pin_perc, "Flagged", "")), "")</f>
        <v/>
      </c>
      <c r="AN102" s="330" t="str" cm="1">
        <f t="array" ref="AN102">IF(tblPiNAnalysis5[[#This Row],[Highest Target]]=0, "",  IF(OR(COUNTIF(tblPiNAnalysis5[[#This Row],[Highest sector(s)]],tblSubSectorPopulation[Sector])), "Flagged", ""))</f>
        <v/>
      </c>
      <c r="AO102" s="46" cm="1">
        <f t="array" ref="AO10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38799.117265337714</v>
      </c>
      <c r="AP102" s="331" t="str" cm="1">
        <f t="array" ref="AP102">IF(tblPiNAnalysis5[[#This Row],[2nd Highest Target]]="", "", _xlfn.TEXTJOIN(CHAR(10), TRUE, IF(tblPiNAnalysis5[[#This Row],[2nd Highest Target]]=tblPiNAnalysis5[[#This Row],[CCCM]:[WASH]], tblPiNAnalysis5[[#Headers],[CCCM]:[WASH]], "")))</f>
        <v>Food Security</v>
      </c>
      <c r="AQ102" s="36">
        <f>IFERROR(tblPiNAnalysis5[[#This Row],[2nd Highest Target]]/tblPiNAnalysis5[[#This Row],[Affected population projection 2026]], "")</f>
        <v>0.40457165837149806</v>
      </c>
      <c r="AR102" s="46">
        <f>IFERROR(tblPiNAnalysis5[[#This Row],[Highest Target]]-tblPiNAnalysis5[[#This Row],[2nd Highest Target]], "")</f>
        <v>18612.213408423901</v>
      </c>
      <c r="AS102" s="39">
        <f>IFERROR(((tblPiNAnalysis5[[#This Row],[Highest Target]]-tblPiNAnalysis5[[#This Row],[2nd Highest Target]])/tblPiNAnalysis5[[#This Row],[2nd Highest Target]]),"")</f>
        <v>0.47970713563248119</v>
      </c>
      <c r="AT102" s="39" t="str" cm="1">
        <f t="array" ref="AT10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02" s="332" cm="1">
        <f t="array" ref="AU10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27224.60497860179</v>
      </c>
      <c r="AV102" s="190" t="str" cm="1">
        <f t="array" ref="AV102">IF(tblPiNAnalysis5[[#This Row],[3rd Highest Target]]="", "", _xlfn.TEXTJOIN(CHAR(10), TRUE, IF(tblPiNAnalysis5[[#This Row],[3rd Highest Target]]=tblPiNAnalysis5[[#This Row],[CCCM]:[WASH]], tblPiNAnalysis5[[#Headers],[CCCM]:[WASH]], "")))</f>
        <v>Nutrition</v>
      </c>
      <c r="AW102" s="190">
        <f>IFERROR(tblPiNAnalysis5[[#This Row],[3rd Highest Target]]/tblPiNAnalysis5[[#This Row],[Affected population projection 2026]], "")</f>
        <v>0.2838802622590027</v>
      </c>
      <c r="AX102" s="45">
        <f>IFERROR(tblPiNAnalysis5[[#This Row],[Highest Target]]-tblPiNAnalysis5[[#This Row],[3rd Highest Target]],"")</f>
        <v>30186.725695159825</v>
      </c>
      <c r="AY102" s="39">
        <f>IFERROR(tblPiNAnalysis5[[#This Row],[Difference of Target between Highest and 3rd Highest]]/tblPiNAnalysis5[[#This Row],[3rd Highest Target]], "")</f>
        <v>1.1088030742369348</v>
      </c>
      <c r="AZ102" s="330" t="str" cm="1">
        <f t="array" ref="AZ10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02" s="300" t="str" cm="1">
        <f t="array" ref="BA10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2" s="333" t="str" cm="1">
        <f t="array" ref="BB10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2" s="276" t="str" cm="1">
        <f t="array" ref="BC10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2" s="334" t="str" cm="1">
        <f t="array" ref="BD10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2" s="277" t="e">
        <f>INDEX(tblSeverityAnalysis[Final Severity], MATCH(tblPiNAnalysis5[[#This Row],[ID]],tblSeverityAnalysis[ID], 0))</f>
        <v>#N/A</v>
      </c>
      <c r="BF102" s="61" t="e">
        <f>IF(tblPiNAnalysis5[[#This Row],[Severity]]&gt;2,tblPiNAnalysis5[[#This Row],[Highest Target]],)</f>
        <v>#N/A</v>
      </c>
      <c r="BG102" s="191"/>
      <c r="BH102" s="192"/>
      <c r="BI102" s="193">
        <f>COUNTIFS(tblPiNAnalysis5[[#This Row],[Number of missing / zero PiNs greater than threshold - Data quality]:[Manual Flag]],"Flagged")</f>
        <v>3</v>
      </c>
      <c r="BJ102" s="96" t="str">
        <f>IF(tblPiNAnalysis5[[#This Row],['# Flags]]&gt;0, "Flagged", "")</f>
        <v>Flagged</v>
      </c>
      <c r="BK102" s="326" t="e">
        <f>tblPiNAnalysis5[[#This Row],[Preliminary Target]]</f>
        <v>#N/A</v>
      </c>
      <c r="BL102" s="331"/>
    </row>
    <row r="103" spans="1:64" x14ac:dyDescent="0.55000000000000004">
      <c r="A1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3" s="316" t="s">
        <v>268</v>
      </c>
      <c r="C103" s="317" t="s">
        <v>269</v>
      </c>
      <c r="D103" s="317" t="s">
        <v>280</v>
      </c>
      <c r="E103" s="105" t="s">
        <v>281</v>
      </c>
      <c r="F103" s="100"/>
      <c r="G103" s="34"/>
      <c r="H103" s="34"/>
      <c r="I103" s="97">
        <v>57313.644275077953</v>
      </c>
      <c r="J103" s="97" t="s">
        <v>413</v>
      </c>
      <c r="K103" s="318">
        <v>0</v>
      </c>
      <c r="L103" s="319">
        <v>5255.9362855171694</v>
      </c>
      <c r="M103" s="319">
        <v>13972.628139294504</v>
      </c>
      <c r="N103" s="319">
        <v>30578.531678809632</v>
      </c>
      <c r="O103" s="319">
        <v>33596.005628936007</v>
      </c>
      <c r="P103" s="319">
        <v>11222.363744748494</v>
      </c>
      <c r="Q103" s="320">
        <v>925.8357921358745</v>
      </c>
      <c r="R103" s="319">
        <v>33204.471123871677</v>
      </c>
      <c r="S103" s="319"/>
      <c r="T103" s="319"/>
      <c r="U103" s="319"/>
      <c r="V103" s="319"/>
      <c r="W103" s="321">
        <f>IFERROR(IF(tblPiNAnalysis5[[#This Row],[CCCM]]="", "", MROUND(tblPiNAnalysis5[[#This Row],[CCCM]]/tblPiNAnalysis5[[#This Row],[Affected population projection 2026]], 0.05)), "")</f>
        <v>0</v>
      </c>
      <c r="X103" s="322">
        <f>IFERROR(IF(tblPiNAnalysis5[[#This Row],[Education]]="", "", MROUND(tblPiNAnalysis5[[#This Row],[Education]]/tblPiNAnalysis5[[#This Row],[Affected population projection 2026]], 0.05)), "")</f>
        <v>0.1</v>
      </c>
      <c r="Y103" s="322">
        <f>IFERROR(IF(tblPiNAnalysis5[[#This Row],[Nutrition]]="", "", MROUND(tblPiNAnalysis5[[#This Row],[Nutrition]]/tblPiNAnalysis5[[#This Row],[Affected population projection 2026]], 0.05)), "")</f>
        <v>0.25</v>
      </c>
      <c r="Z103" s="322">
        <f>IFERROR(IF(tblPiNAnalysis5[[#This Row],[Food Security]]="", "", MROUND(tblPiNAnalysis5[[#This Row],[Food Security]]/tblPiNAnalysis5[[#This Row],[Affected population projection 2026]], 0.05)), "")</f>
        <v>0.55000000000000004</v>
      </c>
      <c r="AA103" s="322">
        <f>IFERROR(IF(tblPiNAnalysis5[[#This Row],[Health]]="", "", MROUND(tblPiNAnalysis5[[#This Row],[Health]]/tblPiNAnalysis5[[#This Row],[Affected population projection 2026]], 0.05)), "")</f>
        <v>0.60000000000000009</v>
      </c>
      <c r="AB103" s="323">
        <f>IFERROR(IF(tblPiNAnalysis5[[#This Row],[Overarching Protection]]="", "", MROUND(tblPiNAnalysis5[[#This Row],[Overarching Protection]]/tblPiNAnalysis5[[#This Row],[Affected population projection 2026]], 0.05)), "")</f>
        <v>0.2</v>
      </c>
      <c r="AC103" s="323">
        <f>IFERROR(IF(tblPiNAnalysis5[[#This Row],[Shelter]]="", "", MROUND(tblPiNAnalysis5[[#This Row],[Shelter]]/tblPiNAnalysis5[[#This Row],[Affected population projection 2026]], 0.05)), "")</f>
        <v>0</v>
      </c>
      <c r="AD103" s="324">
        <f>IFERROR(IF(tblPiNAnalysis5[[#This Row],[WASH]]="", "", MROUND(tblPiNAnalysis5[[#This Row],[WASH]]/tblPiNAnalysis5[[#This Row],[Affected population projection 2026]], 0.05)), "")</f>
        <v>0.60000000000000009</v>
      </c>
      <c r="AE103" s="322">
        <f>IFERROR(MROUND(tblPiNAnalysis5[[#This Row],[CP]]/tblPiNAnalysis5[[#This Row],[Affected population projection 2026]], 0.05), "")</f>
        <v>0</v>
      </c>
      <c r="AF103" s="322">
        <f>IFERROR(MROUND(tblPiNAnalysis5[[#This Row],[GBV]]/tblPiNAnalysis5[[#This Row],[Affected population projection 2026]], 0.05), "")</f>
        <v>0</v>
      </c>
      <c r="AG103" s="322">
        <f>IFERROR(MROUND(tblPiNAnalysis5[[#This Row],[Mine Action]]/tblPiNAnalysis5[[#This Row],[Affected population projection 2026]], 0.05), "")</f>
        <v>0</v>
      </c>
      <c r="AH103" s="322">
        <f>IFERROR(MROUND(tblPiNAnalysis5[[#This Row],[HLP]]/tblPiNAnalysis5[[#This Row],[Affected population projection 2026]], 0.05), "")</f>
        <v>0</v>
      </c>
      <c r="AI103" s="325">
        <f>IFERROR(LARGE(tblPiNAnalysis5[[#This Row],[CCCM]:[WASH]], 1), "")</f>
        <v>33596.005628936007</v>
      </c>
      <c r="AJ103" s="326" t="str" cm="1">
        <f t="array" ref="AJ103">IF(tblPiNAnalysis5[[#This Row],[Highest Target]]="", "", _xlfn.TEXTJOIN(CHAR(10), TRUE, IF(tblPiNAnalysis5[[#This Row],[Highest Target]]=tblPiNAnalysis5[[#This Row],[CCCM]:[WASH]], tblPiNAnalysis5[[#Headers],[CCCM]:[WASH]], "")))</f>
        <v>Health</v>
      </c>
      <c r="AK103" s="327">
        <f>IF(tblPiNAnalysis5[[#This Row],[Highest Target]]="", "", tblPiNAnalysis5[[#This Row],[Highest Target]]/tblPiNAnalysis5[[#This Row],[Affected population projection 2026]])</f>
        <v>0.58617814403305646</v>
      </c>
      <c r="AL103" s="328" t="str">
        <f>IF(SUM(tblPiNAnalysis5[[#This Row],[CCCM]:[WASH]])=0, "",IF(COUNTIF(tblPiNAnalysis5[[#This Row],[CCCM]:[WASH]],"=0")+COUNTIF(tblPiNAnalysis5[[#This Row],[CCCM]:[WASH]],"")&gt;=zero_pin_thresh, "Flagged", ""))</f>
        <v/>
      </c>
      <c r="AM103" s="329" t="str">
        <f>IFERROR(IF(tblPiNAnalysis5[[#This Row],[Highest Target]]="", "", IF(tblPiNAnalysis5[[#This Row],[Highest sector(s'') Target %]]&gt;=flag_pin_perc, "Flagged", "")), "")</f>
        <v/>
      </c>
      <c r="AN103" s="330" t="str" cm="1">
        <f t="array" ref="AN103">IF(tblPiNAnalysis5[[#This Row],[Highest Target]]=0, "",  IF(OR(COUNTIF(tblPiNAnalysis5[[#This Row],[Highest sector(s)]],tblSubSectorPopulation[Sector])), "Flagged", ""))</f>
        <v/>
      </c>
      <c r="AO103" s="46" cm="1">
        <f t="array" ref="AO10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33204.471123871677</v>
      </c>
      <c r="AP103" s="331" t="str" cm="1">
        <f t="array" ref="AP103">IF(tblPiNAnalysis5[[#This Row],[2nd Highest Target]]="", "", _xlfn.TEXTJOIN(CHAR(10), TRUE, IF(tblPiNAnalysis5[[#This Row],[2nd Highest Target]]=tblPiNAnalysis5[[#This Row],[CCCM]:[WASH]], tblPiNAnalysis5[[#Headers],[CCCM]:[WASH]], "")))</f>
        <v>WASH</v>
      </c>
      <c r="AQ103" s="36">
        <f>IFERROR(tblPiNAnalysis5[[#This Row],[2nd Highest Target]]/tblPiNAnalysis5[[#This Row],[Affected population projection 2026]], "")</f>
        <v>0.57934670781893005</v>
      </c>
      <c r="AR103" s="46">
        <f>IFERROR(tblPiNAnalysis5[[#This Row],[Highest Target]]-tblPiNAnalysis5[[#This Row],[2nd Highest Target]], "")</f>
        <v>391.53450506433001</v>
      </c>
      <c r="AS103" s="39">
        <f>IFERROR(((tblPiNAnalysis5[[#This Row],[Highest Target]]-tblPiNAnalysis5[[#This Row],[2nd Highest Target]])/tblPiNAnalysis5[[#This Row],[2nd Highest Target]]),"")</f>
        <v>1.1791619978034953E-2</v>
      </c>
      <c r="AT103" s="39" t="str" cm="1">
        <f t="array" ref="AT10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3" s="332" cm="1">
        <f t="array" ref="AU10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30578.531678809632</v>
      </c>
      <c r="AV103" s="190" t="str" cm="1">
        <f t="array" ref="AV103">IF(tblPiNAnalysis5[[#This Row],[3rd Highest Target]]="", "", _xlfn.TEXTJOIN(CHAR(10), TRUE, IF(tblPiNAnalysis5[[#This Row],[3rd Highest Target]]=tblPiNAnalysis5[[#This Row],[CCCM]:[WASH]], tblPiNAnalysis5[[#Headers],[CCCM]:[WASH]], "")))</f>
        <v>Food Security</v>
      </c>
      <c r="AW103" s="190">
        <f>IFERROR(tblPiNAnalysis5[[#This Row],[3rd Highest Target]]/tblPiNAnalysis5[[#This Row],[Affected population projection 2026]], "")</f>
        <v>0.53352970423669754</v>
      </c>
      <c r="AX103" s="45">
        <f>IFERROR(tblPiNAnalysis5[[#This Row],[Highest Target]]-tblPiNAnalysis5[[#This Row],[3rd Highest Target]],"")</f>
        <v>3017.4739501263757</v>
      </c>
      <c r="AY103" s="39">
        <f>IFERROR(tblPiNAnalysis5[[#This Row],[Difference of Target between Highest and 3rd Highest]]/tblPiNAnalysis5[[#This Row],[3rd Highest Target]], "")</f>
        <v>9.8679491279086845E-2</v>
      </c>
      <c r="AZ103" s="330" t="str" cm="1">
        <f t="array" ref="AZ10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3" s="300" t="str" cm="1">
        <f t="array" ref="BA10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3" s="333" t="str" cm="1">
        <f t="array" ref="BB10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3" s="276" t="str" cm="1">
        <f t="array" ref="BC10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3" s="334" t="str" cm="1">
        <f t="array" ref="BD10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3" s="277" t="e">
        <f>INDEX(tblSeverityAnalysis[Final Severity], MATCH(tblPiNAnalysis5[[#This Row],[ID]],tblSeverityAnalysis[ID], 0))</f>
        <v>#N/A</v>
      </c>
      <c r="BF103" s="61" t="e">
        <f>IF(tblPiNAnalysis5[[#This Row],[Severity]]&gt;2,tblPiNAnalysis5[[#This Row],[Highest Target]],)</f>
        <v>#N/A</v>
      </c>
      <c r="BG103" s="191"/>
      <c r="BH103" s="192"/>
      <c r="BI103" s="193">
        <f>COUNTIFS(tblPiNAnalysis5[[#This Row],[Number of missing / zero PiNs greater than threshold - Data quality]:[Manual Flag]],"Flagged")</f>
        <v>1</v>
      </c>
      <c r="BJ103" s="96" t="str">
        <f>IF(tblPiNAnalysis5[[#This Row],['# Flags]]&gt;0, "Flagged", "")</f>
        <v>Flagged</v>
      </c>
      <c r="BK103" s="326" t="e">
        <f>tblPiNAnalysis5[[#This Row],[Preliminary Target]]</f>
        <v>#N/A</v>
      </c>
      <c r="BL103" s="331"/>
    </row>
    <row r="104" spans="1:64" x14ac:dyDescent="0.55000000000000004">
      <c r="A1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4" s="316" t="s">
        <v>268</v>
      </c>
      <c r="C104" s="317" t="s">
        <v>269</v>
      </c>
      <c r="D104" s="317" t="s">
        <v>282</v>
      </c>
      <c r="E104" s="105" t="s">
        <v>283</v>
      </c>
      <c r="F104" s="100"/>
      <c r="G104" s="34"/>
      <c r="H104" s="34"/>
      <c r="I104" s="97">
        <v>65001.764922770279</v>
      </c>
      <c r="J104" s="97" t="s">
        <v>413</v>
      </c>
      <c r="K104" s="318">
        <v>0</v>
      </c>
      <c r="L104" s="319">
        <v>4518.6704905830802</v>
      </c>
      <c r="M104" s="319">
        <v>20418.80632528372</v>
      </c>
      <c r="N104" s="319">
        <v>28777.60413193081</v>
      </c>
      <c r="O104" s="319">
        <v>41243.786952148606</v>
      </c>
      <c r="P104" s="319">
        <v>9554.431076373643</v>
      </c>
      <c r="Q104" s="320">
        <v>1436.8811193454485</v>
      </c>
      <c r="R104" s="319">
        <v>24331.079016873722</v>
      </c>
      <c r="S104" s="319"/>
      <c r="T104" s="319"/>
      <c r="U104" s="319"/>
      <c r="V104" s="319"/>
      <c r="W104" s="321">
        <f>IFERROR(IF(tblPiNAnalysis5[[#This Row],[CCCM]]="", "", MROUND(tblPiNAnalysis5[[#This Row],[CCCM]]/tblPiNAnalysis5[[#This Row],[Affected population projection 2026]], 0.05)), "")</f>
        <v>0</v>
      </c>
      <c r="X104" s="322">
        <f>IFERROR(IF(tblPiNAnalysis5[[#This Row],[Education]]="", "", MROUND(tblPiNAnalysis5[[#This Row],[Education]]/tblPiNAnalysis5[[#This Row],[Affected population projection 2026]], 0.05)), "")</f>
        <v>0.05</v>
      </c>
      <c r="Y104" s="322">
        <f>IFERROR(IF(tblPiNAnalysis5[[#This Row],[Nutrition]]="", "", MROUND(tblPiNAnalysis5[[#This Row],[Nutrition]]/tblPiNAnalysis5[[#This Row],[Affected population projection 2026]], 0.05)), "")</f>
        <v>0.30000000000000004</v>
      </c>
      <c r="Z104" s="322">
        <f>IFERROR(IF(tblPiNAnalysis5[[#This Row],[Food Security]]="", "", MROUND(tblPiNAnalysis5[[#This Row],[Food Security]]/tblPiNAnalysis5[[#This Row],[Affected population projection 2026]], 0.05)), "")</f>
        <v>0.45</v>
      </c>
      <c r="AA104" s="322">
        <f>IFERROR(IF(tblPiNAnalysis5[[#This Row],[Health]]="", "", MROUND(tblPiNAnalysis5[[#This Row],[Health]]/tblPiNAnalysis5[[#This Row],[Affected population projection 2026]], 0.05)), "")</f>
        <v>0.65</v>
      </c>
      <c r="AB104" s="323">
        <f>IFERROR(IF(tblPiNAnalysis5[[#This Row],[Overarching Protection]]="", "", MROUND(tblPiNAnalysis5[[#This Row],[Overarching Protection]]/tblPiNAnalysis5[[#This Row],[Affected population projection 2026]], 0.05)), "")</f>
        <v>0.15000000000000002</v>
      </c>
      <c r="AC104" s="323">
        <f>IFERROR(IF(tblPiNAnalysis5[[#This Row],[Shelter]]="", "", MROUND(tblPiNAnalysis5[[#This Row],[Shelter]]/tblPiNAnalysis5[[#This Row],[Affected population projection 2026]], 0.05)), "")</f>
        <v>0</v>
      </c>
      <c r="AD104" s="324">
        <f>IFERROR(IF(tblPiNAnalysis5[[#This Row],[WASH]]="", "", MROUND(tblPiNAnalysis5[[#This Row],[WASH]]/tblPiNAnalysis5[[#This Row],[Affected population projection 2026]], 0.05)), "")</f>
        <v>0.35000000000000003</v>
      </c>
      <c r="AE104" s="322">
        <f>IFERROR(MROUND(tblPiNAnalysis5[[#This Row],[CP]]/tblPiNAnalysis5[[#This Row],[Affected population projection 2026]], 0.05), "")</f>
        <v>0</v>
      </c>
      <c r="AF104" s="322">
        <f>IFERROR(MROUND(tblPiNAnalysis5[[#This Row],[GBV]]/tblPiNAnalysis5[[#This Row],[Affected population projection 2026]], 0.05), "")</f>
        <v>0</v>
      </c>
      <c r="AG104" s="322">
        <f>IFERROR(MROUND(tblPiNAnalysis5[[#This Row],[Mine Action]]/tblPiNAnalysis5[[#This Row],[Affected population projection 2026]], 0.05), "")</f>
        <v>0</v>
      </c>
      <c r="AH104" s="322">
        <f>IFERROR(MROUND(tblPiNAnalysis5[[#This Row],[HLP]]/tblPiNAnalysis5[[#This Row],[Affected population projection 2026]], 0.05), "")</f>
        <v>0</v>
      </c>
      <c r="AI104" s="325">
        <f>IFERROR(LARGE(tblPiNAnalysis5[[#This Row],[CCCM]:[WASH]], 1), "")</f>
        <v>41243.786952148606</v>
      </c>
      <c r="AJ104" s="326" t="str" cm="1">
        <f t="array" ref="AJ104">IF(tblPiNAnalysis5[[#This Row],[Highest Target]]="", "", _xlfn.TEXTJOIN(CHAR(10), TRUE, IF(tblPiNAnalysis5[[#This Row],[Highest Target]]=tblPiNAnalysis5[[#This Row],[CCCM]:[WASH]], tblPiNAnalysis5[[#Headers],[CCCM]:[WASH]], "")))</f>
        <v>Health</v>
      </c>
      <c r="AK104" s="327">
        <f>IF(tblPiNAnalysis5[[#This Row],[Highest Target]]="", "", tblPiNAnalysis5[[#This Row],[Highest Target]]/tblPiNAnalysis5[[#This Row],[Affected population projection 2026]])</f>
        <v>0.63450257083251604</v>
      </c>
      <c r="AL104" s="328" t="str">
        <f>IF(SUM(tblPiNAnalysis5[[#This Row],[CCCM]:[WASH]])=0, "",IF(COUNTIF(tblPiNAnalysis5[[#This Row],[CCCM]:[WASH]],"=0")+COUNTIF(tblPiNAnalysis5[[#This Row],[CCCM]:[WASH]],"")&gt;=zero_pin_thresh, "Flagged", ""))</f>
        <v/>
      </c>
      <c r="AM104" s="329" t="str">
        <f>IFERROR(IF(tblPiNAnalysis5[[#This Row],[Highest Target]]="", "", IF(tblPiNAnalysis5[[#This Row],[Highest sector(s'') Target %]]&gt;=flag_pin_perc, "Flagged", "")), "")</f>
        <v/>
      </c>
      <c r="AN104" s="330" t="str" cm="1">
        <f t="array" ref="AN104">IF(tblPiNAnalysis5[[#This Row],[Highest Target]]=0, "",  IF(OR(COUNTIF(tblPiNAnalysis5[[#This Row],[Highest sector(s)]],tblSubSectorPopulation[Sector])), "Flagged", ""))</f>
        <v/>
      </c>
      <c r="AO104" s="46" cm="1">
        <f t="array" ref="AO10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28777.60413193081</v>
      </c>
      <c r="AP104" s="331" t="str" cm="1">
        <f t="array" ref="AP104">IF(tblPiNAnalysis5[[#This Row],[2nd Highest Target]]="", "", _xlfn.TEXTJOIN(CHAR(10), TRUE, IF(tblPiNAnalysis5[[#This Row],[2nd Highest Target]]=tblPiNAnalysis5[[#This Row],[CCCM]:[WASH]], tblPiNAnalysis5[[#Headers],[CCCM]:[WASH]], "")))</f>
        <v>Food Security</v>
      </c>
      <c r="AQ104" s="36">
        <f>IFERROR(tblPiNAnalysis5[[#This Row],[2nd Highest Target]]/tblPiNAnalysis5[[#This Row],[Affected population projection 2026]], "")</f>
        <v>0.44272035022621276</v>
      </c>
      <c r="AR104" s="46">
        <f>IFERROR(tblPiNAnalysis5[[#This Row],[Highest Target]]-tblPiNAnalysis5[[#This Row],[2nd Highest Target]], "")</f>
        <v>12466.182820217797</v>
      </c>
      <c r="AS104" s="39">
        <f>IFERROR(((tblPiNAnalysis5[[#This Row],[Highest Target]]-tblPiNAnalysis5[[#This Row],[2nd Highest Target]])/tblPiNAnalysis5[[#This Row],[2nd Highest Target]]),"")</f>
        <v>0.43319043388972311</v>
      </c>
      <c r="AT104" s="39" t="str" cm="1">
        <f t="array" ref="AT10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04" s="332" cm="1">
        <f t="array" ref="AU10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24331.079016873722</v>
      </c>
      <c r="AV104" s="190" t="str" cm="1">
        <f t="array" ref="AV104">IF(tblPiNAnalysis5[[#This Row],[3rd Highest Target]]="", "", _xlfn.TEXTJOIN(CHAR(10), TRUE, IF(tblPiNAnalysis5[[#This Row],[3rd Highest Target]]=tblPiNAnalysis5[[#This Row],[CCCM]:[WASH]], tblPiNAnalysis5[[#Headers],[CCCM]:[WASH]], "")))</f>
        <v>WASH</v>
      </c>
      <c r="AW104" s="190">
        <f>IFERROR(tblPiNAnalysis5[[#This Row],[3rd Highest Target]]/tblPiNAnalysis5[[#This Row],[Affected population projection 2026]], "")</f>
        <v>0.37431412894375865</v>
      </c>
      <c r="AX104" s="45">
        <f>IFERROR(tblPiNAnalysis5[[#This Row],[Highest Target]]-tblPiNAnalysis5[[#This Row],[3rd Highest Target]],"")</f>
        <v>16912.707935274884</v>
      </c>
      <c r="AY104" s="39">
        <f>IFERROR(tblPiNAnalysis5[[#This Row],[Difference of Target between Highest and 3rd Highest]]/tblPiNAnalysis5[[#This Row],[3rd Highest Target]], "")</f>
        <v>0.69510718877472877</v>
      </c>
      <c r="AZ104" s="330" t="str" cm="1">
        <f t="array" ref="AZ10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04" s="300" t="str" cm="1">
        <f t="array" ref="BA10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4" s="333" t="str" cm="1">
        <f t="array" ref="BB10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4" s="276" t="str" cm="1">
        <f t="array" ref="BC10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4" s="334" t="str" cm="1">
        <f t="array" ref="BD10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4" s="277" t="e">
        <f>INDEX(tblSeverityAnalysis[Final Severity], MATCH(tblPiNAnalysis5[[#This Row],[ID]],tblSeverityAnalysis[ID], 0))</f>
        <v>#N/A</v>
      </c>
      <c r="BF104" s="61" t="e">
        <f>IF(tblPiNAnalysis5[[#This Row],[Severity]]&gt;2,tblPiNAnalysis5[[#This Row],[Highest Target]],)</f>
        <v>#N/A</v>
      </c>
      <c r="BG104" s="191"/>
      <c r="BH104" s="192"/>
      <c r="BI104" s="193">
        <f>COUNTIFS(tblPiNAnalysis5[[#This Row],[Number of missing / zero PiNs greater than threshold - Data quality]:[Manual Flag]],"Flagged")</f>
        <v>3</v>
      </c>
      <c r="BJ104" s="96" t="str">
        <f>IF(tblPiNAnalysis5[[#This Row],['# Flags]]&gt;0, "Flagged", "")</f>
        <v>Flagged</v>
      </c>
      <c r="BK104" s="326" t="e">
        <f>tblPiNAnalysis5[[#This Row],[Preliminary Target]]</f>
        <v>#N/A</v>
      </c>
      <c r="BL104" s="331"/>
    </row>
    <row r="105" spans="1:64" x14ac:dyDescent="0.55000000000000004">
      <c r="A1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5" s="316" t="s">
        <v>268</v>
      </c>
      <c r="C105" s="317" t="s">
        <v>269</v>
      </c>
      <c r="D105" s="317" t="s">
        <v>284</v>
      </c>
      <c r="E105" s="105" t="s">
        <v>285</v>
      </c>
      <c r="F105" s="100"/>
      <c r="G105" s="34"/>
      <c r="H105" s="34"/>
      <c r="I105" s="97">
        <v>146214.98577625639</v>
      </c>
      <c r="J105" s="97" t="s">
        <v>413</v>
      </c>
      <c r="K105" s="318">
        <v>0</v>
      </c>
      <c r="L105" s="319">
        <v>12569.546710238808</v>
      </c>
      <c r="M105" s="319">
        <v>53365.626885617348</v>
      </c>
      <c r="N105" s="319">
        <v>71165.043792546785</v>
      </c>
      <c r="O105" s="319">
        <v>80152.72350238348</v>
      </c>
      <c r="P105" s="319">
        <v>24496.293717078726</v>
      </c>
      <c r="Q105" s="320">
        <v>2319.2721881751013</v>
      </c>
      <c r="R105" s="319">
        <v>95972.387783180646</v>
      </c>
      <c r="S105" s="319"/>
      <c r="T105" s="319"/>
      <c r="U105" s="319"/>
      <c r="V105" s="319"/>
      <c r="W105" s="321">
        <f>IFERROR(IF(tblPiNAnalysis5[[#This Row],[CCCM]]="", "", MROUND(tblPiNAnalysis5[[#This Row],[CCCM]]/tblPiNAnalysis5[[#This Row],[Affected population projection 2026]], 0.05)), "")</f>
        <v>0</v>
      </c>
      <c r="X105" s="322">
        <f>IFERROR(IF(tblPiNAnalysis5[[#This Row],[Education]]="", "", MROUND(tblPiNAnalysis5[[#This Row],[Education]]/tblPiNAnalysis5[[#This Row],[Affected population projection 2026]], 0.05)), "")</f>
        <v>0.1</v>
      </c>
      <c r="Y105" s="322">
        <f>IFERROR(IF(tblPiNAnalysis5[[#This Row],[Nutrition]]="", "", MROUND(tblPiNAnalysis5[[#This Row],[Nutrition]]/tblPiNAnalysis5[[#This Row],[Affected population projection 2026]], 0.05)), "")</f>
        <v>0.35000000000000003</v>
      </c>
      <c r="Z105" s="322">
        <f>IFERROR(IF(tblPiNAnalysis5[[#This Row],[Food Security]]="", "", MROUND(tblPiNAnalysis5[[#This Row],[Food Security]]/tblPiNAnalysis5[[#This Row],[Affected population projection 2026]], 0.05)), "")</f>
        <v>0.5</v>
      </c>
      <c r="AA105" s="322">
        <f>IFERROR(IF(tblPiNAnalysis5[[#This Row],[Health]]="", "", MROUND(tblPiNAnalysis5[[#This Row],[Health]]/tblPiNAnalysis5[[#This Row],[Affected population projection 2026]], 0.05)), "")</f>
        <v>0.55000000000000004</v>
      </c>
      <c r="AB105" s="323">
        <f>IFERROR(IF(tblPiNAnalysis5[[#This Row],[Overarching Protection]]="", "", MROUND(tblPiNAnalysis5[[#This Row],[Overarching Protection]]/tblPiNAnalysis5[[#This Row],[Affected population projection 2026]], 0.05)), "")</f>
        <v>0.15000000000000002</v>
      </c>
      <c r="AC105" s="323">
        <f>IFERROR(IF(tblPiNAnalysis5[[#This Row],[Shelter]]="", "", MROUND(tblPiNAnalysis5[[#This Row],[Shelter]]/tblPiNAnalysis5[[#This Row],[Affected population projection 2026]], 0.05)), "")</f>
        <v>0</v>
      </c>
      <c r="AD105" s="324">
        <f>IFERROR(IF(tblPiNAnalysis5[[#This Row],[WASH]]="", "", MROUND(tblPiNAnalysis5[[#This Row],[WASH]]/tblPiNAnalysis5[[#This Row],[Affected population projection 2026]], 0.05)), "")</f>
        <v>0.65</v>
      </c>
      <c r="AE105" s="322">
        <f>IFERROR(MROUND(tblPiNAnalysis5[[#This Row],[CP]]/tblPiNAnalysis5[[#This Row],[Affected population projection 2026]], 0.05), "")</f>
        <v>0</v>
      </c>
      <c r="AF105" s="322">
        <f>IFERROR(MROUND(tblPiNAnalysis5[[#This Row],[GBV]]/tblPiNAnalysis5[[#This Row],[Affected population projection 2026]], 0.05), "")</f>
        <v>0</v>
      </c>
      <c r="AG105" s="322">
        <f>IFERROR(MROUND(tblPiNAnalysis5[[#This Row],[Mine Action]]/tblPiNAnalysis5[[#This Row],[Affected population projection 2026]], 0.05), "")</f>
        <v>0</v>
      </c>
      <c r="AH105" s="322">
        <f>IFERROR(MROUND(tblPiNAnalysis5[[#This Row],[HLP]]/tblPiNAnalysis5[[#This Row],[Affected population projection 2026]], 0.05), "")</f>
        <v>0</v>
      </c>
      <c r="AI105" s="325">
        <f>IFERROR(LARGE(tblPiNAnalysis5[[#This Row],[CCCM]:[WASH]], 1), "")</f>
        <v>95972.387783180646</v>
      </c>
      <c r="AJ105" s="326" t="str" cm="1">
        <f t="array" ref="AJ105">IF(tblPiNAnalysis5[[#This Row],[Highest Target]]="", "", _xlfn.TEXTJOIN(CHAR(10), TRUE, IF(tblPiNAnalysis5[[#This Row],[Highest Target]]=tblPiNAnalysis5[[#This Row],[CCCM]:[WASH]], tblPiNAnalysis5[[#Headers],[CCCM]:[WASH]], "")))</f>
        <v>WASH</v>
      </c>
      <c r="AK105" s="327">
        <f>IF(tblPiNAnalysis5[[#This Row],[Highest Target]]="", "", tblPiNAnalysis5[[#This Row],[Highest Target]]/tblPiNAnalysis5[[#This Row],[Affected population projection 2026]])</f>
        <v>0.65637860082304533</v>
      </c>
      <c r="AL105" s="328" t="str">
        <f>IF(SUM(tblPiNAnalysis5[[#This Row],[CCCM]:[WASH]])=0, "",IF(COUNTIF(tblPiNAnalysis5[[#This Row],[CCCM]:[WASH]],"=0")+COUNTIF(tblPiNAnalysis5[[#This Row],[CCCM]:[WASH]],"")&gt;=zero_pin_thresh, "Flagged", ""))</f>
        <v/>
      </c>
      <c r="AM105" s="329" t="str">
        <f>IFERROR(IF(tblPiNAnalysis5[[#This Row],[Highest Target]]="", "", IF(tblPiNAnalysis5[[#This Row],[Highest sector(s'') Target %]]&gt;=flag_pin_perc, "Flagged", "")), "")</f>
        <v/>
      </c>
      <c r="AN105" s="330" t="str" cm="1">
        <f t="array" ref="AN105">IF(tblPiNAnalysis5[[#This Row],[Highest Target]]=0, "",  IF(OR(COUNTIF(tblPiNAnalysis5[[#This Row],[Highest sector(s)]],tblSubSectorPopulation[Sector])), "Flagged", ""))</f>
        <v/>
      </c>
      <c r="AO105" s="46" cm="1">
        <f t="array" ref="AO10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80152.72350238348</v>
      </c>
      <c r="AP105" s="331" t="str" cm="1">
        <f t="array" ref="AP105">IF(tblPiNAnalysis5[[#This Row],[2nd Highest Target]]="", "", _xlfn.TEXTJOIN(CHAR(10), TRUE, IF(tblPiNAnalysis5[[#This Row],[2nd Highest Target]]=tblPiNAnalysis5[[#This Row],[CCCM]:[WASH]], tblPiNAnalysis5[[#Headers],[CCCM]:[WASH]], "")))</f>
        <v>Health</v>
      </c>
      <c r="AQ105" s="36">
        <f>IFERROR(tblPiNAnalysis5[[#This Row],[2nd Highest Target]]/tblPiNAnalysis5[[#This Row],[Affected population projection 2026]], "")</f>
        <v>0.5481840529330978</v>
      </c>
      <c r="AR105" s="46">
        <f>IFERROR(tblPiNAnalysis5[[#This Row],[Highest Target]]-tblPiNAnalysis5[[#This Row],[2nd Highest Target]], "")</f>
        <v>15819.664280797166</v>
      </c>
      <c r="AS105" s="39">
        <f>IFERROR(((tblPiNAnalysis5[[#This Row],[Highest Target]]-tblPiNAnalysis5[[#This Row],[2nd Highest Target]])/tblPiNAnalysis5[[#This Row],[2nd Highest Target]]),"")</f>
        <v>0.19736901741494461</v>
      </c>
      <c r="AT105" s="39" t="str" cm="1">
        <f t="array" ref="AT10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5" s="332" cm="1">
        <f t="array" ref="AU10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71165.043792546785</v>
      </c>
      <c r="AV105" s="190" t="str" cm="1">
        <f t="array" ref="AV105">IF(tblPiNAnalysis5[[#This Row],[3rd Highest Target]]="", "", _xlfn.TEXTJOIN(CHAR(10), TRUE, IF(tblPiNAnalysis5[[#This Row],[3rd Highest Target]]=tblPiNAnalysis5[[#This Row],[CCCM]:[WASH]], tblPiNAnalysis5[[#Headers],[CCCM]:[WASH]], "")))</f>
        <v>Food Security</v>
      </c>
      <c r="AW105" s="190">
        <f>IFERROR(tblPiNAnalysis5[[#This Row],[3rd Highest Target]]/tblPiNAnalysis5[[#This Row],[Affected population projection 2026]], "")</f>
        <v>0.48671511620187946</v>
      </c>
      <c r="AX105" s="45">
        <f>IFERROR(tblPiNAnalysis5[[#This Row],[Highest Target]]-tblPiNAnalysis5[[#This Row],[3rd Highest Target]],"")</f>
        <v>24807.343990633861</v>
      </c>
      <c r="AY105" s="39">
        <f>IFERROR(tblPiNAnalysis5[[#This Row],[Difference of Target between Highest and 3rd Highest]]/tblPiNAnalysis5[[#This Row],[3rd Highest Target]], "")</f>
        <v>0.3485888951737281</v>
      </c>
      <c r="AZ105" s="330" t="str" cm="1">
        <f t="array" ref="AZ10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5" s="300" t="str" cm="1">
        <f t="array" ref="BA10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5" s="333" t="str" cm="1">
        <f t="array" ref="BB10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05" s="276" t="str" cm="1">
        <f t="array" ref="BC10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5" s="334" t="str" cm="1">
        <f t="array" ref="BD10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05" s="277" t="e">
        <f>INDEX(tblSeverityAnalysis[Final Severity], MATCH(tblPiNAnalysis5[[#This Row],[ID]],tblSeverityAnalysis[ID], 0))</f>
        <v>#N/A</v>
      </c>
      <c r="BF105" s="61" t="e">
        <f>IF(tblPiNAnalysis5[[#This Row],[Severity]]&gt;2,tblPiNAnalysis5[[#This Row],[Highest Target]],)</f>
        <v>#N/A</v>
      </c>
      <c r="BG105" s="191"/>
      <c r="BH105" s="192"/>
      <c r="BI105" s="193">
        <f>COUNTIFS(tblPiNAnalysis5[[#This Row],[Number of missing / zero PiNs greater than threshold - Data quality]:[Manual Flag]],"Flagged")</f>
        <v>1</v>
      </c>
      <c r="BJ105" s="96" t="str">
        <f>IF(tblPiNAnalysis5[[#This Row],['# Flags]]&gt;0, "Flagged", "")</f>
        <v>Flagged</v>
      </c>
      <c r="BK105" s="326" t="e">
        <f>tblPiNAnalysis5[[#This Row],[Preliminary Target]]</f>
        <v>#N/A</v>
      </c>
      <c r="BL105" s="331"/>
    </row>
    <row r="106" spans="1:64" x14ac:dyDescent="0.55000000000000004">
      <c r="A1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6" s="316" t="s">
        <v>268</v>
      </c>
      <c r="C106" s="317" t="s">
        <v>269</v>
      </c>
      <c r="D106" s="317" t="s">
        <v>286</v>
      </c>
      <c r="E106" s="105" t="s">
        <v>287</v>
      </c>
      <c r="F106" s="100"/>
      <c r="G106" s="34"/>
      <c r="H106" s="34"/>
      <c r="I106" s="97">
        <v>50788.148876183637</v>
      </c>
      <c r="J106" s="97" t="s">
        <v>413</v>
      </c>
      <c r="K106" s="318">
        <v>0</v>
      </c>
      <c r="L106" s="319">
        <v>652.18077734884946</v>
      </c>
      <c r="M106" s="319">
        <v>9799.9412631667383</v>
      </c>
      <c r="N106" s="319">
        <v>9348.9521375684235</v>
      </c>
      <c r="O106" s="319">
        <v>14452.697746620723</v>
      </c>
      <c r="P106" s="319">
        <v>3657.0129631485752</v>
      </c>
      <c r="Q106" s="320">
        <v>524.56444217331159</v>
      </c>
      <c r="R106" s="319">
        <v>29.923158162889109</v>
      </c>
      <c r="S106" s="319"/>
      <c r="T106" s="319"/>
      <c r="U106" s="319"/>
      <c r="V106" s="319"/>
      <c r="W106" s="321">
        <f>IFERROR(IF(tblPiNAnalysis5[[#This Row],[CCCM]]="", "", MROUND(tblPiNAnalysis5[[#This Row],[CCCM]]/tblPiNAnalysis5[[#This Row],[Affected population projection 2026]], 0.05)), "")</f>
        <v>0</v>
      </c>
      <c r="X106" s="322">
        <f>IFERROR(IF(tblPiNAnalysis5[[#This Row],[Education]]="", "", MROUND(tblPiNAnalysis5[[#This Row],[Education]]/tblPiNAnalysis5[[#This Row],[Affected population projection 2026]], 0.05)), "")</f>
        <v>0</v>
      </c>
      <c r="Y106" s="322">
        <f>IFERROR(IF(tblPiNAnalysis5[[#This Row],[Nutrition]]="", "", MROUND(tblPiNAnalysis5[[#This Row],[Nutrition]]/tblPiNAnalysis5[[#This Row],[Affected population projection 2026]], 0.05)), "")</f>
        <v>0.2</v>
      </c>
      <c r="Z106" s="322">
        <f>IFERROR(IF(tblPiNAnalysis5[[#This Row],[Food Security]]="", "", MROUND(tblPiNAnalysis5[[#This Row],[Food Security]]/tblPiNAnalysis5[[#This Row],[Affected population projection 2026]], 0.05)), "")</f>
        <v>0.2</v>
      </c>
      <c r="AA106" s="322">
        <f>IFERROR(IF(tblPiNAnalysis5[[#This Row],[Health]]="", "", MROUND(tblPiNAnalysis5[[#This Row],[Health]]/tblPiNAnalysis5[[#This Row],[Affected population projection 2026]], 0.05)), "")</f>
        <v>0.30000000000000004</v>
      </c>
      <c r="AB106" s="323">
        <f>IFERROR(IF(tblPiNAnalysis5[[#This Row],[Overarching Protection]]="", "", MROUND(tblPiNAnalysis5[[#This Row],[Overarching Protection]]/tblPiNAnalysis5[[#This Row],[Affected population projection 2026]], 0.05)), "")</f>
        <v>0.05</v>
      </c>
      <c r="AC106" s="323">
        <f>IFERROR(IF(tblPiNAnalysis5[[#This Row],[Shelter]]="", "", MROUND(tblPiNAnalysis5[[#This Row],[Shelter]]/tblPiNAnalysis5[[#This Row],[Affected population projection 2026]], 0.05)), "")</f>
        <v>0</v>
      </c>
      <c r="AD106" s="324">
        <f>IFERROR(IF(tblPiNAnalysis5[[#This Row],[WASH]]="", "", MROUND(tblPiNAnalysis5[[#This Row],[WASH]]/tblPiNAnalysis5[[#This Row],[Affected population projection 2026]], 0.05)), "")</f>
        <v>0</v>
      </c>
      <c r="AE106" s="322">
        <f>IFERROR(MROUND(tblPiNAnalysis5[[#This Row],[CP]]/tblPiNAnalysis5[[#This Row],[Affected population projection 2026]], 0.05), "")</f>
        <v>0</v>
      </c>
      <c r="AF106" s="322">
        <f>IFERROR(MROUND(tblPiNAnalysis5[[#This Row],[GBV]]/tblPiNAnalysis5[[#This Row],[Affected population projection 2026]], 0.05), "")</f>
        <v>0</v>
      </c>
      <c r="AG106" s="322">
        <f>IFERROR(MROUND(tblPiNAnalysis5[[#This Row],[Mine Action]]/tblPiNAnalysis5[[#This Row],[Affected population projection 2026]], 0.05), "")</f>
        <v>0</v>
      </c>
      <c r="AH106" s="322">
        <f>IFERROR(MROUND(tblPiNAnalysis5[[#This Row],[HLP]]/tblPiNAnalysis5[[#This Row],[Affected population projection 2026]], 0.05), "")</f>
        <v>0</v>
      </c>
      <c r="AI106" s="325">
        <f>IFERROR(LARGE(tblPiNAnalysis5[[#This Row],[CCCM]:[WASH]], 1), "")</f>
        <v>14452.697746620723</v>
      </c>
      <c r="AJ106" s="326" t="str" cm="1">
        <f t="array" ref="AJ106">IF(tblPiNAnalysis5[[#This Row],[Highest Target]]="", "", _xlfn.TEXTJOIN(CHAR(10), TRUE, IF(tblPiNAnalysis5[[#This Row],[Highest Target]]=tblPiNAnalysis5[[#This Row],[CCCM]:[WASH]], tblPiNAnalysis5[[#Headers],[CCCM]:[WASH]], "")))</f>
        <v>Health</v>
      </c>
      <c r="AK106" s="327">
        <f>IF(tblPiNAnalysis5[[#This Row],[Highest Target]]="", "", tblPiNAnalysis5[[#This Row],[Highest Target]]/tblPiNAnalysis5[[#This Row],[Affected population projection 2026]])</f>
        <v>0.28456831104151747</v>
      </c>
      <c r="AL106" s="328" t="str">
        <f>IF(SUM(tblPiNAnalysis5[[#This Row],[CCCM]:[WASH]])=0, "",IF(COUNTIF(tblPiNAnalysis5[[#This Row],[CCCM]:[WASH]],"=0")+COUNTIF(tblPiNAnalysis5[[#This Row],[CCCM]:[WASH]],"")&gt;=zero_pin_thresh, "Flagged", ""))</f>
        <v/>
      </c>
      <c r="AM106" s="329" t="str">
        <f>IFERROR(IF(tblPiNAnalysis5[[#This Row],[Highest Target]]="", "", IF(tblPiNAnalysis5[[#This Row],[Highest sector(s'') Target %]]&gt;=flag_pin_perc, "Flagged", "")), "")</f>
        <v/>
      </c>
      <c r="AN106" s="330" t="str" cm="1">
        <f t="array" ref="AN106">IF(tblPiNAnalysis5[[#This Row],[Highest Target]]=0, "",  IF(OR(COUNTIF(tblPiNAnalysis5[[#This Row],[Highest sector(s)]],tblSubSectorPopulation[Sector])), "Flagged", ""))</f>
        <v/>
      </c>
      <c r="AO106" s="46" cm="1">
        <f t="array" ref="AO10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9799.9412631667383</v>
      </c>
      <c r="AP106" s="331" t="str" cm="1">
        <f t="array" ref="AP106">IF(tblPiNAnalysis5[[#This Row],[2nd Highest Target]]="", "", _xlfn.TEXTJOIN(CHAR(10), TRUE, IF(tblPiNAnalysis5[[#This Row],[2nd Highest Target]]=tblPiNAnalysis5[[#This Row],[CCCM]:[WASH]], tblPiNAnalysis5[[#Headers],[CCCM]:[WASH]], "")))</f>
        <v>Nutrition</v>
      </c>
      <c r="AQ106" s="36">
        <f>IFERROR(tblPiNAnalysis5[[#This Row],[2nd Highest Target]]/tblPiNAnalysis5[[#This Row],[Affected population projection 2026]], "")</f>
        <v>0.19295724455439403</v>
      </c>
      <c r="AR106" s="46">
        <f>IFERROR(tblPiNAnalysis5[[#This Row],[Highest Target]]-tblPiNAnalysis5[[#This Row],[2nd Highest Target]], "")</f>
        <v>4652.7564834539844</v>
      </c>
      <c r="AS106" s="39">
        <f>IFERROR(((tblPiNAnalysis5[[#This Row],[Highest Target]]-tblPiNAnalysis5[[#This Row],[2nd Highest Target]])/tblPiNAnalysis5[[#This Row],[2nd Highest Target]]),"")</f>
        <v>0.47477391532349855</v>
      </c>
      <c r="AT106" s="39" t="str" cm="1">
        <f t="array" ref="AT10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06" s="332" cm="1">
        <f t="array" ref="AU10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9348.9521375684235</v>
      </c>
      <c r="AV106" s="190" t="str" cm="1">
        <f t="array" ref="AV106">IF(tblPiNAnalysis5[[#This Row],[3rd Highest Target]]="", "", _xlfn.TEXTJOIN(CHAR(10), TRUE, IF(tblPiNAnalysis5[[#This Row],[3rd Highest Target]]=tblPiNAnalysis5[[#This Row],[CCCM]:[WASH]], tblPiNAnalysis5[[#Headers],[CCCM]:[WASH]], "")))</f>
        <v>Food Security</v>
      </c>
      <c r="AW106" s="190">
        <f>IFERROR(tblPiNAnalysis5[[#This Row],[3rd Highest Target]]/tblPiNAnalysis5[[#This Row],[Affected population projection 2026]], "")</f>
        <v>0.18407743429200821</v>
      </c>
      <c r="AX106" s="45">
        <f>IFERROR(tblPiNAnalysis5[[#This Row],[Highest Target]]-tblPiNAnalysis5[[#This Row],[3rd Highest Target]],"")</f>
        <v>5103.7456090522992</v>
      </c>
      <c r="AY106" s="39">
        <f>IFERROR(tblPiNAnalysis5[[#This Row],[Difference of Target between Highest and 3rd Highest]]/tblPiNAnalysis5[[#This Row],[3rd Highest Target]], "")</f>
        <v>0.54591632665901491</v>
      </c>
      <c r="AZ106" s="330" t="str" cm="1">
        <f t="array" ref="AZ10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06" s="300" t="str" cm="1">
        <f t="array" ref="BA10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6" s="333" t="str" cm="1">
        <f t="array" ref="BB10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6" s="276" t="str" cm="1">
        <f t="array" ref="BC10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6" s="334" t="str" cm="1">
        <f t="array" ref="BD10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6" s="277" t="e">
        <f>INDEX(tblSeverityAnalysis[Final Severity], MATCH(tblPiNAnalysis5[[#This Row],[ID]],tblSeverityAnalysis[ID], 0))</f>
        <v>#N/A</v>
      </c>
      <c r="BF106" s="61" t="e">
        <f>IF(tblPiNAnalysis5[[#This Row],[Severity]]&gt;2,tblPiNAnalysis5[[#This Row],[Highest Target]],)</f>
        <v>#N/A</v>
      </c>
      <c r="BG106" s="191"/>
      <c r="BH106" s="192"/>
      <c r="BI106" s="193">
        <f>COUNTIFS(tblPiNAnalysis5[[#This Row],[Number of missing / zero PiNs greater than threshold - Data quality]:[Manual Flag]],"Flagged")</f>
        <v>3</v>
      </c>
      <c r="BJ106" s="96" t="str">
        <f>IF(tblPiNAnalysis5[[#This Row],['# Flags]]&gt;0, "Flagged", "")</f>
        <v>Flagged</v>
      </c>
      <c r="BK106" s="326" t="e">
        <f>tblPiNAnalysis5[[#This Row],[Preliminary Target]]</f>
        <v>#N/A</v>
      </c>
      <c r="BL106" s="331"/>
    </row>
    <row r="107" spans="1:64" x14ac:dyDescent="0.55000000000000004">
      <c r="A1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7" s="316" t="s">
        <v>268</v>
      </c>
      <c r="C107" s="317" t="s">
        <v>269</v>
      </c>
      <c r="D107" s="317" t="s">
        <v>288</v>
      </c>
      <c r="E107" s="105" t="s">
        <v>289</v>
      </c>
      <c r="F107" s="100"/>
      <c r="G107" s="34"/>
      <c r="H107" s="34"/>
      <c r="I107" s="97">
        <v>77537.996273544151</v>
      </c>
      <c r="J107" s="97" t="s">
        <v>413</v>
      </c>
      <c r="K107" s="318">
        <v>0</v>
      </c>
      <c r="L107" s="319">
        <v>6494.001032900007</v>
      </c>
      <c r="M107" s="319">
        <v>22266.572815189596</v>
      </c>
      <c r="N107" s="319">
        <v>32935.581375528054</v>
      </c>
      <c r="O107" s="319">
        <v>38902.984813593641</v>
      </c>
      <c r="P107" s="319">
        <v>9077.8866307277622</v>
      </c>
      <c r="Q107" s="320">
        <v>2217.9473352664954</v>
      </c>
      <c r="R107" s="319">
        <v>25845.99875784805</v>
      </c>
      <c r="S107" s="319"/>
      <c r="T107" s="319"/>
      <c r="U107" s="319"/>
      <c r="V107" s="319"/>
      <c r="W107" s="321">
        <f>IFERROR(IF(tblPiNAnalysis5[[#This Row],[CCCM]]="", "", MROUND(tblPiNAnalysis5[[#This Row],[CCCM]]/tblPiNAnalysis5[[#This Row],[Affected population projection 2026]], 0.05)), "")</f>
        <v>0</v>
      </c>
      <c r="X107" s="322">
        <f>IFERROR(IF(tblPiNAnalysis5[[#This Row],[Education]]="", "", MROUND(tblPiNAnalysis5[[#This Row],[Education]]/tblPiNAnalysis5[[#This Row],[Affected population projection 2026]], 0.05)), "")</f>
        <v>0.1</v>
      </c>
      <c r="Y107" s="322">
        <f>IFERROR(IF(tblPiNAnalysis5[[#This Row],[Nutrition]]="", "", MROUND(tblPiNAnalysis5[[#This Row],[Nutrition]]/tblPiNAnalysis5[[#This Row],[Affected population projection 2026]], 0.05)), "")</f>
        <v>0.30000000000000004</v>
      </c>
      <c r="Z107" s="322">
        <f>IFERROR(IF(tblPiNAnalysis5[[#This Row],[Food Security]]="", "", MROUND(tblPiNAnalysis5[[#This Row],[Food Security]]/tblPiNAnalysis5[[#This Row],[Affected population projection 2026]], 0.05)), "")</f>
        <v>0.4</v>
      </c>
      <c r="AA107" s="322">
        <f>IFERROR(IF(tblPiNAnalysis5[[#This Row],[Health]]="", "", MROUND(tblPiNAnalysis5[[#This Row],[Health]]/tblPiNAnalysis5[[#This Row],[Affected population projection 2026]], 0.05)), "")</f>
        <v>0.5</v>
      </c>
      <c r="AB107" s="323">
        <f>IFERROR(IF(tblPiNAnalysis5[[#This Row],[Overarching Protection]]="", "", MROUND(tblPiNAnalysis5[[#This Row],[Overarching Protection]]/tblPiNAnalysis5[[#This Row],[Affected population projection 2026]], 0.05)), "")</f>
        <v>0.1</v>
      </c>
      <c r="AC107" s="323">
        <f>IFERROR(IF(tblPiNAnalysis5[[#This Row],[Shelter]]="", "", MROUND(tblPiNAnalysis5[[#This Row],[Shelter]]/tblPiNAnalysis5[[#This Row],[Affected population projection 2026]], 0.05)), "")</f>
        <v>0.05</v>
      </c>
      <c r="AD107" s="324">
        <f>IFERROR(IF(tblPiNAnalysis5[[#This Row],[WASH]]="", "", MROUND(tblPiNAnalysis5[[#This Row],[WASH]]/tblPiNAnalysis5[[#This Row],[Affected population projection 2026]], 0.05)), "")</f>
        <v>0.35000000000000003</v>
      </c>
      <c r="AE107" s="322">
        <f>IFERROR(MROUND(tblPiNAnalysis5[[#This Row],[CP]]/tblPiNAnalysis5[[#This Row],[Affected population projection 2026]], 0.05), "")</f>
        <v>0</v>
      </c>
      <c r="AF107" s="322">
        <f>IFERROR(MROUND(tblPiNAnalysis5[[#This Row],[GBV]]/tblPiNAnalysis5[[#This Row],[Affected population projection 2026]], 0.05), "")</f>
        <v>0</v>
      </c>
      <c r="AG107" s="322">
        <f>IFERROR(MROUND(tblPiNAnalysis5[[#This Row],[Mine Action]]/tblPiNAnalysis5[[#This Row],[Affected population projection 2026]], 0.05), "")</f>
        <v>0</v>
      </c>
      <c r="AH107" s="322">
        <f>IFERROR(MROUND(tblPiNAnalysis5[[#This Row],[HLP]]/tblPiNAnalysis5[[#This Row],[Affected population projection 2026]], 0.05), "")</f>
        <v>0</v>
      </c>
      <c r="AI107" s="325">
        <f>IFERROR(LARGE(tblPiNAnalysis5[[#This Row],[CCCM]:[WASH]], 1), "")</f>
        <v>38902.984813593641</v>
      </c>
      <c r="AJ107" s="326" t="str" cm="1">
        <f t="array" ref="AJ107">IF(tblPiNAnalysis5[[#This Row],[Highest Target]]="", "", _xlfn.TEXTJOIN(CHAR(10), TRUE, IF(tblPiNAnalysis5[[#This Row],[Highest Target]]=tblPiNAnalysis5[[#This Row],[CCCM]:[WASH]], tblPiNAnalysis5[[#Headers],[CCCM]:[WASH]], "")))</f>
        <v>Health</v>
      </c>
      <c r="AK107" s="327">
        <f>IF(tblPiNAnalysis5[[#This Row],[Highest Target]]="", "", tblPiNAnalysis5[[#This Row],[Highest Target]]/tblPiNAnalysis5[[#This Row],[Affected population projection 2026]])</f>
        <v>0.50172801314530846</v>
      </c>
      <c r="AL107" s="328" t="str">
        <f>IF(SUM(tblPiNAnalysis5[[#This Row],[CCCM]:[WASH]])=0, "",IF(COUNTIF(tblPiNAnalysis5[[#This Row],[CCCM]:[WASH]],"=0")+COUNTIF(tblPiNAnalysis5[[#This Row],[CCCM]:[WASH]],"")&gt;=zero_pin_thresh, "Flagged", ""))</f>
        <v/>
      </c>
      <c r="AM107" s="329" t="str">
        <f>IFERROR(IF(tblPiNAnalysis5[[#This Row],[Highest Target]]="", "", IF(tblPiNAnalysis5[[#This Row],[Highest sector(s'') Target %]]&gt;=flag_pin_perc, "Flagged", "")), "")</f>
        <v/>
      </c>
      <c r="AN107" s="330" t="str" cm="1">
        <f t="array" ref="AN107">IF(tblPiNAnalysis5[[#This Row],[Highest Target]]=0, "",  IF(OR(COUNTIF(tblPiNAnalysis5[[#This Row],[Highest sector(s)]],tblSubSectorPopulation[Sector])), "Flagged", ""))</f>
        <v/>
      </c>
      <c r="AO107" s="46" cm="1">
        <f t="array" ref="AO10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32935.581375528054</v>
      </c>
      <c r="AP107" s="331" t="str" cm="1">
        <f t="array" ref="AP107">IF(tblPiNAnalysis5[[#This Row],[2nd Highest Target]]="", "", _xlfn.TEXTJOIN(CHAR(10), TRUE, IF(tblPiNAnalysis5[[#This Row],[2nd Highest Target]]=tblPiNAnalysis5[[#This Row],[CCCM]:[WASH]], tblPiNAnalysis5[[#Headers],[CCCM]:[WASH]], "")))</f>
        <v>Food Security</v>
      </c>
      <c r="AQ107" s="36">
        <f>IFERROR(tblPiNAnalysis5[[#This Row],[2nd Highest Target]]/tblPiNAnalysis5[[#This Row],[Affected population projection 2026]], "")</f>
        <v>0.42476699113213512</v>
      </c>
      <c r="AR107" s="46">
        <f>IFERROR(tblPiNAnalysis5[[#This Row],[Highest Target]]-tblPiNAnalysis5[[#This Row],[2nd Highest Target]], "")</f>
        <v>5967.4034380655867</v>
      </c>
      <c r="AS107" s="39">
        <f>IFERROR(((tblPiNAnalysis5[[#This Row],[Highest Target]]-tblPiNAnalysis5[[#This Row],[2nd Highest Target]])/tblPiNAnalysis5[[#This Row],[2nd Highest Target]]),"")</f>
        <v>0.1811840929730639</v>
      </c>
      <c r="AT107" s="39" t="str" cm="1">
        <f t="array" ref="AT10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7" s="332" cm="1">
        <f t="array" ref="AU10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25845.99875784805</v>
      </c>
      <c r="AV107" s="190" t="str" cm="1">
        <f t="array" ref="AV107">IF(tblPiNAnalysis5[[#This Row],[3rd Highest Target]]="", "", _xlfn.TEXTJOIN(CHAR(10), TRUE, IF(tblPiNAnalysis5[[#This Row],[3rd Highest Target]]=tblPiNAnalysis5[[#This Row],[CCCM]:[WASH]], tblPiNAnalysis5[[#Headers],[CCCM]:[WASH]], "")))</f>
        <v>WASH</v>
      </c>
      <c r="AW107" s="190">
        <f>IFERROR(tblPiNAnalysis5[[#This Row],[3rd Highest Target]]/tblPiNAnalysis5[[#This Row],[Affected population projection 2026]], "")</f>
        <v>0.33333333333333331</v>
      </c>
      <c r="AX107" s="45">
        <f>IFERROR(tblPiNAnalysis5[[#This Row],[Highest Target]]-tblPiNAnalysis5[[#This Row],[3rd Highest Target]],"")</f>
        <v>13056.98605574559</v>
      </c>
      <c r="AY107" s="39">
        <f>IFERROR(tblPiNAnalysis5[[#This Row],[Difference of Target between Highest and 3rd Highest]]/tblPiNAnalysis5[[#This Row],[3rd Highest Target]], "")</f>
        <v>0.50518403943592549</v>
      </c>
      <c r="AZ107" s="330" t="str" cm="1">
        <f t="array" ref="AZ10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07" s="300" t="str" cm="1">
        <f t="array" ref="BA10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7" s="333" t="str" cm="1">
        <f t="array" ref="BB10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07" s="276" t="str" cm="1">
        <f t="array" ref="BC10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7" s="334" t="str" cm="1">
        <f t="array" ref="BD10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7" s="277" t="e">
        <f>INDEX(tblSeverityAnalysis[Final Severity], MATCH(tblPiNAnalysis5[[#This Row],[ID]],tblSeverityAnalysis[ID], 0))</f>
        <v>#N/A</v>
      </c>
      <c r="BF107" s="61" t="e">
        <f>IF(tblPiNAnalysis5[[#This Row],[Severity]]&gt;2,tblPiNAnalysis5[[#This Row],[Highest Target]],)</f>
        <v>#N/A</v>
      </c>
      <c r="BG107" s="191"/>
      <c r="BH107" s="192"/>
      <c r="BI107" s="193">
        <f>COUNTIFS(tblPiNAnalysis5[[#This Row],[Number of missing / zero PiNs greater than threshold - Data quality]:[Manual Flag]],"Flagged")</f>
        <v>2</v>
      </c>
      <c r="BJ107" s="96" t="str">
        <f>IF(tblPiNAnalysis5[[#This Row],['# Flags]]&gt;0, "Flagged", "")</f>
        <v>Flagged</v>
      </c>
      <c r="BK107" s="326" t="e">
        <f>tblPiNAnalysis5[[#This Row],[Preliminary Target]]</f>
        <v>#N/A</v>
      </c>
      <c r="BL107" s="331"/>
    </row>
    <row r="108" spans="1:64" x14ac:dyDescent="0.55000000000000004">
      <c r="A1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8" s="316" t="s">
        <v>268</v>
      </c>
      <c r="C108" s="317" t="s">
        <v>269</v>
      </c>
      <c r="D108" s="317" t="s">
        <v>290</v>
      </c>
      <c r="E108" s="105" t="s">
        <v>291</v>
      </c>
      <c r="F108" s="100"/>
      <c r="G108" s="34"/>
      <c r="H108" s="34"/>
      <c r="I108" s="97">
        <v>136551.06257292113</v>
      </c>
      <c r="J108" s="97" t="s">
        <v>413</v>
      </c>
      <c r="K108" s="318">
        <v>0</v>
      </c>
      <c r="L108" s="319">
        <v>10051.414475142667</v>
      </c>
      <c r="M108" s="319">
        <v>55178.941958325748</v>
      </c>
      <c r="N108" s="319">
        <v>65745.240818137798</v>
      </c>
      <c r="O108" s="319">
        <v>45826.862089451446</v>
      </c>
      <c r="P108" s="319">
        <v>20499.351389195963</v>
      </c>
      <c r="Q108" s="320">
        <v>887.58190672398734</v>
      </c>
      <c r="R108" s="319">
        <v>78495.78828458814</v>
      </c>
      <c r="S108" s="319"/>
      <c r="T108" s="319"/>
      <c r="U108" s="319"/>
      <c r="V108" s="319"/>
      <c r="W108" s="321">
        <f>IFERROR(IF(tblPiNAnalysis5[[#This Row],[CCCM]]="", "", MROUND(tblPiNAnalysis5[[#This Row],[CCCM]]/tblPiNAnalysis5[[#This Row],[Affected population projection 2026]], 0.05)), "")</f>
        <v>0</v>
      </c>
      <c r="X108" s="322">
        <f>IFERROR(IF(tblPiNAnalysis5[[#This Row],[Education]]="", "", MROUND(tblPiNAnalysis5[[#This Row],[Education]]/tblPiNAnalysis5[[#This Row],[Affected population projection 2026]], 0.05)), "")</f>
        <v>0.05</v>
      </c>
      <c r="Y108" s="322">
        <f>IFERROR(IF(tblPiNAnalysis5[[#This Row],[Nutrition]]="", "", MROUND(tblPiNAnalysis5[[#This Row],[Nutrition]]/tblPiNAnalysis5[[#This Row],[Affected population projection 2026]], 0.05)), "")</f>
        <v>0.4</v>
      </c>
      <c r="Z108" s="322">
        <f>IFERROR(IF(tblPiNAnalysis5[[#This Row],[Food Security]]="", "", MROUND(tblPiNAnalysis5[[#This Row],[Food Security]]/tblPiNAnalysis5[[#This Row],[Affected population projection 2026]], 0.05)), "")</f>
        <v>0.5</v>
      </c>
      <c r="AA108" s="322">
        <f>IFERROR(IF(tblPiNAnalysis5[[#This Row],[Health]]="", "", MROUND(tblPiNAnalysis5[[#This Row],[Health]]/tblPiNAnalysis5[[#This Row],[Affected population projection 2026]], 0.05)), "")</f>
        <v>0.35000000000000003</v>
      </c>
      <c r="AB108" s="323">
        <f>IFERROR(IF(tblPiNAnalysis5[[#This Row],[Overarching Protection]]="", "", MROUND(tblPiNAnalysis5[[#This Row],[Overarching Protection]]/tblPiNAnalysis5[[#This Row],[Affected population projection 2026]], 0.05)), "")</f>
        <v>0.15000000000000002</v>
      </c>
      <c r="AC108" s="323">
        <f>IFERROR(IF(tblPiNAnalysis5[[#This Row],[Shelter]]="", "", MROUND(tblPiNAnalysis5[[#This Row],[Shelter]]/tblPiNAnalysis5[[#This Row],[Affected population projection 2026]], 0.05)), "")</f>
        <v>0</v>
      </c>
      <c r="AD108" s="324">
        <f>IFERROR(IF(tblPiNAnalysis5[[#This Row],[WASH]]="", "", MROUND(tblPiNAnalysis5[[#This Row],[WASH]]/tblPiNAnalysis5[[#This Row],[Affected population projection 2026]], 0.05)), "")</f>
        <v>0.55000000000000004</v>
      </c>
      <c r="AE108" s="322">
        <f>IFERROR(MROUND(tblPiNAnalysis5[[#This Row],[CP]]/tblPiNAnalysis5[[#This Row],[Affected population projection 2026]], 0.05), "")</f>
        <v>0</v>
      </c>
      <c r="AF108" s="322">
        <f>IFERROR(MROUND(tblPiNAnalysis5[[#This Row],[GBV]]/tblPiNAnalysis5[[#This Row],[Affected population projection 2026]], 0.05), "")</f>
        <v>0</v>
      </c>
      <c r="AG108" s="322">
        <f>IFERROR(MROUND(tblPiNAnalysis5[[#This Row],[Mine Action]]/tblPiNAnalysis5[[#This Row],[Affected population projection 2026]], 0.05), "")</f>
        <v>0</v>
      </c>
      <c r="AH108" s="322">
        <f>IFERROR(MROUND(tblPiNAnalysis5[[#This Row],[HLP]]/tblPiNAnalysis5[[#This Row],[Affected population projection 2026]], 0.05), "")</f>
        <v>0</v>
      </c>
      <c r="AI108" s="325">
        <f>IFERROR(LARGE(tblPiNAnalysis5[[#This Row],[CCCM]:[WASH]], 1), "")</f>
        <v>78495.78828458814</v>
      </c>
      <c r="AJ108" s="326" t="str" cm="1">
        <f t="array" ref="AJ108">IF(tblPiNAnalysis5[[#This Row],[Highest Target]]="", "", _xlfn.TEXTJOIN(CHAR(10), TRUE, IF(tblPiNAnalysis5[[#This Row],[Highest Target]]=tblPiNAnalysis5[[#This Row],[CCCM]:[WASH]], tblPiNAnalysis5[[#Headers],[CCCM]:[WASH]], "")))</f>
        <v>WASH</v>
      </c>
      <c r="AK108" s="327">
        <f>IF(tblPiNAnalysis5[[#This Row],[Highest Target]]="", "", tblPiNAnalysis5[[#This Row],[Highest Target]]/tblPiNAnalysis5[[#This Row],[Affected population projection 2026]])</f>
        <v>0.57484567901234562</v>
      </c>
      <c r="AL108" s="328" t="str">
        <f>IF(SUM(tblPiNAnalysis5[[#This Row],[CCCM]:[WASH]])=0, "",IF(COUNTIF(tblPiNAnalysis5[[#This Row],[CCCM]:[WASH]],"=0")+COUNTIF(tblPiNAnalysis5[[#This Row],[CCCM]:[WASH]],"")&gt;=zero_pin_thresh, "Flagged", ""))</f>
        <v/>
      </c>
      <c r="AM108" s="329" t="str">
        <f>IFERROR(IF(tblPiNAnalysis5[[#This Row],[Highest Target]]="", "", IF(tblPiNAnalysis5[[#This Row],[Highest sector(s'') Target %]]&gt;=flag_pin_perc, "Flagged", "")), "")</f>
        <v/>
      </c>
      <c r="AN108" s="330" t="str" cm="1">
        <f t="array" ref="AN108">IF(tblPiNAnalysis5[[#This Row],[Highest Target]]=0, "",  IF(OR(COUNTIF(tblPiNAnalysis5[[#This Row],[Highest sector(s)]],tblSubSectorPopulation[Sector])), "Flagged", ""))</f>
        <v/>
      </c>
      <c r="AO108" s="46" cm="1">
        <f t="array" ref="AO10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65745.240818137798</v>
      </c>
      <c r="AP108" s="331" t="str" cm="1">
        <f t="array" ref="AP108">IF(tblPiNAnalysis5[[#This Row],[2nd Highest Target]]="", "", _xlfn.TEXTJOIN(CHAR(10), TRUE, IF(tblPiNAnalysis5[[#This Row],[2nd Highest Target]]=tblPiNAnalysis5[[#This Row],[CCCM]:[WASH]], tblPiNAnalysis5[[#Headers],[CCCM]:[WASH]], "")))</f>
        <v>Food Security</v>
      </c>
      <c r="AQ108" s="36">
        <f>IFERROR(tblPiNAnalysis5[[#This Row],[2nd Highest Target]]/tblPiNAnalysis5[[#This Row],[Affected population projection 2026]], "")</f>
        <v>0.48147000528119993</v>
      </c>
      <c r="AR108" s="46">
        <f>IFERROR(tblPiNAnalysis5[[#This Row],[Highest Target]]-tblPiNAnalysis5[[#This Row],[2nd Highest Target]], "")</f>
        <v>12750.547466450342</v>
      </c>
      <c r="AS108" s="39">
        <f>IFERROR(((tblPiNAnalysis5[[#This Row],[Highest Target]]-tblPiNAnalysis5[[#This Row],[2nd Highest Target]])/tblPiNAnalysis5[[#This Row],[2nd Highest Target]]),"")</f>
        <v>0.19393871416062591</v>
      </c>
      <c r="AT108" s="39" t="str" cm="1">
        <f t="array" ref="AT10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8" s="332" cm="1">
        <f t="array" ref="AU10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55178.941958325748</v>
      </c>
      <c r="AV108" s="190" t="str" cm="1">
        <f t="array" ref="AV108">IF(tblPiNAnalysis5[[#This Row],[3rd Highest Target]]="", "", _xlfn.TEXTJOIN(CHAR(10), TRUE, IF(tblPiNAnalysis5[[#This Row],[3rd Highest Target]]=tblPiNAnalysis5[[#This Row],[CCCM]:[WASH]], tblPiNAnalysis5[[#Headers],[CCCM]:[WASH]], "")))</f>
        <v>Nutrition</v>
      </c>
      <c r="AW108" s="190">
        <f>IFERROR(tblPiNAnalysis5[[#This Row],[3rd Highest Target]]/tblPiNAnalysis5[[#This Row],[Affected population projection 2026]], "")</f>
        <v>0.40409016904470468</v>
      </c>
      <c r="AX108" s="45">
        <f>IFERROR(tblPiNAnalysis5[[#This Row],[Highest Target]]-tblPiNAnalysis5[[#This Row],[3rd Highest Target]],"")</f>
        <v>23316.846326262392</v>
      </c>
      <c r="AY108" s="39">
        <f>IFERROR(tblPiNAnalysis5[[#This Row],[Difference of Target between Highest and 3rd Highest]]/tblPiNAnalysis5[[#This Row],[3rd Highest Target]], "")</f>
        <v>0.42256784017121224</v>
      </c>
      <c r="AZ108" s="330" t="str" cm="1">
        <f t="array" ref="AZ10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8" s="300" t="str" cm="1">
        <f t="array" ref="BA10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8" s="333" t="str" cm="1">
        <f t="array" ref="BB10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08" s="276" t="str" cm="1">
        <f t="array" ref="BC10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8" s="334" t="str" cm="1">
        <f t="array" ref="BD10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8" s="277" t="e">
        <f>INDEX(tblSeverityAnalysis[Final Severity], MATCH(tblPiNAnalysis5[[#This Row],[ID]],tblSeverityAnalysis[ID], 0))</f>
        <v>#N/A</v>
      </c>
      <c r="BF108" s="61" t="e">
        <f>IF(tblPiNAnalysis5[[#This Row],[Severity]]&gt;2,tblPiNAnalysis5[[#This Row],[Highest Target]],)</f>
        <v>#N/A</v>
      </c>
      <c r="BG108" s="191"/>
      <c r="BH108" s="192"/>
      <c r="BI108" s="193">
        <f>COUNTIFS(tblPiNAnalysis5[[#This Row],[Number of missing / zero PiNs greater than threshold - Data quality]:[Manual Flag]],"Flagged")</f>
        <v>0</v>
      </c>
      <c r="BJ108" s="96" t="str">
        <f>IF(tblPiNAnalysis5[[#This Row],['# Flags]]&gt;0, "Flagged", "")</f>
        <v/>
      </c>
      <c r="BK108" s="326" t="e">
        <f>tblPiNAnalysis5[[#This Row],[Preliminary Target]]</f>
        <v>#N/A</v>
      </c>
      <c r="BL108" s="331"/>
    </row>
    <row r="109" spans="1:64" x14ac:dyDescent="0.55000000000000004">
      <c r="A1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9" s="316" t="s">
        <v>292</v>
      </c>
      <c r="C109" s="317" t="s">
        <v>293</v>
      </c>
      <c r="D109" s="317" t="s">
        <v>294</v>
      </c>
      <c r="E109" s="105" t="s">
        <v>295</v>
      </c>
      <c r="F109" s="100"/>
      <c r="G109" s="34"/>
      <c r="H109" s="34"/>
      <c r="I109" s="97">
        <v>73916.557684246116</v>
      </c>
      <c r="J109" s="97" t="s">
        <v>413</v>
      </c>
      <c r="K109" s="318">
        <v>0</v>
      </c>
      <c r="L109" s="319">
        <v>2831.6767999815529</v>
      </c>
      <c r="M109" s="319">
        <v>17053.395666577886</v>
      </c>
      <c r="N109" s="319">
        <v>13626.215734620651</v>
      </c>
      <c r="O109" s="319">
        <v>12652.331611102678</v>
      </c>
      <c r="P109" s="319">
        <v>2462.7610785672764</v>
      </c>
      <c r="Q109" s="320">
        <v>692.96772828980738</v>
      </c>
      <c r="R109" s="319">
        <v>18479.139421061529</v>
      </c>
      <c r="S109" s="319"/>
      <c r="T109" s="319"/>
      <c r="U109" s="319"/>
      <c r="V109" s="319"/>
      <c r="W109" s="321">
        <f>IFERROR(IF(tblPiNAnalysis5[[#This Row],[CCCM]]="", "", MROUND(tblPiNAnalysis5[[#This Row],[CCCM]]/tblPiNAnalysis5[[#This Row],[Affected population projection 2026]], 0.05)), "")</f>
        <v>0</v>
      </c>
      <c r="X109" s="322">
        <f>IFERROR(IF(tblPiNAnalysis5[[#This Row],[Education]]="", "", MROUND(tblPiNAnalysis5[[#This Row],[Education]]/tblPiNAnalysis5[[#This Row],[Affected population projection 2026]], 0.05)), "")</f>
        <v>0.05</v>
      </c>
      <c r="Y109" s="322">
        <f>IFERROR(IF(tblPiNAnalysis5[[#This Row],[Nutrition]]="", "", MROUND(tblPiNAnalysis5[[#This Row],[Nutrition]]/tblPiNAnalysis5[[#This Row],[Affected population projection 2026]], 0.05)), "")</f>
        <v>0.25</v>
      </c>
      <c r="Z109" s="322">
        <f>IFERROR(IF(tblPiNAnalysis5[[#This Row],[Food Security]]="", "", MROUND(tblPiNAnalysis5[[#This Row],[Food Security]]/tblPiNAnalysis5[[#This Row],[Affected population projection 2026]], 0.05)), "")</f>
        <v>0.2</v>
      </c>
      <c r="AA109" s="322">
        <f>IFERROR(IF(tblPiNAnalysis5[[#This Row],[Health]]="", "", MROUND(tblPiNAnalysis5[[#This Row],[Health]]/tblPiNAnalysis5[[#This Row],[Affected population projection 2026]], 0.05)), "")</f>
        <v>0.15000000000000002</v>
      </c>
      <c r="AB109" s="323">
        <f>IFERROR(IF(tblPiNAnalysis5[[#This Row],[Overarching Protection]]="", "", MROUND(tblPiNAnalysis5[[#This Row],[Overarching Protection]]/tblPiNAnalysis5[[#This Row],[Affected population projection 2026]], 0.05)), "")</f>
        <v>0.05</v>
      </c>
      <c r="AC109" s="323">
        <f>IFERROR(IF(tblPiNAnalysis5[[#This Row],[Shelter]]="", "", MROUND(tblPiNAnalysis5[[#This Row],[Shelter]]/tblPiNAnalysis5[[#This Row],[Affected population projection 2026]], 0.05)), "")</f>
        <v>0</v>
      </c>
      <c r="AD109" s="324">
        <f>IFERROR(IF(tblPiNAnalysis5[[#This Row],[WASH]]="", "", MROUND(tblPiNAnalysis5[[#This Row],[WASH]]/tblPiNAnalysis5[[#This Row],[Affected population projection 2026]], 0.05)), "")</f>
        <v>0.25</v>
      </c>
      <c r="AE109" s="322">
        <f>IFERROR(MROUND(tblPiNAnalysis5[[#This Row],[CP]]/tblPiNAnalysis5[[#This Row],[Affected population projection 2026]], 0.05), "")</f>
        <v>0</v>
      </c>
      <c r="AF109" s="322">
        <f>IFERROR(MROUND(tblPiNAnalysis5[[#This Row],[GBV]]/tblPiNAnalysis5[[#This Row],[Affected population projection 2026]], 0.05), "")</f>
        <v>0</v>
      </c>
      <c r="AG109" s="322">
        <f>IFERROR(MROUND(tblPiNAnalysis5[[#This Row],[Mine Action]]/tblPiNAnalysis5[[#This Row],[Affected population projection 2026]], 0.05), "")</f>
        <v>0</v>
      </c>
      <c r="AH109" s="322">
        <f>IFERROR(MROUND(tblPiNAnalysis5[[#This Row],[HLP]]/tblPiNAnalysis5[[#This Row],[Affected population projection 2026]], 0.05), "")</f>
        <v>0</v>
      </c>
      <c r="AI109" s="325">
        <f>IFERROR(LARGE(tblPiNAnalysis5[[#This Row],[CCCM]:[WASH]], 1), "")</f>
        <v>18479.139421061529</v>
      </c>
      <c r="AJ109" s="326" t="str" cm="1">
        <f t="array" ref="AJ109">IF(tblPiNAnalysis5[[#This Row],[Highest Target]]="", "", _xlfn.TEXTJOIN(CHAR(10), TRUE, IF(tblPiNAnalysis5[[#This Row],[Highest Target]]=tblPiNAnalysis5[[#This Row],[CCCM]:[WASH]], tblPiNAnalysis5[[#Headers],[CCCM]:[WASH]], "")))</f>
        <v>WASH</v>
      </c>
      <c r="AK109" s="327">
        <f>IF(tblPiNAnalysis5[[#This Row],[Highest Target]]="", "", tblPiNAnalysis5[[#This Row],[Highest Target]]/tblPiNAnalysis5[[#This Row],[Affected population projection 2026]])</f>
        <v>0.25</v>
      </c>
      <c r="AL109" s="328" t="str">
        <f>IF(SUM(tblPiNAnalysis5[[#This Row],[CCCM]:[WASH]])=0, "",IF(COUNTIF(tblPiNAnalysis5[[#This Row],[CCCM]:[WASH]],"=0")+COUNTIF(tblPiNAnalysis5[[#This Row],[CCCM]:[WASH]],"")&gt;=zero_pin_thresh, "Flagged", ""))</f>
        <v/>
      </c>
      <c r="AM109" s="329" t="str">
        <f>IFERROR(IF(tblPiNAnalysis5[[#This Row],[Highest Target]]="", "", IF(tblPiNAnalysis5[[#This Row],[Highest sector(s'') Target %]]&gt;=flag_pin_perc, "Flagged", "")), "")</f>
        <v/>
      </c>
      <c r="AN109" s="330" t="str" cm="1">
        <f t="array" ref="AN109">IF(tblPiNAnalysis5[[#This Row],[Highest Target]]=0, "",  IF(OR(COUNTIF(tblPiNAnalysis5[[#This Row],[Highest sector(s)]],tblSubSectorPopulation[Sector])), "Flagged", ""))</f>
        <v/>
      </c>
      <c r="AO109" s="46" cm="1">
        <f t="array" ref="AO10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17053.395666577886</v>
      </c>
      <c r="AP109" s="331" t="str" cm="1">
        <f t="array" ref="AP109">IF(tblPiNAnalysis5[[#This Row],[2nd Highest Target]]="", "", _xlfn.TEXTJOIN(CHAR(10), TRUE, IF(tblPiNAnalysis5[[#This Row],[2nd Highest Target]]=tblPiNAnalysis5[[#This Row],[CCCM]:[WASH]], tblPiNAnalysis5[[#Headers],[CCCM]:[WASH]], "")))</f>
        <v>Nutrition</v>
      </c>
      <c r="AQ109" s="36">
        <f>IFERROR(tblPiNAnalysis5[[#This Row],[2nd Highest Target]]/tblPiNAnalysis5[[#This Row],[Affected population projection 2026]], "")</f>
        <v>0.23071144275178398</v>
      </c>
      <c r="AR109" s="46">
        <f>IFERROR(tblPiNAnalysis5[[#This Row],[Highest Target]]-tblPiNAnalysis5[[#This Row],[2nd Highest Target]], "")</f>
        <v>1425.743754483643</v>
      </c>
      <c r="AS109" s="39">
        <f>IFERROR(((tblPiNAnalysis5[[#This Row],[Highest Target]]-tblPiNAnalysis5[[#This Row],[2nd Highest Target]])/tblPiNAnalysis5[[#This Row],[2nd Highest Target]]),"")</f>
        <v>8.3604683920979347E-2</v>
      </c>
      <c r="AT109" s="39" t="str" cm="1">
        <f t="array" ref="AT10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09" s="332" cm="1">
        <f t="array" ref="AU10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13626.215734620651</v>
      </c>
      <c r="AV109" s="190" t="str" cm="1">
        <f t="array" ref="AV109">IF(tblPiNAnalysis5[[#This Row],[3rd Highest Target]]="", "", _xlfn.TEXTJOIN(CHAR(10), TRUE, IF(tblPiNAnalysis5[[#This Row],[3rd Highest Target]]=tblPiNAnalysis5[[#This Row],[CCCM]:[WASH]], tblPiNAnalysis5[[#Headers],[CCCM]:[WASH]], "")))</f>
        <v>Food Security</v>
      </c>
      <c r="AW109" s="190">
        <f>IFERROR(tblPiNAnalysis5[[#This Row],[3rd Highest Target]]/tblPiNAnalysis5[[#This Row],[Affected population projection 2026]], "")</f>
        <v>0.18434591871592007</v>
      </c>
      <c r="AX109" s="45">
        <f>IFERROR(tblPiNAnalysis5[[#This Row],[Highest Target]]-tblPiNAnalysis5[[#This Row],[3rd Highest Target]],"")</f>
        <v>4852.9236864408776</v>
      </c>
      <c r="AY109" s="39">
        <f>IFERROR(tblPiNAnalysis5[[#This Row],[Difference of Target between Highest and 3rd Highest]]/tblPiNAnalysis5[[#This Row],[3rd Highest Target]], "")</f>
        <v>0.35614610695696441</v>
      </c>
      <c r="AZ109" s="330" t="str" cm="1">
        <f t="array" ref="AZ10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09" s="300" t="str" cm="1">
        <f t="array" ref="BA10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09" s="333" t="str" cm="1">
        <f t="array" ref="BB10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09" s="276" t="str" cm="1">
        <f t="array" ref="BC10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09" s="334" t="str" cm="1">
        <f t="array" ref="BD10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09" s="277" t="e">
        <f>INDEX(tblSeverityAnalysis[Final Severity], MATCH(tblPiNAnalysis5[[#This Row],[ID]],tblSeverityAnalysis[ID], 0))</f>
        <v>#N/A</v>
      </c>
      <c r="BF109" s="61" t="e">
        <f>IF(tblPiNAnalysis5[[#This Row],[Severity]]&gt;2,tblPiNAnalysis5[[#This Row],[Highest Target]],)</f>
        <v>#N/A</v>
      </c>
      <c r="BG109" s="191"/>
      <c r="BH109" s="192"/>
      <c r="BI109" s="193">
        <f>COUNTIFS(tblPiNAnalysis5[[#This Row],[Number of missing / zero PiNs greater than threshold - Data quality]:[Manual Flag]],"Flagged")</f>
        <v>0</v>
      </c>
      <c r="BJ109" s="96" t="str">
        <f>IF(tblPiNAnalysis5[[#This Row],['# Flags]]&gt;0, "Flagged", "")</f>
        <v/>
      </c>
      <c r="BK109" s="326" t="e">
        <f>tblPiNAnalysis5[[#This Row],[Preliminary Target]]</f>
        <v>#N/A</v>
      </c>
      <c r="BL109" s="331"/>
    </row>
    <row r="110" spans="1:64" ht="110.7" x14ac:dyDescent="0.55000000000000004">
      <c r="A1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0" s="316" t="s">
        <v>292</v>
      </c>
      <c r="C110" s="317" t="s">
        <v>293</v>
      </c>
      <c r="D110" s="317" t="s">
        <v>296</v>
      </c>
      <c r="E110" s="105" t="s">
        <v>297</v>
      </c>
      <c r="F110" s="100"/>
      <c r="G110" s="34"/>
      <c r="H110" s="34"/>
      <c r="I110" s="97">
        <v>143892.97660154747</v>
      </c>
      <c r="J110" s="97" t="s">
        <v>413</v>
      </c>
      <c r="K110" s="318">
        <v>0</v>
      </c>
      <c r="L110" s="319">
        <v>0</v>
      </c>
      <c r="M110" s="319">
        <v>0</v>
      </c>
      <c r="N110" s="319">
        <v>0</v>
      </c>
      <c r="O110" s="319">
        <v>0</v>
      </c>
      <c r="P110" s="319">
        <v>0</v>
      </c>
      <c r="Q110" s="320">
        <v>0</v>
      </c>
      <c r="R110" s="319">
        <v>0</v>
      </c>
      <c r="S110" s="319"/>
      <c r="T110" s="319"/>
      <c r="U110" s="319"/>
      <c r="V110" s="319"/>
      <c r="W110" s="321">
        <f>IFERROR(IF(tblPiNAnalysis5[[#This Row],[CCCM]]="", "", MROUND(tblPiNAnalysis5[[#This Row],[CCCM]]/tblPiNAnalysis5[[#This Row],[Affected population projection 2026]], 0.05)), "")</f>
        <v>0</v>
      </c>
      <c r="X110" s="322">
        <f>IFERROR(IF(tblPiNAnalysis5[[#This Row],[Education]]="", "", MROUND(tblPiNAnalysis5[[#This Row],[Education]]/tblPiNAnalysis5[[#This Row],[Affected population projection 2026]], 0.05)), "")</f>
        <v>0</v>
      </c>
      <c r="Y110" s="322">
        <f>IFERROR(IF(tblPiNAnalysis5[[#This Row],[Nutrition]]="", "", MROUND(tblPiNAnalysis5[[#This Row],[Nutrition]]/tblPiNAnalysis5[[#This Row],[Affected population projection 2026]], 0.05)), "")</f>
        <v>0</v>
      </c>
      <c r="Z110" s="322">
        <f>IFERROR(IF(tblPiNAnalysis5[[#This Row],[Food Security]]="", "", MROUND(tblPiNAnalysis5[[#This Row],[Food Security]]/tblPiNAnalysis5[[#This Row],[Affected population projection 2026]], 0.05)), "")</f>
        <v>0</v>
      </c>
      <c r="AA110" s="322">
        <f>IFERROR(IF(tblPiNAnalysis5[[#This Row],[Health]]="", "", MROUND(tblPiNAnalysis5[[#This Row],[Health]]/tblPiNAnalysis5[[#This Row],[Affected population projection 2026]], 0.05)), "")</f>
        <v>0</v>
      </c>
      <c r="AB110" s="323">
        <f>IFERROR(IF(tblPiNAnalysis5[[#This Row],[Overarching Protection]]="", "", MROUND(tblPiNAnalysis5[[#This Row],[Overarching Protection]]/tblPiNAnalysis5[[#This Row],[Affected population projection 2026]], 0.05)), "")</f>
        <v>0</v>
      </c>
      <c r="AC110" s="323">
        <f>IFERROR(IF(tblPiNAnalysis5[[#This Row],[Shelter]]="", "", MROUND(tblPiNAnalysis5[[#This Row],[Shelter]]/tblPiNAnalysis5[[#This Row],[Affected population projection 2026]], 0.05)), "")</f>
        <v>0</v>
      </c>
      <c r="AD110" s="324">
        <f>IFERROR(IF(tblPiNAnalysis5[[#This Row],[WASH]]="", "", MROUND(tblPiNAnalysis5[[#This Row],[WASH]]/tblPiNAnalysis5[[#This Row],[Affected population projection 2026]], 0.05)), "")</f>
        <v>0</v>
      </c>
      <c r="AE110" s="322">
        <f>IFERROR(MROUND(tblPiNAnalysis5[[#This Row],[CP]]/tblPiNAnalysis5[[#This Row],[Affected population projection 2026]], 0.05), "")</f>
        <v>0</v>
      </c>
      <c r="AF110" s="322">
        <f>IFERROR(MROUND(tblPiNAnalysis5[[#This Row],[GBV]]/tblPiNAnalysis5[[#This Row],[Affected population projection 2026]], 0.05), "")</f>
        <v>0</v>
      </c>
      <c r="AG110" s="322">
        <f>IFERROR(MROUND(tblPiNAnalysis5[[#This Row],[Mine Action]]/tblPiNAnalysis5[[#This Row],[Affected population projection 2026]], 0.05), "")</f>
        <v>0</v>
      </c>
      <c r="AH110" s="322">
        <f>IFERROR(MROUND(tblPiNAnalysis5[[#This Row],[HLP]]/tblPiNAnalysis5[[#This Row],[Affected population projection 2026]], 0.05), "")</f>
        <v>0</v>
      </c>
      <c r="AI110" s="325">
        <f>IFERROR(LARGE(tblPiNAnalysis5[[#This Row],[CCCM]:[WASH]], 1), "")</f>
        <v>0</v>
      </c>
      <c r="AJ110" s="326" t="str" cm="1">
        <f t="array" ref="AJ110">IF(tblPiNAnalysis5[[#This Row],[Highest Target]]="", "", _xlfn.TEXTJOIN(CHAR(10), TRUE, IF(tblPiNAnalysis5[[#This Row],[Highest Target]]=tblPiNAnalysis5[[#This Row],[CCCM]:[WASH]], tblPiNAnalysis5[[#Headers],[CCCM]:[WASH]], "")))</f>
        <v>CCCM
Education
Nutrition
Food Security
Health
Overarching Protection
Shelter
WASH</v>
      </c>
      <c r="AK110" s="327">
        <f>IF(tblPiNAnalysis5[[#This Row],[Highest Target]]="", "", tblPiNAnalysis5[[#This Row],[Highest Target]]/tblPiNAnalysis5[[#This Row],[Affected population projection 2026]])</f>
        <v>0</v>
      </c>
      <c r="AL110" s="328" t="str">
        <f>IF(SUM(tblPiNAnalysis5[[#This Row],[CCCM]:[WASH]])=0, "",IF(COUNTIF(tblPiNAnalysis5[[#This Row],[CCCM]:[WASH]],"=0")+COUNTIF(tblPiNAnalysis5[[#This Row],[CCCM]:[WASH]],"")&gt;=zero_pin_thresh, "Flagged", ""))</f>
        <v/>
      </c>
      <c r="AM110" s="329" t="str">
        <f>IFERROR(IF(tblPiNAnalysis5[[#This Row],[Highest Target]]="", "", IF(tblPiNAnalysis5[[#This Row],[Highest sector(s'') Target %]]&gt;=flag_pin_perc, "Flagged", "")), "")</f>
        <v/>
      </c>
      <c r="AN110" s="330" t="str" cm="1">
        <f t="array" ref="AN110">IF(tblPiNAnalysis5[[#This Row],[Highest Target]]=0, "",  IF(OR(COUNTIF(tblPiNAnalysis5[[#This Row],[Highest sector(s)]],tblSubSectorPopulation[Sector])), "Flagged", ""))</f>
        <v/>
      </c>
      <c r="AO110" s="46" cm="1">
        <f t="array" ref="AO11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0" s="331" t="str" cm="1">
        <f t="array" ref="AP110">IF(tblPiNAnalysis5[[#This Row],[2nd Highest Target]]="", "", _xlfn.TEXTJOIN(CHAR(10), TRUE, IF(tblPiNAnalysis5[[#This Row],[2nd Highest Target]]=tblPiNAnalysis5[[#This Row],[CCCM]:[WASH]], tblPiNAnalysis5[[#Headers],[CCCM]:[WASH]], "")))</f>
        <v>CCCM
Education
Nutrition
Food Security
Health
Overarching Protection
Shelter
WASH</v>
      </c>
      <c r="AQ110" s="36">
        <f>IFERROR(tblPiNAnalysis5[[#This Row],[2nd Highest Target]]/tblPiNAnalysis5[[#This Row],[Affected population projection 2026]], "")</f>
        <v>0</v>
      </c>
      <c r="AR110" s="46">
        <f>IFERROR(tblPiNAnalysis5[[#This Row],[Highest Target]]-tblPiNAnalysis5[[#This Row],[2nd Highest Target]], "")</f>
        <v>0</v>
      </c>
      <c r="AS110" s="39" t="str">
        <f>IFERROR(((tblPiNAnalysis5[[#This Row],[Highest Target]]-tblPiNAnalysis5[[#This Row],[2nd Highest Target]])/tblPiNAnalysis5[[#This Row],[2nd Highest Target]]),"")</f>
        <v/>
      </c>
      <c r="AT110" s="39" t="str" cm="1">
        <f t="array" ref="AT11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0" s="332" cm="1">
        <f t="array" ref="AU11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0" s="190" t="str" cm="1">
        <f t="array" ref="AV110">IF(tblPiNAnalysis5[[#This Row],[3rd Highest Target]]="", "", _xlfn.TEXTJOIN(CHAR(10), TRUE, IF(tblPiNAnalysis5[[#This Row],[3rd Highest Target]]=tblPiNAnalysis5[[#This Row],[CCCM]:[WASH]], tblPiNAnalysis5[[#Headers],[CCCM]:[WASH]], "")))</f>
        <v>CCCM
Education
Nutrition
Food Security
Health
Overarching Protection
Shelter
WASH</v>
      </c>
      <c r="AW110" s="190">
        <f>IFERROR(tblPiNAnalysis5[[#This Row],[3rd Highest Target]]/tblPiNAnalysis5[[#This Row],[Affected population projection 2026]], "")</f>
        <v>0</v>
      </c>
      <c r="AX110" s="45">
        <f>IFERROR(tblPiNAnalysis5[[#This Row],[Highest Target]]-tblPiNAnalysis5[[#This Row],[3rd Highest Target]],"")</f>
        <v>0</v>
      </c>
      <c r="AY110" s="39" t="str">
        <f>IFERROR(tblPiNAnalysis5[[#This Row],[Difference of Target between Highest and 3rd Highest]]/tblPiNAnalysis5[[#This Row],[3rd Highest Target]], "")</f>
        <v/>
      </c>
      <c r="AZ110" s="330" t="str" cm="1">
        <f t="array" ref="AZ11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0" s="300" t="str" cm="1">
        <f t="array" ref="BA11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0" s="333" t="str" cm="1">
        <f t="array" ref="BB11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0" s="276" t="str" cm="1">
        <f t="array" ref="BC11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0" s="334" t="str" cm="1">
        <f t="array" ref="BD11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0" s="277" t="e">
        <f>INDEX(tblSeverityAnalysis[Final Severity], MATCH(tblPiNAnalysis5[[#This Row],[ID]],tblSeverityAnalysis[ID], 0))</f>
        <v>#N/A</v>
      </c>
      <c r="BF110" s="61" t="e">
        <f>IF(tblPiNAnalysis5[[#This Row],[Severity]]&gt;2,tblPiNAnalysis5[[#This Row],[Highest Target]],)</f>
        <v>#N/A</v>
      </c>
      <c r="BG110" s="191"/>
      <c r="BH110" s="192"/>
      <c r="BI110" s="193">
        <f>COUNTIFS(tblPiNAnalysis5[[#This Row],[Number of missing / zero PiNs greater than threshold - Data quality]:[Manual Flag]],"Flagged")</f>
        <v>2</v>
      </c>
      <c r="BJ110" s="96" t="str">
        <f>IF(tblPiNAnalysis5[[#This Row],['# Flags]]&gt;0, "Flagged", "")</f>
        <v>Flagged</v>
      </c>
      <c r="BK110" s="326" t="e">
        <f>tblPiNAnalysis5[[#This Row],[Preliminary Target]]</f>
        <v>#N/A</v>
      </c>
      <c r="BL110" s="331"/>
    </row>
    <row r="111" spans="1:64" ht="110.7" x14ac:dyDescent="0.55000000000000004">
      <c r="A1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1" s="316" t="s">
        <v>292</v>
      </c>
      <c r="C111" s="317" t="s">
        <v>293</v>
      </c>
      <c r="D111" s="317" t="s">
        <v>298</v>
      </c>
      <c r="E111" s="105" t="s">
        <v>299</v>
      </c>
      <c r="F111" s="100"/>
      <c r="G111" s="34"/>
      <c r="H111" s="34"/>
      <c r="I111" s="97">
        <v>170865.34327385121</v>
      </c>
      <c r="J111" s="97" t="s">
        <v>413</v>
      </c>
      <c r="K111" s="318">
        <v>0</v>
      </c>
      <c r="L111" s="319">
        <v>0</v>
      </c>
      <c r="M111" s="319">
        <v>0</v>
      </c>
      <c r="N111" s="319">
        <v>0</v>
      </c>
      <c r="O111" s="319">
        <v>0</v>
      </c>
      <c r="P111" s="319">
        <v>0</v>
      </c>
      <c r="Q111" s="320">
        <v>0</v>
      </c>
      <c r="R111" s="319">
        <v>0</v>
      </c>
      <c r="S111" s="319"/>
      <c r="T111" s="319"/>
      <c r="U111" s="319"/>
      <c r="V111" s="319"/>
      <c r="W111" s="321">
        <f>IFERROR(IF(tblPiNAnalysis5[[#This Row],[CCCM]]="", "", MROUND(tblPiNAnalysis5[[#This Row],[CCCM]]/tblPiNAnalysis5[[#This Row],[Affected population projection 2026]], 0.05)), "")</f>
        <v>0</v>
      </c>
      <c r="X111" s="322">
        <f>IFERROR(IF(tblPiNAnalysis5[[#This Row],[Education]]="", "", MROUND(tblPiNAnalysis5[[#This Row],[Education]]/tblPiNAnalysis5[[#This Row],[Affected population projection 2026]], 0.05)), "")</f>
        <v>0</v>
      </c>
      <c r="Y111" s="322">
        <f>IFERROR(IF(tblPiNAnalysis5[[#This Row],[Nutrition]]="", "", MROUND(tblPiNAnalysis5[[#This Row],[Nutrition]]/tblPiNAnalysis5[[#This Row],[Affected population projection 2026]], 0.05)), "")</f>
        <v>0</v>
      </c>
      <c r="Z111" s="322">
        <f>IFERROR(IF(tblPiNAnalysis5[[#This Row],[Food Security]]="", "", MROUND(tblPiNAnalysis5[[#This Row],[Food Security]]/tblPiNAnalysis5[[#This Row],[Affected population projection 2026]], 0.05)), "")</f>
        <v>0</v>
      </c>
      <c r="AA111" s="322">
        <f>IFERROR(IF(tblPiNAnalysis5[[#This Row],[Health]]="", "", MROUND(tblPiNAnalysis5[[#This Row],[Health]]/tblPiNAnalysis5[[#This Row],[Affected population projection 2026]], 0.05)), "")</f>
        <v>0</v>
      </c>
      <c r="AB111" s="323">
        <f>IFERROR(IF(tblPiNAnalysis5[[#This Row],[Overarching Protection]]="", "", MROUND(tblPiNAnalysis5[[#This Row],[Overarching Protection]]/tblPiNAnalysis5[[#This Row],[Affected population projection 2026]], 0.05)), "")</f>
        <v>0</v>
      </c>
      <c r="AC111" s="323">
        <f>IFERROR(IF(tblPiNAnalysis5[[#This Row],[Shelter]]="", "", MROUND(tblPiNAnalysis5[[#This Row],[Shelter]]/tblPiNAnalysis5[[#This Row],[Affected population projection 2026]], 0.05)), "")</f>
        <v>0</v>
      </c>
      <c r="AD111" s="324">
        <f>IFERROR(IF(tblPiNAnalysis5[[#This Row],[WASH]]="", "", MROUND(tblPiNAnalysis5[[#This Row],[WASH]]/tblPiNAnalysis5[[#This Row],[Affected population projection 2026]], 0.05)), "")</f>
        <v>0</v>
      </c>
      <c r="AE111" s="322">
        <f>IFERROR(MROUND(tblPiNAnalysis5[[#This Row],[CP]]/tblPiNAnalysis5[[#This Row],[Affected population projection 2026]], 0.05), "")</f>
        <v>0</v>
      </c>
      <c r="AF111" s="322">
        <f>IFERROR(MROUND(tblPiNAnalysis5[[#This Row],[GBV]]/tblPiNAnalysis5[[#This Row],[Affected population projection 2026]], 0.05), "")</f>
        <v>0</v>
      </c>
      <c r="AG111" s="322">
        <f>IFERROR(MROUND(tblPiNAnalysis5[[#This Row],[Mine Action]]/tblPiNAnalysis5[[#This Row],[Affected population projection 2026]], 0.05), "")</f>
        <v>0</v>
      </c>
      <c r="AH111" s="322">
        <f>IFERROR(MROUND(tblPiNAnalysis5[[#This Row],[HLP]]/tblPiNAnalysis5[[#This Row],[Affected population projection 2026]], 0.05), "")</f>
        <v>0</v>
      </c>
      <c r="AI111" s="325">
        <f>IFERROR(LARGE(tblPiNAnalysis5[[#This Row],[CCCM]:[WASH]], 1), "")</f>
        <v>0</v>
      </c>
      <c r="AJ111" s="326" t="str" cm="1">
        <f t="array" ref="AJ111">IF(tblPiNAnalysis5[[#This Row],[Highest Target]]="", "", _xlfn.TEXTJOIN(CHAR(10), TRUE, IF(tblPiNAnalysis5[[#This Row],[Highest Target]]=tblPiNAnalysis5[[#This Row],[CCCM]:[WASH]], tblPiNAnalysis5[[#Headers],[CCCM]:[WASH]], "")))</f>
        <v>CCCM
Education
Nutrition
Food Security
Health
Overarching Protection
Shelter
WASH</v>
      </c>
      <c r="AK111" s="327">
        <f>IF(tblPiNAnalysis5[[#This Row],[Highest Target]]="", "", tblPiNAnalysis5[[#This Row],[Highest Target]]/tblPiNAnalysis5[[#This Row],[Affected population projection 2026]])</f>
        <v>0</v>
      </c>
      <c r="AL111" s="328" t="str">
        <f>IF(SUM(tblPiNAnalysis5[[#This Row],[CCCM]:[WASH]])=0, "",IF(COUNTIF(tblPiNAnalysis5[[#This Row],[CCCM]:[WASH]],"=0")+COUNTIF(tblPiNAnalysis5[[#This Row],[CCCM]:[WASH]],"")&gt;=zero_pin_thresh, "Flagged", ""))</f>
        <v/>
      </c>
      <c r="AM111" s="329" t="str">
        <f>IFERROR(IF(tblPiNAnalysis5[[#This Row],[Highest Target]]="", "", IF(tblPiNAnalysis5[[#This Row],[Highest sector(s'') Target %]]&gt;=flag_pin_perc, "Flagged", "")), "")</f>
        <v/>
      </c>
      <c r="AN111" s="330" t="str" cm="1">
        <f t="array" ref="AN111">IF(tblPiNAnalysis5[[#This Row],[Highest Target]]=0, "",  IF(OR(COUNTIF(tblPiNAnalysis5[[#This Row],[Highest sector(s)]],tblSubSectorPopulation[Sector])), "Flagged", ""))</f>
        <v/>
      </c>
      <c r="AO111" s="46" cm="1">
        <f t="array" ref="AO11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1" s="331" t="str" cm="1">
        <f t="array" ref="AP111">IF(tblPiNAnalysis5[[#This Row],[2nd Highest Target]]="", "", _xlfn.TEXTJOIN(CHAR(10), TRUE, IF(tblPiNAnalysis5[[#This Row],[2nd Highest Target]]=tblPiNAnalysis5[[#This Row],[CCCM]:[WASH]], tblPiNAnalysis5[[#Headers],[CCCM]:[WASH]], "")))</f>
        <v>CCCM
Education
Nutrition
Food Security
Health
Overarching Protection
Shelter
WASH</v>
      </c>
      <c r="AQ111" s="36">
        <f>IFERROR(tblPiNAnalysis5[[#This Row],[2nd Highest Target]]/tblPiNAnalysis5[[#This Row],[Affected population projection 2026]], "")</f>
        <v>0</v>
      </c>
      <c r="AR111" s="46">
        <f>IFERROR(tblPiNAnalysis5[[#This Row],[Highest Target]]-tblPiNAnalysis5[[#This Row],[2nd Highest Target]], "")</f>
        <v>0</v>
      </c>
      <c r="AS111" s="39" t="str">
        <f>IFERROR(((tblPiNAnalysis5[[#This Row],[Highest Target]]-tblPiNAnalysis5[[#This Row],[2nd Highest Target]])/tblPiNAnalysis5[[#This Row],[2nd Highest Target]]),"")</f>
        <v/>
      </c>
      <c r="AT111" s="39" t="str" cm="1">
        <f t="array" ref="AT11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1" s="332" cm="1">
        <f t="array" ref="AU11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1" s="190" t="str" cm="1">
        <f t="array" ref="AV111">IF(tblPiNAnalysis5[[#This Row],[3rd Highest Target]]="", "", _xlfn.TEXTJOIN(CHAR(10), TRUE, IF(tblPiNAnalysis5[[#This Row],[3rd Highest Target]]=tblPiNAnalysis5[[#This Row],[CCCM]:[WASH]], tblPiNAnalysis5[[#Headers],[CCCM]:[WASH]], "")))</f>
        <v>CCCM
Education
Nutrition
Food Security
Health
Overarching Protection
Shelter
WASH</v>
      </c>
      <c r="AW111" s="190">
        <f>IFERROR(tblPiNAnalysis5[[#This Row],[3rd Highest Target]]/tblPiNAnalysis5[[#This Row],[Affected population projection 2026]], "")</f>
        <v>0</v>
      </c>
      <c r="AX111" s="45">
        <f>IFERROR(tblPiNAnalysis5[[#This Row],[Highest Target]]-tblPiNAnalysis5[[#This Row],[3rd Highest Target]],"")</f>
        <v>0</v>
      </c>
      <c r="AY111" s="39" t="str">
        <f>IFERROR(tblPiNAnalysis5[[#This Row],[Difference of Target between Highest and 3rd Highest]]/tblPiNAnalysis5[[#This Row],[3rd Highest Target]], "")</f>
        <v/>
      </c>
      <c r="AZ111" s="330" t="str" cm="1">
        <f t="array" ref="AZ11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1" s="300" t="str" cm="1">
        <f t="array" ref="BA11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1" s="333" t="str" cm="1">
        <f t="array" ref="BB11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1" s="276" t="str" cm="1">
        <f t="array" ref="BC11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1" s="334" t="str" cm="1">
        <f t="array" ref="BD11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1" s="277" t="e">
        <f>INDEX(tblSeverityAnalysis[Final Severity], MATCH(tblPiNAnalysis5[[#This Row],[ID]],tblSeverityAnalysis[ID], 0))</f>
        <v>#N/A</v>
      </c>
      <c r="BF111" s="61" t="e">
        <f>IF(tblPiNAnalysis5[[#This Row],[Severity]]&gt;2,tblPiNAnalysis5[[#This Row],[Highest Target]],)</f>
        <v>#N/A</v>
      </c>
      <c r="BG111" s="191"/>
      <c r="BH111" s="192"/>
      <c r="BI111" s="193">
        <f>COUNTIFS(tblPiNAnalysis5[[#This Row],[Number of missing / zero PiNs greater than threshold - Data quality]:[Manual Flag]],"Flagged")</f>
        <v>2</v>
      </c>
      <c r="BJ111" s="96" t="str">
        <f>IF(tblPiNAnalysis5[[#This Row],['# Flags]]&gt;0, "Flagged", "")</f>
        <v>Flagged</v>
      </c>
      <c r="BK111" s="326" t="e">
        <f>tblPiNAnalysis5[[#This Row],[Preliminary Target]]</f>
        <v>#N/A</v>
      </c>
      <c r="BL111" s="331"/>
    </row>
    <row r="112" spans="1:64" ht="110.7" x14ac:dyDescent="0.55000000000000004">
      <c r="A1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2" s="316" t="s">
        <v>292</v>
      </c>
      <c r="C112" s="317" t="s">
        <v>293</v>
      </c>
      <c r="D112" s="317" t="s">
        <v>300</v>
      </c>
      <c r="E112" s="105" t="s">
        <v>301</v>
      </c>
      <c r="F112" s="100"/>
      <c r="G112" s="34"/>
      <c r="H112" s="34"/>
      <c r="I112" s="97">
        <v>131576.89060543224</v>
      </c>
      <c r="J112" s="97" t="s">
        <v>413</v>
      </c>
      <c r="K112" s="318">
        <v>0</v>
      </c>
      <c r="L112" s="319">
        <v>0</v>
      </c>
      <c r="M112" s="319">
        <v>0</v>
      </c>
      <c r="N112" s="319">
        <v>0</v>
      </c>
      <c r="O112" s="319">
        <v>0</v>
      </c>
      <c r="P112" s="319">
        <v>0</v>
      </c>
      <c r="Q112" s="320">
        <v>0</v>
      </c>
      <c r="R112" s="319">
        <v>0</v>
      </c>
      <c r="S112" s="319"/>
      <c r="T112" s="319"/>
      <c r="U112" s="319"/>
      <c r="V112" s="319"/>
      <c r="W112" s="321">
        <f>IFERROR(IF(tblPiNAnalysis5[[#This Row],[CCCM]]="", "", MROUND(tblPiNAnalysis5[[#This Row],[CCCM]]/tblPiNAnalysis5[[#This Row],[Affected population projection 2026]], 0.05)), "")</f>
        <v>0</v>
      </c>
      <c r="X112" s="322">
        <f>IFERROR(IF(tblPiNAnalysis5[[#This Row],[Education]]="", "", MROUND(tblPiNAnalysis5[[#This Row],[Education]]/tblPiNAnalysis5[[#This Row],[Affected population projection 2026]], 0.05)), "")</f>
        <v>0</v>
      </c>
      <c r="Y112" s="322">
        <f>IFERROR(IF(tblPiNAnalysis5[[#This Row],[Nutrition]]="", "", MROUND(tblPiNAnalysis5[[#This Row],[Nutrition]]/tblPiNAnalysis5[[#This Row],[Affected population projection 2026]], 0.05)), "")</f>
        <v>0</v>
      </c>
      <c r="Z112" s="322">
        <f>IFERROR(IF(tblPiNAnalysis5[[#This Row],[Food Security]]="", "", MROUND(tblPiNAnalysis5[[#This Row],[Food Security]]/tblPiNAnalysis5[[#This Row],[Affected population projection 2026]], 0.05)), "")</f>
        <v>0</v>
      </c>
      <c r="AA112" s="322">
        <f>IFERROR(IF(tblPiNAnalysis5[[#This Row],[Health]]="", "", MROUND(tblPiNAnalysis5[[#This Row],[Health]]/tblPiNAnalysis5[[#This Row],[Affected population projection 2026]], 0.05)), "")</f>
        <v>0</v>
      </c>
      <c r="AB112" s="323">
        <f>IFERROR(IF(tblPiNAnalysis5[[#This Row],[Overarching Protection]]="", "", MROUND(tblPiNAnalysis5[[#This Row],[Overarching Protection]]/tblPiNAnalysis5[[#This Row],[Affected population projection 2026]], 0.05)), "")</f>
        <v>0</v>
      </c>
      <c r="AC112" s="323">
        <f>IFERROR(IF(tblPiNAnalysis5[[#This Row],[Shelter]]="", "", MROUND(tblPiNAnalysis5[[#This Row],[Shelter]]/tblPiNAnalysis5[[#This Row],[Affected population projection 2026]], 0.05)), "")</f>
        <v>0</v>
      </c>
      <c r="AD112" s="324">
        <f>IFERROR(IF(tblPiNAnalysis5[[#This Row],[WASH]]="", "", MROUND(tblPiNAnalysis5[[#This Row],[WASH]]/tblPiNAnalysis5[[#This Row],[Affected population projection 2026]], 0.05)), "")</f>
        <v>0</v>
      </c>
      <c r="AE112" s="322">
        <f>IFERROR(MROUND(tblPiNAnalysis5[[#This Row],[CP]]/tblPiNAnalysis5[[#This Row],[Affected population projection 2026]], 0.05), "")</f>
        <v>0</v>
      </c>
      <c r="AF112" s="322">
        <f>IFERROR(MROUND(tblPiNAnalysis5[[#This Row],[GBV]]/tblPiNAnalysis5[[#This Row],[Affected population projection 2026]], 0.05), "")</f>
        <v>0</v>
      </c>
      <c r="AG112" s="322">
        <f>IFERROR(MROUND(tblPiNAnalysis5[[#This Row],[Mine Action]]/tblPiNAnalysis5[[#This Row],[Affected population projection 2026]], 0.05), "")</f>
        <v>0</v>
      </c>
      <c r="AH112" s="322">
        <f>IFERROR(MROUND(tblPiNAnalysis5[[#This Row],[HLP]]/tblPiNAnalysis5[[#This Row],[Affected population projection 2026]], 0.05), "")</f>
        <v>0</v>
      </c>
      <c r="AI112" s="325">
        <f>IFERROR(LARGE(tblPiNAnalysis5[[#This Row],[CCCM]:[WASH]], 1), "")</f>
        <v>0</v>
      </c>
      <c r="AJ112" s="326" t="str" cm="1">
        <f t="array" ref="AJ112">IF(tblPiNAnalysis5[[#This Row],[Highest Target]]="", "", _xlfn.TEXTJOIN(CHAR(10), TRUE, IF(tblPiNAnalysis5[[#This Row],[Highest Target]]=tblPiNAnalysis5[[#This Row],[CCCM]:[WASH]], tblPiNAnalysis5[[#Headers],[CCCM]:[WASH]], "")))</f>
        <v>CCCM
Education
Nutrition
Food Security
Health
Overarching Protection
Shelter
WASH</v>
      </c>
      <c r="AK112" s="327">
        <f>IF(tblPiNAnalysis5[[#This Row],[Highest Target]]="", "", tblPiNAnalysis5[[#This Row],[Highest Target]]/tblPiNAnalysis5[[#This Row],[Affected population projection 2026]])</f>
        <v>0</v>
      </c>
      <c r="AL112" s="328" t="str">
        <f>IF(SUM(tblPiNAnalysis5[[#This Row],[CCCM]:[WASH]])=0, "",IF(COUNTIF(tblPiNAnalysis5[[#This Row],[CCCM]:[WASH]],"=0")+COUNTIF(tblPiNAnalysis5[[#This Row],[CCCM]:[WASH]],"")&gt;=zero_pin_thresh, "Flagged", ""))</f>
        <v/>
      </c>
      <c r="AM112" s="329" t="str">
        <f>IFERROR(IF(tblPiNAnalysis5[[#This Row],[Highest Target]]="", "", IF(tblPiNAnalysis5[[#This Row],[Highest sector(s'') Target %]]&gt;=flag_pin_perc, "Flagged", "")), "")</f>
        <v/>
      </c>
      <c r="AN112" s="330" t="str" cm="1">
        <f t="array" ref="AN112">IF(tblPiNAnalysis5[[#This Row],[Highest Target]]=0, "",  IF(OR(COUNTIF(tblPiNAnalysis5[[#This Row],[Highest sector(s)]],tblSubSectorPopulation[Sector])), "Flagged", ""))</f>
        <v/>
      </c>
      <c r="AO112" s="46" cm="1">
        <f t="array" ref="AO11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2" s="331" t="str" cm="1">
        <f t="array" ref="AP112">IF(tblPiNAnalysis5[[#This Row],[2nd Highest Target]]="", "", _xlfn.TEXTJOIN(CHAR(10), TRUE, IF(tblPiNAnalysis5[[#This Row],[2nd Highest Target]]=tblPiNAnalysis5[[#This Row],[CCCM]:[WASH]], tblPiNAnalysis5[[#Headers],[CCCM]:[WASH]], "")))</f>
        <v>CCCM
Education
Nutrition
Food Security
Health
Overarching Protection
Shelter
WASH</v>
      </c>
      <c r="AQ112" s="36">
        <f>IFERROR(tblPiNAnalysis5[[#This Row],[2nd Highest Target]]/tblPiNAnalysis5[[#This Row],[Affected population projection 2026]], "")</f>
        <v>0</v>
      </c>
      <c r="AR112" s="46">
        <f>IFERROR(tblPiNAnalysis5[[#This Row],[Highest Target]]-tblPiNAnalysis5[[#This Row],[2nd Highest Target]], "")</f>
        <v>0</v>
      </c>
      <c r="AS112" s="39" t="str">
        <f>IFERROR(((tblPiNAnalysis5[[#This Row],[Highest Target]]-tblPiNAnalysis5[[#This Row],[2nd Highest Target]])/tblPiNAnalysis5[[#This Row],[2nd Highest Target]]),"")</f>
        <v/>
      </c>
      <c r="AT112" s="39" t="str" cm="1">
        <f t="array" ref="AT11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2" s="332" cm="1">
        <f t="array" ref="AU11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2" s="190" t="str" cm="1">
        <f t="array" ref="AV112">IF(tblPiNAnalysis5[[#This Row],[3rd Highest Target]]="", "", _xlfn.TEXTJOIN(CHAR(10), TRUE, IF(tblPiNAnalysis5[[#This Row],[3rd Highest Target]]=tblPiNAnalysis5[[#This Row],[CCCM]:[WASH]], tblPiNAnalysis5[[#Headers],[CCCM]:[WASH]], "")))</f>
        <v>CCCM
Education
Nutrition
Food Security
Health
Overarching Protection
Shelter
WASH</v>
      </c>
      <c r="AW112" s="190">
        <f>IFERROR(tblPiNAnalysis5[[#This Row],[3rd Highest Target]]/tblPiNAnalysis5[[#This Row],[Affected population projection 2026]], "")</f>
        <v>0</v>
      </c>
      <c r="AX112" s="45">
        <f>IFERROR(tblPiNAnalysis5[[#This Row],[Highest Target]]-tblPiNAnalysis5[[#This Row],[3rd Highest Target]],"")</f>
        <v>0</v>
      </c>
      <c r="AY112" s="39" t="str">
        <f>IFERROR(tblPiNAnalysis5[[#This Row],[Difference of Target between Highest and 3rd Highest]]/tblPiNAnalysis5[[#This Row],[3rd Highest Target]], "")</f>
        <v/>
      </c>
      <c r="AZ112" s="330" t="str" cm="1">
        <f t="array" ref="AZ11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2" s="300" t="str" cm="1">
        <f t="array" ref="BA11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2" s="333" t="str" cm="1">
        <f t="array" ref="BB11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2" s="276" t="str" cm="1">
        <f t="array" ref="BC11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2" s="334" t="str" cm="1">
        <f t="array" ref="BD11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2" s="277" t="e">
        <f>INDEX(tblSeverityAnalysis[Final Severity], MATCH(tblPiNAnalysis5[[#This Row],[ID]],tblSeverityAnalysis[ID], 0))</f>
        <v>#N/A</v>
      </c>
      <c r="BF112" s="61" t="e">
        <f>IF(tblPiNAnalysis5[[#This Row],[Severity]]&gt;2,tblPiNAnalysis5[[#This Row],[Highest Target]],)</f>
        <v>#N/A</v>
      </c>
      <c r="BG112" s="191"/>
      <c r="BH112" s="192"/>
      <c r="BI112" s="193">
        <f>COUNTIFS(tblPiNAnalysis5[[#This Row],[Number of missing / zero PiNs greater than threshold - Data quality]:[Manual Flag]],"Flagged")</f>
        <v>2</v>
      </c>
      <c r="BJ112" s="96" t="str">
        <f>IF(tblPiNAnalysis5[[#This Row],['# Flags]]&gt;0, "Flagged", "")</f>
        <v>Flagged</v>
      </c>
      <c r="BK112" s="326" t="e">
        <f>tblPiNAnalysis5[[#This Row],[Preliminary Target]]</f>
        <v>#N/A</v>
      </c>
      <c r="BL112" s="331"/>
    </row>
    <row r="113" spans="1:64" x14ac:dyDescent="0.55000000000000004">
      <c r="A1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3" s="316" t="s">
        <v>292</v>
      </c>
      <c r="C113" s="317" t="s">
        <v>293</v>
      </c>
      <c r="D113" s="317" t="s">
        <v>302</v>
      </c>
      <c r="E113" s="105" t="s">
        <v>303</v>
      </c>
      <c r="F113" s="100"/>
      <c r="G113" s="34"/>
      <c r="H113" s="34"/>
      <c r="I113" s="97">
        <v>38561.747092505328</v>
      </c>
      <c r="J113" s="97" t="s">
        <v>413</v>
      </c>
      <c r="K113" s="318">
        <v>0</v>
      </c>
      <c r="L113" s="319">
        <v>1048.6134448612065</v>
      </c>
      <c r="M113" s="319">
        <v>6743.9571247993836</v>
      </c>
      <c r="N113" s="319">
        <v>7657.630756073303</v>
      </c>
      <c r="O113" s="319">
        <v>9263.9271118317556</v>
      </c>
      <c r="P113" s="319">
        <v>1988.1217587373169</v>
      </c>
      <c r="Q113" s="320">
        <v>0</v>
      </c>
      <c r="R113" s="319">
        <v>446.31651727436719</v>
      </c>
      <c r="S113" s="319"/>
      <c r="T113" s="319"/>
      <c r="U113" s="319"/>
      <c r="V113" s="319"/>
      <c r="W113" s="321">
        <f>IFERROR(IF(tblPiNAnalysis5[[#This Row],[CCCM]]="", "", MROUND(tblPiNAnalysis5[[#This Row],[CCCM]]/tblPiNAnalysis5[[#This Row],[Affected population projection 2026]], 0.05)), "")</f>
        <v>0</v>
      </c>
      <c r="X113" s="322">
        <f>IFERROR(IF(tblPiNAnalysis5[[#This Row],[Education]]="", "", MROUND(tblPiNAnalysis5[[#This Row],[Education]]/tblPiNAnalysis5[[#This Row],[Affected population projection 2026]], 0.05)), "")</f>
        <v>0.05</v>
      </c>
      <c r="Y113" s="322">
        <f>IFERROR(IF(tblPiNAnalysis5[[#This Row],[Nutrition]]="", "", MROUND(tblPiNAnalysis5[[#This Row],[Nutrition]]/tblPiNAnalysis5[[#This Row],[Affected population projection 2026]], 0.05)), "")</f>
        <v>0.15000000000000002</v>
      </c>
      <c r="Z113" s="322">
        <f>IFERROR(IF(tblPiNAnalysis5[[#This Row],[Food Security]]="", "", MROUND(tblPiNAnalysis5[[#This Row],[Food Security]]/tblPiNAnalysis5[[#This Row],[Affected population projection 2026]], 0.05)), "")</f>
        <v>0.2</v>
      </c>
      <c r="AA113" s="322">
        <f>IFERROR(IF(tblPiNAnalysis5[[#This Row],[Health]]="", "", MROUND(tblPiNAnalysis5[[#This Row],[Health]]/tblPiNAnalysis5[[#This Row],[Affected population projection 2026]], 0.05)), "")</f>
        <v>0.25</v>
      </c>
      <c r="AB113" s="323">
        <f>IFERROR(IF(tblPiNAnalysis5[[#This Row],[Overarching Protection]]="", "", MROUND(tblPiNAnalysis5[[#This Row],[Overarching Protection]]/tblPiNAnalysis5[[#This Row],[Affected population projection 2026]], 0.05)), "")</f>
        <v>0.05</v>
      </c>
      <c r="AC113" s="323">
        <f>IFERROR(IF(tblPiNAnalysis5[[#This Row],[Shelter]]="", "", MROUND(tblPiNAnalysis5[[#This Row],[Shelter]]/tblPiNAnalysis5[[#This Row],[Affected population projection 2026]], 0.05)), "")</f>
        <v>0</v>
      </c>
      <c r="AD113" s="324">
        <f>IFERROR(IF(tblPiNAnalysis5[[#This Row],[WASH]]="", "", MROUND(tblPiNAnalysis5[[#This Row],[WASH]]/tblPiNAnalysis5[[#This Row],[Affected population projection 2026]], 0.05)), "")</f>
        <v>0</v>
      </c>
      <c r="AE113" s="322">
        <f>IFERROR(MROUND(tblPiNAnalysis5[[#This Row],[CP]]/tblPiNAnalysis5[[#This Row],[Affected population projection 2026]], 0.05), "")</f>
        <v>0</v>
      </c>
      <c r="AF113" s="322">
        <f>IFERROR(MROUND(tblPiNAnalysis5[[#This Row],[GBV]]/tblPiNAnalysis5[[#This Row],[Affected population projection 2026]], 0.05), "")</f>
        <v>0</v>
      </c>
      <c r="AG113" s="322">
        <f>IFERROR(MROUND(tblPiNAnalysis5[[#This Row],[Mine Action]]/tblPiNAnalysis5[[#This Row],[Affected population projection 2026]], 0.05), "")</f>
        <v>0</v>
      </c>
      <c r="AH113" s="322">
        <f>IFERROR(MROUND(tblPiNAnalysis5[[#This Row],[HLP]]/tblPiNAnalysis5[[#This Row],[Affected population projection 2026]], 0.05), "")</f>
        <v>0</v>
      </c>
      <c r="AI113" s="325">
        <f>IFERROR(LARGE(tblPiNAnalysis5[[#This Row],[CCCM]:[WASH]], 1), "")</f>
        <v>9263.9271118317556</v>
      </c>
      <c r="AJ113" s="326" t="str" cm="1">
        <f t="array" ref="AJ113">IF(tblPiNAnalysis5[[#This Row],[Highest Target]]="", "", _xlfn.TEXTJOIN(CHAR(10), TRUE, IF(tblPiNAnalysis5[[#This Row],[Highest Target]]=tblPiNAnalysis5[[#This Row],[CCCM]:[WASH]], tblPiNAnalysis5[[#Headers],[CCCM]:[WASH]], "")))</f>
        <v>Health</v>
      </c>
      <c r="AK113" s="327">
        <f>IF(tblPiNAnalysis5[[#This Row],[Highest Target]]="", "", tblPiNAnalysis5[[#This Row],[Highest Target]]/tblPiNAnalysis5[[#This Row],[Affected population projection 2026]])</f>
        <v>0.2402361876812435</v>
      </c>
      <c r="AL113" s="328" t="str">
        <f>IF(SUM(tblPiNAnalysis5[[#This Row],[CCCM]:[WASH]])=0, "",IF(COUNTIF(tblPiNAnalysis5[[#This Row],[CCCM]:[WASH]],"=0")+COUNTIF(tblPiNAnalysis5[[#This Row],[CCCM]:[WASH]],"")&gt;=zero_pin_thresh, "Flagged", ""))</f>
        <v>Flagged</v>
      </c>
      <c r="AM113" s="329" t="str">
        <f>IFERROR(IF(tblPiNAnalysis5[[#This Row],[Highest Target]]="", "", IF(tblPiNAnalysis5[[#This Row],[Highest sector(s'') Target %]]&gt;=flag_pin_perc, "Flagged", "")), "")</f>
        <v/>
      </c>
      <c r="AN113" s="330" t="str" cm="1">
        <f t="array" ref="AN113">IF(tblPiNAnalysis5[[#This Row],[Highest Target]]=0, "",  IF(OR(COUNTIF(tblPiNAnalysis5[[#This Row],[Highest sector(s)]],tblSubSectorPopulation[Sector])), "Flagged", ""))</f>
        <v/>
      </c>
      <c r="AO113" s="46" cm="1">
        <f t="array" ref="AO11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7657.630756073303</v>
      </c>
      <c r="AP113" s="331" t="str" cm="1">
        <f t="array" ref="AP113">IF(tblPiNAnalysis5[[#This Row],[2nd Highest Target]]="", "", _xlfn.TEXTJOIN(CHAR(10), TRUE, IF(tblPiNAnalysis5[[#This Row],[2nd Highest Target]]=tblPiNAnalysis5[[#This Row],[CCCM]:[WASH]], tblPiNAnalysis5[[#Headers],[CCCM]:[WASH]], "")))</f>
        <v>Food Security</v>
      </c>
      <c r="AQ113" s="36">
        <f>IFERROR(tblPiNAnalysis5[[#This Row],[2nd Highest Target]]/tblPiNAnalysis5[[#This Row],[Affected population projection 2026]], "")</f>
        <v>0.19858101184325236</v>
      </c>
      <c r="AR113" s="46">
        <f>IFERROR(tblPiNAnalysis5[[#This Row],[Highest Target]]-tblPiNAnalysis5[[#This Row],[2nd Highest Target]], "")</f>
        <v>1606.2963557584526</v>
      </c>
      <c r="AS113" s="39">
        <f>IFERROR(((tblPiNAnalysis5[[#This Row],[Highest Target]]-tblPiNAnalysis5[[#This Row],[2nd Highest Target]])/tblPiNAnalysis5[[#This Row],[2nd Highest Target]]),"")</f>
        <v>0.20976414336568674</v>
      </c>
      <c r="AT113" s="39" t="str" cm="1">
        <f t="array" ref="AT11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3" s="332" cm="1">
        <f t="array" ref="AU11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6743.9571247993836</v>
      </c>
      <c r="AV113" s="190" t="str" cm="1">
        <f t="array" ref="AV113">IF(tblPiNAnalysis5[[#This Row],[3rd Highest Target]]="", "", _xlfn.TEXTJOIN(CHAR(10), TRUE, IF(tblPiNAnalysis5[[#This Row],[3rd Highest Target]]=tblPiNAnalysis5[[#This Row],[CCCM]:[WASH]], tblPiNAnalysis5[[#Headers],[CCCM]:[WASH]], "")))</f>
        <v>Nutrition</v>
      </c>
      <c r="AW113" s="190">
        <f>IFERROR(tblPiNAnalysis5[[#This Row],[3rd Highest Target]]/tblPiNAnalysis5[[#This Row],[Affected population projection 2026]], "")</f>
        <v>0.17488722978814686</v>
      </c>
      <c r="AX113" s="45">
        <f>IFERROR(tblPiNAnalysis5[[#This Row],[Highest Target]]-tblPiNAnalysis5[[#This Row],[3rd Highest Target]],"")</f>
        <v>2519.969987032372</v>
      </c>
      <c r="AY113" s="39">
        <f>IFERROR(tblPiNAnalysis5[[#This Row],[Difference of Target between Highest and 3rd Highest]]/tblPiNAnalysis5[[#This Row],[3rd Highest Target]], "")</f>
        <v>0.37366340568295575</v>
      </c>
      <c r="AZ113" s="330" t="str" cm="1">
        <f t="array" ref="AZ11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3" s="300" t="str" cm="1">
        <f t="array" ref="BA11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3" s="333" t="str" cm="1">
        <f t="array" ref="BB11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3" s="276" t="str" cm="1">
        <f t="array" ref="BC11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3" s="334" t="str" cm="1">
        <f t="array" ref="BD11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13" s="277" t="e">
        <f>INDEX(tblSeverityAnalysis[Final Severity], MATCH(tblPiNAnalysis5[[#This Row],[ID]],tblSeverityAnalysis[ID], 0))</f>
        <v>#N/A</v>
      </c>
      <c r="BF113" s="61" t="e">
        <f>IF(tblPiNAnalysis5[[#This Row],[Severity]]&gt;2,tblPiNAnalysis5[[#This Row],[Highest Target]],)</f>
        <v>#N/A</v>
      </c>
      <c r="BG113" s="191"/>
      <c r="BH113" s="192"/>
      <c r="BI113" s="193">
        <f>COUNTIFS(tblPiNAnalysis5[[#This Row],[Number of missing / zero PiNs greater than threshold - Data quality]:[Manual Flag]],"Flagged")</f>
        <v>2</v>
      </c>
      <c r="BJ113" s="96" t="str">
        <f>IF(tblPiNAnalysis5[[#This Row],['# Flags]]&gt;0, "Flagged", "")</f>
        <v>Flagged</v>
      </c>
      <c r="BK113" s="326" t="e">
        <f>tblPiNAnalysis5[[#This Row],[Preliminary Target]]</f>
        <v>#N/A</v>
      </c>
      <c r="BL113" s="331"/>
    </row>
    <row r="114" spans="1:64" ht="110.7" x14ac:dyDescent="0.55000000000000004">
      <c r="A1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4" s="316" t="s">
        <v>292</v>
      </c>
      <c r="C114" s="317" t="s">
        <v>293</v>
      </c>
      <c r="D114" s="317" t="s">
        <v>304</v>
      </c>
      <c r="E114" s="105" t="s">
        <v>305</v>
      </c>
      <c r="F114" s="100"/>
      <c r="G114" s="34"/>
      <c r="H114" s="34"/>
      <c r="I114" s="97">
        <v>62742.537670413069</v>
      </c>
      <c r="J114" s="97" t="s">
        <v>413</v>
      </c>
      <c r="K114" s="318">
        <v>0</v>
      </c>
      <c r="L114" s="319">
        <v>0</v>
      </c>
      <c r="M114" s="319">
        <v>0</v>
      </c>
      <c r="N114" s="319">
        <v>0</v>
      </c>
      <c r="O114" s="319">
        <v>0</v>
      </c>
      <c r="P114" s="319">
        <v>0</v>
      </c>
      <c r="Q114" s="320">
        <v>0</v>
      </c>
      <c r="R114" s="319">
        <v>0</v>
      </c>
      <c r="S114" s="319"/>
      <c r="T114" s="319"/>
      <c r="U114" s="319"/>
      <c r="V114" s="319"/>
      <c r="W114" s="321">
        <f>IFERROR(IF(tblPiNAnalysis5[[#This Row],[CCCM]]="", "", MROUND(tblPiNAnalysis5[[#This Row],[CCCM]]/tblPiNAnalysis5[[#This Row],[Affected population projection 2026]], 0.05)), "")</f>
        <v>0</v>
      </c>
      <c r="X114" s="322">
        <f>IFERROR(IF(tblPiNAnalysis5[[#This Row],[Education]]="", "", MROUND(tblPiNAnalysis5[[#This Row],[Education]]/tblPiNAnalysis5[[#This Row],[Affected population projection 2026]], 0.05)), "")</f>
        <v>0</v>
      </c>
      <c r="Y114" s="322">
        <f>IFERROR(IF(tblPiNAnalysis5[[#This Row],[Nutrition]]="", "", MROUND(tblPiNAnalysis5[[#This Row],[Nutrition]]/tblPiNAnalysis5[[#This Row],[Affected population projection 2026]], 0.05)), "")</f>
        <v>0</v>
      </c>
      <c r="Z114" s="322">
        <f>IFERROR(IF(tblPiNAnalysis5[[#This Row],[Food Security]]="", "", MROUND(tblPiNAnalysis5[[#This Row],[Food Security]]/tblPiNAnalysis5[[#This Row],[Affected population projection 2026]], 0.05)), "")</f>
        <v>0</v>
      </c>
      <c r="AA114" s="322">
        <f>IFERROR(IF(tblPiNAnalysis5[[#This Row],[Health]]="", "", MROUND(tblPiNAnalysis5[[#This Row],[Health]]/tblPiNAnalysis5[[#This Row],[Affected population projection 2026]], 0.05)), "")</f>
        <v>0</v>
      </c>
      <c r="AB114" s="323">
        <f>IFERROR(IF(tblPiNAnalysis5[[#This Row],[Overarching Protection]]="", "", MROUND(tblPiNAnalysis5[[#This Row],[Overarching Protection]]/tblPiNAnalysis5[[#This Row],[Affected population projection 2026]], 0.05)), "")</f>
        <v>0</v>
      </c>
      <c r="AC114" s="323">
        <f>IFERROR(IF(tblPiNAnalysis5[[#This Row],[Shelter]]="", "", MROUND(tblPiNAnalysis5[[#This Row],[Shelter]]/tblPiNAnalysis5[[#This Row],[Affected population projection 2026]], 0.05)), "")</f>
        <v>0</v>
      </c>
      <c r="AD114" s="324">
        <f>IFERROR(IF(tblPiNAnalysis5[[#This Row],[WASH]]="", "", MROUND(tblPiNAnalysis5[[#This Row],[WASH]]/tblPiNAnalysis5[[#This Row],[Affected population projection 2026]], 0.05)), "")</f>
        <v>0</v>
      </c>
      <c r="AE114" s="322">
        <f>IFERROR(MROUND(tblPiNAnalysis5[[#This Row],[CP]]/tblPiNAnalysis5[[#This Row],[Affected population projection 2026]], 0.05), "")</f>
        <v>0</v>
      </c>
      <c r="AF114" s="322">
        <f>IFERROR(MROUND(tblPiNAnalysis5[[#This Row],[GBV]]/tblPiNAnalysis5[[#This Row],[Affected population projection 2026]], 0.05), "")</f>
        <v>0</v>
      </c>
      <c r="AG114" s="322">
        <f>IFERROR(MROUND(tblPiNAnalysis5[[#This Row],[Mine Action]]/tblPiNAnalysis5[[#This Row],[Affected population projection 2026]], 0.05), "")</f>
        <v>0</v>
      </c>
      <c r="AH114" s="322">
        <f>IFERROR(MROUND(tblPiNAnalysis5[[#This Row],[HLP]]/tblPiNAnalysis5[[#This Row],[Affected population projection 2026]], 0.05), "")</f>
        <v>0</v>
      </c>
      <c r="AI114" s="325">
        <f>IFERROR(LARGE(tblPiNAnalysis5[[#This Row],[CCCM]:[WASH]], 1), "")</f>
        <v>0</v>
      </c>
      <c r="AJ114" s="326" t="str" cm="1">
        <f t="array" ref="AJ114">IF(tblPiNAnalysis5[[#This Row],[Highest Target]]="", "", _xlfn.TEXTJOIN(CHAR(10), TRUE, IF(tblPiNAnalysis5[[#This Row],[Highest Target]]=tblPiNAnalysis5[[#This Row],[CCCM]:[WASH]], tblPiNAnalysis5[[#Headers],[CCCM]:[WASH]], "")))</f>
        <v>CCCM
Education
Nutrition
Food Security
Health
Overarching Protection
Shelter
WASH</v>
      </c>
      <c r="AK114" s="327">
        <f>IF(tblPiNAnalysis5[[#This Row],[Highest Target]]="", "", tblPiNAnalysis5[[#This Row],[Highest Target]]/tblPiNAnalysis5[[#This Row],[Affected population projection 2026]])</f>
        <v>0</v>
      </c>
      <c r="AL114" s="328" t="str">
        <f>IF(SUM(tblPiNAnalysis5[[#This Row],[CCCM]:[WASH]])=0, "",IF(COUNTIF(tblPiNAnalysis5[[#This Row],[CCCM]:[WASH]],"=0")+COUNTIF(tblPiNAnalysis5[[#This Row],[CCCM]:[WASH]],"")&gt;=zero_pin_thresh, "Flagged", ""))</f>
        <v/>
      </c>
      <c r="AM114" s="329" t="str">
        <f>IFERROR(IF(tblPiNAnalysis5[[#This Row],[Highest Target]]="", "", IF(tblPiNAnalysis5[[#This Row],[Highest sector(s'') Target %]]&gt;=flag_pin_perc, "Flagged", "")), "")</f>
        <v/>
      </c>
      <c r="AN114" s="330" t="str" cm="1">
        <f t="array" ref="AN114">IF(tblPiNAnalysis5[[#This Row],[Highest Target]]=0, "",  IF(OR(COUNTIF(tblPiNAnalysis5[[#This Row],[Highest sector(s)]],tblSubSectorPopulation[Sector])), "Flagged", ""))</f>
        <v/>
      </c>
      <c r="AO114" s="46" cm="1">
        <f t="array" ref="AO11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4" s="331" t="str" cm="1">
        <f t="array" ref="AP114">IF(tblPiNAnalysis5[[#This Row],[2nd Highest Target]]="", "", _xlfn.TEXTJOIN(CHAR(10), TRUE, IF(tblPiNAnalysis5[[#This Row],[2nd Highest Target]]=tblPiNAnalysis5[[#This Row],[CCCM]:[WASH]], tblPiNAnalysis5[[#Headers],[CCCM]:[WASH]], "")))</f>
        <v>CCCM
Education
Nutrition
Food Security
Health
Overarching Protection
Shelter
WASH</v>
      </c>
      <c r="AQ114" s="36">
        <f>IFERROR(tblPiNAnalysis5[[#This Row],[2nd Highest Target]]/tblPiNAnalysis5[[#This Row],[Affected population projection 2026]], "")</f>
        <v>0</v>
      </c>
      <c r="AR114" s="46">
        <f>IFERROR(tblPiNAnalysis5[[#This Row],[Highest Target]]-tblPiNAnalysis5[[#This Row],[2nd Highest Target]], "")</f>
        <v>0</v>
      </c>
      <c r="AS114" s="39" t="str">
        <f>IFERROR(((tblPiNAnalysis5[[#This Row],[Highest Target]]-tblPiNAnalysis5[[#This Row],[2nd Highest Target]])/tblPiNAnalysis5[[#This Row],[2nd Highest Target]]),"")</f>
        <v/>
      </c>
      <c r="AT114" s="39" t="str" cm="1">
        <f t="array" ref="AT11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4" s="332" cm="1">
        <f t="array" ref="AU11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4" s="190" t="str" cm="1">
        <f t="array" ref="AV114">IF(tblPiNAnalysis5[[#This Row],[3rd Highest Target]]="", "", _xlfn.TEXTJOIN(CHAR(10), TRUE, IF(tblPiNAnalysis5[[#This Row],[3rd Highest Target]]=tblPiNAnalysis5[[#This Row],[CCCM]:[WASH]], tblPiNAnalysis5[[#Headers],[CCCM]:[WASH]], "")))</f>
        <v>CCCM
Education
Nutrition
Food Security
Health
Overarching Protection
Shelter
WASH</v>
      </c>
      <c r="AW114" s="190">
        <f>IFERROR(tblPiNAnalysis5[[#This Row],[3rd Highest Target]]/tblPiNAnalysis5[[#This Row],[Affected population projection 2026]], "")</f>
        <v>0</v>
      </c>
      <c r="AX114" s="45">
        <f>IFERROR(tblPiNAnalysis5[[#This Row],[Highest Target]]-tblPiNAnalysis5[[#This Row],[3rd Highest Target]],"")</f>
        <v>0</v>
      </c>
      <c r="AY114" s="39" t="str">
        <f>IFERROR(tblPiNAnalysis5[[#This Row],[Difference of Target between Highest and 3rd Highest]]/tblPiNAnalysis5[[#This Row],[3rd Highest Target]], "")</f>
        <v/>
      </c>
      <c r="AZ114" s="330" t="str" cm="1">
        <f t="array" ref="AZ11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4" s="300" t="str" cm="1">
        <f t="array" ref="BA11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4" s="333" t="str" cm="1">
        <f t="array" ref="BB11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4" s="276" t="str" cm="1">
        <f t="array" ref="BC11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4" s="334" t="str" cm="1">
        <f t="array" ref="BD11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4" s="277" t="e">
        <f>INDEX(tblSeverityAnalysis[Final Severity], MATCH(tblPiNAnalysis5[[#This Row],[ID]],tblSeverityAnalysis[ID], 0))</f>
        <v>#N/A</v>
      </c>
      <c r="BF114" s="61" t="e">
        <f>IF(tblPiNAnalysis5[[#This Row],[Severity]]&gt;2,tblPiNAnalysis5[[#This Row],[Highest Target]],)</f>
        <v>#N/A</v>
      </c>
      <c r="BG114" s="191"/>
      <c r="BH114" s="192"/>
      <c r="BI114" s="193">
        <f>COUNTIFS(tblPiNAnalysis5[[#This Row],[Number of missing / zero PiNs greater than threshold - Data quality]:[Manual Flag]],"Flagged")</f>
        <v>2</v>
      </c>
      <c r="BJ114" s="96" t="str">
        <f>IF(tblPiNAnalysis5[[#This Row],['# Flags]]&gt;0, "Flagged", "")</f>
        <v>Flagged</v>
      </c>
      <c r="BK114" s="326" t="e">
        <f>tblPiNAnalysis5[[#This Row],[Preliminary Target]]</f>
        <v>#N/A</v>
      </c>
      <c r="BL114" s="331"/>
    </row>
    <row r="115" spans="1:64" ht="24.6" x14ac:dyDescent="0.55000000000000004">
      <c r="A1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5" s="316" t="s">
        <v>292</v>
      </c>
      <c r="C115" s="317" t="s">
        <v>293</v>
      </c>
      <c r="D115" s="317" t="s">
        <v>306</v>
      </c>
      <c r="E115" s="105" t="s">
        <v>307</v>
      </c>
      <c r="F115" s="100"/>
      <c r="G115" s="34"/>
      <c r="H115" s="34"/>
      <c r="I115" s="97">
        <v>110327.5657380367</v>
      </c>
      <c r="J115" s="97" t="s">
        <v>413</v>
      </c>
      <c r="K115" s="318">
        <v>0</v>
      </c>
      <c r="L115" s="319">
        <v>1838.6088830243818</v>
      </c>
      <c r="M115" s="319">
        <v>19568.657874424189</v>
      </c>
      <c r="N115" s="319">
        <v>23154.111732684509</v>
      </c>
      <c r="O115" s="319">
        <v>14871.388369528931</v>
      </c>
      <c r="P115" s="319">
        <v>4044.503842940685</v>
      </c>
      <c r="Q115" s="320">
        <v>0</v>
      </c>
      <c r="R115" s="319">
        <v>15663.790197375582</v>
      </c>
      <c r="S115" s="319"/>
      <c r="T115" s="319"/>
      <c r="U115" s="319"/>
      <c r="V115" s="319"/>
      <c r="W115" s="321">
        <f>IFERROR(IF(tblPiNAnalysis5[[#This Row],[CCCM]]="", "", MROUND(tblPiNAnalysis5[[#This Row],[CCCM]]/tblPiNAnalysis5[[#This Row],[Affected population projection 2026]], 0.05)), "")</f>
        <v>0</v>
      </c>
      <c r="X115" s="322">
        <f>IFERROR(IF(tblPiNAnalysis5[[#This Row],[Education]]="", "", MROUND(tblPiNAnalysis5[[#This Row],[Education]]/tblPiNAnalysis5[[#This Row],[Affected population projection 2026]], 0.05)), "")</f>
        <v>0</v>
      </c>
      <c r="Y115" s="322">
        <f>IFERROR(IF(tblPiNAnalysis5[[#This Row],[Nutrition]]="", "", MROUND(tblPiNAnalysis5[[#This Row],[Nutrition]]/tblPiNAnalysis5[[#This Row],[Affected population projection 2026]], 0.05)), "")</f>
        <v>0.2</v>
      </c>
      <c r="Z115" s="322">
        <f>IFERROR(IF(tblPiNAnalysis5[[#This Row],[Food Security]]="", "", MROUND(tblPiNAnalysis5[[#This Row],[Food Security]]/tblPiNAnalysis5[[#This Row],[Affected population projection 2026]], 0.05)), "")</f>
        <v>0.2</v>
      </c>
      <c r="AA115" s="322">
        <f>IFERROR(IF(tblPiNAnalysis5[[#This Row],[Health]]="", "", MROUND(tblPiNAnalysis5[[#This Row],[Health]]/tblPiNAnalysis5[[#This Row],[Affected population projection 2026]], 0.05)), "")</f>
        <v>0.15000000000000002</v>
      </c>
      <c r="AB115" s="323">
        <f>IFERROR(IF(tblPiNAnalysis5[[#This Row],[Overarching Protection]]="", "", MROUND(tblPiNAnalysis5[[#This Row],[Overarching Protection]]/tblPiNAnalysis5[[#This Row],[Affected population projection 2026]], 0.05)), "")</f>
        <v>0.05</v>
      </c>
      <c r="AC115" s="323">
        <f>IFERROR(IF(tblPiNAnalysis5[[#This Row],[Shelter]]="", "", MROUND(tblPiNAnalysis5[[#This Row],[Shelter]]/tblPiNAnalysis5[[#This Row],[Affected population projection 2026]], 0.05)), "")</f>
        <v>0</v>
      </c>
      <c r="AD115" s="324">
        <f>IFERROR(IF(tblPiNAnalysis5[[#This Row],[WASH]]="", "", MROUND(tblPiNAnalysis5[[#This Row],[WASH]]/tblPiNAnalysis5[[#This Row],[Affected population projection 2026]], 0.05)), "")</f>
        <v>0.15000000000000002</v>
      </c>
      <c r="AE115" s="322">
        <f>IFERROR(MROUND(tblPiNAnalysis5[[#This Row],[CP]]/tblPiNAnalysis5[[#This Row],[Affected population projection 2026]], 0.05), "")</f>
        <v>0</v>
      </c>
      <c r="AF115" s="322">
        <f>IFERROR(MROUND(tblPiNAnalysis5[[#This Row],[GBV]]/tblPiNAnalysis5[[#This Row],[Affected population projection 2026]], 0.05), "")</f>
        <v>0</v>
      </c>
      <c r="AG115" s="322">
        <f>IFERROR(MROUND(tblPiNAnalysis5[[#This Row],[Mine Action]]/tblPiNAnalysis5[[#This Row],[Affected population projection 2026]], 0.05), "")</f>
        <v>0</v>
      </c>
      <c r="AH115" s="322">
        <f>IFERROR(MROUND(tblPiNAnalysis5[[#This Row],[HLP]]/tblPiNAnalysis5[[#This Row],[Affected population projection 2026]], 0.05), "")</f>
        <v>0</v>
      </c>
      <c r="AI115" s="325">
        <f>IFERROR(LARGE(tblPiNAnalysis5[[#This Row],[CCCM]:[WASH]], 1), "")</f>
        <v>23154.111732684509</v>
      </c>
      <c r="AJ115" s="326" t="str" cm="1">
        <f t="array" ref="AJ115">IF(tblPiNAnalysis5[[#This Row],[Highest Target]]="", "", _xlfn.TEXTJOIN(CHAR(10), TRUE, IF(tblPiNAnalysis5[[#This Row],[Highest Target]]=tblPiNAnalysis5[[#This Row],[CCCM]:[WASH]], tblPiNAnalysis5[[#Headers],[CCCM]:[WASH]], "")))</f>
        <v>Food Security</v>
      </c>
      <c r="AK115" s="327">
        <f>IF(tblPiNAnalysis5[[#This Row],[Highest Target]]="", "", tblPiNAnalysis5[[#This Row],[Highest Target]]/tblPiNAnalysis5[[#This Row],[Affected population projection 2026]])</f>
        <v>0.20986696822135958</v>
      </c>
      <c r="AL115" s="328" t="str">
        <f>IF(SUM(tblPiNAnalysis5[[#This Row],[CCCM]:[WASH]])=0, "",IF(COUNTIF(tblPiNAnalysis5[[#This Row],[CCCM]:[WASH]],"=0")+COUNTIF(tblPiNAnalysis5[[#This Row],[CCCM]:[WASH]],"")&gt;=zero_pin_thresh, "Flagged", ""))</f>
        <v>Flagged</v>
      </c>
      <c r="AM115" s="329" t="str">
        <f>IFERROR(IF(tblPiNAnalysis5[[#This Row],[Highest Target]]="", "", IF(tblPiNAnalysis5[[#This Row],[Highest sector(s'') Target %]]&gt;=flag_pin_perc, "Flagged", "")), "")</f>
        <v/>
      </c>
      <c r="AN115" s="330" t="str" cm="1">
        <f t="array" ref="AN115">IF(tblPiNAnalysis5[[#This Row],[Highest Target]]=0, "",  IF(OR(COUNTIF(tblPiNAnalysis5[[#This Row],[Highest sector(s)]],tblSubSectorPopulation[Sector])), "Flagged", ""))</f>
        <v/>
      </c>
      <c r="AO115" s="46" cm="1">
        <f t="array" ref="AO11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19568.657874424189</v>
      </c>
      <c r="AP115" s="331" t="str" cm="1">
        <f t="array" ref="AP115">IF(tblPiNAnalysis5[[#This Row],[2nd Highest Target]]="", "", _xlfn.TEXTJOIN(CHAR(10), TRUE, IF(tblPiNAnalysis5[[#This Row],[2nd Highest Target]]=tblPiNAnalysis5[[#This Row],[CCCM]:[WASH]], tblPiNAnalysis5[[#Headers],[CCCM]:[WASH]], "")))</f>
        <v>Nutrition</v>
      </c>
      <c r="AQ115" s="36">
        <f>IFERROR(tblPiNAnalysis5[[#This Row],[2nd Highest Target]]/tblPiNAnalysis5[[#This Row],[Affected population projection 2026]], "")</f>
        <v>0.17736870874943692</v>
      </c>
      <c r="AR115" s="46">
        <f>IFERROR(tblPiNAnalysis5[[#This Row],[Highest Target]]-tblPiNAnalysis5[[#This Row],[2nd Highest Target]], "")</f>
        <v>3585.45385826032</v>
      </c>
      <c r="AS115" s="39">
        <f>IFERROR(((tblPiNAnalysis5[[#This Row],[Highest Target]]-tblPiNAnalysis5[[#This Row],[2nd Highest Target]])/tblPiNAnalysis5[[#This Row],[2nd Highest Target]]),"")</f>
        <v>0.18322431110344212</v>
      </c>
      <c r="AT115" s="39" t="str" cm="1">
        <f t="array" ref="AT11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5" s="332" cm="1">
        <f t="array" ref="AU11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15663.790197375582</v>
      </c>
      <c r="AV115" s="190" t="str" cm="1">
        <f t="array" ref="AV115">IF(tblPiNAnalysis5[[#This Row],[3rd Highest Target]]="", "", _xlfn.TEXTJOIN(CHAR(10), TRUE, IF(tblPiNAnalysis5[[#This Row],[3rd Highest Target]]=tblPiNAnalysis5[[#This Row],[CCCM]:[WASH]], tblPiNAnalysis5[[#Headers],[CCCM]:[WASH]], "")))</f>
        <v>WASH</v>
      </c>
      <c r="AW115" s="190">
        <f>IFERROR(tblPiNAnalysis5[[#This Row],[3rd Highest Target]]/tblPiNAnalysis5[[#This Row],[Affected population projection 2026]], "")</f>
        <v>0.1419753086419753</v>
      </c>
      <c r="AX115" s="45">
        <f>IFERROR(tblPiNAnalysis5[[#This Row],[Highest Target]]-tblPiNAnalysis5[[#This Row],[3rd Highest Target]],"")</f>
        <v>7490.3215353089272</v>
      </c>
      <c r="AY115" s="39">
        <f>IFERROR(tblPiNAnalysis5[[#This Row],[Difference of Target between Highest and 3rd Highest]]/tblPiNAnalysis5[[#This Row],[3rd Highest Target]], "")</f>
        <v>0.47819342834175005</v>
      </c>
      <c r="AZ115" s="330" t="str" cm="1">
        <f t="array" ref="AZ11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5" s="300" t="str" cm="1">
        <f t="array" ref="BA11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5" s="333" t="str" cm="1">
        <f t="array" ref="BB11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15" s="276" t="str" cm="1">
        <f t="array" ref="BC11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5" s="334" t="str" cm="1">
        <f t="array" ref="BD11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15" s="277" t="e">
        <f>INDEX(tblSeverityAnalysis[Final Severity], MATCH(tblPiNAnalysis5[[#This Row],[ID]],tblSeverityAnalysis[ID], 0))</f>
        <v>#N/A</v>
      </c>
      <c r="BF115" s="61" t="e">
        <f>IF(tblPiNAnalysis5[[#This Row],[Severity]]&gt;2,tblPiNAnalysis5[[#This Row],[Highest Target]],)</f>
        <v>#N/A</v>
      </c>
      <c r="BG115" s="191"/>
      <c r="BH115" s="192"/>
      <c r="BI115" s="193">
        <f>COUNTIFS(tblPiNAnalysis5[[#This Row],[Number of missing / zero PiNs greater than threshold - Data quality]:[Manual Flag]],"Flagged")</f>
        <v>1</v>
      </c>
      <c r="BJ115" s="96" t="str">
        <f>IF(tblPiNAnalysis5[[#This Row],['# Flags]]&gt;0, "Flagged", "")</f>
        <v>Flagged</v>
      </c>
      <c r="BK115" s="326" t="e">
        <f>tblPiNAnalysis5[[#This Row],[Preliminary Target]]</f>
        <v>#N/A</v>
      </c>
      <c r="BL115" s="331"/>
    </row>
    <row r="116" spans="1:64" ht="110.7" x14ac:dyDescent="0.55000000000000004">
      <c r="A1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6" s="316" t="s">
        <v>292</v>
      </c>
      <c r="C116" s="317" t="s">
        <v>293</v>
      </c>
      <c r="D116" s="317" t="s">
        <v>308</v>
      </c>
      <c r="E116" s="105" t="s">
        <v>309</v>
      </c>
      <c r="F116" s="100"/>
      <c r="G116" s="34"/>
      <c r="H116" s="34"/>
      <c r="I116" s="97">
        <v>128918.60101552917</v>
      </c>
      <c r="J116" s="97" t="s">
        <v>413</v>
      </c>
      <c r="K116" s="318">
        <v>0</v>
      </c>
      <c r="L116" s="319">
        <v>0</v>
      </c>
      <c r="M116" s="319">
        <v>0</v>
      </c>
      <c r="N116" s="319">
        <v>0</v>
      </c>
      <c r="O116" s="319">
        <v>0</v>
      </c>
      <c r="P116" s="319">
        <v>0</v>
      </c>
      <c r="Q116" s="320">
        <v>0</v>
      </c>
      <c r="R116" s="319">
        <v>0</v>
      </c>
      <c r="S116" s="319"/>
      <c r="T116" s="319"/>
      <c r="U116" s="319"/>
      <c r="V116" s="319"/>
      <c r="W116" s="321">
        <f>IFERROR(IF(tblPiNAnalysis5[[#This Row],[CCCM]]="", "", MROUND(tblPiNAnalysis5[[#This Row],[CCCM]]/tblPiNAnalysis5[[#This Row],[Affected population projection 2026]], 0.05)), "")</f>
        <v>0</v>
      </c>
      <c r="X116" s="322">
        <f>IFERROR(IF(tblPiNAnalysis5[[#This Row],[Education]]="", "", MROUND(tblPiNAnalysis5[[#This Row],[Education]]/tblPiNAnalysis5[[#This Row],[Affected population projection 2026]], 0.05)), "")</f>
        <v>0</v>
      </c>
      <c r="Y116" s="322">
        <f>IFERROR(IF(tblPiNAnalysis5[[#This Row],[Nutrition]]="", "", MROUND(tblPiNAnalysis5[[#This Row],[Nutrition]]/tblPiNAnalysis5[[#This Row],[Affected population projection 2026]], 0.05)), "")</f>
        <v>0</v>
      </c>
      <c r="Z116" s="322">
        <f>IFERROR(IF(tblPiNAnalysis5[[#This Row],[Food Security]]="", "", MROUND(tblPiNAnalysis5[[#This Row],[Food Security]]/tblPiNAnalysis5[[#This Row],[Affected population projection 2026]], 0.05)), "")</f>
        <v>0</v>
      </c>
      <c r="AA116" s="322">
        <f>IFERROR(IF(tblPiNAnalysis5[[#This Row],[Health]]="", "", MROUND(tblPiNAnalysis5[[#This Row],[Health]]/tblPiNAnalysis5[[#This Row],[Affected population projection 2026]], 0.05)), "")</f>
        <v>0</v>
      </c>
      <c r="AB116" s="323">
        <f>IFERROR(IF(tblPiNAnalysis5[[#This Row],[Overarching Protection]]="", "", MROUND(tblPiNAnalysis5[[#This Row],[Overarching Protection]]/tblPiNAnalysis5[[#This Row],[Affected population projection 2026]], 0.05)), "")</f>
        <v>0</v>
      </c>
      <c r="AC116" s="323">
        <f>IFERROR(IF(tblPiNAnalysis5[[#This Row],[Shelter]]="", "", MROUND(tblPiNAnalysis5[[#This Row],[Shelter]]/tblPiNAnalysis5[[#This Row],[Affected population projection 2026]], 0.05)), "")</f>
        <v>0</v>
      </c>
      <c r="AD116" s="324">
        <f>IFERROR(IF(tblPiNAnalysis5[[#This Row],[WASH]]="", "", MROUND(tblPiNAnalysis5[[#This Row],[WASH]]/tblPiNAnalysis5[[#This Row],[Affected population projection 2026]], 0.05)), "")</f>
        <v>0</v>
      </c>
      <c r="AE116" s="322">
        <f>IFERROR(MROUND(tblPiNAnalysis5[[#This Row],[CP]]/tblPiNAnalysis5[[#This Row],[Affected population projection 2026]], 0.05), "")</f>
        <v>0</v>
      </c>
      <c r="AF116" s="322">
        <f>IFERROR(MROUND(tblPiNAnalysis5[[#This Row],[GBV]]/tblPiNAnalysis5[[#This Row],[Affected population projection 2026]], 0.05), "")</f>
        <v>0</v>
      </c>
      <c r="AG116" s="322">
        <f>IFERROR(MROUND(tblPiNAnalysis5[[#This Row],[Mine Action]]/tblPiNAnalysis5[[#This Row],[Affected population projection 2026]], 0.05), "")</f>
        <v>0</v>
      </c>
      <c r="AH116" s="322">
        <f>IFERROR(MROUND(tblPiNAnalysis5[[#This Row],[HLP]]/tblPiNAnalysis5[[#This Row],[Affected population projection 2026]], 0.05), "")</f>
        <v>0</v>
      </c>
      <c r="AI116" s="325">
        <f>IFERROR(LARGE(tblPiNAnalysis5[[#This Row],[CCCM]:[WASH]], 1), "")</f>
        <v>0</v>
      </c>
      <c r="AJ116" s="326" t="str" cm="1">
        <f t="array" ref="AJ116">IF(tblPiNAnalysis5[[#This Row],[Highest Target]]="", "", _xlfn.TEXTJOIN(CHAR(10), TRUE, IF(tblPiNAnalysis5[[#This Row],[Highest Target]]=tblPiNAnalysis5[[#This Row],[CCCM]:[WASH]], tblPiNAnalysis5[[#Headers],[CCCM]:[WASH]], "")))</f>
        <v>CCCM
Education
Nutrition
Food Security
Health
Overarching Protection
Shelter
WASH</v>
      </c>
      <c r="AK116" s="327">
        <f>IF(tblPiNAnalysis5[[#This Row],[Highest Target]]="", "", tblPiNAnalysis5[[#This Row],[Highest Target]]/tblPiNAnalysis5[[#This Row],[Affected population projection 2026]])</f>
        <v>0</v>
      </c>
      <c r="AL116" s="328" t="str">
        <f>IF(SUM(tblPiNAnalysis5[[#This Row],[CCCM]:[WASH]])=0, "",IF(COUNTIF(tblPiNAnalysis5[[#This Row],[CCCM]:[WASH]],"=0")+COUNTIF(tblPiNAnalysis5[[#This Row],[CCCM]:[WASH]],"")&gt;=zero_pin_thresh, "Flagged", ""))</f>
        <v/>
      </c>
      <c r="AM116" s="329" t="str">
        <f>IFERROR(IF(tblPiNAnalysis5[[#This Row],[Highest Target]]="", "", IF(tblPiNAnalysis5[[#This Row],[Highest sector(s'') Target %]]&gt;=flag_pin_perc, "Flagged", "")), "")</f>
        <v/>
      </c>
      <c r="AN116" s="330" t="str" cm="1">
        <f t="array" ref="AN116">IF(tblPiNAnalysis5[[#This Row],[Highest Target]]=0, "",  IF(OR(COUNTIF(tblPiNAnalysis5[[#This Row],[Highest sector(s)]],tblSubSectorPopulation[Sector])), "Flagged", ""))</f>
        <v/>
      </c>
      <c r="AO116" s="46" cm="1">
        <f t="array" ref="AO11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6" s="331" t="str" cm="1">
        <f t="array" ref="AP116">IF(tblPiNAnalysis5[[#This Row],[2nd Highest Target]]="", "", _xlfn.TEXTJOIN(CHAR(10), TRUE, IF(tblPiNAnalysis5[[#This Row],[2nd Highest Target]]=tblPiNAnalysis5[[#This Row],[CCCM]:[WASH]], tblPiNAnalysis5[[#Headers],[CCCM]:[WASH]], "")))</f>
        <v>CCCM
Education
Nutrition
Food Security
Health
Overarching Protection
Shelter
WASH</v>
      </c>
      <c r="AQ116" s="36">
        <f>IFERROR(tblPiNAnalysis5[[#This Row],[2nd Highest Target]]/tblPiNAnalysis5[[#This Row],[Affected population projection 2026]], "")</f>
        <v>0</v>
      </c>
      <c r="AR116" s="46">
        <f>IFERROR(tblPiNAnalysis5[[#This Row],[Highest Target]]-tblPiNAnalysis5[[#This Row],[2nd Highest Target]], "")</f>
        <v>0</v>
      </c>
      <c r="AS116" s="39" t="str">
        <f>IFERROR(((tblPiNAnalysis5[[#This Row],[Highest Target]]-tblPiNAnalysis5[[#This Row],[2nd Highest Target]])/tblPiNAnalysis5[[#This Row],[2nd Highest Target]]),"")</f>
        <v/>
      </c>
      <c r="AT116" s="39" t="str" cm="1">
        <f t="array" ref="AT11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6" s="332" cm="1">
        <f t="array" ref="AU11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6" s="190" t="str" cm="1">
        <f t="array" ref="AV116">IF(tblPiNAnalysis5[[#This Row],[3rd Highest Target]]="", "", _xlfn.TEXTJOIN(CHAR(10), TRUE, IF(tblPiNAnalysis5[[#This Row],[3rd Highest Target]]=tblPiNAnalysis5[[#This Row],[CCCM]:[WASH]], tblPiNAnalysis5[[#Headers],[CCCM]:[WASH]], "")))</f>
        <v>CCCM
Education
Nutrition
Food Security
Health
Overarching Protection
Shelter
WASH</v>
      </c>
      <c r="AW116" s="190">
        <f>IFERROR(tblPiNAnalysis5[[#This Row],[3rd Highest Target]]/tblPiNAnalysis5[[#This Row],[Affected population projection 2026]], "")</f>
        <v>0</v>
      </c>
      <c r="AX116" s="45">
        <f>IFERROR(tblPiNAnalysis5[[#This Row],[Highest Target]]-tblPiNAnalysis5[[#This Row],[3rd Highest Target]],"")</f>
        <v>0</v>
      </c>
      <c r="AY116" s="39" t="str">
        <f>IFERROR(tblPiNAnalysis5[[#This Row],[Difference of Target between Highest and 3rd Highest]]/tblPiNAnalysis5[[#This Row],[3rd Highest Target]], "")</f>
        <v/>
      </c>
      <c r="AZ116" s="330" t="str" cm="1">
        <f t="array" ref="AZ11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6" s="300" t="str" cm="1">
        <f t="array" ref="BA11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6" s="333" t="str" cm="1">
        <f t="array" ref="BB11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6" s="276" t="str" cm="1">
        <f t="array" ref="BC11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6" s="334" t="str" cm="1">
        <f t="array" ref="BD11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6" s="277" t="e">
        <f>INDEX(tblSeverityAnalysis[Final Severity], MATCH(tblPiNAnalysis5[[#This Row],[ID]],tblSeverityAnalysis[ID], 0))</f>
        <v>#N/A</v>
      </c>
      <c r="BF116" s="61" t="e">
        <f>IF(tblPiNAnalysis5[[#This Row],[Severity]]&gt;2,tblPiNAnalysis5[[#This Row],[Highest Target]],)</f>
        <v>#N/A</v>
      </c>
      <c r="BG116" s="191"/>
      <c r="BH116" s="192"/>
      <c r="BI116" s="193">
        <f>COUNTIFS(tblPiNAnalysis5[[#This Row],[Number of missing / zero PiNs greater than threshold - Data quality]:[Manual Flag]],"Flagged")</f>
        <v>2</v>
      </c>
      <c r="BJ116" s="96" t="str">
        <f>IF(tblPiNAnalysis5[[#This Row],['# Flags]]&gt;0, "Flagged", "")</f>
        <v>Flagged</v>
      </c>
      <c r="BK116" s="326" t="e">
        <f>tblPiNAnalysis5[[#This Row],[Preliminary Target]]</f>
        <v>#N/A</v>
      </c>
      <c r="BL116" s="331"/>
    </row>
    <row r="117" spans="1:64" ht="110.7" x14ac:dyDescent="0.55000000000000004">
      <c r="A1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7" s="316" t="s">
        <v>310</v>
      </c>
      <c r="C117" s="317" t="s">
        <v>311</v>
      </c>
      <c r="D117" s="317" t="s">
        <v>312</v>
      </c>
      <c r="E117" s="105" t="s">
        <v>313</v>
      </c>
      <c r="F117" s="100"/>
      <c r="G117" s="34"/>
      <c r="H117" s="34"/>
      <c r="I117" s="97">
        <v>53097.621318074722</v>
      </c>
      <c r="J117" s="97" t="s">
        <v>413</v>
      </c>
      <c r="K117" s="318">
        <v>0</v>
      </c>
      <c r="L117" s="319">
        <v>0</v>
      </c>
      <c r="M117" s="319">
        <v>0</v>
      </c>
      <c r="N117" s="319">
        <v>0</v>
      </c>
      <c r="O117" s="319">
        <v>0</v>
      </c>
      <c r="P117" s="319">
        <v>0</v>
      </c>
      <c r="Q117" s="320">
        <v>0</v>
      </c>
      <c r="R117" s="319">
        <v>0</v>
      </c>
      <c r="S117" s="319"/>
      <c r="T117" s="319"/>
      <c r="U117" s="319"/>
      <c r="V117" s="319"/>
      <c r="W117" s="321">
        <f>IFERROR(IF(tblPiNAnalysis5[[#This Row],[CCCM]]="", "", MROUND(tblPiNAnalysis5[[#This Row],[CCCM]]/tblPiNAnalysis5[[#This Row],[Affected population projection 2026]], 0.05)), "")</f>
        <v>0</v>
      </c>
      <c r="X117" s="322">
        <f>IFERROR(IF(tblPiNAnalysis5[[#This Row],[Education]]="", "", MROUND(tblPiNAnalysis5[[#This Row],[Education]]/tblPiNAnalysis5[[#This Row],[Affected population projection 2026]], 0.05)), "")</f>
        <v>0</v>
      </c>
      <c r="Y117" s="322">
        <f>IFERROR(IF(tblPiNAnalysis5[[#This Row],[Nutrition]]="", "", MROUND(tblPiNAnalysis5[[#This Row],[Nutrition]]/tblPiNAnalysis5[[#This Row],[Affected population projection 2026]], 0.05)), "")</f>
        <v>0</v>
      </c>
      <c r="Z117" s="322">
        <f>IFERROR(IF(tblPiNAnalysis5[[#This Row],[Food Security]]="", "", MROUND(tblPiNAnalysis5[[#This Row],[Food Security]]/tblPiNAnalysis5[[#This Row],[Affected population projection 2026]], 0.05)), "")</f>
        <v>0</v>
      </c>
      <c r="AA117" s="322">
        <f>IFERROR(IF(tblPiNAnalysis5[[#This Row],[Health]]="", "", MROUND(tblPiNAnalysis5[[#This Row],[Health]]/tblPiNAnalysis5[[#This Row],[Affected population projection 2026]], 0.05)), "")</f>
        <v>0</v>
      </c>
      <c r="AB117" s="323">
        <f>IFERROR(IF(tblPiNAnalysis5[[#This Row],[Overarching Protection]]="", "", MROUND(tblPiNAnalysis5[[#This Row],[Overarching Protection]]/tblPiNAnalysis5[[#This Row],[Affected population projection 2026]], 0.05)), "")</f>
        <v>0</v>
      </c>
      <c r="AC117" s="323">
        <f>IFERROR(IF(tblPiNAnalysis5[[#This Row],[Shelter]]="", "", MROUND(tblPiNAnalysis5[[#This Row],[Shelter]]/tblPiNAnalysis5[[#This Row],[Affected population projection 2026]], 0.05)), "")</f>
        <v>0</v>
      </c>
      <c r="AD117" s="324">
        <f>IFERROR(IF(tblPiNAnalysis5[[#This Row],[WASH]]="", "", MROUND(tblPiNAnalysis5[[#This Row],[WASH]]/tblPiNAnalysis5[[#This Row],[Affected population projection 2026]], 0.05)), "")</f>
        <v>0</v>
      </c>
      <c r="AE117" s="322">
        <f>IFERROR(MROUND(tblPiNAnalysis5[[#This Row],[CP]]/tblPiNAnalysis5[[#This Row],[Affected population projection 2026]], 0.05), "")</f>
        <v>0</v>
      </c>
      <c r="AF117" s="322">
        <f>IFERROR(MROUND(tblPiNAnalysis5[[#This Row],[GBV]]/tblPiNAnalysis5[[#This Row],[Affected population projection 2026]], 0.05), "")</f>
        <v>0</v>
      </c>
      <c r="AG117" s="322">
        <f>IFERROR(MROUND(tblPiNAnalysis5[[#This Row],[Mine Action]]/tblPiNAnalysis5[[#This Row],[Affected population projection 2026]], 0.05), "")</f>
        <v>0</v>
      </c>
      <c r="AH117" s="322">
        <f>IFERROR(MROUND(tblPiNAnalysis5[[#This Row],[HLP]]/tblPiNAnalysis5[[#This Row],[Affected population projection 2026]], 0.05), "")</f>
        <v>0</v>
      </c>
      <c r="AI117" s="325">
        <f>IFERROR(LARGE(tblPiNAnalysis5[[#This Row],[CCCM]:[WASH]], 1), "")</f>
        <v>0</v>
      </c>
      <c r="AJ117" s="326" t="str" cm="1">
        <f t="array" ref="AJ117">IF(tblPiNAnalysis5[[#This Row],[Highest Target]]="", "", _xlfn.TEXTJOIN(CHAR(10), TRUE, IF(tblPiNAnalysis5[[#This Row],[Highest Target]]=tblPiNAnalysis5[[#This Row],[CCCM]:[WASH]], tblPiNAnalysis5[[#Headers],[CCCM]:[WASH]], "")))</f>
        <v>CCCM
Education
Nutrition
Food Security
Health
Overarching Protection
Shelter
WASH</v>
      </c>
      <c r="AK117" s="327">
        <f>IF(tblPiNAnalysis5[[#This Row],[Highest Target]]="", "", tblPiNAnalysis5[[#This Row],[Highest Target]]/tblPiNAnalysis5[[#This Row],[Affected population projection 2026]])</f>
        <v>0</v>
      </c>
      <c r="AL117" s="328" t="str">
        <f>IF(SUM(tblPiNAnalysis5[[#This Row],[CCCM]:[WASH]])=0, "",IF(COUNTIF(tblPiNAnalysis5[[#This Row],[CCCM]:[WASH]],"=0")+COUNTIF(tblPiNAnalysis5[[#This Row],[CCCM]:[WASH]],"")&gt;=zero_pin_thresh, "Flagged", ""))</f>
        <v/>
      </c>
      <c r="AM117" s="329" t="str">
        <f>IFERROR(IF(tblPiNAnalysis5[[#This Row],[Highest Target]]="", "", IF(tblPiNAnalysis5[[#This Row],[Highest sector(s'') Target %]]&gt;=flag_pin_perc, "Flagged", "")), "")</f>
        <v/>
      </c>
      <c r="AN117" s="330" t="str" cm="1">
        <f t="array" ref="AN117">IF(tblPiNAnalysis5[[#This Row],[Highest Target]]=0, "",  IF(OR(COUNTIF(tblPiNAnalysis5[[#This Row],[Highest sector(s)]],tblSubSectorPopulation[Sector])), "Flagged", ""))</f>
        <v/>
      </c>
      <c r="AO117" s="46" cm="1">
        <f t="array" ref="AO11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17" s="331" t="str" cm="1">
        <f t="array" ref="AP117">IF(tblPiNAnalysis5[[#This Row],[2nd Highest Target]]="", "", _xlfn.TEXTJOIN(CHAR(10), TRUE, IF(tblPiNAnalysis5[[#This Row],[2nd Highest Target]]=tblPiNAnalysis5[[#This Row],[CCCM]:[WASH]], tblPiNAnalysis5[[#Headers],[CCCM]:[WASH]], "")))</f>
        <v>CCCM
Education
Nutrition
Food Security
Health
Overarching Protection
Shelter
WASH</v>
      </c>
      <c r="AQ117" s="36">
        <f>IFERROR(tblPiNAnalysis5[[#This Row],[2nd Highest Target]]/tblPiNAnalysis5[[#This Row],[Affected population projection 2026]], "")</f>
        <v>0</v>
      </c>
      <c r="AR117" s="46">
        <f>IFERROR(tblPiNAnalysis5[[#This Row],[Highest Target]]-tblPiNAnalysis5[[#This Row],[2nd Highest Target]], "")</f>
        <v>0</v>
      </c>
      <c r="AS117" s="39" t="str">
        <f>IFERROR(((tblPiNAnalysis5[[#This Row],[Highest Target]]-tblPiNAnalysis5[[#This Row],[2nd Highest Target]])/tblPiNAnalysis5[[#This Row],[2nd Highest Target]]),"")</f>
        <v/>
      </c>
      <c r="AT117" s="39" t="str" cm="1">
        <f t="array" ref="AT11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7" s="332" cm="1">
        <f t="array" ref="AU11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17" s="190" t="str" cm="1">
        <f t="array" ref="AV117">IF(tblPiNAnalysis5[[#This Row],[3rd Highest Target]]="", "", _xlfn.TEXTJOIN(CHAR(10), TRUE, IF(tblPiNAnalysis5[[#This Row],[3rd Highest Target]]=tblPiNAnalysis5[[#This Row],[CCCM]:[WASH]], tblPiNAnalysis5[[#Headers],[CCCM]:[WASH]], "")))</f>
        <v>CCCM
Education
Nutrition
Food Security
Health
Overarching Protection
Shelter
WASH</v>
      </c>
      <c r="AW117" s="190">
        <f>IFERROR(tblPiNAnalysis5[[#This Row],[3rd Highest Target]]/tblPiNAnalysis5[[#This Row],[Affected population projection 2026]], "")</f>
        <v>0</v>
      </c>
      <c r="AX117" s="45">
        <f>IFERROR(tblPiNAnalysis5[[#This Row],[Highest Target]]-tblPiNAnalysis5[[#This Row],[3rd Highest Target]],"")</f>
        <v>0</v>
      </c>
      <c r="AY117" s="39" t="str">
        <f>IFERROR(tblPiNAnalysis5[[#This Row],[Difference of Target between Highest and 3rd Highest]]/tblPiNAnalysis5[[#This Row],[3rd Highest Target]], "")</f>
        <v/>
      </c>
      <c r="AZ117" s="330" t="str" cm="1">
        <f t="array" ref="AZ11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7" s="300" t="str" cm="1">
        <f t="array" ref="BA11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7" s="333" t="str" cm="1">
        <f t="array" ref="BB11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17" s="276" t="str" cm="1">
        <f t="array" ref="BC11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7" s="334" t="str" cm="1">
        <f t="array" ref="BD11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7" s="277" t="e">
        <f>INDEX(tblSeverityAnalysis[Final Severity], MATCH(tblPiNAnalysis5[[#This Row],[ID]],tblSeverityAnalysis[ID], 0))</f>
        <v>#N/A</v>
      </c>
      <c r="BF117" s="61" t="e">
        <f>IF(tblPiNAnalysis5[[#This Row],[Severity]]&gt;2,tblPiNAnalysis5[[#This Row],[Highest Target]],)</f>
        <v>#N/A</v>
      </c>
      <c r="BG117" s="191"/>
      <c r="BH117" s="192"/>
      <c r="BI117" s="193">
        <f>COUNTIFS(tblPiNAnalysis5[[#This Row],[Number of missing / zero PiNs greater than threshold - Data quality]:[Manual Flag]],"Flagged")</f>
        <v>2</v>
      </c>
      <c r="BJ117" s="96" t="str">
        <f>IF(tblPiNAnalysis5[[#This Row],['# Flags]]&gt;0, "Flagged", "")</f>
        <v>Flagged</v>
      </c>
      <c r="BK117" s="326" t="e">
        <f>tblPiNAnalysis5[[#This Row],[Preliminary Target]]</f>
        <v>#N/A</v>
      </c>
      <c r="BL117" s="331"/>
    </row>
    <row r="118" spans="1:64" ht="24.6" x14ac:dyDescent="0.55000000000000004">
      <c r="A1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8" s="316" t="s">
        <v>310</v>
      </c>
      <c r="C118" s="317" t="s">
        <v>311</v>
      </c>
      <c r="D118" s="317" t="s">
        <v>314</v>
      </c>
      <c r="E118" s="105" t="s">
        <v>315</v>
      </c>
      <c r="F118" s="100"/>
      <c r="G118" s="34"/>
      <c r="H118" s="34"/>
      <c r="I118" s="97">
        <v>211899.62896361714</v>
      </c>
      <c r="J118" s="97" t="s">
        <v>413</v>
      </c>
      <c r="K118" s="318">
        <v>0</v>
      </c>
      <c r="L118" s="319">
        <v>23313.34127032485</v>
      </c>
      <c r="M118" s="319">
        <v>60683.262481643316</v>
      </c>
      <c r="N118" s="319">
        <v>93441.707568261045</v>
      </c>
      <c r="O118" s="319">
        <v>80561.488242433319</v>
      </c>
      <c r="P118" s="319">
        <v>21361.182690544585</v>
      </c>
      <c r="Q118" s="320">
        <v>5254.2459018529553</v>
      </c>
      <c r="R118" s="319">
        <v>22781.390150923864</v>
      </c>
      <c r="S118" s="319"/>
      <c r="T118" s="319"/>
      <c r="U118" s="319"/>
      <c r="V118" s="319"/>
      <c r="W118" s="321">
        <f>IFERROR(IF(tblPiNAnalysis5[[#This Row],[CCCM]]="", "", MROUND(tblPiNAnalysis5[[#This Row],[CCCM]]/tblPiNAnalysis5[[#This Row],[Affected population projection 2026]], 0.05)), "")</f>
        <v>0</v>
      </c>
      <c r="X118" s="322">
        <f>IFERROR(IF(tblPiNAnalysis5[[#This Row],[Education]]="", "", MROUND(tblPiNAnalysis5[[#This Row],[Education]]/tblPiNAnalysis5[[#This Row],[Affected population projection 2026]], 0.05)), "")</f>
        <v>0.1</v>
      </c>
      <c r="Y118" s="322">
        <f>IFERROR(IF(tblPiNAnalysis5[[#This Row],[Nutrition]]="", "", MROUND(tblPiNAnalysis5[[#This Row],[Nutrition]]/tblPiNAnalysis5[[#This Row],[Affected population projection 2026]], 0.05)), "")</f>
        <v>0.30000000000000004</v>
      </c>
      <c r="Z118" s="322">
        <f>IFERROR(IF(tblPiNAnalysis5[[#This Row],[Food Security]]="", "", MROUND(tblPiNAnalysis5[[#This Row],[Food Security]]/tblPiNAnalysis5[[#This Row],[Affected population projection 2026]], 0.05)), "")</f>
        <v>0.45</v>
      </c>
      <c r="AA118" s="322">
        <f>IFERROR(IF(tblPiNAnalysis5[[#This Row],[Health]]="", "", MROUND(tblPiNAnalysis5[[#This Row],[Health]]/tblPiNAnalysis5[[#This Row],[Affected population projection 2026]], 0.05)), "")</f>
        <v>0.4</v>
      </c>
      <c r="AB118" s="323">
        <f>IFERROR(IF(tblPiNAnalysis5[[#This Row],[Overarching Protection]]="", "", MROUND(tblPiNAnalysis5[[#This Row],[Overarching Protection]]/tblPiNAnalysis5[[#This Row],[Affected population projection 2026]], 0.05)), "")</f>
        <v>0.1</v>
      </c>
      <c r="AC118" s="323">
        <f>IFERROR(IF(tblPiNAnalysis5[[#This Row],[Shelter]]="", "", MROUND(tblPiNAnalysis5[[#This Row],[Shelter]]/tblPiNAnalysis5[[#This Row],[Affected population projection 2026]], 0.05)), "")</f>
        <v>0</v>
      </c>
      <c r="AD118" s="324">
        <f>IFERROR(IF(tblPiNAnalysis5[[#This Row],[WASH]]="", "", MROUND(tblPiNAnalysis5[[#This Row],[WASH]]/tblPiNAnalysis5[[#This Row],[Affected population projection 2026]], 0.05)), "")</f>
        <v>0.1</v>
      </c>
      <c r="AE118" s="322">
        <f>IFERROR(MROUND(tblPiNAnalysis5[[#This Row],[CP]]/tblPiNAnalysis5[[#This Row],[Affected population projection 2026]], 0.05), "")</f>
        <v>0</v>
      </c>
      <c r="AF118" s="322">
        <f>IFERROR(MROUND(tblPiNAnalysis5[[#This Row],[GBV]]/tblPiNAnalysis5[[#This Row],[Affected population projection 2026]], 0.05), "")</f>
        <v>0</v>
      </c>
      <c r="AG118" s="322">
        <f>IFERROR(MROUND(tblPiNAnalysis5[[#This Row],[Mine Action]]/tblPiNAnalysis5[[#This Row],[Affected population projection 2026]], 0.05), "")</f>
        <v>0</v>
      </c>
      <c r="AH118" s="322">
        <f>IFERROR(MROUND(tblPiNAnalysis5[[#This Row],[HLP]]/tblPiNAnalysis5[[#This Row],[Affected population projection 2026]], 0.05), "")</f>
        <v>0</v>
      </c>
      <c r="AI118" s="325">
        <f>IFERROR(LARGE(tblPiNAnalysis5[[#This Row],[CCCM]:[WASH]], 1), "")</f>
        <v>93441.707568261045</v>
      </c>
      <c r="AJ118" s="326" t="str" cm="1">
        <f t="array" ref="AJ118">IF(tblPiNAnalysis5[[#This Row],[Highest Target]]="", "", _xlfn.TEXTJOIN(CHAR(10), TRUE, IF(tblPiNAnalysis5[[#This Row],[Highest Target]]=tblPiNAnalysis5[[#This Row],[CCCM]:[WASH]], tblPiNAnalysis5[[#Headers],[CCCM]:[WASH]], "")))</f>
        <v>Food Security</v>
      </c>
      <c r="AK118" s="327">
        <f>IF(tblPiNAnalysis5[[#This Row],[Highest Target]]="", "", tblPiNAnalysis5[[#This Row],[Highest Target]]/tblPiNAnalysis5[[#This Row],[Affected population projection 2026]])</f>
        <v>0.44097154877182371</v>
      </c>
      <c r="AL118" s="328" t="str">
        <f>IF(SUM(tblPiNAnalysis5[[#This Row],[CCCM]:[WASH]])=0, "",IF(COUNTIF(tblPiNAnalysis5[[#This Row],[CCCM]:[WASH]],"=0")+COUNTIF(tblPiNAnalysis5[[#This Row],[CCCM]:[WASH]],"")&gt;=zero_pin_thresh, "Flagged", ""))</f>
        <v/>
      </c>
      <c r="AM118" s="329" t="str">
        <f>IFERROR(IF(tblPiNAnalysis5[[#This Row],[Highest Target]]="", "", IF(tblPiNAnalysis5[[#This Row],[Highest sector(s'') Target %]]&gt;=flag_pin_perc, "Flagged", "")), "")</f>
        <v/>
      </c>
      <c r="AN118" s="330" t="str" cm="1">
        <f t="array" ref="AN118">IF(tblPiNAnalysis5[[#This Row],[Highest Target]]=0, "",  IF(OR(COUNTIF(tblPiNAnalysis5[[#This Row],[Highest sector(s)]],tblSubSectorPopulation[Sector])), "Flagged", ""))</f>
        <v/>
      </c>
      <c r="AO118" s="46" cm="1">
        <f t="array" ref="AO11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80561.488242433319</v>
      </c>
      <c r="AP118" s="331" t="str" cm="1">
        <f t="array" ref="AP118">IF(tblPiNAnalysis5[[#This Row],[2nd Highest Target]]="", "", _xlfn.TEXTJOIN(CHAR(10), TRUE, IF(tblPiNAnalysis5[[#This Row],[2nd Highest Target]]=tblPiNAnalysis5[[#This Row],[CCCM]:[WASH]], tblPiNAnalysis5[[#Headers],[CCCM]:[WASH]], "")))</f>
        <v>Health</v>
      </c>
      <c r="AQ118" s="36">
        <f>IFERROR(tblPiNAnalysis5[[#This Row],[2nd Highest Target]]/tblPiNAnalysis5[[#This Row],[Affected population projection 2026]], "")</f>
        <v>0.38018701890349044</v>
      </c>
      <c r="AR118" s="46">
        <f>IFERROR(tblPiNAnalysis5[[#This Row],[Highest Target]]-tblPiNAnalysis5[[#This Row],[2nd Highest Target]], "")</f>
        <v>12880.219325827726</v>
      </c>
      <c r="AS118" s="39">
        <f>IFERROR(((tblPiNAnalysis5[[#This Row],[Highest Target]]-tblPiNAnalysis5[[#This Row],[2nd Highest Target]])/tblPiNAnalysis5[[#This Row],[2nd Highest Target]]),"")</f>
        <v>0.15988060308751176</v>
      </c>
      <c r="AT118" s="39" t="str" cm="1">
        <f t="array" ref="AT11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8" s="332" cm="1">
        <f t="array" ref="AU11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60683.262481643316</v>
      </c>
      <c r="AV118" s="190" t="str" cm="1">
        <f t="array" ref="AV118">IF(tblPiNAnalysis5[[#This Row],[3rd Highest Target]]="", "", _xlfn.TEXTJOIN(CHAR(10), TRUE, IF(tblPiNAnalysis5[[#This Row],[3rd Highest Target]]=tblPiNAnalysis5[[#This Row],[CCCM]:[WASH]], tblPiNAnalysis5[[#Headers],[CCCM]:[WASH]], "")))</f>
        <v>Nutrition</v>
      </c>
      <c r="AW118" s="190">
        <f>IFERROR(tblPiNAnalysis5[[#This Row],[3rd Highest Target]]/tblPiNAnalysis5[[#This Row],[Affected population projection 2026]], "")</f>
        <v>0.28637738904234961</v>
      </c>
      <c r="AX118" s="45">
        <f>IFERROR(tblPiNAnalysis5[[#This Row],[Highest Target]]-tblPiNAnalysis5[[#This Row],[3rd Highest Target]],"")</f>
        <v>32758.445086617729</v>
      </c>
      <c r="AY118" s="39">
        <f>IFERROR(tblPiNAnalysis5[[#This Row],[Difference of Target between Highest and 3rd Highest]]/tblPiNAnalysis5[[#This Row],[3rd Highest Target]], "")</f>
        <v>0.53982669597777733</v>
      </c>
      <c r="AZ118" s="330" t="str" cm="1">
        <f t="array" ref="AZ11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18" s="300" t="str" cm="1">
        <f t="array" ref="BA11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8" s="333" t="str" cm="1">
        <f t="array" ref="BB11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18" s="276" t="str" cm="1">
        <f t="array" ref="BC11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8" s="334" t="str" cm="1">
        <f t="array" ref="BD11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8" s="277" t="e">
        <f>INDEX(tblSeverityAnalysis[Final Severity], MATCH(tblPiNAnalysis5[[#This Row],[ID]],tblSeverityAnalysis[ID], 0))</f>
        <v>#N/A</v>
      </c>
      <c r="BF118" s="61" t="e">
        <f>IF(tblPiNAnalysis5[[#This Row],[Severity]]&gt;2,tblPiNAnalysis5[[#This Row],[Highest Target]],)</f>
        <v>#N/A</v>
      </c>
      <c r="BG118" s="191"/>
      <c r="BH118" s="192"/>
      <c r="BI118" s="193">
        <f>COUNTIFS(tblPiNAnalysis5[[#This Row],[Number of missing / zero PiNs greater than threshold - Data quality]:[Manual Flag]],"Flagged")</f>
        <v>2</v>
      </c>
      <c r="BJ118" s="96" t="str">
        <f>IF(tblPiNAnalysis5[[#This Row],['# Flags]]&gt;0, "Flagged", "")</f>
        <v>Flagged</v>
      </c>
      <c r="BK118" s="326" t="e">
        <f>tblPiNAnalysis5[[#This Row],[Preliminary Target]]</f>
        <v>#N/A</v>
      </c>
      <c r="BL118" s="331"/>
    </row>
    <row r="119" spans="1:64" x14ac:dyDescent="0.55000000000000004">
      <c r="A1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9" s="316" t="s">
        <v>310</v>
      </c>
      <c r="C119" s="317" t="s">
        <v>311</v>
      </c>
      <c r="D119" s="317" t="s">
        <v>316</v>
      </c>
      <c r="E119" s="105" t="s">
        <v>317</v>
      </c>
      <c r="F119" s="100"/>
      <c r="G119" s="34"/>
      <c r="H119" s="34"/>
      <c r="I119" s="97">
        <v>109801.05355905752</v>
      </c>
      <c r="J119" s="97" t="s">
        <v>413</v>
      </c>
      <c r="K119" s="318">
        <v>0</v>
      </c>
      <c r="L119" s="319">
        <v>5744.9097073477342</v>
      </c>
      <c r="M119" s="319">
        <v>51087.260668412309</v>
      </c>
      <c r="N119" s="319">
        <v>44165.640241204113</v>
      </c>
      <c r="O119" s="319">
        <v>45205.040373118449</v>
      </c>
      <c r="P119" s="319">
        <v>13750.197187842048</v>
      </c>
      <c r="Q119" s="320">
        <v>1942.6340245064021</v>
      </c>
      <c r="R119" s="319">
        <v>4447.9593455636723</v>
      </c>
      <c r="S119" s="319"/>
      <c r="T119" s="319"/>
      <c r="U119" s="319"/>
      <c r="V119" s="319"/>
      <c r="W119" s="321">
        <f>IFERROR(IF(tblPiNAnalysis5[[#This Row],[CCCM]]="", "", MROUND(tblPiNAnalysis5[[#This Row],[CCCM]]/tblPiNAnalysis5[[#This Row],[Affected population projection 2026]], 0.05)), "")</f>
        <v>0</v>
      </c>
      <c r="X119" s="322">
        <f>IFERROR(IF(tblPiNAnalysis5[[#This Row],[Education]]="", "", MROUND(tblPiNAnalysis5[[#This Row],[Education]]/tblPiNAnalysis5[[#This Row],[Affected population projection 2026]], 0.05)), "")</f>
        <v>0.05</v>
      </c>
      <c r="Y119" s="322">
        <f>IFERROR(IF(tblPiNAnalysis5[[#This Row],[Nutrition]]="", "", MROUND(tblPiNAnalysis5[[#This Row],[Nutrition]]/tblPiNAnalysis5[[#This Row],[Affected population projection 2026]], 0.05)), "")</f>
        <v>0.45</v>
      </c>
      <c r="Z119" s="322">
        <f>IFERROR(IF(tblPiNAnalysis5[[#This Row],[Food Security]]="", "", MROUND(tblPiNAnalysis5[[#This Row],[Food Security]]/tblPiNAnalysis5[[#This Row],[Affected population projection 2026]], 0.05)), "")</f>
        <v>0.4</v>
      </c>
      <c r="AA119" s="322">
        <f>IFERROR(IF(tblPiNAnalysis5[[#This Row],[Health]]="", "", MROUND(tblPiNAnalysis5[[#This Row],[Health]]/tblPiNAnalysis5[[#This Row],[Affected population projection 2026]], 0.05)), "")</f>
        <v>0.4</v>
      </c>
      <c r="AB119" s="323">
        <f>IFERROR(IF(tblPiNAnalysis5[[#This Row],[Overarching Protection]]="", "", MROUND(tblPiNAnalysis5[[#This Row],[Overarching Protection]]/tblPiNAnalysis5[[#This Row],[Affected population projection 2026]], 0.05)), "")</f>
        <v>0.15000000000000002</v>
      </c>
      <c r="AC119" s="323">
        <f>IFERROR(IF(tblPiNAnalysis5[[#This Row],[Shelter]]="", "", MROUND(tblPiNAnalysis5[[#This Row],[Shelter]]/tblPiNAnalysis5[[#This Row],[Affected population projection 2026]], 0.05)), "")</f>
        <v>0</v>
      </c>
      <c r="AD119" s="324">
        <f>IFERROR(IF(tblPiNAnalysis5[[#This Row],[WASH]]="", "", MROUND(tblPiNAnalysis5[[#This Row],[WASH]]/tblPiNAnalysis5[[#This Row],[Affected population projection 2026]], 0.05)), "")</f>
        <v>0.05</v>
      </c>
      <c r="AE119" s="322">
        <f>IFERROR(MROUND(tblPiNAnalysis5[[#This Row],[CP]]/tblPiNAnalysis5[[#This Row],[Affected population projection 2026]], 0.05), "")</f>
        <v>0</v>
      </c>
      <c r="AF119" s="322">
        <f>IFERROR(MROUND(tblPiNAnalysis5[[#This Row],[GBV]]/tblPiNAnalysis5[[#This Row],[Affected population projection 2026]], 0.05), "")</f>
        <v>0</v>
      </c>
      <c r="AG119" s="322">
        <f>IFERROR(MROUND(tblPiNAnalysis5[[#This Row],[Mine Action]]/tblPiNAnalysis5[[#This Row],[Affected population projection 2026]], 0.05), "")</f>
        <v>0</v>
      </c>
      <c r="AH119" s="322">
        <f>IFERROR(MROUND(tblPiNAnalysis5[[#This Row],[HLP]]/tblPiNAnalysis5[[#This Row],[Affected population projection 2026]], 0.05), "")</f>
        <v>0</v>
      </c>
      <c r="AI119" s="325">
        <f>IFERROR(LARGE(tblPiNAnalysis5[[#This Row],[CCCM]:[WASH]], 1), "")</f>
        <v>51087.260668412309</v>
      </c>
      <c r="AJ119" s="326" t="str" cm="1">
        <f t="array" ref="AJ119">IF(tblPiNAnalysis5[[#This Row],[Highest Target]]="", "", _xlfn.TEXTJOIN(CHAR(10), TRUE, IF(tblPiNAnalysis5[[#This Row],[Highest Target]]=tblPiNAnalysis5[[#This Row],[CCCM]:[WASH]], tblPiNAnalysis5[[#Headers],[CCCM]:[WASH]], "")))</f>
        <v>Nutrition</v>
      </c>
      <c r="AK119" s="327">
        <f>IF(tblPiNAnalysis5[[#This Row],[Highest Target]]="", "", tblPiNAnalysis5[[#This Row],[Highest Target]]/tblPiNAnalysis5[[#This Row],[Affected population projection 2026]])</f>
        <v>0.46527113367755213</v>
      </c>
      <c r="AL119" s="328" t="str">
        <f>IF(SUM(tblPiNAnalysis5[[#This Row],[CCCM]:[WASH]])=0, "",IF(COUNTIF(tblPiNAnalysis5[[#This Row],[CCCM]:[WASH]],"=0")+COUNTIF(tblPiNAnalysis5[[#This Row],[CCCM]:[WASH]],"")&gt;=zero_pin_thresh, "Flagged", ""))</f>
        <v/>
      </c>
      <c r="AM119" s="329" t="str">
        <f>IFERROR(IF(tblPiNAnalysis5[[#This Row],[Highest Target]]="", "", IF(tblPiNAnalysis5[[#This Row],[Highest sector(s'') Target %]]&gt;=flag_pin_perc, "Flagged", "")), "")</f>
        <v/>
      </c>
      <c r="AN119" s="330" t="str" cm="1">
        <f t="array" ref="AN119">IF(tblPiNAnalysis5[[#This Row],[Highest Target]]=0, "",  IF(OR(COUNTIF(tblPiNAnalysis5[[#This Row],[Highest sector(s)]],tblSubSectorPopulation[Sector])), "Flagged", ""))</f>
        <v/>
      </c>
      <c r="AO119" s="46" cm="1">
        <f t="array" ref="AO11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45205.040373118449</v>
      </c>
      <c r="AP119" s="331" t="str" cm="1">
        <f t="array" ref="AP119">IF(tblPiNAnalysis5[[#This Row],[2nd Highest Target]]="", "", _xlfn.TEXTJOIN(CHAR(10), TRUE, IF(tblPiNAnalysis5[[#This Row],[2nd Highest Target]]=tblPiNAnalysis5[[#This Row],[CCCM]:[WASH]], tblPiNAnalysis5[[#Headers],[CCCM]:[WASH]], "")))</f>
        <v>Health</v>
      </c>
      <c r="AQ119" s="36">
        <f>IFERROR(tblPiNAnalysis5[[#This Row],[2nd Highest Target]]/tblPiNAnalysis5[[#This Row],[Affected population projection 2026]], "")</f>
        <v>0.41169951387401305</v>
      </c>
      <c r="AR119" s="46">
        <f>IFERROR(tblPiNAnalysis5[[#This Row],[Highest Target]]-tblPiNAnalysis5[[#This Row],[2nd Highest Target]], "")</f>
        <v>5882.2202952938605</v>
      </c>
      <c r="AS119" s="39">
        <f>IFERROR(((tblPiNAnalysis5[[#This Row],[Highest Target]]-tblPiNAnalysis5[[#This Row],[2nd Highest Target]])/tblPiNAnalysis5[[#This Row],[2nd Highest Target]]),"")</f>
        <v>0.13012310677620303</v>
      </c>
      <c r="AT119" s="39" t="str" cm="1">
        <f t="array" ref="AT11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19" s="332" cm="1">
        <f t="array" ref="AU11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44165.640241204113</v>
      </c>
      <c r="AV119" s="190" t="str" cm="1">
        <f t="array" ref="AV119">IF(tblPiNAnalysis5[[#This Row],[3rd Highest Target]]="", "", _xlfn.TEXTJOIN(CHAR(10), TRUE, IF(tblPiNAnalysis5[[#This Row],[3rd Highest Target]]=tblPiNAnalysis5[[#This Row],[CCCM]:[WASH]], tblPiNAnalysis5[[#Headers],[CCCM]:[WASH]], "")))</f>
        <v>Food Security</v>
      </c>
      <c r="AW119" s="190">
        <f>IFERROR(tblPiNAnalysis5[[#This Row],[3rd Highest Target]]/tblPiNAnalysis5[[#This Row],[Affected population projection 2026]], "")</f>
        <v>0.4022333011353959</v>
      </c>
      <c r="AX119" s="45">
        <f>IFERROR(tblPiNAnalysis5[[#This Row],[Highest Target]]-tblPiNAnalysis5[[#This Row],[3rd Highest Target]],"")</f>
        <v>6921.6204272081959</v>
      </c>
      <c r="AY119" s="39">
        <f>IFERROR(tblPiNAnalysis5[[#This Row],[Difference of Target between Highest and 3rd Highest]]/tblPiNAnalysis5[[#This Row],[3rd Highest Target]], "")</f>
        <v>0.15671957633596592</v>
      </c>
      <c r="AZ119" s="330" t="str" cm="1">
        <f t="array" ref="AZ11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19" s="300" t="str" cm="1">
        <f t="array" ref="BA11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19" s="333" t="str" cm="1">
        <f t="array" ref="BB11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19" s="276" t="str" cm="1">
        <f t="array" ref="BC11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19" s="334" t="str" cm="1">
        <f t="array" ref="BD11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19" s="277" t="e">
        <f>INDEX(tblSeverityAnalysis[Final Severity], MATCH(tblPiNAnalysis5[[#This Row],[ID]],tblSeverityAnalysis[ID], 0))</f>
        <v>#N/A</v>
      </c>
      <c r="BF119" s="61" t="e">
        <f>IF(tblPiNAnalysis5[[#This Row],[Severity]]&gt;2,tblPiNAnalysis5[[#This Row],[Highest Target]],)</f>
        <v>#N/A</v>
      </c>
      <c r="BG119" s="191"/>
      <c r="BH119" s="192"/>
      <c r="BI119" s="193">
        <f>COUNTIFS(tblPiNAnalysis5[[#This Row],[Number of missing / zero PiNs greater than threshold - Data quality]:[Manual Flag]],"Flagged")</f>
        <v>1</v>
      </c>
      <c r="BJ119" s="96" t="str">
        <f>IF(tblPiNAnalysis5[[#This Row],['# Flags]]&gt;0, "Flagged", "")</f>
        <v>Flagged</v>
      </c>
      <c r="BK119" s="326" t="e">
        <f>tblPiNAnalysis5[[#This Row],[Preliminary Target]]</f>
        <v>#N/A</v>
      </c>
      <c r="BL119" s="331"/>
    </row>
    <row r="120" spans="1:64" ht="24.6" x14ac:dyDescent="0.55000000000000004">
      <c r="A1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0" s="316" t="s">
        <v>310</v>
      </c>
      <c r="C120" s="317" t="s">
        <v>311</v>
      </c>
      <c r="D120" s="317" t="s">
        <v>318</v>
      </c>
      <c r="E120" s="105" t="s">
        <v>319</v>
      </c>
      <c r="F120" s="100"/>
      <c r="G120" s="34"/>
      <c r="H120" s="34"/>
      <c r="I120" s="97">
        <v>105778.12989801918</v>
      </c>
      <c r="J120" s="97" t="s">
        <v>413</v>
      </c>
      <c r="K120" s="318">
        <v>0</v>
      </c>
      <c r="L120" s="319">
        <v>3859.5795146539758</v>
      </c>
      <c r="M120" s="319">
        <v>38338.054769520058</v>
      </c>
      <c r="N120" s="319">
        <v>44990.666204413006</v>
      </c>
      <c r="O120" s="319">
        <v>34918.92102826466</v>
      </c>
      <c r="P120" s="319">
        <v>11979.099361413493</v>
      </c>
      <c r="Q120" s="320">
        <v>524.56444217331159</v>
      </c>
      <c r="R120" s="319">
        <v>24783.553575279697</v>
      </c>
      <c r="S120" s="319"/>
      <c r="T120" s="319"/>
      <c r="U120" s="319"/>
      <c r="V120" s="319"/>
      <c r="W120" s="321">
        <f>IFERROR(IF(tblPiNAnalysis5[[#This Row],[CCCM]]="", "", MROUND(tblPiNAnalysis5[[#This Row],[CCCM]]/tblPiNAnalysis5[[#This Row],[Affected population projection 2026]], 0.05)), "")</f>
        <v>0</v>
      </c>
      <c r="X120" s="322">
        <f>IFERROR(IF(tblPiNAnalysis5[[#This Row],[Education]]="", "", MROUND(tblPiNAnalysis5[[#This Row],[Education]]/tblPiNAnalysis5[[#This Row],[Affected population projection 2026]], 0.05)), "")</f>
        <v>0.05</v>
      </c>
      <c r="Y120" s="322">
        <f>IFERROR(IF(tblPiNAnalysis5[[#This Row],[Nutrition]]="", "", MROUND(tblPiNAnalysis5[[#This Row],[Nutrition]]/tblPiNAnalysis5[[#This Row],[Affected population projection 2026]], 0.05)), "")</f>
        <v>0.35000000000000003</v>
      </c>
      <c r="Z120" s="322">
        <f>IFERROR(IF(tblPiNAnalysis5[[#This Row],[Food Security]]="", "", MROUND(tblPiNAnalysis5[[#This Row],[Food Security]]/tblPiNAnalysis5[[#This Row],[Affected population projection 2026]], 0.05)), "")</f>
        <v>0.45</v>
      </c>
      <c r="AA120" s="322">
        <f>IFERROR(IF(tblPiNAnalysis5[[#This Row],[Health]]="", "", MROUND(tblPiNAnalysis5[[#This Row],[Health]]/tblPiNAnalysis5[[#This Row],[Affected population projection 2026]], 0.05)), "")</f>
        <v>0.35000000000000003</v>
      </c>
      <c r="AB120" s="323">
        <f>IFERROR(IF(tblPiNAnalysis5[[#This Row],[Overarching Protection]]="", "", MROUND(tblPiNAnalysis5[[#This Row],[Overarching Protection]]/tblPiNAnalysis5[[#This Row],[Affected population projection 2026]], 0.05)), "")</f>
        <v>0.1</v>
      </c>
      <c r="AC120" s="323">
        <f>IFERROR(IF(tblPiNAnalysis5[[#This Row],[Shelter]]="", "", MROUND(tblPiNAnalysis5[[#This Row],[Shelter]]/tblPiNAnalysis5[[#This Row],[Affected population projection 2026]], 0.05)), "")</f>
        <v>0</v>
      </c>
      <c r="AD120" s="324">
        <f>IFERROR(IF(tblPiNAnalysis5[[#This Row],[WASH]]="", "", MROUND(tblPiNAnalysis5[[#This Row],[WASH]]/tblPiNAnalysis5[[#This Row],[Affected population projection 2026]], 0.05)), "")</f>
        <v>0.25</v>
      </c>
      <c r="AE120" s="322">
        <f>IFERROR(MROUND(tblPiNAnalysis5[[#This Row],[CP]]/tblPiNAnalysis5[[#This Row],[Affected population projection 2026]], 0.05), "")</f>
        <v>0</v>
      </c>
      <c r="AF120" s="322">
        <f>IFERROR(MROUND(tblPiNAnalysis5[[#This Row],[GBV]]/tblPiNAnalysis5[[#This Row],[Affected population projection 2026]], 0.05), "")</f>
        <v>0</v>
      </c>
      <c r="AG120" s="322">
        <f>IFERROR(MROUND(tblPiNAnalysis5[[#This Row],[Mine Action]]/tblPiNAnalysis5[[#This Row],[Affected population projection 2026]], 0.05), "")</f>
        <v>0</v>
      </c>
      <c r="AH120" s="322">
        <f>IFERROR(MROUND(tblPiNAnalysis5[[#This Row],[HLP]]/tblPiNAnalysis5[[#This Row],[Affected population projection 2026]], 0.05), "")</f>
        <v>0</v>
      </c>
      <c r="AI120" s="325">
        <f>IFERROR(LARGE(tblPiNAnalysis5[[#This Row],[CCCM]:[WASH]], 1), "")</f>
        <v>44990.666204413006</v>
      </c>
      <c r="AJ120" s="326" t="str" cm="1">
        <f t="array" ref="AJ120">IF(tblPiNAnalysis5[[#This Row],[Highest Target]]="", "", _xlfn.TEXTJOIN(CHAR(10), TRUE, IF(tblPiNAnalysis5[[#This Row],[Highest Target]]=tblPiNAnalysis5[[#This Row],[CCCM]:[WASH]], tblPiNAnalysis5[[#Headers],[CCCM]:[WASH]], "")))</f>
        <v>Food Security</v>
      </c>
      <c r="AK120" s="327">
        <f>IF(tblPiNAnalysis5[[#This Row],[Highest Target]]="", "", tblPiNAnalysis5[[#This Row],[Highest Target]]/tblPiNAnalysis5[[#This Row],[Affected population projection 2026]])</f>
        <v>0.42533051253400456</v>
      </c>
      <c r="AL120" s="328" t="str">
        <f>IF(SUM(tblPiNAnalysis5[[#This Row],[CCCM]:[WASH]])=0, "",IF(COUNTIF(tblPiNAnalysis5[[#This Row],[CCCM]:[WASH]],"=0")+COUNTIF(tblPiNAnalysis5[[#This Row],[CCCM]:[WASH]],"")&gt;=zero_pin_thresh, "Flagged", ""))</f>
        <v/>
      </c>
      <c r="AM120" s="329" t="str">
        <f>IFERROR(IF(tblPiNAnalysis5[[#This Row],[Highest Target]]="", "", IF(tblPiNAnalysis5[[#This Row],[Highest sector(s'') Target %]]&gt;=flag_pin_perc, "Flagged", "")), "")</f>
        <v/>
      </c>
      <c r="AN120" s="330" t="str" cm="1">
        <f t="array" ref="AN120">IF(tblPiNAnalysis5[[#This Row],[Highest Target]]=0, "",  IF(OR(COUNTIF(tblPiNAnalysis5[[#This Row],[Highest sector(s)]],tblSubSectorPopulation[Sector])), "Flagged", ""))</f>
        <v/>
      </c>
      <c r="AO120" s="46" cm="1">
        <f t="array" ref="AO12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38338.054769520058</v>
      </c>
      <c r="AP120" s="331" t="str" cm="1">
        <f t="array" ref="AP120">IF(tblPiNAnalysis5[[#This Row],[2nd Highest Target]]="", "", _xlfn.TEXTJOIN(CHAR(10), TRUE, IF(tblPiNAnalysis5[[#This Row],[2nd Highest Target]]=tblPiNAnalysis5[[#This Row],[CCCM]:[WASH]], tblPiNAnalysis5[[#Headers],[CCCM]:[WASH]], "")))</f>
        <v>Nutrition</v>
      </c>
      <c r="AQ120" s="36">
        <f>IFERROR(tblPiNAnalysis5[[#This Row],[2nd Highest Target]]/tblPiNAnalysis5[[#This Row],[Affected population projection 2026]], "")</f>
        <v>0.36243838689984237</v>
      </c>
      <c r="AR120" s="46">
        <f>IFERROR(tblPiNAnalysis5[[#This Row],[Highest Target]]-tblPiNAnalysis5[[#This Row],[2nd Highest Target]], "")</f>
        <v>6652.6114348929477</v>
      </c>
      <c r="AS120" s="39">
        <f>IFERROR(((tblPiNAnalysis5[[#This Row],[Highest Target]]-tblPiNAnalysis5[[#This Row],[2nd Highest Target]])/tblPiNAnalysis5[[#This Row],[2nd Highest Target]]),"")</f>
        <v>0.17352501254659325</v>
      </c>
      <c r="AT120" s="39" t="str" cm="1">
        <f t="array" ref="AT12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0" s="332" cm="1">
        <f t="array" ref="AU12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34918.92102826466</v>
      </c>
      <c r="AV120" s="190" t="str" cm="1">
        <f t="array" ref="AV120">IF(tblPiNAnalysis5[[#This Row],[3rd Highest Target]]="", "", _xlfn.TEXTJOIN(CHAR(10), TRUE, IF(tblPiNAnalysis5[[#This Row],[3rd Highest Target]]=tblPiNAnalysis5[[#This Row],[CCCM]:[WASH]], tblPiNAnalysis5[[#Headers],[CCCM]:[WASH]], "")))</f>
        <v>Health</v>
      </c>
      <c r="AW120" s="190">
        <f>IFERROR(tblPiNAnalysis5[[#This Row],[3rd Highest Target]]/tblPiNAnalysis5[[#This Row],[Affected population projection 2026]], "")</f>
        <v>0.33011475114874911</v>
      </c>
      <c r="AX120" s="45">
        <f>IFERROR(tblPiNAnalysis5[[#This Row],[Highest Target]]-tblPiNAnalysis5[[#This Row],[3rd Highest Target]],"")</f>
        <v>10071.745176148346</v>
      </c>
      <c r="AY120" s="39">
        <f>IFERROR(tblPiNAnalysis5[[#This Row],[Difference of Target between Highest and 3rd Highest]]/tblPiNAnalysis5[[#This Row],[3rd Highest Target]], "")</f>
        <v>0.28843231347256992</v>
      </c>
      <c r="AZ120" s="330" t="str" cm="1">
        <f t="array" ref="AZ12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0" s="300" t="str" cm="1">
        <f t="array" ref="BA12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0" s="333" t="str" cm="1">
        <f t="array" ref="BB12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20" s="276" t="str" cm="1">
        <f t="array" ref="BC12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0" s="334" t="str" cm="1">
        <f t="array" ref="BD12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0" s="277" t="e">
        <f>INDEX(tblSeverityAnalysis[Final Severity], MATCH(tblPiNAnalysis5[[#This Row],[ID]],tblSeverityAnalysis[ID], 0))</f>
        <v>#N/A</v>
      </c>
      <c r="BF120" s="61" t="e">
        <f>IF(tblPiNAnalysis5[[#This Row],[Severity]]&gt;2,tblPiNAnalysis5[[#This Row],[Highest Target]],)</f>
        <v>#N/A</v>
      </c>
      <c r="BG120" s="191"/>
      <c r="BH120" s="192"/>
      <c r="BI120" s="193">
        <f>COUNTIFS(tblPiNAnalysis5[[#This Row],[Number of missing / zero PiNs greater than threshold - Data quality]:[Manual Flag]],"Flagged")</f>
        <v>0</v>
      </c>
      <c r="BJ120" s="96" t="str">
        <f>IF(tblPiNAnalysis5[[#This Row],['# Flags]]&gt;0, "Flagged", "")</f>
        <v/>
      </c>
      <c r="BK120" s="326" t="e">
        <f>tblPiNAnalysis5[[#This Row],[Preliminary Target]]</f>
        <v>#N/A</v>
      </c>
      <c r="BL120" s="331"/>
    </row>
    <row r="121" spans="1:64" x14ac:dyDescent="0.55000000000000004">
      <c r="A1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1" s="316" t="s">
        <v>310</v>
      </c>
      <c r="C121" s="317" t="s">
        <v>311</v>
      </c>
      <c r="D121" s="317" t="s">
        <v>320</v>
      </c>
      <c r="E121" s="105" t="s">
        <v>321</v>
      </c>
      <c r="F121" s="100"/>
      <c r="G121" s="34"/>
      <c r="H121" s="34"/>
      <c r="I121" s="97">
        <v>138670.80517744401</v>
      </c>
      <c r="J121" s="97" t="s">
        <v>413</v>
      </c>
      <c r="K121" s="318">
        <v>0</v>
      </c>
      <c r="L121" s="319">
        <v>2172.5832388760509</v>
      </c>
      <c r="M121" s="319">
        <v>32087.807028709831</v>
      </c>
      <c r="N121" s="319">
        <v>25587.502546799253</v>
      </c>
      <c r="O121" s="319">
        <v>20649.943294271838</v>
      </c>
      <c r="P121" s="319">
        <v>6864.6608455997493</v>
      </c>
      <c r="Q121" s="320">
        <v>524.56444217331159</v>
      </c>
      <c r="R121" s="319">
        <v>5514.8519018889228</v>
      </c>
      <c r="S121" s="319"/>
      <c r="T121" s="319"/>
      <c r="U121" s="319"/>
      <c r="V121" s="319"/>
      <c r="W121" s="321">
        <f>IFERROR(IF(tblPiNAnalysis5[[#This Row],[CCCM]]="", "", MROUND(tblPiNAnalysis5[[#This Row],[CCCM]]/tblPiNAnalysis5[[#This Row],[Affected population projection 2026]], 0.05)), "")</f>
        <v>0</v>
      </c>
      <c r="X121" s="322">
        <f>IFERROR(IF(tblPiNAnalysis5[[#This Row],[Education]]="", "", MROUND(tblPiNAnalysis5[[#This Row],[Education]]/tblPiNAnalysis5[[#This Row],[Affected population projection 2026]], 0.05)), "")</f>
        <v>0</v>
      </c>
      <c r="Y121" s="322">
        <f>IFERROR(IF(tblPiNAnalysis5[[#This Row],[Nutrition]]="", "", MROUND(tblPiNAnalysis5[[#This Row],[Nutrition]]/tblPiNAnalysis5[[#This Row],[Affected population projection 2026]], 0.05)), "")</f>
        <v>0.25</v>
      </c>
      <c r="Z121" s="322">
        <f>IFERROR(IF(tblPiNAnalysis5[[#This Row],[Food Security]]="", "", MROUND(tblPiNAnalysis5[[#This Row],[Food Security]]/tblPiNAnalysis5[[#This Row],[Affected population projection 2026]], 0.05)), "")</f>
        <v>0.2</v>
      </c>
      <c r="AA121" s="322">
        <f>IFERROR(IF(tblPiNAnalysis5[[#This Row],[Health]]="", "", MROUND(tblPiNAnalysis5[[#This Row],[Health]]/tblPiNAnalysis5[[#This Row],[Affected population projection 2026]], 0.05)), "")</f>
        <v>0.15000000000000002</v>
      </c>
      <c r="AB121" s="323">
        <f>IFERROR(IF(tblPiNAnalysis5[[#This Row],[Overarching Protection]]="", "", MROUND(tblPiNAnalysis5[[#This Row],[Overarching Protection]]/tblPiNAnalysis5[[#This Row],[Affected population projection 2026]], 0.05)), "")</f>
        <v>0.05</v>
      </c>
      <c r="AC121" s="323">
        <f>IFERROR(IF(tblPiNAnalysis5[[#This Row],[Shelter]]="", "", MROUND(tblPiNAnalysis5[[#This Row],[Shelter]]/tblPiNAnalysis5[[#This Row],[Affected population projection 2026]], 0.05)), "")</f>
        <v>0</v>
      </c>
      <c r="AD121" s="324">
        <f>IFERROR(IF(tblPiNAnalysis5[[#This Row],[WASH]]="", "", MROUND(tblPiNAnalysis5[[#This Row],[WASH]]/tblPiNAnalysis5[[#This Row],[Affected population projection 2026]], 0.05)), "")</f>
        <v>0.05</v>
      </c>
      <c r="AE121" s="322">
        <f>IFERROR(MROUND(tblPiNAnalysis5[[#This Row],[CP]]/tblPiNAnalysis5[[#This Row],[Affected population projection 2026]], 0.05), "")</f>
        <v>0</v>
      </c>
      <c r="AF121" s="322">
        <f>IFERROR(MROUND(tblPiNAnalysis5[[#This Row],[GBV]]/tblPiNAnalysis5[[#This Row],[Affected population projection 2026]], 0.05), "")</f>
        <v>0</v>
      </c>
      <c r="AG121" s="322">
        <f>IFERROR(MROUND(tblPiNAnalysis5[[#This Row],[Mine Action]]/tblPiNAnalysis5[[#This Row],[Affected population projection 2026]], 0.05), "")</f>
        <v>0</v>
      </c>
      <c r="AH121" s="322">
        <f>IFERROR(MROUND(tblPiNAnalysis5[[#This Row],[HLP]]/tblPiNAnalysis5[[#This Row],[Affected population projection 2026]], 0.05), "")</f>
        <v>0</v>
      </c>
      <c r="AI121" s="325">
        <f>IFERROR(LARGE(tblPiNAnalysis5[[#This Row],[CCCM]:[WASH]], 1), "")</f>
        <v>32087.807028709831</v>
      </c>
      <c r="AJ121" s="326" t="str" cm="1">
        <f t="array" ref="AJ121">IF(tblPiNAnalysis5[[#This Row],[Highest Target]]="", "", _xlfn.TEXTJOIN(CHAR(10), TRUE, IF(tblPiNAnalysis5[[#This Row],[Highest Target]]=tblPiNAnalysis5[[#This Row],[CCCM]:[WASH]], tblPiNAnalysis5[[#Headers],[CCCM]:[WASH]], "")))</f>
        <v>Nutrition</v>
      </c>
      <c r="AK121" s="327">
        <f>IF(tblPiNAnalysis5[[#This Row],[Highest Target]]="", "", tblPiNAnalysis5[[#This Row],[Highest Target]]/tblPiNAnalysis5[[#This Row],[Affected population projection 2026]])</f>
        <v>0.23139554852695979</v>
      </c>
      <c r="AL121" s="328" t="str">
        <f>IF(SUM(tblPiNAnalysis5[[#This Row],[CCCM]:[WASH]])=0, "",IF(COUNTIF(tblPiNAnalysis5[[#This Row],[CCCM]:[WASH]],"=0")+COUNTIF(tblPiNAnalysis5[[#This Row],[CCCM]:[WASH]],"")&gt;=zero_pin_thresh, "Flagged", ""))</f>
        <v/>
      </c>
      <c r="AM121" s="329" t="str">
        <f>IFERROR(IF(tblPiNAnalysis5[[#This Row],[Highest Target]]="", "", IF(tblPiNAnalysis5[[#This Row],[Highest sector(s'') Target %]]&gt;=flag_pin_perc, "Flagged", "")), "")</f>
        <v/>
      </c>
      <c r="AN121" s="330" t="str" cm="1">
        <f t="array" ref="AN121">IF(tblPiNAnalysis5[[#This Row],[Highest Target]]=0, "",  IF(OR(COUNTIF(tblPiNAnalysis5[[#This Row],[Highest sector(s)]],tblSubSectorPopulation[Sector])), "Flagged", ""))</f>
        <v/>
      </c>
      <c r="AO121" s="46" cm="1">
        <f t="array" ref="AO12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25587.502546799253</v>
      </c>
      <c r="AP121" s="331" t="str" cm="1">
        <f t="array" ref="AP121">IF(tblPiNAnalysis5[[#This Row],[2nd Highest Target]]="", "", _xlfn.TEXTJOIN(CHAR(10), TRUE, IF(tblPiNAnalysis5[[#This Row],[2nd Highest Target]]=tblPiNAnalysis5[[#This Row],[CCCM]:[WASH]], tblPiNAnalysis5[[#Headers],[CCCM]:[WASH]], "")))</f>
        <v>Food Security</v>
      </c>
      <c r="AQ121" s="36">
        <f>IFERROR(tblPiNAnalysis5[[#This Row],[2nd Highest Target]]/tblPiNAnalysis5[[#This Row],[Affected population projection 2026]], "")</f>
        <v>0.18451975175349511</v>
      </c>
      <c r="AR121" s="46">
        <f>IFERROR(tblPiNAnalysis5[[#This Row],[Highest Target]]-tblPiNAnalysis5[[#This Row],[2nd Highest Target]], "")</f>
        <v>6500.304481910578</v>
      </c>
      <c r="AS121" s="39">
        <f>IFERROR(((tblPiNAnalysis5[[#This Row],[Highest Target]]-tblPiNAnalysis5[[#This Row],[2nd Highest Target]])/tblPiNAnalysis5[[#This Row],[2nd Highest Target]]),"")</f>
        <v>0.25404216257610895</v>
      </c>
      <c r="AT121" s="39" t="str" cm="1">
        <f t="array" ref="AT12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1" s="332" cm="1">
        <f t="array" ref="AU12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20649.943294271838</v>
      </c>
      <c r="AV121" s="190" t="str" cm="1">
        <f t="array" ref="AV121">IF(tblPiNAnalysis5[[#This Row],[3rd Highest Target]]="", "", _xlfn.TEXTJOIN(CHAR(10), TRUE, IF(tblPiNAnalysis5[[#This Row],[3rd Highest Target]]=tblPiNAnalysis5[[#This Row],[CCCM]:[WASH]], tblPiNAnalysis5[[#Headers],[CCCM]:[WASH]], "")))</f>
        <v>Health</v>
      </c>
      <c r="AW121" s="190">
        <f>IFERROR(tblPiNAnalysis5[[#This Row],[3rd Highest Target]]/tblPiNAnalysis5[[#This Row],[Affected population projection 2026]], "")</f>
        <v>0.14891341596991553</v>
      </c>
      <c r="AX121" s="45">
        <f>IFERROR(tblPiNAnalysis5[[#This Row],[Highest Target]]-tblPiNAnalysis5[[#This Row],[3rd Highest Target]],"")</f>
        <v>11437.863734437993</v>
      </c>
      <c r="AY121" s="39">
        <f>IFERROR(tblPiNAnalysis5[[#This Row],[Difference of Target between Highest and 3rd Highest]]/tblPiNAnalysis5[[#This Row],[3rd Highest Target]], "")</f>
        <v>0.5538932272811995</v>
      </c>
      <c r="AZ121" s="330" t="str" cm="1">
        <f t="array" ref="AZ12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21" s="300" t="str" cm="1">
        <f t="array" ref="BA12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1" s="333" t="str" cm="1">
        <f t="array" ref="BB12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21" s="276" t="str" cm="1">
        <f t="array" ref="BC12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1" s="334" t="str" cm="1">
        <f t="array" ref="BD12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1" s="277" t="e">
        <f>INDEX(tblSeverityAnalysis[Final Severity], MATCH(tblPiNAnalysis5[[#This Row],[ID]],tblSeverityAnalysis[ID], 0))</f>
        <v>#N/A</v>
      </c>
      <c r="BF121" s="61" t="e">
        <f>IF(tblPiNAnalysis5[[#This Row],[Severity]]&gt;2,tblPiNAnalysis5[[#This Row],[Highest Target]],)</f>
        <v>#N/A</v>
      </c>
      <c r="BG121" s="191"/>
      <c r="BH121" s="192"/>
      <c r="BI121" s="193">
        <f>COUNTIFS(tblPiNAnalysis5[[#This Row],[Number of missing / zero PiNs greater than threshold - Data quality]:[Manual Flag]],"Flagged")</f>
        <v>1</v>
      </c>
      <c r="BJ121" s="96" t="str">
        <f>IF(tblPiNAnalysis5[[#This Row],['# Flags]]&gt;0, "Flagged", "")</f>
        <v>Flagged</v>
      </c>
      <c r="BK121" s="326" t="e">
        <f>tblPiNAnalysis5[[#This Row],[Preliminary Target]]</f>
        <v>#N/A</v>
      </c>
      <c r="BL121" s="331"/>
    </row>
    <row r="122" spans="1:64" ht="110.7" x14ac:dyDescent="0.55000000000000004">
      <c r="A1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2" s="316" t="s">
        <v>322</v>
      </c>
      <c r="C122" s="317" t="s">
        <v>323</v>
      </c>
      <c r="D122" s="317" t="s">
        <v>324</v>
      </c>
      <c r="E122" s="105" t="s">
        <v>325</v>
      </c>
      <c r="F122" s="100"/>
      <c r="G122" s="34"/>
      <c r="H122" s="34"/>
      <c r="I122" s="97">
        <v>39195.118555506007</v>
      </c>
      <c r="J122" s="97" t="s">
        <v>413</v>
      </c>
      <c r="K122" s="318">
        <v>0</v>
      </c>
      <c r="L122" s="319">
        <v>0</v>
      </c>
      <c r="M122" s="319">
        <v>0</v>
      </c>
      <c r="N122" s="319">
        <v>0</v>
      </c>
      <c r="O122" s="319">
        <v>0</v>
      </c>
      <c r="P122" s="319">
        <v>0</v>
      </c>
      <c r="Q122" s="320">
        <v>0</v>
      </c>
      <c r="R122" s="319">
        <v>0</v>
      </c>
      <c r="S122" s="319"/>
      <c r="T122" s="319"/>
      <c r="U122" s="319"/>
      <c r="V122" s="319"/>
      <c r="W122" s="321">
        <f>IFERROR(IF(tblPiNAnalysis5[[#This Row],[CCCM]]="", "", MROUND(tblPiNAnalysis5[[#This Row],[CCCM]]/tblPiNAnalysis5[[#This Row],[Affected population projection 2026]], 0.05)), "")</f>
        <v>0</v>
      </c>
      <c r="X122" s="322">
        <f>IFERROR(IF(tblPiNAnalysis5[[#This Row],[Education]]="", "", MROUND(tblPiNAnalysis5[[#This Row],[Education]]/tblPiNAnalysis5[[#This Row],[Affected population projection 2026]], 0.05)), "")</f>
        <v>0</v>
      </c>
      <c r="Y122" s="322">
        <f>IFERROR(IF(tblPiNAnalysis5[[#This Row],[Nutrition]]="", "", MROUND(tblPiNAnalysis5[[#This Row],[Nutrition]]/tblPiNAnalysis5[[#This Row],[Affected population projection 2026]], 0.05)), "")</f>
        <v>0</v>
      </c>
      <c r="Z122" s="322">
        <f>IFERROR(IF(tblPiNAnalysis5[[#This Row],[Food Security]]="", "", MROUND(tblPiNAnalysis5[[#This Row],[Food Security]]/tblPiNAnalysis5[[#This Row],[Affected population projection 2026]], 0.05)), "")</f>
        <v>0</v>
      </c>
      <c r="AA122" s="322">
        <f>IFERROR(IF(tblPiNAnalysis5[[#This Row],[Health]]="", "", MROUND(tblPiNAnalysis5[[#This Row],[Health]]/tblPiNAnalysis5[[#This Row],[Affected population projection 2026]], 0.05)), "")</f>
        <v>0</v>
      </c>
      <c r="AB122" s="323">
        <f>IFERROR(IF(tblPiNAnalysis5[[#This Row],[Overarching Protection]]="", "", MROUND(tblPiNAnalysis5[[#This Row],[Overarching Protection]]/tblPiNAnalysis5[[#This Row],[Affected population projection 2026]], 0.05)), "")</f>
        <v>0</v>
      </c>
      <c r="AC122" s="323">
        <f>IFERROR(IF(tblPiNAnalysis5[[#This Row],[Shelter]]="", "", MROUND(tblPiNAnalysis5[[#This Row],[Shelter]]/tblPiNAnalysis5[[#This Row],[Affected population projection 2026]], 0.05)), "")</f>
        <v>0</v>
      </c>
      <c r="AD122" s="324">
        <f>IFERROR(IF(tblPiNAnalysis5[[#This Row],[WASH]]="", "", MROUND(tblPiNAnalysis5[[#This Row],[WASH]]/tblPiNAnalysis5[[#This Row],[Affected population projection 2026]], 0.05)), "")</f>
        <v>0</v>
      </c>
      <c r="AE122" s="322">
        <f>IFERROR(MROUND(tblPiNAnalysis5[[#This Row],[CP]]/tblPiNAnalysis5[[#This Row],[Affected population projection 2026]], 0.05), "")</f>
        <v>0</v>
      </c>
      <c r="AF122" s="322">
        <f>IFERROR(MROUND(tblPiNAnalysis5[[#This Row],[GBV]]/tblPiNAnalysis5[[#This Row],[Affected population projection 2026]], 0.05), "")</f>
        <v>0</v>
      </c>
      <c r="AG122" s="322">
        <f>IFERROR(MROUND(tblPiNAnalysis5[[#This Row],[Mine Action]]/tblPiNAnalysis5[[#This Row],[Affected population projection 2026]], 0.05), "")</f>
        <v>0</v>
      </c>
      <c r="AH122" s="322">
        <f>IFERROR(MROUND(tblPiNAnalysis5[[#This Row],[HLP]]/tblPiNAnalysis5[[#This Row],[Affected population projection 2026]], 0.05), "")</f>
        <v>0</v>
      </c>
      <c r="AI122" s="325">
        <f>IFERROR(LARGE(tblPiNAnalysis5[[#This Row],[CCCM]:[WASH]], 1), "")</f>
        <v>0</v>
      </c>
      <c r="AJ122" s="326" t="str" cm="1">
        <f t="array" ref="AJ122">IF(tblPiNAnalysis5[[#This Row],[Highest Target]]="", "", _xlfn.TEXTJOIN(CHAR(10), TRUE, IF(tblPiNAnalysis5[[#This Row],[Highest Target]]=tblPiNAnalysis5[[#This Row],[CCCM]:[WASH]], tblPiNAnalysis5[[#Headers],[CCCM]:[WASH]], "")))</f>
        <v>CCCM
Education
Nutrition
Food Security
Health
Overarching Protection
Shelter
WASH</v>
      </c>
      <c r="AK122" s="327">
        <f>IF(tblPiNAnalysis5[[#This Row],[Highest Target]]="", "", tblPiNAnalysis5[[#This Row],[Highest Target]]/tblPiNAnalysis5[[#This Row],[Affected population projection 2026]])</f>
        <v>0</v>
      </c>
      <c r="AL122" s="328" t="str">
        <f>IF(SUM(tblPiNAnalysis5[[#This Row],[CCCM]:[WASH]])=0, "",IF(COUNTIF(tblPiNAnalysis5[[#This Row],[CCCM]:[WASH]],"=0")+COUNTIF(tblPiNAnalysis5[[#This Row],[CCCM]:[WASH]],"")&gt;=zero_pin_thresh, "Flagged", ""))</f>
        <v/>
      </c>
      <c r="AM122" s="329" t="str">
        <f>IFERROR(IF(tblPiNAnalysis5[[#This Row],[Highest Target]]="", "", IF(tblPiNAnalysis5[[#This Row],[Highest sector(s'') Target %]]&gt;=flag_pin_perc, "Flagged", "")), "")</f>
        <v/>
      </c>
      <c r="AN122" s="330" t="str" cm="1">
        <f t="array" ref="AN122">IF(tblPiNAnalysis5[[#This Row],[Highest Target]]=0, "",  IF(OR(COUNTIF(tblPiNAnalysis5[[#This Row],[Highest sector(s)]],tblSubSectorPopulation[Sector])), "Flagged", ""))</f>
        <v/>
      </c>
      <c r="AO122" s="46" cm="1">
        <f t="array" ref="AO12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22" s="331" t="str" cm="1">
        <f t="array" ref="AP122">IF(tblPiNAnalysis5[[#This Row],[2nd Highest Target]]="", "", _xlfn.TEXTJOIN(CHAR(10), TRUE, IF(tblPiNAnalysis5[[#This Row],[2nd Highest Target]]=tblPiNAnalysis5[[#This Row],[CCCM]:[WASH]], tblPiNAnalysis5[[#Headers],[CCCM]:[WASH]], "")))</f>
        <v>CCCM
Education
Nutrition
Food Security
Health
Overarching Protection
Shelter
WASH</v>
      </c>
      <c r="AQ122" s="36">
        <f>IFERROR(tblPiNAnalysis5[[#This Row],[2nd Highest Target]]/tblPiNAnalysis5[[#This Row],[Affected population projection 2026]], "")</f>
        <v>0</v>
      </c>
      <c r="AR122" s="46">
        <f>IFERROR(tblPiNAnalysis5[[#This Row],[Highest Target]]-tblPiNAnalysis5[[#This Row],[2nd Highest Target]], "")</f>
        <v>0</v>
      </c>
      <c r="AS122" s="39" t="str">
        <f>IFERROR(((tblPiNAnalysis5[[#This Row],[Highest Target]]-tblPiNAnalysis5[[#This Row],[2nd Highest Target]])/tblPiNAnalysis5[[#This Row],[2nd Highest Target]]),"")</f>
        <v/>
      </c>
      <c r="AT122" s="39" t="str" cm="1">
        <f t="array" ref="AT12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2" s="332" cm="1">
        <f t="array" ref="AU12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22" s="190" t="str" cm="1">
        <f t="array" ref="AV122">IF(tblPiNAnalysis5[[#This Row],[3rd Highest Target]]="", "", _xlfn.TEXTJOIN(CHAR(10), TRUE, IF(tblPiNAnalysis5[[#This Row],[3rd Highest Target]]=tblPiNAnalysis5[[#This Row],[CCCM]:[WASH]], tblPiNAnalysis5[[#Headers],[CCCM]:[WASH]], "")))</f>
        <v>CCCM
Education
Nutrition
Food Security
Health
Overarching Protection
Shelter
WASH</v>
      </c>
      <c r="AW122" s="190">
        <f>IFERROR(tblPiNAnalysis5[[#This Row],[3rd Highest Target]]/tblPiNAnalysis5[[#This Row],[Affected population projection 2026]], "")</f>
        <v>0</v>
      </c>
      <c r="AX122" s="45">
        <f>IFERROR(tblPiNAnalysis5[[#This Row],[Highest Target]]-tblPiNAnalysis5[[#This Row],[3rd Highest Target]],"")</f>
        <v>0</v>
      </c>
      <c r="AY122" s="39" t="str">
        <f>IFERROR(tblPiNAnalysis5[[#This Row],[Difference of Target between Highest and 3rd Highest]]/tblPiNAnalysis5[[#This Row],[3rd Highest Target]], "")</f>
        <v/>
      </c>
      <c r="AZ122" s="330" t="str" cm="1">
        <f t="array" ref="AZ12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2" s="300" t="str" cm="1">
        <f t="array" ref="BA12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2" s="333" t="str" cm="1">
        <f t="array" ref="BB12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2" s="276" t="str" cm="1">
        <f t="array" ref="BC12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2" s="334" t="str" cm="1">
        <f t="array" ref="BD12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22" s="277" t="e">
        <f>INDEX(tblSeverityAnalysis[Final Severity], MATCH(tblPiNAnalysis5[[#This Row],[ID]],tblSeverityAnalysis[ID], 0))</f>
        <v>#N/A</v>
      </c>
      <c r="BF122" s="61" t="e">
        <f>IF(tblPiNAnalysis5[[#This Row],[Severity]]&gt;2,tblPiNAnalysis5[[#This Row],[Highest Target]],)</f>
        <v>#N/A</v>
      </c>
      <c r="BG122" s="191"/>
      <c r="BH122" s="192"/>
      <c r="BI122" s="193">
        <f>COUNTIFS(tblPiNAnalysis5[[#This Row],[Number of missing / zero PiNs greater than threshold - Data quality]:[Manual Flag]],"Flagged")</f>
        <v>2</v>
      </c>
      <c r="BJ122" s="96" t="str">
        <f>IF(tblPiNAnalysis5[[#This Row],['# Flags]]&gt;0, "Flagged", "")</f>
        <v>Flagged</v>
      </c>
      <c r="BK122" s="326" t="e">
        <f>tblPiNAnalysis5[[#This Row],[Preliminary Target]]</f>
        <v>#N/A</v>
      </c>
      <c r="BL122" s="331"/>
    </row>
    <row r="123" spans="1:64" x14ac:dyDescent="0.55000000000000004">
      <c r="A1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3" s="316" t="s">
        <v>322</v>
      </c>
      <c r="C123" s="317" t="s">
        <v>323</v>
      </c>
      <c r="D123" s="317" t="s">
        <v>326</v>
      </c>
      <c r="E123" s="105" t="s">
        <v>327</v>
      </c>
      <c r="F123" s="100"/>
      <c r="G123" s="34"/>
      <c r="H123" s="34"/>
      <c r="I123" s="97">
        <v>37012.158261154211</v>
      </c>
      <c r="J123" s="97" t="s">
        <v>413</v>
      </c>
      <c r="K123" s="318">
        <v>0</v>
      </c>
      <c r="L123" s="319">
        <v>843.23652789481548</v>
      </c>
      <c r="M123" s="319">
        <v>9419.3703674950648</v>
      </c>
      <c r="N123" s="319">
        <v>8360.8879485869766</v>
      </c>
      <c r="O123" s="319">
        <v>6655.6402149386158</v>
      </c>
      <c r="P123" s="319">
        <v>1286.6742909774725</v>
      </c>
      <c r="Q123" s="320">
        <v>524.56444217331159</v>
      </c>
      <c r="R123" s="319">
        <v>3065.3073457025857</v>
      </c>
      <c r="S123" s="319"/>
      <c r="T123" s="319"/>
      <c r="U123" s="319"/>
      <c r="V123" s="319"/>
      <c r="W123" s="321">
        <f>IFERROR(IF(tblPiNAnalysis5[[#This Row],[CCCM]]="", "", MROUND(tblPiNAnalysis5[[#This Row],[CCCM]]/tblPiNAnalysis5[[#This Row],[Affected population projection 2026]], 0.05)), "")</f>
        <v>0</v>
      </c>
      <c r="X123" s="322">
        <f>IFERROR(IF(tblPiNAnalysis5[[#This Row],[Education]]="", "", MROUND(tblPiNAnalysis5[[#This Row],[Education]]/tblPiNAnalysis5[[#This Row],[Affected population projection 2026]], 0.05)), "")</f>
        <v>0</v>
      </c>
      <c r="Y123" s="322">
        <f>IFERROR(IF(tblPiNAnalysis5[[#This Row],[Nutrition]]="", "", MROUND(tblPiNAnalysis5[[#This Row],[Nutrition]]/tblPiNAnalysis5[[#This Row],[Affected population projection 2026]], 0.05)), "")</f>
        <v>0.25</v>
      </c>
      <c r="Z123" s="322">
        <f>IFERROR(IF(tblPiNAnalysis5[[#This Row],[Food Security]]="", "", MROUND(tblPiNAnalysis5[[#This Row],[Food Security]]/tblPiNAnalysis5[[#This Row],[Affected population projection 2026]], 0.05)), "")</f>
        <v>0.25</v>
      </c>
      <c r="AA123" s="322">
        <f>IFERROR(IF(tblPiNAnalysis5[[#This Row],[Health]]="", "", MROUND(tblPiNAnalysis5[[#This Row],[Health]]/tblPiNAnalysis5[[#This Row],[Affected population projection 2026]], 0.05)), "")</f>
        <v>0.2</v>
      </c>
      <c r="AB123" s="323">
        <f>IFERROR(IF(tblPiNAnalysis5[[#This Row],[Overarching Protection]]="", "", MROUND(tblPiNAnalysis5[[#This Row],[Overarching Protection]]/tblPiNAnalysis5[[#This Row],[Affected population projection 2026]], 0.05)), "")</f>
        <v>0.05</v>
      </c>
      <c r="AC123" s="323">
        <f>IFERROR(IF(tblPiNAnalysis5[[#This Row],[Shelter]]="", "", MROUND(tblPiNAnalysis5[[#This Row],[Shelter]]/tblPiNAnalysis5[[#This Row],[Affected population projection 2026]], 0.05)), "")</f>
        <v>0</v>
      </c>
      <c r="AD123" s="324">
        <f>IFERROR(IF(tblPiNAnalysis5[[#This Row],[WASH]]="", "", MROUND(tblPiNAnalysis5[[#This Row],[WASH]]/tblPiNAnalysis5[[#This Row],[Affected population projection 2026]], 0.05)), "")</f>
        <v>0.1</v>
      </c>
      <c r="AE123" s="322">
        <f>IFERROR(MROUND(tblPiNAnalysis5[[#This Row],[CP]]/tblPiNAnalysis5[[#This Row],[Affected population projection 2026]], 0.05), "")</f>
        <v>0</v>
      </c>
      <c r="AF123" s="322">
        <f>IFERROR(MROUND(tblPiNAnalysis5[[#This Row],[GBV]]/tblPiNAnalysis5[[#This Row],[Affected population projection 2026]], 0.05), "")</f>
        <v>0</v>
      </c>
      <c r="AG123" s="322">
        <f>IFERROR(MROUND(tblPiNAnalysis5[[#This Row],[Mine Action]]/tblPiNAnalysis5[[#This Row],[Affected population projection 2026]], 0.05), "")</f>
        <v>0</v>
      </c>
      <c r="AH123" s="322">
        <f>IFERROR(MROUND(tblPiNAnalysis5[[#This Row],[HLP]]/tblPiNAnalysis5[[#This Row],[Affected population projection 2026]], 0.05), "")</f>
        <v>0</v>
      </c>
      <c r="AI123" s="325">
        <f>IFERROR(LARGE(tblPiNAnalysis5[[#This Row],[CCCM]:[WASH]], 1), "")</f>
        <v>9419.3703674950648</v>
      </c>
      <c r="AJ123" s="326" t="str" cm="1">
        <f t="array" ref="AJ123">IF(tblPiNAnalysis5[[#This Row],[Highest Target]]="", "", _xlfn.TEXTJOIN(CHAR(10), TRUE, IF(tblPiNAnalysis5[[#This Row],[Highest Target]]=tblPiNAnalysis5[[#This Row],[CCCM]:[WASH]], tblPiNAnalysis5[[#Headers],[CCCM]:[WASH]], "")))</f>
        <v>Nutrition</v>
      </c>
      <c r="AK123" s="327">
        <f>IF(tblPiNAnalysis5[[#This Row],[Highest Target]]="", "", tblPiNAnalysis5[[#This Row],[Highest Target]]/tblPiNAnalysis5[[#This Row],[Affected population projection 2026]])</f>
        <v>0.25449395036714417</v>
      </c>
      <c r="AL123" s="328" t="str">
        <f>IF(SUM(tblPiNAnalysis5[[#This Row],[CCCM]:[WASH]])=0, "",IF(COUNTIF(tblPiNAnalysis5[[#This Row],[CCCM]:[WASH]],"=0")+COUNTIF(tblPiNAnalysis5[[#This Row],[CCCM]:[WASH]],"")&gt;=zero_pin_thresh, "Flagged", ""))</f>
        <v/>
      </c>
      <c r="AM123" s="329" t="str">
        <f>IFERROR(IF(tblPiNAnalysis5[[#This Row],[Highest Target]]="", "", IF(tblPiNAnalysis5[[#This Row],[Highest sector(s'') Target %]]&gt;=flag_pin_perc, "Flagged", "")), "")</f>
        <v/>
      </c>
      <c r="AN123" s="330" t="str" cm="1">
        <f t="array" ref="AN123">IF(tblPiNAnalysis5[[#This Row],[Highest Target]]=0, "",  IF(OR(COUNTIF(tblPiNAnalysis5[[#This Row],[Highest sector(s)]],tblSubSectorPopulation[Sector])), "Flagged", ""))</f>
        <v/>
      </c>
      <c r="AO123" s="46" cm="1">
        <f t="array" ref="AO12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8360.8879485869766</v>
      </c>
      <c r="AP123" s="331" t="str" cm="1">
        <f t="array" ref="AP123">IF(tblPiNAnalysis5[[#This Row],[2nd Highest Target]]="", "", _xlfn.TEXTJOIN(CHAR(10), TRUE, IF(tblPiNAnalysis5[[#This Row],[2nd Highest Target]]=tblPiNAnalysis5[[#This Row],[CCCM]:[WASH]], tblPiNAnalysis5[[#Headers],[CCCM]:[WASH]], "")))</f>
        <v>Food Security</v>
      </c>
      <c r="AQ123" s="36">
        <f>IFERROR(tblPiNAnalysis5[[#This Row],[2nd Highest Target]]/tblPiNAnalysis5[[#This Row],[Affected population projection 2026]], "")</f>
        <v>0.22589571485114052</v>
      </c>
      <c r="AR123" s="46">
        <f>IFERROR(tblPiNAnalysis5[[#This Row],[Highest Target]]-tblPiNAnalysis5[[#This Row],[2nd Highest Target]], "")</f>
        <v>1058.4824189080882</v>
      </c>
      <c r="AS123" s="39">
        <f>IFERROR(((tblPiNAnalysis5[[#This Row],[Highest Target]]-tblPiNAnalysis5[[#This Row],[2nd Highest Target]])/tblPiNAnalysis5[[#This Row],[2nd Highest Target]]),"")</f>
        <v>0.12659928292508404</v>
      </c>
      <c r="AT123" s="39" t="str" cm="1">
        <f t="array" ref="AT12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3" s="332" cm="1">
        <f t="array" ref="AU12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6655.6402149386158</v>
      </c>
      <c r="AV123" s="190" t="str" cm="1">
        <f t="array" ref="AV123">IF(tblPiNAnalysis5[[#This Row],[3rd Highest Target]]="", "", _xlfn.TEXTJOIN(CHAR(10), TRUE, IF(tblPiNAnalysis5[[#This Row],[3rd Highest Target]]=tblPiNAnalysis5[[#This Row],[CCCM]:[WASH]], tblPiNAnalysis5[[#Headers],[CCCM]:[WASH]], "")))</f>
        <v>Health</v>
      </c>
      <c r="AW123" s="190">
        <f>IFERROR(tblPiNAnalysis5[[#This Row],[3rd Highest Target]]/tblPiNAnalysis5[[#This Row],[Affected population projection 2026]], "")</f>
        <v>0.17982307781073079</v>
      </c>
      <c r="AX123" s="45">
        <f>IFERROR(tblPiNAnalysis5[[#This Row],[Highest Target]]-tblPiNAnalysis5[[#This Row],[3rd Highest Target]],"")</f>
        <v>2763.730152556449</v>
      </c>
      <c r="AY123" s="39">
        <f>IFERROR(tblPiNAnalysis5[[#This Row],[Difference of Target between Highest and 3rd Highest]]/tblPiNAnalysis5[[#This Row],[3rd Highest Target]], "")</f>
        <v>0.41524632692032293</v>
      </c>
      <c r="AZ123" s="330" t="str" cm="1">
        <f t="array" ref="AZ12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3" s="300" t="str" cm="1">
        <f t="array" ref="BA12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3" s="333" t="str" cm="1">
        <f t="array" ref="BB12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23" s="276" t="str" cm="1">
        <f t="array" ref="BC12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3" s="334" t="str" cm="1">
        <f t="array" ref="BD12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3" s="277" t="e">
        <f>INDEX(tblSeverityAnalysis[Final Severity], MATCH(tblPiNAnalysis5[[#This Row],[ID]],tblSeverityAnalysis[ID], 0))</f>
        <v>#N/A</v>
      </c>
      <c r="BF123" s="61" t="e">
        <f>IF(tblPiNAnalysis5[[#This Row],[Severity]]&gt;2,tblPiNAnalysis5[[#This Row],[Highest Target]],)</f>
        <v>#N/A</v>
      </c>
      <c r="BG123" s="191"/>
      <c r="BH123" s="192"/>
      <c r="BI123" s="193">
        <f>COUNTIFS(tblPiNAnalysis5[[#This Row],[Number of missing / zero PiNs greater than threshold - Data quality]:[Manual Flag]],"Flagged")</f>
        <v>0</v>
      </c>
      <c r="BJ123" s="96" t="str">
        <f>IF(tblPiNAnalysis5[[#This Row],['# Flags]]&gt;0, "Flagged", "")</f>
        <v/>
      </c>
      <c r="BK123" s="326" t="e">
        <f>tblPiNAnalysis5[[#This Row],[Preliminary Target]]</f>
        <v>#N/A</v>
      </c>
      <c r="BL123" s="331"/>
    </row>
    <row r="124" spans="1:64" x14ac:dyDescent="0.55000000000000004">
      <c r="A1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4" s="316" t="s">
        <v>322</v>
      </c>
      <c r="C124" s="317" t="s">
        <v>323</v>
      </c>
      <c r="D124" s="317" t="s">
        <v>328</v>
      </c>
      <c r="E124" s="105" t="s">
        <v>329</v>
      </c>
      <c r="F124" s="100"/>
      <c r="G124" s="34"/>
      <c r="H124" s="34"/>
      <c r="I124" s="97">
        <v>52356.268586149592</v>
      </c>
      <c r="J124" s="97" t="s">
        <v>413</v>
      </c>
      <c r="K124" s="318">
        <v>0</v>
      </c>
      <c r="L124" s="319">
        <v>1116.2953324028977</v>
      </c>
      <c r="M124" s="319">
        <v>14242.866710529557</v>
      </c>
      <c r="N124" s="319">
        <v>11099.545373450037</v>
      </c>
      <c r="O124" s="319">
        <v>9394.4204669651717</v>
      </c>
      <c r="P124" s="319">
        <v>1775.83022713176</v>
      </c>
      <c r="Q124" s="320">
        <v>0</v>
      </c>
      <c r="R124" s="319">
        <v>6054.1424258889974</v>
      </c>
      <c r="S124" s="319"/>
      <c r="T124" s="319"/>
      <c r="U124" s="319"/>
      <c r="V124" s="319"/>
      <c r="W124" s="321">
        <f>IFERROR(IF(tblPiNAnalysis5[[#This Row],[CCCM]]="", "", MROUND(tblPiNAnalysis5[[#This Row],[CCCM]]/tblPiNAnalysis5[[#This Row],[Affected population projection 2026]], 0.05)), "")</f>
        <v>0</v>
      </c>
      <c r="X124" s="322">
        <f>IFERROR(IF(tblPiNAnalysis5[[#This Row],[Education]]="", "", MROUND(tblPiNAnalysis5[[#This Row],[Education]]/tblPiNAnalysis5[[#This Row],[Affected population projection 2026]], 0.05)), "")</f>
        <v>0</v>
      </c>
      <c r="Y124" s="322">
        <f>IFERROR(IF(tblPiNAnalysis5[[#This Row],[Nutrition]]="", "", MROUND(tblPiNAnalysis5[[#This Row],[Nutrition]]/tblPiNAnalysis5[[#This Row],[Affected population projection 2026]], 0.05)), "")</f>
        <v>0.25</v>
      </c>
      <c r="Z124" s="322">
        <f>IFERROR(IF(tblPiNAnalysis5[[#This Row],[Food Security]]="", "", MROUND(tblPiNAnalysis5[[#This Row],[Food Security]]/tblPiNAnalysis5[[#This Row],[Affected population projection 2026]], 0.05)), "")</f>
        <v>0.2</v>
      </c>
      <c r="AA124" s="322">
        <f>IFERROR(IF(tblPiNAnalysis5[[#This Row],[Health]]="", "", MROUND(tblPiNAnalysis5[[#This Row],[Health]]/tblPiNAnalysis5[[#This Row],[Affected population projection 2026]], 0.05)), "")</f>
        <v>0.2</v>
      </c>
      <c r="AB124" s="323">
        <f>IFERROR(IF(tblPiNAnalysis5[[#This Row],[Overarching Protection]]="", "", MROUND(tblPiNAnalysis5[[#This Row],[Overarching Protection]]/tblPiNAnalysis5[[#This Row],[Affected population projection 2026]], 0.05)), "")</f>
        <v>0.05</v>
      </c>
      <c r="AC124" s="323">
        <f>IFERROR(IF(tblPiNAnalysis5[[#This Row],[Shelter]]="", "", MROUND(tblPiNAnalysis5[[#This Row],[Shelter]]/tblPiNAnalysis5[[#This Row],[Affected population projection 2026]], 0.05)), "")</f>
        <v>0</v>
      </c>
      <c r="AD124" s="324">
        <f>IFERROR(IF(tblPiNAnalysis5[[#This Row],[WASH]]="", "", MROUND(tblPiNAnalysis5[[#This Row],[WASH]]/tblPiNAnalysis5[[#This Row],[Affected population projection 2026]], 0.05)), "")</f>
        <v>0.1</v>
      </c>
      <c r="AE124" s="322">
        <f>IFERROR(MROUND(tblPiNAnalysis5[[#This Row],[CP]]/tblPiNAnalysis5[[#This Row],[Affected population projection 2026]], 0.05), "")</f>
        <v>0</v>
      </c>
      <c r="AF124" s="322">
        <f>IFERROR(MROUND(tblPiNAnalysis5[[#This Row],[GBV]]/tblPiNAnalysis5[[#This Row],[Affected population projection 2026]], 0.05), "")</f>
        <v>0</v>
      </c>
      <c r="AG124" s="322">
        <f>IFERROR(MROUND(tblPiNAnalysis5[[#This Row],[Mine Action]]/tblPiNAnalysis5[[#This Row],[Affected population projection 2026]], 0.05), "")</f>
        <v>0</v>
      </c>
      <c r="AH124" s="322">
        <f>IFERROR(MROUND(tblPiNAnalysis5[[#This Row],[HLP]]/tblPiNAnalysis5[[#This Row],[Affected population projection 2026]], 0.05), "")</f>
        <v>0</v>
      </c>
      <c r="AI124" s="325">
        <f>IFERROR(LARGE(tblPiNAnalysis5[[#This Row],[CCCM]:[WASH]], 1), "")</f>
        <v>14242.866710529557</v>
      </c>
      <c r="AJ124" s="326" t="str" cm="1">
        <f t="array" ref="AJ124">IF(tblPiNAnalysis5[[#This Row],[Highest Target]]="", "", _xlfn.TEXTJOIN(CHAR(10), TRUE, IF(tblPiNAnalysis5[[#This Row],[Highest Target]]=tblPiNAnalysis5[[#This Row],[CCCM]:[WASH]], tblPiNAnalysis5[[#Headers],[CCCM]:[WASH]], "")))</f>
        <v>Nutrition</v>
      </c>
      <c r="AK124" s="327">
        <f>IF(tblPiNAnalysis5[[#This Row],[Highest Target]]="", "", tblPiNAnalysis5[[#This Row],[Highest Target]]/tblPiNAnalysis5[[#This Row],[Affected population projection 2026]])</f>
        <v>0.27203746743512941</v>
      </c>
      <c r="AL124" s="328" t="str">
        <f>IF(SUM(tblPiNAnalysis5[[#This Row],[CCCM]:[WASH]])=0, "",IF(COUNTIF(tblPiNAnalysis5[[#This Row],[CCCM]:[WASH]],"=0")+COUNTIF(tblPiNAnalysis5[[#This Row],[CCCM]:[WASH]],"")&gt;=zero_pin_thresh, "Flagged", ""))</f>
        <v>Flagged</v>
      </c>
      <c r="AM124" s="329" t="str">
        <f>IFERROR(IF(tblPiNAnalysis5[[#This Row],[Highest Target]]="", "", IF(tblPiNAnalysis5[[#This Row],[Highest sector(s'') Target %]]&gt;=flag_pin_perc, "Flagged", "")), "")</f>
        <v/>
      </c>
      <c r="AN124" s="330" t="str" cm="1">
        <f t="array" ref="AN124">IF(tblPiNAnalysis5[[#This Row],[Highest Target]]=0, "",  IF(OR(COUNTIF(tblPiNAnalysis5[[#This Row],[Highest sector(s)]],tblSubSectorPopulation[Sector])), "Flagged", ""))</f>
        <v/>
      </c>
      <c r="AO124" s="46" cm="1">
        <f t="array" ref="AO12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11099.545373450037</v>
      </c>
      <c r="AP124" s="331" t="str" cm="1">
        <f t="array" ref="AP124">IF(tblPiNAnalysis5[[#This Row],[2nd Highest Target]]="", "", _xlfn.TEXTJOIN(CHAR(10), TRUE, IF(tblPiNAnalysis5[[#This Row],[2nd Highest Target]]=tblPiNAnalysis5[[#This Row],[CCCM]:[WASH]], tblPiNAnalysis5[[#Headers],[CCCM]:[WASH]], "")))</f>
        <v>Food Security</v>
      </c>
      <c r="AQ124" s="36">
        <f>IFERROR(tblPiNAnalysis5[[#This Row],[2nd Highest Target]]/tblPiNAnalysis5[[#This Row],[Affected population projection 2026]], "")</f>
        <v>0.21200031387237417</v>
      </c>
      <c r="AR124" s="46">
        <f>IFERROR(tblPiNAnalysis5[[#This Row],[Highest Target]]-tblPiNAnalysis5[[#This Row],[2nd Highest Target]], "")</f>
        <v>3143.3213370795202</v>
      </c>
      <c r="AS124" s="39">
        <f>IFERROR(((tblPiNAnalysis5[[#This Row],[Highest Target]]-tblPiNAnalysis5[[#This Row],[2nd Highest Target]])/tblPiNAnalysis5[[#This Row],[2nd Highest Target]]),"")</f>
        <v>0.28319370130224453</v>
      </c>
      <c r="AT124" s="39" t="str" cm="1">
        <f t="array" ref="AT12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4" s="332" cm="1">
        <f t="array" ref="AU12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9394.4204669651717</v>
      </c>
      <c r="AV124" s="190" t="str" cm="1">
        <f t="array" ref="AV124">IF(tblPiNAnalysis5[[#This Row],[3rd Highest Target]]="", "", _xlfn.TEXTJOIN(CHAR(10), TRUE, IF(tblPiNAnalysis5[[#This Row],[3rd Highest Target]]=tblPiNAnalysis5[[#This Row],[CCCM]:[WASH]], tblPiNAnalysis5[[#Headers],[CCCM]:[WASH]], "")))</f>
        <v>Health</v>
      </c>
      <c r="AW124" s="190">
        <f>IFERROR(tblPiNAnalysis5[[#This Row],[3rd Highest Target]]/tblPiNAnalysis5[[#This Row],[Affected population projection 2026]], "")</f>
        <v>0.17943258220373609</v>
      </c>
      <c r="AX124" s="45">
        <f>IFERROR(tblPiNAnalysis5[[#This Row],[Highest Target]]-tblPiNAnalysis5[[#This Row],[3rd Highest Target]],"")</f>
        <v>4848.4462435643854</v>
      </c>
      <c r="AY124" s="39">
        <f>IFERROR(tblPiNAnalysis5[[#This Row],[Difference of Target between Highest and 3rd Highest]]/tblPiNAnalysis5[[#This Row],[3rd Highest Target]], "")</f>
        <v>0.51609849278234998</v>
      </c>
      <c r="AZ124" s="330" t="str" cm="1">
        <f t="array" ref="AZ12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24" s="300" t="str" cm="1">
        <f t="array" ref="BA12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4" s="333" t="str" cm="1">
        <f t="array" ref="BB12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24" s="276" t="str" cm="1">
        <f t="array" ref="BC12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4" s="334" t="str" cm="1">
        <f t="array" ref="BD12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4" s="277" t="e">
        <f>INDEX(tblSeverityAnalysis[Final Severity], MATCH(tblPiNAnalysis5[[#This Row],[ID]],tblSeverityAnalysis[ID], 0))</f>
        <v>#N/A</v>
      </c>
      <c r="BF124" s="61" t="e">
        <f>IF(tblPiNAnalysis5[[#This Row],[Severity]]&gt;2,tblPiNAnalysis5[[#This Row],[Highest Target]],)</f>
        <v>#N/A</v>
      </c>
      <c r="BG124" s="191"/>
      <c r="BH124" s="192"/>
      <c r="BI124" s="193">
        <f>COUNTIFS(tblPiNAnalysis5[[#This Row],[Number of missing / zero PiNs greater than threshold - Data quality]:[Manual Flag]],"Flagged")</f>
        <v>2</v>
      </c>
      <c r="BJ124" s="96" t="str">
        <f>IF(tblPiNAnalysis5[[#This Row],['# Flags]]&gt;0, "Flagged", "")</f>
        <v>Flagged</v>
      </c>
      <c r="BK124" s="326" t="e">
        <f>tblPiNAnalysis5[[#This Row],[Preliminary Target]]</f>
        <v>#N/A</v>
      </c>
      <c r="BL124" s="331"/>
    </row>
    <row r="125" spans="1:64" x14ac:dyDescent="0.55000000000000004">
      <c r="A1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5" s="316" t="s">
        <v>322</v>
      </c>
      <c r="C125" s="317" t="s">
        <v>323</v>
      </c>
      <c r="D125" s="317" t="s">
        <v>330</v>
      </c>
      <c r="E125" s="105" t="s">
        <v>331</v>
      </c>
      <c r="F125" s="100"/>
      <c r="G125" s="34"/>
      <c r="H125" s="34"/>
      <c r="I125" s="97">
        <v>27460.602325830623</v>
      </c>
      <c r="J125" s="97" t="s">
        <v>413</v>
      </c>
      <c r="K125" s="318">
        <v>0</v>
      </c>
      <c r="L125" s="319">
        <v>1071.4632736697245</v>
      </c>
      <c r="M125" s="319">
        <v>6764.4180032334552</v>
      </c>
      <c r="N125" s="319">
        <v>10968.254931412208</v>
      </c>
      <c r="O125" s="319">
        <v>13708.290932726555</v>
      </c>
      <c r="P125" s="319">
        <v>2390.4840857135678</v>
      </c>
      <c r="Q125" s="320">
        <v>768.8968651232575</v>
      </c>
      <c r="R125" s="319">
        <v>2984.080371055411</v>
      </c>
      <c r="S125" s="319"/>
      <c r="T125" s="319"/>
      <c r="U125" s="319"/>
      <c r="V125" s="319"/>
      <c r="W125" s="321">
        <f>IFERROR(IF(tblPiNAnalysis5[[#This Row],[CCCM]]="", "", MROUND(tblPiNAnalysis5[[#This Row],[CCCM]]/tblPiNAnalysis5[[#This Row],[Affected population projection 2026]], 0.05)), "")</f>
        <v>0</v>
      </c>
      <c r="X125" s="322">
        <f>IFERROR(IF(tblPiNAnalysis5[[#This Row],[Education]]="", "", MROUND(tblPiNAnalysis5[[#This Row],[Education]]/tblPiNAnalysis5[[#This Row],[Affected population projection 2026]], 0.05)), "")</f>
        <v>0.05</v>
      </c>
      <c r="Y125" s="322">
        <f>IFERROR(IF(tblPiNAnalysis5[[#This Row],[Nutrition]]="", "", MROUND(tblPiNAnalysis5[[#This Row],[Nutrition]]/tblPiNAnalysis5[[#This Row],[Affected population projection 2026]], 0.05)), "")</f>
        <v>0.25</v>
      </c>
      <c r="Z125" s="322">
        <f>IFERROR(IF(tblPiNAnalysis5[[#This Row],[Food Security]]="", "", MROUND(tblPiNAnalysis5[[#This Row],[Food Security]]/tblPiNAnalysis5[[#This Row],[Affected population projection 2026]], 0.05)), "")</f>
        <v>0.4</v>
      </c>
      <c r="AA125" s="322">
        <f>IFERROR(IF(tblPiNAnalysis5[[#This Row],[Health]]="", "", MROUND(tblPiNAnalysis5[[#This Row],[Health]]/tblPiNAnalysis5[[#This Row],[Affected population projection 2026]], 0.05)), "")</f>
        <v>0.5</v>
      </c>
      <c r="AB125" s="323">
        <f>IFERROR(IF(tblPiNAnalysis5[[#This Row],[Overarching Protection]]="", "", MROUND(tblPiNAnalysis5[[#This Row],[Overarching Protection]]/tblPiNAnalysis5[[#This Row],[Affected population projection 2026]], 0.05)), "")</f>
        <v>0.1</v>
      </c>
      <c r="AC125" s="323">
        <f>IFERROR(IF(tblPiNAnalysis5[[#This Row],[Shelter]]="", "", MROUND(tblPiNAnalysis5[[#This Row],[Shelter]]/tblPiNAnalysis5[[#This Row],[Affected population projection 2026]], 0.05)), "")</f>
        <v>0.05</v>
      </c>
      <c r="AD125" s="324">
        <f>IFERROR(IF(tblPiNAnalysis5[[#This Row],[WASH]]="", "", MROUND(tblPiNAnalysis5[[#This Row],[WASH]]/tblPiNAnalysis5[[#This Row],[Affected population projection 2026]], 0.05)), "")</f>
        <v>0.1</v>
      </c>
      <c r="AE125" s="322">
        <f>IFERROR(MROUND(tblPiNAnalysis5[[#This Row],[CP]]/tblPiNAnalysis5[[#This Row],[Affected population projection 2026]], 0.05), "")</f>
        <v>0</v>
      </c>
      <c r="AF125" s="322">
        <f>IFERROR(MROUND(tblPiNAnalysis5[[#This Row],[GBV]]/tblPiNAnalysis5[[#This Row],[Affected population projection 2026]], 0.05), "")</f>
        <v>0</v>
      </c>
      <c r="AG125" s="322">
        <f>IFERROR(MROUND(tblPiNAnalysis5[[#This Row],[Mine Action]]/tblPiNAnalysis5[[#This Row],[Affected population projection 2026]], 0.05), "")</f>
        <v>0</v>
      </c>
      <c r="AH125" s="322">
        <f>IFERROR(MROUND(tblPiNAnalysis5[[#This Row],[HLP]]/tblPiNAnalysis5[[#This Row],[Affected population projection 2026]], 0.05), "")</f>
        <v>0</v>
      </c>
      <c r="AI125" s="325">
        <f>IFERROR(LARGE(tblPiNAnalysis5[[#This Row],[CCCM]:[WASH]], 1), "")</f>
        <v>13708.290932726555</v>
      </c>
      <c r="AJ125" s="326" t="str" cm="1">
        <f t="array" ref="AJ125">IF(tblPiNAnalysis5[[#This Row],[Highest Target]]="", "", _xlfn.TEXTJOIN(CHAR(10), TRUE, IF(tblPiNAnalysis5[[#This Row],[Highest Target]]=tblPiNAnalysis5[[#This Row],[CCCM]:[WASH]], tblPiNAnalysis5[[#Headers],[CCCM]:[WASH]], "")))</f>
        <v>Health</v>
      </c>
      <c r="AK125" s="327">
        <f>IF(tblPiNAnalysis5[[#This Row],[Highest Target]]="", "", tblPiNAnalysis5[[#This Row],[Highest Target]]/tblPiNAnalysis5[[#This Row],[Affected population projection 2026]])</f>
        <v>0.49919847970093312</v>
      </c>
      <c r="AL125" s="328" t="str">
        <f>IF(SUM(tblPiNAnalysis5[[#This Row],[CCCM]:[WASH]])=0, "",IF(COUNTIF(tblPiNAnalysis5[[#This Row],[CCCM]:[WASH]],"=0")+COUNTIF(tblPiNAnalysis5[[#This Row],[CCCM]:[WASH]],"")&gt;=zero_pin_thresh, "Flagged", ""))</f>
        <v/>
      </c>
      <c r="AM125" s="329" t="str">
        <f>IFERROR(IF(tblPiNAnalysis5[[#This Row],[Highest Target]]="", "", IF(tblPiNAnalysis5[[#This Row],[Highest sector(s'') Target %]]&gt;=flag_pin_perc, "Flagged", "")), "")</f>
        <v/>
      </c>
      <c r="AN125" s="330" t="str" cm="1">
        <f t="array" ref="AN125">IF(tblPiNAnalysis5[[#This Row],[Highest Target]]=0, "",  IF(OR(COUNTIF(tblPiNAnalysis5[[#This Row],[Highest sector(s)]],tblSubSectorPopulation[Sector])), "Flagged", ""))</f>
        <v/>
      </c>
      <c r="AO125" s="46" cm="1">
        <f t="array" ref="AO12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10968.254931412208</v>
      </c>
      <c r="AP125" s="331" t="str" cm="1">
        <f t="array" ref="AP125">IF(tblPiNAnalysis5[[#This Row],[2nd Highest Target]]="", "", _xlfn.TEXTJOIN(CHAR(10), TRUE, IF(tblPiNAnalysis5[[#This Row],[2nd Highest Target]]=tblPiNAnalysis5[[#This Row],[CCCM]:[WASH]], tblPiNAnalysis5[[#Headers],[CCCM]:[WASH]], "")))</f>
        <v>Food Security</v>
      </c>
      <c r="AQ125" s="36">
        <f>IFERROR(tblPiNAnalysis5[[#This Row],[2nd Highest Target]]/tblPiNAnalysis5[[#This Row],[Affected population projection 2026]], "")</f>
        <v>0.39941785694536625</v>
      </c>
      <c r="AR125" s="46">
        <f>IFERROR(tblPiNAnalysis5[[#This Row],[Highest Target]]-tblPiNAnalysis5[[#This Row],[2nd Highest Target]], "")</f>
        <v>2740.0360013143472</v>
      </c>
      <c r="AS125" s="39">
        <f>IFERROR(((tblPiNAnalysis5[[#This Row],[Highest Target]]-tblPiNAnalysis5[[#This Row],[2nd Highest Target]])/tblPiNAnalysis5[[#This Row],[2nd Highest Target]]),"")</f>
        <v>0.24981512724208318</v>
      </c>
      <c r="AT125" s="39" t="str" cm="1">
        <f t="array" ref="AT12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5" s="332" cm="1">
        <f t="array" ref="AU12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6764.4180032334552</v>
      </c>
      <c r="AV125" s="190" t="str" cm="1">
        <f t="array" ref="AV125">IF(tblPiNAnalysis5[[#This Row],[3rd Highest Target]]="", "", _xlfn.TEXTJOIN(CHAR(10), TRUE, IF(tblPiNAnalysis5[[#This Row],[3rd Highest Target]]=tblPiNAnalysis5[[#This Row],[CCCM]:[WASH]], tblPiNAnalysis5[[#Headers],[CCCM]:[WASH]], "")))</f>
        <v>Nutrition</v>
      </c>
      <c r="AW125" s="190">
        <f>IFERROR(tblPiNAnalysis5[[#This Row],[3rd Highest Target]]/tblPiNAnalysis5[[#This Row],[Affected population projection 2026]], "")</f>
        <v>0.24633174185223727</v>
      </c>
      <c r="AX125" s="45">
        <f>IFERROR(tblPiNAnalysis5[[#This Row],[Highest Target]]-tblPiNAnalysis5[[#This Row],[3rd Highest Target]],"")</f>
        <v>6943.8729294930999</v>
      </c>
      <c r="AY125" s="39">
        <f>IFERROR(tblPiNAnalysis5[[#This Row],[Difference of Target between Highest and 3rd Highest]]/tblPiNAnalysis5[[#This Row],[3rd Highest Target]], "")</f>
        <v>1.0265292485138948</v>
      </c>
      <c r="AZ125" s="330" t="str" cm="1">
        <f t="array" ref="AZ12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25" s="300" t="str" cm="1">
        <f t="array" ref="BA12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5" s="333" t="str" cm="1">
        <f t="array" ref="BB12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5" s="276" t="str" cm="1">
        <f t="array" ref="BC12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5" s="334" t="str" cm="1">
        <f t="array" ref="BD12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5" s="277" t="e">
        <f>INDEX(tblSeverityAnalysis[Final Severity], MATCH(tblPiNAnalysis5[[#This Row],[ID]],tblSeverityAnalysis[ID], 0))</f>
        <v>#N/A</v>
      </c>
      <c r="BF125" s="61" t="e">
        <f>IF(tblPiNAnalysis5[[#This Row],[Severity]]&gt;2,tblPiNAnalysis5[[#This Row],[Highest Target]],)</f>
        <v>#N/A</v>
      </c>
      <c r="BG125" s="191"/>
      <c r="BH125" s="192"/>
      <c r="BI125" s="193">
        <f>COUNTIFS(tblPiNAnalysis5[[#This Row],[Number of missing / zero PiNs greater than threshold - Data quality]:[Manual Flag]],"Flagged")</f>
        <v>2</v>
      </c>
      <c r="BJ125" s="96" t="str">
        <f>IF(tblPiNAnalysis5[[#This Row],['# Flags]]&gt;0, "Flagged", "")</f>
        <v>Flagged</v>
      </c>
      <c r="BK125" s="326" t="e">
        <f>tblPiNAnalysis5[[#This Row],[Preliminary Target]]</f>
        <v>#N/A</v>
      </c>
      <c r="BL125" s="331"/>
    </row>
    <row r="126" spans="1:64" x14ac:dyDescent="0.55000000000000004">
      <c r="A1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6" s="316" t="s">
        <v>322</v>
      </c>
      <c r="C126" s="317" t="s">
        <v>323</v>
      </c>
      <c r="D126" s="317" t="s">
        <v>332</v>
      </c>
      <c r="E126" s="105" t="s">
        <v>333</v>
      </c>
      <c r="F126" s="100"/>
      <c r="G126" s="34"/>
      <c r="H126" s="34"/>
      <c r="I126" s="97">
        <v>32690.293010704088</v>
      </c>
      <c r="J126" s="97" t="s">
        <v>413</v>
      </c>
      <c r="K126" s="318">
        <v>0</v>
      </c>
      <c r="L126" s="319">
        <v>1211.5735238154566</v>
      </c>
      <c r="M126" s="319">
        <v>10286.161451833896</v>
      </c>
      <c r="N126" s="319">
        <v>13565.03394556789</v>
      </c>
      <c r="O126" s="319">
        <v>14120.844859922978</v>
      </c>
      <c r="P126" s="319">
        <v>2944.3992123536118</v>
      </c>
      <c r="Q126" s="320">
        <v>565.79353287757078</v>
      </c>
      <c r="R126" s="319">
        <v>3144.5909429020912</v>
      </c>
      <c r="S126" s="319"/>
      <c r="T126" s="319"/>
      <c r="U126" s="319"/>
      <c r="V126" s="319"/>
      <c r="W126" s="321">
        <f>IFERROR(IF(tblPiNAnalysis5[[#This Row],[CCCM]]="", "", MROUND(tblPiNAnalysis5[[#This Row],[CCCM]]/tblPiNAnalysis5[[#This Row],[Affected population projection 2026]], 0.05)), "")</f>
        <v>0</v>
      </c>
      <c r="X126" s="322">
        <f>IFERROR(IF(tblPiNAnalysis5[[#This Row],[Education]]="", "", MROUND(tblPiNAnalysis5[[#This Row],[Education]]/tblPiNAnalysis5[[#This Row],[Affected population projection 2026]], 0.05)), "")</f>
        <v>0.05</v>
      </c>
      <c r="Y126" s="322">
        <f>IFERROR(IF(tblPiNAnalysis5[[#This Row],[Nutrition]]="", "", MROUND(tblPiNAnalysis5[[#This Row],[Nutrition]]/tblPiNAnalysis5[[#This Row],[Affected population projection 2026]], 0.05)), "")</f>
        <v>0.30000000000000004</v>
      </c>
      <c r="Z126" s="322">
        <f>IFERROR(IF(tblPiNAnalysis5[[#This Row],[Food Security]]="", "", MROUND(tblPiNAnalysis5[[#This Row],[Food Security]]/tblPiNAnalysis5[[#This Row],[Affected population projection 2026]], 0.05)), "")</f>
        <v>0.4</v>
      </c>
      <c r="AA126" s="322">
        <f>IFERROR(IF(tblPiNAnalysis5[[#This Row],[Health]]="", "", MROUND(tblPiNAnalysis5[[#This Row],[Health]]/tblPiNAnalysis5[[#This Row],[Affected population projection 2026]], 0.05)), "")</f>
        <v>0.45</v>
      </c>
      <c r="AB126" s="323">
        <f>IFERROR(IF(tblPiNAnalysis5[[#This Row],[Overarching Protection]]="", "", MROUND(tblPiNAnalysis5[[#This Row],[Overarching Protection]]/tblPiNAnalysis5[[#This Row],[Affected population projection 2026]], 0.05)), "")</f>
        <v>0.1</v>
      </c>
      <c r="AC126" s="323">
        <f>IFERROR(IF(tblPiNAnalysis5[[#This Row],[Shelter]]="", "", MROUND(tblPiNAnalysis5[[#This Row],[Shelter]]/tblPiNAnalysis5[[#This Row],[Affected population projection 2026]], 0.05)), "")</f>
        <v>0</v>
      </c>
      <c r="AD126" s="324">
        <f>IFERROR(IF(tblPiNAnalysis5[[#This Row],[WASH]]="", "", MROUND(tblPiNAnalysis5[[#This Row],[WASH]]/tblPiNAnalysis5[[#This Row],[Affected population projection 2026]], 0.05)), "")</f>
        <v>0.1</v>
      </c>
      <c r="AE126" s="322">
        <f>IFERROR(MROUND(tblPiNAnalysis5[[#This Row],[CP]]/tblPiNAnalysis5[[#This Row],[Affected population projection 2026]], 0.05), "")</f>
        <v>0</v>
      </c>
      <c r="AF126" s="322">
        <f>IFERROR(MROUND(tblPiNAnalysis5[[#This Row],[GBV]]/tblPiNAnalysis5[[#This Row],[Affected population projection 2026]], 0.05), "")</f>
        <v>0</v>
      </c>
      <c r="AG126" s="322">
        <f>IFERROR(MROUND(tblPiNAnalysis5[[#This Row],[Mine Action]]/tblPiNAnalysis5[[#This Row],[Affected population projection 2026]], 0.05), "")</f>
        <v>0</v>
      </c>
      <c r="AH126" s="322">
        <f>IFERROR(MROUND(tblPiNAnalysis5[[#This Row],[HLP]]/tblPiNAnalysis5[[#This Row],[Affected population projection 2026]], 0.05), "")</f>
        <v>0</v>
      </c>
      <c r="AI126" s="325">
        <f>IFERROR(LARGE(tblPiNAnalysis5[[#This Row],[CCCM]:[WASH]], 1), "")</f>
        <v>14120.844859922978</v>
      </c>
      <c r="AJ126" s="326" t="str" cm="1">
        <f t="array" ref="AJ126">IF(tblPiNAnalysis5[[#This Row],[Highest Target]]="", "", _xlfn.TEXTJOIN(CHAR(10), TRUE, IF(tblPiNAnalysis5[[#This Row],[Highest Target]]=tblPiNAnalysis5[[#This Row],[CCCM]:[WASH]], tblPiNAnalysis5[[#Headers],[CCCM]:[WASH]], "")))</f>
        <v>Health</v>
      </c>
      <c r="AK126" s="327">
        <f>IF(tblPiNAnalysis5[[#This Row],[Highest Target]]="", "", tblPiNAnalysis5[[#This Row],[Highest Target]]/tblPiNAnalysis5[[#This Row],[Affected population projection 2026]])</f>
        <v>0.43195834479976236</v>
      </c>
      <c r="AL126" s="328" t="str">
        <f>IF(SUM(tblPiNAnalysis5[[#This Row],[CCCM]:[WASH]])=0, "",IF(COUNTIF(tblPiNAnalysis5[[#This Row],[CCCM]:[WASH]],"=0")+COUNTIF(tblPiNAnalysis5[[#This Row],[CCCM]:[WASH]],"")&gt;=zero_pin_thresh, "Flagged", ""))</f>
        <v/>
      </c>
      <c r="AM126" s="329" t="str">
        <f>IFERROR(IF(tblPiNAnalysis5[[#This Row],[Highest Target]]="", "", IF(tblPiNAnalysis5[[#This Row],[Highest sector(s'') Target %]]&gt;=flag_pin_perc, "Flagged", "")), "")</f>
        <v/>
      </c>
      <c r="AN126" s="330" t="str" cm="1">
        <f t="array" ref="AN126">IF(tblPiNAnalysis5[[#This Row],[Highest Target]]=0, "",  IF(OR(COUNTIF(tblPiNAnalysis5[[#This Row],[Highest sector(s)]],tblSubSectorPopulation[Sector])), "Flagged", ""))</f>
        <v/>
      </c>
      <c r="AO126" s="46" cm="1">
        <f t="array" ref="AO12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13565.03394556789</v>
      </c>
      <c r="AP126" s="331" t="str" cm="1">
        <f t="array" ref="AP126">IF(tblPiNAnalysis5[[#This Row],[2nd Highest Target]]="", "", _xlfn.TEXTJOIN(CHAR(10), TRUE, IF(tblPiNAnalysis5[[#This Row],[2nd Highest Target]]=tblPiNAnalysis5[[#This Row],[CCCM]:[WASH]], tblPiNAnalysis5[[#Headers],[CCCM]:[WASH]], "")))</f>
        <v>Food Security</v>
      </c>
      <c r="AQ126" s="36">
        <f>IFERROR(tblPiNAnalysis5[[#This Row],[2nd Highest Target]]/tblPiNAnalysis5[[#This Row],[Affected population projection 2026]], "")</f>
        <v>0.41495602199485221</v>
      </c>
      <c r="AR126" s="46">
        <f>IFERROR(tblPiNAnalysis5[[#This Row],[Highest Target]]-tblPiNAnalysis5[[#This Row],[2nd Highest Target]], "")</f>
        <v>555.81091435508824</v>
      </c>
      <c r="AS126" s="39">
        <f>IFERROR(((tblPiNAnalysis5[[#This Row],[Highest Target]]-tblPiNAnalysis5[[#This Row],[2nd Highest Target]])/tblPiNAnalysis5[[#This Row],[2nd Highest Target]]),"")</f>
        <v>4.0973794579901412E-2</v>
      </c>
      <c r="AT126" s="39" t="str" cm="1">
        <f t="array" ref="AT12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26" s="332" cm="1">
        <f t="array" ref="AU12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10286.161451833896</v>
      </c>
      <c r="AV126" s="190" t="str" cm="1">
        <f t="array" ref="AV126">IF(tblPiNAnalysis5[[#This Row],[3rd Highest Target]]="", "", _xlfn.TEXTJOIN(CHAR(10), TRUE, IF(tblPiNAnalysis5[[#This Row],[3rd Highest Target]]=tblPiNAnalysis5[[#This Row],[CCCM]:[WASH]], tblPiNAnalysis5[[#Headers],[CCCM]:[WASH]], "")))</f>
        <v>Nutrition</v>
      </c>
      <c r="AW126" s="190">
        <f>IFERROR(tblPiNAnalysis5[[#This Row],[3rd Highest Target]]/tblPiNAnalysis5[[#This Row],[Affected population projection 2026]], "")</f>
        <v>0.31465491754588437</v>
      </c>
      <c r="AX126" s="45">
        <f>IFERROR(tblPiNAnalysis5[[#This Row],[Highest Target]]-tblPiNAnalysis5[[#This Row],[3rd Highest Target]],"")</f>
        <v>3834.6834080890821</v>
      </c>
      <c r="AY126" s="39">
        <f>IFERROR(tblPiNAnalysis5[[#This Row],[Difference of Target between Highest and 3rd Highest]]/tblPiNAnalysis5[[#This Row],[3rd Highest Target]], "")</f>
        <v>0.37280023515530231</v>
      </c>
      <c r="AZ126" s="330" t="str" cm="1">
        <f t="array" ref="AZ12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6" s="300" t="str" cm="1">
        <f t="array" ref="BA12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6" s="333" t="str" cm="1">
        <f t="array" ref="BB12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6" s="276" t="str" cm="1">
        <f t="array" ref="BC12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6" s="334" t="str" cm="1">
        <f t="array" ref="BD12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6" s="277" t="e">
        <f>INDEX(tblSeverityAnalysis[Final Severity], MATCH(tblPiNAnalysis5[[#This Row],[ID]],tblSeverityAnalysis[ID], 0))</f>
        <v>#N/A</v>
      </c>
      <c r="BF126" s="61" t="e">
        <f>IF(tblPiNAnalysis5[[#This Row],[Severity]]&gt;2,tblPiNAnalysis5[[#This Row],[Highest Target]],)</f>
        <v>#N/A</v>
      </c>
      <c r="BG126" s="191"/>
      <c r="BH126" s="192"/>
      <c r="BI126" s="193">
        <f>COUNTIFS(tblPiNAnalysis5[[#This Row],[Number of missing / zero PiNs greater than threshold - Data quality]:[Manual Flag]],"Flagged")</f>
        <v>1</v>
      </c>
      <c r="BJ126" s="96" t="str">
        <f>IF(tblPiNAnalysis5[[#This Row],['# Flags]]&gt;0, "Flagged", "")</f>
        <v>Flagged</v>
      </c>
      <c r="BK126" s="326" t="e">
        <f>tblPiNAnalysis5[[#This Row],[Preliminary Target]]</f>
        <v>#N/A</v>
      </c>
      <c r="BL126" s="331"/>
    </row>
    <row r="127" spans="1:64" x14ac:dyDescent="0.55000000000000004">
      <c r="A1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7" s="316" t="s">
        <v>322</v>
      </c>
      <c r="C127" s="317" t="s">
        <v>323</v>
      </c>
      <c r="D127" s="317" t="s">
        <v>334</v>
      </c>
      <c r="E127" s="105" t="s">
        <v>335</v>
      </c>
      <c r="F127" s="100"/>
      <c r="G127" s="34"/>
      <c r="H127" s="34"/>
      <c r="I127" s="97">
        <v>95120.28021781116</v>
      </c>
      <c r="J127" s="97" t="s">
        <v>413</v>
      </c>
      <c r="K127" s="318">
        <v>0</v>
      </c>
      <c r="L127" s="319">
        <v>2910.7661829172175</v>
      </c>
      <c r="M127" s="319">
        <v>25643.993664077014</v>
      </c>
      <c r="N127" s="319">
        <v>17133.376838374101</v>
      </c>
      <c r="O127" s="319">
        <v>17976.534491231843</v>
      </c>
      <c r="P127" s="319">
        <v>3132.8790530901802</v>
      </c>
      <c r="Q127" s="320">
        <v>524.56444217331159</v>
      </c>
      <c r="R127" s="319">
        <v>5345.6227437221551</v>
      </c>
      <c r="S127" s="319"/>
      <c r="T127" s="319"/>
      <c r="U127" s="319"/>
      <c r="V127" s="319"/>
      <c r="W127" s="321">
        <f>IFERROR(IF(tblPiNAnalysis5[[#This Row],[CCCM]]="", "", MROUND(tblPiNAnalysis5[[#This Row],[CCCM]]/tblPiNAnalysis5[[#This Row],[Affected population projection 2026]], 0.05)), "")</f>
        <v>0</v>
      </c>
      <c r="X127" s="322">
        <f>IFERROR(IF(tblPiNAnalysis5[[#This Row],[Education]]="", "", MROUND(tblPiNAnalysis5[[#This Row],[Education]]/tblPiNAnalysis5[[#This Row],[Affected population projection 2026]], 0.05)), "")</f>
        <v>0.05</v>
      </c>
      <c r="Y127" s="322">
        <f>IFERROR(IF(tblPiNAnalysis5[[#This Row],[Nutrition]]="", "", MROUND(tblPiNAnalysis5[[#This Row],[Nutrition]]/tblPiNAnalysis5[[#This Row],[Affected population projection 2026]], 0.05)), "")</f>
        <v>0.25</v>
      </c>
      <c r="Z127" s="322">
        <f>IFERROR(IF(tblPiNAnalysis5[[#This Row],[Food Security]]="", "", MROUND(tblPiNAnalysis5[[#This Row],[Food Security]]/tblPiNAnalysis5[[#This Row],[Affected population projection 2026]], 0.05)), "")</f>
        <v>0.2</v>
      </c>
      <c r="AA127" s="322">
        <f>IFERROR(IF(tblPiNAnalysis5[[#This Row],[Health]]="", "", MROUND(tblPiNAnalysis5[[#This Row],[Health]]/tblPiNAnalysis5[[#This Row],[Affected population projection 2026]], 0.05)), "")</f>
        <v>0.2</v>
      </c>
      <c r="AB127" s="323">
        <f>IFERROR(IF(tblPiNAnalysis5[[#This Row],[Overarching Protection]]="", "", MROUND(tblPiNAnalysis5[[#This Row],[Overarching Protection]]/tblPiNAnalysis5[[#This Row],[Affected population projection 2026]], 0.05)), "")</f>
        <v>0.05</v>
      </c>
      <c r="AC127" s="323">
        <f>IFERROR(IF(tblPiNAnalysis5[[#This Row],[Shelter]]="", "", MROUND(tblPiNAnalysis5[[#This Row],[Shelter]]/tblPiNAnalysis5[[#This Row],[Affected population projection 2026]], 0.05)), "")</f>
        <v>0</v>
      </c>
      <c r="AD127" s="324">
        <f>IFERROR(IF(tblPiNAnalysis5[[#This Row],[WASH]]="", "", MROUND(tblPiNAnalysis5[[#This Row],[WASH]]/tblPiNAnalysis5[[#This Row],[Affected population projection 2026]], 0.05)), "")</f>
        <v>0.05</v>
      </c>
      <c r="AE127" s="322">
        <f>IFERROR(MROUND(tblPiNAnalysis5[[#This Row],[CP]]/tblPiNAnalysis5[[#This Row],[Affected population projection 2026]], 0.05), "")</f>
        <v>0</v>
      </c>
      <c r="AF127" s="322">
        <f>IFERROR(MROUND(tblPiNAnalysis5[[#This Row],[GBV]]/tblPiNAnalysis5[[#This Row],[Affected population projection 2026]], 0.05), "")</f>
        <v>0</v>
      </c>
      <c r="AG127" s="322">
        <f>IFERROR(MROUND(tblPiNAnalysis5[[#This Row],[Mine Action]]/tblPiNAnalysis5[[#This Row],[Affected population projection 2026]], 0.05), "")</f>
        <v>0</v>
      </c>
      <c r="AH127" s="322">
        <f>IFERROR(MROUND(tblPiNAnalysis5[[#This Row],[HLP]]/tblPiNAnalysis5[[#This Row],[Affected population projection 2026]], 0.05), "")</f>
        <v>0</v>
      </c>
      <c r="AI127" s="325">
        <f>IFERROR(LARGE(tblPiNAnalysis5[[#This Row],[CCCM]:[WASH]], 1), "")</f>
        <v>25643.993664077014</v>
      </c>
      <c r="AJ127" s="326" t="str" cm="1">
        <f t="array" ref="AJ127">IF(tblPiNAnalysis5[[#This Row],[Highest Target]]="", "", _xlfn.TEXTJOIN(CHAR(10), TRUE, IF(tblPiNAnalysis5[[#This Row],[Highest Target]]=tblPiNAnalysis5[[#This Row],[CCCM]:[WASH]], tblPiNAnalysis5[[#Headers],[CCCM]:[WASH]], "")))</f>
        <v>Nutrition</v>
      </c>
      <c r="AK127" s="327">
        <f>IF(tblPiNAnalysis5[[#This Row],[Highest Target]]="", "", tblPiNAnalysis5[[#This Row],[Highest Target]]/tblPiNAnalysis5[[#This Row],[Affected population projection 2026]])</f>
        <v>0.26959543858950075</v>
      </c>
      <c r="AL127" s="328" t="str">
        <f>IF(SUM(tblPiNAnalysis5[[#This Row],[CCCM]:[WASH]])=0, "",IF(COUNTIF(tblPiNAnalysis5[[#This Row],[CCCM]:[WASH]],"=0")+COUNTIF(tblPiNAnalysis5[[#This Row],[CCCM]:[WASH]],"")&gt;=zero_pin_thresh, "Flagged", ""))</f>
        <v/>
      </c>
      <c r="AM127" s="329" t="str">
        <f>IFERROR(IF(tblPiNAnalysis5[[#This Row],[Highest Target]]="", "", IF(tblPiNAnalysis5[[#This Row],[Highest sector(s'') Target %]]&gt;=flag_pin_perc, "Flagged", "")), "")</f>
        <v/>
      </c>
      <c r="AN127" s="330" t="str" cm="1">
        <f t="array" ref="AN127">IF(tblPiNAnalysis5[[#This Row],[Highest Target]]=0, "",  IF(OR(COUNTIF(tblPiNAnalysis5[[#This Row],[Highest sector(s)]],tblSubSectorPopulation[Sector])), "Flagged", ""))</f>
        <v/>
      </c>
      <c r="AO127" s="46" cm="1">
        <f t="array" ref="AO12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17976.534491231843</v>
      </c>
      <c r="AP127" s="331" t="str" cm="1">
        <f t="array" ref="AP127">IF(tblPiNAnalysis5[[#This Row],[2nd Highest Target]]="", "", _xlfn.TEXTJOIN(CHAR(10), TRUE, IF(tblPiNAnalysis5[[#This Row],[2nd Highest Target]]=tblPiNAnalysis5[[#This Row],[CCCM]:[WASH]], tblPiNAnalysis5[[#Headers],[CCCM]:[WASH]], "")))</f>
        <v>Health</v>
      </c>
      <c r="AQ127" s="36">
        <f>IFERROR(tblPiNAnalysis5[[#This Row],[2nd Highest Target]]/tblPiNAnalysis5[[#This Row],[Affected population projection 2026]], "")</f>
        <v>0.18898740047935392</v>
      </c>
      <c r="AR127" s="46">
        <f>IFERROR(tblPiNAnalysis5[[#This Row],[Highest Target]]-tblPiNAnalysis5[[#This Row],[2nd Highest Target]], "")</f>
        <v>7667.4591728451705</v>
      </c>
      <c r="AS127" s="39">
        <f>IFERROR(((tblPiNAnalysis5[[#This Row],[Highest Target]]-tblPiNAnalysis5[[#This Row],[2nd Highest Target]])/tblPiNAnalysis5[[#This Row],[2nd Highest Target]]),"")</f>
        <v>0.42652599012256881</v>
      </c>
      <c r="AT127" s="39" t="str" cm="1">
        <f t="array" ref="AT12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27" s="332" cm="1">
        <f t="array" ref="AU12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17133.376838374101</v>
      </c>
      <c r="AV127" s="190" t="str" cm="1">
        <f t="array" ref="AV127">IF(tblPiNAnalysis5[[#This Row],[3rd Highest Target]]="", "", _xlfn.TEXTJOIN(CHAR(10), TRUE, IF(tblPiNAnalysis5[[#This Row],[3rd Highest Target]]=tblPiNAnalysis5[[#This Row],[CCCM]:[WASH]], tblPiNAnalysis5[[#Headers],[CCCM]:[WASH]], "")))</f>
        <v>Food Security</v>
      </c>
      <c r="AW127" s="190">
        <f>IFERROR(tblPiNAnalysis5[[#This Row],[3rd Highest Target]]/tblPiNAnalysis5[[#This Row],[Affected population projection 2026]], "")</f>
        <v>0.18012327969536296</v>
      </c>
      <c r="AX127" s="45">
        <f>IFERROR(tblPiNAnalysis5[[#This Row],[Highest Target]]-tblPiNAnalysis5[[#This Row],[3rd Highest Target]],"")</f>
        <v>8510.616825702913</v>
      </c>
      <c r="AY127" s="39">
        <f>IFERROR(tblPiNAnalysis5[[#This Row],[Difference of Target between Highest and 3rd Highest]]/tblPiNAnalysis5[[#This Row],[3rd Highest Target]], "")</f>
        <v>0.49672734721163941</v>
      </c>
      <c r="AZ127" s="330" t="str" cm="1">
        <f t="array" ref="AZ12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27" s="300" t="str" cm="1">
        <f t="array" ref="BA12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7" s="333" t="str" cm="1">
        <f t="array" ref="BB12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27" s="276" t="str" cm="1">
        <f t="array" ref="BC12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7" s="334" t="str" cm="1">
        <f t="array" ref="BD12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27" s="277" t="e">
        <f>INDEX(tblSeverityAnalysis[Final Severity], MATCH(tblPiNAnalysis5[[#This Row],[ID]],tblSeverityAnalysis[ID], 0))</f>
        <v>#N/A</v>
      </c>
      <c r="BF127" s="61" t="e">
        <f>IF(tblPiNAnalysis5[[#This Row],[Severity]]&gt;2,tblPiNAnalysis5[[#This Row],[Highest Target]],)</f>
        <v>#N/A</v>
      </c>
      <c r="BG127" s="191"/>
      <c r="BH127" s="192"/>
      <c r="BI127" s="193">
        <f>COUNTIFS(tblPiNAnalysis5[[#This Row],[Number of missing / zero PiNs greater than threshold - Data quality]:[Manual Flag]],"Flagged")</f>
        <v>2</v>
      </c>
      <c r="BJ127" s="96" t="str">
        <f>IF(tblPiNAnalysis5[[#This Row],['# Flags]]&gt;0, "Flagged", "")</f>
        <v>Flagged</v>
      </c>
      <c r="BK127" s="326" t="e">
        <f>tblPiNAnalysis5[[#This Row],[Preliminary Target]]</f>
        <v>#N/A</v>
      </c>
      <c r="BL127" s="331"/>
    </row>
    <row r="128" spans="1:64" x14ac:dyDescent="0.55000000000000004">
      <c r="A1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8" s="316" t="s">
        <v>322</v>
      </c>
      <c r="C128" s="317" t="s">
        <v>323</v>
      </c>
      <c r="D128" s="317" t="s">
        <v>336</v>
      </c>
      <c r="E128" s="105" t="s">
        <v>337</v>
      </c>
      <c r="F128" s="100"/>
      <c r="G128" s="34"/>
      <c r="H128" s="34"/>
      <c r="I128" s="97">
        <v>46967.678081984632</v>
      </c>
      <c r="J128" s="97" t="s">
        <v>413</v>
      </c>
      <c r="K128" s="318">
        <v>0</v>
      </c>
      <c r="L128" s="319">
        <v>4280.2283796534512</v>
      </c>
      <c r="M128" s="319">
        <v>13520.696823211947</v>
      </c>
      <c r="N128" s="319">
        <v>19066.573842383557</v>
      </c>
      <c r="O128" s="319">
        <v>27160.533337712492</v>
      </c>
      <c r="P128" s="319">
        <v>6943.4909534980879</v>
      </c>
      <c r="Q128" s="320">
        <v>958.72167631267587</v>
      </c>
      <c r="R128" s="319">
        <v>12164.725264546945</v>
      </c>
      <c r="S128" s="319"/>
      <c r="T128" s="319"/>
      <c r="U128" s="319"/>
      <c r="V128" s="319"/>
      <c r="W128" s="321">
        <f>IFERROR(IF(tblPiNAnalysis5[[#This Row],[CCCM]]="", "", MROUND(tblPiNAnalysis5[[#This Row],[CCCM]]/tblPiNAnalysis5[[#This Row],[Affected population projection 2026]], 0.05)), "")</f>
        <v>0</v>
      </c>
      <c r="X128" s="322">
        <f>IFERROR(IF(tblPiNAnalysis5[[#This Row],[Education]]="", "", MROUND(tblPiNAnalysis5[[#This Row],[Education]]/tblPiNAnalysis5[[#This Row],[Affected population projection 2026]], 0.05)), "")</f>
        <v>0.1</v>
      </c>
      <c r="Y128" s="322">
        <f>IFERROR(IF(tblPiNAnalysis5[[#This Row],[Nutrition]]="", "", MROUND(tblPiNAnalysis5[[#This Row],[Nutrition]]/tblPiNAnalysis5[[#This Row],[Affected population projection 2026]], 0.05)), "")</f>
        <v>0.30000000000000004</v>
      </c>
      <c r="Z128" s="322">
        <f>IFERROR(IF(tblPiNAnalysis5[[#This Row],[Food Security]]="", "", MROUND(tblPiNAnalysis5[[#This Row],[Food Security]]/tblPiNAnalysis5[[#This Row],[Affected population projection 2026]], 0.05)), "")</f>
        <v>0.4</v>
      </c>
      <c r="AA128" s="322">
        <f>IFERROR(IF(tblPiNAnalysis5[[#This Row],[Health]]="", "", MROUND(tblPiNAnalysis5[[#This Row],[Health]]/tblPiNAnalysis5[[#This Row],[Affected population projection 2026]], 0.05)), "")</f>
        <v>0.60000000000000009</v>
      </c>
      <c r="AB128" s="323">
        <f>IFERROR(IF(tblPiNAnalysis5[[#This Row],[Overarching Protection]]="", "", MROUND(tblPiNAnalysis5[[#This Row],[Overarching Protection]]/tblPiNAnalysis5[[#This Row],[Affected population projection 2026]], 0.05)), "")</f>
        <v>0.15000000000000002</v>
      </c>
      <c r="AC128" s="323">
        <f>IFERROR(IF(tblPiNAnalysis5[[#This Row],[Shelter]]="", "", MROUND(tblPiNAnalysis5[[#This Row],[Shelter]]/tblPiNAnalysis5[[#This Row],[Affected population projection 2026]], 0.05)), "")</f>
        <v>0</v>
      </c>
      <c r="AD128" s="324">
        <f>IFERROR(IF(tblPiNAnalysis5[[#This Row],[WASH]]="", "", MROUND(tblPiNAnalysis5[[#This Row],[WASH]]/tblPiNAnalysis5[[#This Row],[Affected population projection 2026]], 0.05)), "")</f>
        <v>0.25</v>
      </c>
      <c r="AE128" s="322">
        <f>IFERROR(MROUND(tblPiNAnalysis5[[#This Row],[CP]]/tblPiNAnalysis5[[#This Row],[Affected population projection 2026]], 0.05), "")</f>
        <v>0</v>
      </c>
      <c r="AF128" s="322">
        <f>IFERROR(MROUND(tblPiNAnalysis5[[#This Row],[GBV]]/tblPiNAnalysis5[[#This Row],[Affected population projection 2026]], 0.05), "")</f>
        <v>0</v>
      </c>
      <c r="AG128" s="322">
        <f>IFERROR(MROUND(tblPiNAnalysis5[[#This Row],[Mine Action]]/tblPiNAnalysis5[[#This Row],[Affected population projection 2026]], 0.05), "")</f>
        <v>0</v>
      </c>
      <c r="AH128" s="322">
        <f>IFERROR(MROUND(tblPiNAnalysis5[[#This Row],[HLP]]/tblPiNAnalysis5[[#This Row],[Affected population projection 2026]], 0.05), "")</f>
        <v>0</v>
      </c>
      <c r="AI128" s="325">
        <f>IFERROR(LARGE(tblPiNAnalysis5[[#This Row],[CCCM]:[WASH]], 1), "")</f>
        <v>27160.533337712492</v>
      </c>
      <c r="AJ128" s="326" t="str" cm="1">
        <f t="array" ref="AJ128">IF(tblPiNAnalysis5[[#This Row],[Highest Target]]="", "", _xlfn.TEXTJOIN(CHAR(10), TRUE, IF(tblPiNAnalysis5[[#This Row],[Highest Target]]=tblPiNAnalysis5[[#This Row],[CCCM]:[WASH]], tblPiNAnalysis5[[#Headers],[CCCM]:[WASH]], "")))</f>
        <v>Health</v>
      </c>
      <c r="AK128" s="327">
        <f>IF(tblPiNAnalysis5[[#This Row],[Highest Target]]="", "", tblPiNAnalysis5[[#This Row],[Highest Target]]/tblPiNAnalysis5[[#This Row],[Affected population projection 2026]])</f>
        <v>0.57828137235786503</v>
      </c>
      <c r="AL128" s="328" t="str">
        <f>IF(SUM(tblPiNAnalysis5[[#This Row],[CCCM]:[WASH]])=0, "",IF(COUNTIF(tblPiNAnalysis5[[#This Row],[CCCM]:[WASH]],"=0")+COUNTIF(tblPiNAnalysis5[[#This Row],[CCCM]:[WASH]],"")&gt;=zero_pin_thresh, "Flagged", ""))</f>
        <v/>
      </c>
      <c r="AM128" s="329" t="str">
        <f>IFERROR(IF(tblPiNAnalysis5[[#This Row],[Highest Target]]="", "", IF(tblPiNAnalysis5[[#This Row],[Highest sector(s'') Target %]]&gt;=flag_pin_perc, "Flagged", "")), "")</f>
        <v/>
      </c>
      <c r="AN128" s="330" t="str" cm="1">
        <f t="array" ref="AN128">IF(tblPiNAnalysis5[[#This Row],[Highest Target]]=0, "",  IF(OR(COUNTIF(tblPiNAnalysis5[[#This Row],[Highest sector(s)]],tblSubSectorPopulation[Sector])), "Flagged", ""))</f>
        <v/>
      </c>
      <c r="AO128" s="46" cm="1">
        <f t="array" ref="AO12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19066.573842383557</v>
      </c>
      <c r="AP128" s="331" t="str" cm="1">
        <f t="array" ref="AP128">IF(tblPiNAnalysis5[[#This Row],[2nd Highest Target]]="", "", _xlfn.TEXTJOIN(CHAR(10), TRUE, IF(tblPiNAnalysis5[[#This Row],[2nd Highest Target]]=tblPiNAnalysis5[[#This Row],[CCCM]:[WASH]], tblPiNAnalysis5[[#Headers],[CCCM]:[WASH]], "")))</f>
        <v>Food Security</v>
      </c>
      <c r="AQ128" s="36">
        <f>IFERROR(tblPiNAnalysis5[[#This Row],[2nd Highest Target]]/tblPiNAnalysis5[[#This Row],[Affected population projection 2026]], "")</f>
        <v>0.40595095650889573</v>
      </c>
      <c r="AR128" s="46">
        <f>IFERROR(tblPiNAnalysis5[[#This Row],[Highest Target]]-tblPiNAnalysis5[[#This Row],[2nd Highest Target]], "")</f>
        <v>8093.9594953289343</v>
      </c>
      <c r="AS128" s="39">
        <f>IFERROR(((tblPiNAnalysis5[[#This Row],[Highest Target]]-tblPiNAnalysis5[[#This Row],[2nd Highest Target]])/tblPiNAnalysis5[[#This Row],[2nd Highest Target]]),"")</f>
        <v>0.4245104318289567</v>
      </c>
      <c r="AT128" s="39" t="str" cm="1">
        <f t="array" ref="AT12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28" s="332" cm="1">
        <f t="array" ref="AU12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13520.696823211947</v>
      </c>
      <c r="AV128" s="190" t="str" cm="1">
        <f t="array" ref="AV128">IF(tblPiNAnalysis5[[#This Row],[3rd Highest Target]]="", "", _xlfn.TEXTJOIN(CHAR(10), TRUE, IF(tblPiNAnalysis5[[#This Row],[3rd Highest Target]]=tblPiNAnalysis5[[#This Row],[CCCM]:[WASH]], tblPiNAnalysis5[[#Headers],[CCCM]:[WASH]], "")))</f>
        <v>Nutrition</v>
      </c>
      <c r="AW128" s="190">
        <f>IFERROR(tblPiNAnalysis5[[#This Row],[3rd Highest Target]]/tblPiNAnalysis5[[#This Row],[Affected population projection 2026]], "")</f>
        <v>0.28787237043336134</v>
      </c>
      <c r="AX128" s="45">
        <f>IFERROR(tblPiNAnalysis5[[#This Row],[Highest Target]]-tblPiNAnalysis5[[#This Row],[3rd Highest Target]],"")</f>
        <v>13639.836514500545</v>
      </c>
      <c r="AY128" s="39">
        <f>IFERROR(tblPiNAnalysis5[[#This Row],[Difference of Target between Highest and 3rd Highest]]/tblPiNAnalysis5[[#This Row],[3rd Highest Target]], "")</f>
        <v>1.0088116531896538</v>
      </c>
      <c r="AZ128" s="330" t="str" cm="1">
        <f t="array" ref="AZ12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28" s="300" t="str" cm="1">
        <f t="array" ref="BA12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8" s="333" t="str" cm="1">
        <f t="array" ref="BB12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8" s="276" t="str" cm="1">
        <f t="array" ref="BC12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8" s="334" t="str" cm="1">
        <f t="array" ref="BD12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8" s="277" t="e">
        <f>INDEX(tblSeverityAnalysis[Final Severity], MATCH(tblPiNAnalysis5[[#This Row],[ID]],tblSeverityAnalysis[ID], 0))</f>
        <v>#N/A</v>
      </c>
      <c r="BF128" s="61" t="e">
        <f>IF(tblPiNAnalysis5[[#This Row],[Severity]]&gt;2,tblPiNAnalysis5[[#This Row],[Highest Target]],)</f>
        <v>#N/A</v>
      </c>
      <c r="BG128" s="191"/>
      <c r="BH128" s="192"/>
      <c r="BI128" s="193">
        <f>COUNTIFS(tblPiNAnalysis5[[#This Row],[Number of missing / zero PiNs greater than threshold - Data quality]:[Manual Flag]],"Flagged")</f>
        <v>3</v>
      </c>
      <c r="BJ128" s="96" t="str">
        <f>IF(tblPiNAnalysis5[[#This Row],['# Flags]]&gt;0, "Flagged", "")</f>
        <v>Flagged</v>
      </c>
      <c r="BK128" s="326" t="e">
        <f>tblPiNAnalysis5[[#This Row],[Preliminary Target]]</f>
        <v>#N/A</v>
      </c>
      <c r="BL128" s="331"/>
    </row>
    <row r="129" spans="1:64" x14ac:dyDescent="0.55000000000000004">
      <c r="A1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9" s="316" t="s">
        <v>322</v>
      </c>
      <c r="C129" s="317" t="s">
        <v>323</v>
      </c>
      <c r="D129" s="317" t="s">
        <v>338</v>
      </c>
      <c r="E129" s="105" t="s">
        <v>339</v>
      </c>
      <c r="F129" s="100"/>
      <c r="G129" s="34"/>
      <c r="H129" s="34"/>
      <c r="I129" s="97">
        <v>96392.652760116689</v>
      </c>
      <c r="J129" s="97" t="s">
        <v>413</v>
      </c>
      <c r="K129" s="318">
        <v>0</v>
      </c>
      <c r="L129" s="319">
        <v>2254.4120842230577</v>
      </c>
      <c r="M129" s="319">
        <v>27154.919948448758</v>
      </c>
      <c r="N129" s="319">
        <v>32203.115122920968</v>
      </c>
      <c r="O129" s="319">
        <v>60308.079776676626</v>
      </c>
      <c r="P129" s="319">
        <v>12721.294078158715</v>
      </c>
      <c r="Q129" s="320">
        <v>0</v>
      </c>
      <c r="R129" s="319">
        <v>13248.817604349008</v>
      </c>
      <c r="S129" s="319"/>
      <c r="T129" s="319"/>
      <c r="U129" s="319"/>
      <c r="V129" s="319"/>
      <c r="W129" s="321">
        <f>IFERROR(IF(tblPiNAnalysis5[[#This Row],[CCCM]]="", "", MROUND(tblPiNAnalysis5[[#This Row],[CCCM]]/tblPiNAnalysis5[[#This Row],[Affected population projection 2026]], 0.05)), "")</f>
        <v>0</v>
      </c>
      <c r="X129" s="322">
        <f>IFERROR(IF(tblPiNAnalysis5[[#This Row],[Education]]="", "", MROUND(tblPiNAnalysis5[[#This Row],[Education]]/tblPiNAnalysis5[[#This Row],[Affected population projection 2026]], 0.05)), "")</f>
        <v>0</v>
      </c>
      <c r="Y129" s="322">
        <f>IFERROR(IF(tblPiNAnalysis5[[#This Row],[Nutrition]]="", "", MROUND(tblPiNAnalysis5[[#This Row],[Nutrition]]/tblPiNAnalysis5[[#This Row],[Affected population projection 2026]], 0.05)), "")</f>
        <v>0.30000000000000004</v>
      </c>
      <c r="Z129" s="322">
        <f>IFERROR(IF(tblPiNAnalysis5[[#This Row],[Food Security]]="", "", MROUND(tblPiNAnalysis5[[#This Row],[Food Security]]/tblPiNAnalysis5[[#This Row],[Affected population projection 2026]], 0.05)), "")</f>
        <v>0.35000000000000003</v>
      </c>
      <c r="AA129" s="322">
        <f>IFERROR(IF(tblPiNAnalysis5[[#This Row],[Health]]="", "", MROUND(tblPiNAnalysis5[[#This Row],[Health]]/tblPiNAnalysis5[[#This Row],[Affected population projection 2026]], 0.05)), "")</f>
        <v>0.65</v>
      </c>
      <c r="AB129" s="323">
        <f>IFERROR(IF(tblPiNAnalysis5[[#This Row],[Overarching Protection]]="", "", MROUND(tblPiNAnalysis5[[#This Row],[Overarching Protection]]/tblPiNAnalysis5[[#This Row],[Affected population projection 2026]], 0.05)), "")</f>
        <v>0.15000000000000002</v>
      </c>
      <c r="AC129" s="323">
        <f>IFERROR(IF(tblPiNAnalysis5[[#This Row],[Shelter]]="", "", MROUND(tblPiNAnalysis5[[#This Row],[Shelter]]/tblPiNAnalysis5[[#This Row],[Affected population projection 2026]], 0.05)), "")</f>
        <v>0</v>
      </c>
      <c r="AD129" s="324">
        <f>IFERROR(IF(tblPiNAnalysis5[[#This Row],[WASH]]="", "", MROUND(tblPiNAnalysis5[[#This Row],[WASH]]/tblPiNAnalysis5[[#This Row],[Affected population projection 2026]], 0.05)), "")</f>
        <v>0.15000000000000002</v>
      </c>
      <c r="AE129" s="322">
        <f>IFERROR(MROUND(tblPiNAnalysis5[[#This Row],[CP]]/tblPiNAnalysis5[[#This Row],[Affected population projection 2026]], 0.05), "")</f>
        <v>0</v>
      </c>
      <c r="AF129" s="322">
        <f>IFERROR(MROUND(tblPiNAnalysis5[[#This Row],[GBV]]/tblPiNAnalysis5[[#This Row],[Affected population projection 2026]], 0.05), "")</f>
        <v>0</v>
      </c>
      <c r="AG129" s="322">
        <f>IFERROR(MROUND(tblPiNAnalysis5[[#This Row],[Mine Action]]/tblPiNAnalysis5[[#This Row],[Affected population projection 2026]], 0.05), "")</f>
        <v>0</v>
      </c>
      <c r="AH129" s="322">
        <f>IFERROR(MROUND(tblPiNAnalysis5[[#This Row],[HLP]]/tblPiNAnalysis5[[#This Row],[Affected population projection 2026]], 0.05), "")</f>
        <v>0</v>
      </c>
      <c r="AI129" s="325">
        <f>IFERROR(LARGE(tblPiNAnalysis5[[#This Row],[CCCM]:[WASH]], 1), "")</f>
        <v>60308.079776676626</v>
      </c>
      <c r="AJ129" s="326" t="str" cm="1">
        <f t="array" ref="AJ129">IF(tblPiNAnalysis5[[#This Row],[Highest Target]]="", "", _xlfn.TEXTJOIN(CHAR(10), TRUE, IF(tblPiNAnalysis5[[#This Row],[Highest Target]]=tblPiNAnalysis5[[#This Row],[CCCM]:[WASH]], tblPiNAnalysis5[[#Headers],[CCCM]:[WASH]], "")))</f>
        <v>Health</v>
      </c>
      <c r="AK129" s="327">
        <f>IF(tblPiNAnalysis5[[#This Row],[Highest Target]]="", "", tblPiNAnalysis5[[#This Row],[Highest Target]]/tblPiNAnalysis5[[#This Row],[Affected population projection 2026]])</f>
        <v>0.6256501719769002</v>
      </c>
      <c r="AL129" s="328" t="str">
        <f>IF(SUM(tblPiNAnalysis5[[#This Row],[CCCM]:[WASH]])=0, "",IF(COUNTIF(tblPiNAnalysis5[[#This Row],[CCCM]:[WASH]],"=0")+COUNTIF(tblPiNAnalysis5[[#This Row],[CCCM]:[WASH]],"")&gt;=zero_pin_thresh, "Flagged", ""))</f>
        <v>Flagged</v>
      </c>
      <c r="AM129" s="329" t="str">
        <f>IFERROR(IF(tblPiNAnalysis5[[#This Row],[Highest Target]]="", "", IF(tblPiNAnalysis5[[#This Row],[Highest sector(s'') Target %]]&gt;=flag_pin_perc, "Flagged", "")), "")</f>
        <v/>
      </c>
      <c r="AN129" s="330" t="str" cm="1">
        <f t="array" ref="AN129">IF(tblPiNAnalysis5[[#This Row],[Highest Target]]=0, "",  IF(OR(COUNTIF(tblPiNAnalysis5[[#This Row],[Highest sector(s)]],tblSubSectorPopulation[Sector])), "Flagged", ""))</f>
        <v/>
      </c>
      <c r="AO129" s="46" cm="1">
        <f t="array" ref="AO12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32203.115122920968</v>
      </c>
      <c r="AP129" s="331" t="str" cm="1">
        <f t="array" ref="AP129">IF(tblPiNAnalysis5[[#This Row],[2nd Highest Target]]="", "", _xlfn.TEXTJOIN(CHAR(10), TRUE, IF(tblPiNAnalysis5[[#This Row],[2nd Highest Target]]=tblPiNAnalysis5[[#This Row],[CCCM]:[WASH]], tblPiNAnalysis5[[#Headers],[CCCM]:[WASH]], "")))</f>
        <v>Food Security</v>
      </c>
      <c r="AQ129" s="36">
        <f>IFERROR(tblPiNAnalysis5[[#This Row],[2nd Highest Target]]/tblPiNAnalysis5[[#This Row],[Affected population projection 2026]], "")</f>
        <v>0.3340826733243023</v>
      </c>
      <c r="AR129" s="46">
        <f>IFERROR(tblPiNAnalysis5[[#This Row],[Highest Target]]-tblPiNAnalysis5[[#This Row],[2nd Highest Target]], "")</f>
        <v>28104.964653755658</v>
      </c>
      <c r="AS129" s="39">
        <f>IFERROR(((tblPiNAnalysis5[[#This Row],[Highest Target]]-tblPiNAnalysis5[[#This Row],[2nd Highest Target]])/tblPiNAnalysis5[[#This Row],[2nd Highest Target]]),"")</f>
        <v>0.87274055775279946</v>
      </c>
      <c r="AT129" s="39" t="str" cm="1">
        <f t="array" ref="AT12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29" s="332" cm="1">
        <f t="array" ref="AU12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27154.919948448758</v>
      </c>
      <c r="AV129" s="190" t="str" cm="1">
        <f t="array" ref="AV129">IF(tblPiNAnalysis5[[#This Row],[3rd Highest Target]]="", "", _xlfn.TEXTJOIN(CHAR(10), TRUE, IF(tblPiNAnalysis5[[#This Row],[3rd Highest Target]]=tblPiNAnalysis5[[#This Row],[CCCM]:[WASH]], tblPiNAnalysis5[[#Headers],[CCCM]:[WASH]], "")))</f>
        <v>Nutrition</v>
      </c>
      <c r="AW129" s="190">
        <f>IFERROR(tblPiNAnalysis5[[#This Row],[3rd Highest Target]]/tblPiNAnalysis5[[#This Row],[Affected population projection 2026]], "")</f>
        <v>0.28171151193469746</v>
      </c>
      <c r="AX129" s="45">
        <f>IFERROR(tblPiNAnalysis5[[#This Row],[Highest Target]]-tblPiNAnalysis5[[#This Row],[3rd Highest Target]],"")</f>
        <v>33153.159828227872</v>
      </c>
      <c r="AY129" s="39">
        <f>IFERROR(tblPiNAnalysis5[[#This Row],[Difference of Target between Highest and 3rd Highest]]/tblPiNAnalysis5[[#This Row],[3rd Highest Target]], "")</f>
        <v>1.2208896174677093</v>
      </c>
      <c r="AZ129" s="330" t="str" cm="1">
        <f t="array" ref="AZ12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29" s="300" t="str" cm="1">
        <f t="array" ref="BA12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29" s="333" t="str" cm="1">
        <f t="array" ref="BB12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29" s="276" t="str" cm="1">
        <f t="array" ref="BC12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29" s="334" t="str" cm="1">
        <f t="array" ref="BD12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29" s="277" t="e">
        <f>INDEX(tblSeverityAnalysis[Final Severity], MATCH(tblPiNAnalysis5[[#This Row],[ID]],tblSeverityAnalysis[ID], 0))</f>
        <v>#N/A</v>
      </c>
      <c r="BF129" s="61" t="e">
        <f>IF(tblPiNAnalysis5[[#This Row],[Severity]]&gt;2,tblPiNAnalysis5[[#This Row],[Highest Target]],)</f>
        <v>#N/A</v>
      </c>
      <c r="BG129" s="191"/>
      <c r="BH129" s="192"/>
      <c r="BI129" s="193">
        <f>COUNTIFS(tblPiNAnalysis5[[#This Row],[Number of missing / zero PiNs greater than threshold - Data quality]:[Manual Flag]],"Flagged")</f>
        <v>4</v>
      </c>
      <c r="BJ129" s="96" t="str">
        <f>IF(tblPiNAnalysis5[[#This Row],['# Flags]]&gt;0, "Flagged", "")</f>
        <v>Flagged</v>
      </c>
      <c r="BK129" s="326" t="e">
        <f>tblPiNAnalysis5[[#This Row],[Preliminary Target]]</f>
        <v>#N/A</v>
      </c>
      <c r="BL129" s="331"/>
    </row>
    <row r="130" spans="1:64" x14ac:dyDescent="0.55000000000000004">
      <c r="A1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0" s="316" t="s">
        <v>322</v>
      </c>
      <c r="C130" s="317" t="s">
        <v>323</v>
      </c>
      <c r="D130" s="317" t="s">
        <v>340</v>
      </c>
      <c r="E130" s="105" t="s">
        <v>341</v>
      </c>
      <c r="F130" s="100"/>
      <c r="G130" s="34"/>
      <c r="H130" s="34"/>
      <c r="I130" s="97">
        <v>128065.73135408323</v>
      </c>
      <c r="J130" s="97" t="s">
        <v>413</v>
      </c>
      <c r="K130" s="318">
        <v>0</v>
      </c>
      <c r="L130" s="319">
        <v>10579.246251754224</v>
      </c>
      <c r="M130" s="319">
        <v>29548.754558209097</v>
      </c>
      <c r="N130" s="319">
        <v>59467.210306405665</v>
      </c>
      <c r="O130" s="319">
        <v>72884.705316643594</v>
      </c>
      <c r="P130" s="319">
        <v>11446.894961098636</v>
      </c>
      <c r="Q130" s="320">
        <v>2845.9051412018489</v>
      </c>
      <c r="R130" s="319">
        <v>20998.432031437256</v>
      </c>
      <c r="S130" s="319"/>
      <c r="T130" s="319"/>
      <c r="U130" s="319"/>
      <c r="V130" s="319"/>
      <c r="W130" s="321">
        <f>IFERROR(IF(tblPiNAnalysis5[[#This Row],[CCCM]]="", "", MROUND(tblPiNAnalysis5[[#This Row],[CCCM]]/tblPiNAnalysis5[[#This Row],[Affected population projection 2026]], 0.05)), "")</f>
        <v>0</v>
      </c>
      <c r="X130" s="322">
        <f>IFERROR(IF(tblPiNAnalysis5[[#This Row],[Education]]="", "", MROUND(tblPiNAnalysis5[[#This Row],[Education]]/tblPiNAnalysis5[[#This Row],[Affected population projection 2026]], 0.05)), "")</f>
        <v>0.1</v>
      </c>
      <c r="Y130" s="322">
        <f>IFERROR(IF(tblPiNAnalysis5[[#This Row],[Nutrition]]="", "", MROUND(tblPiNAnalysis5[[#This Row],[Nutrition]]/tblPiNAnalysis5[[#This Row],[Affected population projection 2026]], 0.05)), "")</f>
        <v>0.25</v>
      </c>
      <c r="Z130" s="322">
        <f>IFERROR(IF(tblPiNAnalysis5[[#This Row],[Food Security]]="", "", MROUND(tblPiNAnalysis5[[#This Row],[Food Security]]/tblPiNAnalysis5[[#This Row],[Affected population projection 2026]], 0.05)), "")</f>
        <v>0.45</v>
      </c>
      <c r="AA130" s="322">
        <f>IFERROR(IF(tblPiNAnalysis5[[#This Row],[Health]]="", "", MROUND(tblPiNAnalysis5[[#This Row],[Health]]/tblPiNAnalysis5[[#This Row],[Affected population projection 2026]], 0.05)), "")</f>
        <v>0.55000000000000004</v>
      </c>
      <c r="AB130" s="323">
        <f>IFERROR(IF(tblPiNAnalysis5[[#This Row],[Overarching Protection]]="", "", MROUND(tblPiNAnalysis5[[#This Row],[Overarching Protection]]/tblPiNAnalysis5[[#This Row],[Affected population projection 2026]], 0.05)), "")</f>
        <v>0.1</v>
      </c>
      <c r="AC130" s="323">
        <f>IFERROR(IF(tblPiNAnalysis5[[#This Row],[Shelter]]="", "", MROUND(tblPiNAnalysis5[[#This Row],[Shelter]]/tblPiNAnalysis5[[#This Row],[Affected population projection 2026]], 0.05)), "")</f>
        <v>0</v>
      </c>
      <c r="AD130" s="324">
        <f>IFERROR(IF(tblPiNAnalysis5[[#This Row],[WASH]]="", "", MROUND(tblPiNAnalysis5[[#This Row],[WASH]]/tblPiNAnalysis5[[#This Row],[Affected population projection 2026]], 0.05)), "")</f>
        <v>0.15000000000000002</v>
      </c>
      <c r="AE130" s="322">
        <f>IFERROR(MROUND(tblPiNAnalysis5[[#This Row],[CP]]/tblPiNAnalysis5[[#This Row],[Affected population projection 2026]], 0.05), "")</f>
        <v>0</v>
      </c>
      <c r="AF130" s="322">
        <f>IFERROR(MROUND(tblPiNAnalysis5[[#This Row],[GBV]]/tblPiNAnalysis5[[#This Row],[Affected population projection 2026]], 0.05), "")</f>
        <v>0</v>
      </c>
      <c r="AG130" s="322">
        <f>IFERROR(MROUND(tblPiNAnalysis5[[#This Row],[Mine Action]]/tblPiNAnalysis5[[#This Row],[Affected population projection 2026]], 0.05), "")</f>
        <v>0</v>
      </c>
      <c r="AH130" s="322">
        <f>IFERROR(MROUND(tblPiNAnalysis5[[#This Row],[HLP]]/tblPiNAnalysis5[[#This Row],[Affected population projection 2026]], 0.05), "")</f>
        <v>0</v>
      </c>
      <c r="AI130" s="325">
        <f>IFERROR(LARGE(tblPiNAnalysis5[[#This Row],[CCCM]:[WASH]], 1), "")</f>
        <v>72884.705316643594</v>
      </c>
      <c r="AJ130" s="326" t="str" cm="1">
        <f t="array" ref="AJ130">IF(tblPiNAnalysis5[[#This Row],[Highest Target]]="", "", _xlfn.TEXTJOIN(CHAR(10), TRUE, IF(tblPiNAnalysis5[[#This Row],[Highest Target]]=tblPiNAnalysis5[[#This Row],[CCCM]:[WASH]], tblPiNAnalysis5[[#Headers],[CCCM]:[WASH]], "")))</f>
        <v>Health</v>
      </c>
      <c r="AK130" s="327">
        <f>IF(tblPiNAnalysis5[[#This Row],[Highest Target]]="", "", tblPiNAnalysis5[[#This Row],[Highest Target]]/tblPiNAnalysis5[[#This Row],[Affected population projection 2026]])</f>
        <v>0.56911950250866039</v>
      </c>
      <c r="AL130" s="328" t="str">
        <f>IF(SUM(tblPiNAnalysis5[[#This Row],[CCCM]:[WASH]])=0, "",IF(COUNTIF(tblPiNAnalysis5[[#This Row],[CCCM]:[WASH]],"=0")+COUNTIF(tblPiNAnalysis5[[#This Row],[CCCM]:[WASH]],"")&gt;=zero_pin_thresh, "Flagged", ""))</f>
        <v/>
      </c>
      <c r="AM130" s="329" t="str">
        <f>IFERROR(IF(tblPiNAnalysis5[[#This Row],[Highest Target]]="", "", IF(tblPiNAnalysis5[[#This Row],[Highest sector(s'') Target %]]&gt;=flag_pin_perc, "Flagged", "")), "")</f>
        <v/>
      </c>
      <c r="AN130" s="330" t="str" cm="1">
        <f t="array" ref="AN130">IF(tblPiNAnalysis5[[#This Row],[Highest Target]]=0, "",  IF(OR(COUNTIF(tblPiNAnalysis5[[#This Row],[Highest sector(s)]],tblSubSectorPopulation[Sector])), "Flagged", ""))</f>
        <v/>
      </c>
      <c r="AO130" s="46" cm="1">
        <f t="array" ref="AO13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59467.210306405665</v>
      </c>
      <c r="AP130" s="331" t="str" cm="1">
        <f t="array" ref="AP130">IF(tblPiNAnalysis5[[#This Row],[2nd Highest Target]]="", "", _xlfn.TEXTJOIN(CHAR(10), TRUE, IF(tblPiNAnalysis5[[#This Row],[2nd Highest Target]]=tblPiNAnalysis5[[#This Row],[CCCM]:[WASH]], tblPiNAnalysis5[[#Headers],[CCCM]:[WASH]], "")))</f>
        <v>Food Security</v>
      </c>
      <c r="AQ130" s="36">
        <f>IFERROR(tblPiNAnalysis5[[#This Row],[2nd Highest Target]]/tblPiNAnalysis5[[#This Row],[Affected population projection 2026]], "")</f>
        <v>0.46434912507536796</v>
      </c>
      <c r="AR130" s="46">
        <f>IFERROR(tblPiNAnalysis5[[#This Row],[Highest Target]]-tblPiNAnalysis5[[#This Row],[2nd Highest Target]], "")</f>
        <v>13417.49501023793</v>
      </c>
      <c r="AS130" s="39">
        <f>IFERROR(((tblPiNAnalysis5[[#This Row],[Highest Target]]-tblPiNAnalysis5[[#This Row],[2nd Highest Target]])/tblPiNAnalysis5[[#This Row],[2nd Highest Target]]),"")</f>
        <v>0.22562845879441951</v>
      </c>
      <c r="AT130" s="39" t="str" cm="1">
        <f t="array" ref="AT13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0" s="332" cm="1">
        <f t="array" ref="AU13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29548.754558209097</v>
      </c>
      <c r="AV130" s="190" t="str" cm="1">
        <f t="array" ref="AV130">IF(tblPiNAnalysis5[[#This Row],[3rd Highest Target]]="", "", _xlfn.TEXTJOIN(CHAR(10), TRUE, IF(tblPiNAnalysis5[[#This Row],[3rd Highest Target]]=tblPiNAnalysis5[[#This Row],[CCCM]:[WASH]], tblPiNAnalysis5[[#Headers],[CCCM]:[WASH]], "")))</f>
        <v>Nutrition</v>
      </c>
      <c r="AW130" s="190">
        <f>IFERROR(tblPiNAnalysis5[[#This Row],[3rd Highest Target]]/tblPiNAnalysis5[[#This Row],[Affected population projection 2026]], "")</f>
        <v>0.23073115849009651</v>
      </c>
      <c r="AX130" s="45">
        <f>IFERROR(tblPiNAnalysis5[[#This Row],[Highest Target]]-tblPiNAnalysis5[[#This Row],[3rd Highest Target]],"")</f>
        <v>43335.950758434497</v>
      </c>
      <c r="AY130" s="39">
        <f>IFERROR(tblPiNAnalysis5[[#This Row],[Difference of Target between Highest and 3rd Highest]]/tblPiNAnalysis5[[#This Row],[3rd Highest Target]], "")</f>
        <v>1.466591448822844</v>
      </c>
      <c r="AZ130" s="330" t="str" cm="1">
        <f t="array" ref="AZ13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0" s="300" t="str" cm="1">
        <f t="array" ref="BA13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0" s="333" t="str" cm="1">
        <f t="array" ref="BB13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30" s="276" t="str" cm="1">
        <f t="array" ref="BC13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0" s="334" t="str" cm="1">
        <f t="array" ref="BD13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0" s="277" t="e">
        <f>INDEX(tblSeverityAnalysis[Final Severity], MATCH(tblPiNAnalysis5[[#This Row],[ID]],tblSeverityAnalysis[ID], 0))</f>
        <v>#N/A</v>
      </c>
      <c r="BF130" s="61" t="e">
        <f>IF(tblPiNAnalysis5[[#This Row],[Severity]]&gt;2,tblPiNAnalysis5[[#This Row],[Highest Target]],)</f>
        <v>#N/A</v>
      </c>
      <c r="BG130" s="191"/>
      <c r="BH130" s="192"/>
      <c r="BI130" s="193">
        <f>COUNTIFS(tblPiNAnalysis5[[#This Row],[Number of missing / zero PiNs greater than threshold - Data quality]:[Manual Flag]],"Flagged")</f>
        <v>2</v>
      </c>
      <c r="BJ130" s="96" t="str">
        <f>IF(tblPiNAnalysis5[[#This Row],['# Flags]]&gt;0, "Flagged", "")</f>
        <v>Flagged</v>
      </c>
      <c r="BK130" s="326" t="e">
        <f>tblPiNAnalysis5[[#This Row],[Preliminary Target]]</f>
        <v>#N/A</v>
      </c>
      <c r="BL130" s="331"/>
    </row>
    <row r="131" spans="1:64" x14ac:dyDescent="0.55000000000000004">
      <c r="A1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1" s="316" t="s">
        <v>342</v>
      </c>
      <c r="C131" s="317" t="s">
        <v>343</v>
      </c>
      <c r="D131" s="317" t="s">
        <v>344</v>
      </c>
      <c r="E131" s="105" t="s">
        <v>345</v>
      </c>
      <c r="F131" s="100"/>
      <c r="G131" s="34"/>
      <c r="H131" s="34"/>
      <c r="I131" s="97">
        <v>38631.891660273708</v>
      </c>
      <c r="J131" s="97" t="s">
        <v>413</v>
      </c>
      <c r="K131" s="318">
        <v>0</v>
      </c>
      <c r="L131" s="319">
        <v>928.74158102630827</v>
      </c>
      <c r="M131" s="319">
        <v>16808.57557577873</v>
      </c>
      <c r="N131" s="319">
        <v>17248.961839678679</v>
      </c>
      <c r="O131" s="319">
        <v>17177.184197164377</v>
      </c>
      <c r="P131" s="319">
        <v>5240.2558596005074</v>
      </c>
      <c r="Q131" s="320">
        <v>524.56444217331159</v>
      </c>
      <c r="R131" s="319">
        <v>31163.191755102478</v>
      </c>
      <c r="S131" s="319"/>
      <c r="T131" s="319"/>
      <c r="U131" s="319"/>
      <c r="V131" s="319"/>
      <c r="W131" s="321">
        <f>IFERROR(IF(tblPiNAnalysis5[[#This Row],[CCCM]]="", "", MROUND(tblPiNAnalysis5[[#This Row],[CCCM]]/tblPiNAnalysis5[[#This Row],[Affected population projection 2026]], 0.05)), "")</f>
        <v>0</v>
      </c>
      <c r="X131" s="322">
        <f>IFERROR(IF(tblPiNAnalysis5[[#This Row],[Education]]="", "", MROUND(tblPiNAnalysis5[[#This Row],[Education]]/tblPiNAnalysis5[[#This Row],[Affected population projection 2026]], 0.05)), "")</f>
        <v>0</v>
      </c>
      <c r="Y131" s="322">
        <f>IFERROR(IF(tblPiNAnalysis5[[#This Row],[Nutrition]]="", "", MROUND(tblPiNAnalysis5[[#This Row],[Nutrition]]/tblPiNAnalysis5[[#This Row],[Affected population projection 2026]], 0.05)), "")</f>
        <v>0.45</v>
      </c>
      <c r="Z131" s="322">
        <f>IFERROR(IF(tblPiNAnalysis5[[#This Row],[Food Security]]="", "", MROUND(tblPiNAnalysis5[[#This Row],[Food Security]]/tblPiNAnalysis5[[#This Row],[Affected population projection 2026]], 0.05)), "")</f>
        <v>0.45</v>
      </c>
      <c r="AA131" s="322">
        <f>IFERROR(IF(tblPiNAnalysis5[[#This Row],[Health]]="", "", MROUND(tblPiNAnalysis5[[#This Row],[Health]]/tblPiNAnalysis5[[#This Row],[Affected population projection 2026]], 0.05)), "")</f>
        <v>0.45</v>
      </c>
      <c r="AB131" s="323">
        <f>IFERROR(IF(tblPiNAnalysis5[[#This Row],[Overarching Protection]]="", "", MROUND(tblPiNAnalysis5[[#This Row],[Overarching Protection]]/tblPiNAnalysis5[[#This Row],[Affected population projection 2026]], 0.05)), "")</f>
        <v>0.15000000000000002</v>
      </c>
      <c r="AC131" s="323">
        <f>IFERROR(IF(tblPiNAnalysis5[[#This Row],[Shelter]]="", "", MROUND(tblPiNAnalysis5[[#This Row],[Shelter]]/tblPiNAnalysis5[[#This Row],[Affected population projection 2026]], 0.05)), "")</f>
        <v>0</v>
      </c>
      <c r="AD131" s="324">
        <f>IFERROR(IF(tblPiNAnalysis5[[#This Row],[WASH]]="", "", MROUND(tblPiNAnalysis5[[#This Row],[WASH]]/tblPiNAnalysis5[[#This Row],[Affected population projection 2026]], 0.05)), "")</f>
        <v>0.8</v>
      </c>
      <c r="AE131" s="322">
        <f>IFERROR(MROUND(tblPiNAnalysis5[[#This Row],[CP]]/tblPiNAnalysis5[[#This Row],[Affected population projection 2026]], 0.05), "")</f>
        <v>0</v>
      </c>
      <c r="AF131" s="322">
        <f>IFERROR(MROUND(tblPiNAnalysis5[[#This Row],[GBV]]/tblPiNAnalysis5[[#This Row],[Affected population projection 2026]], 0.05), "")</f>
        <v>0</v>
      </c>
      <c r="AG131" s="322">
        <f>IFERROR(MROUND(tblPiNAnalysis5[[#This Row],[Mine Action]]/tblPiNAnalysis5[[#This Row],[Affected population projection 2026]], 0.05), "")</f>
        <v>0</v>
      </c>
      <c r="AH131" s="322">
        <f>IFERROR(MROUND(tblPiNAnalysis5[[#This Row],[HLP]]/tblPiNAnalysis5[[#This Row],[Affected population projection 2026]], 0.05), "")</f>
        <v>0</v>
      </c>
      <c r="AI131" s="325">
        <f>IFERROR(LARGE(tblPiNAnalysis5[[#This Row],[CCCM]:[WASH]], 1), "")</f>
        <v>31163.191755102478</v>
      </c>
      <c r="AJ131" s="326" t="str" cm="1">
        <f t="array" ref="AJ131">IF(tblPiNAnalysis5[[#This Row],[Highest Target]]="", "", _xlfn.TEXTJOIN(CHAR(10), TRUE, IF(tblPiNAnalysis5[[#This Row],[Highest Target]]=tblPiNAnalysis5[[#This Row],[CCCM]:[WASH]], tblPiNAnalysis5[[#Headers],[CCCM]:[WASH]], "")))</f>
        <v>WASH</v>
      </c>
      <c r="AK131" s="327">
        <f>IF(tblPiNAnalysis5[[#This Row],[Highest Target]]="", "", tblPiNAnalysis5[[#This Row],[Highest Target]]/tblPiNAnalysis5[[#This Row],[Affected population projection 2026]])</f>
        <v>0.80667009602194784</v>
      </c>
      <c r="AL131" s="328" t="str">
        <f>IF(SUM(tblPiNAnalysis5[[#This Row],[CCCM]:[WASH]])=0, "",IF(COUNTIF(tblPiNAnalysis5[[#This Row],[CCCM]:[WASH]],"=0")+COUNTIF(tblPiNAnalysis5[[#This Row],[CCCM]:[WASH]],"")&gt;=zero_pin_thresh, "Flagged", ""))</f>
        <v/>
      </c>
      <c r="AM131" s="329" t="str">
        <f>IFERROR(IF(tblPiNAnalysis5[[#This Row],[Highest Target]]="", "", IF(tblPiNAnalysis5[[#This Row],[Highest sector(s'') Target %]]&gt;=flag_pin_perc, "Flagged", "")), "")</f>
        <v/>
      </c>
      <c r="AN131" s="330" t="str" cm="1">
        <f t="array" ref="AN131">IF(tblPiNAnalysis5[[#This Row],[Highest Target]]=0, "",  IF(OR(COUNTIF(tblPiNAnalysis5[[#This Row],[Highest sector(s)]],tblSubSectorPopulation[Sector])), "Flagged", ""))</f>
        <v/>
      </c>
      <c r="AO131" s="46" cm="1">
        <f t="array" ref="AO13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17248.961839678679</v>
      </c>
      <c r="AP131" s="331" t="str" cm="1">
        <f t="array" ref="AP131">IF(tblPiNAnalysis5[[#This Row],[2nd Highest Target]]="", "", _xlfn.TEXTJOIN(CHAR(10), TRUE, IF(tblPiNAnalysis5[[#This Row],[2nd Highest Target]]=tblPiNAnalysis5[[#This Row],[CCCM]:[WASH]], tblPiNAnalysis5[[#Headers],[CCCM]:[WASH]], "")))</f>
        <v>Food Security</v>
      </c>
      <c r="AQ131" s="36">
        <f>IFERROR(tblPiNAnalysis5[[#This Row],[2nd Highest Target]]/tblPiNAnalysis5[[#This Row],[Affected population projection 2026]], "")</f>
        <v>0.44649539793093501</v>
      </c>
      <c r="AR131" s="46">
        <f>IFERROR(tblPiNAnalysis5[[#This Row],[Highest Target]]-tblPiNAnalysis5[[#This Row],[2nd Highest Target]], "")</f>
        <v>13914.229915423799</v>
      </c>
      <c r="AS131" s="39">
        <f>IFERROR(((tblPiNAnalysis5[[#This Row],[Highest Target]]-tblPiNAnalysis5[[#This Row],[2nd Highest Target]])/tblPiNAnalysis5[[#This Row],[2nd Highest Target]]),"")</f>
        <v>0.80667057210458759</v>
      </c>
      <c r="AT131" s="39" t="str" cm="1">
        <f t="array" ref="AT13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31" s="332" cm="1">
        <f t="array" ref="AU13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17177.184197164377</v>
      </c>
      <c r="AV131" s="190" t="str" cm="1">
        <f t="array" ref="AV131">IF(tblPiNAnalysis5[[#This Row],[3rd Highest Target]]="", "", _xlfn.TEXTJOIN(CHAR(10), TRUE, IF(tblPiNAnalysis5[[#This Row],[3rd Highest Target]]=tblPiNAnalysis5[[#This Row],[CCCM]:[WASH]], tblPiNAnalysis5[[#Headers],[CCCM]:[WASH]], "")))</f>
        <v>Health</v>
      </c>
      <c r="AW131" s="190">
        <f>IFERROR(tblPiNAnalysis5[[#This Row],[3rd Highest Target]]/tblPiNAnalysis5[[#This Row],[Affected population projection 2026]], "")</f>
        <v>0.44463740860062961</v>
      </c>
      <c r="AX131" s="45">
        <f>IFERROR(tblPiNAnalysis5[[#This Row],[Highest Target]]-tblPiNAnalysis5[[#This Row],[3rd Highest Target]],"")</f>
        <v>13986.007557938101</v>
      </c>
      <c r="AY131" s="39">
        <f>IFERROR(tblPiNAnalysis5[[#This Row],[Difference of Target between Highest and 3rd Highest]]/tblPiNAnalysis5[[#This Row],[3rd Highest Target]], "")</f>
        <v>0.81422003731245551</v>
      </c>
      <c r="AZ131" s="330" t="str" cm="1">
        <f t="array" ref="AZ13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1" s="300" t="str" cm="1">
        <f t="array" ref="BA13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1" s="333" t="str" cm="1">
        <f t="array" ref="BB13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1" s="276" t="str" cm="1">
        <f t="array" ref="BC13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1" s="334" t="str" cm="1">
        <f t="array" ref="BD13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1" s="277" t="e">
        <f>INDEX(tblSeverityAnalysis[Final Severity], MATCH(tblPiNAnalysis5[[#This Row],[ID]],tblSeverityAnalysis[ID], 0))</f>
        <v>#N/A</v>
      </c>
      <c r="BF131" s="61" t="e">
        <f>IF(tblPiNAnalysis5[[#This Row],[Severity]]&gt;2,tblPiNAnalysis5[[#This Row],[Highest Target]],)</f>
        <v>#N/A</v>
      </c>
      <c r="BG131" s="191"/>
      <c r="BH131" s="192"/>
      <c r="BI131" s="193">
        <f>COUNTIFS(tblPiNAnalysis5[[#This Row],[Number of missing / zero PiNs greater than threshold - Data quality]:[Manual Flag]],"Flagged")</f>
        <v>2</v>
      </c>
      <c r="BJ131" s="96" t="str">
        <f>IF(tblPiNAnalysis5[[#This Row],['# Flags]]&gt;0, "Flagged", "")</f>
        <v>Flagged</v>
      </c>
      <c r="BK131" s="326" t="e">
        <f>tblPiNAnalysis5[[#This Row],[Preliminary Target]]</f>
        <v>#N/A</v>
      </c>
      <c r="BL131" s="331"/>
    </row>
    <row r="132" spans="1:64" x14ac:dyDescent="0.55000000000000004">
      <c r="A1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2" s="316" t="s">
        <v>342</v>
      </c>
      <c r="C132" s="317" t="s">
        <v>343</v>
      </c>
      <c r="D132" s="317" t="s">
        <v>346</v>
      </c>
      <c r="E132" s="105" t="s">
        <v>347</v>
      </c>
      <c r="F132" s="100"/>
      <c r="G132" s="34"/>
      <c r="H132" s="34"/>
      <c r="I132" s="97">
        <v>44904.26104030956</v>
      </c>
      <c r="J132" s="97" t="s">
        <v>413</v>
      </c>
      <c r="K132" s="318">
        <v>0</v>
      </c>
      <c r="L132" s="319">
        <v>4594.3525257826486</v>
      </c>
      <c r="M132" s="319">
        <v>10419.049491088002</v>
      </c>
      <c r="N132" s="319">
        <v>17412.318752540163</v>
      </c>
      <c r="O132" s="319">
        <v>13837.966186267111</v>
      </c>
      <c r="P132" s="319">
        <v>5298.4776374919757</v>
      </c>
      <c r="Q132" s="320">
        <v>790.31499430944837</v>
      </c>
      <c r="R132" s="319">
        <v>40879.091609459501</v>
      </c>
      <c r="S132" s="319"/>
      <c r="T132" s="319"/>
      <c r="U132" s="319"/>
      <c r="V132" s="319"/>
      <c r="W132" s="321">
        <f>IFERROR(IF(tblPiNAnalysis5[[#This Row],[CCCM]]="", "", MROUND(tblPiNAnalysis5[[#This Row],[CCCM]]/tblPiNAnalysis5[[#This Row],[Affected population projection 2026]], 0.05)), "")</f>
        <v>0</v>
      </c>
      <c r="X132" s="322">
        <f>IFERROR(IF(tblPiNAnalysis5[[#This Row],[Education]]="", "", MROUND(tblPiNAnalysis5[[#This Row],[Education]]/tblPiNAnalysis5[[#This Row],[Affected population projection 2026]], 0.05)), "")</f>
        <v>0.1</v>
      </c>
      <c r="Y132" s="322">
        <f>IFERROR(IF(tblPiNAnalysis5[[#This Row],[Nutrition]]="", "", MROUND(tblPiNAnalysis5[[#This Row],[Nutrition]]/tblPiNAnalysis5[[#This Row],[Affected population projection 2026]], 0.05)), "")</f>
        <v>0.25</v>
      </c>
      <c r="Z132" s="322">
        <f>IFERROR(IF(tblPiNAnalysis5[[#This Row],[Food Security]]="", "", MROUND(tblPiNAnalysis5[[#This Row],[Food Security]]/tblPiNAnalysis5[[#This Row],[Affected population projection 2026]], 0.05)), "")</f>
        <v>0.4</v>
      </c>
      <c r="AA132" s="322">
        <f>IFERROR(IF(tblPiNAnalysis5[[#This Row],[Health]]="", "", MROUND(tblPiNAnalysis5[[#This Row],[Health]]/tblPiNAnalysis5[[#This Row],[Affected population projection 2026]], 0.05)), "")</f>
        <v>0.30000000000000004</v>
      </c>
      <c r="AB132" s="323">
        <f>IFERROR(IF(tblPiNAnalysis5[[#This Row],[Overarching Protection]]="", "", MROUND(tblPiNAnalysis5[[#This Row],[Overarching Protection]]/tblPiNAnalysis5[[#This Row],[Affected population projection 2026]], 0.05)), "")</f>
        <v>0.1</v>
      </c>
      <c r="AC132" s="323">
        <f>IFERROR(IF(tblPiNAnalysis5[[#This Row],[Shelter]]="", "", MROUND(tblPiNAnalysis5[[#This Row],[Shelter]]/tblPiNAnalysis5[[#This Row],[Affected population projection 2026]], 0.05)), "")</f>
        <v>0</v>
      </c>
      <c r="AD132" s="324">
        <f>IFERROR(IF(tblPiNAnalysis5[[#This Row],[WASH]]="", "", MROUND(tblPiNAnalysis5[[#This Row],[WASH]]/tblPiNAnalysis5[[#This Row],[Affected population projection 2026]], 0.05)), "")</f>
        <v>0.9</v>
      </c>
      <c r="AE132" s="322">
        <f>IFERROR(MROUND(tblPiNAnalysis5[[#This Row],[CP]]/tblPiNAnalysis5[[#This Row],[Affected population projection 2026]], 0.05), "")</f>
        <v>0</v>
      </c>
      <c r="AF132" s="322">
        <f>IFERROR(MROUND(tblPiNAnalysis5[[#This Row],[GBV]]/tblPiNAnalysis5[[#This Row],[Affected population projection 2026]], 0.05), "")</f>
        <v>0</v>
      </c>
      <c r="AG132" s="322">
        <f>IFERROR(MROUND(tblPiNAnalysis5[[#This Row],[Mine Action]]/tblPiNAnalysis5[[#This Row],[Affected population projection 2026]], 0.05), "")</f>
        <v>0</v>
      </c>
      <c r="AH132" s="322">
        <f>IFERROR(MROUND(tblPiNAnalysis5[[#This Row],[HLP]]/tblPiNAnalysis5[[#This Row],[Affected population projection 2026]], 0.05), "")</f>
        <v>0</v>
      </c>
      <c r="AI132" s="325">
        <f>IFERROR(LARGE(tblPiNAnalysis5[[#This Row],[CCCM]:[WASH]], 1), "")</f>
        <v>40879.091609459501</v>
      </c>
      <c r="AJ132" s="326" t="str" cm="1">
        <f t="array" ref="AJ132">IF(tblPiNAnalysis5[[#This Row],[Highest Target]]="", "", _xlfn.TEXTJOIN(CHAR(10), TRUE, IF(tblPiNAnalysis5[[#This Row],[Highest Target]]=tblPiNAnalysis5[[#This Row],[CCCM]:[WASH]], tblPiNAnalysis5[[#Headers],[CCCM]:[WASH]], "")))</f>
        <v>WASH</v>
      </c>
      <c r="AK132" s="327">
        <f>IF(tblPiNAnalysis5[[#This Row],[Highest Target]]="", "", tblPiNAnalysis5[[#This Row],[Highest Target]]/tblPiNAnalysis5[[#This Row],[Affected population projection 2026]])</f>
        <v>0.91036108071711164</v>
      </c>
      <c r="AL132" s="328" t="str">
        <f>IF(SUM(tblPiNAnalysis5[[#This Row],[CCCM]:[WASH]])=0, "",IF(COUNTIF(tblPiNAnalysis5[[#This Row],[CCCM]:[WASH]],"=0")+COUNTIF(tblPiNAnalysis5[[#This Row],[CCCM]:[WASH]],"")&gt;=zero_pin_thresh, "Flagged", ""))</f>
        <v/>
      </c>
      <c r="AM132" s="329" t="str">
        <f>IFERROR(IF(tblPiNAnalysis5[[#This Row],[Highest Target]]="", "", IF(tblPiNAnalysis5[[#This Row],[Highest sector(s'') Target %]]&gt;=flag_pin_perc, "Flagged", "")), "")</f>
        <v>Flagged</v>
      </c>
      <c r="AN132" s="330" t="str" cm="1">
        <f t="array" ref="AN132">IF(tblPiNAnalysis5[[#This Row],[Highest Target]]=0, "",  IF(OR(COUNTIF(tblPiNAnalysis5[[#This Row],[Highest sector(s)]],tblSubSectorPopulation[Sector])), "Flagged", ""))</f>
        <v/>
      </c>
      <c r="AO132" s="46" cm="1">
        <f t="array" ref="AO13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17412.318752540163</v>
      </c>
      <c r="AP132" s="331" t="str" cm="1">
        <f t="array" ref="AP132">IF(tblPiNAnalysis5[[#This Row],[2nd Highest Target]]="", "", _xlfn.TEXTJOIN(CHAR(10), TRUE, IF(tblPiNAnalysis5[[#This Row],[2nd Highest Target]]=tblPiNAnalysis5[[#This Row],[CCCM]:[WASH]], tblPiNAnalysis5[[#Headers],[CCCM]:[WASH]], "")))</f>
        <v>Food Security</v>
      </c>
      <c r="AQ132" s="36">
        <f>IFERROR(tblPiNAnalysis5[[#This Row],[2nd Highest Target]]/tblPiNAnalysis5[[#This Row],[Affected population projection 2026]], "")</f>
        <v>0.38776540019018485</v>
      </c>
      <c r="AR132" s="46">
        <f>IFERROR(tblPiNAnalysis5[[#This Row],[Highest Target]]-tblPiNAnalysis5[[#This Row],[2nd Highest Target]], "")</f>
        <v>23466.772856919339</v>
      </c>
      <c r="AS132" s="39">
        <f>IFERROR(((tblPiNAnalysis5[[#This Row],[Highest Target]]-tblPiNAnalysis5[[#This Row],[2nd Highest Target]])/tblPiNAnalysis5[[#This Row],[2nd Highest Target]]),"")</f>
        <v>1.3477109620162411</v>
      </c>
      <c r="AT132" s="39" t="str" cm="1">
        <f t="array" ref="AT13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32" s="332" cm="1">
        <f t="array" ref="AU13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13837.966186267111</v>
      </c>
      <c r="AV132" s="190" t="str" cm="1">
        <f t="array" ref="AV132">IF(tblPiNAnalysis5[[#This Row],[3rd Highest Target]]="", "", _xlfn.TEXTJOIN(CHAR(10), TRUE, IF(tblPiNAnalysis5[[#This Row],[3rd Highest Target]]=tblPiNAnalysis5[[#This Row],[CCCM]:[WASH]], tblPiNAnalysis5[[#Headers],[CCCM]:[WASH]], "")))</f>
        <v>Health</v>
      </c>
      <c r="AW132" s="190">
        <f>IFERROR(tblPiNAnalysis5[[#This Row],[3rd Highest Target]]/tblPiNAnalysis5[[#This Row],[Affected population projection 2026]], "")</f>
        <v>0.30816599284074792</v>
      </c>
      <c r="AX132" s="45">
        <f>IFERROR(tblPiNAnalysis5[[#This Row],[Highest Target]]-tblPiNAnalysis5[[#This Row],[3rd Highest Target]],"")</f>
        <v>27041.125423192389</v>
      </c>
      <c r="AY132" s="39">
        <f>IFERROR(tblPiNAnalysis5[[#This Row],[Difference of Target between Highest and 3rd Highest]]/tblPiNAnalysis5[[#This Row],[3rd Highest Target]], "")</f>
        <v>1.9541257045437921</v>
      </c>
      <c r="AZ132" s="330" t="str" cm="1">
        <f t="array" ref="AZ13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2" s="300" t="str" cm="1">
        <f t="array" ref="BA13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2" s="333" t="str" cm="1">
        <f t="array" ref="BB13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2" s="276" t="str" cm="1">
        <f t="array" ref="BC13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2" s="334" t="str" cm="1">
        <f t="array" ref="BD13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2" s="277" t="e">
        <f>INDEX(tblSeverityAnalysis[Final Severity], MATCH(tblPiNAnalysis5[[#This Row],[ID]],tblSeverityAnalysis[ID], 0))</f>
        <v>#N/A</v>
      </c>
      <c r="BF132" s="61" t="e">
        <f>IF(tblPiNAnalysis5[[#This Row],[Severity]]&gt;2,tblPiNAnalysis5[[#This Row],[Highest Target]],)</f>
        <v>#N/A</v>
      </c>
      <c r="BG132" s="191"/>
      <c r="BH132" s="192"/>
      <c r="BI132" s="193">
        <f>COUNTIFS(tblPiNAnalysis5[[#This Row],[Number of missing / zero PiNs greater than threshold - Data quality]:[Manual Flag]],"Flagged")</f>
        <v>3</v>
      </c>
      <c r="BJ132" s="96" t="str">
        <f>IF(tblPiNAnalysis5[[#This Row],['# Flags]]&gt;0, "Flagged", "")</f>
        <v>Flagged</v>
      </c>
      <c r="BK132" s="326" t="e">
        <f>tblPiNAnalysis5[[#This Row],[Preliminary Target]]</f>
        <v>#N/A</v>
      </c>
      <c r="BL132" s="331"/>
    </row>
    <row r="133" spans="1:64" ht="24.6" x14ac:dyDescent="0.55000000000000004">
      <c r="A1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3" s="316" t="s">
        <v>342</v>
      </c>
      <c r="C133" s="317" t="s">
        <v>343</v>
      </c>
      <c r="D133" s="317" t="s">
        <v>348</v>
      </c>
      <c r="E133" s="105" t="s">
        <v>349</v>
      </c>
      <c r="F133" s="100"/>
      <c r="G133" s="34"/>
      <c r="H133" s="34"/>
      <c r="I133" s="97">
        <v>45380.431986163101</v>
      </c>
      <c r="J133" s="97" t="s">
        <v>413</v>
      </c>
      <c r="K133" s="318">
        <v>0</v>
      </c>
      <c r="L133" s="319">
        <v>4690.6326321481838</v>
      </c>
      <c r="M133" s="319">
        <v>11171.193416788352</v>
      </c>
      <c r="N133" s="319">
        <v>23775.539670418675</v>
      </c>
      <c r="O133" s="319">
        <v>13795.741463467401</v>
      </c>
      <c r="P133" s="319">
        <v>7898.9953601484749</v>
      </c>
      <c r="Q133" s="320">
        <v>1340.4681448220485</v>
      </c>
      <c r="R133" s="319">
        <v>3815.7605886858805</v>
      </c>
      <c r="S133" s="319"/>
      <c r="T133" s="319"/>
      <c r="U133" s="319"/>
      <c r="V133" s="319"/>
      <c r="W133" s="321">
        <f>IFERROR(IF(tblPiNAnalysis5[[#This Row],[CCCM]]="", "", MROUND(tblPiNAnalysis5[[#This Row],[CCCM]]/tblPiNAnalysis5[[#This Row],[Affected population projection 2026]], 0.05)), "")</f>
        <v>0</v>
      </c>
      <c r="X133" s="322">
        <f>IFERROR(IF(tblPiNAnalysis5[[#This Row],[Education]]="", "", MROUND(tblPiNAnalysis5[[#This Row],[Education]]/tblPiNAnalysis5[[#This Row],[Affected population projection 2026]], 0.05)), "")</f>
        <v>0.1</v>
      </c>
      <c r="Y133" s="322">
        <f>IFERROR(IF(tblPiNAnalysis5[[#This Row],[Nutrition]]="", "", MROUND(tblPiNAnalysis5[[#This Row],[Nutrition]]/tblPiNAnalysis5[[#This Row],[Affected population projection 2026]], 0.05)), "")</f>
        <v>0.25</v>
      </c>
      <c r="Z133" s="322">
        <f>IFERROR(IF(tblPiNAnalysis5[[#This Row],[Food Security]]="", "", MROUND(tblPiNAnalysis5[[#This Row],[Food Security]]/tblPiNAnalysis5[[#This Row],[Affected population projection 2026]], 0.05)), "")</f>
        <v>0.5</v>
      </c>
      <c r="AA133" s="322">
        <f>IFERROR(IF(tblPiNAnalysis5[[#This Row],[Health]]="", "", MROUND(tblPiNAnalysis5[[#This Row],[Health]]/tblPiNAnalysis5[[#This Row],[Affected population projection 2026]], 0.05)), "")</f>
        <v>0.30000000000000004</v>
      </c>
      <c r="AB133" s="323">
        <f>IFERROR(IF(tblPiNAnalysis5[[#This Row],[Overarching Protection]]="", "", MROUND(tblPiNAnalysis5[[#This Row],[Overarching Protection]]/tblPiNAnalysis5[[#This Row],[Affected population projection 2026]], 0.05)), "")</f>
        <v>0.15000000000000002</v>
      </c>
      <c r="AC133" s="323">
        <f>IFERROR(IF(tblPiNAnalysis5[[#This Row],[Shelter]]="", "", MROUND(tblPiNAnalysis5[[#This Row],[Shelter]]/tblPiNAnalysis5[[#This Row],[Affected population projection 2026]], 0.05)), "")</f>
        <v>0.05</v>
      </c>
      <c r="AD133" s="324">
        <f>IFERROR(IF(tblPiNAnalysis5[[#This Row],[WASH]]="", "", MROUND(tblPiNAnalysis5[[#This Row],[WASH]]/tblPiNAnalysis5[[#This Row],[Affected population projection 2026]], 0.05)), "")</f>
        <v>0.1</v>
      </c>
      <c r="AE133" s="322">
        <f>IFERROR(MROUND(tblPiNAnalysis5[[#This Row],[CP]]/tblPiNAnalysis5[[#This Row],[Affected population projection 2026]], 0.05), "")</f>
        <v>0</v>
      </c>
      <c r="AF133" s="322">
        <f>IFERROR(MROUND(tblPiNAnalysis5[[#This Row],[GBV]]/tblPiNAnalysis5[[#This Row],[Affected population projection 2026]], 0.05), "")</f>
        <v>0</v>
      </c>
      <c r="AG133" s="322">
        <f>IFERROR(MROUND(tblPiNAnalysis5[[#This Row],[Mine Action]]/tblPiNAnalysis5[[#This Row],[Affected population projection 2026]], 0.05), "")</f>
        <v>0</v>
      </c>
      <c r="AH133" s="322">
        <f>IFERROR(MROUND(tblPiNAnalysis5[[#This Row],[HLP]]/tblPiNAnalysis5[[#This Row],[Affected population projection 2026]], 0.05), "")</f>
        <v>0</v>
      </c>
      <c r="AI133" s="325">
        <f>IFERROR(LARGE(tblPiNAnalysis5[[#This Row],[CCCM]:[WASH]], 1), "")</f>
        <v>23775.539670418675</v>
      </c>
      <c r="AJ133" s="326" t="str" cm="1">
        <f t="array" ref="AJ133">IF(tblPiNAnalysis5[[#This Row],[Highest Target]]="", "", _xlfn.TEXTJOIN(CHAR(10), TRUE, IF(tblPiNAnalysis5[[#This Row],[Highest Target]]=tblPiNAnalysis5[[#This Row],[CCCM]:[WASH]], tblPiNAnalysis5[[#Headers],[CCCM]:[WASH]], "")))</f>
        <v>Food Security</v>
      </c>
      <c r="AK133" s="327">
        <f>IF(tblPiNAnalysis5[[#This Row],[Highest Target]]="", "", tblPiNAnalysis5[[#This Row],[Highest Target]]/tblPiNAnalysis5[[#This Row],[Affected population projection 2026]])</f>
        <v>0.52391611604023625</v>
      </c>
      <c r="AL133" s="328" t="str">
        <f>IF(SUM(tblPiNAnalysis5[[#This Row],[CCCM]:[WASH]])=0, "",IF(COUNTIF(tblPiNAnalysis5[[#This Row],[CCCM]:[WASH]],"=0")+COUNTIF(tblPiNAnalysis5[[#This Row],[CCCM]:[WASH]],"")&gt;=zero_pin_thresh, "Flagged", ""))</f>
        <v/>
      </c>
      <c r="AM133" s="329" t="str">
        <f>IFERROR(IF(tblPiNAnalysis5[[#This Row],[Highest Target]]="", "", IF(tblPiNAnalysis5[[#This Row],[Highest sector(s'') Target %]]&gt;=flag_pin_perc, "Flagged", "")), "")</f>
        <v/>
      </c>
      <c r="AN133" s="330" t="str" cm="1">
        <f t="array" ref="AN133">IF(tblPiNAnalysis5[[#This Row],[Highest Target]]=0, "",  IF(OR(COUNTIF(tblPiNAnalysis5[[#This Row],[Highest sector(s)]],tblSubSectorPopulation[Sector])), "Flagged", ""))</f>
        <v/>
      </c>
      <c r="AO133" s="46" cm="1">
        <f t="array" ref="AO13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13795.741463467401</v>
      </c>
      <c r="AP133" s="331" t="str" cm="1">
        <f t="array" ref="AP133">IF(tblPiNAnalysis5[[#This Row],[2nd Highest Target]]="", "", _xlfn.TEXTJOIN(CHAR(10), TRUE, IF(tblPiNAnalysis5[[#This Row],[2nd Highest Target]]=tblPiNAnalysis5[[#This Row],[CCCM]:[WASH]], tblPiNAnalysis5[[#Headers],[CCCM]:[WASH]], "")))</f>
        <v>Health</v>
      </c>
      <c r="AQ133" s="36">
        <f>IFERROR(tblPiNAnalysis5[[#This Row],[2nd Highest Target]]/tblPiNAnalysis5[[#This Row],[Affected population projection 2026]], "")</f>
        <v>0.30400198631149755</v>
      </c>
      <c r="AR133" s="46">
        <f>IFERROR(tblPiNAnalysis5[[#This Row],[Highest Target]]-tblPiNAnalysis5[[#This Row],[2nd Highest Target]], "")</f>
        <v>9979.7982069512746</v>
      </c>
      <c r="AS133" s="39">
        <f>IFERROR(((tblPiNAnalysis5[[#This Row],[Highest Target]]-tblPiNAnalysis5[[#This Row],[2nd Highest Target]])/tblPiNAnalysis5[[#This Row],[2nd Highest Target]]),"")</f>
        <v>0.72339701591094963</v>
      </c>
      <c r="AT133" s="39" t="str" cm="1">
        <f t="array" ref="AT13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33" s="332" cm="1">
        <f t="array" ref="AU13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11171.193416788352</v>
      </c>
      <c r="AV133" s="190" t="str" cm="1">
        <f t="array" ref="AV133">IF(tblPiNAnalysis5[[#This Row],[3rd Highest Target]]="", "", _xlfn.TEXTJOIN(CHAR(10), TRUE, IF(tblPiNAnalysis5[[#This Row],[3rd Highest Target]]=tblPiNAnalysis5[[#This Row],[CCCM]:[WASH]], tblPiNAnalysis5[[#Headers],[CCCM]:[WASH]], "")))</f>
        <v>Nutrition</v>
      </c>
      <c r="AW133" s="190">
        <f>IFERROR(tblPiNAnalysis5[[#This Row],[3rd Highest Target]]/tblPiNAnalysis5[[#This Row],[Affected population projection 2026]], "")</f>
        <v>0.24616763058127231</v>
      </c>
      <c r="AX133" s="45">
        <f>IFERROR(tblPiNAnalysis5[[#This Row],[Highest Target]]-tblPiNAnalysis5[[#This Row],[3rd Highest Target]],"")</f>
        <v>12604.346253630323</v>
      </c>
      <c r="AY133" s="39">
        <f>IFERROR(tblPiNAnalysis5[[#This Row],[Difference of Target between Highest and 3rd Highest]]/tblPiNAnalysis5[[#This Row],[3rd Highest Target]], "")</f>
        <v>1.1282900387964094</v>
      </c>
      <c r="AZ133" s="330" t="str" cm="1">
        <f t="array" ref="AZ13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3" s="300" t="str" cm="1">
        <f t="array" ref="BA13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3" s="333" t="str" cm="1">
        <f t="array" ref="BB13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3" s="276" t="str" cm="1">
        <f t="array" ref="BC13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3" s="334" t="str" cm="1">
        <f t="array" ref="BD13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33" s="277" t="e">
        <f>INDEX(tblSeverityAnalysis[Final Severity], MATCH(tblPiNAnalysis5[[#This Row],[ID]],tblSeverityAnalysis[ID], 0))</f>
        <v>#N/A</v>
      </c>
      <c r="BF133" s="61" t="e">
        <f>IF(tblPiNAnalysis5[[#This Row],[Severity]]&gt;2,tblPiNAnalysis5[[#This Row],[Highest Target]],)</f>
        <v>#N/A</v>
      </c>
      <c r="BG133" s="191"/>
      <c r="BH133" s="192"/>
      <c r="BI133" s="193">
        <f>COUNTIFS(tblPiNAnalysis5[[#This Row],[Number of missing / zero PiNs greater than threshold - Data quality]:[Manual Flag]],"Flagged")</f>
        <v>3</v>
      </c>
      <c r="BJ133" s="96" t="str">
        <f>IF(tblPiNAnalysis5[[#This Row],['# Flags]]&gt;0, "Flagged", "")</f>
        <v>Flagged</v>
      </c>
      <c r="BK133" s="326" t="e">
        <f>tblPiNAnalysis5[[#This Row],[Preliminary Target]]</f>
        <v>#N/A</v>
      </c>
      <c r="BL133" s="331"/>
    </row>
    <row r="134" spans="1:64" x14ac:dyDescent="0.55000000000000004">
      <c r="A1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4" s="316" t="s">
        <v>342</v>
      </c>
      <c r="C134" s="317" t="s">
        <v>343</v>
      </c>
      <c r="D134" s="317" t="s">
        <v>350</v>
      </c>
      <c r="E134" s="105" t="s">
        <v>351</v>
      </c>
      <c r="F134" s="100"/>
      <c r="G134" s="34"/>
      <c r="H134" s="34"/>
      <c r="I134" s="97">
        <v>117681.01108725299</v>
      </c>
      <c r="J134" s="97" t="s">
        <v>413</v>
      </c>
      <c r="K134" s="318">
        <v>0</v>
      </c>
      <c r="L134" s="319">
        <v>11499.717794839709</v>
      </c>
      <c r="M134" s="319">
        <v>32666.073710915625</v>
      </c>
      <c r="N134" s="319">
        <v>63487.448364839125</v>
      </c>
      <c r="O134" s="319">
        <v>65400.972763241043</v>
      </c>
      <c r="P134" s="319">
        <v>23546.533207421144</v>
      </c>
      <c r="Q134" s="320">
        <v>1176.8101108725298</v>
      </c>
      <c r="R134" s="319">
        <v>88260.758315439714</v>
      </c>
      <c r="S134" s="319"/>
      <c r="T134" s="319"/>
      <c r="U134" s="319"/>
      <c r="V134" s="319"/>
      <c r="W134" s="321">
        <f>IFERROR(IF(tblPiNAnalysis5[[#This Row],[CCCM]]="", "", MROUND(tblPiNAnalysis5[[#This Row],[CCCM]]/tblPiNAnalysis5[[#This Row],[Affected population projection 2026]], 0.05)), "")</f>
        <v>0</v>
      </c>
      <c r="X134" s="322">
        <f>IFERROR(IF(tblPiNAnalysis5[[#This Row],[Education]]="", "", MROUND(tblPiNAnalysis5[[#This Row],[Education]]/tblPiNAnalysis5[[#This Row],[Affected population projection 2026]], 0.05)), "")</f>
        <v>0.1</v>
      </c>
      <c r="Y134" s="322">
        <f>IFERROR(IF(tblPiNAnalysis5[[#This Row],[Nutrition]]="", "", MROUND(tblPiNAnalysis5[[#This Row],[Nutrition]]/tblPiNAnalysis5[[#This Row],[Affected population projection 2026]], 0.05)), "")</f>
        <v>0.30000000000000004</v>
      </c>
      <c r="Z134" s="322">
        <f>IFERROR(IF(tblPiNAnalysis5[[#This Row],[Food Security]]="", "", MROUND(tblPiNAnalysis5[[#This Row],[Food Security]]/tblPiNAnalysis5[[#This Row],[Affected population projection 2026]], 0.05)), "")</f>
        <v>0.55000000000000004</v>
      </c>
      <c r="AA134" s="322">
        <f>IFERROR(IF(tblPiNAnalysis5[[#This Row],[Health]]="", "", MROUND(tblPiNAnalysis5[[#This Row],[Health]]/tblPiNAnalysis5[[#This Row],[Affected population projection 2026]], 0.05)), "")</f>
        <v>0.55000000000000004</v>
      </c>
      <c r="AB134" s="323">
        <f>IFERROR(IF(tblPiNAnalysis5[[#This Row],[Overarching Protection]]="", "", MROUND(tblPiNAnalysis5[[#This Row],[Overarching Protection]]/tblPiNAnalysis5[[#This Row],[Affected population projection 2026]], 0.05)), "")</f>
        <v>0.2</v>
      </c>
      <c r="AC134" s="323">
        <f>IFERROR(IF(tblPiNAnalysis5[[#This Row],[Shelter]]="", "", MROUND(tblPiNAnalysis5[[#This Row],[Shelter]]/tblPiNAnalysis5[[#This Row],[Affected population projection 2026]], 0.05)), "")</f>
        <v>0</v>
      </c>
      <c r="AD134" s="324">
        <f>IFERROR(IF(tblPiNAnalysis5[[#This Row],[WASH]]="", "", MROUND(tblPiNAnalysis5[[#This Row],[WASH]]/tblPiNAnalysis5[[#This Row],[Affected population projection 2026]], 0.05)), "")</f>
        <v>0.75</v>
      </c>
      <c r="AE134" s="322">
        <f>IFERROR(MROUND(tblPiNAnalysis5[[#This Row],[CP]]/tblPiNAnalysis5[[#This Row],[Affected population projection 2026]], 0.05), "")</f>
        <v>0</v>
      </c>
      <c r="AF134" s="322">
        <f>IFERROR(MROUND(tblPiNAnalysis5[[#This Row],[GBV]]/tblPiNAnalysis5[[#This Row],[Affected population projection 2026]], 0.05), "")</f>
        <v>0</v>
      </c>
      <c r="AG134" s="322">
        <f>IFERROR(MROUND(tblPiNAnalysis5[[#This Row],[Mine Action]]/tblPiNAnalysis5[[#This Row],[Affected population projection 2026]], 0.05), "")</f>
        <v>0</v>
      </c>
      <c r="AH134" s="322">
        <f>IFERROR(MROUND(tblPiNAnalysis5[[#This Row],[HLP]]/tblPiNAnalysis5[[#This Row],[Affected population projection 2026]], 0.05), "")</f>
        <v>0</v>
      </c>
      <c r="AI134" s="325">
        <f>IFERROR(LARGE(tblPiNAnalysis5[[#This Row],[CCCM]:[WASH]], 1), "")</f>
        <v>88260.758315439714</v>
      </c>
      <c r="AJ134" s="326" t="str" cm="1">
        <f t="array" ref="AJ134">IF(tblPiNAnalysis5[[#This Row],[Highest Target]]="", "", _xlfn.TEXTJOIN(CHAR(10), TRUE, IF(tblPiNAnalysis5[[#This Row],[Highest Target]]=tblPiNAnalysis5[[#This Row],[CCCM]:[WASH]], tblPiNAnalysis5[[#Headers],[CCCM]:[WASH]], "")))</f>
        <v>WASH</v>
      </c>
      <c r="AK134" s="327">
        <f>IF(tblPiNAnalysis5[[#This Row],[Highest Target]]="", "", tblPiNAnalysis5[[#This Row],[Highest Target]]/tblPiNAnalysis5[[#This Row],[Affected population projection 2026]])</f>
        <v>0.74999999999999978</v>
      </c>
      <c r="AL134" s="328" t="str">
        <f>IF(SUM(tblPiNAnalysis5[[#This Row],[CCCM]:[WASH]])=0, "",IF(COUNTIF(tblPiNAnalysis5[[#This Row],[CCCM]:[WASH]],"=0")+COUNTIF(tblPiNAnalysis5[[#This Row],[CCCM]:[WASH]],"")&gt;=zero_pin_thresh, "Flagged", ""))</f>
        <v/>
      </c>
      <c r="AM134" s="329" t="str">
        <f>IFERROR(IF(tblPiNAnalysis5[[#This Row],[Highest Target]]="", "", IF(tblPiNAnalysis5[[#This Row],[Highest sector(s'') Target %]]&gt;=flag_pin_perc, "Flagged", "")), "")</f>
        <v/>
      </c>
      <c r="AN134" s="330" t="str" cm="1">
        <f t="array" ref="AN134">IF(tblPiNAnalysis5[[#This Row],[Highest Target]]=0, "",  IF(OR(COUNTIF(tblPiNAnalysis5[[#This Row],[Highest sector(s)]],tblSubSectorPopulation[Sector])), "Flagged", ""))</f>
        <v/>
      </c>
      <c r="AO134" s="46" cm="1">
        <f t="array" ref="AO13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65400.972763241043</v>
      </c>
      <c r="AP134" s="331" t="str" cm="1">
        <f t="array" ref="AP134">IF(tblPiNAnalysis5[[#This Row],[2nd Highest Target]]="", "", _xlfn.TEXTJOIN(CHAR(10), TRUE, IF(tblPiNAnalysis5[[#This Row],[2nd Highest Target]]=tblPiNAnalysis5[[#This Row],[CCCM]:[WASH]], tblPiNAnalysis5[[#Headers],[CCCM]:[WASH]], "")))</f>
        <v>Health</v>
      </c>
      <c r="AQ134" s="36">
        <f>IFERROR(tblPiNAnalysis5[[#This Row],[2nd Highest Target]]/tblPiNAnalysis5[[#This Row],[Affected population projection 2026]], "")</f>
        <v>0.55574788284874932</v>
      </c>
      <c r="AR134" s="46">
        <f>IFERROR(tblPiNAnalysis5[[#This Row],[Highest Target]]-tblPiNAnalysis5[[#This Row],[2nd Highest Target]], "")</f>
        <v>22859.785552198671</v>
      </c>
      <c r="AS134" s="39">
        <f>IFERROR(((tblPiNAnalysis5[[#This Row],[Highest Target]]-tblPiNAnalysis5[[#This Row],[2nd Highest Target]])/tblPiNAnalysis5[[#This Row],[2nd Highest Target]]),"")</f>
        <v>0.34953280641487849</v>
      </c>
      <c r="AT134" s="39" t="str" cm="1">
        <f t="array" ref="AT13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34" s="332" cm="1">
        <f t="array" ref="AU13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63487.448364839125</v>
      </c>
      <c r="AV134" s="190" t="str" cm="1">
        <f t="array" ref="AV134">IF(tblPiNAnalysis5[[#This Row],[3rd Highest Target]]="", "", _xlfn.TEXTJOIN(CHAR(10), TRUE, IF(tblPiNAnalysis5[[#This Row],[3rd Highest Target]]=tblPiNAnalysis5[[#This Row],[CCCM]:[WASH]], tblPiNAnalysis5[[#Headers],[CCCM]:[WASH]], "")))</f>
        <v>Food Security</v>
      </c>
      <c r="AW134" s="190">
        <f>IFERROR(tblPiNAnalysis5[[#This Row],[3rd Highest Target]]/tblPiNAnalysis5[[#This Row],[Affected population projection 2026]], "")</f>
        <v>0.53948761808111267</v>
      </c>
      <c r="AX134" s="45">
        <f>IFERROR(tblPiNAnalysis5[[#This Row],[Highest Target]]-tblPiNAnalysis5[[#This Row],[3rd Highest Target]],"")</f>
        <v>24773.309950600589</v>
      </c>
      <c r="AY134" s="39">
        <f>IFERROR(tblPiNAnalysis5[[#This Row],[Difference of Target between Highest and 3rd Highest]]/tblPiNAnalysis5[[#This Row],[3rd Highest Target]], "")</f>
        <v>0.3902079952597472</v>
      </c>
      <c r="AZ134" s="330" t="str" cm="1">
        <f t="array" ref="AZ13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34" s="300" t="str" cm="1">
        <f t="array" ref="BA13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4" s="333" t="str" cm="1">
        <f t="array" ref="BB13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4" s="276" t="str" cm="1">
        <f t="array" ref="BC13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4" s="334" t="str" cm="1">
        <f t="array" ref="BD13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34" s="277" t="e">
        <f>INDEX(tblSeverityAnalysis[Final Severity], MATCH(tblPiNAnalysis5[[#This Row],[ID]],tblSeverityAnalysis[ID], 0))</f>
        <v>#N/A</v>
      </c>
      <c r="BF134" s="61" t="e">
        <f>IF(tblPiNAnalysis5[[#This Row],[Severity]]&gt;2,tblPiNAnalysis5[[#This Row],[Highest Target]],)</f>
        <v>#N/A</v>
      </c>
      <c r="BG134" s="191"/>
      <c r="BH134" s="192"/>
      <c r="BI134" s="193">
        <f>COUNTIFS(tblPiNAnalysis5[[#This Row],[Number of missing / zero PiNs greater than threshold - Data quality]:[Manual Flag]],"Flagged")</f>
        <v>2</v>
      </c>
      <c r="BJ134" s="96" t="str">
        <f>IF(tblPiNAnalysis5[[#This Row],['# Flags]]&gt;0, "Flagged", "")</f>
        <v>Flagged</v>
      </c>
      <c r="BK134" s="326" t="e">
        <f>tblPiNAnalysis5[[#This Row],[Preliminary Target]]</f>
        <v>#N/A</v>
      </c>
      <c r="BL134" s="331"/>
    </row>
    <row r="135" spans="1:64" x14ac:dyDescent="0.55000000000000004">
      <c r="A1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5" s="316" t="s">
        <v>342</v>
      </c>
      <c r="C135" s="317" t="s">
        <v>343</v>
      </c>
      <c r="D135" s="317" t="s">
        <v>352</v>
      </c>
      <c r="E135" s="105" t="s">
        <v>353</v>
      </c>
      <c r="F135" s="100"/>
      <c r="G135" s="34"/>
      <c r="H135" s="34"/>
      <c r="I135" s="97">
        <v>54056.787582147139</v>
      </c>
      <c r="J135" s="97" t="s">
        <v>413</v>
      </c>
      <c r="K135" s="318">
        <v>0</v>
      </c>
      <c r="L135" s="319">
        <v>5585.5608274124452</v>
      </c>
      <c r="M135" s="319">
        <v>11798.564091950871</v>
      </c>
      <c r="N135" s="319">
        <v>19975.542821535786</v>
      </c>
      <c r="O135" s="319">
        <v>21524.525191378929</v>
      </c>
      <c r="P135" s="319">
        <v>12133.334093717327</v>
      </c>
      <c r="Q135" s="320">
        <v>0</v>
      </c>
      <c r="R135" s="319">
        <v>9009.4645970245219</v>
      </c>
      <c r="S135" s="319"/>
      <c r="T135" s="319"/>
      <c r="U135" s="319"/>
      <c r="V135" s="319"/>
      <c r="W135" s="321">
        <f>IFERROR(IF(tblPiNAnalysis5[[#This Row],[CCCM]]="", "", MROUND(tblPiNAnalysis5[[#This Row],[CCCM]]/tblPiNAnalysis5[[#This Row],[Affected population projection 2026]], 0.05)), "")</f>
        <v>0</v>
      </c>
      <c r="X135" s="322">
        <f>IFERROR(IF(tblPiNAnalysis5[[#This Row],[Education]]="", "", MROUND(tblPiNAnalysis5[[#This Row],[Education]]/tblPiNAnalysis5[[#This Row],[Affected population projection 2026]], 0.05)), "")</f>
        <v>0.1</v>
      </c>
      <c r="Y135" s="322">
        <f>IFERROR(IF(tblPiNAnalysis5[[#This Row],[Nutrition]]="", "", MROUND(tblPiNAnalysis5[[#This Row],[Nutrition]]/tblPiNAnalysis5[[#This Row],[Affected population projection 2026]], 0.05)), "")</f>
        <v>0.2</v>
      </c>
      <c r="Z135" s="322">
        <f>IFERROR(IF(tblPiNAnalysis5[[#This Row],[Food Security]]="", "", MROUND(tblPiNAnalysis5[[#This Row],[Food Security]]/tblPiNAnalysis5[[#This Row],[Affected population projection 2026]], 0.05)), "")</f>
        <v>0.35000000000000003</v>
      </c>
      <c r="AA135" s="322">
        <f>IFERROR(IF(tblPiNAnalysis5[[#This Row],[Health]]="", "", MROUND(tblPiNAnalysis5[[#This Row],[Health]]/tblPiNAnalysis5[[#This Row],[Affected population projection 2026]], 0.05)), "")</f>
        <v>0.4</v>
      </c>
      <c r="AB135" s="323">
        <f>IFERROR(IF(tblPiNAnalysis5[[#This Row],[Overarching Protection]]="", "", MROUND(tblPiNAnalysis5[[#This Row],[Overarching Protection]]/tblPiNAnalysis5[[#This Row],[Affected population projection 2026]], 0.05)), "")</f>
        <v>0.2</v>
      </c>
      <c r="AC135" s="323">
        <f>IFERROR(IF(tblPiNAnalysis5[[#This Row],[Shelter]]="", "", MROUND(tblPiNAnalysis5[[#This Row],[Shelter]]/tblPiNAnalysis5[[#This Row],[Affected population projection 2026]], 0.05)), "")</f>
        <v>0</v>
      </c>
      <c r="AD135" s="324">
        <f>IFERROR(IF(tblPiNAnalysis5[[#This Row],[WASH]]="", "", MROUND(tblPiNAnalysis5[[#This Row],[WASH]]/tblPiNAnalysis5[[#This Row],[Affected population projection 2026]], 0.05)), "")</f>
        <v>0.15000000000000002</v>
      </c>
      <c r="AE135" s="322">
        <f>IFERROR(MROUND(tblPiNAnalysis5[[#This Row],[CP]]/tblPiNAnalysis5[[#This Row],[Affected population projection 2026]], 0.05), "")</f>
        <v>0</v>
      </c>
      <c r="AF135" s="322">
        <f>IFERROR(MROUND(tblPiNAnalysis5[[#This Row],[GBV]]/tblPiNAnalysis5[[#This Row],[Affected population projection 2026]], 0.05), "")</f>
        <v>0</v>
      </c>
      <c r="AG135" s="322">
        <f>IFERROR(MROUND(tblPiNAnalysis5[[#This Row],[Mine Action]]/tblPiNAnalysis5[[#This Row],[Affected population projection 2026]], 0.05), "")</f>
        <v>0</v>
      </c>
      <c r="AH135" s="322">
        <f>IFERROR(MROUND(tblPiNAnalysis5[[#This Row],[HLP]]/tblPiNAnalysis5[[#This Row],[Affected population projection 2026]], 0.05), "")</f>
        <v>0</v>
      </c>
      <c r="AI135" s="325">
        <f>IFERROR(LARGE(tblPiNAnalysis5[[#This Row],[CCCM]:[WASH]], 1), "")</f>
        <v>21524.525191378929</v>
      </c>
      <c r="AJ135" s="326" t="str" cm="1">
        <f t="array" ref="AJ135">IF(tblPiNAnalysis5[[#This Row],[Highest Target]]="", "", _xlfn.TEXTJOIN(CHAR(10), TRUE, IF(tblPiNAnalysis5[[#This Row],[Highest Target]]=tblPiNAnalysis5[[#This Row],[CCCM]:[WASH]], tblPiNAnalysis5[[#Headers],[CCCM]:[WASH]], "")))</f>
        <v>Health</v>
      </c>
      <c r="AK135" s="327">
        <f>IF(tblPiNAnalysis5[[#This Row],[Highest Target]]="", "", tblPiNAnalysis5[[#This Row],[Highest Target]]/tblPiNAnalysis5[[#This Row],[Affected population projection 2026]])</f>
        <v>0.39818357978948132</v>
      </c>
      <c r="AL135" s="328" t="str">
        <f>IF(SUM(tblPiNAnalysis5[[#This Row],[CCCM]:[WASH]])=0, "",IF(COUNTIF(tblPiNAnalysis5[[#This Row],[CCCM]:[WASH]],"=0")+COUNTIF(tblPiNAnalysis5[[#This Row],[CCCM]:[WASH]],"")&gt;=zero_pin_thresh, "Flagged", ""))</f>
        <v>Flagged</v>
      </c>
      <c r="AM135" s="329" t="str">
        <f>IFERROR(IF(tblPiNAnalysis5[[#This Row],[Highest Target]]="", "", IF(tblPiNAnalysis5[[#This Row],[Highest sector(s'') Target %]]&gt;=flag_pin_perc, "Flagged", "")), "")</f>
        <v/>
      </c>
      <c r="AN135" s="330" t="str" cm="1">
        <f t="array" ref="AN135">IF(tblPiNAnalysis5[[#This Row],[Highest Target]]=0, "",  IF(OR(COUNTIF(tblPiNAnalysis5[[#This Row],[Highest sector(s)]],tblSubSectorPopulation[Sector])), "Flagged", ""))</f>
        <v/>
      </c>
      <c r="AO135" s="46" cm="1">
        <f t="array" ref="AO13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19975.542821535786</v>
      </c>
      <c r="AP135" s="331" t="str" cm="1">
        <f t="array" ref="AP135">IF(tblPiNAnalysis5[[#This Row],[2nd Highest Target]]="", "", _xlfn.TEXTJOIN(CHAR(10), TRUE, IF(tblPiNAnalysis5[[#This Row],[2nd Highest Target]]=tblPiNAnalysis5[[#This Row],[CCCM]:[WASH]], tblPiNAnalysis5[[#Headers],[CCCM]:[WASH]], "")))</f>
        <v>Food Security</v>
      </c>
      <c r="AQ135" s="36">
        <f>IFERROR(tblPiNAnalysis5[[#This Row],[2nd Highest Target]]/tblPiNAnalysis5[[#This Row],[Affected population projection 2026]], "")</f>
        <v>0.36952885502454336</v>
      </c>
      <c r="AR135" s="46">
        <f>IFERROR(tblPiNAnalysis5[[#This Row],[Highest Target]]-tblPiNAnalysis5[[#This Row],[2nd Highest Target]], "")</f>
        <v>1548.9823698431428</v>
      </c>
      <c r="AS135" s="39">
        <f>IFERROR(((tblPiNAnalysis5[[#This Row],[Highest Target]]-tblPiNAnalysis5[[#This Row],[2nd Highest Target]])/tblPiNAnalysis5[[#This Row],[2nd Highest Target]]),"")</f>
        <v>7.7543943795768747E-2</v>
      </c>
      <c r="AT135" s="39" t="str" cm="1">
        <f t="array" ref="AT13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5" s="332" cm="1">
        <f t="array" ref="AU13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12133.334093717327</v>
      </c>
      <c r="AV135" s="190" t="str" cm="1">
        <f t="array" ref="AV135">IF(tblPiNAnalysis5[[#This Row],[3rd Highest Target]]="", "", _xlfn.TEXTJOIN(CHAR(10), TRUE, IF(tblPiNAnalysis5[[#This Row],[3rd Highest Target]]=tblPiNAnalysis5[[#This Row],[CCCM]:[WASH]], tblPiNAnalysis5[[#Headers],[CCCM]:[WASH]], "")))</f>
        <v>Overarching Protection</v>
      </c>
      <c r="AW135" s="190">
        <f>IFERROR(tblPiNAnalysis5[[#This Row],[3rd Highest Target]]/tblPiNAnalysis5[[#This Row],[Affected population projection 2026]], "")</f>
        <v>0.22445532996719356</v>
      </c>
      <c r="AX135" s="45">
        <f>IFERROR(tblPiNAnalysis5[[#This Row],[Highest Target]]-tblPiNAnalysis5[[#This Row],[3rd Highest Target]],"")</f>
        <v>9391.1910976616018</v>
      </c>
      <c r="AY135" s="39">
        <f>IFERROR(tblPiNAnalysis5[[#This Row],[Difference of Target between Highest and 3rd Highest]]/tblPiNAnalysis5[[#This Row],[3rd Highest Target]], "")</f>
        <v>0.77399921778502623</v>
      </c>
      <c r="AZ135" s="330" t="str" cm="1">
        <f t="array" ref="AZ13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5" s="300" t="str" cm="1">
        <f t="array" ref="BA13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5" s="333" t="str" cm="1">
        <f t="array" ref="BB13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35" s="276" t="str" cm="1">
        <f t="array" ref="BC13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5" s="334" t="str" cm="1">
        <f t="array" ref="BD13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5" s="277" t="e">
        <f>INDEX(tblSeverityAnalysis[Final Severity], MATCH(tblPiNAnalysis5[[#This Row],[ID]],tblSeverityAnalysis[ID], 0))</f>
        <v>#N/A</v>
      </c>
      <c r="BF135" s="61" t="e">
        <f>IF(tblPiNAnalysis5[[#This Row],[Severity]]&gt;2,tblPiNAnalysis5[[#This Row],[Highest Target]],)</f>
        <v>#N/A</v>
      </c>
      <c r="BG135" s="191"/>
      <c r="BH135" s="192"/>
      <c r="BI135" s="193">
        <f>COUNTIFS(tblPiNAnalysis5[[#This Row],[Number of missing / zero PiNs greater than threshold - Data quality]:[Manual Flag]],"Flagged")</f>
        <v>3</v>
      </c>
      <c r="BJ135" s="96" t="str">
        <f>IF(tblPiNAnalysis5[[#This Row],['# Flags]]&gt;0, "Flagged", "")</f>
        <v>Flagged</v>
      </c>
      <c r="BK135" s="326" t="e">
        <f>tblPiNAnalysis5[[#This Row],[Preliminary Target]]</f>
        <v>#N/A</v>
      </c>
      <c r="BL135" s="331"/>
    </row>
    <row r="136" spans="1:64" ht="110.7" x14ac:dyDescent="0.55000000000000004">
      <c r="A1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6" s="316" t="s">
        <v>342</v>
      </c>
      <c r="C136" s="317" t="s">
        <v>343</v>
      </c>
      <c r="D136" s="317" t="s">
        <v>354</v>
      </c>
      <c r="E136" s="105" t="s">
        <v>355</v>
      </c>
      <c r="F136" s="100"/>
      <c r="G136" s="34"/>
      <c r="H136" s="34"/>
      <c r="I136" s="97">
        <v>75995.604930880276</v>
      </c>
      <c r="J136" s="97" t="s">
        <v>413</v>
      </c>
      <c r="K136" s="318">
        <v>0</v>
      </c>
      <c r="L136" s="319">
        <v>0</v>
      </c>
      <c r="M136" s="319">
        <v>0</v>
      </c>
      <c r="N136" s="319">
        <v>0</v>
      </c>
      <c r="O136" s="319">
        <v>0</v>
      </c>
      <c r="P136" s="319">
        <v>0</v>
      </c>
      <c r="Q136" s="320">
        <v>0</v>
      </c>
      <c r="R136" s="319">
        <v>0</v>
      </c>
      <c r="S136" s="319"/>
      <c r="T136" s="319"/>
      <c r="U136" s="319"/>
      <c r="V136" s="319"/>
      <c r="W136" s="321">
        <f>IFERROR(IF(tblPiNAnalysis5[[#This Row],[CCCM]]="", "", MROUND(tblPiNAnalysis5[[#This Row],[CCCM]]/tblPiNAnalysis5[[#This Row],[Affected population projection 2026]], 0.05)), "")</f>
        <v>0</v>
      </c>
      <c r="X136" s="322">
        <f>IFERROR(IF(tblPiNAnalysis5[[#This Row],[Education]]="", "", MROUND(tblPiNAnalysis5[[#This Row],[Education]]/tblPiNAnalysis5[[#This Row],[Affected population projection 2026]], 0.05)), "")</f>
        <v>0</v>
      </c>
      <c r="Y136" s="322">
        <f>IFERROR(IF(tblPiNAnalysis5[[#This Row],[Nutrition]]="", "", MROUND(tblPiNAnalysis5[[#This Row],[Nutrition]]/tblPiNAnalysis5[[#This Row],[Affected population projection 2026]], 0.05)), "")</f>
        <v>0</v>
      </c>
      <c r="Z136" s="322">
        <f>IFERROR(IF(tblPiNAnalysis5[[#This Row],[Food Security]]="", "", MROUND(tblPiNAnalysis5[[#This Row],[Food Security]]/tblPiNAnalysis5[[#This Row],[Affected population projection 2026]], 0.05)), "")</f>
        <v>0</v>
      </c>
      <c r="AA136" s="322">
        <f>IFERROR(IF(tblPiNAnalysis5[[#This Row],[Health]]="", "", MROUND(tblPiNAnalysis5[[#This Row],[Health]]/tblPiNAnalysis5[[#This Row],[Affected population projection 2026]], 0.05)), "")</f>
        <v>0</v>
      </c>
      <c r="AB136" s="323">
        <f>IFERROR(IF(tblPiNAnalysis5[[#This Row],[Overarching Protection]]="", "", MROUND(tblPiNAnalysis5[[#This Row],[Overarching Protection]]/tblPiNAnalysis5[[#This Row],[Affected population projection 2026]], 0.05)), "")</f>
        <v>0</v>
      </c>
      <c r="AC136" s="323">
        <f>IFERROR(IF(tblPiNAnalysis5[[#This Row],[Shelter]]="", "", MROUND(tblPiNAnalysis5[[#This Row],[Shelter]]/tblPiNAnalysis5[[#This Row],[Affected population projection 2026]], 0.05)), "")</f>
        <v>0</v>
      </c>
      <c r="AD136" s="324">
        <f>IFERROR(IF(tblPiNAnalysis5[[#This Row],[WASH]]="", "", MROUND(tblPiNAnalysis5[[#This Row],[WASH]]/tblPiNAnalysis5[[#This Row],[Affected population projection 2026]], 0.05)), "")</f>
        <v>0</v>
      </c>
      <c r="AE136" s="322">
        <f>IFERROR(MROUND(tblPiNAnalysis5[[#This Row],[CP]]/tblPiNAnalysis5[[#This Row],[Affected population projection 2026]], 0.05), "")</f>
        <v>0</v>
      </c>
      <c r="AF136" s="322">
        <f>IFERROR(MROUND(tblPiNAnalysis5[[#This Row],[GBV]]/tblPiNAnalysis5[[#This Row],[Affected population projection 2026]], 0.05), "")</f>
        <v>0</v>
      </c>
      <c r="AG136" s="322">
        <f>IFERROR(MROUND(tblPiNAnalysis5[[#This Row],[Mine Action]]/tblPiNAnalysis5[[#This Row],[Affected population projection 2026]], 0.05), "")</f>
        <v>0</v>
      </c>
      <c r="AH136" s="322">
        <f>IFERROR(MROUND(tblPiNAnalysis5[[#This Row],[HLP]]/tblPiNAnalysis5[[#This Row],[Affected population projection 2026]], 0.05), "")</f>
        <v>0</v>
      </c>
      <c r="AI136" s="325">
        <f>IFERROR(LARGE(tblPiNAnalysis5[[#This Row],[CCCM]:[WASH]], 1), "")</f>
        <v>0</v>
      </c>
      <c r="AJ136" s="326" t="str" cm="1">
        <f t="array" ref="AJ136">IF(tblPiNAnalysis5[[#This Row],[Highest Target]]="", "", _xlfn.TEXTJOIN(CHAR(10), TRUE, IF(tblPiNAnalysis5[[#This Row],[Highest Target]]=tblPiNAnalysis5[[#This Row],[CCCM]:[WASH]], tblPiNAnalysis5[[#Headers],[CCCM]:[WASH]], "")))</f>
        <v>CCCM
Education
Nutrition
Food Security
Health
Overarching Protection
Shelter
WASH</v>
      </c>
      <c r="AK136" s="327">
        <f>IF(tblPiNAnalysis5[[#This Row],[Highest Target]]="", "", tblPiNAnalysis5[[#This Row],[Highest Target]]/tblPiNAnalysis5[[#This Row],[Affected population projection 2026]])</f>
        <v>0</v>
      </c>
      <c r="AL136" s="328" t="str">
        <f>IF(SUM(tblPiNAnalysis5[[#This Row],[CCCM]:[WASH]])=0, "",IF(COUNTIF(tblPiNAnalysis5[[#This Row],[CCCM]:[WASH]],"=0")+COUNTIF(tblPiNAnalysis5[[#This Row],[CCCM]:[WASH]],"")&gt;=zero_pin_thresh, "Flagged", ""))</f>
        <v/>
      </c>
      <c r="AM136" s="329" t="str">
        <f>IFERROR(IF(tblPiNAnalysis5[[#This Row],[Highest Target]]="", "", IF(tblPiNAnalysis5[[#This Row],[Highest sector(s'') Target %]]&gt;=flag_pin_perc, "Flagged", "")), "")</f>
        <v/>
      </c>
      <c r="AN136" s="330" t="str" cm="1">
        <f t="array" ref="AN136">IF(tblPiNAnalysis5[[#This Row],[Highest Target]]=0, "",  IF(OR(COUNTIF(tblPiNAnalysis5[[#This Row],[Highest sector(s)]],tblSubSectorPopulation[Sector])), "Flagged", ""))</f>
        <v/>
      </c>
      <c r="AO136" s="46" cm="1">
        <f t="array" ref="AO13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36" s="331" t="str" cm="1">
        <f t="array" ref="AP136">IF(tblPiNAnalysis5[[#This Row],[2nd Highest Target]]="", "", _xlfn.TEXTJOIN(CHAR(10), TRUE, IF(tblPiNAnalysis5[[#This Row],[2nd Highest Target]]=tblPiNAnalysis5[[#This Row],[CCCM]:[WASH]], tblPiNAnalysis5[[#Headers],[CCCM]:[WASH]], "")))</f>
        <v>CCCM
Education
Nutrition
Food Security
Health
Overarching Protection
Shelter
WASH</v>
      </c>
      <c r="AQ136" s="36">
        <f>IFERROR(tblPiNAnalysis5[[#This Row],[2nd Highest Target]]/tblPiNAnalysis5[[#This Row],[Affected population projection 2026]], "")</f>
        <v>0</v>
      </c>
      <c r="AR136" s="46">
        <f>IFERROR(tblPiNAnalysis5[[#This Row],[Highest Target]]-tblPiNAnalysis5[[#This Row],[2nd Highest Target]], "")</f>
        <v>0</v>
      </c>
      <c r="AS136" s="39" t="str">
        <f>IFERROR(((tblPiNAnalysis5[[#This Row],[Highest Target]]-tblPiNAnalysis5[[#This Row],[2nd Highest Target]])/tblPiNAnalysis5[[#This Row],[2nd Highest Target]]),"")</f>
        <v/>
      </c>
      <c r="AT136" s="39" t="str" cm="1">
        <f t="array" ref="AT13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6" s="332" cm="1">
        <f t="array" ref="AU13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36" s="190" t="str" cm="1">
        <f t="array" ref="AV136">IF(tblPiNAnalysis5[[#This Row],[3rd Highest Target]]="", "", _xlfn.TEXTJOIN(CHAR(10), TRUE, IF(tblPiNAnalysis5[[#This Row],[3rd Highest Target]]=tblPiNAnalysis5[[#This Row],[CCCM]:[WASH]], tblPiNAnalysis5[[#Headers],[CCCM]:[WASH]], "")))</f>
        <v>CCCM
Education
Nutrition
Food Security
Health
Overarching Protection
Shelter
WASH</v>
      </c>
      <c r="AW136" s="190">
        <f>IFERROR(tblPiNAnalysis5[[#This Row],[3rd Highest Target]]/tblPiNAnalysis5[[#This Row],[Affected population projection 2026]], "")</f>
        <v>0</v>
      </c>
      <c r="AX136" s="45">
        <f>IFERROR(tblPiNAnalysis5[[#This Row],[Highest Target]]-tblPiNAnalysis5[[#This Row],[3rd Highest Target]],"")</f>
        <v>0</v>
      </c>
      <c r="AY136" s="39" t="str">
        <f>IFERROR(tblPiNAnalysis5[[#This Row],[Difference of Target between Highest and 3rd Highest]]/tblPiNAnalysis5[[#This Row],[3rd Highest Target]], "")</f>
        <v/>
      </c>
      <c r="AZ136" s="330" t="str" cm="1">
        <f t="array" ref="AZ13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36" s="300" t="str" cm="1">
        <f t="array" ref="BA13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6" s="333" t="str" cm="1">
        <f t="array" ref="BB13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36" s="276" t="str" cm="1">
        <f t="array" ref="BC13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6" s="334" t="str" cm="1">
        <f t="array" ref="BD13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36" s="277" t="e">
        <f>INDEX(tblSeverityAnalysis[Final Severity], MATCH(tblPiNAnalysis5[[#This Row],[ID]],tblSeverityAnalysis[ID], 0))</f>
        <v>#N/A</v>
      </c>
      <c r="BF136" s="61" t="e">
        <f>IF(tblPiNAnalysis5[[#This Row],[Severity]]&gt;2,tblPiNAnalysis5[[#This Row],[Highest Target]],)</f>
        <v>#N/A</v>
      </c>
      <c r="BG136" s="191"/>
      <c r="BH136" s="192"/>
      <c r="BI136" s="193">
        <f>COUNTIFS(tblPiNAnalysis5[[#This Row],[Number of missing / zero PiNs greater than threshold - Data quality]:[Manual Flag]],"Flagged")</f>
        <v>2</v>
      </c>
      <c r="BJ136" s="96" t="str">
        <f>IF(tblPiNAnalysis5[[#This Row],['# Flags]]&gt;0, "Flagged", "")</f>
        <v>Flagged</v>
      </c>
      <c r="BK136" s="326" t="e">
        <f>tblPiNAnalysis5[[#This Row],[Preliminary Target]]</f>
        <v>#N/A</v>
      </c>
      <c r="BL136" s="331"/>
    </row>
    <row r="137" spans="1:64" x14ac:dyDescent="0.55000000000000004">
      <c r="A1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7" s="316" t="s">
        <v>342</v>
      </c>
      <c r="C137" s="317" t="s">
        <v>343</v>
      </c>
      <c r="D137" s="317" t="s">
        <v>356</v>
      </c>
      <c r="E137" s="105" t="s">
        <v>357</v>
      </c>
      <c r="F137" s="100"/>
      <c r="G137" s="34"/>
      <c r="H137" s="34"/>
      <c r="I137" s="97">
        <v>123133.14998785798</v>
      </c>
      <c r="J137" s="97" t="s">
        <v>413</v>
      </c>
      <c r="K137" s="318">
        <v>0</v>
      </c>
      <c r="L137" s="319">
        <v>1035.0277068419368</v>
      </c>
      <c r="M137" s="319">
        <v>33436.927896884066</v>
      </c>
      <c r="N137" s="319">
        <v>56380.997843816796</v>
      </c>
      <c r="O137" s="319">
        <v>74880.686534567067</v>
      </c>
      <c r="P137" s="319">
        <v>10746.803541154733</v>
      </c>
      <c r="Q137" s="320">
        <v>2252.435670509597</v>
      </c>
      <c r="R137" s="319">
        <v>76951.972640735839</v>
      </c>
      <c r="S137" s="319"/>
      <c r="T137" s="319"/>
      <c r="U137" s="319"/>
      <c r="V137" s="319"/>
      <c r="W137" s="321">
        <f>IFERROR(IF(tblPiNAnalysis5[[#This Row],[CCCM]]="", "", MROUND(tblPiNAnalysis5[[#This Row],[CCCM]]/tblPiNAnalysis5[[#This Row],[Affected population projection 2026]], 0.05)), "")</f>
        <v>0</v>
      </c>
      <c r="X137" s="322">
        <f>IFERROR(IF(tblPiNAnalysis5[[#This Row],[Education]]="", "", MROUND(tblPiNAnalysis5[[#This Row],[Education]]/tblPiNAnalysis5[[#This Row],[Affected population projection 2026]], 0.05)), "")</f>
        <v>0</v>
      </c>
      <c r="Y137" s="322">
        <f>IFERROR(IF(tblPiNAnalysis5[[#This Row],[Nutrition]]="", "", MROUND(tblPiNAnalysis5[[#This Row],[Nutrition]]/tblPiNAnalysis5[[#This Row],[Affected population projection 2026]], 0.05)), "")</f>
        <v>0.25</v>
      </c>
      <c r="Z137" s="322">
        <f>IFERROR(IF(tblPiNAnalysis5[[#This Row],[Food Security]]="", "", MROUND(tblPiNAnalysis5[[#This Row],[Food Security]]/tblPiNAnalysis5[[#This Row],[Affected population projection 2026]], 0.05)), "")</f>
        <v>0.45</v>
      </c>
      <c r="AA137" s="322">
        <f>IFERROR(IF(tblPiNAnalysis5[[#This Row],[Health]]="", "", MROUND(tblPiNAnalysis5[[#This Row],[Health]]/tblPiNAnalysis5[[#This Row],[Affected population projection 2026]], 0.05)), "")</f>
        <v>0.60000000000000009</v>
      </c>
      <c r="AB137" s="323">
        <f>IFERROR(IF(tblPiNAnalysis5[[#This Row],[Overarching Protection]]="", "", MROUND(tblPiNAnalysis5[[#This Row],[Overarching Protection]]/tblPiNAnalysis5[[#This Row],[Affected population projection 2026]], 0.05)), "")</f>
        <v>0.1</v>
      </c>
      <c r="AC137" s="323">
        <f>IFERROR(IF(tblPiNAnalysis5[[#This Row],[Shelter]]="", "", MROUND(tblPiNAnalysis5[[#This Row],[Shelter]]/tblPiNAnalysis5[[#This Row],[Affected population projection 2026]], 0.05)), "")</f>
        <v>0</v>
      </c>
      <c r="AD137" s="324">
        <f>IFERROR(IF(tblPiNAnalysis5[[#This Row],[WASH]]="", "", MROUND(tblPiNAnalysis5[[#This Row],[WASH]]/tblPiNAnalysis5[[#This Row],[Affected population projection 2026]], 0.05)), "")</f>
        <v>0.60000000000000009</v>
      </c>
      <c r="AE137" s="322">
        <f>IFERROR(MROUND(tblPiNAnalysis5[[#This Row],[CP]]/tblPiNAnalysis5[[#This Row],[Affected population projection 2026]], 0.05), "")</f>
        <v>0</v>
      </c>
      <c r="AF137" s="322">
        <f>IFERROR(MROUND(tblPiNAnalysis5[[#This Row],[GBV]]/tblPiNAnalysis5[[#This Row],[Affected population projection 2026]], 0.05), "")</f>
        <v>0</v>
      </c>
      <c r="AG137" s="322">
        <f>IFERROR(MROUND(tblPiNAnalysis5[[#This Row],[Mine Action]]/tblPiNAnalysis5[[#This Row],[Affected population projection 2026]], 0.05), "")</f>
        <v>0</v>
      </c>
      <c r="AH137" s="322">
        <f>IFERROR(MROUND(tblPiNAnalysis5[[#This Row],[HLP]]/tblPiNAnalysis5[[#This Row],[Affected population projection 2026]], 0.05), "")</f>
        <v>0</v>
      </c>
      <c r="AI137" s="325">
        <f>IFERROR(LARGE(tblPiNAnalysis5[[#This Row],[CCCM]:[WASH]], 1), "")</f>
        <v>76951.972640735839</v>
      </c>
      <c r="AJ137" s="326" t="str" cm="1">
        <f t="array" ref="AJ137">IF(tblPiNAnalysis5[[#This Row],[Highest Target]]="", "", _xlfn.TEXTJOIN(CHAR(10), TRUE, IF(tblPiNAnalysis5[[#This Row],[Highest Target]]=tblPiNAnalysis5[[#This Row],[CCCM]:[WASH]], tblPiNAnalysis5[[#Headers],[CCCM]:[WASH]], "")))</f>
        <v>WASH</v>
      </c>
      <c r="AK137" s="327">
        <f>IF(tblPiNAnalysis5[[#This Row],[Highest Target]]="", "", tblPiNAnalysis5[[#This Row],[Highest Target]]/tblPiNAnalysis5[[#This Row],[Affected population projection 2026]])</f>
        <v>0.62494927359792218</v>
      </c>
      <c r="AL137" s="328" t="str">
        <f>IF(SUM(tblPiNAnalysis5[[#This Row],[CCCM]:[WASH]])=0, "",IF(COUNTIF(tblPiNAnalysis5[[#This Row],[CCCM]:[WASH]],"=0")+COUNTIF(tblPiNAnalysis5[[#This Row],[CCCM]:[WASH]],"")&gt;=zero_pin_thresh, "Flagged", ""))</f>
        <v/>
      </c>
      <c r="AM137" s="329" t="str">
        <f>IFERROR(IF(tblPiNAnalysis5[[#This Row],[Highest Target]]="", "", IF(tblPiNAnalysis5[[#This Row],[Highest sector(s'') Target %]]&gt;=flag_pin_perc, "Flagged", "")), "")</f>
        <v/>
      </c>
      <c r="AN137" s="330" t="str" cm="1">
        <f t="array" ref="AN137">IF(tblPiNAnalysis5[[#This Row],[Highest Target]]=0, "",  IF(OR(COUNTIF(tblPiNAnalysis5[[#This Row],[Highest sector(s)]],tblSubSectorPopulation[Sector])), "Flagged", ""))</f>
        <v/>
      </c>
      <c r="AO137" s="46" cm="1">
        <f t="array" ref="AO13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74880.686534567067</v>
      </c>
      <c r="AP137" s="331" t="str" cm="1">
        <f t="array" ref="AP137">IF(tblPiNAnalysis5[[#This Row],[2nd Highest Target]]="", "", _xlfn.TEXTJOIN(CHAR(10), TRUE, IF(tblPiNAnalysis5[[#This Row],[2nd Highest Target]]=tblPiNAnalysis5[[#This Row],[CCCM]:[WASH]], tblPiNAnalysis5[[#Headers],[CCCM]:[WASH]], "")))</f>
        <v>Health</v>
      </c>
      <c r="AQ137" s="36">
        <f>IFERROR(tblPiNAnalysis5[[#This Row],[2nd Highest Target]]/tblPiNAnalysis5[[#This Row],[Affected population projection 2026]], "")</f>
        <v>0.60812775878754799</v>
      </c>
      <c r="AR137" s="46">
        <f>IFERROR(tblPiNAnalysis5[[#This Row],[Highest Target]]-tblPiNAnalysis5[[#This Row],[2nd Highest Target]], "")</f>
        <v>2071.2861061687727</v>
      </c>
      <c r="AS137" s="39">
        <f>IFERROR(((tblPiNAnalysis5[[#This Row],[Highest Target]]-tblPiNAnalysis5[[#This Row],[2nd Highest Target]])/tblPiNAnalysis5[[#This Row],[2nd Highest Target]]),"")</f>
        <v>2.7661152722105557E-2</v>
      </c>
      <c r="AT137" s="39" t="str" cm="1">
        <f t="array" ref="AT13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7" s="332" cm="1">
        <f t="array" ref="AU13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56380.997843816796</v>
      </c>
      <c r="AV137" s="190" t="str" cm="1">
        <f t="array" ref="AV137">IF(tblPiNAnalysis5[[#This Row],[3rd Highest Target]]="", "", _xlfn.TEXTJOIN(CHAR(10), TRUE, IF(tblPiNAnalysis5[[#This Row],[3rd Highest Target]]=tblPiNAnalysis5[[#This Row],[CCCM]:[WASH]], tblPiNAnalysis5[[#Headers],[CCCM]:[WASH]], "")))</f>
        <v>Food Security</v>
      </c>
      <c r="AW137" s="190">
        <f>IFERROR(tblPiNAnalysis5[[#This Row],[3rd Highest Target]]/tblPiNAnalysis5[[#This Row],[Affected population projection 2026]], "")</f>
        <v>0.4578864249747242</v>
      </c>
      <c r="AX137" s="45">
        <f>IFERROR(tblPiNAnalysis5[[#This Row],[Highest Target]]-tblPiNAnalysis5[[#This Row],[3rd Highest Target]],"")</f>
        <v>20570.974796919043</v>
      </c>
      <c r="AY137" s="39">
        <f>IFERROR(tblPiNAnalysis5[[#This Row],[Difference of Target between Highest and 3rd Highest]]/tblPiNAnalysis5[[#This Row],[3rd Highest Target]], "")</f>
        <v>0.36485652229681181</v>
      </c>
      <c r="AZ137" s="330" t="str" cm="1">
        <f t="array" ref="AZ13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37" s="300" t="str" cm="1">
        <f t="array" ref="BA13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7" s="333" t="str" cm="1">
        <f t="array" ref="BB13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7" s="276" t="str" cm="1">
        <f t="array" ref="BC13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7" s="334" t="str" cm="1">
        <f t="array" ref="BD13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37" s="277" t="e">
        <f>INDEX(tblSeverityAnalysis[Final Severity], MATCH(tblPiNAnalysis5[[#This Row],[ID]],tblSeverityAnalysis[ID], 0))</f>
        <v>#N/A</v>
      </c>
      <c r="BF137" s="61" t="e">
        <f>IF(tblPiNAnalysis5[[#This Row],[Severity]]&gt;2,tblPiNAnalysis5[[#This Row],[Highest Target]],)</f>
        <v>#N/A</v>
      </c>
      <c r="BG137" s="191"/>
      <c r="BH137" s="192"/>
      <c r="BI137" s="193">
        <f>COUNTIFS(tblPiNAnalysis5[[#This Row],[Number of missing / zero PiNs greater than threshold - Data quality]:[Manual Flag]],"Flagged")</f>
        <v>1</v>
      </c>
      <c r="BJ137" s="96" t="str">
        <f>IF(tblPiNAnalysis5[[#This Row],['# Flags]]&gt;0, "Flagged", "")</f>
        <v>Flagged</v>
      </c>
      <c r="BK137" s="326" t="e">
        <f>tblPiNAnalysis5[[#This Row],[Preliminary Target]]</f>
        <v>#N/A</v>
      </c>
      <c r="BL137" s="331"/>
    </row>
    <row r="138" spans="1:64" x14ac:dyDescent="0.55000000000000004">
      <c r="A1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8" s="316" t="s">
        <v>342</v>
      </c>
      <c r="C138" s="317" t="s">
        <v>343</v>
      </c>
      <c r="D138" s="317" t="s">
        <v>358</v>
      </c>
      <c r="E138" s="105" t="s">
        <v>359</v>
      </c>
      <c r="F138" s="100"/>
      <c r="G138" s="34"/>
      <c r="H138" s="34"/>
      <c r="I138" s="97">
        <v>55774.82852003994</v>
      </c>
      <c r="J138" s="97" t="s">
        <v>413</v>
      </c>
      <c r="K138" s="318">
        <v>0</v>
      </c>
      <c r="L138" s="319">
        <v>599.95867542436565</v>
      </c>
      <c r="M138" s="319">
        <v>15832.210428432456</v>
      </c>
      <c r="N138" s="319">
        <v>10590.768288016634</v>
      </c>
      <c r="O138" s="319">
        <v>9628.0977168572281</v>
      </c>
      <c r="P138" s="319">
        <v>3534.5689693627205</v>
      </c>
      <c r="Q138" s="320">
        <v>0</v>
      </c>
      <c r="R138" s="319">
        <v>18493.582759023877</v>
      </c>
      <c r="S138" s="319"/>
      <c r="T138" s="319"/>
      <c r="U138" s="319"/>
      <c r="V138" s="319"/>
      <c r="W138" s="321">
        <f>IFERROR(IF(tblPiNAnalysis5[[#This Row],[CCCM]]="", "", MROUND(tblPiNAnalysis5[[#This Row],[CCCM]]/tblPiNAnalysis5[[#This Row],[Affected population projection 2026]], 0.05)), "")</f>
        <v>0</v>
      </c>
      <c r="X138" s="322">
        <f>IFERROR(IF(tblPiNAnalysis5[[#This Row],[Education]]="", "", MROUND(tblPiNAnalysis5[[#This Row],[Education]]/tblPiNAnalysis5[[#This Row],[Affected population projection 2026]], 0.05)), "")</f>
        <v>0</v>
      </c>
      <c r="Y138" s="322">
        <f>IFERROR(IF(tblPiNAnalysis5[[#This Row],[Nutrition]]="", "", MROUND(tblPiNAnalysis5[[#This Row],[Nutrition]]/tblPiNAnalysis5[[#This Row],[Affected population projection 2026]], 0.05)), "")</f>
        <v>0.30000000000000004</v>
      </c>
      <c r="Z138" s="322">
        <f>IFERROR(IF(tblPiNAnalysis5[[#This Row],[Food Security]]="", "", MROUND(tblPiNAnalysis5[[#This Row],[Food Security]]/tblPiNAnalysis5[[#This Row],[Affected population projection 2026]], 0.05)), "")</f>
        <v>0.2</v>
      </c>
      <c r="AA138" s="322">
        <f>IFERROR(IF(tblPiNAnalysis5[[#This Row],[Health]]="", "", MROUND(tblPiNAnalysis5[[#This Row],[Health]]/tblPiNAnalysis5[[#This Row],[Affected population projection 2026]], 0.05)), "")</f>
        <v>0.15000000000000002</v>
      </c>
      <c r="AB138" s="323">
        <f>IFERROR(IF(tblPiNAnalysis5[[#This Row],[Overarching Protection]]="", "", MROUND(tblPiNAnalysis5[[#This Row],[Overarching Protection]]/tblPiNAnalysis5[[#This Row],[Affected population projection 2026]], 0.05)), "")</f>
        <v>0.05</v>
      </c>
      <c r="AC138" s="323">
        <f>IFERROR(IF(tblPiNAnalysis5[[#This Row],[Shelter]]="", "", MROUND(tblPiNAnalysis5[[#This Row],[Shelter]]/tblPiNAnalysis5[[#This Row],[Affected population projection 2026]], 0.05)), "")</f>
        <v>0</v>
      </c>
      <c r="AD138" s="324">
        <f>IFERROR(IF(tblPiNAnalysis5[[#This Row],[WASH]]="", "", MROUND(tblPiNAnalysis5[[#This Row],[WASH]]/tblPiNAnalysis5[[#This Row],[Affected population projection 2026]], 0.05)), "")</f>
        <v>0.35000000000000003</v>
      </c>
      <c r="AE138" s="322">
        <f>IFERROR(MROUND(tblPiNAnalysis5[[#This Row],[CP]]/tblPiNAnalysis5[[#This Row],[Affected population projection 2026]], 0.05), "")</f>
        <v>0</v>
      </c>
      <c r="AF138" s="322">
        <f>IFERROR(MROUND(tblPiNAnalysis5[[#This Row],[GBV]]/tblPiNAnalysis5[[#This Row],[Affected population projection 2026]], 0.05), "")</f>
        <v>0</v>
      </c>
      <c r="AG138" s="322">
        <f>IFERROR(MROUND(tblPiNAnalysis5[[#This Row],[Mine Action]]/tblPiNAnalysis5[[#This Row],[Affected population projection 2026]], 0.05), "")</f>
        <v>0</v>
      </c>
      <c r="AH138" s="322">
        <f>IFERROR(MROUND(tblPiNAnalysis5[[#This Row],[HLP]]/tblPiNAnalysis5[[#This Row],[Affected population projection 2026]], 0.05), "")</f>
        <v>0</v>
      </c>
      <c r="AI138" s="325">
        <f>IFERROR(LARGE(tblPiNAnalysis5[[#This Row],[CCCM]:[WASH]], 1), "")</f>
        <v>18493.582759023877</v>
      </c>
      <c r="AJ138" s="326" t="str" cm="1">
        <f t="array" ref="AJ138">IF(tblPiNAnalysis5[[#This Row],[Highest Target]]="", "", _xlfn.TEXTJOIN(CHAR(10), TRUE, IF(tblPiNAnalysis5[[#This Row],[Highest Target]]=tblPiNAnalysis5[[#This Row],[CCCM]:[WASH]], tblPiNAnalysis5[[#Headers],[CCCM]:[WASH]], "")))</f>
        <v>WASH</v>
      </c>
      <c r="AK138" s="327">
        <f>IF(tblPiNAnalysis5[[#This Row],[Highest Target]]="", "", tblPiNAnalysis5[[#This Row],[Highest Target]]/tblPiNAnalysis5[[#This Row],[Affected population projection 2026]])</f>
        <v>0.33157578875171473</v>
      </c>
      <c r="AL138" s="328" t="str">
        <f>IF(SUM(tblPiNAnalysis5[[#This Row],[CCCM]:[WASH]])=0, "",IF(COUNTIF(tblPiNAnalysis5[[#This Row],[CCCM]:[WASH]],"=0")+COUNTIF(tblPiNAnalysis5[[#This Row],[CCCM]:[WASH]],"")&gt;=zero_pin_thresh, "Flagged", ""))</f>
        <v>Flagged</v>
      </c>
      <c r="AM138" s="329" t="str">
        <f>IFERROR(IF(tblPiNAnalysis5[[#This Row],[Highest Target]]="", "", IF(tblPiNAnalysis5[[#This Row],[Highest sector(s'') Target %]]&gt;=flag_pin_perc, "Flagged", "")), "")</f>
        <v/>
      </c>
      <c r="AN138" s="330" t="str" cm="1">
        <f t="array" ref="AN138">IF(tblPiNAnalysis5[[#This Row],[Highest Target]]=0, "",  IF(OR(COUNTIF(tblPiNAnalysis5[[#This Row],[Highest sector(s)]],tblSubSectorPopulation[Sector])), "Flagged", ""))</f>
        <v/>
      </c>
      <c r="AO138" s="46" cm="1">
        <f t="array" ref="AO13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15832.210428432456</v>
      </c>
      <c r="AP138" s="331" t="str" cm="1">
        <f t="array" ref="AP138">IF(tblPiNAnalysis5[[#This Row],[2nd Highest Target]]="", "", _xlfn.TEXTJOIN(CHAR(10), TRUE, IF(tblPiNAnalysis5[[#This Row],[2nd Highest Target]]=tblPiNAnalysis5[[#This Row],[CCCM]:[WASH]], tblPiNAnalysis5[[#Headers],[CCCM]:[WASH]], "")))</f>
        <v>Nutrition</v>
      </c>
      <c r="AQ138" s="36">
        <f>IFERROR(tblPiNAnalysis5[[#This Row],[2nd Highest Target]]/tblPiNAnalysis5[[#This Row],[Affected population projection 2026]], "")</f>
        <v>0.28385941917766594</v>
      </c>
      <c r="AR138" s="46">
        <f>IFERROR(tblPiNAnalysis5[[#This Row],[Highest Target]]-tblPiNAnalysis5[[#This Row],[2nd Highest Target]], "")</f>
        <v>2661.3723305914209</v>
      </c>
      <c r="AS138" s="39">
        <f>IFERROR(((tblPiNAnalysis5[[#This Row],[Highest Target]]-tblPiNAnalysis5[[#This Row],[2nd Highest Target]])/tblPiNAnalysis5[[#This Row],[2nd Highest Target]]),"")</f>
        <v>0.1680985951154341</v>
      </c>
      <c r="AT138" s="39" t="str" cm="1">
        <f t="array" ref="AT13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8" s="332" cm="1">
        <f t="array" ref="AU13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10590.768288016634</v>
      </c>
      <c r="AV138" s="190" t="str" cm="1">
        <f t="array" ref="AV138">IF(tblPiNAnalysis5[[#This Row],[3rd Highest Target]]="", "", _xlfn.TEXTJOIN(CHAR(10), TRUE, IF(tblPiNAnalysis5[[#This Row],[3rd Highest Target]]=tblPiNAnalysis5[[#This Row],[CCCM]:[WASH]], tblPiNAnalysis5[[#Headers],[CCCM]:[WASH]], "")))</f>
        <v>Food Security</v>
      </c>
      <c r="AW138" s="190">
        <f>IFERROR(tblPiNAnalysis5[[#This Row],[3rd Highest Target]]/tblPiNAnalysis5[[#This Row],[Affected population projection 2026]], "")</f>
        <v>0.18988437201938438</v>
      </c>
      <c r="AX138" s="45">
        <f>IFERROR(tblPiNAnalysis5[[#This Row],[Highest Target]]-tblPiNAnalysis5[[#This Row],[3rd Highest Target]],"")</f>
        <v>7902.8144710072429</v>
      </c>
      <c r="AY138" s="39">
        <f>IFERROR(tblPiNAnalysis5[[#This Row],[Difference of Target between Highest and 3rd Highest]]/tblPiNAnalysis5[[#This Row],[3rd Highest Target]], "")</f>
        <v>0.74619841130404219</v>
      </c>
      <c r="AZ138" s="330" t="str" cm="1">
        <f t="array" ref="AZ13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38" s="300" t="str" cm="1">
        <f t="array" ref="BA13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8" s="333" t="str" cm="1">
        <f t="array" ref="BB13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38" s="276" t="str" cm="1">
        <f t="array" ref="BC13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8" s="334" t="str" cm="1">
        <f t="array" ref="BD13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38" s="277" t="e">
        <f>INDEX(tblSeverityAnalysis[Final Severity], MATCH(tblPiNAnalysis5[[#This Row],[ID]],tblSeverityAnalysis[ID], 0))</f>
        <v>#N/A</v>
      </c>
      <c r="BF138" s="61" t="e">
        <f>IF(tblPiNAnalysis5[[#This Row],[Severity]]&gt;2,tblPiNAnalysis5[[#This Row],[Highest Target]],)</f>
        <v>#N/A</v>
      </c>
      <c r="BG138" s="191"/>
      <c r="BH138" s="192"/>
      <c r="BI138" s="193">
        <f>COUNTIFS(tblPiNAnalysis5[[#This Row],[Number of missing / zero PiNs greater than threshold - Data quality]:[Manual Flag]],"Flagged")</f>
        <v>2</v>
      </c>
      <c r="BJ138" s="96" t="str">
        <f>IF(tblPiNAnalysis5[[#This Row],['# Flags]]&gt;0, "Flagged", "")</f>
        <v>Flagged</v>
      </c>
      <c r="BK138" s="326" t="e">
        <f>tblPiNAnalysis5[[#This Row],[Preliminary Target]]</f>
        <v>#N/A</v>
      </c>
      <c r="BL138" s="331"/>
    </row>
    <row r="139" spans="1:64" ht="110.7" x14ac:dyDescent="0.55000000000000004">
      <c r="A1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9" s="316" t="s">
        <v>342</v>
      </c>
      <c r="C139" s="317" t="s">
        <v>343</v>
      </c>
      <c r="D139" s="317" t="s">
        <v>360</v>
      </c>
      <c r="E139" s="105" t="s">
        <v>361</v>
      </c>
      <c r="F139" s="100"/>
      <c r="G139" s="34"/>
      <c r="H139" s="34"/>
      <c r="I139" s="97">
        <v>84237.505871052446</v>
      </c>
      <c r="J139" s="97" t="s">
        <v>413</v>
      </c>
      <c r="K139" s="318">
        <v>0</v>
      </c>
      <c r="L139" s="319">
        <v>0</v>
      </c>
      <c r="M139" s="319">
        <v>0</v>
      </c>
      <c r="N139" s="319">
        <v>0</v>
      </c>
      <c r="O139" s="319">
        <v>0</v>
      </c>
      <c r="P139" s="319">
        <v>0</v>
      </c>
      <c r="Q139" s="320">
        <v>0</v>
      </c>
      <c r="R139" s="319">
        <v>0</v>
      </c>
      <c r="S139" s="319"/>
      <c r="T139" s="319"/>
      <c r="U139" s="319"/>
      <c r="V139" s="319"/>
      <c r="W139" s="321">
        <f>IFERROR(IF(tblPiNAnalysis5[[#This Row],[CCCM]]="", "", MROUND(tblPiNAnalysis5[[#This Row],[CCCM]]/tblPiNAnalysis5[[#This Row],[Affected population projection 2026]], 0.05)), "")</f>
        <v>0</v>
      </c>
      <c r="X139" s="322">
        <f>IFERROR(IF(tblPiNAnalysis5[[#This Row],[Education]]="", "", MROUND(tblPiNAnalysis5[[#This Row],[Education]]/tblPiNAnalysis5[[#This Row],[Affected population projection 2026]], 0.05)), "")</f>
        <v>0</v>
      </c>
      <c r="Y139" s="322">
        <f>IFERROR(IF(tblPiNAnalysis5[[#This Row],[Nutrition]]="", "", MROUND(tblPiNAnalysis5[[#This Row],[Nutrition]]/tblPiNAnalysis5[[#This Row],[Affected population projection 2026]], 0.05)), "")</f>
        <v>0</v>
      </c>
      <c r="Z139" s="322">
        <f>IFERROR(IF(tblPiNAnalysis5[[#This Row],[Food Security]]="", "", MROUND(tblPiNAnalysis5[[#This Row],[Food Security]]/tblPiNAnalysis5[[#This Row],[Affected population projection 2026]], 0.05)), "")</f>
        <v>0</v>
      </c>
      <c r="AA139" s="322">
        <f>IFERROR(IF(tblPiNAnalysis5[[#This Row],[Health]]="", "", MROUND(tblPiNAnalysis5[[#This Row],[Health]]/tblPiNAnalysis5[[#This Row],[Affected population projection 2026]], 0.05)), "")</f>
        <v>0</v>
      </c>
      <c r="AB139" s="323">
        <f>IFERROR(IF(tblPiNAnalysis5[[#This Row],[Overarching Protection]]="", "", MROUND(tblPiNAnalysis5[[#This Row],[Overarching Protection]]/tblPiNAnalysis5[[#This Row],[Affected population projection 2026]], 0.05)), "")</f>
        <v>0</v>
      </c>
      <c r="AC139" s="323">
        <f>IFERROR(IF(tblPiNAnalysis5[[#This Row],[Shelter]]="", "", MROUND(tblPiNAnalysis5[[#This Row],[Shelter]]/tblPiNAnalysis5[[#This Row],[Affected population projection 2026]], 0.05)), "")</f>
        <v>0</v>
      </c>
      <c r="AD139" s="324">
        <f>IFERROR(IF(tblPiNAnalysis5[[#This Row],[WASH]]="", "", MROUND(tblPiNAnalysis5[[#This Row],[WASH]]/tblPiNAnalysis5[[#This Row],[Affected population projection 2026]], 0.05)), "")</f>
        <v>0</v>
      </c>
      <c r="AE139" s="322">
        <f>IFERROR(MROUND(tblPiNAnalysis5[[#This Row],[CP]]/tblPiNAnalysis5[[#This Row],[Affected population projection 2026]], 0.05), "")</f>
        <v>0</v>
      </c>
      <c r="AF139" s="322">
        <f>IFERROR(MROUND(tblPiNAnalysis5[[#This Row],[GBV]]/tblPiNAnalysis5[[#This Row],[Affected population projection 2026]], 0.05), "")</f>
        <v>0</v>
      </c>
      <c r="AG139" s="322">
        <f>IFERROR(MROUND(tblPiNAnalysis5[[#This Row],[Mine Action]]/tblPiNAnalysis5[[#This Row],[Affected population projection 2026]], 0.05), "")</f>
        <v>0</v>
      </c>
      <c r="AH139" s="322">
        <f>IFERROR(MROUND(tblPiNAnalysis5[[#This Row],[HLP]]/tblPiNAnalysis5[[#This Row],[Affected population projection 2026]], 0.05), "")</f>
        <v>0</v>
      </c>
      <c r="AI139" s="325">
        <f>IFERROR(LARGE(tblPiNAnalysis5[[#This Row],[CCCM]:[WASH]], 1), "")</f>
        <v>0</v>
      </c>
      <c r="AJ139" s="326" t="str" cm="1">
        <f t="array" ref="AJ139">IF(tblPiNAnalysis5[[#This Row],[Highest Target]]="", "", _xlfn.TEXTJOIN(CHAR(10), TRUE, IF(tblPiNAnalysis5[[#This Row],[Highest Target]]=tblPiNAnalysis5[[#This Row],[CCCM]:[WASH]], tblPiNAnalysis5[[#Headers],[CCCM]:[WASH]], "")))</f>
        <v>CCCM
Education
Nutrition
Food Security
Health
Overarching Protection
Shelter
WASH</v>
      </c>
      <c r="AK139" s="327">
        <f>IF(tblPiNAnalysis5[[#This Row],[Highest Target]]="", "", tblPiNAnalysis5[[#This Row],[Highest Target]]/tblPiNAnalysis5[[#This Row],[Affected population projection 2026]])</f>
        <v>0</v>
      </c>
      <c r="AL139" s="328" t="str">
        <f>IF(SUM(tblPiNAnalysis5[[#This Row],[CCCM]:[WASH]])=0, "",IF(COUNTIF(tblPiNAnalysis5[[#This Row],[CCCM]:[WASH]],"=0")+COUNTIF(tblPiNAnalysis5[[#This Row],[CCCM]:[WASH]],"")&gt;=zero_pin_thresh, "Flagged", ""))</f>
        <v/>
      </c>
      <c r="AM139" s="329" t="str">
        <f>IFERROR(IF(tblPiNAnalysis5[[#This Row],[Highest Target]]="", "", IF(tblPiNAnalysis5[[#This Row],[Highest sector(s'') Target %]]&gt;=flag_pin_perc, "Flagged", "")), "")</f>
        <v/>
      </c>
      <c r="AN139" s="330" t="str" cm="1">
        <f t="array" ref="AN139">IF(tblPiNAnalysis5[[#This Row],[Highest Target]]=0, "",  IF(OR(COUNTIF(tblPiNAnalysis5[[#This Row],[Highest sector(s)]],tblSubSectorPopulation[Sector])), "Flagged", ""))</f>
        <v/>
      </c>
      <c r="AO139" s="46" cm="1">
        <f t="array" ref="AO13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39" s="331" t="str" cm="1">
        <f t="array" ref="AP139">IF(tblPiNAnalysis5[[#This Row],[2nd Highest Target]]="", "", _xlfn.TEXTJOIN(CHAR(10), TRUE, IF(tblPiNAnalysis5[[#This Row],[2nd Highest Target]]=tblPiNAnalysis5[[#This Row],[CCCM]:[WASH]], tblPiNAnalysis5[[#Headers],[CCCM]:[WASH]], "")))</f>
        <v>CCCM
Education
Nutrition
Food Security
Health
Overarching Protection
Shelter
WASH</v>
      </c>
      <c r="AQ139" s="36">
        <f>IFERROR(tblPiNAnalysis5[[#This Row],[2nd Highest Target]]/tblPiNAnalysis5[[#This Row],[Affected population projection 2026]], "")</f>
        <v>0</v>
      </c>
      <c r="AR139" s="46">
        <f>IFERROR(tblPiNAnalysis5[[#This Row],[Highest Target]]-tblPiNAnalysis5[[#This Row],[2nd Highest Target]], "")</f>
        <v>0</v>
      </c>
      <c r="AS139" s="39" t="str">
        <f>IFERROR(((tblPiNAnalysis5[[#This Row],[Highest Target]]-tblPiNAnalysis5[[#This Row],[2nd Highest Target]])/tblPiNAnalysis5[[#This Row],[2nd Highest Target]]),"")</f>
        <v/>
      </c>
      <c r="AT139" s="39" t="str" cm="1">
        <f t="array" ref="AT13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39" s="332" cm="1">
        <f t="array" ref="AU13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39" s="190" t="str" cm="1">
        <f t="array" ref="AV139">IF(tblPiNAnalysis5[[#This Row],[3rd Highest Target]]="", "", _xlfn.TEXTJOIN(CHAR(10), TRUE, IF(tblPiNAnalysis5[[#This Row],[3rd Highest Target]]=tblPiNAnalysis5[[#This Row],[CCCM]:[WASH]], tblPiNAnalysis5[[#Headers],[CCCM]:[WASH]], "")))</f>
        <v>CCCM
Education
Nutrition
Food Security
Health
Overarching Protection
Shelter
WASH</v>
      </c>
      <c r="AW139" s="190">
        <f>IFERROR(tblPiNAnalysis5[[#This Row],[3rd Highest Target]]/tblPiNAnalysis5[[#This Row],[Affected population projection 2026]], "")</f>
        <v>0</v>
      </c>
      <c r="AX139" s="45">
        <f>IFERROR(tblPiNAnalysis5[[#This Row],[Highest Target]]-tblPiNAnalysis5[[#This Row],[3rd Highest Target]],"")</f>
        <v>0</v>
      </c>
      <c r="AY139" s="39" t="str">
        <f>IFERROR(tblPiNAnalysis5[[#This Row],[Difference of Target between Highest and 3rd Highest]]/tblPiNAnalysis5[[#This Row],[3rd Highest Target]], "")</f>
        <v/>
      </c>
      <c r="AZ139" s="330" t="str" cm="1">
        <f t="array" ref="AZ13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39" s="300" t="str" cm="1">
        <f t="array" ref="BA13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39" s="333" t="str" cm="1">
        <f t="array" ref="BB13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39" s="276" t="str" cm="1">
        <f t="array" ref="BC13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39" s="334" t="str" cm="1">
        <f t="array" ref="BD13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39" s="277" t="e">
        <f>INDEX(tblSeverityAnalysis[Final Severity], MATCH(tblPiNAnalysis5[[#This Row],[ID]],tblSeverityAnalysis[ID], 0))</f>
        <v>#N/A</v>
      </c>
      <c r="BF139" s="61" t="e">
        <f>IF(tblPiNAnalysis5[[#This Row],[Severity]]&gt;2,tblPiNAnalysis5[[#This Row],[Highest Target]],)</f>
        <v>#N/A</v>
      </c>
      <c r="BG139" s="191"/>
      <c r="BH139" s="192"/>
      <c r="BI139" s="193">
        <f>COUNTIFS(tblPiNAnalysis5[[#This Row],[Number of missing / zero PiNs greater than threshold - Data quality]:[Manual Flag]],"Flagged")</f>
        <v>2</v>
      </c>
      <c r="BJ139" s="96" t="str">
        <f>IF(tblPiNAnalysis5[[#This Row],['# Flags]]&gt;0, "Flagged", "")</f>
        <v>Flagged</v>
      </c>
      <c r="BK139" s="326" t="e">
        <f>tblPiNAnalysis5[[#This Row],[Preliminary Target]]</f>
        <v>#N/A</v>
      </c>
      <c r="BL139" s="331"/>
    </row>
    <row r="140" spans="1:64" x14ac:dyDescent="0.55000000000000004">
      <c r="A1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0" s="316" t="s">
        <v>342</v>
      </c>
      <c r="C140" s="317" t="s">
        <v>343</v>
      </c>
      <c r="D140" s="317" t="s">
        <v>362</v>
      </c>
      <c r="E140" s="105" t="s">
        <v>363</v>
      </c>
      <c r="F140" s="100"/>
      <c r="G140" s="34"/>
      <c r="H140" s="34"/>
      <c r="I140" s="97">
        <v>39623.047823684894</v>
      </c>
      <c r="J140" s="97" t="s">
        <v>413</v>
      </c>
      <c r="K140" s="318">
        <v>0</v>
      </c>
      <c r="L140" s="319">
        <v>983.18808209491817</v>
      </c>
      <c r="M140" s="319">
        <v>14542.847759831051</v>
      </c>
      <c r="N140" s="319">
        <v>19387.85393590376</v>
      </c>
      <c r="O140" s="319">
        <v>21678.646543710714</v>
      </c>
      <c r="P140" s="319">
        <v>6242.1147088434927</v>
      </c>
      <c r="Q140" s="320">
        <v>524.56444217331159</v>
      </c>
      <c r="R140" s="319">
        <v>36102.818368274864</v>
      </c>
      <c r="S140" s="319"/>
      <c r="T140" s="319"/>
      <c r="U140" s="319"/>
      <c r="V140" s="319"/>
      <c r="W140" s="321">
        <f>IFERROR(IF(tblPiNAnalysis5[[#This Row],[CCCM]]="", "", MROUND(tblPiNAnalysis5[[#This Row],[CCCM]]/tblPiNAnalysis5[[#This Row],[Affected population projection 2026]], 0.05)), "")</f>
        <v>0</v>
      </c>
      <c r="X140" s="322">
        <f>IFERROR(IF(tblPiNAnalysis5[[#This Row],[Education]]="", "", MROUND(tblPiNAnalysis5[[#This Row],[Education]]/tblPiNAnalysis5[[#This Row],[Affected population projection 2026]], 0.05)), "")</f>
        <v>0</v>
      </c>
      <c r="Y140" s="322">
        <f>IFERROR(IF(tblPiNAnalysis5[[#This Row],[Nutrition]]="", "", MROUND(tblPiNAnalysis5[[#This Row],[Nutrition]]/tblPiNAnalysis5[[#This Row],[Affected population projection 2026]], 0.05)), "")</f>
        <v>0.35000000000000003</v>
      </c>
      <c r="Z140" s="322">
        <f>IFERROR(IF(tblPiNAnalysis5[[#This Row],[Food Security]]="", "", MROUND(tblPiNAnalysis5[[#This Row],[Food Security]]/tblPiNAnalysis5[[#This Row],[Affected population projection 2026]], 0.05)), "")</f>
        <v>0.5</v>
      </c>
      <c r="AA140" s="322">
        <f>IFERROR(IF(tblPiNAnalysis5[[#This Row],[Health]]="", "", MROUND(tblPiNAnalysis5[[#This Row],[Health]]/tblPiNAnalysis5[[#This Row],[Affected population projection 2026]], 0.05)), "")</f>
        <v>0.55000000000000004</v>
      </c>
      <c r="AB140" s="323">
        <f>IFERROR(IF(tblPiNAnalysis5[[#This Row],[Overarching Protection]]="", "", MROUND(tblPiNAnalysis5[[#This Row],[Overarching Protection]]/tblPiNAnalysis5[[#This Row],[Affected population projection 2026]], 0.05)), "")</f>
        <v>0.15000000000000002</v>
      </c>
      <c r="AC140" s="323">
        <f>IFERROR(IF(tblPiNAnalysis5[[#This Row],[Shelter]]="", "", MROUND(tblPiNAnalysis5[[#This Row],[Shelter]]/tblPiNAnalysis5[[#This Row],[Affected population projection 2026]], 0.05)), "")</f>
        <v>0</v>
      </c>
      <c r="AD140" s="324">
        <f>IFERROR(IF(tblPiNAnalysis5[[#This Row],[WASH]]="", "", MROUND(tblPiNAnalysis5[[#This Row],[WASH]]/tblPiNAnalysis5[[#This Row],[Affected population projection 2026]], 0.05)), "")</f>
        <v>0.9</v>
      </c>
      <c r="AE140" s="322">
        <f>IFERROR(MROUND(tblPiNAnalysis5[[#This Row],[CP]]/tblPiNAnalysis5[[#This Row],[Affected population projection 2026]], 0.05), "")</f>
        <v>0</v>
      </c>
      <c r="AF140" s="322">
        <f>IFERROR(MROUND(tblPiNAnalysis5[[#This Row],[GBV]]/tblPiNAnalysis5[[#This Row],[Affected population projection 2026]], 0.05), "")</f>
        <v>0</v>
      </c>
      <c r="AG140" s="322">
        <f>IFERROR(MROUND(tblPiNAnalysis5[[#This Row],[Mine Action]]/tblPiNAnalysis5[[#This Row],[Affected population projection 2026]], 0.05), "")</f>
        <v>0</v>
      </c>
      <c r="AH140" s="322">
        <f>IFERROR(MROUND(tblPiNAnalysis5[[#This Row],[HLP]]/tblPiNAnalysis5[[#This Row],[Affected population projection 2026]], 0.05), "")</f>
        <v>0</v>
      </c>
      <c r="AI140" s="325">
        <f>IFERROR(LARGE(tblPiNAnalysis5[[#This Row],[CCCM]:[WASH]], 1), "")</f>
        <v>36102.818368274864</v>
      </c>
      <c r="AJ140" s="326" t="str" cm="1">
        <f t="array" ref="AJ140">IF(tblPiNAnalysis5[[#This Row],[Highest Target]]="", "", _xlfn.TEXTJOIN(CHAR(10), TRUE, IF(tblPiNAnalysis5[[#This Row],[Highest Target]]=tblPiNAnalysis5[[#This Row],[CCCM]:[WASH]], tblPiNAnalysis5[[#Headers],[CCCM]:[WASH]], "")))</f>
        <v>WASH</v>
      </c>
      <c r="AK140" s="327">
        <f>IF(tblPiNAnalysis5[[#This Row],[Highest Target]]="", "", tblPiNAnalysis5[[#This Row],[Highest Target]]/tblPiNAnalysis5[[#This Row],[Affected population projection 2026]])</f>
        <v>0.91115702479338823</v>
      </c>
      <c r="AL140" s="328" t="str">
        <f>IF(SUM(tblPiNAnalysis5[[#This Row],[CCCM]:[WASH]])=0, "",IF(COUNTIF(tblPiNAnalysis5[[#This Row],[CCCM]:[WASH]],"=0")+COUNTIF(tblPiNAnalysis5[[#This Row],[CCCM]:[WASH]],"")&gt;=zero_pin_thresh, "Flagged", ""))</f>
        <v/>
      </c>
      <c r="AM140" s="329" t="str">
        <f>IFERROR(IF(tblPiNAnalysis5[[#This Row],[Highest Target]]="", "", IF(tblPiNAnalysis5[[#This Row],[Highest sector(s'') Target %]]&gt;=flag_pin_perc, "Flagged", "")), "")</f>
        <v>Flagged</v>
      </c>
      <c r="AN140" s="330" t="str" cm="1">
        <f t="array" ref="AN140">IF(tblPiNAnalysis5[[#This Row],[Highest Target]]=0, "",  IF(OR(COUNTIF(tblPiNAnalysis5[[#This Row],[Highest sector(s)]],tblSubSectorPopulation[Sector])), "Flagged", ""))</f>
        <v/>
      </c>
      <c r="AO140" s="46" cm="1">
        <f t="array" ref="AO14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21678.646543710714</v>
      </c>
      <c r="AP140" s="331" t="str" cm="1">
        <f t="array" ref="AP140">IF(tblPiNAnalysis5[[#This Row],[2nd Highest Target]]="", "", _xlfn.TEXTJOIN(CHAR(10), TRUE, IF(tblPiNAnalysis5[[#This Row],[2nd Highest Target]]=tblPiNAnalysis5[[#This Row],[CCCM]:[WASH]], tblPiNAnalysis5[[#Headers],[CCCM]:[WASH]], "")))</f>
        <v>Health</v>
      </c>
      <c r="AQ140" s="36">
        <f>IFERROR(tblPiNAnalysis5[[#This Row],[2nd Highest Target]]/tblPiNAnalysis5[[#This Row],[Affected population projection 2026]], "")</f>
        <v>0.54712213558574829</v>
      </c>
      <c r="AR140" s="46">
        <f>IFERROR(tblPiNAnalysis5[[#This Row],[Highest Target]]-tblPiNAnalysis5[[#This Row],[2nd Highest Target]], "")</f>
        <v>14424.17182456415</v>
      </c>
      <c r="AS140" s="39">
        <f>IFERROR(((tblPiNAnalysis5[[#This Row],[Highest Target]]-tblPiNAnalysis5[[#This Row],[2nd Highest Target]])/tblPiNAnalysis5[[#This Row],[2nd Highest Target]]),"")</f>
        <v>0.66536311644182455</v>
      </c>
      <c r="AT140" s="39" t="str" cm="1">
        <f t="array" ref="AT14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40" s="332" cm="1">
        <f t="array" ref="AU14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19387.85393590376</v>
      </c>
      <c r="AV140" s="190" t="str" cm="1">
        <f t="array" ref="AV140">IF(tblPiNAnalysis5[[#This Row],[3rd Highest Target]]="", "", _xlfn.TEXTJOIN(CHAR(10), TRUE, IF(tblPiNAnalysis5[[#This Row],[3rd Highest Target]]=tblPiNAnalysis5[[#This Row],[CCCM]:[WASH]], tblPiNAnalysis5[[#Headers],[CCCM]:[WASH]], "")))</f>
        <v>Food Security</v>
      </c>
      <c r="AW140" s="190">
        <f>IFERROR(tblPiNAnalysis5[[#This Row],[3rd Highest Target]]/tblPiNAnalysis5[[#This Row],[Affected population projection 2026]], "")</f>
        <v>0.48930748644516348</v>
      </c>
      <c r="AX140" s="45">
        <f>IFERROR(tblPiNAnalysis5[[#This Row],[Highest Target]]-tblPiNAnalysis5[[#This Row],[3rd Highest Target]],"")</f>
        <v>16714.964432371104</v>
      </c>
      <c r="AY140" s="39">
        <f>IFERROR(tblPiNAnalysis5[[#This Row],[Difference of Target between Highest and 3rd Highest]]/tblPiNAnalysis5[[#This Row],[3rd Highest Target]], "")</f>
        <v>0.86213587577205664</v>
      </c>
      <c r="AZ140" s="330" t="str" cm="1">
        <f t="array" ref="AZ14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40" s="300" t="str" cm="1">
        <f t="array" ref="BA14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0" s="333" t="str" cm="1">
        <f t="array" ref="BB14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0" s="276" t="str" cm="1">
        <f t="array" ref="BC14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0" s="334" t="str" cm="1">
        <f t="array" ref="BD14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0" s="277" t="e">
        <f>INDEX(tblSeverityAnalysis[Final Severity], MATCH(tblPiNAnalysis5[[#This Row],[ID]],tblSeverityAnalysis[ID], 0))</f>
        <v>#N/A</v>
      </c>
      <c r="BF140" s="61" t="e">
        <f>IF(tblPiNAnalysis5[[#This Row],[Severity]]&gt;2,tblPiNAnalysis5[[#This Row],[Highest Target]],)</f>
        <v>#N/A</v>
      </c>
      <c r="BG140" s="191"/>
      <c r="BH140" s="192"/>
      <c r="BI140" s="193">
        <f>COUNTIFS(tblPiNAnalysis5[[#This Row],[Number of missing / zero PiNs greater than threshold - Data quality]:[Manual Flag]],"Flagged")</f>
        <v>4</v>
      </c>
      <c r="BJ140" s="96" t="str">
        <f>IF(tblPiNAnalysis5[[#This Row],['# Flags]]&gt;0, "Flagged", "")</f>
        <v>Flagged</v>
      </c>
      <c r="BK140" s="326" t="e">
        <f>tblPiNAnalysis5[[#This Row],[Preliminary Target]]</f>
        <v>#N/A</v>
      </c>
      <c r="BL140" s="331"/>
    </row>
    <row r="141" spans="1:64" ht="24.6" x14ac:dyDescent="0.55000000000000004">
      <c r="A1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1" s="316" t="s">
        <v>342</v>
      </c>
      <c r="C141" s="317" t="s">
        <v>343</v>
      </c>
      <c r="D141" s="317" t="s">
        <v>364</v>
      </c>
      <c r="E141" s="105" t="s">
        <v>365</v>
      </c>
      <c r="F141" s="100"/>
      <c r="G141" s="34"/>
      <c r="H141" s="34"/>
      <c r="I141" s="97">
        <v>208923.05518722511</v>
      </c>
      <c r="J141" s="97" t="s">
        <v>413</v>
      </c>
      <c r="K141" s="318">
        <v>0</v>
      </c>
      <c r="L141" s="319">
        <v>11479.277267262083</v>
      </c>
      <c r="M141" s="319">
        <v>44737.272451447789</v>
      </c>
      <c r="N141" s="319">
        <v>75445.052504270585</v>
      </c>
      <c r="O141" s="319">
        <v>61798.27326851344</v>
      </c>
      <c r="P141" s="319">
        <v>25189.796399707979</v>
      </c>
      <c r="Q141" s="320">
        <v>1319.5140327614217</v>
      </c>
      <c r="R141" s="319">
        <v>41447.869487589072</v>
      </c>
      <c r="S141" s="319"/>
      <c r="T141" s="319"/>
      <c r="U141" s="319"/>
      <c r="V141" s="319"/>
      <c r="W141" s="321">
        <f>IFERROR(IF(tblPiNAnalysis5[[#This Row],[CCCM]]="", "", MROUND(tblPiNAnalysis5[[#This Row],[CCCM]]/tblPiNAnalysis5[[#This Row],[Affected population projection 2026]], 0.05)), "")</f>
        <v>0</v>
      </c>
      <c r="X141" s="322">
        <f>IFERROR(IF(tblPiNAnalysis5[[#This Row],[Education]]="", "", MROUND(tblPiNAnalysis5[[#This Row],[Education]]/tblPiNAnalysis5[[#This Row],[Affected population projection 2026]], 0.05)), "")</f>
        <v>0.05</v>
      </c>
      <c r="Y141" s="322">
        <f>IFERROR(IF(tblPiNAnalysis5[[#This Row],[Nutrition]]="", "", MROUND(tblPiNAnalysis5[[#This Row],[Nutrition]]/tblPiNAnalysis5[[#This Row],[Affected population projection 2026]], 0.05)), "")</f>
        <v>0.2</v>
      </c>
      <c r="Z141" s="322">
        <f>IFERROR(IF(tblPiNAnalysis5[[#This Row],[Food Security]]="", "", MROUND(tblPiNAnalysis5[[#This Row],[Food Security]]/tblPiNAnalysis5[[#This Row],[Affected population projection 2026]], 0.05)), "")</f>
        <v>0.35000000000000003</v>
      </c>
      <c r="AA141" s="322">
        <f>IFERROR(IF(tblPiNAnalysis5[[#This Row],[Health]]="", "", MROUND(tblPiNAnalysis5[[#This Row],[Health]]/tblPiNAnalysis5[[#This Row],[Affected population projection 2026]], 0.05)), "")</f>
        <v>0.30000000000000004</v>
      </c>
      <c r="AB141" s="323">
        <f>IFERROR(IF(tblPiNAnalysis5[[#This Row],[Overarching Protection]]="", "", MROUND(tblPiNAnalysis5[[#This Row],[Overarching Protection]]/tblPiNAnalysis5[[#This Row],[Affected population projection 2026]], 0.05)), "")</f>
        <v>0.1</v>
      </c>
      <c r="AC141" s="323">
        <f>IFERROR(IF(tblPiNAnalysis5[[#This Row],[Shelter]]="", "", MROUND(tblPiNAnalysis5[[#This Row],[Shelter]]/tblPiNAnalysis5[[#This Row],[Affected population projection 2026]], 0.05)), "")</f>
        <v>0</v>
      </c>
      <c r="AD141" s="324">
        <f>IFERROR(IF(tblPiNAnalysis5[[#This Row],[WASH]]="", "", MROUND(tblPiNAnalysis5[[#This Row],[WASH]]/tblPiNAnalysis5[[#This Row],[Affected population projection 2026]], 0.05)), "")</f>
        <v>0.2</v>
      </c>
      <c r="AE141" s="322">
        <f>IFERROR(MROUND(tblPiNAnalysis5[[#This Row],[CP]]/tblPiNAnalysis5[[#This Row],[Affected population projection 2026]], 0.05), "")</f>
        <v>0</v>
      </c>
      <c r="AF141" s="322">
        <f>IFERROR(MROUND(tblPiNAnalysis5[[#This Row],[GBV]]/tblPiNAnalysis5[[#This Row],[Affected population projection 2026]], 0.05), "")</f>
        <v>0</v>
      </c>
      <c r="AG141" s="322">
        <f>IFERROR(MROUND(tblPiNAnalysis5[[#This Row],[Mine Action]]/tblPiNAnalysis5[[#This Row],[Affected population projection 2026]], 0.05), "")</f>
        <v>0</v>
      </c>
      <c r="AH141" s="322">
        <f>IFERROR(MROUND(tblPiNAnalysis5[[#This Row],[HLP]]/tblPiNAnalysis5[[#This Row],[Affected population projection 2026]], 0.05), "")</f>
        <v>0</v>
      </c>
      <c r="AI141" s="325">
        <f>IFERROR(LARGE(tblPiNAnalysis5[[#This Row],[CCCM]:[WASH]], 1), "")</f>
        <v>75445.052504270585</v>
      </c>
      <c r="AJ141" s="326" t="str" cm="1">
        <f t="array" ref="AJ141">IF(tblPiNAnalysis5[[#This Row],[Highest Target]]="", "", _xlfn.TEXTJOIN(CHAR(10), TRUE, IF(tblPiNAnalysis5[[#This Row],[Highest Target]]=tblPiNAnalysis5[[#This Row],[CCCM]:[WASH]], tblPiNAnalysis5[[#Headers],[CCCM]:[WASH]], "")))</f>
        <v>Food Security</v>
      </c>
      <c r="AK141" s="327">
        <f>IF(tblPiNAnalysis5[[#This Row],[Highest Target]]="", "", tblPiNAnalysis5[[#This Row],[Highest Target]]/tblPiNAnalysis5[[#This Row],[Affected population projection 2026]])</f>
        <v>0.3611140591289026</v>
      </c>
      <c r="AL141" s="328" t="str">
        <f>IF(SUM(tblPiNAnalysis5[[#This Row],[CCCM]:[WASH]])=0, "",IF(COUNTIF(tblPiNAnalysis5[[#This Row],[CCCM]:[WASH]],"=0")+COUNTIF(tblPiNAnalysis5[[#This Row],[CCCM]:[WASH]],"")&gt;=zero_pin_thresh, "Flagged", ""))</f>
        <v/>
      </c>
      <c r="AM141" s="329" t="str">
        <f>IFERROR(IF(tblPiNAnalysis5[[#This Row],[Highest Target]]="", "", IF(tblPiNAnalysis5[[#This Row],[Highest sector(s'') Target %]]&gt;=flag_pin_perc, "Flagged", "")), "")</f>
        <v/>
      </c>
      <c r="AN141" s="330" t="str" cm="1">
        <f t="array" ref="AN141">IF(tblPiNAnalysis5[[#This Row],[Highest Target]]=0, "",  IF(OR(COUNTIF(tblPiNAnalysis5[[#This Row],[Highest sector(s)]],tblSubSectorPopulation[Sector])), "Flagged", ""))</f>
        <v/>
      </c>
      <c r="AO141" s="46" cm="1">
        <f t="array" ref="AO14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61798.27326851344</v>
      </c>
      <c r="AP141" s="331" t="str" cm="1">
        <f t="array" ref="AP141">IF(tblPiNAnalysis5[[#This Row],[2nd Highest Target]]="", "", _xlfn.TEXTJOIN(CHAR(10), TRUE, IF(tblPiNAnalysis5[[#This Row],[2nd Highest Target]]=tblPiNAnalysis5[[#This Row],[CCCM]:[WASH]], tblPiNAnalysis5[[#Headers],[CCCM]:[WASH]], "")))</f>
        <v>Health</v>
      </c>
      <c r="AQ141" s="36">
        <f>IFERROR(tblPiNAnalysis5[[#This Row],[2nd Highest Target]]/tblPiNAnalysis5[[#This Row],[Affected population projection 2026]], "")</f>
        <v>0.29579441681595792</v>
      </c>
      <c r="AR141" s="46">
        <f>IFERROR(tblPiNAnalysis5[[#This Row],[Highest Target]]-tblPiNAnalysis5[[#This Row],[2nd Highest Target]], "")</f>
        <v>13646.779235757145</v>
      </c>
      <c r="AS141" s="39">
        <f>IFERROR(((tblPiNAnalysis5[[#This Row],[Highest Target]]-tblPiNAnalysis5[[#This Row],[2nd Highest Target]])/tblPiNAnalysis5[[#This Row],[2nd Highest Target]]),"")</f>
        <v>0.22082784055246824</v>
      </c>
      <c r="AT141" s="39" t="str" cm="1">
        <f t="array" ref="AT14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1" s="332" cm="1">
        <f t="array" ref="AU14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44737.272451447789</v>
      </c>
      <c r="AV141" s="190" t="str" cm="1">
        <f t="array" ref="AV141">IF(tblPiNAnalysis5[[#This Row],[3rd Highest Target]]="", "", _xlfn.TEXTJOIN(CHAR(10), TRUE, IF(tblPiNAnalysis5[[#This Row],[3rd Highest Target]]=tblPiNAnalysis5[[#This Row],[CCCM]:[WASH]], tblPiNAnalysis5[[#Headers],[CCCM]:[WASH]], "")))</f>
        <v>Nutrition</v>
      </c>
      <c r="AW141" s="190">
        <f>IFERROR(tblPiNAnalysis5[[#This Row],[3rd Highest Target]]/tblPiNAnalysis5[[#This Row],[Affected population projection 2026]], "")</f>
        <v>0.21413276965223754</v>
      </c>
      <c r="AX141" s="45">
        <f>IFERROR(tblPiNAnalysis5[[#This Row],[Highest Target]]-tblPiNAnalysis5[[#This Row],[3rd Highest Target]],"")</f>
        <v>30707.780052822796</v>
      </c>
      <c r="AY141" s="39">
        <f>IFERROR(tblPiNAnalysis5[[#This Row],[Difference of Target between Highest and 3rd Highest]]/tblPiNAnalysis5[[#This Row],[3rd Highest Target]], "")</f>
        <v>0.68640259832892492</v>
      </c>
      <c r="AZ141" s="330" t="str" cm="1">
        <f t="array" ref="AZ14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41" s="300" t="str" cm="1">
        <f t="array" ref="BA14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1" s="333" t="str" cm="1">
        <f t="array" ref="BB14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1" s="276" t="str" cm="1">
        <f t="array" ref="BC14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1" s="334" t="str" cm="1">
        <f t="array" ref="BD14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1" s="277" t="e">
        <f>INDEX(tblSeverityAnalysis[Final Severity], MATCH(tblPiNAnalysis5[[#This Row],[ID]],tblSeverityAnalysis[ID], 0))</f>
        <v>#N/A</v>
      </c>
      <c r="BF141" s="61" t="e">
        <f>IF(tblPiNAnalysis5[[#This Row],[Severity]]&gt;2,tblPiNAnalysis5[[#This Row],[Highest Target]],)</f>
        <v>#N/A</v>
      </c>
      <c r="BG141" s="191"/>
      <c r="BH141" s="192"/>
      <c r="BI141" s="193">
        <f>COUNTIFS(tblPiNAnalysis5[[#This Row],[Number of missing / zero PiNs greater than threshold - Data quality]:[Manual Flag]],"Flagged")</f>
        <v>2</v>
      </c>
      <c r="BJ141" s="96" t="str">
        <f>IF(tblPiNAnalysis5[[#This Row],['# Flags]]&gt;0, "Flagged", "")</f>
        <v>Flagged</v>
      </c>
      <c r="BK141" s="326" t="e">
        <f>tblPiNAnalysis5[[#This Row],[Preliminary Target]]</f>
        <v>#N/A</v>
      </c>
      <c r="BL141" s="331"/>
    </row>
    <row r="142" spans="1:64" x14ac:dyDescent="0.55000000000000004">
      <c r="A1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2" s="316" t="s">
        <v>342</v>
      </c>
      <c r="C142" s="317" t="s">
        <v>343</v>
      </c>
      <c r="D142" s="317" t="s">
        <v>366</v>
      </c>
      <c r="E142" s="105" t="s">
        <v>367</v>
      </c>
      <c r="F142" s="100"/>
      <c r="G142" s="34"/>
      <c r="H142" s="34"/>
      <c r="I142" s="97">
        <v>68673.985334433135</v>
      </c>
      <c r="J142" s="97" t="s">
        <v>413</v>
      </c>
      <c r="K142" s="318">
        <v>0</v>
      </c>
      <c r="L142" s="319">
        <v>8923.7723502975805</v>
      </c>
      <c r="M142" s="319">
        <v>18074.431865468745</v>
      </c>
      <c r="N142" s="319">
        <v>35395.248476159017</v>
      </c>
      <c r="O142" s="319">
        <v>39845.83337107399</v>
      </c>
      <c r="P142" s="319">
        <v>5613.2896646893314</v>
      </c>
      <c r="Q142" s="320">
        <v>894.05754491997868</v>
      </c>
      <c r="R142" s="319">
        <v>51505.489000824855</v>
      </c>
      <c r="S142" s="319"/>
      <c r="T142" s="319"/>
      <c r="U142" s="319"/>
      <c r="V142" s="319"/>
      <c r="W142" s="321">
        <f>IFERROR(IF(tblPiNAnalysis5[[#This Row],[CCCM]]="", "", MROUND(tblPiNAnalysis5[[#This Row],[CCCM]]/tblPiNAnalysis5[[#This Row],[Affected population projection 2026]], 0.05)), "")</f>
        <v>0</v>
      </c>
      <c r="X142" s="322">
        <f>IFERROR(IF(tblPiNAnalysis5[[#This Row],[Education]]="", "", MROUND(tblPiNAnalysis5[[#This Row],[Education]]/tblPiNAnalysis5[[#This Row],[Affected population projection 2026]], 0.05)), "")</f>
        <v>0.15000000000000002</v>
      </c>
      <c r="Y142" s="322">
        <f>IFERROR(IF(tblPiNAnalysis5[[#This Row],[Nutrition]]="", "", MROUND(tblPiNAnalysis5[[#This Row],[Nutrition]]/tblPiNAnalysis5[[#This Row],[Affected population projection 2026]], 0.05)), "")</f>
        <v>0.25</v>
      </c>
      <c r="Z142" s="322">
        <f>IFERROR(IF(tblPiNAnalysis5[[#This Row],[Food Security]]="", "", MROUND(tblPiNAnalysis5[[#This Row],[Food Security]]/tblPiNAnalysis5[[#This Row],[Affected population projection 2026]], 0.05)), "")</f>
        <v>0.5</v>
      </c>
      <c r="AA142" s="322">
        <f>IFERROR(IF(tblPiNAnalysis5[[#This Row],[Health]]="", "", MROUND(tblPiNAnalysis5[[#This Row],[Health]]/tblPiNAnalysis5[[#This Row],[Affected population projection 2026]], 0.05)), "")</f>
        <v>0.60000000000000009</v>
      </c>
      <c r="AB142" s="323">
        <f>IFERROR(IF(tblPiNAnalysis5[[#This Row],[Overarching Protection]]="", "", MROUND(tblPiNAnalysis5[[#This Row],[Overarching Protection]]/tblPiNAnalysis5[[#This Row],[Affected population projection 2026]], 0.05)), "")</f>
        <v>0.1</v>
      </c>
      <c r="AC142" s="323">
        <f>IFERROR(IF(tblPiNAnalysis5[[#This Row],[Shelter]]="", "", MROUND(tblPiNAnalysis5[[#This Row],[Shelter]]/tblPiNAnalysis5[[#This Row],[Affected population projection 2026]], 0.05)), "")</f>
        <v>0</v>
      </c>
      <c r="AD142" s="324">
        <f>IFERROR(IF(tblPiNAnalysis5[[#This Row],[WASH]]="", "", MROUND(tblPiNAnalysis5[[#This Row],[WASH]]/tblPiNAnalysis5[[#This Row],[Affected population projection 2026]], 0.05)), "")</f>
        <v>0.75</v>
      </c>
      <c r="AE142" s="322">
        <f>IFERROR(MROUND(tblPiNAnalysis5[[#This Row],[CP]]/tblPiNAnalysis5[[#This Row],[Affected population projection 2026]], 0.05), "")</f>
        <v>0</v>
      </c>
      <c r="AF142" s="322">
        <f>IFERROR(MROUND(tblPiNAnalysis5[[#This Row],[GBV]]/tblPiNAnalysis5[[#This Row],[Affected population projection 2026]], 0.05), "")</f>
        <v>0</v>
      </c>
      <c r="AG142" s="322">
        <f>IFERROR(MROUND(tblPiNAnalysis5[[#This Row],[Mine Action]]/tblPiNAnalysis5[[#This Row],[Affected population projection 2026]], 0.05), "")</f>
        <v>0</v>
      </c>
      <c r="AH142" s="322">
        <f>IFERROR(MROUND(tblPiNAnalysis5[[#This Row],[HLP]]/tblPiNAnalysis5[[#This Row],[Affected population projection 2026]], 0.05), "")</f>
        <v>0</v>
      </c>
      <c r="AI142" s="325">
        <f>IFERROR(LARGE(tblPiNAnalysis5[[#This Row],[CCCM]:[WASH]], 1), "")</f>
        <v>51505.489000824855</v>
      </c>
      <c r="AJ142" s="326" t="str" cm="1">
        <f t="array" ref="AJ142">IF(tblPiNAnalysis5[[#This Row],[Highest Target]]="", "", _xlfn.TEXTJOIN(CHAR(10), TRUE, IF(tblPiNAnalysis5[[#This Row],[Highest Target]]=tblPiNAnalysis5[[#This Row],[CCCM]:[WASH]], tblPiNAnalysis5[[#Headers],[CCCM]:[WASH]], "")))</f>
        <v>WASH</v>
      </c>
      <c r="AK142" s="327">
        <f>IF(tblPiNAnalysis5[[#This Row],[Highest Target]]="", "", tblPiNAnalysis5[[#This Row],[Highest Target]]/tblPiNAnalysis5[[#This Row],[Affected population projection 2026]])</f>
        <v>0.75</v>
      </c>
      <c r="AL142" s="328" t="str">
        <f>IF(SUM(tblPiNAnalysis5[[#This Row],[CCCM]:[WASH]])=0, "",IF(COUNTIF(tblPiNAnalysis5[[#This Row],[CCCM]:[WASH]],"=0")+COUNTIF(tblPiNAnalysis5[[#This Row],[CCCM]:[WASH]],"")&gt;=zero_pin_thresh, "Flagged", ""))</f>
        <v/>
      </c>
      <c r="AM142" s="329" t="str">
        <f>IFERROR(IF(tblPiNAnalysis5[[#This Row],[Highest Target]]="", "", IF(tblPiNAnalysis5[[#This Row],[Highest sector(s'') Target %]]&gt;=flag_pin_perc, "Flagged", "")), "")</f>
        <v/>
      </c>
      <c r="AN142" s="330" t="str" cm="1">
        <f t="array" ref="AN142">IF(tblPiNAnalysis5[[#This Row],[Highest Target]]=0, "",  IF(OR(COUNTIF(tblPiNAnalysis5[[#This Row],[Highest sector(s)]],tblSubSectorPopulation[Sector])), "Flagged", ""))</f>
        <v/>
      </c>
      <c r="AO142" s="46" cm="1">
        <f t="array" ref="AO14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39845.83337107399</v>
      </c>
      <c r="AP142" s="331" t="str" cm="1">
        <f t="array" ref="AP142">IF(tblPiNAnalysis5[[#This Row],[2nd Highest Target]]="", "", _xlfn.TEXTJOIN(CHAR(10), TRUE, IF(tblPiNAnalysis5[[#This Row],[2nd Highest Target]]=tblPiNAnalysis5[[#This Row],[CCCM]:[WASH]], tblPiNAnalysis5[[#Headers],[CCCM]:[WASH]], "")))</f>
        <v>Health</v>
      </c>
      <c r="AQ142" s="36">
        <f>IFERROR(tblPiNAnalysis5[[#This Row],[2nd Highest Target]]/tblPiNAnalysis5[[#This Row],[Affected population projection 2026]], "")</f>
        <v>0.58021728573098097</v>
      </c>
      <c r="AR142" s="46">
        <f>IFERROR(tblPiNAnalysis5[[#This Row],[Highest Target]]-tblPiNAnalysis5[[#This Row],[2nd Highest Target]], "")</f>
        <v>11659.655629750865</v>
      </c>
      <c r="AS142" s="39">
        <f>IFERROR(((tblPiNAnalysis5[[#This Row],[Highest Target]]-tblPiNAnalysis5[[#This Row],[2nd Highest Target]])/tblPiNAnalysis5[[#This Row],[2nd Highest Target]]),"")</f>
        <v>0.29261919360971805</v>
      </c>
      <c r="AT142" s="39" t="str" cm="1">
        <f t="array" ref="AT14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2" s="332" cm="1">
        <f t="array" ref="AU14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35395.248476159017</v>
      </c>
      <c r="AV142" s="190" t="str" cm="1">
        <f t="array" ref="AV142">IF(tblPiNAnalysis5[[#This Row],[3rd Highest Target]]="", "", _xlfn.TEXTJOIN(CHAR(10), TRUE, IF(tblPiNAnalysis5[[#This Row],[3rd Highest Target]]=tblPiNAnalysis5[[#This Row],[CCCM]:[WASH]], tblPiNAnalysis5[[#Headers],[CCCM]:[WASH]], "")))</f>
        <v>Food Security</v>
      </c>
      <c r="AW142" s="190">
        <f>IFERROR(tblPiNAnalysis5[[#This Row],[3rd Highest Target]]/tblPiNAnalysis5[[#This Row],[Affected population projection 2026]], "")</f>
        <v>0.51540984994228722</v>
      </c>
      <c r="AX142" s="45">
        <f>IFERROR(tblPiNAnalysis5[[#This Row],[Highest Target]]-tblPiNAnalysis5[[#This Row],[3rd Highest Target]],"")</f>
        <v>16110.240524665838</v>
      </c>
      <c r="AY142" s="39">
        <f>IFERROR(tblPiNAnalysis5[[#This Row],[Difference of Target between Highest and 3rd Highest]]/tblPiNAnalysis5[[#This Row],[3rd Highest Target]], "")</f>
        <v>0.45515263257770672</v>
      </c>
      <c r="AZ142" s="330" t="str" cm="1">
        <f t="array" ref="AZ14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2" s="300" t="str" cm="1">
        <f t="array" ref="BA14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2" s="333" t="str" cm="1">
        <f t="array" ref="BB14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2" s="276" t="str" cm="1">
        <f t="array" ref="BC14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2" s="334" t="str" cm="1">
        <f t="array" ref="BD14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2" s="277" t="e">
        <f>INDEX(tblSeverityAnalysis[Final Severity], MATCH(tblPiNAnalysis5[[#This Row],[ID]],tblSeverityAnalysis[ID], 0))</f>
        <v>#N/A</v>
      </c>
      <c r="BF142" s="61" t="e">
        <f>IF(tblPiNAnalysis5[[#This Row],[Severity]]&gt;2,tblPiNAnalysis5[[#This Row],[Highest Target]],)</f>
        <v>#N/A</v>
      </c>
      <c r="BG142" s="191"/>
      <c r="BH142" s="192"/>
      <c r="BI142" s="193">
        <f>COUNTIFS(tblPiNAnalysis5[[#This Row],[Number of missing / zero PiNs greater than threshold - Data quality]:[Manual Flag]],"Flagged")</f>
        <v>1</v>
      </c>
      <c r="BJ142" s="96" t="str">
        <f>IF(tblPiNAnalysis5[[#This Row],['# Flags]]&gt;0, "Flagged", "")</f>
        <v>Flagged</v>
      </c>
      <c r="BK142" s="326" t="e">
        <f>tblPiNAnalysis5[[#This Row],[Preliminary Target]]</f>
        <v>#N/A</v>
      </c>
      <c r="BL142" s="331"/>
    </row>
    <row r="143" spans="1:64" x14ac:dyDescent="0.55000000000000004">
      <c r="A1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3" s="316" t="s">
        <v>368</v>
      </c>
      <c r="C143" s="317" t="s">
        <v>369</v>
      </c>
      <c r="D143" s="317" t="s">
        <v>370</v>
      </c>
      <c r="E143" s="105" t="s">
        <v>371</v>
      </c>
      <c r="F143" s="100"/>
      <c r="G143" s="34"/>
      <c r="H143" s="34"/>
      <c r="I143" s="97">
        <v>66451.811981503241</v>
      </c>
      <c r="J143" s="97" t="s">
        <v>413</v>
      </c>
      <c r="K143" s="318">
        <v>0</v>
      </c>
      <c r="L143" s="319">
        <v>1250.6231014918912</v>
      </c>
      <c r="M143" s="319">
        <v>15566.193516609866</v>
      </c>
      <c r="N143" s="319">
        <v>10742.137767332892</v>
      </c>
      <c r="O143" s="319">
        <v>11192.23637696723</v>
      </c>
      <c r="P143" s="319">
        <v>2384.5698906209632</v>
      </c>
      <c r="Q143" s="320">
        <v>394.07469896007734</v>
      </c>
      <c r="R143" s="319">
        <v>1845.8836661528676</v>
      </c>
      <c r="S143" s="319"/>
      <c r="T143" s="319"/>
      <c r="U143" s="319"/>
      <c r="V143" s="319"/>
      <c r="W143" s="321">
        <f>IFERROR(IF(tblPiNAnalysis5[[#This Row],[CCCM]]="", "", MROUND(tblPiNAnalysis5[[#This Row],[CCCM]]/tblPiNAnalysis5[[#This Row],[Affected population projection 2026]], 0.05)), "")</f>
        <v>0</v>
      </c>
      <c r="X143" s="322">
        <f>IFERROR(IF(tblPiNAnalysis5[[#This Row],[Education]]="", "", MROUND(tblPiNAnalysis5[[#This Row],[Education]]/tblPiNAnalysis5[[#This Row],[Affected population projection 2026]], 0.05)), "")</f>
        <v>0</v>
      </c>
      <c r="Y143" s="322">
        <f>IFERROR(IF(tblPiNAnalysis5[[#This Row],[Nutrition]]="", "", MROUND(tblPiNAnalysis5[[#This Row],[Nutrition]]/tblPiNAnalysis5[[#This Row],[Affected population projection 2026]], 0.05)), "")</f>
        <v>0.25</v>
      </c>
      <c r="Z143" s="322">
        <f>IFERROR(IF(tblPiNAnalysis5[[#This Row],[Food Security]]="", "", MROUND(tblPiNAnalysis5[[#This Row],[Food Security]]/tblPiNAnalysis5[[#This Row],[Affected population projection 2026]], 0.05)), "")</f>
        <v>0.15000000000000002</v>
      </c>
      <c r="AA143" s="322">
        <f>IFERROR(IF(tblPiNAnalysis5[[#This Row],[Health]]="", "", MROUND(tblPiNAnalysis5[[#This Row],[Health]]/tblPiNAnalysis5[[#This Row],[Affected population projection 2026]], 0.05)), "")</f>
        <v>0.15000000000000002</v>
      </c>
      <c r="AB143" s="323">
        <f>IFERROR(IF(tblPiNAnalysis5[[#This Row],[Overarching Protection]]="", "", MROUND(tblPiNAnalysis5[[#This Row],[Overarching Protection]]/tblPiNAnalysis5[[#This Row],[Affected population projection 2026]], 0.05)), "")</f>
        <v>0.05</v>
      </c>
      <c r="AC143" s="323">
        <f>IFERROR(IF(tblPiNAnalysis5[[#This Row],[Shelter]]="", "", MROUND(tblPiNAnalysis5[[#This Row],[Shelter]]/tblPiNAnalysis5[[#This Row],[Affected population projection 2026]], 0.05)), "")</f>
        <v>0</v>
      </c>
      <c r="AD143" s="324">
        <f>IFERROR(IF(tblPiNAnalysis5[[#This Row],[WASH]]="", "", MROUND(tblPiNAnalysis5[[#This Row],[WASH]]/tblPiNAnalysis5[[#This Row],[Affected population projection 2026]], 0.05)), "")</f>
        <v>0.05</v>
      </c>
      <c r="AE143" s="322">
        <f>IFERROR(MROUND(tblPiNAnalysis5[[#This Row],[CP]]/tblPiNAnalysis5[[#This Row],[Affected population projection 2026]], 0.05), "")</f>
        <v>0</v>
      </c>
      <c r="AF143" s="322">
        <f>IFERROR(MROUND(tblPiNAnalysis5[[#This Row],[GBV]]/tblPiNAnalysis5[[#This Row],[Affected population projection 2026]], 0.05), "")</f>
        <v>0</v>
      </c>
      <c r="AG143" s="322">
        <f>IFERROR(MROUND(tblPiNAnalysis5[[#This Row],[Mine Action]]/tblPiNAnalysis5[[#This Row],[Affected population projection 2026]], 0.05), "")</f>
        <v>0</v>
      </c>
      <c r="AH143" s="322">
        <f>IFERROR(MROUND(tblPiNAnalysis5[[#This Row],[HLP]]/tblPiNAnalysis5[[#This Row],[Affected population projection 2026]], 0.05), "")</f>
        <v>0</v>
      </c>
      <c r="AI143" s="325">
        <f>IFERROR(LARGE(tblPiNAnalysis5[[#This Row],[CCCM]:[WASH]], 1), "")</f>
        <v>15566.193516609866</v>
      </c>
      <c r="AJ143" s="326" t="str" cm="1">
        <f t="array" ref="AJ143">IF(tblPiNAnalysis5[[#This Row],[Highest Target]]="", "", _xlfn.TEXTJOIN(CHAR(10), TRUE, IF(tblPiNAnalysis5[[#This Row],[Highest Target]]=tblPiNAnalysis5[[#This Row],[CCCM]:[WASH]], tblPiNAnalysis5[[#Headers],[CCCM]:[WASH]], "")))</f>
        <v>Nutrition</v>
      </c>
      <c r="AK143" s="327">
        <f>IF(tblPiNAnalysis5[[#This Row],[Highest Target]]="", "", tblPiNAnalysis5[[#This Row],[Highest Target]]/tblPiNAnalysis5[[#This Row],[Affected population projection 2026]])</f>
        <v>0.23424784144249811</v>
      </c>
      <c r="AL143" s="328" t="str">
        <f>IF(SUM(tblPiNAnalysis5[[#This Row],[CCCM]:[WASH]])=0, "",IF(COUNTIF(tblPiNAnalysis5[[#This Row],[CCCM]:[WASH]],"=0")+COUNTIF(tblPiNAnalysis5[[#This Row],[CCCM]:[WASH]],"")&gt;=zero_pin_thresh, "Flagged", ""))</f>
        <v/>
      </c>
      <c r="AM143" s="329" t="str">
        <f>IFERROR(IF(tblPiNAnalysis5[[#This Row],[Highest Target]]="", "", IF(tblPiNAnalysis5[[#This Row],[Highest sector(s'') Target %]]&gt;=flag_pin_perc, "Flagged", "")), "")</f>
        <v/>
      </c>
      <c r="AN143" s="330" t="str" cm="1">
        <f t="array" ref="AN143">IF(tblPiNAnalysis5[[#This Row],[Highest Target]]=0, "",  IF(OR(COUNTIF(tblPiNAnalysis5[[#This Row],[Highest sector(s)]],tblSubSectorPopulation[Sector])), "Flagged", ""))</f>
        <v/>
      </c>
      <c r="AO143" s="46" cm="1">
        <f t="array" ref="AO14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11192.23637696723</v>
      </c>
      <c r="AP143" s="331" t="str" cm="1">
        <f t="array" ref="AP143">IF(tblPiNAnalysis5[[#This Row],[2nd Highest Target]]="", "", _xlfn.TEXTJOIN(CHAR(10), TRUE, IF(tblPiNAnalysis5[[#This Row],[2nd Highest Target]]=tblPiNAnalysis5[[#This Row],[CCCM]:[WASH]], tblPiNAnalysis5[[#Headers],[CCCM]:[WASH]], "")))</f>
        <v>Health</v>
      </c>
      <c r="AQ143" s="36">
        <f>IFERROR(tblPiNAnalysis5[[#This Row],[2nd Highest Target]]/tblPiNAnalysis5[[#This Row],[Affected population projection 2026]], "")</f>
        <v>0.16842635352189603</v>
      </c>
      <c r="AR143" s="46">
        <f>IFERROR(tblPiNAnalysis5[[#This Row],[Highest Target]]-tblPiNAnalysis5[[#This Row],[2nd Highest Target]], "")</f>
        <v>4373.9571396426363</v>
      </c>
      <c r="AS143" s="39">
        <f>IFERROR(((tblPiNAnalysis5[[#This Row],[Highest Target]]-tblPiNAnalysis5[[#This Row],[2nd Highest Target]])/tblPiNAnalysis5[[#This Row],[2nd Highest Target]]),"")</f>
        <v>0.39080278438756949</v>
      </c>
      <c r="AT143" s="39" t="str" cm="1">
        <f t="array" ref="AT14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43" s="332" cm="1">
        <f t="array" ref="AU14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10742.137767332892</v>
      </c>
      <c r="AV143" s="190" t="str" cm="1">
        <f t="array" ref="AV143">IF(tblPiNAnalysis5[[#This Row],[3rd Highest Target]]="", "", _xlfn.TEXTJOIN(CHAR(10), TRUE, IF(tblPiNAnalysis5[[#This Row],[3rd Highest Target]]=tblPiNAnalysis5[[#This Row],[CCCM]:[WASH]], tblPiNAnalysis5[[#Headers],[CCCM]:[WASH]], "")))</f>
        <v>Food Security</v>
      </c>
      <c r="AW143" s="190">
        <f>IFERROR(tblPiNAnalysis5[[#This Row],[3rd Highest Target]]/tblPiNAnalysis5[[#This Row],[Affected population projection 2026]], "")</f>
        <v>0.16165304522204677</v>
      </c>
      <c r="AX143" s="45">
        <f>IFERROR(tblPiNAnalysis5[[#This Row],[Highest Target]]-tblPiNAnalysis5[[#This Row],[3rd Highest Target]],"")</f>
        <v>4824.0557492769749</v>
      </c>
      <c r="AY143" s="39">
        <f>IFERROR(tblPiNAnalysis5[[#This Row],[Difference of Target between Highest and 3rd Highest]]/tblPiNAnalysis5[[#This Row],[3rd Highest Target]], "")</f>
        <v>0.44907781428265131</v>
      </c>
      <c r="AZ143" s="330" t="str" cm="1">
        <f t="array" ref="AZ14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3" s="300" t="str" cm="1">
        <f t="array" ref="BA14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3" s="333" t="str" cm="1">
        <f t="array" ref="BB14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3" s="276" t="str" cm="1">
        <f t="array" ref="BC14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3" s="334" t="str" cm="1">
        <f t="array" ref="BD14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3" s="277" t="e">
        <f>INDEX(tblSeverityAnalysis[Final Severity], MATCH(tblPiNAnalysis5[[#This Row],[ID]],tblSeverityAnalysis[ID], 0))</f>
        <v>#N/A</v>
      </c>
      <c r="BF143" s="61" t="e">
        <f>IF(tblPiNAnalysis5[[#This Row],[Severity]]&gt;2,tblPiNAnalysis5[[#This Row],[Highest Target]],)</f>
        <v>#N/A</v>
      </c>
      <c r="BG143" s="191"/>
      <c r="BH143" s="192"/>
      <c r="BI143" s="193">
        <f>COUNTIFS(tblPiNAnalysis5[[#This Row],[Number of missing / zero PiNs greater than threshold - Data quality]:[Manual Flag]],"Flagged")</f>
        <v>2</v>
      </c>
      <c r="BJ143" s="96" t="str">
        <f>IF(tblPiNAnalysis5[[#This Row],['# Flags]]&gt;0, "Flagged", "")</f>
        <v>Flagged</v>
      </c>
      <c r="BK143" s="326" t="e">
        <f>tblPiNAnalysis5[[#This Row],[Preliminary Target]]</f>
        <v>#N/A</v>
      </c>
      <c r="BL143" s="331"/>
    </row>
    <row r="144" spans="1:64" x14ac:dyDescent="0.55000000000000004">
      <c r="A1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4" s="316" t="s">
        <v>368</v>
      </c>
      <c r="C144" s="317" t="s">
        <v>369</v>
      </c>
      <c r="D144" s="317" t="s">
        <v>372</v>
      </c>
      <c r="E144" s="105" t="s">
        <v>373</v>
      </c>
      <c r="F144" s="100"/>
      <c r="G144" s="34"/>
      <c r="H144" s="34"/>
      <c r="I144" s="97">
        <v>175059.60932121321</v>
      </c>
      <c r="J144" s="97" t="s">
        <v>413</v>
      </c>
      <c r="K144" s="318">
        <v>0</v>
      </c>
      <c r="L144" s="319">
        <v>3983.8122727658229</v>
      </c>
      <c r="M144" s="319">
        <v>40872.742773699501</v>
      </c>
      <c r="N144" s="319">
        <v>26058.055729012372</v>
      </c>
      <c r="O144" s="319">
        <v>31061.034540475757</v>
      </c>
      <c r="P144" s="319">
        <v>9792.6988219104987</v>
      </c>
      <c r="Q144" s="320">
        <v>921.36636484849043</v>
      </c>
      <c r="R144" s="319">
        <v>16511.304060978062</v>
      </c>
      <c r="S144" s="319"/>
      <c r="T144" s="319"/>
      <c r="U144" s="319"/>
      <c r="V144" s="319"/>
      <c r="W144" s="321">
        <f>IFERROR(IF(tblPiNAnalysis5[[#This Row],[CCCM]]="", "", MROUND(tblPiNAnalysis5[[#This Row],[CCCM]]/tblPiNAnalysis5[[#This Row],[Affected population projection 2026]], 0.05)), "")</f>
        <v>0</v>
      </c>
      <c r="X144" s="322">
        <f>IFERROR(IF(tblPiNAnalysis5[[#This Row],[Education]]="", "", MROUND(tblPiNAnalysis5[[#This Row],[Education]]/tblPiNAnalysis5[[#This Row],[Affected population projection 2026]], 0.05)), "")</f>
        <v>0</v>
      </c>
      <c r="Y144" s="322">
        <f>IFERROR(IF(tblPiNAnalysis5[[#This Row],[Nutrition]]="", "", MROUND(tblPiNAnalysis5[[#This Row],[Nutrition]]/tblPiNAnalysis5[[#This Row],[Affected population projection 2026]], 0.05)), "")</f>
        <v>0.25</v>
      </c>
      <c r="Z144" s="322">
        <f>IFERROR(IF(tblPiNAnalysis5[[#This Row],[Food Security]]="", "", MROUND(tblPiNAnalysis5[[#This Row],[Food Security]]/tblPiNAnalysis5[[#This Row],[Affected population projection 2026]], 0.05)), "")</f>
        <v>0.15000000000000002</v>
      </c>
      <c r="AA144" s="322">
        <f>IFERROR(IF(tblPiNAnalysis5[[#This Row],[Health]]="", "", MROUND(tblPiNAnalysis5[[#This Row],[Health]]/tblPiNAnalysis5[[#This Row],[Affected population projection 2026]], 0.05)), "")</f>
        <v>0.2</v>
      </c>
      <c r="AB144" s="323">
        <f>IFERROR(IF(tblPiNAnalysis5[[#This Row],[Overarching Protection]]="", "", MROUND(tblPiNAnalysis5[[#This Row],[Overarching Protection]]/tblPiNAnalysis5[[#This Row],[Affected population projection 2026]], 0.05)), "")</f>
        <v>0.05</v>
      </c>
      <c r="AC144" s="323">
        <f>IFERROR(IF(tblPiNAnalysis5[[#This Row],[Shelter]]="", "", MROUND(tblPiNAnalysis5[[#This Row],[Shelter]]/tblPiNAnalysis5[[#This Row],[Affected population projection 2026]], 0.05)), "")</f>
        <v>0</v>
      </c>
      <c r="AD144" s="324">
        <f>IFERROR(IF(tblPiNAnalysis5[[#This Row],[WASH]]="", "", MROUND(tblPiNAnalysis5[[#This Row],[WASH]]/tblPiNAnalysis5[[#This Row],[Affected population projection 2026]], 0.05)), "")</f>
        <v>0.1</v>
      </c>
      <c r="AE144" s="322">
        <f>IFERROR(MROUND(tblPiNAnalysis5[[#This Row],[CP]]/tblPiNAnalysis5[[#This Row],[Affected population projection 2026]], 0.05), "")</f>
        <v>0</v>
      </c>
      <c r="AF144" s="322">
        <f>IFERROR(MROUND(tblPiNAnalysis5[[#This Row],[GBV]]/tblPiNAnalysis5[[#This Row],[Affected population projection 2026]], 0.05), "")</f>
        <v>0</v>
      </c>
      <c r="AG144" s="322">
        <f>IFERROR(MROUND(tblPiNAnalysis5[[#This Row],[Mine Action]]/tblPiNAnalysis5[[#This Row],[Affected population projection 2026]], 0.05), "")</f>
        <v>0</v>
      </c>
      <c r="AH144" s="322">
        <f>IFERROR(MROUND(tblPiNAnalysis5[[#This Row],[HLP]]/tblPiNAnalysis5[[#This Row],[Affected population projection 2026]], 0.05), "")</f>
        <v>0</v>
      </c>
      <c r="AI144" s="325">
        <f>IFERROR(LARGE(tblPiNAnalysis5[[#This Row],[CCCM]:[WASH]], 1), "")</f>
        <v>40872.742773699501</v>
      </c>
      <c r="AJ144" s="326" t="str" cm="1">
        <f t="array" ref="AJ144">IF(tblPiNAnalysis5[[#This Row],[Highest Target]]="", "", _xlfn.TEXTJOIN(CHAR(10), TRUE, IF(tblPiNAnalysis5[[#This Row],[Highest Target]]=tblPiNAnalysis5[[#This Row],[CCCM]:[WASH]], tblPiNAnalysis5[[#Headers],[CCCM]:[WASH]], "")))</f>
        <v>Nutrition</v>
      </c>
      <c r="AK144" s="327">
        <f>IF(tblPiNAnalysis5[[#This Row],[Highest Target]]="", "", tblPiNAnalysis5[[#This Row],[Highest Target]]/tblPiNAnalysis5[[#This Row],[Affected population projection 2026]])</f>
        <v>0.23347900142232672</v>
      </c>
      <c r="AL144" s="328" t="str">
        <f>IF(SUM(tblPiNAnalysis5[[#This Row],[CCCM]:[WASH]])=0, "",IF(COUNTIF(tblPiNAnalysis5[[#This Row],[CCCM]:[WASH]],"=0")+COUNTIF(tblPiNAnalysis5[[#This Row],[CCCM]:[WASH]],"")&gt;=zero_pin_thresh, "Flagged", ""))</f>
        <v/>
      </c>
      <c r="AM144" s="329" t="str">
        <f>IFERROR(IF(tblPiNAnalysis5[[#This Row],[Highest Target]]="", "", IF(tblPiNAnalysis5[[#This Row],[Highest sector(s'') Target %]]&gt;=flag_pin_perc, "Flagged", "")), "")</f>
        <v/>
      </c>
      <c r="AN144" s="330" t="str" cm="1">
        <f t="array" ref="AN144">IF(tblPiNAnalysis5[[#This Row],[Highest Target]]=0, "",  IF(OR(COUNTIF(tblPiNAnalysis5[[#This Row],[Highest sector(s)]],tblSubSectorPopulation[Sector])), "Flagged", ""))</f>
        <v/>
      </c>
      <c r="AO144" s="46" cm="1">
        <f t="array" ref="AO14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31061.034540475757</v>
      </c>
      <c r="AP144" s="331" t="str" cm="1">
        <f t="array" ref="AP144">IF(tblPiNAnalysis5[[#This Row],[2nd Highest Target]]="", "", _xlfn.TEXTJOIN(CHAR(10), TRUE, IF(tblPiNAnalysis5[[#This Row],[2nd Highest Target]]=tblPiNAnalysis5[[#This Row],[CCCM]:[WASH]], tblPiNAnalysis5[[#Headers],[CCCM]:[WASH]], "")))</f>
        <v>Health</v>
      </c>
      <c r="AQ144" s="36">
        <f>IFERROR(tblPiNAnalysis5[[#This Row],[2nd Highest Target]]/tblPiNAnalysis5[[#This Row],[Affected population projection 2026]], "")</f>
        <v>0.17743118850152645</v>
      </c>
      <c r="AR144" s="46">
        <f>IFERROR(tblPiNAnalysis5[[#This Row],[Highest Target]]-tblPiNAnalysis5[[#This Row],[2nd Highest Target]], "")</f>
        <v>9811.7082332237442</v>
      </c>
      <c r="AS144" s="39">
        <f>IFERROR(((tblPiNAnalysis5[[#This Row],[Highest Target]]-tblPiNAnalysis5[[#This Row],[2nd Highest Target]])/tblPiNAnalysis5[[#This Row],[2nd Highest Target]]),"")</f>
        <v>0.3158847854999185</v>
      </c>
      <c r="AT144" s="39" t="str" cm="1">
        <f t="array" ref="AT14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44" s="332" cm="1">
        <f t="array" ref="AU14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26058.055729012372</v>
      </c>
      <c r="AV144" s="190" t="str" cm="1">
        <f t="array" ref="AV144">IF(tblPiNAnalysis5[[#This Row],[3rd Highest Target]]="", "", _xlfn.TEXTJOIN(CHAR(10), TRUE, IF(tblPiNAnalysis5[[#This Row],[3rd Highest Target]]=tblPiNAnalysis5[[#This Row],[CCCM]:[WASH]], tblPiNAnalysis5[[#Headers],[CCCM]:[WASH]], "")))</f>
        <v>Food Security</v>
      </c>
      <c r="AW144" s="190">
        <f>IFERROR(tblPiNAnalysis5[[#This Row],[3rd Highest Target]]/tblPiNAnalysis5[[#This Row],[Affected population projection 2026]], "")</f>
        <v>0.14885247276657057</v>
      </c>
      <c r="AX144" s="45">
        <f>IFERROR(tblPiNAnalysis5[[#This Row],[Highest Target]]-tblPiNAnalysis5[[#This Row],[3rd Highest Target]],"")</f>
        <v>14814.687044687129</v>
      </c>
      <c r="AY144" s="39">
        <f>IFERROR(tblPiNAnalysis5[[#This Row],[Difference of Target between Highest and 3rd Highest]]/tblPiNAnalysis5[[#This Row],[3rd Highest Target]], "")</f>
        <v>0.56852618624930007</v>
      </c>
      <c r="AZ144" s="330" t="str" cm="1">
        <f t="array" ref="AZ14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44" s="300" t="str" cm="1">
        <f t="array" ref="BA14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4" s="333" t="str" cm="1">
        <f t="array" ref="BB14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4" s="276" t="str" cm="1">
        <f t="array" ref="BC14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4" s="334" t="str" cm="1">
        <f t="array" ref="BD14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4" s="277" t="e">
        <f>INDEX(tblSeverityAnalysis[Final Severity], MATCH(tblPiNAnalysis5[[#This Row],[ID]],tblSeverityAnalysis[ID], 0))</f>
        <v>#N/A</v>
      </c>
      <c r="BF144" s="61" t="e">
        <f>IF(tblPiNAnalysis5[[#This Row],[Severity]]&gt;2,tblPiNAnalysis5[[#This Row],[Highest Target]],)</f>
        <v>#N/A</v>
      </c>
      <c r="BG144" s="191"/>
      <c r="BH144" s="192"/>
      <c r="BI144" s="193">
        <f>COUNTIFS(tblPiNAnalysis5[[#This Row],[Number of missing / zero PiNs greater than threshold - Data quality]:[Manual Flag]],"Flagged")</f>
        <v>3</v>
      </c>
      <c r="BJ144" s="96" t="str">
        <f>IF(tblPiNAnalysis5[[#This Row],['# Flags]]&gt;0, "Flagged", "")</f>
        <v>Flagged</v>
      </c>
      <c r="BK144" s="326" t="e">
        <f>tblPiNAnalysis5[[#This Row],[Preliminary Target]]</f>
        <v>#N/A</v>
      </c>
      <c r="BL144" s="331"/>
    </row>
    <row r="145" spans="1:64" ht="24.6" x14ac:dyDescent="0.55000000000000004">
      <c r="A1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5" s="316" t="s">
        <v>368</v>
      </c>
      <c r="C145" s="317" t="s">
        <v>369</v>
      </c>
      <c r="D145" s="317" t="s">
        <v>374</v>
      </c>
      <c r="E145" s="105" t="s">
        <v>375</v>
      </c>
      <c r="F145" s="100"/>
      <c r="G145" s="34"/>
      <c r="H145" s="34"/>
      <c r="I145" s="97">
        <v>118674.00478882086</v>
      </c>
      <c r="J145" s="97" t="s">
        <v>413</v>
      </c>
      <c r="K145" s="318">
        <v>0</v>
      </c>
      <c r="L145" s="319">
        <v>11646.982502827619</v>
      </c>
      <c r="M145" s="319">
        <v>38876.18475235159</v>
      </c>
      <c r="N145" s="319">
        <v>49005.670346605686</v>
      </c>
      <c r="O145" s="319">
        <v>35534.568834791949</v>
      </c>
      <c r="P145" s="319">
        <v>19302.703889585948</v>
      </c>
      <c r="Q145" s="320">
        <v>2119.1786569432297</v>
      </c>
      <c r="R145" s="319">
        <v>17794.996088447162</v>
      </c>
      <c r="S145" s="319"/>
      <c r="T145" s="319"/>
      <c r="U145" s="319"/>
      <c r="V145" s="319"/>
      <c r="W145" s="321">
        <f>IFERROR(IF(tblPiNAnalysis5[[#This Row],[CCCM]]="", "", MROUND(tblPiNAnalysis5[[#This Row],[CCCM]]/tblPiNAnalysis5[[#This Row],[Affected population projection 2026]], 0.05)), "")</f>
        <v>0</v>
      </c>
      <c r="X145" s="322">
        <f>IFERROR(IF(tblPiNAnalysis5[[#This Row],[Education]]="", "", MROUND(tblPiNAnalysis5[[#This Row],[Education]]/tblPiNAnalysis5[[#This Row],[Affected population projection 2026]], 0.05)), "")</f>
        <v>0.1</v>
      </c>
      <c r="Y145" s="322">
        <f>IFERROR(IF(tblPiNAnalysis5[[#This Row],[Nutrition]]="", "", MROUND(tblPiNAnalysis5[[#This Row],[Nutrition]]/tblPiNAnalysis5[[#This Row],[Affected population projection 2026]], 0.05)), "")</f>
        <v>0.35000000000000003</v>
      </c>
      <c r="Z145" s="322">
        <f>IFERROR(IF(tblPiNAnalysis5[[#This Row],[Food Security]]="", "", MROUND(tblPiNAnalysis5[[#This Row],[Food Security]]/tblPiNAnalysis5[[#This Row],[Affected population projection 2026]], 0.05)), "")</f>
        <v>0.4</v>
      </c>
      <c r="AA145" s="322">
        <f>IFERROR(IF(tblPiNAnalysis5[[#This Row],[Health]]="", "", MROUND(tblPiNAnalysis5[[#This Row],[Health]]/tblPiNAnalysis5[[#This Row],[Affected population projection 2026]], 0.05)), "")</f>
        <v>0.30000000000000004</v>
      </c>
      <c r="AB145" s="323">
        <f>IFERROR(IF(tblPiNAnalysis5[[#This Row],[Overarching Protection]]="", "", MROUND(tblPiNAnalysis5[[#This Row],[Overarching Protection]]/tblPiNAnalysis5[[#This Row],[Affected population projection 2026]], 0.05)), "")</f>
        <v>0.15000000000000002</v>
      </c>
      <c r="AC145" s="323">
        <f>IFERROR(IF(tblPiNAnalysis5[[#This Row],[Shelter]]="", "", MROUND(tblPiNAnalysis5[[#This Row],[Shelter]]/tblPiNAnalysis5[[#This Row],[Affected population projection 2026]], 0.05)), "")</f>
        <v>0</v>
      </c>
      <c r="AD145" s="324">
        <f>IFERROR(IF(tblPiNAnalysis5[[#This Row],[WASH]]="", "", MROUND(tblPiNAnalysis5[[#This Row],[WASH]]/tblPiNAnalysis5[[#This Row],[Affected population projection 2026]], 0.05)), "")</f>
        <v>0.15000000000000002</v>
      </c>
      <c r="AE145" s="322">
        <f>IFERROR(MROUND(tblPiNAnalysis5[[#This Row],[CP]]/tblPiNAnalysis5[[#This Row],[Affected population projection 2026]], 0.05), "")</f>
        <v>0</v>
      </c>
      <c r="AF145" s="322">
        <f>IFERROR(MROUND(tblPiNAnalysis5[[#This Row],[GBV]]/tblPiNAnalysis5[[#This Row],[Affected population projection 2026]], 0.05), "")</f>
        <v>0</v>
      </c>
      <c r="AG145" s="322">
        <f>IFERROR(MROUND(tblPiNAnalysis5[[#This Row],[Mine Action]]/tblPiNAnalysis5[[#This Row],[Affected population projection 2026]], 0.05), "")</f>
        <v>0</v>
      </c>
      <c r="AH145" s="322">
        <f>IFERROR(MROUND(tblPiNAnalysis5[[#This Row],[HLP]]/tblPiNAnalysis5[[#This Row],[Affected population projection 2026]], 0.05), "")</f>
        <v>0</v>
      </c>
      <c r="AI145" s="325">
        <f>IFERROR(LARGE(tblPiNAnalysis5[[#This Row],[CCCM]:[WASH]], 1), "")</f>
        <v>49005.670346605686</v>
      </c>
      <c r="AJ145" s="326" t="str" cm="1">
        <f t="array" ref="AJ145">IF(tblPiNAnalysis5[[#This Row],[Highest Target]]="", "", _xlfn.TEXTJOIN(CHAR(10), TRUE, IF(tblPiNAnalysis5[[#This Row],[Highest Target]]=tblPiNAnalysis5[[#This Row],[CCCM]:[WASH]], tblPiNAnalysis5[[#Headers],[CCCM]:[WASH]], "")))</f>
        <v>Food Security</v>
      </c>
      <c r="AK145" s="327">
        <f>IF(tblPiNAnalysis5[[#This Row],[Highest Target]]="", "", tblPiNAnalysis5[[#This Row],[Highest Target]]/tblPiNAnalysis5[[#This Row],[Affected population projection 2026]])</f>
        <v>0.41294359648358336</v>
      </c>
      <c r="AL145" s="328" t="str">
        <f>IF(SUM(tblPiNAnalysis5[[#This Row],[CCCM]:[WASH]])=0, "",IF(COUNTIF(tblPiNAnalysis5[[#This Row],[CCCM]:[WASH]],"=0")+COUNTIF(tblPiNAnalysis5[[#This Row],[CCCM]:[WASH]],"")&gt;=zero_pin_thresh, "Flagged", ""))</f>
        <v/>
      </c>
      <c r="AM145" s="329" t="str">
        <f>IFERROR(IF(tblPiNAnalysis5[[#This Row],[Highest Target]]="", "", IF(tblPiNAnalysis5[[#This Row],[Highest sector(s'') Target %]]&gt;=flag_pin_perc, "Flagged", "")), "")</f>
        <v/>
      </c>
      <c r="AN145" s="330" t="str" cm="1">
        <f t="array" ref="AN145">IF(tblPiNAnalysis5[[#This Row],[Highest Target]]=0, "",  IF(OR(COUNTIF(tblPiNAnalysis5[[#This Row],[Highest sector(s)]],tblSubSectorPopulation[Sector])), "Flagged", ""))</f>
        <v/>
      </c>
      <c r="AO145" s="46" cm="1">
        <f t="array" ref="AO14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38876.18475235159</v>
      </c>
      <c r="AP145" s="331" t="str" cm="1">
        <f t="array" ref="AP145">IF(tblPiNAnalysis5[[#This Row],[2nd Highest Target]]="", "", _xlfn.TEXTJOIN(CHAR(10), TRUE, IF(tblPiNAnalysis5[[#This Row],[2nd Highest Target]]=tblPiNAnalysis5[[#This Row],[CCCM]:[WASH]], tblPiNAnalysis5[[#Headers],[CCCM]:[WASH]], "")))</f>
        <v>Nutrition</v>
      </c>
      <c r="AQ145" s="36">
        <f>IFERROR(tblPiNAnalysis5[[#This Row],[2nd Highest Target]]/tblPiNAnalysis5[[#This Row],[Affected population projection 2026]], "")</f>
        <v>0.32758804105019756</v>
      </c>
      <c r="AR145" s="46">
        <f>IFERROR(tblPiNAnalysis5[[#This Row],[Highest Target]]-tblPiNAnalysis5[[#This Row],[2nd Highest Target]], "")</f>
        <v>10129.485594254096</v>
      </c>
      <c r="AS145" s="39">
        <f>IFERROR(((tblPiNAnalysis5[[#This Row],[Highest Target]]-tblPiNAnalysis5[[#This Row],[2nd Highest Target]])/tblPiNAnalysis5[[#This Row],[2nd Highest Target]]),"")</f>
        <v>0.26055760509372955</v>
      </c>
      <c r="AT145" s="39" t="str" cm="1">
        <f t="array" ref="AT14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5" s="332" cm="1">
        <f t="array" ref="AU14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35534.568834791949</v>
      </c>
      <c r="AV145" s="190" t="str" cm="1">
        <f t="array" ref="AV145">IF(tblPiNAnalysis5[[#This Row],[3rd Highest Target]]="", "", _xlfn.TEXTJOIN(CHAR(10), TRUE, IF(tblPiNAnalysis5[[#This Row],[3rd Highest Target]]=tblPiNAnalysis5[[#This Row],[CCCM]:[WASH]], tblPiNAnalysis5[[#Headers],[CCCM]:[WASH]], "")))</f>
        <v>Health</v>
      </c>
      <c r="AW145" s="190">
        <f>IFERROR(tblPiNAnalysis5[[#This Row],[3rd Highest Target]]/tblPiNAnalysis5[[#This Row],[Affected population projection 2026]], "")</f>
        <v>0.29943009758561145</v>
      </c>
      <c r="AX145" s="45">
        <f>IFERROR(tblPiNAnalysis5[[#This Row],[Highest Target]]-tblPiNAnalysis5[[#This Row],[3rd Highest Target]],"")</f>
        <v>13471.101511813737</v>
      </c>
      <c r="AY145" s="39">
        <f>IFERROR(tblPiNAnalysis5[[#This Row],[Difference of Target between Highest and 3rd Highest]]/tblPiNAnalysis5[[#This Row],[3rd Highest Target]], "")</f>
        <v>0.37909849348232871</v>
      </c>
      <c r="AZ145" s="330" t="str" cm="1">
        <f t="array" ref="AZ14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5" s="300" t="str" cm="1">
        <f t="array" ref="BA14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5" s="333" t="str" cm="1">
        <f t="array" ref="BB14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5" s="276" t="str" cm="1">
        <f t="array" ref="BC14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5" s="334" t="str" cm="1">
        <f t="array" ref="BD14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45" s="277" t="e">
        <f>INDEX(tblSeverityAnalysis[Final Severity], MATCH(tblPiNAnalysis5[[#This Row],[ID]],tblSeverityAnalysis[ID], 0))</f>
        <v>#N/A</v>
      </c>
      <c r="BF145" s="61" t="e">
        <f>IF(tblPiNAnalysis5[[#This Row],[Severity]]&gt;2,tblPiNAnalysis5[[#This Row],[Highest Target]],)</f>
        <v>#N/A</v>
      </c>
      <c r="BG145" s="191"/>
      <c r="BH145" s="192"/>
      <c r="BI145" s="193">
        <f>COUNTIFS(tblPiNAnalysis5[[#This Row],[Number of missing / zero PiNs greater than threshold - Data quality]:[Manual Flag]],"Flagged")</f>
        <v>0</v>
      </c>
      <c r="BJ145" s="96" t="str">
        <f>IF(tblPiNAnalysis5[[#This Row],['# Flags]]&gt;0, "Flagged", "")</f>
        <v/>
      </c>
      <c r="BK145" s="326" t="e">
        <f>tblPiNAnalysis5[[#This Row],[Preliminary Target]]</f>
        <v>#N/A</v>
      </c>
      <c r="BL145" s="331"/>
    </row>
    <row r="146" spans="1:64" x14ac:dyDescent="0.55000000000000004">
      <c r="A1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6" s="316" t="s">
        <v>368</v>
      </c>
      <c r="C146" s="317" t="s">
        <v>369</v>
      </c>
      <c r="D146" s="317" t="s">
        <v>376</v>
      </c>
      <c r="E146" s="105" t="s">
        <v>377</v>
      </c>
      <c r="F146" s="100"/>
      <c r="G146" s="34"/>
      <c r="H146" s="34"/>
      <c r="I146" s="97">
        <v>176910.11306393327</v>
      </c>
      <c r="J146" s="97" t="s">
        <v>413</v>
      </c>
      <c r="K146" s="318">
        <v>0</v>
      </c>
      <c r="L146" s="319">
        <v>4690.7008838449647</v>
      </c>
      <c r="M146" s="319">
        <v>43648.455413254131</v>
      </c>
      <c r="N146" s="319">
        <v>31640.595303765669</v>
      </c>
      <c r="O146" s="319">
        <v>35890.982847064704</v>
      </c>
      <c r="P146" s="319">
        <v>6485.1461138262648</v>
      </c>
      <c r="Q146" s="320">
        <v>524.56444217331159</v>
      </c>
      <c r="R146" s="319">
        <v>21442.615941712585</v>
      </c>
      <c r="S146" s="319"/>
      <c r="T146" s="319"/>
      <c r="U146" s="319"/>
      <c r="V146" s="319"/>
      <c r="W146" s="321">
        <f>IFERROR(IF(tblPiNAnalysis5[[#This Row],[CCCM]]="", "", MROUND(tblPiNAnalysis5[[#This Row],[CCCM]]/tblPiNAnalysis5[[#This Row],[Affected population projection 2026]], 0.05)), "")</f>
        <v>0</v>
      </c>
      <c r="X146" s="322">
        <f>IFERROR(IF(tblPiNAnalysis5[[#This Row],[Education]]="", "", MROUND(tblPiNAnalysis5[[#This Row],[Education]]/tblPiNAnalysis5[[#This Row],[Affected population projection 2026]], 0.05)), "")</f>
        <v>0.05</v>
      </c>
      <c r="Y146" s="322">
        <f>IFERROR(IF(tblPiNAnalysis5[[#This Row],[Nutrition]]="", "", MROUND(tblPiNAnalysis5[[#This Row],[Nutrition]]/tblPiNAnalysis5[[#This Row],[Affected population projection 2026]], 0.05)), "")</f>
        <v>0.25</v>
      </c>
      <c r="Z146" s="322">
        <f>IFERROR(IF(tblPiNAnalysis5[[#This Row],[Food Security]]="", "", MROUND(tblPiNAnalysis5[[#This Row],[Food Security]]/tblPiNAnalysis5[[#This Row],[Affected population projection 2026]], 0.05)), "")</f>
        <v>0.2</v>
      </c>
      <c r="AA146" s="322">
        <f>IFERROR(IF(tblPiNAnalysis5[[#This Row],[Health]]="", "", MROUND(tblPiNAnalysis5[[#This Row],[Health]]/tblPiNAnalysis5[[#This Row],[Affected population projection 2026]], 0.05)), "")</f>
        <v>0.2</v>
      </c>
      <c r="AB146" s="323">
        <f>IFERROR(IF(tblPiNAnalysis5[[#This Row],[Overarching Protection]]="", "", MROUND(tblPiNAnalysis5[[#This Row],[Overarching Protection]]/tblPiNAnalysis5[[#This Row],[Affected population projection 2026]], 0.05)), "")</f>
        <v>0.05</v>
      </c>
      <c r="AC146" s="323">
        <f>IFERROR(IF(tblPiNAnalysis5[[#This Row],[Shelter]]="", "", MROUND(tblPiNAnalysis5[[#This Row],[Shelter]]/tblPiNAnalysis5[[#This Row],[Affected population projection 2026]], 0.05)), "")</f>
        <v>0</v>
      </c>
      <c r="AD146" s="324">
        <f>IFERROR(IF(tblPiNAnalysis5[[#This Row],[WASH]]="", "", MROUND(tblPiNAnalysis5[[#This Row],[WASH]]/tblPiNAnalysis5[[#This Row],[Affected population projection 2026]], 0.05)), "")</f>
        <v>0.1</v>
      </c>
      <c r="AE146" s="322">
        <f>IFERROR(MROUND(tblPiNAnalysis5[[#This Row],[CP]]/tblPiNAnalysis5[[#This Row],[Affected population projection 2026]], 0.05), "")</f>
        <v>0</v>
      </c>
      <c r="AF146" s="322">
        <f>IFERROR(MROUND(tblPiNAnalysis5[[#This Row],[GBV]]/tblPiNAnalysis5[[#This Row],[Affected population projection 2026]], 0.05), "")</f>
        <v>0</v>
      </c>
      <c r="AG146" s="322">
        <f>IFERROR(MROUND(tblPiNAnalysis5[[#This Row],[Mine Action]]/tblPiNAnalysis5[[#This Row],[Affected population projection 2026]], 0.05), "")</f>
        <v>0</v>
      </c>
      <c r="AH146" s="322">
        <f>IFERROR(MROUND(tblPiNAnalysis5[[#This Row],[HLP]]/tblPiNAnalysis5[[#This Row],[Affected population projection 2026]], 0.05), "")</f>
        <v>0</v>
      </c>
      <c r="AI146" s="325">
        <f>IFERROR(LARGE(tblPiNAnalysis5[[#This Row],[CCCM]:[WASH]], 1), "")</f>
        <v>43648.455413254131</v>
      </c>
      <c r="AJ146" s="326" t="str" cm="1">
        <f t="array" ref="AJ146">IF(tblPiNAnalysis5[[#This Row],[Highest Target]]="", "", _xlfn.TEXTJOIN(CHAR(10), TRUE, IF(tblPiNAnalysis5[[#This Row],[Highest Target]]=tblPiNAnalysis5[[#This Row],[CCCM]:[WASH]], tblPiNAnalysis5[[#Headers],[CCCM]:[WASH]], "")))</f>
        <v>Nutrition</v>
      </c>
      <c r="AK146" s="327">
        <f>IF(tblPiNAnalysis5[[#This Row],[Highest Target]]="", "", tblPiNAnalysis5[[#This Row],[Highest Target]]/tblPiNAnalysis5[[#This Row],[Affected population projection 2026]])</f>
        <v>0.24672673968322029</v>
      </c>
      <c r="AL146" s="328" t="str">
        <f>IF(SUM(tblPiNAnalysis5[[#This Row],[CCCM]:[WASH]])=0, "",IF(COUNTIF(tblPiNAnalysis5[[#This Row],[CCCM]:[WASH]],"=0")+COUNTIF(tblPiNAnalysis5[[#This Row],[CCCM]:[WASH]],"")&gt;=zero_pin_thresh, "Flagged", ""))</f>
        <v/>
      </c>
      <c r="AM146" s="329" t="str">
        <f>IFERROR(IF(tblPiNAnalysis5[[#This Row],[Highest Target]]="", "", IF(tblPiNAnalysis5[[#This Row],[Highest sector(s'') Target %]]&gt;=flag_pin_perc, "Flagged", "")), "")</f>
        <v/>
      </c>
      <c r="AN146" s="330" t="str" cm="1">
        <f t="array" ref="AN146">IF(tblPiNAnalysis5[[#This Row],[Highest Target]]=0, "",  IF(OR(COUNTIF(tblPiNAnalysis5[[#This Row],[Highest sector(s)]],tblSubSectorPopulation[Sector])), "Flagged", ""))</f>
        <v/>
      </c>
      <c r="AO146" s="46" cm="1">
        <f t="array" ref="AO14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35890.982847064704</v>
      </c>
      <c r="AP146" s="331" t="str" cm="1">
        <f t="array" ref="AP146">IF(tblPiNAnalysis5[[#This Row],[2nd Highest Target]]="", "", _xlfn.TEXTJOIN(CHAR(10), TRUE, IF(tblPiNAnalysis5[[#This Row],[2nd Highest Target]]=tblPiNAnalysis5[[#This Row],[CCCM]:[WASH]], tblPiNAnalysis5[[#Headers],[CCCM]:[WASH]], "")))</f>
        <v>Health</v>
      </c>
      <c r="AQ146" s="36">
        <f>IFERROR(tblPiNAnalysis5[[#This Row],[2nd Highest Target]]/tblPiNAnalysis5[[#This Row],[Affected population projection 2026]], "")</f>
        <v>0.2028769425640134</v>
      </c>
      <c r="AR146" s="46">
        <f>IFERROR(tblPiNAnalysis5[[#This Row],[Highest Target]]-tblPiNAnalysis5[[#This Row],[2nd Highest Target]], "")</f>
        <v>7757.4725661894263</v>
      </c>
      <c r="AS146" s="39">
        <f>IFERROR(((tblPiNAnalysis5[[#This Row],[Highest Target]]-tblPiNAnalysis5[[#This Row],[2nd Highest Target]])/tblPiNAnalysis5[[#This Row],[2nd Highest Target]]),"")</f>
        <v>0.21613987555717942</v>
      </c>
      <c r="AT146" s="39" t="str" cm="1">
        <f t="array" ref="AT14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6" s="332" cm="1">
        <f t="array" ref="AU14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31640.595303765669</v>
      </c>
      <c r="AV146" s="190" t="str" cm="1">
        <f t="array" ref="AV146">IF(tblPiNAnalysis5[[#This Row],[3rd Highest Target]]="", "", _xlfn.TEXTJOIN(CHAR(10), TRUE, IF(tblPiNAnalysis5[[#This Row],[3rd Highest Target]]=tblPiNAnalysis5[[#This Row],[CCCM]:[WASH]], tblPiNAnalysis5[[#Headers],[CCCM]:[WASH]], "")))</f>
        <v>Food Security</v>
      </c>
      <c r="AW146" s="190">
        <f>IFERROR(tblPiNAnalysis5[[#This Row],[3rd Highest Target]]/tblPiNAnalysis5[[#This Row],[Affected population projection 2026]], "")</f>
        <v>0.17885125251336606</v>
      </c>
      <c r="AX146" s="45">
        <f>IFERROR(tblPiNAnalysis5[[#This Row],[Highest Target]]-tblPiNAnalysis5[[#This Row],[3rd Highest Target]],"")</f>
        <v>12007.860109488462</v>
      </c>
      <c r="AY146" s="39">
        <f>IFERROR(tblPiNAnalysis5[[#This Row],[Difference of Target between Highest and 3rd Highest]]/tblPiNAnalysis5[[#This Row],[3rd Highest Target]], "")</f>
        <v>0.37950803372082448</v>
      </c>
      <c r="AZ146" s="330" t="str" cm="1">
        <f t="array" ref="AZ14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6" s="300" t="str" cm="1">
        <f t="array" ref="BA14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6" s="333" t="str" cm="1">
        <f t="array" ref="BB14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46" s="276" t="str" cm="1">
        <f t="array" ref="BC14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6" s="334" t="str" cm="1">
        <f t="array" ref="BD14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6" s="277" t="e">
        <f>INDEX(tblSeverityAnalysis[Final Severity], MATCH(tblPiNAnalysis5[[#This Row],[ID]],tblSeverityAnalysis[ID], 0))</f>
        <v>#N/A</v>
      </c>
      <c r="BF146" s="61" t="e">
        <f>IF(tblPiNAnalysis5[[#This Row],[Severity]]&gt;2,tblPiNAnalysis5[[#This Row],[Highest Target]],)</f>
        <v>#N/A</v>
      </c>
      <c r="BG146" s="191"/>
      <c r="BH146" s="192"/>
      <c r="BI146" s="193">
        <f>COUNTIFS(tblPiNAnalysis5[[#This Row],[Number of missing / zero PiNs greater than threshold - Data quality]:[Manual Flag]],"Flagged")</f>
        <v>1</v>
      </c>
      <c r="BJ146" s="96" t="str">
        <f>IF(tblPiNAnalysis5[[#This Row],['# Flags]]&gt;0, "Flagged", "")</f>
        <v>Flagged</v>
      </c>
      <c r="BK146" s="326" t="e">
        <f>tblPiNAnalysis5[[#This Row],[Preliminary Target]]</f>
        <v>#N/A</v>
      </c>
      <c r="BL146" s="331"/>
    </row>
    <row r="147" spans="1:64" ht="110.7" x14ac:dyDescent="0.55000000000000004">
      <c r="A1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7" s="316" t="s">
        <v>368</v>
      </c>
      <c r="C147" s="317" t="s">
        <v>369</v>
      </c>
      <c r="D147" s="317" t="s">
        <v>378</v>
      </c>
      <c r="E147" s="105" t="s">
        <v>379</v>
      </c>
      <c r="F147" s="100"/>
      <c r="G147" s="34"/>
      <c r="H147" s="34"/>
      <c r="I147" s="97">
        <v>85516.790119838945</v>
      </c>
      <c r="J147" s="97" t="s">
        <v>413</v>
      </c>
      <c r="K147" s="318">
        <v>0</v>
      </c>
      <c r="L147" s="319">
        <v>0</v>
      </c>
      <c r="M147" s="319">
        <v>0</v>
      </c>
      <c r="N147" s="319">
        <v>0</v>
      </c>
      <c r="O147" s="319">
        <v>0</v>
      </c>
      <c r="P147" s="319">
        <v>0</v>
      </c>
      <c r="Q147" s="320">
        <v>0</v>
      </c>
      <c r="R147" s="319">
        <v>0</v>
      </c>
      <c r="S147" s="319"/>
      <c r="T147" s="319"/>
      <c r="U147" s="319"/>
      <c r="V147" s="319"/>
      <c r="W147" s="321">
        <f>IFERROR(IF(tblPiNAnalysis5[[#This Row],[CCCM]]="", "", MROUND(tblPiNAnalysis5[[#This Row],[CCCM]]/tblPiNAnalysis5[[#This Row],[Affected population projection 2026]], 0.05)), "")</f>
        <v>0</v>
      </c>
      <c r="X147" s="322">
        <f>IFERROR(IF(tblPiNAnalysis5[[#This Row],[Education]]="", "", MROUND(tblPiNAnalysis5[[#This Row],[Education]]/tblPiNAnalysis5[[#This Row],[Affected population projection 2026]], 0.05)), "")</f>
        <v>0</v>
      </c>
      <c r="Y147" s="322">
        <f>IFERROR(IF(tblPiNAnalysis5[[#This Row],[Nutrition]]="", "", MROUND(tblPiNAnalysis5[[#This Row],[Nutrition]]/tblPiNAnalysis5[[#This Row],[Affected population projection 2026]], 0.05)), "")</f>
        <v>0</v>
      </c>
      <c r="Z147" s="322">
        <f>IFERROR(IF(tblPiNAnalysis5[[#This Row],[Food Security]]="", "", MROUND(tblPiNAnalysis5[[#This Row],[Food Security]]/tblPiNAnalysis5[[#This Row],[Affected population projection 2026]], 0.05)), "")</f>
        <v>0</v>
      </c>
      <c r="AA147" s="322">
        <f>IFERROR(IF(tblPiNAnalysis5[[#This Row],[Health]]="", "", MROUND(tblPiNAnalysis5[[#This Row],[Health]]/tblPiNAnalysis5[[#This Row],[Affected population projection 2026]], 0.05)), "")</f>
        <v>0</v>
      </c>
      <c r="AB147" s="323">
        <f>IFERROR(IF(tblPiNAnalysis5[[#This Row],[Overarching Protection]]="", "", MROUND(tblPiNAnalysis5[[#This Row],[Overarching Protection]]/tblPiNAnalysis5[[#This Row],[Affected population projection 2026]], 0.05)), "")</f>
        <v>0</v>
      </c>
      <c r="AC147" s="323">
        <f>IFERROR(IF(tblPiNAnalysis5[[#This Row],[Shelter]]="", "", MROUND(tblPiNAnalysis5[[#This Row],[Shelter]]/tblPiNAnalysis5[[#This Row],[Affected population projection 2026]], 0.05)), "")</f>
        <v>0</v>
      </c>
      <c r="AD147" s="324">
        <f>IFERROR(IF(tblPiNAnalysis5[[#This Row],[WASH]]="", "", MROUND(tblPiNAnalysis5[[#This Row],[WASH]]/tblPiNAnalysis5[[#This Row],[Affected population projection 2026]], 0.05)), "")</f>
        <v>0</v>
      </c>
      <c r="AE147" s="322">
        <f>IFERROR(MROUND(tblPiNAnalysis5[[#This Row],[CP]]/tblPiNAnalysis5[[#This Row],[Affected population projection 2026]], 0.05), "")</f>
        <v>0</v>
      </c>
      <c r="AF147" s="322">
        <f>IFERROR(MROUND(tblPiNAnalysis5[[#This Row],[GBV]]/tblPiNAnalysis5[[#This Row],[Affected population projection 2026]], 0.05), "")</f>
        <v>0</v>
      </c>
      <c r="AG147" s="322">
        <f>IFERROR(MROUND(tblPiNAnalysis5[[#This Row],[Mine Action]]/tblPiNAnalysis5[[#This Row],[Affected population projection 2026]], 0.05), "")</f>
        <v>0</v>
      </c>
      <c r="AH147" s="322">
        <f>IFERROR(MROUND(tblPiNAnalysis5[[#This Row],[HLP]]/tblPiNAnalysis5[[#This Row],[Affected population projection 2026]], 0.05), "")</f>
        <v>0</v>
      </c>
      <c r="AI147" s="325">
        <f>IFERROR(LARGE(tblPiNAnalysis5[[#This Row],[CCCM]:[WASH]], 1), "")</f>
        <v>0</v>
      </c>
      <c r="AJ147" s="326" t="str" cm="1">
        <f t="array" ref="AJ147">IF(tblPiNAnalysis5[[#This Row],[Highest Target]]="", "", _xlfn.TEXTJOIN(CHAR(10), TRUE, IF(tblPiNAnalysis5[[#This Row],[Highest Target]]=tblPiNAnalysis5[[#This Row],[CCCM]:[WASH]], tblPiNAnalysis5[[#Headers],[CCCM]:[WASH]], "")))</f>
        <v>CCCM
Education
Nutrition
Food Security
Health
Overarching Protection
Shelter
WASH</v>
      </c>
      <c r="AK147" s="327">
        <f>IF(tblPiNAnalysis5[[#This Row],[Highest Target]]="", "", tblPiNAnalysis5[[#This Row],[Highest Target]]/tblPiNAnalysis5[[#This Row],[Affected population projection 2026]])</f>
        <v>0</v>
      </c>
      <c r="AL147" s="328" t="str">
        <f>IF(SUM(tblPiNAnalysis5[[#This Row],[CCCM]:[WASH]])=0, "",IF(COUNTIF(tblPiNAnalysis5[[#This Row],[CCCM]:[WASH]],"=0")+COUNTIF(tblPiNAnalysis5[[#This Row],[CCCM]:[WASH]],"")&gt;=zero_pin_thresh, "Flagged", ""))</f>
        <v/>
      </c>
      <c r="AM147" s="329" t="str">
        <f>IFERROR(IF(tblPiNAnalysis5[[#This Row],[Highest Target]]="", "", IF(tblPiNAnalysis5[[#This Row],[Highest sector(s'') Target %]]&gt;=flag_pin_perc, "Flagged", "")), "")</f>
        <v/>
      </c>
      <c r="AN147" s="330" t="str" cm="1">
        <f t="array" ref="AN147">IF(tblPiNAnalysis5[[#This Row],[Highest Target]]=0, "",  IF(OR(COUNTIF(tblPiNAnalysis5[[#This Row],[Highest sector(s)]],tblSubSectorPopulation[Sector])), "Flagged", ""))</f>
        <v/>
      </c>
      <c r="AO147" s="46" cm="1">
        <f t="array" ref="AO14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47" s="331" t="str" cm="1">
        <f t="array" ref="AP147">IF(tblPiNAnalysis5[[#This Row],[2nd Highest Target]]="", "", _xlfn.TEXTJOIN(CHAR(10), TRUE, IF(tblPiNAnalysis5[[#This Row],[2nd Highest Target]]=tblPiNAnalysis5[[#This Row],[CCCM]:[WASH]], tblPiNAnalysis5[[#Headers],[CCCM]:[WASH]], "")))</f>
        <v>CCCM
Education
Nutrition
Food Security
Health
Overarching Protection
Shelter
WASH</v>
      </c>
      <c r="AQ147" s="36">
        <f>IFERROR(tblPiNAnalysis5[[#This Row],[2nd Highest Target]]/tblPiNAnalysis5[[#This Row],[Affected population projection 2026]], "")</f>
        <v>0</v>
      </c>
      <c r="AR147" s="46">
        <f>IFERROR(tblPiNAnalysis5[[#This Row],[Highest Target]]-tblPiNAnalysis5[[#This Row],[2nd Highest Target]], "")</f>
        <v>0</v>
      </c>
      <c r="AS147" s="39" t="str">
        <f>IFERROR(((tblPiNAnalysis5[[#This Row],[Highest Target]]-tblPiNAnalysis5[[#This Row],[2nd Highest Target]])/tblPiNAnalysis5[[#This Row],[2nd Highest Target]]),"")</f>
        <v/>
      </c>
      <c r="AT147" s="39" t="str" cm="1">
        <f t="array" ref="AT14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7" s="332" cm="1">
        <f t="array" ref="AU14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47" s="190" t="str" cm="1">
        <f t="array" ref="AV147">IF(tblPiNAnalysis5[[#This Row],[3rd Highest Target]]="", "", _xlfn.TEXTJOIN(CHAR(10), TRUE, IF(tblPiNAnalysis5[[#This Row],[3rd Highest Target]]=tblPiNAnalysis5[[#This Row],[CCCM]:[WASH]], tblPiNAnalysis5[[#Headers],[CCCM]:[WASH]], "")))</f>
        <v>CCCM
Education
Nutrition
Food Security
Health
Overarching Protection
Shelter
WASH</v>
      </c>
      <c r="AW147" s="190">
        <f>IFERROR(tblPiNAnalysis5[[#This Row],[3rd Highest Target]]/tblPiNAnalysis5[[#This Row],[Affected population projection 2026]], "")</f>
        <v>0</v>
      </c>
      <c r="AX147" s="45">
        <f>IFERROR(tblPiNAnalysis5[[#This Row],[Highest Target]]-tblPiNAnalysis5[[#This Row],[3rd Highest Target]],"")</f>
        <v>0</v>
      </c>
      <c r="AY147" s="39" t="str">
        <f>IFERROR(tblPiNAnalysis5[[#This Row],[Difference of Target between Highest and 3rd Highest]]/tblPiNAnalysis5[[#This Row],[3rd Highest Target]], "")</f>
        <v/>
      </c>
      <c r="AZ147" s="330" t="str" cm="1">
        <f t="array" ref="AZ14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7" s="300" t="str" cm="1">
        <f t="array" ref="BA14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7" s="333" t="str" cm="1">
        <f t="array" ref="BB14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47" s="276" t="str" cm="1">
        <f t="array" ref="BC14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7" s="334" t="str" cm="1">
        <f t="array" ref="BD14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7" s="277" t="e">
        <f>INDEX(tblSeverityAnalysis[Final Severity], MATCH(tblPiNAnalysis5[[#This Row],[ID]],tblSeverityAnalysis[ID], 0))</f>
        <v>#N/A</v>
      </c>
      <c r="BF147" s="61" t="e">
        <f>IF(tblPiNAnalysis5[[#This Row],[Severity]]&gt;2,tblPiNAnalysis5[[#This Row],[Highest Target]],)</f>
        <v>#N/A</v>
      </c>
      <c r="BG147" s="191"/>
      <c r="BH147" s="192"/>
      <c r="BI147" s="193">
        <f>COUNTIFS(tblPiNAnalysis5[[#This Row],[Number of missing / zero PiNs greater than threshold - Data quality]:[Manual Flag]],"Flagged")</f>
        <v>2</v>
      </c>
      <c r="BJ147" s="96" t="str">
        <f>IF(tblPiNAnalysis5[[#This Row],['# Flags]]&gt;0, "Flagged", "")</f>
        <v>Flagged</v>
      </c>
      <c r="BK147" s="326" t="e">
        <f>tblPiNAnalysis5[[#This Row],[Preliminary Target]]</f>
        <v>#N/A</v>
      </c>
      <c r="BL147" s="331"/>
    </row>
    <row r="148" spans="1:64" x14ac:dyDescent="0.55000000000000004">
      <c r="A1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8" s="316" t="s">
        <v>368</v>
      </c>
      <c r="C148" s="317" t="s">
        <v>369</v>
      </c>
      <c r="D148" s="317" t="s">
        <v>380</v>
      </c>
      <c r="E148" s="105" t="s">
        <v>381</v>
      </c>
      <c r="F148" s="100"/>
      <c r="G148" s="34"/>
      <c r="H148" s="34"/>
      <c r="I148" s="97">
        <v>56495.39881084334</v>
      </c>
      <c r="J148" s="97" t="s">
        <v>413</v>
      </c>
      <c r="K148" s="318">
        <v>0</v>
      </c>
      <c r="L148" s="319">
        <v>2081.3243894307552</v>
      </c>
      <c r="M148" s="319">
        <v>17614.645459844574</v>
      </c>
      <c r="N148" s="319">
        <v>18699.56245232631</v>
      </c>
      <c r="O148" s="319">
        <v>30716.835984956648</v>
      </c>
      <c r="P148" s="319">
        <v>7944.5064047114029</v>
      </c>
      <c r="Q148" s="320">
        <v>521.49598902316927</v>
      </c>
      <c r="R148" s="319">
        <v>7238.7151511321499</v>
      </c>
      <c r="S148" s="319"/>
      <c r="T148" s="319"/>
      <c r="U148" s="319"/>
      <c r="V148" s="319"/>
      <c r="W148" s="321">
        <f>IFERROR(IF(tblPiNAnalysis5[[#This Row],[CCCM]]="", "", MROUND(tblPiNAnalysis5[[#This Row],[CCCM]]/tblPiNAnalysis5[[#This Row],[Affected population projection 2026]], 0.05)), "")</f>
        <v>0</v>
      </c>
      <c r="X148" s="322">
        <f>IFERROR(IF(tblPiNAnalysis5[[#This Row],[Education]]="", "", MROUND(tblPiNAnalysis5[[#This Row],[Education]]/tblPiNAnalysis5[[#This Row],[Affected population projection 2026]], 0.05)), "")</f>
        <v>0.05</v>
      </c>
      <c r="Y148" s="322">
        <f>IFERROR(IF(tblPiNAnalysis5[[#This Row],[Nutrition]]="", "", MROUND(tblPiNAnalysis5[[#This Row],[Nutrition]]/tblPiNAnalysis5[[#This Row],[Affected population projection 2026]], 0.05)), "")</f>
        <v>0.30000000000000004</v>
      </c>
      <c r="Z148" s="322">
        <f>IFERROR(IF(tblPiNAnalysis5[[#This Row],[Food Security]]="", "", MROUND(tblPiNAnalysis5[[#This Row],[Food Security]]/tblPiNAnalysis5[[#This Row],[Affected population projection 2026]], 0.05)), "")</f>
        <v>0.35000000000000003</v>
      </c>
      <c r="AA148" s="322">
        <f>IFERROR(IF(tblPiNAnalysis5[[#This Row],[Health]]="", "", MROUND(tblPiNAnalysis5[[#This Row],[Health]]/tblPiNAnalysis5[[#This Row],[Affected population projection 2026]], 0.05)), "")</f>
        <v>0.55000000000000004</v>
      </c>
      <c r="AB148" s="323">
        <f>IFERROR(IF(tblPiNAnalysis5[[#This Row],[Overarching Protection]]="", "", MROUND(tblPiNAnalysis5[[#This Row],[Overarching Protection]]/tblPiNAnalysis5[[#This Row],[Affected population projection 2026]], 0.05)), "")</f>
        <v>0.15000000000000002</v>
      </c>
      <c r="AC148" s="323">
        <f>IFERROR(IF(tblPiNAnalysis5[[#This Row],[Shelter]]="", "", MROUND(tblPiNAnalysis5[[#This Row],[Shelter]]/tblPiNAnalysis5[[#This Row],[Affected population projection 2026]], 0.05)), "")</f>
        <v>0</v>
      </c>
      <c r="AD148" s="324">
        <f>IFERROR(IF(tblPiNAnalysis5[[#This Row],[WASH]]="", "", MROUND(tblPiNAnalysis5[[#This Row],[WASH]]/tblPiNAnalysis5[[#This Row],[Affected population projection 2026]], 0.05)), "")</f>
        <v>0.15000000000000002</v>
      </c>
      <c r="AE148" s="322">
        <f>IFERROR(MROUND(tblPiNAnalysis5[[#This Row],[CP]]/tblPiNAnalysis5[[#This Row],[Affected population projection 2026]], 0.05), "")</f>
        <v>0</v>
      </c>
      <c r="AF148" s="322">
        <f>IFERROR(MROUND(tblPiNAnalysis5[[#This Row],[GBV]]/tblPiNAnalysis5[[#This Row],[Affected population projection 2026]], 0.05), "")</f>
        <v>0</v>
      </c>
      <c r="AG148" s="322">
        <f>IFERROR(MROUND(tblPiNAnalysis5[[#This Row],[Mine Action]]/tblPiNAnalysis5[[#This Row],[Affected population projection 2026]], 0.05), "")</f>
        <v>0</v>
      </c>
      <c r="AH148" s="322">
        <f>IFERROR(MROUND(tblPiNAnalysis5[[#This Row],[HLP]]/tblPiNAnalysis5[[#This Row],[Affected population projection 2026]], 0.05), "")</f>
        <v>0</v>
      </c>
      <c r="AI148" s="325">
        <f>IFERROR(LARGE(tblPiNAnalysis5[[#This Row],[CCCM]:[WASH]], 1), "")</f>
        <v>30716.835984956648</v>
      </c>
      <c r="AJ148" s="326" t="str" cm="1">
        <f t="array" ref="AJ148">IF(tblPiNAnalysis5[[#This Row],[Highest Target]]="", "", _xlfn.TEXTJOIN(CHAR(10), TRUE, IF(tblPiNAnalysis5[[#This Row],[Highest Target]]=tblPiNAnalysis5[[#This Row],[CCCM]:[WASH]], tblPiNAnalysis5[[#Headers],[CCCM]:[WASH]], "")))</f>
        <v>Health</v>
      </c>
      <c r="AK148" s="327">
        <f>IF(tblPiNAnalysis5[[#This Row],[Highest Target]]="", "", tblPiNAnalysis5[[#This Row],[Highest Target]]/tblPiNAnalysis5[[#This Row],[Affected population projection 2026]])</f>
        <v>0.54370509159165481</v>
      </c>
      <c r="AL148" s="328" t="str">
        <f>IF(SUM(tblPiNAnalysis5[[#This Row],[CCCM]:[WASH]])=0, "",IF(COUNTIF(tblPiNAnalysis5[[#This Row],[CCCM]:[WASH]],"=0")+COUNTIF(tblPiNAnalysis5[[#This Row],[CCCM]:[WASH]],"")&gt;=zero_pin_thresh, "Flagged", ""))</f>
        <v/>
      </c>
      <c r="AM148" s="329" t="str">
        <f>IFERROR(IF(tblPiNAnalysis5[[#This Row],[Highest Target]]="", "", IF(tblPiNAnalysis5[[#This Row],[Highest sector(s'') Target %]]&gt;=flag_pin_perc, "Flagged", "")), "")</f>
        <v/>
      </c>
      <c r="AN148" s="330" t="str" cm="1">
        <f t="array" ref="AN148">IF(tblPiNAnalysis5[[#This Row],[Highest Target]]=0, "",  IF(OR(COUNTIF(tblPiNAnalysis5[[#This Row],[Highest sector(s)]],tblSubSectorPopulation[Sector])), "Flagged", ""))</f>
        <v/>
      </c>
      <c r="AO148" s="46" cm="1">
        <f t="array" ref="AO14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18699.56245232631</v>
      </c>
      <c r="AP148" s="331" t="str" cm="1">
        <f t="array" ref="AP148">IF(tblPiNAnalysis5[[#This Row],[2nd Highest Target]]="", "", _xlfn.TEXTJOIN(CHAR(10), TRUE, IF(tblPiNAnalysis5[[#This Row],[2nd Highest Target]]=tblPiNAnalysis5[[#This Row],[CCCM]:[WASH]], tblPiNAnalysis5[[#Headers],[CCCM]:[WASH]], "")))</f>
        <v>Food Security</v>
      </c>
      <c r="AQ148" s="36">
        <f>IFERROR(tblPiNAnalysis5[[#This Row],[2nd Highest Target]]/tblPiNAnalysis5[[#This Row],[Affected population projection 2026]], "")</f>
        <v>0.33099266216237849</v>
      </c>
      <c r="AR148" s="46">
        <f>IFERROR(tblPiNAnalysis5[[#This Row],[Highest Target]]-tblPiNAnalysis5[[#This Row],[2nd Highest Target]], "")</f>
        <v>12017.273532630337</v>
      </c>
      <c r="AS148" s="39">
        <f>IFERROR(((tblPiNAnalysis5[[#This Row],[Highest Target]]-tblPiNAnalysis5[[#This Row],[2nd Highest Target]])/tblPiNAnalysis5[[#This Row],[2nd Highest Target]]),"")</f>
        <v>0.64264998516771898</v>
      </c>
      <c r="AT148" s="39" t="str" cm="1">
        <f t="array" ref="AT14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48" s="332" cm="1">
        <f t="array" ref="AU14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17614.645459844574</v>
      </c>
      <c r="AV148" s="190" t="str" cm="1">
        <f t="array" ref="AV148">IF(tblPiNAnalysis5[[#This Row],[3rd Highest Target]]="", "", _xlfn.TEXTJOIN(CHAR(10), TRUE, IF(tblPiNAnalysis5[[#This Row],[3rd Highest Target]]=tblPiNAnalysis5[[#This Row],[CCCM]:[WASH]], tblPiNAnalysis5[[#Headers],[CCCM]:[WASH]], "")))</f>
        <v>Nutrition</v>
      </c>
      <c r="AW148" s="190">
        <f>IFERROR(tblPiNAnalysis5[[#This Row],[3rd Highest Target]]/tblPiNAnalysis5[[#This Row],[Affected population projection 2026]], "")</f>
        <v>0.31178902761305477</v>
      </c>
      <c r="AX148" s="45">
        <f>IFERROR(tblPiNAnalysis5[[#This Row],[Highest Target]]-tblPiNAnalysis5[[#This Row],[3rd Highest Target]],"")</f>
        <v>13102.190525112073</v>
      </c>
      <c r="AY148" s="39">
        <f>IFERROR(tblPiNAnalysis5[[#This Row],[Difference of Target between Highest and 3rd Highest]]/tblPiNAnalysis5[[#This Row],[3rd Highest Target]], "")</f>
        <v>0.74382368665782295</v>
      </c>
      <c r="AZ148" s="330" t="str" cm="1">
        <f t="array" ref="AZ14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48" s="300" t="str" cm="1">
        <f t="array" ref="BA14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8" s="333" t="str" cm="1">
        <f t="array" ref="BB14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48" s="276" t="str" cm="1">
        <f t="array" ref="BC14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8" s="334" t="str" cm="1">
        <f t="array" ref="BD14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48" s="277" t="e">
        <f>INDEX(tblSeverityAnalysis[Final Severity], MATCH(tblPiNAnalysis5[[#This Row],[ID]],tblSeverityAnalysis[ID], 0))</f>
        <v>#N/A</v>
      </c>
      <c r="BF148" s="61" t="e">
        <f>IF(tblPiNAnalysis5[[#This Row],[Severity]]&gt;2,tblPiNAnalysis5[[#This Row],[Highest Target]],)</f>
        <v>#N/A</v>
      </c>
      <c r="BG148" s="191"/>
      <c r="BH148" s="192"/>
      <c r="BI148" s="193">
        <f>COUNTIFS(tblPiNAnalysis5[[#This Row],[Number of missing / zero PiNs greater than threshold - Data quality]:[Manual Flag]],"Flagged")</f>
        <v>3</v>
      </c>
      <c r="BJ148" s="96" t="str">
        <f>IF(tblPiNAnalysis5[[#This Row],['# Flags]]&gt;0, "Flagged", "")</f>
        <v>Flagged</v>
      </c>
      <c r="BK148" s="326" t="e">
        <f>tblPiNAnalysis5[[#This Row],[Preliminary Target]]</f>
        <v>#N/A</v>
      </c>
      <c r="BL148" s="331"/>
    </row>
    <row r="149" spans="1:64" ht="110.7" x14ac:dyDescent="0.55000000000000004">
      <c r="A1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9" s="316" t="s">
        <v>382</v>
      </c>
      <c r="C149" s="317" t="s">
        <v>383</v>
      </c>
      <c r="D149" s="317" t="s">
        <v>384</v>
      </c>
      <c r="E149" s="105" t="s">
        <v>385</v>
      </c>
      <c r="F149" s="100"/>
      <c r="G149" s="34"/>
      <c r="H149" s="34"/>
      <c r="I149" s="97">
        <v>178742.31540837008</v>
      </c>
      <c r="J149" s="97" t="s">
        <v>413</v>
      </c>
      <c r="K149" s="318">
        <v>0</v>
      </c>
      <c r="L149" s="319">
        <v>0</v>
      </c>
      <c r="M149" s="319">
        <v>0</v>
      </c>
      <c r="N149" s="319">
        <v>0</v>
      </c>
      <c r="O149" s="319">
        <v>0</v>
      </c>
      <c r="P149" s="319">
        <v>0</v>
      </c>
      <c r="Q149" s="320">
        <v>0</v>
      </c>
      <c r="R149" s="319">
        <v>0</v>
      </c>
      <c r="S149" s="319"/>
      <c r="T149" s="319"/>
      <c r="U149" s="319"/>
      <c r="V149" s="319"/>
      <c r="W149" s="321">
        <f>IFERROR(IF(tblPiNAnalysis5[[#This Row],[CCCM]]="", "", MROUND(tblPiNAnalysis5[[#This Row],[CCCM]]/tblPiNAnalysis5[[#This Row],[Affected population projection 2026]], 0.05)), "")</f>
        <v>0</v>
      </c>
      <c r="X149" s="322">
        <f>IFERROR(IF(tblPiNAnalysis5[[#This Row],[Education]]="", "", MROUND(tblPiNAnalysis5[[#This Row],[Education]]/tblPiNAnalysis5[[#This Row],[Affected population projection 2026]], 0.05)), "")</f>
        <v>0</v>
      </c>
      <c r="Y149" s="322">
        <f>IFERROR(IF(tblPiNAnalysis5[[#This Row],[Nutrition]]="", "", MROUND(tblPiNAnalysis5[[#This Row],[Nutrition]]/tblPiNAnalysis5[[#This Row],[Affected population projection 2026]], 0.05)), "")</f>
        <v>0</v>
      </c>
      <c r="Z149" s="322">
        <f>IFERROR(IF(tblPiNAnalysis5[[#This Row],[Food Security]]="", "", MROUND(tblPiNAnalysis5[[#This Row],[Food Security]]/tblPiNAnalysis5[[#This Row],[Affected population projection 2026]], 0.05)), "")</f>
        <v>0</v>
      </c>
      <c r="AA149" s="322">
        <f>IFERROR(IF(tblPiNAnalysis5[[#This Row],[Health]]="", "", MROUND(tblPiNAnalysis5[[#This Row],[Health]]/tblPiNAnalysis5[[#This Row],[Affected population projection 2026]], 0.05)), "")</f>
        <v>0</v>
      </c>
      <c r="AB149" s="323">
        <f>IFERROR(IF(tblPiNAnalysis5[[#This Row],[Overarching Protection]]="", "", MROUND(tblPiNAnalysis5[[#This Row],[Overarching Protection]]/tblPiNAnalysis5[[#This Row],[Affected population projection 2026]], 0.05)), "")</f>
        <v>0</v>
      </c>
      <c r="AC149" s="323">
        <f>IFERROR(IF(tblPiNAnalysis5[[#This Row],[Shelter]]="", "", MROUND(tblPiNAnalysis5[[#This Row],[Shelter]]/tblPiNAnalysis5[[#This Row],[Affected population projection 2026]], 0.05)), "")</f>
        <v>0</v>
      </c>
      <c r="AD149" s="324">
        <f>IFERROR(IF(tblPiNAnalysis5[[#This Row],[WASH]]="", "", MROUND(tblPiNAnalysis5[[#This Row],[WASH]]/tblPiNAnalysis5[[#This Row],[Affected population projection 2026]], 0.05)), "")</f>
        <v>0</v>
      </c>
      <c r="AE149" s="322">
        <f>IFERROR(MROUND(tblPiNAnalysis5[[#This Row],[CP]]/tblPiNAnalysis5[[#This Row],[Affected population projection 2026]], 0.05), "")</f>
        <v>0</v>
      </c>
      <c r="AF149" s="322">
        <f>IFERROR(MROUND(tblPiNAnalysis5[[#This Row],[GBV]]/tblPiNAnalysis5[[#This Row],[Affected population projection 2026]], 0.05), "")</f>
        <v>0</v>
      </c>
      <c r="AG149" s="322">
        <f>IFERROR(MROUND(tblPiNAnalysis5[[#This Row],[Mine Action]]/tblPiNAnalysis5[[#This Row],[Affected population projection 2026]], 0.05), "")</f>
        <v>0</v>
      </c>
      <c r="AH149" s="322">
        <f>IFERROR(MROUND(tblPiNAnalysis5[[#This Row],[HLP]]/tblPiNAnalysis5[[#This Row],[Affected population projection 2026]], 0.05), "")</f>
        <v>0</v>
      </c>
      <c r="AI149" s="325">
        <f>IFERROR(LARGE(tblPiNAnalysis5[[#This Row],[CCCM]:[WASH]], 1), "")</f>
        <v>0</v>
      </c>
      <c r="AJ149" s="326" t="str" cm="1">
        <f t="array" ref="AJ149">IF(tblPiNAnalysis5[[#This Row],[Highest Target]]="", "", _xlfn.TEXTJOIN(CHAR(10), TRUE, IF(tblPiNAnalysis5[[#This Row],[Highest Target]]=tblPiNAnalysis5[[#This Row],[CCCM]:[WASH]], tblPiNAnalysis5[[#Headers],[CCCM]:[WASH]], "")))</f>
        <v>CCCM
Education
Nutrition
Food Security
Health
Overarching Protection
Shelter
WASH</v>
      </c>
      <c r="AK149" s="327">
        <f>IF(tblPiNAnalysis5[[#This Row],[Highest Target]]="", "", tblPiNAnalysis5[[#This Row],[Highest Target]]/tblPiNAnalysis5[[#This Row],[Affected population projection 2026]])</f>
        <v>0</v>
      </c>
      <c r="AL149" s="328" t="str">
        <f>IF(SUM(tblPiNAnalysis5[[#This Row],[CCCM]:[WASH]])=0, "",IF(COUNTIF(tblPiNAnalysis5[[#This Row],[CCCM]:[WASH]],"=0")+COUNTIF(tblPiNAnalysis5[[#This Row],[CCCM]:[WASH]],"")&gt;=zero_pin_thresh, "Flagged", ""))</f>
        <v/>
      </c>
      <c r="AM149" s="329" t="str">
        <f>IFERROR(IF(tblPiNAnalysis5[[#This Row],[Highest Target]]="", "", IF(tblPiNAnalysis5[[#This Row],[Highest sector(s'') Target %]]&gt;=flag_pin_perc, "Flagged", "")), "")</f>
        <v/>
      </c>
      <c r="AN149" s="330" t="str" cm="1">
        <f t="array" ref="AN149">IF(tblPiNAnalysis5[[#This Row],[Highest Target]]=0, "",  IF(OR(COUNTIF(tblPiNAnalysis5[[#This Row],[Highest sector(s)]],tblSubSectorPopulation[Sector])), "Flagged", ""))</f>
        <v/>
      </c>
      <c r="AO149" s="46" cm="1">
        <f t="array" ref="AO14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49" s="331" t="str" cm="1">
        <f t="array" ref="AP149">IF(tblPiNAnalysis5[[#This Row],[2nd Highest Target]]="", "", _xlfn.TEXTJOIN(CHAR(10), TRUE, IF(tblPiNAnalysis5[[#This Row],[2nd Highest Target]]=tblPiNAnalysis5[[#This Row],[CCCM]:[WASH]], tblPiNAnalysis5[[#Headers],[CCCM]:[WASH]], "")))</f>
        <v>CCCM
Education
Nutrition
Food Security
Health
Overarching Protection
Shelter
WASH</v>
      </c>
      <c r="AQ149" s="36">
        <f>IFERROR(tblPiNAnalysis5[[#This Row],[2nd Highest Target]]/tblPiNAnalysis5[[#This Row],[Affected population projection 2026]], "")</f>
        <v>0</v>
      </c>
      <c r="AR149" s="46">
        <f>IFERROR(tblPiNAnalysis5[[#This Row],[Highest Target]]-tblPiNAnalysis5[[#This Row],[2nd Highest Target]], "")</f>
        <v>0</v>
      </c>
      <c r="AS149" s="39" t="str">
        <f>IFERROR(((tblPiNAnalysis5[[#This Row],[Highest Target]]-tblPiNAnalysis5[[#This Row],[2nd Highest Target]])/tblPiNAnalysis5[[#This Row],[2nd Highest Target]]),"")</f>
        <v/>
      </c>
      <c r="AT149" s="39" t="str" cm="1">
        <f t="array" ref="AT14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49" s="332" cm="1">
        <f t="array" ref="AU14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49" s="190" t="str" cm="1">
        <f t="array" ref="AV149">IF(tblPiNAnalysis5[[#This Row],[3rd Highest Target]]="", "", _xlfn.TEXTJOIN(CHAR(10), TRUE, IF(tblPiNAnalysis5[[#This Row],[3rd Highest Target]]=tblPiNAnalysis5[[#This Row],[CCCM]:[WASH]], tblPiNAnalysis5[[#Headers],[CCCM]:[WASH]], "")))</f>
        <v>CCCM
Education
Nutrition
Food Security
Health
Overarching Protection
Shelter
WASH</v>
      </c>
      <c r="AW149" s="190">
        <f>IFERROR(tblPiNAnalysis5[[#This Row],[3rd Highest Target]]/tblPiNAnalysis5[[#This Row],[Affected population projection 2026]], "")</f>
        <v>0</v>
      </c>
      <c r="AX149" s="45">
        <f>IFERROR(tblPiNAnalysis5[[#This Row],[Highest Target]]-tblPiNAnalysis5[[#This Row],[3rd Highest Target]],"")</f>
        <v>0</v>
      </c>
      <c r="AY149" s="39" t="str">
        <f>IFERROR(tblPiNAnalysis5[[#This Row],[Difference of Target between Highest and 3rd Highest]]/tblPiNAnalysis5[[#This Row],[3rd Highest Target]], "")</f>
        <v/>
      </c>
      <c r="AZ149" s="330" t="str" cm="1">
        <f t="array" ref="AZ14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49" s="300" t="str" cm="1">
        <f t="array" ref="BA14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49" s="333" t="str" cm="1">
        <f t="array" ref="BB14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49" s="276" t="str" cm="1">
        <f t="array" ref="BC14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49" s="334" t="str" cm="1">
        <f t="array" ref="BD14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49" s="277" t="e">
        <f>INDEX(tblSeverityAnalysis[Final Severity], MATCH(tblPiNAnalysis5[[#This Row],[ID]],tblSeverityAnalysis[ID], 0))</f>
        <v>#N/A</v>
      </c>
      <c r="BF149" s="61" t="e">
        <f>IF(tblPiNAnalysis5[[#This Row],[Severity]]&gt;2,tblPiNAnalysis5[[#This Row],[Highest Target]],)</f>
        <v>#N/A</v>
      </c>
      <c r="BG149" s="191"/>
      <c r="BH149" s="192"/>
      <c r="BI149" s="193">
        <f>COUNTIFS(tblPiNAnalysis5[[#This Row],[Number of missing / zero PiNs greater than threshold - Data quality]:[Manual Flag]],"Flagged")</f>
        <v>2</v>
      </c>
      <c r="BJ149" s="96" t="str">
        <f>IF(tblPiNAnalysis5[[#This Row],['# Flags]]&gt;0, "Flagged", "")</f>
        <v>Flagged</v>
      </c>
      <c r="BK149" s="326" t="e">
        <f>tblPiNAnalysis5[[#This Row],[Preliminary Target]]</f>
        <v>#N/A</v>
      </c>
      <c r="BL149" s="331"/>
    </row>
    <row r="150" spans="1:64" x14ac:dyDescent="0.55000000000000004">
      <c r="A1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0" s="316" t="s">
        <v>382</v>
      </c>
      <c r="C150" s="317" t="s">
        <v>383</v>
      </c>
      <c r="D150" s="317" t="s">
        <v>386</v>
      </c>
      <c r="E150" s="105" t="s">
        <v>387</v>
      </c>
      <c r="F150" s="100"/>
      <c r="G150" s="34"/>
      <c r="H150" s="34"/>
      <c r="I150" s="97">
        <v>37008.275019605207</v>
      </c>
      <c r="J150" s="97" t="s">
        <v>413</v>
      </c>
      <c r="K150" s="318">
        <v>0</v>
      </c>
      <c r="L150" s="319">
        <v>974.08185389477194</v>
      </c>
      <c r="M150" s="319">
        <v>6828.848915426388</v>
      </c>
      <c r="N150" s="319">
        <v>4877.0036041966832</v>
      </c>
      <c r="O150" s="319">
        <v>6717.5159853429823</v>
      </c>
      <c r="P150" s="319">
        <v>1481.9083548387098</v>
      </c>
      <c r="Q150" s="320">
        <v>0</v>
      </c>
      <c r="R150" s="319">
        <v>732.9313725590539</v>
      </c>
      <c r="S150" s="319"/>
      <c r="T150" s="319"/>
      <c r="U150" s="319"/>
      <c r="V150" s="319"/>
      <c r="W150" s="321">
        <f>IFERROR(IF(tblPiNAnalysis5[[#This Row],[CCCM]]="", "", MROUND(tblPiNAnalysis5[[#This Row],[CCCM]]/tblPiNAnalysis5[[#This Row],[Affected population projection 2026]], 0.05)), "")</f>
        <v>0</v>
      </c>
      <c r="X150" s="322">
        <f>IFERROR(IF(tblPiNAnalysis5[[#This Row],[Education]]="", "", MROUND(tblPiNAnalysis5[[#This Row],[Education]]/tblPiNAnalysis5[[#This Row],[Affected population projection 2026]], 0.05)), "")</f>
        <v>0.05</v>
      </c>
      <c r="Y150" s="322">
        <f>IFERROR(IF(tblPiNAnalysis5[[#This Row],[Nutrition]]="", "", MROUND(tblPiNAnalysis5[[#This Row],[Nutrition]]/tblPiNAnalysis5[[#This Row],[Affected population projection 2026]], 0.05)), "")</f>
        <v>0.2</v>
      </c>
      <c r="Z150" s="322">
        <f>IFERROR(IF(tblPiNAnalysis5[[#This Row],[Food Security]]="", "", MROUND(tblPiNAnalysis5[[#This Row],[Food Security]]/tblPiNAnalysis5[[#This Row],[Affected population projection 2026]], 0.05)), "")</f>
        <v>0.15000000000000002</v>
      </c>
      <c r="AA150" s="322">
        <f>IFERROR(IF(tblPiNAnalysis5[[#This Row],[Health]]="", "", MROUND(tblPiNAnalysis5[[#This Row],[Health]]/tblPiNAnalysis5[[#This Row],[Affected population projection 2026]], 0.05)), "")</f>
        <v>0.2</v>
      </c>
      <c r="AB150" s="323">
        <f>IFERROR(IF(tblPiNAnalysis5[[#This Row],[Overarching Protection]]="", "", MROUND(tblPiNAnalysis5[[#This Row],[Overarching Protection]]/tblPiNAnalysis5[[#This Row],[Affected population projection 2026]], 0.05)), "")</f>
        <v>0.05</v>
      </c>
      <c r="AC150" s="323">
        <f>IFERROR(IF(tblPiNAnalysis5[[#This Row],[Shelter]]="", "", MROUND(tblPiNAnalysis5[[#This Row],[Shelter]]/tblPiNAnalysis5[[#This Row],[Affected population projection 2026]], 0.05)), "")</f>
        <v>0</v>
      </c>
      <c r="AD150" s="324">
        <f>IFERROR(IF(tblPiNAnalysis5[[#This Row],[WASH]]="", "", MROUND(tblPiNAnalysis5[[#This Row],[WASH]]/tblPiNAnalysis5[[#This Row],[Affected population projection 2026]], 0.05)), "")</f>
        <v>0</v>
      </c>
      <c r="AE150" s="322">
        <f>IFERROR(MROUND(tblPiNAnalysis5[[#This Row],[CP]]/tblPiNAnalysis5[[#This Row],[Affected population projection 2026]], 0.05), "")</f>
        <v>0</v>
      </c>
      <c r="AF150" s="322">
        <f>IFERROR(MROUND(tblPiNAnalysis5[[#This Row],[GBV]]/tblPiNAnalysis5[[#This Row],[Affected population projection 2026]], 0.05), "")</f>
        <v>0</v>
      </c>
      <c r="AG150" s="322">
        <f>IFERROR(MROUND(tblPiNAnalysis5[[#This Row],[Mine Action]]/tblPiNAnalysis5[[#This Row],[Affected population projection 2026]], 0.05), "")</f>
        <v>0</v>
      </c>
      <c r="AH150" s="322">
        <f>IFERROR(MROUND(tblPiNAnalysis5[[#This Row],[HLP]]/tblPiNAnalysis5[[#This Row],[Affected population projection 2026]], 0.05), "")</f>
        <v>0</v>
      </c>
      <c r="AI150" s="325">
        <f>IFERROR(LARGE(tblPiNAnalysis5[[#This Row],[CCCM]:[WASH]], 1), "")</f>
        <v>6828.848915426388</v>
      </c>
      <c r="AJ150" s="326" t="str" cm="1">
        <f t="array" ref="AJ150">IF(tblPiNAnalysis5[[#This Row],[Highest Target]]="", "", _xlfn.TEXTJOIN(CHAR(10), TRUE, IF(tblPiNAnalysis5[[#This Row],[Highest Target]]=tblPiNAnalysis5[[#This Row],[CCCM]:[WASH]], tblPiNAnalysis5[[#Headers],[CCCM]:[WASH]], "")))</f>
        <v>Nutrition</v>
      </c>
      <c r="AK150" s="327">
        <f>IF(tblPiNAnalysis5[[#This Row],[Highest Target]]="", "", tblPiNAnalysis5[[#This Row],[Highest Target]]/tblPiNAnalysis5[[#This Row],[Affected population projection 2026]])</f>
        <v>0.1845222159586955</v>
      </c>
      <c r="AL150" s="328" t="str">
        <f>IF(SUM(tblPiNAnalysis5[[#This Row],[CCCM]:[WASH]])=0, "",IF(COUNTIF(tblPiNAnalysis5[[#This Row],[CCCM]:[WASH]],"=0")+COUNTIF(tblPiNAnalysis5[[#This Row],[CCCM]:[WASH]],"")&gt;=zero_pin_thresh, "Flagged", ""))</f>
        <v>Flagged</v>
      </c>
      <c r="AM150" s="329" t="str">
        <f>IFERROR(IF(tblPiNAnalysis5[[#This Row],[Highest Target]]="", "", IF(tblPiNAnalysis5[[#This Row],[Highest sector(s'') Target %]]&gt;=flag_pin_perc, "Flagged", "")), "")</f>
        <v/>
      </c>
      <c r="AN150" s="330" t="str" cm="1">
        <f t="array" ref="AN150">IF(tblPiNAnalysis5[[#This Row],[Highest Target]]=0, "",  IF(OR(COUNTIF(tblPiNAnalysis5[[#This Row],[Highest sector(s)]],tblSubSectorPopulation[Sector])), "Flagged", ""))</f>
        <v/>
      </c>
      <c r="AO150" s="46" cm="1">
        <f t="array" ref="AO15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6717.5159853429823</v>
      </c>
      <c r="AP150" s="331" t="str" cm="1">
        <f t="array" ref="AP150">IF(tblPiNAnalysis5[[#This Row],[2nd Highest Target]]="", "", _xlfn.TEXTJOIN(CHAR(10), TRUE, IF(tblPiNAnalysis5[[#This Row],[2nd Highest Target]]=tblPiNAnalysis5[[#This Row],[CCCM]:[WASH]], tblPiNAnalysis5[[#Headers],[CCCM]:[WASH]], "")))</f>
        <v>Health</v>
      </c>
      <c r="AQ150" s="36">
        <f>IFERROR(tblPiNAnalysis5[[#This Row],[2nd Highest Target]]/tblPiNAnalysis5[[#This Row],[Affected population projection 2026]], "")</f>
        <v>0.18151389065781545</v>
      </c>
      <c r="AR150" s="46">
        <f>IFERROR(tblPiNAnalysis5[[#This Row],[Highest Target]]-tblPiNAnalysis5[[#This Row],[2nd Highest Target]], "")</f>
        <v>111.3329300834057</v>
      </c>
      <c r="AS150" s="39">
        <f>IFERROR(((tblPiNAnalysis5[[#This Row],[Highest Target]]-tblPiNAnalysis5[[#This Row],[2nd Highest Target]])/tblPiNAnalysis5[[#This Row],[2nd Highest Target]]),"")</f>
        <v>1.6573526631916347E-2</v>
      </c>
      <c r="AT150" s="39" t="str" cm="1">
        <f t="array" ref="AT15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0" s="332" cm="1">
        <f t="array" ref="AU15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4877.0036041966832</v>
      </c>
      <c r="AV150" s="190" t="str" cm="1">
        <f t="array" ref="AV150">IF(tblPiNAnalysis5[[#This Row],[3rd Highest Target]]="", "", _xlfn.TEXTJOIN(CHAR(10), TRUE, IF(tblPiNAnalysis5[[#This Row],[3rd Highest Target]]=tblPiNAnalysis5[[#This Row],[CCCM]:[WASH]], tblPiNAnalysis5[[#Headers],[CCCM]:[WASH]], "")))</f>
        <v>Food Security</v>
      </c>
      <c r="AW150" s="190">
        <f>IFERROR(tblPiNAnalysis5[[#This Row],[3rd Highest Target]]/tblPiNAnalysis5[[#This Row],[Affected population projection 2026]], "")</f>
        <v>0.13178143541175807</v>
      </c>
      <c r="AX150" s="45">
        <f>IFERROR(tblPiNAnalysis5[[#This Row],[Highest Target]]-tblPiNAnalysis5[[#This Row],[3rd Highest Target]],"")</f>
        <v>1951.8453112297047</v>
      </c>
      <c r="AY150" s="39">
        <f>IFERROR(tblPiNAnalysis5[[#This Row],[Difference of Target between Highest and 3rd Highest]]/tblPiNAnalysis5[[#This Row],[3rd Highest Target]], "")</f>
        <v>0.40021403911822684</v>
      </c>
      <c r="AZ150" s="330" t="str" cm="1">
        <f t="array" ref="AZ15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0" s="300" t="str" cm="1">
        <f t="array" ref="BA15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0" s="333" t="str" cm="1">
        <f t="array" ref="BB15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50" s="276" t="str" cm="1">
        <f t="array" ref="BC15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0" s="334" t="str" cm="1">
        <f t="array" ref="BD15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0" s="277" t="e">
        <f>INDEX(tblSeverityAnalysis[Final Severity], MATCH(tblPiNAnalysis5[[#This Row],[ID]],tblSeverityAnalysis[ID], 0))</f>
        <v>#N/A</v>
      </c>
      <c r="BF150" s="61" t="e">
        <f>IF(tblPiNAnalysis5[[#This Row],[Severity]]&gt;2,tblPiNAnalysis5[[#This Row],[Highest Target]],)</f>
        <v>#N/A</v>
      </c>
      <c r="BG150" s="191"/>
      <c r="BH150" s="192"/>
      <c r="BI150" s="193">
        <f>COUNTIFS(tblPiNAnalysis5[[#This Row],[Number of missing / zero PiNs greater than threshold - Data quality]:[Manual Flag]],"Flagged")</f>
        <v>2</v>
      </c>
      <c r="BJ150" s="96" t="str">
        <f>IF(tblPiNAnalysis5[[#This Row],['# Flags]]&gt;0, "Flagged", "")</f>
        <v>Flagged</v>
      </c>
      <c r="BK150" s="326" t="e">
        <f>tblPiNAnalysis5[[#This Row],[Preliminary Target]]</f>
        <v>#N/A</v>
      </c>
      <c r="BL150" s="331"/>
    </row>
    <row r="151" spans="1:64" ht="110.7" x14ac:dyDescent="0.55000000000000004">
      <c r="A1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1" s="316" t="s">
        <v>382</v>
      </c>
      <c r="C151" s="317" t="s">
        <v>383</v>
      </c>
      <c r="D151" s="317" t="s">
        <v>388</v>
      </c>
      <c r="E151" s="105" t="s">
        <v>389</v>
      </c>
      <c r="F151" s="100"/>
      <c r="G151" s="34"/>
      <c r="H151" s="34"/>
      <c r="I151" s="97">
        <v>225180.53774946873</v>
      </c>
      <c r="J151" s="97" t="s">
        <v>413</v>
      </c>
      <c r="K151" s="318">
        <v>0</v>
      </c>
      <c r="L151" s="319">
        <v>0</v>
      </c>
      <c r="M151" s="319">
        <v>0</v>
      </c>
      <c r="N151" s="319">
        <v>0</v>
      </c>
      <c r="O151" s="319">
        <v>0</v>
      </c>
      <c r="P151" s="319">
        <v>0</v>
      </c>
      <c r="Q151" s="320">
        <v>0</v>
      </c>
      <c r="R151" s="319">
        <v>0</v>
      </c>
      <c r="S151" s="319"/>
      <c r="T151" s="319"/>
      <c r="U151" s="319"/>
      <c r="V151" s="319"/>
      <c r="W151" s="321">
        <f>IFERROR(IF(tblPiNAnalysis5[[#This Row],[CCCM]]="", "", MROUND(tblPiNAnalysis5[[#This Row],[CCCM]]/tblPiNAnalysis5[[#This Row],[Affected population projection 2026]], 0.05)), "")</f>
        <v>0</v>
      </c>
      <c r="X151" s="322">
        <f>IFERROR(IF(tblPiNAnalysis5[[#This Row],[Education]]="", "", MROUND(tblPiNAnalysis5[[#This Row],[Education]]/tblPiNAnalysis5[[#This Row],[Affected population projection 2026]], 0.05)), "")</f>
        <v>0</v>
      </c>
      <c r="Y151" s="322">
        <f>IFERROR(IF(tblPiNAnalysis5[[#This Row],[Nutrition]]="", "", MROUND(tblPiNAnalysis5[[#This Row],[Nutrition]]/tblPiNAnalysis5[[#This Row],[Affected population projection 2026]], 0.05)), "")</f>
        <v>0</v>
      </c>
      <c r="Z151" s="322">
        <f>IFERROR(IF(tblPiNAnalysis5[[#This Row],[Food Security]]="", "", MROUND(tblPiNAnalysis5[[#This Row],[Food Security]]/tblPiNAnalysis5[[#This Row],[Affected population projection 2026]], 0.05)), "")</f>
        <v>0</v>
      </c>
      <c r="AA151" s="322">
        <f>IFERROR(IF(tblPiNAnalysis5[[#This Row],[Health]]="", "", MROUND(tblPiNAnalysis5[[#This Row],[Health]]/tblPiNAnalysis5[[#This Row],[Affected population projection 2026]], 0.05)), "")</f>
        <v>0</v>
      </c>
      <c r="AB151" s="323">
        <f>IFERROR(IF(tblPiNAnalysis5[[#This Row],[Overarching Protection]]="", "", MROUND(tblPiNAnalysis5[[#This Row],[Overarching Protection]]/tblPiNAnalysis5[[#This Row],[Affected population projection 2026]], 0.05)), "")</f>
        <v>0</v>
      </c>
      <c r="AC151" s="323">
        <f>IFERROR(IF(tblPiNAnalysis5[[#This Row],[Shelter]]="", "", MROUND(tblPiNAnalysis5[[#This Row],[Shelter]]/tblPiNAnalysis5[[#This Row],[Affected population projection 2026]], 0.05)), "")</f>
        <v>0</v>
      </c>
      <c r="AD151" s="324">
        <f>IFERROR(IF(tblPiNAnalysis5[[#This Row],[WASH]]="", "", MROUND(tblPiNAnalysis5[[#This Row],[WASH]]/tblPiNAnalysis5[[#This Row],[Affected population projection 2026]], 0.05)), "")</f>
        <v>0</v>
      </c>
      <c r="AE151" s="322">
        <f>IFERROR(MROUND(tblPiNAnalysis5[[#This Row],[CP]]/tblPiNAnalysis5[[#This Row],[Affected population projection 2026]], 0.05), "")</f>
        <v>0</v>
      </c>
      <c r="AF151" s="322">
        <f>IFERROR(MROUND(tblPiNAnalysis5[[#This Row],[GBV]]/tblPiNAnalysis5[[#This Row],[Affected population projection 2026]], 0.05), "")</f>
        <v>0</v>
      </c>
      <c r="AG151" s="322">
        <f>IFERROR(MROUND(tblPiNAnalysis5[[#This Row],[Mine Action]]/tblPiNAnalysis5[[#This Row],[Affected population projection 2026]], 0.05), "")</f>
        <v>0</v>
      </c>
      <c r="AH151" s="322">
        <f>IFERROR(MROUND(tblPiNAnalysis5[[#This Row],[HLP]]/tblPiNAnalysis5[[#This Row],[Affected population projection 2026]], 0.05), "")</f>
        <v>0</v>
      </c>
      <c r="AI151" s="325">
        <f>IFERROR(LARGE(tblPiNAnalysis5[[#This Row],[CCCM]:[WASH]], 1), "")</f>
        <v>0</v>
      </c>
      <c r="AJ151" s="326" t="str" cm="1">
        <f t="array" ref="AJ151">IF(tblPiNAnalysis5[[#This Row],[Highest Target]]="", "", _xlfn.TEXTJOIN(CHAR(10), TRUE, IF(tblPiNAnalysis5[[#This Row],[Highest Target]]=tblPiNAnalysis5[[#This Row],[CCCM]:[WASH]], tblPiNAnalysis5[[#Headers],[CCCM]:[WASH]], "")))</f>
        <v>CCCM
Education
Nutrition
Food Security
Health
Overarching Protection
Shelter
WASH</v>
      </c>
      <c r="AK151" s="327">
        <f>IF(tblPiNAnalysis5[[#This Row],[Highest Target]]="", "", tblPiNAnalysis5[[#This Row],[Highest Target]]/tblPiNAnalysis5[[#This Row],[Affected population projection 2026]])</f>
        <v>0</v>
      </c>
      <c r="AL151" s="328" t="str">
        <f>IF(SUM(tblPiNAnalysis5[[#This Row],[CCCM]:[WASH]])=0, "",IF(COUNTIF(tblPiNAnalysis5[[#This Row],[CCCM]:[WASH]],"=0")+COUNTIF(tblPiNAnalysis5[[#This Row],[CCCM]:[WASH]],"")&gt;=zero_pin_thresh, "Flagged", ""))</f>
        <v/>
      </c>
      <c r="AM151" s="329" t="str">
        <f>IFERROR(IF(tblPiNAnalysis5[[#This Row],[Highest Target]]="", "", IF(tblPiNAnalysis5[[#This Row],[Highest sector(s'') Target %]]&gt;=flag_pin_perc, "Flagged", "")), "")</f>
        <v/>
      </c>
      <c r="AN151" s="330" t="str" cm="1">
        <f t="array" ref="AN151">IF(tblPiNAnalysis5[[#This Row],[Highest Target]]=0, "",  IF(OR(COUNTIF(tblPiNAnalysis5[[#This Row],[Highest sector(s)]],tblSubSectorPopulation[Sector])), "Flagged", ""))</f>
        <v/>
      </c>
      <c r="AO151" s="46" cm="1">
        <f t="array" ref="AO15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1" s="331" t="str" cm="1">
        <f t="array" ref="AP151">IF(tblPiNAnalysis5[[#This Row],[2nd Highest Target]]="", "", _xlfn.TEXTJOIN(CHAR(10), TRUE, IF(tblPiNAnalysis5[[#This Row],[2nd Highest Target]]=tblPiNAnalysis5[[#This Row],[CCCM]:[WASH]], tblPiNAnalysis5[[#Headers],[CCCM]:[WASH]], "")))</f>
        <v>CCCM
Education
Nutrition
Food Security
Health
Overarching Protection
Shelter
WASH</v>
      </c>
      <c r="AQ151" s="36">
        <f>IFERROR(tblPiNAnalysis5[[#This Row],[2nd Highest Target]]/tblPiNAnalysis5[[#This Row],[Affected population projection 2026]], "")</f>
        <v>0</v>
      </c>
      <c r="AR151" s="46">
        <f>IFERROR(tblPiNAnalysis5[[#This Row],[Highest Target]]-tblPiNAnalysis5[[#This Row],[2nd Highest Target]], "")</f>
        <v>0</v>
      </c>
      <c r="AS151" s="39" t="str">
        <f>IFERROR(((tblPiNAnalysis5[[#This Row],[Highest Target]]-tblPiNAnalysis5[[#This Row],[2nd Highest Target]])/tblPiNAnalysis5[[#This Row],[2nd Highest Target]]),"")</f>
        <v/>
      </c>
      <c r="AT151" s="39" t="str" cm="1">
        <f t="array" ref="AT15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1" s="332" cm="1">
        <f t="array" ref="AU15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1" s="190" t="str" cm="1">
        <f t="array" ref="AV151">IF(tblPiNAnalysis5[[#This Row],[3rd Highest Target]]="", "", _xlfn.TEXTJOIN(CHAR(10), TRUE, IF(tblPiNAnalysis5[[#This Row],[3rd Highest Target]]=tblPiNAnalysis5[[#This Row],[CCCM]:[WASH]], tblPiNAnalysis5[[#Headers],[CCCM]:[WASH]], "")))</f>
        <v>CCCM
Education
Nutrition
Food Security
Health
Overarching Protection
Shelter
WASH</v>
      </c>
      <c r="AW151" s="190">
        <f>IFERROR(tblPiNAnalysis5[[#This Row],[3rd Highest Target]]/tblPiNAnalysis5[[#This Row],[Affected population projection 2026]], "")</f>
        <v>0</v>
      </c>
      <c r="AX151" s="45">
        <f>IFERROR(tblPiNAnalysis5[[#This Row],[Highest Target]]-tblPiNAnalysis5[[#This Row],[3rd Highest Target]],"")</f>
        <v>0</v>
      </c>
      <c r="AY151" s="39" t="str">
        <f>IFERROR(tblPiNAnalysis5[[#This Row],[Difference of Target between Highest and 3rd Highest]]/tblPiNAnalysis5[[#This Row],[3rd Highest Target]], "")</f>
        <v/>
      </c>
      <c r="AZ151" s="330" t="str" cm="1">
        <f t="array" ref="AZ15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1" s="300" t="str" cm="1">
        <f t="array" ref="BA15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1" s="333" t="str" cm="1">
        <f t="array" ref="BB15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1" s="276" t="str" cm="1">
        <f t="array" ref="BC15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1" s="334" t="str" cm="1">
        <f t="array" ref="BD15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1" s="277" t="e">
        <f>INDEX(tblSeverityAnalysis[Final Severity], MATCH(tblPiNAnalysis5[[#This Row],[ID]],tblSeverityAnalysis[ID], 0))</f>
        <v>#N/A</v>
      </c>
      <c r="BF151" s="61" t="e">
        <f>IF(tblPiNAnalysis5[[#This Row],[Severity]]&gt;2,tblPiNAnalysis5[[#This Row],[Highest Target]],)</f>
        <v>#N/A</v>
      </c>
      <c r="BG151" s="191"/>
      <c r="BH151" s="192"/>
      <c r="BI151" s="193">
        <f>COUNTIFS(tblPiNAnalysis5[[#This Row],[Number of missing / zero PiNs greater than threshold - Data quality]:[Manual Flag]],"Flagged")</f>
        <v>2</v>
      </c>
      <c r="BJ151" s="96" t="str">
        <f>IF(tblPiNAnalysis5[[#This Row],['# Flags]]&gt;0, "Flagged", "")</f>
        <v>Flagged</v>
      </c>
      <c r="BK151" s="326" t="e">
        <f>tblPiNAnalysis5[[#This Row],[Preliminary Target]]</f>
        <v>#N/A</v>
      </c>
      <c r="BL151" s="331"/>
    </row>
    <row r="152" spans="1:64" x14ac:dyDescent="0.55000000000000004">
      <c r="A1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2" s="316" t="s">
        <v>390</v>
      </c>
      <c r="C152" s="317" t="s">
        <v>391</v>
      </c>
      <c r="D152" s="317" t="s">
        <v>392</v>
      </c>
      <c r="E152" s="105" t="s">
        <v>393</v>
      </c>
      <c r="F152" s="100"/>
      <c r="G152" s="34"/>
      <c r="H152" s="34"/>
      <c r="I152" s="97">
        <v>73520.181474041485</v>
      </c>
      <c r="J152" s="97" t="s">
        <v>413</v>
      </c>
      <c r="K152" s="318">
        <v>0</v>
      </c>
      <c r="L152" s="319">
        <v>1617.1535877120905</v>
      </c>
      <c r="M152" s="319">
        <v>16896.767191904608</v>
      </c>
      <c r="N152" s="319">
        <v>3680.1981748222975</v>
      </c>
      <c r="O152" s="319">
        <v>9084.3314665140006</v>
      </c>
      <c r="P152" s="319">
        <v>2348.0992557011391</v>
      </c>
      <c r="Q152" s="320">
        <v>524.56444217331159</v>
      </c>
      <c r="R152" s="319">
        <v>16136.116647251903</v>
      </c>
      <c r="S152" s="319"/>
      <c r="T152" s="319"/>
      <c r="U152" s="319"/>
      <c r="V152" s="319"/>
      <c r="W152" s="321">
        <f>IFERROR(IF(tblPiNAnalysis5[[#This Row],[CCCM]]="", "", MROUND(tblPiNAnalysis5[[#This Row],[CCCM]]/tblPiNAnalysis5[[#This Row],[Affected population projection 2026]], 0.05)), "")</f>
        <v>0</v>
      </c>
      <c r="X152" s="322">
        <f>IFERROR(IF(tblPiNAnalysis5[[#This Row],[Education]]="", "", MROUND(tblPiNAnalysis5[[#This Row],[Education]]/tblPiNAnalysis5[[#This Row],[Affected population projection 2026]], 0.05)), "")</f>
        <v>0</v>
      </c>
      <c r="Y152" s="322">
        <f>IFERROR(IF(tblPiNAnalysis5[[#This Row],[Nutrition]]="", "", MROUND(tblPiNAnalysis5[[#This Row],[Nutrition]]/tblPiNAnalysis5[[#This Row],[Affected population projection 2026]], 0.05)), "")</f>
        <v>0.25</v>
      </c>
      <c r="Z152" s="322">
        <f>IFERROR(IF(tblPiNAnalysis5[[#This Row],[Food Security]]="", "", MROUND(tblPiNAnalysis5[[#This Row],[Food Security]]/tblPiNAnalysis5[[#This Row],[Affected population projection 2026]], 0.05)), "")</f>
        <v>0.05</v>
      </c>
      <c r="AA152" s="322">
        <f>IFERROR(IF(tblPiNAnalysis5[[#This Row],[Health]]="", "", MROUND(tblPiNAnalysis5[[#This Row],[Health]]/tblPiNAnalysis5[[#This Row],[Affected population projection 2026]], 0.05)), "")</f>
        <v>0.1</v>
      </c>
      <c r="AB152" s="323">
        <f>IFERROR(IF(tblPiNAnalysis5[[#This Row],[Overarching Protection]]="", "", MROUND(tblPiNAnalysis5[[#This Row],[Overarching Protection]]/tblPiNAnalysis5[[#This Row],[Affected population projection 2026]], 0.05)), "")</f>
        <v>0.05</v>
      </c>
      <c r="AC152" s="323">
        <f>IFERROR(IF(tblPiNAnalysis5[[#This Row],[Shelter]]="", "", MROUND(tblPiNAnalysis5[[#This Row],[Shelter]]/tblPiNAnalysis5[[#This Row],[Affected population projection 2026]], 0.05)), "")</f>
        <v>0</v>
      </c>
      <c r="AD152" s="324">
        <f>IFERROR(IF(tblPiNAnalysis5[[#This Row],[WASH]]="", "", MROUND(tblPiNAnalysis5[[#This Row],[WASH]]/tblPiNAnalysis5[[#This Row],[Affected population projection 2026]], 0.05)), "")</f>
        <v>0.2</v>
      </c>
      <c r="AE152" s="322">
        <f>IFERROR(MROUND(tblPiNAnalysis5[[#This Row],[CP]]/tblPiNAnalysis5[[#This Row],[Affected population projection 2026]], 0.05), "")</f>
        <v>0</v>
      </c>
      <c r="AF152" s="322">
        <f>IFERROR(MROUND(tblPiNAnalysis5[[#This Row],[GBV]]/tblPiNAnalysis5[[#This Row],[Affected population projection 2026]], 0.05), "")</f>
        <v>0</v>
      </c>
      <c r="AG152" s="322">
        <f>IFERROR(MROUND(tblPiNAnalysis5[[#This Row],[Mine Action]]/tblPiNAnalysis5[[#This Row],[Affected population projection 2026]], 0.05), "")</f>
        <v>0</v>
      </c>
      <c r="AH152" s="322">
        <f>IFERROR(MROUND(tblPiNAnalysis5[[#This Row],[HLP]]/tblPiNAnalysis5[[#This Row],[Affected population projection 2026]], 0.05), "")</f>
        <v>0</v>
      </c>
      <c r="AI152" s="325">
        <f>IFERROR(LARGE(tblPiNAnalysis5[[#This Row],[CCCM]:[WASH]], 1), "")</f>
        <v>16896.767191904608</v>
      </c>
      <c r="AJ152" s="326" t="str" cm="1">
        <f t="array" ref="AJ152">IF(tblPiNAnalysis5[[#This Row],[Highest Target]]="", "", _xlfn.TEXTJOIN(CHAR(10), TRUE, IF(tblPiNAnalysis5[[#This Row],[Highest Target]]=tblPiNAnalysis5[[#This Row],[CCCM]:[WASH]], tblPiNAnalysis5[[#Headers],[CCCM]:[WASH]], "")))</f>
        <v>Nutrition</v>
      </c>
      <c r="AK152" s="327">
        <f>IF(tblPiNAnalysis5[[#This Row],[Highest Target]]="", "", tblPiNAnalysis5[[#This Row],[Highest Target]]/tblPiNAnalysis5[[#This Row],[Affected population projection 2026]])</f>
        <v>0.22982488417646957</v>
      </c>
      <c r="AL152" s="328" t="str">
        <f>IF(SUM(tblPiNAnalysis5[[#This Row],[CCCM]:[WASH]])=0, "",IF(COUNTIF(tblPiNAnalysis5[[#This Row],[CCCM]:[WASH]],"=0")+COUNTIF(tblPiNAnalysis5[[#This Row],[CCCM]:[WASH]],"")&gt;=zero_pin_thresh, "Flagged", ""))</f>
        <v/>
      </c>
      <c r="AM152" s="329" t="str">
        <f>IFERROR(IF(tblPiNAnalysis5[[#This Row],[Highest Target]]="", "", IF(tblPiNAnalysis5[[#This Row],[Highest sector(s'') Target %]]&gt;=flag_pin_perc, "Flagged", "")), "")</f>
        <v/>
      </c>
      <c r="AN152" s="330" t="str" cm="1">
        <f t="array" ref="AN152">IF(tblPiNAnalysis5[[#This Row],[Highest Target]]=0, "",  IF(OR(COUNTIF(tblPiNAnalysis5[[#This Row],[Highest sector(s)]],tblSubSectorPopulation[Sector])), "Flagged", ""))</f>
        <v/>
      </c>
      <c r="AO152" s="46" cm="1">
        <f t="array" ref="AO15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16136.116647251903</v>
      </c>
      <c r="AP152" s="331" t="str" cm="1">
        <f t="array" ref="AP152">IF(tblPiNAnalysis5[[#This Row],[2nd Highest Target]]="", "", _xlfn.TEXTJOIN(CHAR(10), TRUE, IF(tblPiNAnalysis5[[#This Row],[2nd Highest Target]]=tblPiNAnalysis5[[#This Row],[CCCM]:[WASH]], tblPiNAnalysis5[[#Headers],[CCCM]:[WASH]], "")))</f>
        <v>WASH</v>
      </c>
      <c r="AQ152" s="36">
        <f>IFERROR(tblPiNAnalysis5[[#This Row],[2nd Highest Target]]/tblPiNAnalysis5[[#This Row],[Affected population projection 2026]], "")</f>
        <v>0.21947873799725651</v>
      </c>
      <c r="AR152" s="46">
        <f>IFERROR(tblPiNAnalysis5[[#This Row],[Highest Target]]-tblPiNAnalysis5[[#This Row],[2nd Highest Target]], "")</f>
        <v>760.65054465270441</v>
      </c>
      <c r="AS152" s="39">
        <f>IFERROR(((tblPiNAnalysis5[[#This Row],[Highest Target]]-tblPiNAnalysis5[[#This Row],[2nd Highest Target]])/tblPiNAnalysis5[[#This Row],[2nd Highest Target]]),"")</f>
        <v>4.7139628529039461E-2</v>
      </c>
      <c r="AT152" s="39" t="str" cm="1">
        <f t="array" ref="AT15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2" s="332" cm="1">
        <f t="array" ref="AU15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9084.3314665140006</v>
      </c>
      <c r="AV152" s="190" t="str" cm="1">
        <f t="array" ref="AV152">IF(tblPiNAnalysis5[[#This Row],[3rd Highest Target]]="", "", _xlfn.TEXTJOIN(CHAR(10), TRUE, IF(tblPiNAnalysis5[[#This Row],[3rd Highest Target]]=tblPiNAnalysis5[[#This Row],[CCCM]:[WASH]], tblPiNAnalysis5[[#Headers],[CCCM]:[WASH]], "")))</f>
        <v>Health</v>
      </c>
      <c r="AW152" s="190">
        <f>IFERROR(tblPiNAnalysis5[[#This Row],[3rd Highest Target]]/tblPiNAnalysis5[[#This Row],[Affected population projection 2026]], "")</f>
        <v>0.12356241897636634</v>
      </c>
      <c r="AX152" s="45">
        <f>IFERROR(tblPiNAnalysis5[[#This Row],[Highest Target]]-tblPiNAnalysis5[[#This Row],[3rd Highest Target]],"")</f>
        <v>7812.4357253906073</v>
      </c>
      <c r="AY152" s="39">
        <f>IFERROR(tblPiNAnalysis5[[#This Row],[Difference of Target between Highest and 3rd Highest]]/tblPiNAnalysis5[[#This Row],[3rd Highest Target]], "")</f>
        <v>0.85999016594542343</v>
      </c>
      <c r="AZ152" s="330" t="str" cm="1">
        <f t="array" ref="AZ15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52" s="300" t="str" cm="1">
        <f t="array" ref="BA15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2" s="333" t="str" cm="1">
        <f t="array" ref="BB15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52" s="276" t="str" cm="1">
        <f t="array" ref="BC15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2" s="334" t="str" cm="1">
        <f t="array" ref="BD15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52" s="277" t="e">
        <f>INDEX(tblSeverityAnalysis[Final Severity], MATCH(tblPiNAnalysis5[[#This Row],[ID]],tblSeverityAnalysis[ID], 0))</f>
        <v>#N/A</v>
      </c>
      <c r="BF152" s="61" t="e">
        <f>IF(tblPiNAnalysis5[[#This Row],[Severity]]&gt;2,tblPiNAnalysis5[[#This Row],[Highest Target]],)</f>
        <v>#N/A</v>
      </c>
      <c r="BG152" s="191"/>
      <c r="BH152" s="192"/>
      <c r="BI152" s="193">
        <f>COUNTIFS(tblPiNAnalysis5[[#This Row],[Number of missing / zero PiNs greater than threshold - Data quality]:[Manual Flag]],"Flagged")</f>
        <v>1</v>
      </c>
      <c r="BJ152" s="96" t="str">
        <f>IF(tblPiNAnalysis5[[#This Row],['# Flags]]&gt;0, "Flagged", "")</f>
        <v>Flagged</v>
      </c>
      <c r="BK152" s="326" t="e">
        <f>tblPiNAnalysis5[[#This Row],[Preliminary Target]]</f>
        <v>#N/A</v>
      </c>
      <c r="BL152" s="331"/>
    </row>
    <row r="153" spans="1:64" ht="110.7" x14ac:dyDescent="0.55000000000000004">
      <c r="A1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3" s="316" t="s">
        <v>390</v>
      </c>
      <c r="C153" s="317" t="s">
        <v>391</v>
      </c>
      <c r="D153" s="317" t="s">
        <v>394</v>
      </c>
      <c r="E153" s="105" t="s">
        <v>395</v>
      </c>
      <c r="F153" s="100"/>
      <c r="G153" s="34"/>
      <c r="H153" s="34"/>
      <c r="I153" s="97">
        <v>47140.450098552225</v>
      </c>
      <c r="J153" s="97" t="s">
        <v>413</v>
      </c>
      <c r="K153" s="318">
        <v>0</v>
      </c>
      <c r="L153" s="319">
        <v>0</v>
      </c>
      <c r="M153" s="319">
        <v>0</v>
      </c>
      <c r="N153" s="319">
        <v>0</v>
      </c>
      <c r="O153" s="319">
        <v>0</v>
      </c>
      <c r="P153" s="319">
        <v>0</v>
      </c>
      <c r="Q153" s="320">
        <v>0</v>
      </c>
      <c r="R153" s="319">
        <v>0</v>
      </c>
      <c r="S153" s="319"/>
      <c r="T153" s="319"/>
      <c r="U153" s="319"/>
      <c r="V153" s="319"/>
      <c r="W153" s="321">
        <f>IFERROR(IF(tblPiNAnalysis5[[#This Row],[CCCM]]="", "", MROUND(tblPiNAnalysis5[[#This Row],[CCCM]]/tblPiNAnalysis5[[#This Row],[Affected population projection 2026]], 0.05)), "")</f>
        <v>0</v>
      </c>
      <c r="X153" s="322">
        <f>IFERROR(IF(tblPiNAnalysis5[[#This Row],[Education]]="", "", MROUND(tblPiNAnalysis5[[#This Row],[Education]]/tblPiNAnalysis5[[#This Row],[Affected population projection 2026]], 0.05)), "")</f>
        <v>0</v>
      </c>
      <c r="Y153" s="322">
        <f>IFERROR(IF(tblPiNAnalysis5[[#This Row],[Nutrition]]="", "", MROUND(tblPiNAnalysis5[[#This Row],[Nutrition]]/tblPiNAnalysis5[[#This Row],[Affected population projection 2026]], 0.05)), "")</f>
        <v>0</v>
      </c>
      <c r="Z153" s="322">
        <f>IFERROR(IF(tblPiNAnalysis5[[#This Row],[Food Security]]="", "", MROUND(tblPiNAnalysis5[[#This Row],[Food Security]]/tblPiNAnalysis5[[#This Row],[Affected population projection 2026]], 0.05)), "")</f>
        <v>0</v>
      </c>
      <c r="AA153" s="322">
        <f>IFERROR(IF(tblPiNAnalysis5[[#This Row],[Health]]="", "", MROUND(tblPiNAnalysis5[[#This Row],[Health]]/tblPiNAnalysis5[[#This Row],[Affected population projection 2026]], 0.05)), "")</f>
        <v>0</v>
      </c>
      <c r="AB153" s="323">
        <f>IFERROR(IF(tblPiNAnalysis5[[#This Row],[Overarching Protection]]="", "", MROUND(tblPiNAnalysis5[[#This Row],[Overarching Protection]]/tblPiNAnalysis5[[#This Row],[Affected population projection 2026]], 0.05)), "")</f>
        <v>0</v>
      </c>
      <c r="AC153" s="323">
        <f>IFERROR(IF(tblPiNAnalysis5[[#This Row],[Shelter]]="", "", MROUND(tblPiNAnalysis5[[#This Row],[Shelter]]/tblPiNAnalysis5[[#This Row],[Affected population projection 2026]], 0.05)), "")</f>
        <v>0</v>
      </c>
      <c r="AD153" s="324">
        <f>IFERROR(IF(tblPiNAnalysis5[[#This Row],[WASH]]="", "", MROUND(tblPiNAnalysis5[[#This Row],[WASH]]/tblPiNAnalysis5[[#This Row],[Affected population projection 2026]], 0.05)), "")</f>
        <v>0</v>
      </c>
      <c r="AE153" s="322">
        <f>IFERROR(MROUND(tblPiNAnalysis5[[#This Row],[CP]]/tblPiNAnalysis5[[#This Row],[Affected population projection 2026]], 0.05), "")</f>
        <v>0</v>
      </c>
      <c r="AF153" s="322">
        <f>IFERROR(MROUND(tblPiNAnalysis5[[#This Row],[GBV]]/tblPiNAnalysis5[[#This Row],[Affected population projection 2026]], 0.05), "")</f>
        <v>0</v>
      </c>
      <c r="AG153" s="322">
        <f>IFERROR(MROUND(tblPiNAnalysis5[[#This Row],[Mine Action]]/tblPiNAnalysis5[[#This Row],[Affected population projection 2026]], 0.05), "")</f>
        <v>0</v>
      </c>
      <c r="AH153" s="322">
        <f>IFERROR(MROUND(tblPiNAnalysis5[[#This Row],[HLP]]/tblPiNAnalysis5[[#This Row],[Affected population projection 2026]], 0.05), "")</f>
        <v>0</v>
      </c>
      <c r="AI153" s="325">
        <f>IFERROR(LARGE(tblPiNAnalysis5[[#This Row],[CCCM]:[WASH]], 1), "")</f>
        <v>0</v>
      </c>
      <c r="AJ153" s="326" t="str" cm="1">
        <f t="array" ref="AJ153">IF(tblPiNAnalysis5[[#This Row],[Highest Target]]="", "", _xlfn.TEXTJOIN(CHAR(10), TRUE, IF(tblPiNAnalysis5[[#This Row],[Highest Target]]=tblPiNAnalysis5[[#This Row],[CCCM]:[WASH]], tblPiNAnalysis5[[#Headers],[CCCM]:[WASH]], "")))</f>
        <v>CCCM
Education
Nutrition
Food Security
Health
Overarching Protection
Shelter
WASH</v>
      </c>
      <c r="AK153" s="327">
        <f>IF(tblPiNAnalysis5[[#This Row],[Highest Target]]="", "", tblPiNAnalysis5[[#This Row],[Highest Target]]/tblPiNAnalysis5[[#This Row],[Affected population projection 2026]])</f>
        <v>0</v>
      </c>
      <c r="AL153" s="328" t="str">
        <f>IF(SUM(tblPiNAnalysis5[[#This Row],[CCCM]:[WASH]])=0, "",IF(COUNTIF(tblPiNAnalysis5[[#This Row],[CCCM]:[WASH]],"=0")+COUNTIF(tblPiNAnalysis5[[#This Row],[CCCM]:[WASH]],"")&gt;=zero_pin_thresh, "Flagged", ""))</f>
        <v/>
      </c>
      <c r="AM153" s="329" t="str">
        <f>IFERROR(IF(tblPiNAnalysis5[[#This Row],[Highest Target]]="", "", IF(tblPiNAnalysis5[[#This Row],[Highest sector(s'') Target %]]&gt;=flag_pin_perc, "Flagged", "")), "")</f>
        <v/>
      </c>
      <c r="AN153" s="330" t="str" cm="1">
        <f t="array" ref="AN153">IF(tblPiNAnalysis5[[#This Row],[Highest Target]]=0, "",  IF(OR(COUNTIF(tblPiNAnalysis5[[#This Row],[Highest sector(s)]],tblSubSectorPopulation[Sector])), "Flagged", ""))</f>
        <v/>
      </c>
      <c r="AO153" s="46" cm="1">
        <f t="array" ref="AO15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3" s="331" t="str" cm="1">
        <f t="array" ref="AP153">IF(tblPiNAnalysis5[[#This Row],[2nd Highest Target]]="", "", _xlfn.TEXTJOIN(CHAR(10), TRUE, IF(tblPiNAnalysis5[[#This Row],[2nd Highest Target]]=tblPiNAnalysis5[[#This Row],[CCCM]:[WASH]], tblPiNAnalysis5[[#Headers],[CCCM]:[WASH]], "")))</f>
        <v>CCCM
Education
Nutrition
Food Security
Health
Overarching Protection
Shelter
WASH</v>
      </c>
      <c r="AQ153" s="36">
        <f>IFERROR(tblPiNAnalysis5[[#This Row],[2nd Highest Target]]/tblPiNAnalysis5[[#This Row],[Affected population projection 2026]], "")</f>
        <v>0</v>
      </c>
      <c r="AR153" s="46">
        <f>IFERROR(tblPiNAnalysis5[[#This Row],[Highest Target]]-tblPiNAnalysis5[[#This Row],[2nd Highest Target]], "")</f>
        <v>0</v>
      </c>
      <c r="AS153" s="39" t="str">
        <f>IFERROR(((tblPiNAnalysis5[[#This Row],[Highest Target]]-tblPiNAnalysis5[[#This Row],[2nd Highest Target]])/tblPiNAnalysis5[[#This Row],[2nd Highest Target]]),"")</f>
        <v/>
      </c>
      <c r="AT153" s="39" t="str" cm="1">
        <f t="array" ref="AT15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3" s="332" cm="1">
        <f t="array" ref="AU15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3" s="190" t="str" cm="1">
        <f t="array" ref="AV153">IF(tblPiNAnalysis5[[#This Row],[3rd Highest Target]]="", "", _xlfn.TEXTJOIN(CHAR(10), TRUE, IF(tblPiNAnalysis5[[#This Row],[3rd Highest Target]]=tblPiNAnalysis5[[#This Row],[CCCM]:[WASH]], tblPiNAnalysis5[[#Headers],[CCCM]:[WASH]], "")))</f>
        <v>CCCM
Education
Nutrition
Food Security
Health
Overarching Protection
Shelter
WASH</v>
      </c>
      <c r="AW153" s="190">
        <f>IFERROR(tblPiNAnalysis5[[#This Row],[3rd Highest Target]]/tblPiNAnalysis5[[#This Row],[Affected population projection 2026]], "")</f>
        <v>0</v>
      </c>
      <c r="AX153" s="45">
        <f>IFERROR(tblPiNAnalysis5[[#This Row],[Highest Target]]-tblPiNAnalysis5[[#This Row],[3rd Highest Target]],"")</f>
        <v>0</v>
      </c>
      <c r="AY153" s="39" t="str">
        <f>IFERROR(tblPiNAnalysis5[[#This Row],[Difference of Target between Highest and 3rd Highest]]/tblPiNAnalysis5[[#This Row],[3rd Highest Target]], "")</f>
        <v/>
      </c>
      <c r="AZ153" s="330" t="str" cm="1">
        <f t="array" ref="AZ15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3" s="300" t="str" cm="1">
        <f t="array" ref="BA15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3" s="333" t="str" cm="1">
        <f t="array" ref="BB15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3" s="276" t="str" cm="1">
        <f t="array" ref="BC15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3" s="334" t="str" cm="1">
        <f t="array" ref="BD15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3" s="277" t="e">
        <f>INDEX(tblSeverityAnalysis[Final Severity], MATCH(tblPiNAnalysis5[[#This Row],[ID]],tblSeverityAnalysis[ID], 0))</f>
        <v>#N/A</v>
      </c>
      <c r="BF153" s="61" t="e">
        <f>IF(tblPiNAnalysis5[[#This Row],[Severity]]&gt;2,tblPiNAnalysis5[[#This Row],[Highest Target]],)</f>
        <v>#N/A</v>
      </c>
      <c r="BG153" s="191"/>
      <c r="BH153" s="192"/>
      <c r="BI153" s="193">
        <f>COUNTIFS(tblPiNAnalysis5[[#This Row],[Number of missing / zero PiNs greater than threshold - Data quality]:[Manual Flag]],"Flagged")</f>
        <v>2</v>
      </c>
      <c r="BJ153" s="96" t="str">
        <f>IF(tblPiNAnalysis5[[#This Row],['# Flags]]&gt;0, "Flagged", "")</f>
        <v>Flagged</v>
      </c>
      <c r="BK153" s="326" t="e">
        <f>tblPiNAnalysis5[[#This Row],[Preliminary Target]]</f>
        <v>#N/A</v>
      </c>
      <c r="BL153" s="331"/>
    </row>
    <row r="154" spans="1:64" ht="110.7" x14ac:dyDescent="0.55000000000000004">
      <c r="A1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4" s="316" t="s">
        <v>390</v>
      </c>
      <c r="C154" s="317" t="s">
        <v>391</v>
      </c>
      <c r="D154" s="317" t="s">
        <v>396</v>
      </c>
      <c r="E154" s="105" t="s">
        <v>397</v>
      </c>
      <c r="F154" s="100"/>
      <c r="G154" s="34"/>
      <c r="H154" s="34"/>
      <c r="I154" s="97">
        <v>80255.412925910496</v>
      </c>
      <c r="J154" s="97" t="s">
        <v>413</v>
      </c>
      <c r="K154" s="318">
        <v>0</v>
      </c>
      <c r="L154" s="319">
        <v>0</v>
      </c>
      <c r="M154" s="319">
        <v>0</v>
      </c>
      <c r="N154" s="319">
        <v>0</v>
      </c>
      <c r="O154" s="319">
        <v>0</v>
      </c>
      <c r="P154" s="319">
        <v>0</v>
      </c>
      <c r="Q154" s="320">
        <v>0</v>
      </c>
      <c r="R154" s="319">
        <v>0</v>
      </c>
      <c r="S154" s="319"/>
      <c r="T154" s="319"/>
      <c r="U154" s="319"/>
      <c r="V154" s="319"/>
      <c r="W154" s="321">
        <f>IFERROR(IF(tblPiNAnalysis5[[#This Row],[CCCM]]="", "", MROUND(tblPiNAnalysis5[[#This Row],[CCCM]]/tblPiNAnalysis5[[#This Row],[Affected population projection 2026]], 0.05)), "")</f>
        <v>0</v>
      </c>
      <c r="X154" s="322">
        <f>IFERROR(IF(tblPiNAnalysis5[[#This Row],[Education]]="", "", MROUND(tblPiNAnalysis5[[#This Row],[Education]]/tblPiNAnalysis5[[#This Row],[Affected population projection 2026]], 0.05)), "")</f>
        <v>0</v>
      </c>
      <c r="Y154" s="322">
        <f>IFERROR(IF(tblPiNAnalysis5[[#This Row],[Nutrition]]="", "", MROUND(tblPiNAnalysis5[[#This Row],[Nutrition]]/tblPiNAnalysis5[[#This Row],[Affected population projection 2026]], 0.05)), "")</f>
        <v>0</v>
      </c>
      <c r="Z154" s="322">
        <f>IFERROR(IF(tblPiNAnalysis5[[#This Row],[Food Security]]="", "", MROUND(tblPiNAnalysis5[[#This Row],[Food Security]]/tblPiNAnalysis5[[#This Row],[Affected population projection 2026]], 0.05)), "")</f>
        <v>0</v>
      </c>
      <c r="AA154" s="322">
        <f>IFERROR(IF(tblPiNAnalysis5[[#This Row],[Health]]="", "", MROUND(tblPiNAnalysis5[[#This Row],[Health]]/tblPiNAnalysis5[[#This Row],[Affected population projection 2026]], 0.05)), "")</f>
        <v>0</v>
      </c>
      <c r="AB154" s="323">
        <f>IFERROR(IF(tblPiNAnalysis5[[#This Row],[Overarching Protection]]="", "", MROUND(tblPiNAnalysis5[[#This Row],[Overarching Protection]]/tblPiNAnalysis5[[#This Row],[Affected population projection 2026]], 0.05)), "")</f>
        <v>0</v>
      </c>
      <c r="AC154" s="323">
        <f>IFERROR(IF(tblPiNAnalysis5[[#This Row],[Shelter]]="", "", MROUND(tblPiNAnalysis5[[#This Row],[Shelter]]/tblPiNAnalysis5[[#This Row],[Affected population projection 2026]], 0.05)), "")</f>
        <v>0</v>
      </c>
      <c r="AD154" s="324">
        <f>IFERROR(IF(tblPiNAnalysis5[[#This Row],[WASH]]="", "", MROUND(tblPiNAnalysis5[[#This Row],[WASH]]/tblPiNAnalysis5[[#This Row],[Affected population projection 2026]], 0.05)), "")</f>
        <v>0</v>
      </c>
      <c r="AE154" s="322">
        <f>IFERROR(MROUND(tblPiNAnalysis5[[#This Row],[CP]]/tblPiNAnalysis5[[#This Row],[Affected population projection 2026]], 0.05), "")</f>
        <v>0</v>
      </c>
      <c r="AF154" s="322">
        <f>IFERROR(MROUND(tblPiNAnalysis5[[#This Row],[GBV]]/tblPiNAnalysis5[[#This Row],[Affected population projection 2026]], 0.05), "")</f>
        <v>0</v>
      </c>
      <c r="AG154" s="322">
        <f>IFERROR(MROUND(tblPiNAnalysis5[[#This Row],[Mine Action]]/tblPiNAnalysis5[[#This Row],[Affected population projection 2026]], 0.05), "")</f>
        <v>0</v>
      </c>
      <c r="AH154" s="322">
        <f>IFERROR(MROUND(tblPiNAnalysis5[[#This Row],[HLP]]/tblPiNAnalysis5[[#This Row],[Affected population projection 2026]], 0.05), "")</f>
        <v>0</v>
      </c>
      <c r="AI154" s="325">
        <f>IFERROR(LARGE(tblPiNAnalysis5[[#This Row],[CCCM]:[WASH]], 1), "")</f>
        <v>0</v>
      </c>
      <c r="AJ154" s="326" t="str" cm="1">
        <f t="array" ref="AJ154">IF(tblPiNAnalysis5[[#This Row],[Highest Target]]="", "", _xlfn.TEXTJOIN(CHAR(10), TRUE, IF(tblPiNAnalysis5[[#This Row],[Highest Target]]=tblPiNAnalysis5[[#This Row],[CCCM]:[WASH]], tblPiNAnalysis5[[#Headers],[CCCM]:[WASH]], "")))</f>
        <v>CCCM
Education
Nutrition
Food Security
Health
Overarching Protection
Shelter
WASH</v>
      </c>
      <c r="AK154" s="327">
        <f>IF(tblPiNAnalysis5[[#This Row],[Highest Target]]="", "", tblPiNAnalysis5[[#This Row],[Highest Target]]/tblPiNAnalysis5[[#This Row],[Affected population projection 2026]])</f>
        <v>0</v>
      </c>
      <c r="AL154" s="328" t="str">
        <f>IF(SUM(tblPiNAnalysis5[[#This Row],[CCCM]:[WASH]])=0, "",IF(COUNTIF(tblPiNAnalysis5[[#This Row],[CCCM]:[WASH]],"=0")+COUNTIF(tblPiNAnalysis5[[#This Row],[CCCM]:[WASH]],"")&gt;=zero_pin_thresh, "Flagged", ""))</f>
        <v/>
      </c>
      <c r="AM154" s="329" t="str">
        <f>IFERROR(IF(tblPiNAnalysis5[[#This Row],[Highest Target]]="", "", IF(tblPiNAnalysis5[[#This Row],[Highest sector(s'') Target %]]&gt;=flag_pin_perc, "Flagged", "")), "")</f>
        <v/>
      </c>
      <c r="AN154" s="330" t="str" cm="1">
        <f t="array" ref="AN154">IF(tblPiNAnalysis5[[#This Row],[Highest Target]]=0, "",  IF(OR(COUNTIF(tblPiNAnalysis5[[#This Row],[Highest sector(s)]],tblSubSectorPopulation[Sector])), "Flagged", ""))</f>
        <v/>
      </c>
      <c r="AO154" s="46" cm="1">
        <f t="array" ref="AO15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4" s="331" t="str" cm="1">
        <f t="array" ref="AP154">IF(tblPiNAnalysis5[[#This Row],[2nd Highest Target]]="", "", _xlfn.TEXTJOIN(CHAR(10), TRUE, IF(tblPiNAnalysis5[[#This Row],[2nd Highest Target]]=tblPiNAnalysis5[[#This Row],[CCCM]:[WASH]], tblPiNAnalysis5[[#Headers],[CCCM]:[WASH]], "")))</f>
        <v>CCCM
Education
Nutrition
Food Security
Health
Overarching Protection
Shelter
WASH</v>
      </c>
      <c r="AQ154" s="36">
        <f>IFERROR(tblPiNAnalysis5[[#This Row],[2nd Highest Target]]/tblPiNAnalysis5[[#This Row],[Affected population projection 2026]], "")</f>
        <v>0</v>
      </c>
      <c r="AR154" s="46">
        <f>IFERROR(tblPiNAnalysis5[[#This Row],[Highest Target]]-tblPiNAnalysis5[[#This Row],[2nd Highest Target]], "")</f>
        <v>0</v>
      </c>
      <c r="AS154" s="39" t="str">
        <f>IFERROR(((tblPiNAnalysis5[[#This Row],[Highest Target]]-tblPiNAnalysis5[[#This Row],[2nd Highest Target]])/tblPiNAnalysis5[[#This Row],[2nd Highest Target]]),"")</f>
        <v/>
      </c>
      <c r="AT154" s="39" t="str" cm="1">
        <f t="array" ref="AT15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4" s="332" cm="1">
        <f t="array" ref="AU15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4" s="190" t="str" cm="1">
        <f t="array" ref="AV154">IF(tblPiNAnalysis5[[#This Row],[3rd Highest Target]]="", "", _xlfn.TEXTJOIN(CHAR(10), TRUE, IF(tblPiNAnalysis5[[#This Row],[3rd Highest Target]]=tblPiNAnalysis5[[#This Row],[CCCM]:[WASH]], tblPiNAnalysis5[[#Headers],[CCCM]:[WASH]], "")))</f>
        <v>CCCM
Education
Nutrition
Food Security
Health
Overarching Protection
Shelter
WASH</v>
      </c>
      <c r="AW154" s="190">
        <f>IFERROR(tblPiNAnalysis5[[#This Row],[3rd Highest Target]]/tblPiNAnalysis5[[#This Row],[Affected population projection 2026]], "")</f>
        <v>0</v>
      </c>
      <c r="AX154" s="45">
        <f>IFERROR(tblPiNAnalysis5[[#This Row],[Highest Target]]-tblPiNAnalysis5[[#This Row],[3rd Highest Target]],"")</f>
        <v>0</v>
      </c>
      <c r="AY154" s="39" t="str">
        <f>IFERROR(tblPiNAnalysis5[[#This Row],[Difference of Target between Highest and 3rd Highest]]/tblPiNAnalysis5[[#This Row],[3rd Highest Target]], "")</f>
        <v/>
      </c>
      <c r="AZ154" s="330" t="str" cm="1">
        <f t="array" ref="AZ15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4" s="300" t="str" cm="1">
        <f t="array" ref="BA15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4" s="333" t="str" cm="1">
        <f t="array" ref="BB15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4" s="276" t="str" cm="1">
        <f t="array" ref="BC15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4" s="334" t="str" cm="1">
        <f t="array" ref="BD15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4" s="277" t="e">
        <f>INDEX(tblSeverityAnalysis[Final Severity], MATCH(tblPiNAnalysis5[[#This Row],[ID]],tblSeverityAnalysis[ID], 0))</f>
        <v>#N/A</v>
      </c>
      <c r="BF154" s="61" t="e">
        <f>IF(tblPiNAnalysis5[[#This Row],[Severity]]&gt;2,tblPiNAnalysis5[[#This Row],[Highest Target]],)</f>
        <v>#N/A</v>
      </c>
      <c r="BG154" s="191"/>
      <c r="BH154" s="192"/>
      <c r="BI154" s="193">
        <f>COUNTIFS(tblPiNAnalysis5[[#This Row],[Number of missing / zero PiNs greater than threshold - Data quality]:[Manual Flag]],"Flagged")</f>
        <v>2</v>
      </c>
      <c r="BJ154" s="96" t="str">
        <f>IF(tblPiNAnalysis5[[#This Row],['# Flags]]&gt;0, "Flagged", "")</f>
        <v>Flagged</v>
      </c>
      <c r="BK154" s="326" t="e">
        <f>tblPiNAnalysis5[[#This Row],[Preliminary Target]]</f>
        <v>#N/A</v>
      </c>
      <c r="BL154" s="331"/>
    </row>
    <row r="155" spans="1:64" ht="110.7" x14ac:dyDescent="0.55000000000000004">
      <c r="A1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5" s="316" t="s">
        <v>390</v>
      </c>
      <c r="C155" s="317" t="s">
        <v>391</v>
      </c>
      <c r="D155" s="317" t="s">
        <v>398</v>
      </c>
      <c r="E155" s="105" t="s">
        <v>399</v>
      </c>
      <c r="F155" s="100"/>
      <c r="G155" s="34"/>
      <c r="H155" s="34"/>
      <c r="I155" s="97">
        <v>64180.342035561967</v>
      </c>
      <c r="J155" s="97" t="s">
        <v>413</v>
      </c>
      <c r="K155" s="318">
        <v>0</v>
      </c>
      <c r="L155" s="319">
        <v>0</v>
      </c>
      <c r="M155" s="319">
        <v>0</v>
      </c>
      <c r="N155" s="319">
        <v>0</v>
      </c>
      <c r="O155" s="319">
        <v>0</v>
      </c>
      <c r="P155" s="319">
        <v>0</v>
      </c>
      <c r="Q155" s="320">
        <v>0</v>
      </c>
      <c r="R155" s="319">
        <v>0</v>
      </c>
      <c r="S155" s="319"/>
      <c r="T155" s="319"/>
      <c r="U155" s="319"/>
      <c r="V155" s="319"/>
      <c r="W155" s="321">
        <f>IFERROR(IF(tblPiNAnalysis5[[#This Row],[CCCM]]="", "", MROUND(tblPiNAnalysis5[[#This Row],[CCCM]]/tblPiNAnalysis5[[#This Row],[Affected population projection 2026]], 0.05)), "")</f>
        <v>0</v>
      </c>
      <c r="X155" s="322">
        <f>IFERROR(IF(tblPiNAnalysis5[[#This Row],[Education]]="", "", MROUND(tblPiNAnalysis5[[#This Row],[Education]]/tblPiNAnalysis5[[#This Row],[Affected population projection 2026]], 0.05)), "")</f>
        <v>0</v>
      </c>
      <c r="Y155" s="322">
        <f>IFERROR(IF(tblPiNAnalysis5[[#This Row],[Nutrition]]="", "", MROUND(tblPiNAnalysis5[[#This Row],[Nutrition]]/tblPiNAnalysis5[[#This Row],[Affected population projection 2026]], 0.05)), "")</f>
        <v>0</v>
      </c>
      <c r="Z155" s="322">
        <f>IFERROR(IF(tblPiNAnalysis5[[#This Row],[Food Security]]="", "", MROUND(tblPiNAnalysis5[[#This Row],[Food Security]]/tblPiNAnalysis5[[#This Row],[Affected population projection 2026]], 0.05)), "")</f>
        <v>0</v>
      </c>
      <c r="AA155" s="322">
        <f>IFERROR(IF(tblPiNAnalysis5[[#This Row],[Health]]="", "", MROUND(tblPiNAnalysis5[[#This Row],[Health]]/tblPiNAnalysis5[[#This Row],[Affected population projection 2026]], 0.05)), "")</f>
        <v>0</v>
      </c>
      <c r="AB155" s="323">
        <f>IFERROR(IF(tblPiNAnalysis5[[#This Row],[Overarching Protection]]="", "", MROUND(tblPiNAnalysis5[[#This Row],[Overarching Protection]]/tblPiNAnalysis5[[#This Row],[Affected population projection 2026]], 0.05)), "")</f>
        <v>0</v>
      </c>
      <c r="AC155" s="323">
        <f>IFERROR(IF(tblPiNAnalysis5[[#This Row],[Shelter]]="", "", MROUND(tblPiNAnalysis5[[#This Row],[Shelter]]/tblPiNAnalysis5[[#This Row],[Affected population projection 2026]], 0.05)), "")</f>
        <v>0</v>
      </c>
      <c r="AD155" s="324">
        <f>IFERROR(IF(tblPiNAnalysis5[[#This Row],[WASH]]="", "", MROUND(tblPiNAnalysis5[[#This Row],[WASH]]/tblPiNAnalysis5[[#This Row],[Affected population projection 2026]], 0.05)), "")</f>
        <v>0</v>
      </c>
      <c r="AE155" s="322">
        <f>IFERROR(MROUND(tblPiNAnalysis5[[#This Row],[CP]]/tblPiNAnalysis5[[#This Row],[Affected population projection 2026]], 0.05), "")</f>
        <v>0</v>
      </c>
      <c r="AF155" s="322">
        <f>IFERROR(MROUND(tblPiNAnalysis5[[#This Row],[GBV]]/tblPiNAnalysis5[[#This Row],[Affected population projection 2026]], 0.05), "")</f>
        <v>0</v>
      </c>
      <c r="AG155" s="322">
        <f>IFERROR(MROUND(tblPiNAnalysis5[[#This Row],[Mine Action]]/tblPiNAnalysis5[[#This Row],[Affected population projection 2026]], 0.05), "")</f>
        <v>0</v>
      </c>
      <c r="AH155" s="322">
        <f>IFERROR(MROUND(tblPiNAnalysis5[[#This Row],[HLP]]/tblPiNAnalysis5[[#This Row],[Affected population projection 2026]], 0.05), "")</f>
        <v>0</v>
      </c>
      <c r="AI155" s="325">
        <f>IFERROR(LARGE(tblPiNAnalysis5[[#This Row],[CCCM]:[WASH]], 1), "")</f>
        <v>0</v>
      </c>
      <c r="AJ155" s="326" t="str" cm="1">
        <f t="array" ref="AJ155">IF(tblPiNAnalysis5[[#This Row],[Highest Target]]="", "", _xlfn.TEXTJOIN(CHAR(10), TRUE, IF(tblPiNAnalysis5[[#This Row],[Highest Target]]=tblPiNAnalysis5[[#This Row],[CCCM]:[WASH]], tblPiNAnalysis5[[#Headers],[CCCM]:[WASH]], "")))</f>
        <v>CCCM
Education
Nutrition
Food Security
Health
Overarching Protection
Shelter
WASH</v>
      </c>
      <c r="AK155" s="327">
        <f>IF(tblPiNAnalysis5[[#This Row],[Highest Target]]="", "", tblPiNAnalysis5[[#This Row],[Highest Target]]/tblPiNAnalysis5[[#This Row],[Affected population projection 2026]])</f>
        <v>0</v>
      </c>
      <c r="AL155" s="328" t="str">
        <f>IF(SUM(tblPiNAnalysis5[[#This Row],[CCCM]:[WASH]])=0, "",IF(COUNTIF(tblPiNAnalysis5[[#This Row],[CCCM]:[WASH]],"=0")+COUNTIF(tblPiNAnalysis5[[#This Row],[CCCM]:[WASH]],"")&gt;=zero_pin_thresh, "Flagged", ""))</f>
        <v/>
      </c>
      <c r="AM155" s="329" t="str">
        <f>IFERROR(IF(tblPiNAnalysis5[[#This Row],[Highest Target]]="", "", IF(tblPiNAnalysis5[[#This Row],[Highest sector(s'') Target %]]&gt;=flag_pin_perc, "Flagged", "")), "")</f>
        <v/>
      </c>
      <c r="AN155" s="330" t="str" cm="1">
        <f t="array" ref="AN155">IF(tblPiNAnalysis5[[#This Row],[Highest Target]]=0, "",  IF(OR(COUNTIF(tblPiNAnalysis5[[#This Row],[Highest sector(s)]],tblSubSectorPopulation[Sector])), "Flagged", ""))</f>
        <v/>
      </c>
      <c r="AO155" s="46" cm="1">
        <f t="array" ref="AO15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5" s="331" t="str" cm="1">
        <f t="array" ref="AP155">IF(tblPiNAnalysis5[[#This Row],[2nd Highest Target]]="", "", _xlfn.TEXTJOIN(CHAR(10), TRUE, IF(tblPiNAnalysis5[[#This Row],[2nd Highest Target]]=tblPiNAnalysis5[[#This Row],[CCCM]:[WASH]], tblPiNAnalysis5[[#Headers],[CCCM]:[WASH]], "")))</f>
        <v>CCCM
Education
Nutrition
Food Security
Health
Overarching Protection
Shelter
WASH</v>
      </c>
      <c r="AQ155" s="36">
        <f>IFERROR(tblPiNAnalysis5[[#This Row],[2nd Highest Target]]/tblPiNAnalysis5[[#This Row],[Affected population projection 2026]], "")</f>
        <v>0</v>
      </c>
      <c r="AR155" s="46">
        <f>IFERROR(tblPiNAnalysis5[[#This Row],[Highest Target]]-tblPiNAnalysis5[[#This Row],[2nd Highest Target]], "")</f>
        <v>0</v>
      </c>
      <c r="AS155" s="39" t="str">
        <f>IFERROR(((tblPiNAnalysis5[[#This Row],[Highest Target]]-tblPiNAnalysis5[[#This Row],[2nd Highest Target]])/tblPiNAnalysis5[[#This Row],[2nd Highest Target]]),"")</f>
        <v/>
      </c>
      <c r="AT155" s="39" t="str" cm="1">
        <f t="array" ref="AT15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5" s="332" cm="1">
        <f t="array" ref="AU15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5" s="190" t="str" cm="1">
        <f t="array" ref="AV155">IF(tblPiNAnalysis5[[#This Row],[3rd Highest Target]]="", "", _xlfn.TEXTJOIN(CHAR(10), TRUE, IF(tblPiNAnalysis5[[#This Row],[3rd Highest Target]]=tblPiNAnalysis5[[#This Row],[CCCM]:[WASH]], tblPiNAnalysis5[[#Headers],[CCCM]:[WASH]], "")))</f>
        <v>CCCM
Education
Nutrition
Food Security
Health
Overarching Protection
Shelter
WASH</v>
      </c>
      <c r="AW155" s="190">
        <f>IFERROR(tblPiNAnalysis5[[#This Row],[3rd Highest Target]]/tblPiNAnalysis5[[#This Row],[Affected population projection 2026]], "")</f>
        <v>0</v>
      </c>
      <c r="AX155" s="45">
        <f>IFERROR(tblPiNAnalysis5[[#This Row],[Highest Target]]-tblPiNAnalysis5[[#This Row],[3rd Highest Target]],"")</f>
        <v>0</v>
      </c>
      <c r="AY155" s="39" t="str">
        <f>IFERROR(tblPiNAnalysis5[[#This Row],[Difference of Target between Highest and 3rd Highest]]/tblPiNAnalysis5[[#This Row],[3rd Highest Target]], "")</f>
        <v/>
      </c>
      <c r="AZ155" s="330" t="str" cm="1">
        <f t="array" ref="AZ15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5" s="300" t="str" cm="1">
        <f t="array" ref="BA15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5" s="333" t="str" cm="1">
        <f t="array" ref="BB15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5" s="276" t="str" cm="1">
        <f t="array" ref="BC15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5" s="334" t="str" cm="1">
        <f t="array" ref="BD15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5" s="277" t="e">
        <f>INDEX(tblSeverityAnalysis[Final Severity], MATCH(tblPiNAnalysis5[[#This Row],[ID]],tblSeverityAnalysis[ID], 0))</f>
        <v>#N/A</v>
      </c>
      <c r="BF155" s="61" t="e">
        <f>IF(tblPiNAnalysis5[[#This Row],[Severity]]&gt;2,tblPiNAnalysis5[[#This Row],[Highest Target]],)</f>
        <v>#N/A</v>
      </c>
      <c r="BG155" s="191"/>
      <c r="BH155" s="192"/>
      <c r="BI155" s="193">
        <f>COUNTIFS(tblPiNAnalysis5[[#This Row],[Number of missing / zero PiNs greater than threshold - Data quality]:[Manual Flag]],"Flagged")</f>
        <v>2</v>
      </c>
      <c r="BJ155" s="96" t="str">
        <f>IF(tblPiNAnalysis5[[#This Row],['# Flags]]&gt;0, "Flagged", "")</f>
        <v>Flagged</v>
      </c>
      <c r="BK155" s="326" t="e">
        <f>tblPiNAnalysis5[[#This Row],[Preliminary Target]]</f>
        <v>#N/A</v>
      </c>
      <c r="BL155" s="331"/>
    </row>
    <row r="156" spans="1:64" ht="110.7" x14ac:dyDescent="0.55000000000000004">
      <c r="A1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6" s="316" t="s">
        <v>390</v>
      </c>
      <c r="C156" s="317" t="s">
        <v>391</v>
      </c>
      <c r="D156" s="317" t="s">
        <v>400</v>
      </c>
      <c r="E156" s="105" t="s">
        <v>401</v>
      </c>
      <c r="F156" s="100"/>
      <c r="G156" s="34"/>
      <c r="H156" s="34"/>
      <c r="I156" s="97">
        <v>37549.507730213714</v>
      </c>
      <c r="J156" s="97" t="s">
        <v>413</v>
      </c>
      <c r="K156" s="318">
        <v>0</v>
      </c>
      <c r="L156" s="319">
        <v>0</v>
      </c>
      <c r="M156" s="319">
        <v>0</v>
      </c>
      <c r="N156" s="319">
        <v>0</v>
      </c>
      <c r="O156" s="319">
        <v>0</v>
      </c>
      <c r="P156" s="319">
        <v>0</v>
      </c>
      <c r="Q156" s="320">
        <v>0</v>
      </c>
      <c r="R156" s="319">
        <v>0</v>
      </c>
      <c r="S156" s="319"/>
      <c r="T156" s="319"/>
      <c r="U156" s="319"/>
      <c r="V156" s="319"/>
      <c r="W156" s="321">
        <f>IFERROR(IF(tblPiNAnalysis5[[#This Row],[CCCM]]="", "", MROUND(tblPiNAnalysis5[[#This Row],[CCCM]]/tblPiNAnalysis5[[#This Row],[Affected population projection 2026]], 0.05)), "")</f>
        <v>0</v>
      </c>
      <c r="X156" s="322">
        <f>IFERROR(IF(tblPiNAnalysis5[[#This Row],[Education]]="", "", MROUND(tblPiNAnalysis5[[#This Row],[Education]]/tblPiNAnalysis5[[#This Row],[Affected population projection 2026]], 0.05)), "")</f>
        <v>0</v>
      </c>
      <c r="Y156" s="322">
        <f>IFERROR(IF(tblPiNAnalysis5[[#This Row],[Nutrition]]="", "", MROUND(tblPiNAnalysis5[[#This Row],[Nutrition]]/tblPiNAnalysis5[[#This Row],[Affected population projection 2026]], 0.05)), "")</f>
        <v>0</v>
      </c>
      <c r="Z156" s="322">
        <f>IFERROR(IF(tblPiNAnalysis5[[#This Row],[Food Security]]="", "", MROUND(tblPiNAnalysis5[[#This Row],[Food Security]]/tblPiNAnalysis5[[#This Row],[Affected population projection 2026]], 0.05)), "")</f>
        <v>0</v>
      </c>
      <c r="AA156" s="322">
        <f>IFERROR(IF(tblPiNAnalysis5[[#This Row],[Health]]="", "", MROUND(tblPiNAnalysis5[[#This Row],[Health]]/tblPiNAnalysis5[[#This Row],[Affected population projection 2026]], 0.05)), "")</f>
        <v>0</v>
      </c>
      <c r="AB156" s="323">
        <f>IFERROR(IF(tblPiNAnalysis5[[#This Row],[Overarching Protection]]="", "", MROUND(tblPiNAnalysis5[[#This Row],[Overarching Protection]]/tblPiNAnalysis5[[#This Row],[Affected population projection 2026]], 0.05)), "")</f>
        <v>0</v>
      </c>
      <c r="AC156" s="323">
        <f>IFERROR(IF(tblPiNAnalysis5[[#This Row],[Shelter]]="", "", MROUND(tblPiNAnalysis5[[#This Row],[Shelter]]/tblPiNAnalysis5[[#This Row],[Affected population projection 2026]], 0.05)), "")</f>
        <v>0</v>
      </c>
      <c r="AD156" s="324">
        <f>IFERROR(IF(tblPiNAnalysis5[[#This Row],[WASH]]="", "", MROUND(tblPiNAnalysis5[[#This Row],[WASH]]/tblPiNAnalysis5[[#This Row],[Affected population projection 2026]], 0.05)), "")</f>
        <v>0</v>
      </c>
      <c r="AE156" s="322">
        <f>IFERROR(MROUND(tblPiNAnalysis5[[#This Row],[CP]]/tblPiNAnalysis5[[#This Row],[Affected population projection 2026]], 0.05), "")</f>
        <v>0</v>
      </c>
      <c r="AF156" s="322">
        <f>IFERROR(MROUND(tblPiNAnalysis5[[#This Row],[GBV]]/tblPiNAnalysis5[[#This Row],[Affected population projection 2026]], 0.05), "")</f>
        <v>0</v>
      </c>
      <c r="AG156" s="322">
        <f>IFERROR(MROUND(tblPiNAnalysis5[[#This Row],[Mine Action]]/tblPiNAnalysis5[[#This Row],[Affected population projection 2026]], 0.05), "")</f>
        <v>0</v>
      </c>
      <c r="AH156" s="322">
        <f>IFERROR(MROUND(tblPiNAnalysis5[[#This Row],[HLP]]/tblPiNAnalysis5[[#This Row],[Affected population projection 2026]], 0.05), "")</f>
        <v>0</v>
      </c>
      <c r="AI156" s="325">
        <f>IFERROR(LARGE(tblPiNAnalysis5[[#This Row],[CCCM]:[WASH]], 1), "")</f>
        <v>0</v>
      </c>
      <c r="AJ156" s="326" t="str" cm="1">
        <f t="array" ref="AJ156">IF(tblPiNAnalysis5[[#This Row],[Highest Target]]="", "", _xlfn.TEXTJOIN(CHAR(10), TRUE, IF(tblPiNAnalysis5[[#This Row],[Highest Target]]=tblPiNAnalysis5[[#This Row],[CCCM]:[WASH]], tblPiNAnalysis5[[#Headers],[CCCM]:[WASH]], "")))</f>
        <v>CCCM
Education
Nutrition
Food Security
Health
Overarching Protection
Shelter
WASH</v>
      </c>
      <c r="AK156" s="327">
        <f>IF(tblPiNAnalysis5[[#This Row],[Highest Target]]="", "", tblPiNAnalysis5[[#This Row],[Highest Target]]/tblPiNAnalysis5[[#This Row],[Affected population projection 2026]])</f>
        <v>0</v>
      </c>
      <c r="AL156" s="328" t="str">
        <f>IF(SUM(tblPiNAnalysis5[[#This Row],[CCCM]:[WASH]])=0, "",IF(COUNTIF(tblPiNAnalysis5[[#This Row],[CCCM]:[WASH]],"=0")+COUNTIF(tblPiNAnalysis5[[#This Row],[CCCM]:[WASH]],"")&gt;=zero_pin_thresh, "Flagged", ""))</f>
        <v/>
      </c>
      <c r="AM156" s="329" t="str">
        <f>IFERROR(IF(tblPiNAnalysis5[[#This Row],[Highest Target]]="", "", IF(tblPiNAnalysis5[[#This Row],[Highest sector(s'') Target %]]&gt;=flag_pin_perc, "Flagged", "")), "")</f>
        <v/>
      </c>
      <c r="AN156" s="330" t="str" cm="1">
        <f t="array" ref="AN156">IF(tblPiNAnalysis5[[#This Row],[Highest Target]]=0, "",  IF(OR(COUNTIF(tblPiNAnalysis5[[#This Row],[Highest sector(s)]],tblSubSectorPopulation[Sector])), "Flagged", ""))</f>
        <v/>
      </c>
      <c r="AO156" s="46" cm="1">
        <f t="array" ref="AO15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6" s="331" t="str" cm="1">
        <f t="array" ref="AP156">IF(tblPiNAnalysis5[[#This Row],[2nd Highest Target]]="", "", _xlfn.TEXTJOIN(CHAR(10), TRUE, IF(tblPiNAnalysis5[[#This Row],[2nd Highest Target]]=tblPiNAnalysis5[[#This Row],[CCCM]:[WASH]], tblPiNAnalysis5[[#Headers],[CCCM]:[WASH]], "")))</f>
        <v>CCCM
Education
Nutrition
Food Security
Health
Overarching Protection
Shelter
WASH</v>
      </c>
      <c r="AQ156" s="36">
        <f>IFERROR(tblPiNAnalysis5[[#This Row],[2nd Highest Target]]/tblPiNAnalysis5[[#This Row],[Affected population projection 2026]], "")</f>
        <v>0</v>
      </c>
      <c r="AR156" s="46">
        <f>IFERROR(tblPiNAnalysis5[[#This Row],[Highest Target]]-tblPiNAnalysis5[[#This Row],[2nd Highest Target]], "")</f>
        <v>0</v>
      </c>
      <c r="AS156" s="39" t="str">
        <f>IFERROR(((tblPiNAnalysis5[[#This Row],[Highest Target]]-tblPiNAnalysis5[[#This Row],[2nd Highest Target]])/tblPiNAnalysis5[[#This Row],[2nd Highest Target]]),"")</f>
        <v/>
      </c>
      <c r="AT156" s="39" t="str" cm="1">
        <f t="array" ref="AT15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6" s="332" cm="1">
        <f t="array" ref="AU15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6" s="190" t="str" cm="1">
        <f t="array" ref="AV156">IF(tblPiNAnalysis5[[#This Row],[3rd Highest Target]]="", "", _xlfn.TEXTJOIN(CHAR(10), TRUE, IF(tblPiNAnalysis5[[#This Row],[3rd Highest Target]]=tblPiNAnalysis5[[#This Row],[CCCM]:[WASH]], tblPiNAnalysis5[[#Headers],[CCCM]:[WASH]], "")))</f>
        <v>CCCM
Education
Nutrition
Food Security
Health
Overarching Protection
Shelter
WASH</v>
      </c>
      <c r="AW156" s="190">
        <f>IFERROR(tblPiNAnalysis5[[#This Row],[3rd Highest Target]]/tblPiNAnalysis5[[#This Row],[Affected population projection 2026]], "")</f>
        <v>0</v>
      </c>
      <c r="AX156" s="45">
        <f>IFERROR(tblPiNAnalysis5[[#This Row],[Highest Target]]-tblPiNAnalysis5[[#This Row],[3rd Highest Target]],"")</f>
        <v>0</v>
      </c>
      <c r="AY156" s="39" t="str">
        <f>IFERROR(tblPiNAnalysis5[[#This Row],[Difference of Target between Highest and 3rd Highest]]/tblPiNAnalysis5[[#This Row],[3rd Highest Target]], "")</f>
        <v/>
      </c>
      <c r="AZ156" s="330" t="str" cm="1">
        <f t="array" ref="AZ15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6" s="300" t="str" cm="1">
        <f t="array" ref="BA15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6" s="333" t="str" cm="1">
        <f t="array" ref="BB15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6" s="276" t="str" cm="1">
        <f t="array" ref="BC15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6" s="334" t="str" cm="1">
        <f t="array" ref="BD15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6" s="277" t="e">
        <f>INDEX(tblSeverityAnalysis[Final Severity], MATCH(tblPiNAnalysis5[[#This Row],[ID]],tblSeverityAnalysis[ID], 0))</f>
        <v>#N/A</v>
      </c>
      <c r="BF156" s="61" t="e">
        <f>IF(tblPiNAnalysis5[[#This Row],[Severity]]&gt;2,tblPiNAnalysis5[[#This Row],[Highest Target]],)</f>
        <v>#N/A</v>
      </c>
      <c r="BG156" s="191"/>
      <c r="BH156" s="192"/>
      <c r="BI156" s="193">
        <f>COUNTIFS(tblPiNAnalysis5[[#This Row],[Number of missing / zero PiNs greater than threshold - Data quality]:[Manual Flag]],"Flagged")</f>
        <v>2</v>
      </c>
      <c r="BJ156" s="96" t="str">
        <f>IF(tblPiNAnalysis5[[#This Row],['# Flags]]&gt;0, "Flagged", "")</f>
        <v>Flagged</v>
      </c>
      <c r="BK156" s="326" t="e">
        <f>tblPiNAnalysis5[[#This Row],[Preliminary Target]]</f>
        <v>#N/A</v>
      </c>
      <c r="BL156" s="331"/>
    </row>
    <row r="157" spans="1:64" ht="110.7" x14ac:dyDescent="0.55000000000000004">
      <c r="A1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7" s="316" t="s">
        <v>390</v>
      </c>
      <c r="C157" s="317" t="s">
        <v>391</v>
      </c>
      <c r="D157" s="317" t="s">
        <v>402</v>
      </c>
      <c r="E157" s="105" t="s">
        <v>403</v>
      </c>
      <c r="F157" s="100"/>
      <c r="G157" s="34"/>
      <c r="H157" s="34"/>
      <c r="I157" s="97">
        <v>57305.25569680793</v>
      </c>
      <c r="J157" s="97" t="s">
        <v>413</v>
      </c>
      <c r="K157" s="318">
        <v>0</v>
      </c>
      <c r="L157" s="319">
        <v>0</v>
      </c>
      <c r="M157" s="319">
        <v>0</v>
      </c>
      <c r="N157" s="319">
        <v>0</v>
      </c>
      <c r="O157" s="319">
        <v>0</v>
      </c>
      <c r="P157" s="319">
        <v>0</v>
      </c>
      <c r="Q157" s="320">
        <v>0</v>
      </c>
      <c r="R157" s="319">
        <v>0</v>
      </c>
      <c r="S157" s="319"/>
      <c r="T157" s="319"/>
      <c r="U157" s="319"/>
      <c r="V157" s="319"/>
      <c r="W157" s="321">
        <f>IFERROR(IF(tblPiNAnalysis5[[#This Row],[CCCM]]="", "", MROUND(tblPiNAnalysis5[[#This Row],[CCCM]]/tblPiNAnalysis5[[#This Row],[Affected population projection 2026]], 0.05)), "")</f>
        <v>0</v>
      </c>
      <c r="X157" s="322">
        <f>IFERROR(IF(tblPiNAnalysis5[[#This Row],[Education]]="", "", MROUND(tblPiNAnalysis5[[#This Row],[Education]]/tblPiNAnalysis5[[#This Row],[Affected population projection 2026]], 0.05)), "")</f>
        <v>0</v>
      </c>
      <c r="Y157" s="322">
        <f>IFERROR(IF(tblPiNAnalysis5[[#This Row],[Nutrition]]="", "", MROUND(tblPiNAnalysis5[[#This Row],[Nutrition]]/tblPiNAnalysis5[[#This Row],[Affected population projection 2026]], 0.05)), "")</f>
        <v>0</v>
      </c>
      <c r="Z157" s="322">
        <f>IFERROR(IF(tblPiNAnalysis5[[#This Row],[Food Security]]="", "", MROUND(tblPiNAnalysis5[[#This Row],[Food Security]]/tblPiNAnalysis5[[#This Row],[Affected population projection 2026]], 0.05)), "")</f>
        <v>0</v>
      </c>
      <c r="AA157" s="322">
        <f>IFERROR(IF(tblPiNAnalysis5[[#This Row],[Health]]="", "", MROUND(tblPiNAnalysis5[[#This Row],[Health]]/tblPiNAnalysis5[[#This Row],[Affected population projection 2026]], 0.05)), "")</f>
        <v>0</v>
      </c>
      <c r="AB157" s="323">
        <f>IFERROR(IF(tblPiNAnalysis5[[#This Row],[Overarching Protection]]="", "", MROUND(tblPiNAnalysis5[[#This Row],[Overarching Protection]]/tblPiNAnalysis5[[#This Row],[Affected population projection 2026]], 0.05)), "")</f>
        <v>0</v>
      </c>
      <c r="AC157" s="323">
        <f>IFERROR(IF(tblPiNAnalysis5[[#This Row],[Shelter]]="", "", MROUND(tblPiNAnalysis5[[#This Row],[Shelter]]/tblPiNAnalysis5[[#This Row],[Affected population projection 2026]], 0.05)), "")</f>
        <v>0</v>
      </c>
      <c r="AD157" s="324">
        <f>IFERROR(IF(tblPiNAnalysis5[[#This Row],[WASH]]="", "", MROUND(tblPiNAnalysis5[[#This Row],[WASH]]/tblPiNAnalysis5[[#This Row],[Affected population projection 2026]], 0.05)), "")</f>
        <v>0</v>
      </c>
      <c r="AE157" s="322">
        <f>IFERROR(MROUND(tblPiNAnalysis5[[#This Row],[CP]]/tblPiNAnalysis5[[#This Row],[Affected population projection 2026]], 0.05), "")</f>
        <v>0</v>
      </c>
      <c r="AF157" s="322">
        <f>IFERROR(MROUND(tblPiNAnalysis5[[#This Row],[GBV]]/tblPiNAnalysis5[[#This Row],[Affected population projection 2026]], 0.05), "")</f>
        <v>0</v>
      </c>
      <c r="AG157" s="322">
        <f>IFERROR(MROUND(tblPiNAnalysis5[[#This Row],[Mine Action]]/tblPiNAnalysis5[[#This Row],[Affected population projection 2026]], 0.05), "")</f>
        <v>0</v>
      </c>
      <c r="AH157" s="322">
        <f>IFERROR(MROUND(tblPiNAnalysis5[[#This Row],[HLP]]/tblPiNAnalysis5[[#This Row],[Affected population projection 2026]], 0.05), "")</f>
        <v>0</v>
      </c>
      <c r="AI157" s="325">
        <f>IFERROR(LARGE(tblPiNAnalysis5[[#This Row],[CCCM]:[WASH]], 1), "")</f>
        <v>0</v>
      </c>
      <c r="AJ157" s="326" t="str" cm="1">
        <f t="array" ref="AJ157">IF(tblPiNAnalysis5[[#This Row],[Highest Target]]="", "", _xlfn.TEXTJOIN(CHAR(10), TRUE, IF(tblPiNAnalysis5[[#This Row],[Highest Target]]=tblPiNAnalysis5[[#This Row],[CCCM]:[WASH]], tblPiNAnalysis5[[#Headers],[CCCM]:[WASH]], "")))</f>
        <v>CCCM
Education
Nutrition
Food Security
Health
Overarching Protection
Shelter
WASH</v>
      </c>
      <c r="AK157" s="327">
        <f>IF(tblPiNAnalysis5[[#This Row],[Highest Target]]="", "", tblPiNAnalysis5[[#This Row],[Highest Target]]/tblPiNAnalysis5[[#This Row],[Affected population projection 2026]])</f>
        <v>0</v>
      </c>
      <c r="AL157" s="328" t="str">
        <f>IF(SUM(tblPiNAnalysis5[[#This Row],[CCCM]:[WASH]])=0, "",IF(COUNTIF(tblPiNAnalysis5[[#This Row],[CCCM]:[WASH]],"=0")+COUNTIF(tblPiNAnalysis5[[#This Row],[CCCM]:[WASH]],"")&gt;=zero_pin_thresh, "Flagged", ""))</f>
        <v/>
      </c>
      <c r="AM157" s="329" t="str">
        <f>IFERROR(IF(tblPiNAnalysis5[[#This Row],[Highest Target]]="", "", IF(tblPiNAnalysis5[[#This Row],[Highest sector(s'') Target %]]&gt;=flag_pin_perc, "Flagged", "")), "")</f>
        <v/>
      </c>
      <c r="AN157" s="330" t="str" cm="1">
        <f t="array" ref="AN157">IF(tblPiNAnalysis5[[#This Row],[Highest Target]]=0, "",  IF(OR(COUNTIF(tblPiNAnalysis5[[#This Row],[Highest sector(s)]],tblSubSectorPopulation[Sector])), "Flagged", ""))</f>
        <v/>
      </c>
      <c r="AO157" s="46" cm="1">
        <f t="array" ref="AO15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7" s="331" t="str" cm="1">
        <f t="array" ref="AP157">IF(tblPiNAnalysis5[[#This Row],[2nd Highest Target]]="", "", _xlfn.TEXTJOIN(CHAR(10), TRUE, IF(tblPiNAnalysis5[[#This Row],[2nd Highest Target]]=tblPiNAnalysis5[[#This Row],[CCCM]:[WASH]], tblPiNAnalysis5[[#Headers],[CCCM]:[WASH]], "")))</f>
        <v>CCCM
Education
Nutrition
Food Security
Health
Overarching Protection
Shelter
WASH</v>
      </c>
      <c r="AQ157" s="36">
        <f>IFERROR(tblPiNAnalysis5[[#This Row],[2nd Highest Target]]/tblPiNAnalysis5[[#This Row],[Affected population projection 2026]], "")</f>
        <v>0</v>
      </c>
      <c r="AR157" s="46">
        <f>IFERROR(tblPiNAnalysis5[[#This Row],[Highest Target]]-tblPiNAnalysis5[[#This Row],[2nd Highest Target]], "")</f>
        <v>0</v>
      </c>
      <c r="AS157" s="39" t="str">
        <f>IFERROR(((tblPiNAnalysis5[[#This Row],[Highest Target]]-tblPiNAnalysis5[[#This Row],[2nd Highest Target]])/tblPiNAnalysis5[[#This Row],[2nd Highest Target]]),"")</f>
        <v/>
      </c>
      <c r="AT157" s="39" t="str" cm="1">
        <f t="array" ref="AT15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7" s="332" cm="1">
        <f t="array" ref="AU15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7" s="190" t="str" cm="1">
        <f t="array" ref="AV157">IF(tblPiNAnalysis5[[#This Row],[3rd Highest Target]]="", "", _xlfn.TEXTJOIN(CHAR(10), TRUE, IF(tblPiNAnalysis5[[#This Row],[3rd Highest Target]]=tblPiNAnalysis5[[#This Row],[CCCM]:[WASH]], tblPiNAnalysis5[[#Headers],[CCCM]:[WASH]], "")))</f>
        <v>CCCM
Education
Nutrition
Food Security
Health
Overarching Protection
Shelter
WASH</v>
      </c>
      <c r="AW157" s="190">
        <f>IFERROR(tblPiNAnalysis5[[#This Row],[3rd Highest Target]]/tblPiNAnalysis5[[#This Row],[Affected population projection 2026]], "")</f>
        <v>0</v>
      </c>
      <c r="AX157" s="45">
        <f>IFERROR(tblPiNAnalysis5[[#This Row],[Highest Target]]-tblPiNAnalysis5[[#This Row],[3rd Highest Target]],"")</f>
        <v>0</v>
      </c>
      <c r="AY157" s="39" t="str">
        <f>IFERROR(tblPiNAnalysis5[[#This Row],[Difference of Target between Highest and 3rd Highest]]/tblPiNAnalysis5[[#This Row],[3rd Highest Target]], "")</f>
        <v/>
      </c>
      <c r="AZ157" s="330" t="str" cm="1">
        <f t="array" ref="AZ15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7" s="300" t="str" cm="1">
        <f t="array" ref="BA15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7" s="333" t="str" cm="1">
        <f t="array" ref="BB15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7" s="276" t="str" cm="1">
        <f t="array" ref="BC15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7" s="334" t="str" cm="1">
        <f t="array" ref="BD15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7" s="277" t="e">
        <f>INDEX(tblSeverityAnalysis[Final Severity], MATCH(tblPiNAnalysis5[[#This Row],[ID]],tblSeverityAnalysis[ID], 0))</f>
        <v>#N/A</v>
      </c>
      <c r="BF157" s="61" t="e">
        <f>IF(tblPiNAnalysis5[[#This Row],[Severity]]&gt;2,tblPiNAnalysis5[[#This Row],[Highest Target]],)</f>
        <v>#N/A</v>
      </c>
      <c r="BG157" s="191"/>
      <c r="BH157" s="192"/>
      <c r="BI157" s="193">
        <f>COUNTIFS(tblPiNAnalysis5[[#This Row],[Number of missing / zero PiNs greater than threshold - Data quality]:[Manual Flag]],"Flagged")</f>
        <v>2</v>
      </c>
      <c r="BJ157" s="96" t="str">
        <f>IF(tblPiNAnalysis5[[#This Row],['# Flags]]&gt;0, "Flagged", "")</f>
        <v>Flagged</v>
      </c>
      <c r="BK157" s="326" t="e">
        <f>tblPiNAnalysis5[[#This Row],[Preliminary Target]]</f>
        <v>#N/A</v>
      </c>
      <c r="BL157" s="331"/>
    </row>
    <row r="158" spans="1:64" x14ac:dyDescent="0.55000000000000004">
      <c r="A1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8" s="316" t="s">
        <v>390</v>
      </c>
      <c r="C158" s="317" t="s">
        <v>391</v>
      </c>
      <c r="D158" s="317" t="s">
        <v>404</v>
      </c>
      <c r="E158" s="105" t="s">
        <v>405</v>
      </c>
      <c r="F158" s="100"/>
      <c r="G158" s="34"/>
      <c r="H158" s="34"/>
      <c r="I158" s="97">
        <v>20533.496005228379</v>
      </c>
      <c r="J158" s="97" t="s">
        <v>413</v>
      </c>
      <c r="K158" s="318">
        <v>0</v>
      </c>
      <c r="L158" s="319">
        <v>401.87665577528861</v>
      </c>
      <c r="M158" s="319">
        <v>5029.4837009159291</v>
      </c>
      <c r="N158" s="319">
        <v>6023.3408555433152</v>
      </c>
      <c r="O158" s="319">
        <v>7772.2417257627949</v>
      </c>
      <c r="P158" s="319">
        <v>3371.9493710890588</v>
      </c>
      <c r="Q158" s="320">
        <v>524.56444217331159</v>
      </c>
      <c r="R158" s="319">
        <v>5640.373902670759</v>
      </c>
      <c r="S158" s="319"/>
      <c r="T158" s="319"/>
      <c r="U158" s="319"/>
      <c r="V158" s="319"/>
      <c r="W158" s="321">
        <f>IFERROR(IF(tblPiNAnalysis5[[#This Row],[CCCM]]="", "", MROUND(tblPiNAnalysis5[[#This Row],[CCCM]]/tblPiNAnalysis5[[#This Row],[Affected population projection 2026]], 0.05)), "")</f>
        <v>0</v>
      </c>
      <c r="X158" s="322">
        <f>IFERROR(IF(tblPiNAnalysis5[[#This Row],[Education]]="", "", MROUND(tblPiNAnalysis5[[#This Row],[Education]]/tblPiNAnalysis5[[#This Row],[Affected population projection 2026]], 0.05)), "")</f>
        <v>0</v>
      </c>
      <c r="Y158" s="322">
        <f>IFERROR(IF(tblPiNAnalysis5[[#This Row],[Nutrition]]="", "", MROUND(tblPiNAnalysis5[[#This Row],[Nutrition]]/tblPiNAnalysis5[[#This Row],[Affected population projection 2026]], 0.05)), "")</f>
        <v>0.25</v>
      </c>
      <c r="Z158" s="322">
        <f>IFERROR(IF(tblPiNAnalysis5[[#This Row],[Food Security]]="", "", MROUND(tblPiNAnalysis5[[#This Row],[Food Security]]/tblPiNAnalysis5[[#This Row],[Affected population projection 2026]], 0.05)), "")</f>
        <v>0.30000000000000004</v>
      </c>
      <c r="AA158" s="322">
        <f>IFERROR(IF(tblPiNAnalysis5[[#This Row],[Health]]="", "", MROUND(tblPiNAnalysis5[[#This Row],[Health]]/tblPiNAnalysis5[[#This Row],[Affected population projection 2026]], 0.05)), "")</f>
        <v>0.4</v>
      </c>
      <c r="AB158" s="323">
        <f>IFERROR(IF(tblPiNAnalysis5[[#This Row],[Overarching Protection]]="", "", MROUND(tblPiNAnalysis5[[#This Row],[Overarching Protection]]/tblPiNAnalysis5[[#This Row],[Affected population projection 2026]], 0.05)), "")</f>
        <v>0.15000000000000002</v>
      </c>
      <c r="AC158" s="323">
        <f>IFERROR(IF(tblPiNAnalysis5[[#This Row],[Shelter]]="", "", MROUND(tblPiNAnalysis5[[#This Row],[Shelter]]/tblPiNAnalysis5[[#This Row],[Affected population projection 2026]], 0.05)), "")</f>
        <v>0.05</v>
      </c>
      <c r="AD158" s="324">
        <f>IFERROR(IF(tblPiNAnalysis5[[#This Row],[WASH]]="", "", MROUND(tblPiNAnalysis5[[#This Row],[WASH]]/tblPiNAnalysis5[[#This Row],[Affected population projection 2026]], 0.05)), "")</f>
        <v>0.25</v>
      </c>
      <c r="AE158" s="322">
        <f>IFERROR(MROUND(tblPiNAnalysis5[[#This Row],[CP]]/tblPiNAnalysis5[[#This Row],[Affected population projection 2026]], 0.05), "")</f>
        <v>0</v>
      </c>
      <c r="AF158" s="322">
        <f>IFERROR(MROUND(tblPiNAnalysis5[[#This Row],[GBV]]/tblPiNAnalysis5[[#This Row],[Affected population projection 2026]], 0.05), "")</f>
        <v>0</v>
      </c>
      <c r="AG158" s="322">
        <f>IFERROR(MROUND(tblPiNAnalysis5[[#This Row],[Mine Action]]/tblPiNAnalysis5[[#This Row],[Affected population projection 2026]], 0.05), "")</f>
        <v>0</v>
      </c>
      <c r="AH158" s="322">
        <f>IFERROR(MROUND(tblPiNAnalysis5[[#This Row],[HLP]]/tblPiNAnalysis5[[#This Row],[Affected population projection 2026]], 0.05), "")</f>
        <v>0</v>
      </c>
      <c r="AI158" s="325">
        <f>IFERROR(LARGE(tblPiNAnalysis5[[#This Row],[CCCM]:[WASH]], 1), "")</f>
        <v>7772.2417257627949</v>
      </c>
      <c r="AJ158" s="326" t="str" cm="1">
        <f t="array" ref="AJ158">IF(tblPiNAnalysis5[[#This Row],[Highest Target]]="", "", _xlfn.TEXTJOIN(CHAR(10), TRUE, IF(tblPiNAnalysis5[[#This Row],[Highest Target]]=tblPiNAnalysis5[[#This Row],[CCCM]:[WASH]], tblPiNAnalysis5[[#Headers],[CCCM]:[WASH]], "")))</f>
        <v>Health</v>
      </c>
      <c r="AK158" s="327">
        <f>IF(tblPiNAnalysis5[[#This Row],[Highest Target]]="", "", tblPiNAnalysis5[[#This Row],[Highest Target]]/tblPiNAnalysis5[[#This Row],[Affected population projection 2026]])</f>
        <v>0.37851526714124928</v>
      </c>
      <c r="AL158" s="328" t="str">
        <f>IF(SUM(tblPiNAnalysis5[[#This Row],[CCCM]:[WASH]])=0, "",IF(COUNTIF(tblPiNAnalysis5[[#This Row],[CCCM]:[WASH]],"=0")+COUNTIF(tblPiNAnalysis5[[#This Row],[CCCM]:[WASH]],"")&gt;=zero_pin_thresh, "Flagged", ""))</f>
        <v/>
      </c>
      <c r="AM158" s="329" t="str">
        <f>IFERROR(IF(tblPiNAnalysis5[[#This Row],[Highest Target]]="", "", IF(tblPiNAnalysis5[[#This Row],[Highest sector(s'') Target %]]&gt;=flag_pin_perc, "Flagged", "")), "")</f>
        <v/>
      </c>
      <c r="AN158" s="330" t="str" cm="1">
        <f t="array" ref="AN158">IF(tblPiNAnalysis5[[#This Row],[Highest Target]]=0, "",  IF(OR(COUNTIF(tblPiNAnalysis5[[#This Row],[Highest sector(s)]],tblSubSectorPopulation[Sector])), "Flagged", ""))</f>
        <v/>
      </c>
      <c r="AO158" s="46" cm="1">
        <f t="array" ref="AO15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6023.3408555433152</v>
      </c>
      <c r="AP158" s="331" t="str" cm="1">
        <f t="array" ref="AP158">IF(tblPiNAnalysis5[[#This Row],[2nd Highest Target]]="", "", _xlfn.TEXTJOIN(CHAR(10), TRUE, IF(tblPiNAnalysis5[[#This Row],[2nd Highest Target]]=tblPiNAnalysis5[[#This Row],[CCCM]:[WASH]], tblPiNAnalysis5[[#Headers],[CCCM]:[WASH]], "")))</f>
        <v>Food Security</v>
      </c>
      <c r="AQ158" s="36">
        <f>IFERROR(tblPiNAnalysis5[[#This Row],[2nd Highest Target]]/tblPiNAnalysis5[[#This Row],[Affected population projection 2026]], "")</f>
        <v>0.29334219823110547</v>
      </c>
      <c r="AR158" s="46">
        <f>IFERROR(tblPiNAnalysis5[[#This Row],[Highest Target]]-tblPiNAnalysis5[[#This Row],[2nd Highest Target]], "")</f>
        <v>1748.9008702194797</v>
      </c>
      <c r="AS158" s="39">
        <f>IFERROR(((tblPiNAnalysis5[[#This Row],[Highest Target]]-tblPiNAnalysis5[[#This Row],[2nd Highest Target]])/tblPiNAnalysis5[[#This Row],[2nd Highest Target]]),"")</f>
        <v>0.29035396006353453</v>
      </c>
      <c r="AT158" s="39" t="str" cm="1">
        <f t="array" ref="AT15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8" s="332" cm="1">
        <f t="array" ref="AU15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5640.373902670759</v>
      </c>
      <c r="AV158" s="190" t="str" cm="1">
        <f t="array" ref="AV158">IF(tblPiNAnalysis5[[#This Row],[3rd Highest Target]]="", "", _xlfn.TEXTJOIN(CHAR(10), TRUE, IF(tblPiNAnalysis5[[#This Row],[3rd Highest Target]]=tblPiNAnalysis5[[#This Row],[CCCM]:[WASH]], tblPiNAnalysis5[[#Headers],[CCCM]:[WASH]], "")))</f>
        <v>WASH</v>
      </c>
      <c r="AW158" s="190">
        <f>IFERROR(tblPiNAnalysis5[[#This Row],[3rd Highest Target]]/tblPiNAnalysis5[[#This Row],[Affected population projection 2026]], "")</f>
        <v>0.27469135802469141</v>
      </c>
      <c r="AX158" s="45">
        <f>IFERROR(tblPiNAnalysis5[[#This Row],[Highest Target]]-tblPiNAnalysis5[[#This Row],[3rd Highest Target]],"")</f>
        <v>2131.8678230920359</v>
      </c>
      <c r="AY158" s="39">
        <f>IFERROR(tblPiNAnalysis5[[#This Row],[Difference of Target between Highest and 3rd Highest]]/tblPiNAnalysis5[[#This Row],[3rd Highest Target]], "")</f>
        <v>0.37796569161533433</v>
      </c>
      <c r="AZ158" s="330" t="str" cm="1">
        <f t="array" ref="AZ15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8" s="300" t="str" cm="1">
        <f t="array" ref="BA15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8" s="333" t="str" cm="1">
        <f t="array" ref="BB15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8" s="276" t="str" cm="1">
        <f t="array" ref="BC15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8" s="334" t="str" cm="1">
        <f t="array" ref="BD15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58" s="277" t="e">
        <f>INDEX(tblSeverityAnalysis[Final Severity], MATCH(tblPiNAnalysis5[[#This Row],[ID]],tblSeverityAnalysis[ID], 0))</f>
        <v>#N/A</v>
      </c>
      <c r="BF158" s="61" t="e">
        <f>IF(tblPiNAnalysis5[[#This Row],[Severity]]&gt;2,tblPiNAnalysis5[[#This Row],[Highest Target]],)</f>
        <v>#N/A</v>
      </c>
      <c r="BG158" s="191"/>
      <c r="BH158" s="192"/>
      <c r="BI158" s="193">
        <f>COUNTIFS(tblPiNAnalysis5[[#This Row],[Number of missing / zero PiNs greater than threshold - Data quality]:[Manual Flag]],"Flagged")</f>
        <v>1</v>
      </c>
      <c r="BJ158" s="96" t="str">
        <f>IF(tblPiNAnalysis5[[#This Row],['# Flags]]&gt;0, "Flagged", "")</f>
        <v>Flagged</v>
      </c>
      <c r="BK158" s="326" t="e">
        <f>tblPiNAnalysis5[[#This Row],[Preliminary Target]]</f>
        <v>#N/A</v>
      </c>
      <c r="BL158" s="331"/>
    </row>
    <row r="159" spans="1:64" ht="110.7" x14ac:dyDescent="0.55000000000000004">
      <c r="A1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9" s="316" t="s">
        <v>390</v>
      </c>
      <c r="C159" s="317" t="s">
        <v>391</v>
      </c>
      <c r="D159" s="317" t="s">
        <v>406</v>
      </c>
      <c r="E159" s="105" t="s">
        <v>407</v>
      </c>
      <c r="F159" s="100"/>
      <c r="G159" s="34"/>
      <c r="H159" s="34"/>
      <c r="I159" s="97">
        <v>65499.917413585019</v>
      </c>
      <c r="J159" s="97" t="s">
        <v>413</v>
      </c>
      <c r="K159" s="318">
        <v>0</v>
      </c>
      <c r="L159" s="319">
        <v>0</v>
      </c>
      <c r="M159" s="319">
        <v>0</v>
      </c>
      <c r="N159" s="319">
        <v>0</v>
      </c>
      <c r="O159" s="319">
        <v>0</v>
      </c>
      <c r="P159" s="319">
        <v>0</v>
      </c>
      <c r="Q159" s="320">
        <v>0</v>
      </c>
      <c r="R159" s="319">
        <v>0</v>
      </c>
      <c r="S159" s="319"/>
      <c r="T159" s="319"/>
      <c r="U159" s="319"/>
      <c r="V159" s="319"/>
      <c r="W159" s="321">
        <f>IFERROR(IF(tblPiNAnalysis5[[#This Row],[CCCM]]="", "", MROUND(tblPiNAnalysis5[[#This Row],[CCCM]]/tblPiNAnalysis5[[#This Row],[Affected population projection 2026]], 0.05)), "")</f>
        <v>0</v>
      </c>
      <c r="X159" s="322">
        <f>IFERROR(IF(tblPiNAnalysis5[[#This Row],[Education]]="", "", MROUND(tblPiNAnalysis5[[#This Row],[Education]]/tblPiNAnalysis5[[#This Row],[Affected population projection 2026]], 0.05)), "")</f>
        <v>0</v>
      </c>
      <c r="Y159" s="322">
        <f>IFERROR(IF(tblPiNAnalysis5[[#This Row],[Nutrition]]="", "", MROUND(tblPiNAnalysis5[[#This Row],[Nutrition]]/tblPiNAnalysis5[[#This Row],[Affected population projection 2026]], 0.05)), "")</f>
        <v>0</v>
      </c>
      <c r="Z159" s="322">
        <f>IFERROR(IF(tblPiNAnalysis5[[#This Row],[Food Security]]="", "", MROUND(tblPiNAnalysis5[[#This Row],[Food Security]]/tblPiNAnalysis5[[#This Row],[Affected population projection 2026]], 0.05)), "")</f>
        <v>0</v>
      </c>
      <c r="AA159" s="322">
        <f>IFERROR(IF(tblPiNAnalysis5[[#This Row],[Health]]="", "", MROUND(tblPiNAnalysis5[[#This Row],[Health]]/tblPiNAnalysis5[[#This Row],[Affected population projection 2026]], 0.05)), "")</f>
        <v>0</v>
      </c>
      <c r="AB159" s="323">
        <f>IFERROR(IF(tblPiNAnalysis5[[#This Row],[Overarching Protection]]="", "", MROUND(tblPiNAnalysis5[[#This Row],[Overarching Protection]]/tblPiNAnalysis5[[#This Row],[Affected population projection 2026]], 0.05)), "")</f>
        <v>0</v>
      </c>
      <c r="AC159" s="323">
        <f>IFERROR(IF(tblPiNAnalysis5[[#This Row],[Shelter]]="", "", MROUND(tblPiNAnalysis5[[#This Row],[Shelter]]/tblPiNAnalysis5[[#This Row],[Affected population projection 2026]], 0.05)), "")</f>
        <v>0</v>
      </c>
      <c r="AD159" s="324">
        <f>IFERROR(IF(tblPiNAnalysis5[[#This Row],[WASH]]="", "", MROUND(tblPiNAnalysis5[[#This Row],[WASH]]/tblPiNAnalysis5[[#This Row],[Affected population projection 2026]], 0.05)), "")</f>
        <v>0</v>
      </c>
      <c r="AE159" s="322">
        <f>IFERROR(MROUND(tblPiNAnalysis5[[#This Row],[CP]]/tblPiNAnalysis5[[#This Row],[Affected population projection 2026]], 0.05), "")</f>
        <v>0</v>
      </c>
      <c r="AF159" s="322">
        <f>IFERROR(MROUND(tblPiNAnalysis5[[#This Row],[GBV]]/tblPiNAnalysis5[[#This Row],[Affected population projection 2026]], 0.05), "")</f>
        <v>0</v>
      </c>
      <c r="AG159" s="322">
        <f>IFERROR(MROUND(tblPiNAnalysis5[[#This Row],[Mine Action]]/tblPiNAnalysis5[[#This Row],[Affected population projection 2026]], 0.05), "")</f>
        <v>0</v>
      </c>
      <c r="AH159" s="322">
        <f>IFERROR(MROUND(tblPiNAnalysis5[[#This Row],[HLP]]/tblPiNAnalysis5[[#This Row],[Affected population projection 2026]], 0.05), "")</f>
        <v>0</v>
      </c>
      <c r="AI159" s="325">
        <f>IFERROR(LARGE(tblPiNAnalysis5[[#This Row],[CCCM]:[WASH]], 1), "")</f>
        <v>0</v>
      </c>
      <c r="AJ159" s="326" t="str" cm="1">
        <f t="array" ref="AJ159">IF(tblPiNAnalysis5[[#This Row],[Highest Target]]="", "", _xlfn.TEXTJOIN(CHAR(10), TRUE, IF(tblPiNAnalysis5[[#This Row],[Highest Target]]=tblPiNAnalysis5[[#This Row],[CCCM]:[WASH]], tblPiNAnalysis5[[#Headers],[CCCM]:[WASH]], "")))</f>
        <v>CCCM
Education
Nutrition
Food Security
Health
Overarching Protection
Shelter
WASH</v>
      </c>
      <c r="AK159" s="327">
        <f>IF(tblPiNAnalysis5[[#This Row],[Highest Target]]="", "", tblPiNAnalysis5[[#This Row],[Highest Target]]/tblPiNAnalysis5[[#This Row],[Affected population projection 2026]])</f>
        <v>0</v>
      </c>
      <c r="AL159" s="328" t="str">
        <f>IF(SUM(tblPiNAnalysis5[[#This Row],[CCCM]:[WASH]])=0, "",IF(COUNTIF(tblPiNAnalysis5[[#This Row],[CCCM]:[WASH]],"=0")+COUNTIF(tblPiNAnalysis5[[#This Row],[CCCM]:[WASH]],"")&gt;=zero_pin_thresh, "Flagged", ""))</f>
        <v/>
      </c>
      <c r="AM159" s="329" t="str">
        <f>IFERROR(IF(tblPiNAnalysis5[[#This Row],[Highest Target]]="", "", IF(tblPiNAnalysis5[[#This Row],[Highest sector(s'') Target %]]&gt;=flag_pin_perc, "Flagged", "")), "")</f>
        <v/>
      </c>
      <c r="AN159" s="330" t="str" cm="1">
        <f t="array" ref="AN159">IF(tblPiNAnalysis5[[#This Row],[Highest Target]]=0, "",  IF(OR(COUNTIF(tblPiNAnalysis5[[#This Row],[Highest sector(s)]],tblSubSectorPopulation[Sector])), "Flagged", ""))</f>
        <v/>
      </c>
      <c r="AO159" s="46" cm="1">
        <f t="array" ref="AO15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59" s="331" t="str" cm="1">
        <f t="array" ref="AP159">IF(tblPiNAnalysis5[[#This Row],[2nd Highest Target]]="", "", _xlfn.TEXTJOIN(CHAR(10), TRUE, IF(tblPiNAnalysis5[[#This Row],[2nd Highest Target]]=tblPiNAnalysis5[[#This Row],[CCCM]:[WASH]], tblPiNAnalysis5[[#Headers],[CCCM]:[WASH]], "")))</f>
        <v>CCCM
Education
Nutrition
Food Security
Health
Overarching Protection
Shelter
WASH</v>
      </c>
      <c r="AQ159" s="36">
        <f>IFERROR(tblPiNAnalysis5[[#This Row],[2nd Highest Target]]/tblPiNAnalysis5[[#This Row],[Affected population projection 2026]], "")</f>
        <v>0</v>
      </c>
      <c r="AR159" s="46">
        <f>IFERROR(tblPiNAnalysis5[[#This Row],[Highest Target]]-tblPiNAnalysis5[[#This Row],[2nd Highest Target]], "")</f>
        <v>0</v>
      </c>
      <c r="AS159" s="39" t="str">
        <f>IFERROR(((tblPiNAnalysis5[[#This Row],[Highest Target]]-tblPiNAnalysis5[[#This Row],[2nd Highest Target]])/tblPiNAnalysis5[[#This Row],[2nd Highest Target]]),"")</f>
        <v/>
      </c>
      <c r="AT159" s="39" t="str" cm="1">
        <f t="array" ref="AT15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59" s="332" cm="1">
        <f t="array" ref="AU15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59" s="190" t="str" cm="1">
        <f t="array" ref="AV159">IF(tblPiNAnalysis5[[#This Row],[3rd Highest Target]]="", "", _xlfn.TEXTJOIN(CHAR(10), TRUE, IF(tblPiNAnalysis5[[#This Row],[3rd Highest Target]]=tblPiNAnalysis5[[#This Row],[CCCM]:[WASH]], tblPiNAnalysis5[[#Headers],[CCCM]:[WASH]], "")))</f>
        <v>CCCM
Education
Nutrition
Food Security
Health
Overarching Protection
Shelter
WASH</v>
      </c>
      <c r="AW159" s="190">
        <f>IFERROR(tblPiNAnalysis5[[#This Row],[3rd Highest Target]]/tblPiNAnalysis5[[#This Row],[Affected population projection 2026]], "")</f>
        <v>0</v>
      </c>
      <c r="AX159" s="45">
        <f>IFERROR(tblPiNAnalysis5[[#This Row],[Highest Target]]-tblPiNAnalysis5[[#This Row],[3rd Highest Target]],"")</f>
        <v>0</v>
      </c>
      <c r="AY159" s="39" t="str">
        <f>IFERROR(tblPiNAnalysis5[[#This Row],[Difference of Target between Highest and 3rd Highest]]/tblPiNAnalysis5[[#This Row],[3rd Highest Target]], "")</f>
        <v/>
      </c>
      <c r="AZ159" s="330" t="str" cm="1">
        <f t="array" ref="AZ15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59" s="300" t="str" cm="1">
        <f t="array" ref="BA15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59" s="333" t="str" cm="1">
        <f t="array" ref="BB15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59" s="276" t="str" cm="1">
        <f t="array" ref="BC15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59" s="334" t="str" cm="1">
        <f t="array" ref="BD15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59" s="277" t="e">
        <f>INDEX(tblSeverityAnalysis[Final Severity], MATCH(tblPiNAnalysis5[[#This Row],[ID]],tblSeverityAnalysis[ID], 0))</f>
        <v>#N/A</v>
      </c>
      <c r="BF159" s="61" t="e">
        <f>IF(tblPiNAnalysis5[[#This Row],[Severity]]&gt;2,tblPiNAnalysis5[[#This Row],[Highest Target]],)</f>
        <v>#N/A</v>
      </c>
      <c r="BG159" s="191"/>
      <c r="BH159" s="192"/>
      <c r="BI159" s="193">
        <f>COUNTIFS(tblPiNAnalysis5[[#This Row],[Number of missing / zero PiNs greater than threshold - Data quality]:[Manual Flag]],"Flagged")</f>
        <v>2</v>
      </c>
      <c r="BJ159" s="96" t="str">
        <f>IF(tblPiNAnalysis5[[#This Row],['# Flags]]&gt;0, "Flagged", "")</f>
        <v>Flagged</v>
      </c>
      <c r="BK159" s="326" t="e">
        <f>tblPiNAnalysis5[[#This Row],[Preliminary Target]]</f>
        <v>#N/A</v>
      </c>
      <c r="BL159" s="331"/>
    </row>
    <row r="160" spans="1:64" x14ac:dyDescent="0.55000000000000004">
      <c r="A1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0" s="316" t="s">
        <v>390</v>
      </c>
      <c r="C160" s="317" t="s">
        <v>391</v>
      </c>
      <c r="D160" s="317" t="s">
        <v>408</v>
      </c>
      <c r="E160" s="105" t="s">
        <v>409</v>
      </c>
      <c r="F160" s="100"/>
      <c r="G160" s="34"/>
      <c r="H160" s="34"/>
      <c r="I160" s="97">
        <v>76119.104669093867</v>
      </c>
      <c r="J160" s="97" t="s">
        <v>413</v>
      </c>
      <c r="K160" s="318">
        <v>0</v>
      </c>
      <c r="L160" s="319">
        <v>4598.4083964332285</v>
      </c>
      <c r="M160" s="319">
        <v>18275.620298405785</v>
      </c>
      <c r="N160" s="319">
        <v>17948.193300489344</v>
      </c>
      <c r="O160" s="319">
        <v>32413.633790026284</v>
      </c>
      <c r="P160" s="319">
        <v>12852.564586357039</v>
      </c>
      <c r="Q160" s="320">
        <v>2155.2825142260285</v>
      </c>
      <c r="R160" s="319">
        <v>41436.750265467381</v>
      </c>
      <c r="S160" s="319"/>
      <c r="T160" s="319"/>
      <c r="U160" s="319"/>
      <c r="V160" s="319"/>
      <c r="W160" s="321">
        <f>IFERROR(IF(tblPiNAnalysis5[[#This Row],[CCCM]]="", "", MROUND(tblPiNAnalysis5[[#This Row],[CCCM]]/tblPiNAnalysis5[[#This Row],[Affected population projection 2026]], 0.05)), "")</f>
        <v>0</v>
      </c>
      <c r="X160" s="322">
        <f>IFERROR(IF(tblPiNAnalysis5[[#This Row],[Education]]="", "", MROUND(tblPiNAnalysis5[[#This Row],[Education]]/tblPiNAnalysis5[[#This Row],[Affected population projection 2026]], 0.05)), "")</f>
        <v>0.05</v>
      </c>
      <c r="Y160" s="322">
        <f>IFERROR(IF(tblPiNAnalysis5[[#This Row],[Nutrition]]="", "", MROUND(tblPiNAnalysis5[[#This Row],[Nutrition]]/tblPiNAnalysis5[[#This Row],[Affected population projection 2026]], 0.05)), "")</f>
        <v>0.25</v>
      </c>
      <c r="Z160" s="322">
        <f>IFERROR(IF(tblPiNAnalysis5[[#This Row],[Food Security]]="", "", MROUND(tblPiNAnalysis5[[#This Row],[Food Security]]/tblPiNAnalysis5[[#This Row],[Affected population projection 2026]], 0.05)), "")</f>
        <v>0.25</v>
      </c>
      <c r="AA160" s="322">
        <f>IFERROR(IF(tblPiNAnalysis5[[#This Row],[Health]]="", "", MROUND(tblPiNAnalysis5[[#This Row],[Health]]/tblPiNAnalysis5[[#This Row],[Affected population projection 2026]], 0.05)), "")</f>
        <v>0.45</v>
      </c>
      <c r="AB160" s="323">
        <f>IFERROR(IF(tblPiNAnalysis5[[#This Row],[Overarching Protection]]="", "", MROUND(tblPiNAnalysis5[[#This Row],[Overarching Protection]]/tblPiNAnalysis5[[#This Row],[Affected population projection 2026]], 0.05)), "")</f>
        <v>0.15000000000000002</v>
      </c>
      <c r="AC160" s="323">
        <f>IFERROR(IF(tblPiNAnalysis5[[#This Row],[Shelter]]="", "", MROUND(tblPiNAnalysis5[[#This Row],[Shelter]]/tblPiNAnalysis5[[#This Row],[Affected population projection 2026]], 0.05)), "")</f>
        <v>0.05</v>
      </c>
      <c r="AD160" s="324">
        <f>IFERROR(IF(tblPiNAnalysis5[[#This Row],[WASH]]="", "", MROUND(tblPiNAnalysis5[[#This Row],[WASH]]/tblPiNAnalysis5[[#This Row],[Affected population projection 2026]], 0.05)), "")</f>
        <v>0.55000000000000004</v>
      </c>
      <c r="AE160" s="322">
        <f>IFERROR(MROUND(tblPiNAnalysis5[[#This Row],[CP]]/tblPiNAnalysis5[[#This Row],[Affected population projection 2026]], 0.05), "")</f>
        <v>0</v>
      </c>
      <c r="AF160" s="322">
        <f>IFERROR(MROUND(tblPiNAnalysis5[[#This Row],[GBV]]/tblPiNAnalysis5[[#This Row],[Affected population projection 2026]], 0.05), "")</f>
        <v>0</v>
      </c>
      <c r="AG160" s="322">
        <f>IFERROR(MROUND(tblPiNAnalysis5[[#This Row],[Mine Action]]/tblPiNAnalysis5[[#This Row],[Affected population projection 2026]], 0.05), "")</f>
        <v>0</v>
      </c>
      <c r="AH160" s="322">
        <f>IFERROR(MROUND(tblPiNAnalysis5[[#This Row],[HLP]]/tblPiNAnalysis5[[#This Row],[Affected population projection 2026]], 0.05), "")</f>
        <v>0</v>
      </c>
      <c r="AI160" s="325">
        <f>IFERROR(LARGE(tblPiNAnalysis5[[#This Row],[CCCM]:[WASH]], 1), "")</f>
        <v>41436.750265467381</v>
      </c>
      <c r="AJ160" s="326" t="str" cm="1">
        <f t="array" ref="AJ160">IF(tblPiNAnalysis5[[#This Row],[Highest Target]]="", "", _xlfn.TEXTJOIN(CHAR(10), TRUE, IF(tblPiNAnalysis5[[#This Row],[Highest Target]]=tblPiNAnalysis5[[#This Row],[CCCM]:[WASH]], tblPiNAnalysis5[[#Headers],[CCCM]:[WASH]], "")))</f>
        <v>WASH</v>
      </c>
      <c r="AK160" s="327">
        <f>IF(tblPiNAnalysis5[[#This Row],[Highest Target]]="", "", tblPiNAnalysis5[[#This Row],[Highest Target]]/tblPiNAnalysis5[[#This Row],[Affected population projection 2026]])</f>
        <v>0.54436728395061729</v>
      </c>
      <c r="AL160" s="328" t="str">
        <f>IF(SUM(tblPiNAnalysis5[[#This Row],[CCCM]:[WASH]])=0, "",IF(COUNTIF(tblPiNAnalysis5[[#This Row],[CCCM]:[WASH]],"=0")+COUNTIF(tblPiNAnalysis5[[#This Row],[CCCM]:[WASH]],"")&gt;=zero_pin_thresh, "Flagged", ""))</f>
        <v/>
      </c>
      <c r="AM160" s="329" t="str">
        <f>IFERROR(IF(tblPiNAnalysis5[[#This Row],[Highest Target]]="", "", IF(tblPiNAnalysis5[[#This Row],[Highest sector(s'') Target %]]&gt;=flag_pin_perc, "Flagged", "")), "")</f>
        <v/>
      </c>
      <c r="AN160" s="330" t="str" cm="1">
        <f t="array" ref="AN160">IF(tblPiNAnalysis5[[#This Row],[Highest Target]]=0, "",  IF(OR(COUNTIF(tblPiNAnalysis5[[#This Row],[Highest sector(s)]],tblSubSectorPopulation[Sector])), "Flagged", ""))</f>
        <v/>
      </c>
      <c r="AO160" s="46" cm="1">
        <f t="array" ref="AO16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32413.633790026284</v>
      </c>
      <c r="AP160" s="331" t="str" cm="1">
        <f t="array" ref="AP160">IF(tblPiNAnalysis5[[#This Row],[2nd Highest Target]]="", "", _xlfn.TEXTJOIN(CHAR(10), TRUE, IF(tblPiNAnalysis5[[#This Row],[2nd Highest Target]]=tblPiNAnalysis5[[#This Row],[CCCM]:[WASH]], tblPiNAnalysis5[[#Headers],[CCCM]:[WASH]], "")))</f>
        <v>Health</v>
      </c>
      <c r="AQ160" s="36">
        <f>IFERROR(tblPiNAnalysis5[[#This Row],[2nd Highest Target]]/tblPiNAnalysis5[[#This Row],[Affected population projection 2026]], "")</f>
        <v>0.42582783824028575</v>
      </c>
      <c r="AR160" s="46">
        <f>IFERROR(tblPiNAnalysis5[[#This Row],[Highest Target]]-tblPiNAnalysis5[[#This Row],[2nd Highest Target]], "")</f>
        <v>9023.1164754410966</v>
      </c>
      <c r="AS160" s="39">
        <f>IFERROR(((tblPiNAnalysis5[[#This Row],[Highest Target]]-tblPiNAnalysis5[[#This Row],[2nd Highest Target]])/tblPiNAnalysis5[[#This Row],[2nd Highest Target]]),"")</f>
        <v>0.2783741105330042</v>
      </c>
      <c r="AT160" s="39" t="str" cm="1">
        <f t="array" ref="AT16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0" s="332" cm="1">
        <f t="array" ref="AU16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18275.620298405785</v>
      </c>
      <c r="AV160" s="190" t="str" cm="1">
        <f t="array" ref="AV160">IF(tblPiNAnalysis5[[#This Row],[3rd Highest Target]]="", "", _xlfn.TEXTJOIN(CHAR(10), TRUE, IF(tblPiNAnalysis5[[#This Row],[3rd Highest Target]]=tblPiNAnalysis5[[#This Row],[CCCM]:[WASH]], tblPiNAnalysis5[[#Headers],[CCCM]:[WASH]], "")))</f>
        <v>Nutrition</v>
      </c>
      <c r="AW160" s="190">
        <f>IFERROR(tblPiNAnalysis5[[#This Row],[3rd Highest Target]]/tblPiNAnalysis5[[#This Row],[Affected population projection 2026]], "")</f>
        <v>0.24009242328655653</v>
      </c>
      <c r="AX160" s="45">
        <f>IFERROR(tblPiNAnalysis5[[#This Row],[Highest Target]]-tblPiNAnalysis5[[#This Row],[3rd Highest Target]],"")</f>
        <v>23161.129967061595</v>
      </c>
      <c r="AY160" s="39">
        <f>IFERROR(tblPiNAnalysis5[[#This Row],[Difference of Target between Highest and 3rd Highest]]/tblPiNAnalysis5[[#This Row],[3rd Highest Target]], "")</f>
        <v>1.26732387677599</v>
      </c>
      <c r="AZ160" s="330" t="str" cm="1">
        <f t="array" ref="AZ16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60" s="300" t="str" cm="1">
        <f t="array" ref="BA16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0" s="333" t="str" cm="1">
        <f t="array" ref="BB16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60" s="276" t="str" cm="1">
        <f t="array" ref="BC16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0" s="334" t="str" cm="1">
        <f t="array" ref="BD16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0" s="277" t="e">
        <f>INDEX(tblSeverityAnalysis[Final Severity], MATCH(tblPiNAnalysis5[[#This Row],[ID]],tblSeverityAnalysis[ID], 0))</f>
        <v>#N/A</v>
      </c>
      <c r="BF160" s="61" t="e">
        <f>IF(tblPiNAnalysis5[[#This Row],[Severity]]&gt;2,tblPiNAnalysis5[[#This Row],[Highest Target]],)</f>
        <v>#N/A</v>
      </c>
      <c r="BG160" s="191"/>
      <c r="BH160" s="192"/>
      <c r="BI160" s="193">
        <f>COUNTIFS(tblPiNAnalysis5[[#This Row],[Number of missing / zero PiNs greater than threshold - Data quality]:[Manual Flag]],"Flagged")</f>
        <v>2</v>
      </c>
      <c r="BJ160" s="96" t="str">
        <f>IF(tblPiNAnalysis5[[#This Row],['# Flags]]&gt;0, "Flagged", "")</f>
        <v>Flagged</v>
      </c>
      <c r="BK160" s="326" t="e">
        <f>tblPiNAnalysis5[[#This Row],[Preliminary Target]]</f>
        <v>#N/A</v>
      </c>
      <c r="BL160" s="331"/>
    </row>
    <row r="161" spans="1:64" ht="110.7" x14ac:dyDescent="0.55000000000000004">
      <c r="A1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1" s="316" t="s">
        <v>390</v>
      </c>
      <c r="C161" s="317" t="s">
        <v>391</v>
      </c>
      <c r="D161" s="317" t="s">
        <v>410</v>
      </c>
      <c r="E161" s="105" t="s">
        <v>411</v>
      </c>
      <c r="F161" s="100"/>
      <c r="G161" s="34"/>
      <c r="H161" s="34"/>
      <c r="I161" s="97">
        <v>122615.70597189905</v>
      </c>
      <c r="J161" s="97" t="s">
        <v>413</v>
      </c>
      <c r="K161" s="318">
        <v>0</v>
      </c>
      <c r="L161" s="319">
        <v>0</v>
      </c>
      <c r="M161" s="319">
        <v>0</v>
      </c>
      <c r="N161" s="319">
        <v>0</v>
      </c>
      <c r="O161" s="319">
        <v>0</v>
      </c>
      <c r="P161" s="319">
        <v>0</v>
      </c>
      <c r="Q161" s="320">
        <v>0</v>
      </c>
      <c r="R161" s="319">
        <v>0</v>
      </c>
      <c r="S161" s="319"/>
      <c r="T161" s="319"/>
      <c r="U161" s="319"/>
      <c r="V161" s="319"/>
      <c r="W161" s="321">
        <f>IFERROR(IF(tblPiNAnalysis5[[#This Row],[CCCM]]="", "", MROUND(tblPiNAnalysis5[[#This Row],[CCCM]]/tblPiNAnalysis5[[#This Row],[Affected population projection 2026]], 0.05)), "")</f>
        <v>0</v>
      </c>
      <c r="X161" s="322">
        <f>IFERROR(IF(tblPiNAnalysis5[[#This Row],[Education]]="", "", MROUND(tblPiNAnalysis5[[#This Row],[Education]]/tblPiNAnalysis5[[#This Row],[Affected population projection 2026]], 0.05)), "")</f>
        <v>0</v>
      </c>
      <c r="Y161" s="322">
        <f>IFERROR(IF(tblPiNAnalysis5[[#This Row],[Nutrition]]="", "", MROUND(tblPiNAnalysis5[[#This Row],[Nutrition]]/tblPiNAnalysis5[[#This Row],[Affected population projection 2026]], 0.05)), "")</f>
        <v>0</v>
      </c>
      <c r="Z161" s="322">
        <f>IFERROR(IF(tblPiNAnalysis5[[#This Row],[Food Security]]="", "", MROUND(tblPiNAnalysis5[[#This Row],[Food Security]]/tblPiNAnalysis5[[#This Row],[Affected population projection 2026]], 0.05)), "")</f>
        <v>0</v>
      </c>
      <c r="AA161" s="322">
        <f>IFERROR(IF(tblPiNAnalysis5[[#This Row],[Health]]="", "", MROUND(tblPiNAnalysis5[[#This Row],[Health]]/tblPiNAnalysis5[[#This Row],[Affected population projection 2026]], 0.05)), "")</f>
        <v>0</v>
      </c>
      <c r="AB161" s="323">
        <f>IFERROR(IF(tblPiNAnalysis5[[#This Row],[Overarching Protection]]="", "", MROUND(tblPiNAnalysis5[[#This Row],[Overarching Protection]]/tblPiNAnalysis5[[#This Row],[Affected population projection 2026]], 0.05)), "")</f>
        <v>0</v>
      </c>
      <c r="AC161" s="323">
        <f>IFERROR(IF(tblPiNAnalysis5[[#This Row],[Shelter]]="", "", MROUND(tblPiNAnalysis5[[#This Row],[Shelter]]/tblPiNAnalysis5[[#This Row],[Affected population projection 2026]], 0.05)), "")</f>
        <v>0</v>
      </c>
      <c r="AD161" s="324">
        <f>IFERROR(IF(tblPiNAnalysis5[[#This Row],[WASH]]="", "", MROUND(tblPiNAnalysis5[[#This Row],[WASH]]/tblPiNAnalysis5[[#This Row],[Affected population projection 2026]], 0.05)), "")</f>
        <v>0</v>
      </c>
      <c r="AE161" s="322">
        <f>IFERROR(MROUND(tblPiNAnalysis5[[#This Row],[CP]]/tblPiNAnalysis5[[#This Row],[Affected population projection 2026]], 0.05), "")</f>
        <v>0</v>
      </c>
      <c r="AF161" s="322">
        <f>IFERROR(MROUND(tblPiNAnalysis5[[#This Row],[GBV]]/tblPiNAnalysis5[[#This Row],[Affected population projection 2026]], 0.05), "")</f>
        <v>0</v>
      </c>
      <c r="AG161" s="322">
        <f>IFERROR(MROUND(tblPiNAnalysis5[[#This Row],[Mine Action]]/tblPiNAnalysis5[[#This Row],[Affected population projection 2026]], 0.05), "")</f>
        <v>0</v>
      </c>
      <c r="AH161" s="322">
        <f>IFERROR(MROUND(tblPiNAnalysis5[[#This Row],[HLP]]/tblPiNAnalysis5[[#This Row],[Affected population projection 2026]], 0.05), "")</f>
        <v>0</v>
      </c>
      <c r="AI161" s="325">
        <f>IFERROR(LARGE(tblPiNAnalysis5[[#This Row],[CCCM]:[WASH]], 1), "")</f>
        <v>0</v>
      </c>
      <c r="AJ161" s="326" t="str" cm="1">
        <f t="array" ref="AJ161">IF(tblPiNAnalysis5[[#This Row],[Highest Target]]="", "", _xlfn.TEXTJOIN(CHAR(10), TRUE, IF(tblPiNAnalysis5[[#This Row],[Highest Target]]=tblPiNAnalysis5[[#This Row],[CCCM]:[WASH]], tblPiNAnalysis5[[#Headers],[CCCM]:[WASH]], "")))</f>
        <v>CCCM
Education
Nutrition
Food Security
Health
Overarching Protection
Shelter
WASH</v>
      </c>
      <c r="AK161" s="327">
        <f>IF(tblPiNAnalysis5[[#This Row],[Highest Target]]="", "", tblPiNAnalysis5[[#This Row],[Highest Target]]/tblPiNAnalysis5[[#This Row],[Affected population projection 2026]])</f>
        <v>0</v>
      </c>
      <c r="AL161" s="328" t="str">
        <f>IF(SUM(tblPiNAnalysis5[[#This Row],[CCCM]:[WASH]])=0, "",IF(COUNTIF(tblPiNAnalysis5[[#This Row],[CCCM]:[WASH]],"=0")+COUNTIF(tblPiNAnalysis5[[#This Row],[CCCM]:[WASH]],"")&gt;=zero_pin_thresh, "Flagged", ""))</f>
        <v/>
      </c>
      <c r="AM161" s="329" t="str">
        <f>IFERROR(IF(tblPiNAnalysis5[[#This Row],[Highest Target]]="", "", IF(tblPiNAnalysis5[[#This Row],[Highest sector(s'') Target %]]&gt;=flag_pin_perc, "Flagged", "")), "")</f>
        <v/>
      </c>
      <c r="AN161" s="330" t="str" cm="1">
        <f t="array" ref="AN161">IF(tblPiNAnalysis5[[#This Row],[Highest Target]]=0, "",  IF(OR(COUNTIF(tblPiNAnalysis5[[#This Row],[Highest sector(s)]],tblSubSectorPopulation[Sector])), "Flagged", ""))</f>
        <v/>
      </c>
      <c r="AO161" s="46" cm="1">
        <f t="array" ref="AO16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1" s="331" t="str" cm="1">
        <f t="array" ref="AP161">IF(tblPiNAnalysis5[[#This Row],[2nd Highest Target]]="", "", _xlfn.TEXTJOIN(CHAR(10), TRUE, IF(tblPiNAnalysis5[[#This Row],[2nd Highest Target]]=tblPiNAnalysis5[[#This Row],[CCCM]:[WASH]], tblPiNAnalysis5[[#Headers],[CCCM]:[WASH]], "")))</f>
        <v>CCCM
Education
Nutrition
Food Security
Health
Overarching Protection
Shelter
WASH</v>
      </c>
      <c r="AQ161" s="36">
        <f>IFERROR(tblPiNAnalysis5[[#This Row],[2nd Highest Target]]/tblPiNAnalysis5[[#This Row],[Affected population projection 2026]], "")</f>
        <v>0</v>
      </c>
      <c r="AR161" s="46">
        <f>IFERROR(tblPiNAnalysis5[[#This Row],[Highest Target]]-tblPiNAnalysis5[[#This Row],[2nd Highest Target]], "")</f>
        <v>0</v>
      </c>
      <c r="AS161" s="39" t="str">
        <f>IFERROR(((tblPiNAnalysis5[[#This Row],[Highest Target]]-tblPiNAnalysis5[[#This Row],[2nd Highest Target]])/tblPiNAnalysis5[[#This Row],[2nd Highest Target]]),"")</f>
        <v/>
      </c>
      <c r="AT161" s="39" t="str" cm="1">
        <f t="array" ref="AT16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1" s="332" cm="1">
        <f t="array" ref="AU16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1" s="190" t="str" cm="1">
        <f t="array" ref="AV161">IF(tblPiNAnalysis5[[#This Row],[3rd Highest Target]]="", "", _xlfn.TEXTJOIN(CHAR(10), TRUE, IF(tblPiNAnalysis5[[#This Row],[3rd Highest Target]]=tblPiNAnalysis5[[#This Row],[CCCM]:[WASH]], tblPiNAnalysis5[[#Headers],[CCCM]:[WASH]], "")))</f>
        <v>CCCM
Education
Nutrition
Food Security
Health
Overarching Protection
Shelter
WASH</v>
      </c>
      <c r="AW161" s="190">
        <f>IFERROR(tblPiNAnalysis5[[#This Row],[3rd Highest Target]]/tblPiNAnalysis5[[#This Row],[Affected population projection 2026]], "")</f>
        <v>0</v>
      </c>
      <c r="AX161" s="45">
        <f>IFERROR(tblPiNAnalysis5[[#This Row],[Highest Target]]-tblPiNAnalysis5[[#This Row],[3rd Highest Target]],"")</f>
        <v>0</v>
      </c>
      <c r="AY161" s="39" t="str">
        <f>IFERROR(tblPiNAnalysis5[[#This Row],[Difference of Target between Highest and 3rd Highest]]/tblPiNAnalysis5[[#This Row],[3rd Highest Target]], "")</f>
        <v/>
      </c>
      <c r="AZ161" s="330" t="str" cm="1">
        <f t="array" ref="AZ16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1" s="300" t="str" cm="1">
        <f t="array" ref="BA16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1" s="333" t="str" cm="1">
        <f t="array" ref="BB16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1" s="276" t="str" cm="1">
        <f t="array" ref="BC16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1" s="334" t="str" cm="1">
        <f t="array" ref="BD16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1" s="277" t="e">
        <f>INDEX(tblSeverityAnalysis[Final Severity], MATCH(tblPiNAnalysis5[[#This Row],[ID]],tblSeverityAnalysis[ID], 0))</f>
        <v>#N/A</v>
      </c>
      <c r="BF161" s="61" t="e">
        <f>IF(tblPiNAnalysis5[[#This Row],[Severity]]&gt;2,tblPiNAnalysis5[[#This Row],[Highest Target]],)</f>
        <v>#N/A</v>
      </c>
      <c r="BG161" s="191"/>
      <c r="BH161" s="192"/>
      <c r="BI161" s="193">
        <f>COUNTIFS(tblPiNAnalysis5[[#This Row],[Number of missing / zero PiNs greater than threshold - Data quality]:[Manual Flag]],"Flagged")</f>
        <v>2</v>
      </c>
      <c r="BJ161" s="96" t="str">
        <f>IF(tblPiNAnalysis5[[#This Row],['# Flags]]&gt;0, "Flagged", "")</f>
        <v>Flagged</v>
      </c>
      <c r="BK161" s="326" t="e">
        <f>tblPiNAnalysis5[[#This Row],[Preliminary Target]]</f>
        <v>#N/A</v>
      </c>
      <c r="BL161" s="331"/>
    </row>
    <row r="162" spans="1:64" ht="27.6" x14ac:dyDescent="0.55000000000000004">
      <c r="A1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2" s="316" t="s">
        <v>233</v>
      </c>
      <c r="C162" s="317" t="s">
        <v>234</v>
      </c>
      <c r="D162" s="317" t="s">
        <v>233</v>
      </c>
      <c r="E162" s="105" t="s">
        <v>235</v>
      </c>
      <c r="F162" s="100"/>
      <c r="G162" s="34"/>
      <c r="H162" s="34"/>
      <c r="I162" s="97">
        <v>19107.704392085096</v>
      </c>
      <c r="J162" s="97" t="s">
        <v>414</v>
      </c>
      <c r="K162" s="318">
        <v>5000</v>
      </c>
      <c r="L162" s="319">
        <v>2193.5644642113693</v>
      </c>
      <c r="M162" s="319">
        <v>3916.9304965614242</v>
      </c>
      <c r="N162" s="319">
        <v>6604.9202780047945</v>
      </c>
      <c r="O162" s="319">
        <v>9363.4882631872078</v>
      </c>
      <c r="P162" s="319">
        <v>5292.1545758649963</v>
      </c>
      <c r="Q162" s="320">
        <v>1775.4640074820572</v>
      </c>
      <c r="R162" s="319">
        <v>2064.1038695153652</v>
      </c>
      <c r="S162" s="319"/>
      <c r="T162" s="319"/>
      <c r="U162" s="319"/>
      <c r="V162" s="319"/>
      <c r="W162" s="321">
        <f>IFERROR(IF(tblPiNAnalysis5[[#This Row],[CCCM]]="", "", MROUND(tblPiNAnalysis5[[#This Row],[CCCM]]/tblPiNAnalysis5[[#This Row],[Affected population projection 2026]], 0.05)), "")</f>
        <v>0.25</v>
      </c>
      <c r="X162" s="322">
        <f>IFERROR(IF(tblPiNAnalysis5[[#This Row],[Education]]="", "", MROUND(tblPiNAnalysis5[[#This Row],[Education]]/tblPiNAnalysis5[[#This Row],[Affected population projection 2026]], 0.05)), "")</f>
        <v>0.1</v>
      </c>
      <c r="Y162" s="322">
        <f>IFERROR(IF(tblPiNAnalysis5[[#This Row],[Nutrition]]="", "", MROUND(tblPiNAnalysis5[[#This Row],[Nutrition]]/tblPiNAnalysis5[[#This Row],[Affected population projection 2026]], 0.05)), "")</f>
        <v>0.2</v>
      </c>
      <c r="Z162" s="322">
        <f>IFERROR(IF(tblPiNAnalysis5[[#This Row],[Food Security]]="", "", MROUND(tblPiNAnalysis5[[#This Row],[Food Security]]/tblPiNAnalysis5[[#This Row],[Affected population projection 2026]], 0.05)), "")</f>
        <v>0.35000000000000003</v>
      </c>
      <c r="AA162" s="322">
        <f>IFERROR(IF(tblPiNAnalysis5[[#This Row],[Health]]="", "", MROUND(tblPiNAnalysis5[[#This Row],[Health]]/tblPiNAnalysis5[[#This Row],[Affected population projection 2026]], 0.05)), "")</f>
        <v>0.5</v>
      </c>
      <c r="AB162" s="323">
        <f>IFERROR(IF(tblPiNAnalysis5[[#This Row],[Overarching Protection]]="", "", MROUND(tblPiNAnalysis5[[#This Row],[Overarching Protection]]/tblPiNAnalysis5[[#This Row],[Affected population projection 2026]], 0.05)), "")</f>
        <v>0.30000000000000004</v>
      </c>
      <c r="AC162" s="323">
        <f>IFERROR(IF(tblPiNAnalysis5[[#This Row],[Shelter]]="", "", MROUND(tblPiNAnalysis5[[#This Row],[Shelter]]/tblPiNAnalysis5[[#This Row],[Affected population projection 2026]], 0.05)), "")</f>
        <v>0.1</v>
      </c>
      <c r="AD162" s="324">
        <f>IFERROR(IF(tblPiNAnalysis5[[#This Row],[WASH]]="", "", MROUND(tblPiNAnalysis5[[#This Row],[WASH]]/tblPiNAnalysis5[[#This Row],[Affected population projection 2026]], 0.05)), "")</f>
        <v>0.1</v>
      </c>
      <c r="AE162" s="322">
        <f>IFERROR(MROUND(tblPiNAnalysis5[[#This Row],[CP]]/tblPiNAnalysis5[[#This Row],[Affected population projection 2026]], 0.05), "")</f>
        <v>0</v>
      </c>
      <c r="AF162" s="322">
        <f>IFERROR(MROUND(tblPiNAnalysis5[[#This Row],[GBV]]/tblPiNAnalysis5[[#This Row],[Affected population projection 2026]], 0.05), "")</f>
        <v>0</v>
      </c>
      <c r="AG162" s="322">
        <f>IFERROR(MROUND(tblPiNAnalysis5[[#This Row],[Mine Action]]/tblPiNAnalysis5[[#This Row],[Affected population projection 2026]], 0.05), "")</f>
        <v>0</v>
      </c>
      <c r="AH162" s="322">
        <f>IFERROR(MROUND(tblPiNAnalysis5[[#This Row],[HLP]]/tblPiNAnalysis5[[#This Row],[Affected population projection 2026]], 0.05), "")</f>
        <v>0</v>
      </c>
      <c r="AI162" s="325">
        <f>IFERROR(LARGE(tblPiNAnalysis5[[#This Row],[CCCM]:[WASH]], 1), "")</f>
        <v>9363.4882631872078</v>
      </c>
      <c r="AJ162" s="326" t="str" cm="1">
        <f t="array" ref="AJ162">IF(tblPiNAnalysis5[[#This Row],[Highest Target]]="", "", _xlfn.TEXTJOIN(CHAR(10), TRUE, IF(tblPiNAnalysis5[[#This Row],[Highest Target]]=tblPiNAnalysis5[[#This Row],[CCCM]:[WASH]], tblPiNAnalysis5[[#Headers],[CCCM]:[WASH]], "")))</f>
        <v>Health</v>
      </c>
      <c r="AK162" s="327">
        <f>IF(tblPiNAnalysis5[[#This Row],[Highest Target]]="", "", tblPiNAnalysis5[[#This Row],[Highest Target]]/tblPiNAnalysis5[[#This Row],[Affected population projection 2026]])</f>
        <v>0.49003732060381916</v>
      </c>
      <c r="AL162" s="328" t="str">
        <f>IF(SUM(tblPiNAnalysis5[[#This Row],[CCCM]:[WASH]])=0, "",IF(COUNTIF(tblPiNAnalysis5[[#This Row],[CCCM]:[WASH]],"=0")+COUNTIF(tblPiNAnalysis5[[#This Row],[CCCM]:[WASH]],"")&gt;=zero_pin_thresh, "Flagged", ""))</f>
        <v/>
      </c>
      <c r="AM162" s="329" t="str">
        <f>IFERROR(IF(tblPiNAnalysis5[[#This Row],[Highest Target]]="", "", IF(tblPiNAnalysis5[[#This Row],[Highest sector(s'') Target %]]&gt;=flag_pin_perc, "Flagged", "")), "")</f>
        <v/>
      </c>
      <c r="AN162" s="330" t="str" cm="1">
        <f t="array" ref="AN162">IF(tblPiNAnalysis5[[#This Row],[Highest Target]]=0, "",  IF(OR(COUNTIF(tblPiNAnalysis5[[#This Row],[Highest sector(s)]],tblSubSectorPopulation[Sector])), "Flagged", ""))</f>
        <v/>
      </c>
      <c r="AO162" s="46" cm="1">
        <f t="array" ref="AO16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6604.9202780047945</v>
      </c>
      <c r="AP162" s="331" t="str" cm="1">
        <f t="array" ref="AP162">IF(tblPiNAnalysis5[[#This Row],[2nd Highest Target]]="", "", _xlfn.TEXTJOIN(CHAR(10), TRUE, IF(tblPiNAnalysis5[[#This Row],[2nd Highest Target]]=tblPiNAnalysis5[[#This Row],[CCCM]:[WASH]], tblPiNAnalysis5[[#Headers],[CCCM]:[WASH]], "")))</f>
        <v>Food Security</v>
      </c>
      <c r="AQ162" s="36">
        <f>IFERROR(tblPiNAnalysis5[[#This Row],[2nd Highest Target]]/tblPiNAnalysis5[[#This Row],[Affected population projection 2026]], "")</f>
        <v>0.34566791187855739</v>
      </c>
      <c r="AR162" s="46">
        <f>IFERROR(tblPiNAnalysis5[[#This Row],[Highest Target]]-tblPiNAnalysis5[[#This Row],[2nd Highest Target]], "")</f>
        <v>2758.5679851824134</v>
      </c>
      <c r="AS162" s="39">
        <f>IFERROR(((tblPiNAnalysis5[[#This Row],[Highest Target]]-tblPiNAnalysis5[[#This Row],[2nd Highest Target]])/tblPiNAnalysis5[[#This Row],[2nd Highest Target]]),"")</f>
        <v>0.41765348695710797</v>
      </c>
      <c r="AT162" s="39" t="str" cm="1">
        <f t="array" ref="AT16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62" s="332" cm="1">
        <f t="array" ref="AU16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5292.1545758649963</v>
      </c>
      <c r="AV162" s="190" t="str" cm="1">
        <f t="array" ref="AV162">IF(tblPiNAnalysis5[[#This Row],[3rd Highest Target]]="", "", _xlfn.TEXTJOIN(CHAR(10), TRUE, IF(tblPiNAnalysis5[[#This Row],[3rd Highest Target]]=tblPiNAnalysis5[[#This Row],[CCCM]:[WASH]], tblPiNAnalysis5[[#Headers],[CCCM]:[WASH]], "")))</f>
        <v>Overarching Protection</v>
      </c>
      <c r="AW162" s="190">
        <f>IFERROR(tblPiNAnalysis5[[#This Row],[3rd Highest Target]]/tblPiNAnalysis5[[#This Row],[Affected population projection 2026]], "")</f>
        <v>0.27696443629602852</v>
      </c>
      <c r="AX162" s="45">
        <f>IFERROR(tblPiNAnalysis5[[#This Row],[Highest Target]]-tblPiNAnalysis5[[#This Row],[3rd Highest Target]],"")</f>
        <v>4071.3336873222115</v>
      </c>
      <c r="AY162" s="39">
        <f>IFERROR(tblPiNAnalysis5[[#This Row],[Difference of Target between Highest and 3rd Highest]]/tblPiNAnalysis5[[#This Row],[3rd Highest Target]], "")</f>
        <v>0.76931496027905744</v>
      </c>
      <c r="AZ162" s="330" t="str" cm="1">
        <f t="array" ref="AZ16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62" s="300" t="str" cm="1">
        <f t="array" ref="BA16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2" s="333" t="str" cm="1">
        <f t="array" ref="BB16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2" s="276" t="str" cm="1">
        <f t="array" ref="BC16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2" s="334" t="str" cm="1">
        <f t="array" ref="BD16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62" s="277" t="e">
        <f>INDEX(tblSeverityAnalysis[Final Severity], MATCH(tblPiNAnalysis5[[#This Row],[ID]],tblSeverityAnalysis[ID], 0))</f>
        <v>#N/A</v>
      </c>
      <c r="BF162" s="61" t="e">
        <f>IF(tblPiNAnalysis5[[#This Row],[Severity]]&gt;2,tblPiNAnalysis5[[#This Row],[Highest Target]],)</f>
        <v>#N/A</v>
      </c>
      <c r="BG162" s="191"/>
      <c r="BH162" s="192"/>
      <c r="BI162" s="193">
        <f>COUNTIFS(tblPiNAnalysis5[[#This Row],[Number of missing / zero PiNs greater than threshold - Data quality]:[Manual Flag]],"Flagged")</f>
        <v>3</v>
      </c>
      <c r="BJ162" s="96" t="str">
        <f>IF(tblPiNAnalysis5[[#This Row],['# Flags]]&gt;0, "Flagged", "")</f>
        <v>Flagged</v>
      </c>
      <c r="BK162" s="326" t="e">
        <f>tblPiNAnalysis5[[#This Row],[Preliminary Target]]</f>
        <v>#N/A</v>
      </c>
      <c r="BL162" s="331"/>
    </row>
    <row r="163" spans="1:64" ht="110.7" x14ac:dyDescent="0.55000000000000004">
      <c r="A1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3" s="316" t="s">
        <v>236</v>
      </c>
      <c r="C163" s="317" t="s">
        <v>237</v>
      </c>
      <c r="D163" s="317" t="s">
        <v>238</v>
      </c>
      <c r="E163" s="105" t="s">
        <v>239</v>
      </c>
      <c r="F163" s="100"/>
      <c r="G163" s="34"/>
      <c r="H163" s="34"/>
      <c r="I163" s="97">
        <v>58949.896431430854</v>
      </c>
      <c r="J163" s="97" t="s">
        <v>414</v>
      </c>
      <c r="K163" s="318">
        <v>0</v>
      </c>
      <c r="L163" s="319">
        <v>0</v>
      </c>
      <c r="M163" s="319">
        <v>0</v>
      </c>
      <c r="N163" s="319">
        <v>0</v>
      </c>
      <c r="O163" s="319">
        <v>0</v>
      </c>
      <c r="P163" s="319">
        <v>0</v>
      </c>
      <c r="Q163" s="320">
        <v>0</v>
      </c>
      <c r="R163" s="319">
        <v>0</v>
      </c>
      <c r="S163" s="319"/>
      <c r="T163" s="319"/>
      <c r="U163" s="319"/>
      <c r="V163" s="319"/>
      <c r="W163" s="321">
        <f>IFERROR(IF(tblPiNAnalysis5[[#This Row],[CCCM]]="", "", MROUND(tblPiNAnalysis5[[#This Row],[CCCM]]/tblPiNAnalysis5[[#This Row],[Affected population projection 2026]], 0.05)), "")</f>
        <v>0</v>
      </c>
      <c r="X163" s="322">
        <f>IFERROR(IF(tblPiNAnalysis5[[#This Row],[Education]]="", "", MROUND(tblPiNAnalysis5[[#This Row],[Education]]/tblPiNAnalysis5[[#This Row],[Affected population projection 2026]], 0.05)), "")</f>
        <v>0</v>
      </c>
      <c r="Y163" s="322">
        <f>IFERROR(IF(tblPiNAnalysis5[[#This Row],[Nutrition]]="", "", MROUND(tblPiNAnalysis5[[#This Row],[Nutrition]]/tblPiNAnalysis5[[#This Row],[Affected population projection 2026]], 0.05)), "")</f>
        <v>0</v>
      </c>
      <c r="Z163" s="322">
        <f>IFERROR(IF(tblPiNAnalysis5[[#This Row],[Food Security]]="", "", MROUND(tblPiNAnalysis5[[#This Row],[Food Security]]/tblPiNAnalysis5[[#This Row],[Affected population projection 2026]], 0.05)), "")</f>
        <v>0</v>
      </c>
      <c r="AA163" s="322">
        <f>IFERROR(IF(tblPiNAnalysis5[[#This Row],[Health]]="", "", MROUND(tblPiNAnalysis5[[#This Row],[Health]]/tblPiNAnalysis5[[#This Row],[Affected population projection 2026]], 0.05)), "")</f>
        <v>0</v>
      </c>
      <c r="AB163" s="323">
        <f>IFERROR(IF(tblPiNAnalysis5[[#This Row],[Overarching Protection]]="", "", MROUND(tblPiNAnalysis5[[#This Row],[Overarching Protection]]/tblPiNAnalysis5[[#This Row],[Affected population projection 2026]], 0.05)), "")</f>
        <v>0</v>
      </c>
      <c r="AC163" s="323">
        <f>IFERROR(IF(tblPiNAnalysis5[[#This Row],[Shelter]]="", "", MROUND(tblPiNAnalysis5[[#This Row],[Shelter]]/tblPiNAnalysis5[[#This Row],[Affected population projection 2026]], 0.05)), "")</f>
        <v>0</v>
      </c>
      <c r="AD163" s="324">
        <f>IFERROR(IF(tblPiNAnalysis5[[#This Row],[WASH]]="", "", MROUND(tblPiNAnalysis5[[#This Row],[WASH]]/tblPiNAnalysis5[[#This Row],[Affected population projection 2026]], 0.05)), "")</f>
        <v>0</v>
      </c>
      <c r="AE163" s="322">
        <f>IFERROR(MROUND(tblPiNAnalysis5[[#This Row],[CP]]/tblPiNAnalysis5[[#This Row],[Affected population projection 2026]], 0.05), "")</f>
        <v>0</v>
      </c>
      <c r="AF163" s="322">
        <f>IFERROR(MROUND(tblPiNAnalysis5[[#This Row],[GBV]]/tblPiNAnalysis5[[#This Row],[Affected population projection 2026]], 0.05), "")</f>
        <v>0</v>
      </c>
      <c r="AG163" s="322">
        <f>IFERROR(MROUND(tblPiNAnalysis5[[#This Row],[Mine Action]]/tblPiNAnalysis5[[#This Row],[Affected population projection 2026]], 0.05), "")</f>
        <v>0</v>
      </c>
      <c r="AH163" s="322">
        <f>IFERROR(MROUND(tblPiNAnalysis5[[#This Row],[HLP]]/tblPiNAnalysis5[[#This Row],[Affected population projection 2026]], 0.05), "")</f>
        <v>0</v>
      </c>
      <c r="AI163" s="325">
        <f>IFERROR(LARGE(tblPiNAnalysis5[[#This Row],[CCCM]:[WASH]], 1), "")</f>
        <v>0</v>
      </c>
      <c r="AJ163" s="326" t="str" cm="1">
        <f t="array" ref="AJ163">IF(tblPiNAnalysis5[[#This Row],[Highest Target]]="", "", _xlfn.TEXTJOIN(CHAR(10), TRUE, IF(tblPiNAnalysis5[[#This Row],[Highest Target]]=tblPiNAnalysis5[[#This Row],[CCCM]:[WASH]], tblPiNAnalysis5[[#Headers],[CCCM]:[WASH]], "")))</f>
        <v>CCCM
Education
Nutrition
Food Security
Health
Overarching Protection
Shelter
WASH</v>
      </c>
      <c r="AK163" s="327">
        <f>IF(tblPiNAnalysis5[[#This Row],[Highest Target]]="", "", tblPiNAnalysis5[[#This Row],[Highest Target]]/tblPiNAnalysis5[[#This Row],[Affected population projection 2026]])</f>
        <v>0</v>
      </c>
      <c r="AL163" s="328" t="str">
        <f>IF(SUM(tblPiNAnalysis5[[#This Row],[CCCM]:[WASH]])=0, "",IF(COUNTIF(tblPiNAnalysis5[[#This Row],[CCCM]:[WASH]],"=0")+COUNTIF(tblPiNAnalysis5[[#This Row],[CCCM]:[WASH]],"")&gt;=zero_pin_thresh, "Flagged", ""))</f>
        <v/>
      </c>
      <c r="AM163" s="329" t="str">
        <f>IFERROR(IF(tblPiNAnalysis5[[#This Row],[Highest Target]]="", "", IF(tblPiNAnalysis5[[#This Row],[Highest sector(s'') Target %]]&gt;=flag_pin_perc, "Flagged", "")), "")</f>
        <v/>
      </c>
      <c r="AN163" s="330" t="str" cm="1">
        <f t="array" ref="AN163">IF(tblPiNAnalysis5[[#This Row],[Highest Target]]=0, "",  IF(OR(COUNTIF(tblPiNAnalysis5[[#This Row],[Highest sector(s)]],tblSubSectorPopulation[Sector])), "Flagged", ""))</f>
        <v/>
      </c>
      <c r="AO163" s="46" cm="1">
        <f t="array" ref="AO16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3" s="331" t="str" cm="1">
        <f t="array" ref="AP163">IF(tblPiNAnalysis5[[#This Row],[2nd Highest Target]]="", "", _xlfn.TEXTJOIN(CHAR(10), TRUE, IF(tblPiNAnalysis5[[#This Row],[2nd Highest Target]]=tblPiNAnalysis5[[#This Row],[CCCM]:[WASH]], tblPiNAnalysis5[[#Headers],[CCCM]:[WASH]], "")))</f>
        <v>CCCM
Education
Nutrition
Food Security
Health
Overarching Protection
Shelter
WASH</v>
      </c>
      <c r="AQ163" s="36">
        <f>IFERROR(tblPiNAnalysis5[[#This Row],[2nd Highest Target]]/tblPiNAnalysis5[[#This Row],[Affected population projection 2026]], "")</f>
        <v>0</v>
      </c>
      <c r="AR163" s="46">
        <f>IFERROR(tblPiNAnalysis5[[#This Row],[Highest Target]]-tblPiNAnalysis5[[#This Row],[2nd Highest Target]], "")</f>
        <v>0</v>
      </c>
      <c r="AS163" s="39" t="str">
        <f>IFERROR(((tblPiNAnalysis5[[#This Row],[Highest Target]]-tblPiNAnalysis5[[#This Row],[2nd Highest Target]])/tblPiNAnalysis5[[#This Row],[2nd Highest Target]]),"")</f>
        <v/>
      </c>
      <c r="AT163" s="39" t="str" cm="1">
        <f t="array" ref="AT16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3" s="332" cm="1">
        <f t="array" ref="AU16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3" s="190" t="str" cm="1">
        <f t="array" ref="AV163">IF(tblPiNAnalysis5[[#This Row],[3rd Highest Target]]="", "", _xlfn.TEXTJOIN(CHAR(10), TRUE, IF(tblPiNAnalysis5[[#This Row],[3rd Highest Target]]=tblPiNAnalysis5[[#This Row],[CCCM]:[WASH]], tblPiNAnalysis5[[#Headers],[CCCM]:[WASH]], "")))</f>
        <v>CCCM
Education
Nutrition
Food Security
Health
Overarching Protection
Shelter
WASH</v>
      </c>
      <c r="AW163" s="190">
        <f>IFERROR(tblPiNAnalysis5[[#This Row],[3rd Highest Target]]/tblPiNAnalysis5[[#This Row],[Affected population projection 2026]], "")</f>
        <v>0</v>
      </c>
      <c r="AX163" s="45">
        <f>IFERROR(tblPiNAnalysis5[[#This Row],[Highest Target]]-tblPiNAnalysis5[[#This Row],[3rd Highest Target]],"")</f>
        <v>0</v>
      </c>
      <c r="AY163" s="39" t="str">
        <f>IFERROR(tblPiNAnalysis5[[#This Row],[Difference of Target between Highest and 3rd Highest]]/tblPiNAnalysis5[[#This Row],[3rd Highest Target]], "")</f>
        <v/>
      </c>
      <c r="AZ163" s="330" t="str" cm="1">
        <f t="array" ref="AZ16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3" s="300" t="str" cm="1">
        <f t="array" ref="BA16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3" s="333" t="str" cm="1">
        <f t="array" ref="BB16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3" s="276" t="str" cm="1">
        <f t="array" ref="BC16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3" s="334" t="str" cm="1">
        <f t="array" ref="BD16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3" s="277" t="e">
        <f>INDEX(tblSeverityAnalysis[Final Severity], MATCH(tblPiNAnalysis5[[#This Row],[ID]],tblSeverityAnalysis[ID], 0))</f>
        <v>#N/A</v>
      </c>
      <c r="BF163" s="61" t="e">
        <f>IF(tblPiNAnalysis5[[#This Row],[Severity]]&gt;2,tblPiNAnalysis5[[#This Row],[Highest Target]],)</f>
        <v>#N/A</v>
      </c>
      <c r="BG163" s="191"/>
      <c r="BH163" s="192"/>
      <c r="BI163" s="193">
        <f>COUNTIFS(tblPiNAnalysis5[[#This Row],[Number of missing / zero PiNs greater than threshold - Data quality]:[Manual Flag]],"Flagged")</f>
        <v>2</v>
      </c>
      <c r="BJ163" s="96" t="str">
        <f>IF(tblPiNAnalysis5[[#This Row],['# Flags]]&gt;0, "Flagged", "")</f>
        <v>Flagged</v>
      </c>
      <c r="BK163" s="326" t="e">
        <f>tblPiNAnalysis5[[#This Row],[Preliminary Target]]</f>
        <v>#N/A</v>
      </c>
      <c r="BL163" s="331"/>
    </row>
    <row r="164" spans="1:64" ht="110.7" x14ac:dyDescent="0.55000000000000004">
      <c r="A1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4" s="316" t="s">
        <v>236</v>
      </c>
      <c r="C164" s="317" t="s">
        <v>237</v>
      </c>
      <c r="D164" s="317" t="s">
        <v>240</v>
      </c>
      <c r="E164" s="105" t="s">
        <v>241</v>
      </c>
      <c r="F164" s="100"/>
      <c r="G164" s="34"/>
      <c r="H164" s="34"/>
      <c r="I164" s="97">
        <v>15480.714285714301</v>
      </c>
      <c r="J164" s="97" t="s">
        <v>414</v>
      </c>
      <c r="K164" s="318">
        <v>0</v>
      </c>
      <c r="L164" s="319">
        <v>0</v>
      </c>
      <c r="M164" s="319">
        <v>0</v>
      </c>
      <c r="N164" s="319">
        <v>0</v>
      </c>
      <c r="O164" s="319">
        <v>0</v>
      </c>
      <c r="P164" s="319">
        <v>0</v>
      </c>
      <c r="Q164" s="320">
        <v>0</v>
      </c>
      <c r="R164" s="319">
        <v>0</v>
      </c>
      <c r="S164" s="319"/>
      <c r="T164" s="319"/>
      <c r="U164" s="319"/>
      <c r="V164" s="319"/>
      <c r="W164" s="321">
        <f>IFERROR(IF(tblPiNAnalysis5[[#This Row],[CCCM]]="", "", MROUND(tblPiNAnalysis5[[#This Row],[CCCM]]/tblPiNAnalysis5[[#This Row],[Affected population projection 2026]], 0.05)), "")</f>
        <v>0</v>
      </c>
      <c r="X164" s="322">
        <f>IFERROR(IF(tblPiNAnalysis5[[#This Row],[Education]]="", "", MROUND(tblPiNAnalysis5[[#This Row],[Education]]/tblPiNAnalysis5[[#This Row],[Affected population projection 2026]], 0.05)), "")</f>
        <v>0</v>
      </c>
      <c r="Y164" s="322">
        <f>IFERROR(IF(tblPiNAnalysis5[[#This Row],[Nutrition]]="", "", MROUND(tblPiNAnalysis5[[#This Row],[Nutrition]]/tblPiNAnalysis5[[#This Row],[Affected population projection 2026]], 0.05)), "")</f>
        <v>0</v>
      </c>
      <c r="Z164" s="322">
        <f>IFERROR(IF(tblPiNAnalysis5[[#This Row],[Food Security]]="", "", MROUND(tblPiNAnalysis5[[#This Row],[Food Security]]/tblPiNAnalysis5[[#This Row],[Affected population projection 2026]], 0.05)), "")</f>
        <v>0</v>
      </c>
      <c r="AA164" s="322">
        <f>IFERROR(IF(tblPiNAnalysis5[[#This Row],[Health]]="", "", MROUND(tblPiNAnalysis5[[#This Row],[Health]]/tblPiNAnalysis5[[#This Row],[Affected population projection 2026]], 0.05)), "")</f>
        <v>0</v>
      </c>
      <c r="AB164" s="323">
        <f>IFERROR(IF(tblPiNAnalysis5[[#This Row],[Overarching Protection]]="", "", MROUND(tblPiNAnalysis5[[#This Row],[Overarching Protection]]/tblPiNAnalysis5[[#This Row],[Affected population projection 2026]], 0.05)), "")</f>
        <v>0</v>
      </c>
      <c r="AC164" s="323">
        <f>IFERROR(IF(tblPiNAnalysis5[[#This Row],[Shelter]]="", "", MROUND(tblPiNAnalysis5[[#This Row],[Shelter]]/tblPiNAnalysis5[[#This Row],[Affected population projection 2026]], 0.05)), "")</f>
        <v>0</v>
      </c>
      <c r="AD164" s="324">
        <f>IFERROR(IF(tblPiNAnalysis5[[#This Row],[WASH]]="", "", MROUND(tblPiNAnalysis5[[#This Row],[WASH]]/tblPiNAnalysis5[[#This Row],[Affected population projection 2026]], 0.05)), "")</f>
        <v>0</v>
      </c>
      <c r="AE164" s="322">
        <f>IFERROR(MROUND(tblPiNAnalysis5[[#This Row],[CP]]/tblPiNAnalysis5[[#This Row],[Affected population projection 2026]], 0.05), "")</f>
        <v>0</v>
      </c>
      <c r="AF164" s="322">
        <f>IFERROR(MROUND(tblPiNAnalysis5[[#This Row],[GBV]]/tblPiNAnalysis5[[#This Row],[Affected population projection 2026]], 0.05), "")</f>
        <v>0</v>
      </c>
      <c r="AG164" s="322">
        <f>IFERROR(MROUND(tblPiNAnalysis5[[#This Row],[Mine Action]]/tblPiNAnalysis5[[#This Row],[Affected population projection 2026]], 0.05), "")</f>
        <v>0</v>
      </c>
      <c r="AH164" s="322">
        <f>IFERROR(MROUND(tblPiNAnalysis5[[#This Row],[HLP]]/tblPiNAnalysis5[[#This Row],[Affected population projection 2026]], 0.05), "")</f>
        <v>0</v>
      </c>
      <c r="AI164" s="325">
        <f>IFERROR(LARGE(tblPiNAnalysis5[[#This Row],[CCCM]:[WASH]], 1), "")</f>
        <v>0</v>
      </c>
      <c r="AJ164" s="326" t="str" cm="1">
        <f t="array" ref="AJ164">IF(tblPiNAnalysis5[[#This Row],[Highest Target]]="", "", _xlfn.TEXTJOIN(CHAR(10), TRUE, IF(tblPiNAnalysis5[[#This Row],[Highest Target]]=tblPiNAnalysis5[[#This Row],[CCCM]:[WASH]], tblPiNAnalysis5[[#Headers],[CCCM]:[WASH]], "")))</f>
        <v>CCCM
Education
Nutrition
Food Security
Health
Overarching Protection
Shelter
WASH</v>
      </c>
      <c r="AK164" s="327">
        <f>IF(tblPiNAnalysis5[[#This Row],[Highest Target]]="", "", tblPiNAnalysis5[[#This Row],[Highest Target]]/tblPiNAnalysis5[[#This Row],[Affected population projection 2026]])</f>
        <v>0</v>
      </c>
      <c r="AL164" s="328" t="str">
        <f>IF(SUM(tblPiNAnalysis5[[#This Row],[CCCM]:[WASH]])=0, "",IF(COUNTIF(tblPiNAnalysis5[[#This Row],[CCCM]:[WASH]],"=0")+COUNTIF(tblPiNAnalysis5[[#This Row],[CCCM]:[WASH]],"")&gt;=zero_pin_thresh, "Flagged", ""))</f>
        <v/>
      </c>
      <c r="AM164" s="329" t="str">
        <f>IFERROR(IF(tblPiNAnalysis5[[#This Row],[Highest Target]]="", "", IF(tblPiNAnalysis5[[#This Row],[Highest sector(s'') Target %]]&gt;=flag_pin_perc, "Flagged", "")), "")</f>
        <v/>
      </c>
      <c r="AN164" s="330" t="str" cm="1">
        <f t="array" ref="AN164">IF(tblPiNAnalysis5[[#This Row],[Highest Target]]=0, "",  IF(OR(COUNTIF(tblPiNAnalysis5[[#This Row],[Highest sector(s)]],tblSubSectorPopulation[Sector])), "Flagged", ""))</f>
        <v/>
      </c>
      <c r="AO164" s="46" cm="1">
        <f t="array" ref="AO16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4" s="331" t="str" cm="1">
        <f t="array" ref="AP164">IF(tblPiNAnalysis5[[#This Row],[2nd Highest Target]]="", "", _xlfn.TEXTJOIN(CHAR(10), TRUE, IF(tblPiNAnalysis5[[#This Row],[2nd Highest Target]]=tblPiNAnalysis5[[#This Row],[CCCM]:[WASH]], tblPiNAnalysis5[[#Headers],[CCCM]:[WASH]], "")))</f>
        <v>CCCM
Education
Nutrition
Food Security
Health
Overarching Protection
Shelter
WASH</v>
      </c>
      <c r="AQ164" s="36">
        <f>IFERROR(tblPiNAnalysis5[[#This Row],[2nd Highest Target]]/tblPiNAnalysis5[[#This Row],[Affected population projection 2026]], "")</f>
        <v>0</v>
      </c>
      <c r="AR164" s="46">
        <f>IFERROR(tblPiNAnalysis5[[#This Row],[Highest Target]]-tblPiNAnalysis5[[#This Row],[2nd Highest Target]], "")</f>
        <v>0</v>
      </c>
      <c r="AS164" s="39" t="str">
        <f>IFERROR(((tblPiNAnalysis5[[#This Row],[Highest Target]]-tblPiNAnalysis5[[#This Row],[2nd Highest Target]])/tblPiNAnalysis5[[#This Row],[2nd Highest Target]]),"")</f>
        <v/>
      </c>
      <c r="AT164" s="39" t="str" cm="1">
        <f t="array" ref="AT16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4" s="332" cm="1">
        <f t="array" ref="AU16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4" s="190" t="str" cm="1">
        <f t="array" ref="AV164">IF(tblPiNAnalysis5[[#This Row],[3rd Highest Target]]="", "", _xlfn.TEXTJOIN(CHAR(10), TRUE, IF(tblPiNAnalysis5[[#This Row],[3rd Highest Target]]=tblPiNAnalysis5[[#This Row],[CCCM]:[WASH]], tblPiNAnalysis5[[#Headers],[CCCM]:[WASH]], "")))</f>
        <v>CCCM
Education
Nutrition
Food Security
Health
Overarching Protection
Shelter
WASH</v>
      </c>
      <c r="AW164" s="190">
        <f>IFERROR(tblPiNAnalysis5[[#This Row],[3rd Highest Target]]/tblPiNAnalysis5[[#This Row],[Affected population projection 2026]], "")</f>
        <v>0</v>
      </c>
      <c r="AX164" s="45">
        <f>IFERROR(tblPiNAnalysis5[[#This Row],[Highest Target]]-tblPiNAnalysis5[[#This Row],[3rd Highest Target]],"")</f>
        <v>0</v>
      </c>
      <c r="AY164" s="39" t="str">
        <f>IFERROR(tblPiNAnalysis5[[#This Row],[Difference of Target between Highest and 3rd Highest]]/tblPiNAnalysis5[[#This Row],[3rd Highest Target]], "")</f>
        <v/>
      </c>
      <c r="AZ164" s="330" t="str" cm="1">
        <f t="array" ref="AZ16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4" s="300" t="str" cm="1">
        <f t="array" ref="BA16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4" s="333" t="str" cm="1">
        <f t="array" ref="BB16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4" s="276" t="str" cm="1">
        <f t="array" ref="BC16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4" s="334" t="str" cm="1">
        <f t="array" ref="BD16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4" s="277" t="e">
        <f>INDEX(tblSeverityAnalysis[Final Severity], MATCH(tblPiNAnalysis5[[#This Row],[ID]],tblSeverityAnalysis[ID], 0))</f>
        <v>#N/A</v>
      </c>
      <c r="BF164" s="61" t="e">
        <f>IF(tblPiNAnalysis5[[#This Row],[Severity]]&gt;2,tblPiNAnalysis5[[#This Row],[Highest Target]],)</f>
        <v>#N/A</v>
      </c>
      <c r="BG164" s="191"/>
      <c r="BH164" s="192"/>
      <c r="BI164" s="193">
        <f>COUNTIFS(tblPiNAnalysis5[[#This Row],[Number of missing / zero PiNs greater than threshold - Data quality]:[Manual Flag]],"Flagged")</f>
        <v>2</v>
      </c>
      <c r="BJ164" s="96" t="str">
        <f>IF(tblPiNAnalysis5[[#This Row],['# Flags]]&gt;0, "Flagged", "")</f>
        <v>Flagged</v>
      </c>
      <c r="BK164" s="326" t="e">
        <f>tblPiNAnalysis5[[#This Row],[Preliminary Target]]</f>
        <v>#N/A</v>
      </c>
      <c r="BL164" s="331"/>
    </row>
    <row r="165" spans="1:64" ht="110.7" x14ac:dyDescent="0.55000000000000004">
      <c r="A1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5" s="316" t="s">
        <v>236</v>
      </c>
      <c r="C165" s="317" t="s">
        <v>237</v>
      </c>
      <c r="D165" s="317" t="s">
        <v>242</v>
      </c>
      <c r="E165" s="105" t="s">
        <v>243</v>
      </c>
      <c r="F165" s="100"/>
      <c r="G165" s="34"/>
      <c r="H165" s="34"/>
      <c r="I165" s="97">
        <v>7168.4285714285697</v>
      </c>
      <c r="J165" s="97" t="s">
        <v>414</v>
      </c>
      <c r="K165" s="318">
        <v>0</v>
      </c>
      <c r="L165" s="319">
        <v>0</v>
      </c>
      <c r="M165" s="319">
        <v>0</v>
      </c>
      <c r="N165" s="319">
        <v>0</v>
      </c>
      <c r="O165" s="319">
        <v>0</v>
      </c>
      <c r="P165" s="319">
        <v>0</v>
      </c>
      <c r="Q165" s="320">
        <v>0</v>
      </c>
      <c r="R165" s="319">
        <v>0</v>
      </c>
      <c r="S165" s="319"/>
      <c r="T165" s="319"/>
      <c r="U165" s="319"/>
      <c r="V165" s="319"/>
      <c r="W165" s="321">
        <f>IFERROR(IF(tblPiNAnalysis5[[#This Row],[CCCM]]="", "", MROUND(tblPiNAnalysis5[[#This Row],[CCCM]]/tblPiNAnalysis5[[#This Row],[Affected population projection 2026]], 0.05)), "")</f>
        <v>0</v>
      </c>
      <c r="X165" s="322">
        <f>IFERROR(IF(tblPiNAnalysis5[[#This Row],[Education]]="", "", MROUND(tblPiNAnalysis5[[#This Row],[Education]]/tblPiNAnalysis5[[#This Row],[Affected population projection 2026]], 0.05)), "")</f>
        <v>0</v>
      </c>
      <c r="Y165" s="322">
        <f>IFERROR(IF(tblPiNAnalysis5[[#This Row],[Nutrition]]="", "", MROUND(tblPiNAnalysis5[[#This Row],[Nutrition]]/tblPiNAnalysis5[[#This Row],[Affected population projection 2026]], 0.05)), "")</f>
        <v>0</v>
      </c>
      <c r="Z165" s="322">
        <f>IFERROR(IF(tblPiNAnalysis5[[#This Row],[Food Security]]="", "", MROUND(tblPiNAnalysis5[[#This Row],[Food Security]]/tblPiNAnalysis5[[#This Row],[Affected population projection 2026]], 0.05)), "")</f>
        <v>0</v>
      </c>
      <c r="AA165" s="322">
        <f>IFERROR(IF(tblPiNAnalysis5[[#This Row],[Health]]="", "", MROUND(tblPiNAnalysis5[[#This Row],[Health]]/tblPiNAnalysis5[[#This Row],[Affected population projection 2026]], 0.05)), "")</f>
        <v>0</v>
      </c>
      <c r="AB165" s="323">
        <f>IFERROR(IF(tblPiNAnalysis5[[#This Row],[Overarching Protection]]="", "", MROUND(tblPiNAnalysis5[[#This Row],[Overarching Protection]]/tblPiNAnalysis5[[#This Row],[Affected population projection 2026]], 0.05)), "")</f>
        <v>0</v>
      </c>
      <c r="AC165" s="323">
        <f>IFERROR(IF(tblPiNAnalysis5[[#This Row],[Shelter]]="", "", MROUND(tblPiNAnalysis5[[#This Row],[Shelter]]/tblPiNAnalysis5[[#This Row],[Affected population projection 2026]], 0.05)), "")</f>
        <v>0</v>
      </c>
      <c r="AD165" s="324">
        <f>IFERROR(IF(tblPiNAnalysis5[[#This Row],[WASH]]="", "", MROUND(tblPiNAnalysis5[[#This Row],[WASH]]/tblPiNAnalysis5[[#This Row],[Affected population projection 2026]], 0.05)), "")</f>
        <v>0</v>
      </c>
      <c r="AE165" s="322">
        <f>IFERROR(MROUND(tblPiNAnalysis5[[#This Row],[CP]]/tblPiNAnalysis5[[#This Row],[Affected population projection 2026]], 0.05), "")</f>
        <v>0</v>
      </c>
      <c r="AF165" s="322">
        <f>IFERROR(MROUND(tblPiNAnalysis5[[#This Row],[GBV]]/tblPiNAnalysis5[[#This Row],[Affected population projection 2026]], 0.05), "")</f>
        <v>0</v>
      </c>
      <c r="AG165" s="322">
        <f>IFERROR(MROUND(tblPiNAnalysis5[[#This Row],[Mine Action]]/tblPiNAnalysis5[[#This Row],[Affected population projection 2026]], 0.05), "")</f>
        <v>0</v>
      </c>
      <c r="AH165" s="322">
        <f>IFERROR(MROUND(tblPiNAnalysis5[[#This Row],[HLP]]/tblPiNAnalysis5[[#This Row],[Affected population projection 2026]], 0.05), "")</f>
        <v>0</v>
      </c>
      <c r="AI165" s="325">
        <f>IFERROR(LARGE(tblPiNAnalysis5[[#This Row],[CCCM]:[WASH]], 1), "")</f>
        <v>0</v>
      </c>
      <c r="AJ165" s="326" t="str" cm="1">
        <f t="array" ref="AJ165">IF(tblPiNAnalysis5[[#This Row],[Highest Target]]="", "", _xlfn.TEXTJOIN(CHAR(10), TRUE, IF(tblPiNAnalysis5[[#This Row],[Highest Target]]=tblPiNAnalysis5[[#This Row],[CCCM]:[WASH]], tblPiNAnalysis5[[#Headers],[CCCM]:[WASH]], "")))</f>
        <v>CCCM
Education
Nutrition
Food Security
Health
Overarching Protection
Shelter
WASH</v>
      </c>
      <c r="AK165" s="327">
        <f>IF(tblPiNAnalysis5[[#This Row],[Highest Target]]="", "", tblPiNAnalysis5[[#This Row],[Highest Target]]/tblPiNAnalysis5[[#This Row],[Affected population projection 2026]])</f>
        <v>0</v>
      </c>
      <c r="AL165" s="328" t="str">
        <f>IF(SUM(tblPiNAnalysis5[[#This Row],[CCCM]:[WASH]])=0, "",IF(COUNTIF(tblPiNAnalysis5[[#This Row],[CCCM]:[WASH]],"=0")+COUNTIF(tblPiNAnalysis5[[#This Row],[CCCM]:[WASH]],"")&gt;=zero_pin_thresh, "Flagged", ""))</f>
        <v/>
      </c>
      <c r="AM165" s="329" t="str">
        <f>IFERROR(IF(tblPiNAnalysis5[[#This Row],[Highest Target]]="", "", IF(tblPiNAnalysis5[[#This Row],[Highest sector(s'') Target %]]&gt;=flag_pin_perc, "Flagged", "")), "")</f>
        <v/>
      </c>
      <c r="AN165" s="330" t="str" cm="1">
        <f t="array" ref="AN165">IF(tblPiNAnalysis5[[#This Row],[Highest Target]]=0, "",  IF(OR(COUNTIF(tblPiNAnalysis5[[#This Row],[Highest sector(s)]],tblSubSectorPopulation[Sector])), "Flagged", ""))</f>
        <v/>
      </c>
      <c r="AO165" s="46" cm="1">
        <f t="array" ref="AO16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5" s="331" t="str" cm="1">
        <f t="array" ref="AP165">IF(tblPiNAnalysis5[[#This Row],[2nd Highest Target]]="", "", _xlfn.TEXTJOIN(CHAR(10), TRUE, IF(tblPiNAnalysis5[[#This Row],[2nd Highest Target]]=tblPiNAnalysis5[[#This Row],[CCCM]:[WASH]], tblPiNAnalysis5[[#Headers],[CCCM]:[WASH]], "")))</f>
        <v>CCCM
Education
Nutrition
Food Security
Health
Overarching Protection
Shelter
WASH</v>
      </c>
      <c r="AQ165" s="36">
        <f>IFERROR(tblPiNAnalysis5[[#This Row],[2nd Highest Target]]/tblPiNAnalysis5[[#This Row],[Affected population projection 2026]], "")</f>
        <v>0</v>
      </c>
      <c r="AR165" s="46">
        <f>IFERROR(tblPiNAnalysis5[[#This Row],[Highest Target]]-tblPiNAnalysis5[[#This Row],[2nd Highest Target]], "")</f>
        <v>0</v>
      </c>
      <c r="AS165" s="39" t="str">
        <f>IFERROR(((tblPiNAnalysis5[[#This Row],[Highest Target]]-tblPiNAnalysis5[[#This Row],[2nd Highest Target]])/tblPiNAnalysis5[[#This Row],[2nd Highest Target]]),"")</f>
        <v/>
      </c>
      <c r="AT165" s="39" t="str" cm="1">
        <f t="array" ref="AT16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5" s="332" cm="1">
        <f t="array" ref="AU16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5" s="190" t="str" cm="1">
        <f t="array" ref="AV165">IF(tblPiNAnalysis5[[#This Row],[3rd Highest Target]]="", "", _xlfn.TEXTJOIN(CHAR(10), TRUE, IF(tblPiNAnalysis5[[#This Row],[3rd Highest Target]]=tblPiNAnalysis5[[#This Row],[CCCM]:[WASH]], tblPiNAnalysis5[[#Headers],[CCCM]:[WASH]], "")))</f>
        <v>CCCM
Education
Nutrition
Food Security
Health
Overarching Protection
Shelter
WASH</v>
      </c>
      <c r="AW165" s="190">
        <f>IFERROR(tblPiNAnalysis5[[#This Row],[3rd Highest Target]]/tblPiNAnalysis5[[#This Row],[Affected population projection 2026]], "")</f>
        <v>0</v>
      </c>
      <c r="AX165" s="45">
        <f>IFERROR(tblPiNAnalysis5[[#This Row],[Highest Target]]-tblPiNAnalysis5[[#This Row],[3rd Highest Target]],"")</f>
        <v>0</v>
      </c>
      <c r="AY165" s="39" t="str">
        <f>IFERROR(tblPiNAnalysis5[[#This Row],[Difference of Target between Highest and 3rd Highest]]/tblPiNAnalysis5[[#This Row],[3rd Highest Target]], "")</f>
        <v/>
      </c>
      <c r="AZ165" s="330" t="str" cm="1">
        <f t="array" ref="AZ16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5" s="300" t="str" cm="1">
        <f t="array" ref="BA16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5" s="333" t="str" cm="1">
        <f t="array" ref="BB16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5" s="276" t="str" cm="1">
        <f t="array" ref="BC16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5" s="334" t="str" cm="1">
        <f t="array" ref="BD16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5" s="277" t="e">
        <f>INDEX(tblSeverityAnalysis[Final Severity], MATCH(tblPiNAnalysis5[[#This Row],[ID]],tblSeverityAnalysis[ID], 0))</f>
        <v>#N/A</v>
      </c>
      <c r="BF165" s="61" t="e">
        <f>IF(tblPiNAnalysis5[[#This Row],[Severity]]&gt;2,tblPiNAnalysis5[[#This Row],[Highest Target]],)</f>
        <v>#N/A</v>
      </c>
      <c r="BG165" s="191"/>
      <c r="BH165" s="192"/>
      <c r="BI165" s="193">
        <f>COUNTIFS(tblPiNAnalysis5[[#This Row],[Number of missing / zero PiNs greater than threshold - Data quality]:[Manual Flag]],"Flagged")</f>
        <v>2</v>
      </c>
      <c r="BJ165" s="96" t="str">
        <f>IF(tblPiNAnalysis5[[#This Row],['# Flags]]&gt;0, "Flagged", "")</f>
        <v>Flagged</v>
      </c>
      <c r="BK165" s="326" t="e">
        <f>tblPiNAnalysis5[[#This Row],[Preliminary Target]]</f>
        <v>#N/A</v>
      </c>
      <c r="BL165" s="331"/>
    </row>
    <row r="166" spans="1:64" ht="110.7" x14ac:dyDescent="0.55000000000000004">
      <c r="A1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6" s="316" t="s">
        <v>236</v>
      </c>
      <c r="C166" s="317" t="s">
        <v>237</v>
      </c>
      <c r="D166" s="317" t="s">
        <v>244</v>
      </c>
      <c r="E166" s="105" t="s">
        <v>245</v>
      </c>
      <c r="F166" s="100"/>
      <c r="G166" s="34"/>
      <c r="H166" s="34"/>
      <c r="I166" s="97">
        <v>12810</v>
      </c>
      <c r="J166" s="97" t="s">
        <v>414</v>
      </c>
      <c r="K166" s="318">
        <v>0</v>
      </c>
      <c r="L166" s="319">
        <v>0</v>
      </c>
      <c r="M166" s="319">
        <v>0</v>
      </c>
      <c r="N166" s="319">
        <v>0</v>
      </c>
      <c r="O166" s="319">
        <v>0</v>
      </c>
      <c r="P166" s="319">
        <v>0</v>
      </c>
      <c r="Q166" s="320">
        <v>0</v>
      </c>
      <c r="R166" s="319">
        <v>0</v>
      </c>
      <c r="S166" s="319"/>
      <c r="T166" s="319"/>
      <c r="U166" s="319"/>
      <c r="V166" s="319"/>
      <c r="W166" s="321">
        <f>IFERROR(IF(tblPiNAnalysis5[[#This Row],[CCCM]]="", "", MROUND(tblPiNAnalysis5[[#This Row],[CCCM]]/tblPiNAnalysis5[[#This Row],[Affected population projection 2026]], 0.05)), "")</f>
        <v>0</v>
      </c>
      <c r="X166" s="322">
        <f>IFERROR(IF(tblPiNAnalysis5[[#This Row],[Education]]="", "", MROUND(tblPiNAnalysis5[[#This Row],[Education]]/tblPiNAnalysis5[[#This Row],[Affected population projection 2026]], 0.05)), "")</f>
        <v>0</v>
      </c>
      <c r="Y166" s="322">
        <f>IFERROR(IF(tblPiNAnalysis5[[#This Row],[Nutrition]]="", "", MROUND(tblPiNAnalysis5[[#This Row],[Nutrition]]/tblPiNAnalysis5[[#This Row],[Affected population projection 2026]], 0.05)), "")</f>
        <v>0</v>
      </c>
      <c r="Z166" s="322">
        <f>IFERROR(IF(tblPiNAnalysis5[[#This Row],[Food Security]]="", "", MROUND(tblPiNAnalysis5[[#This Row],[Food Security]]/tblPiNAnalysis5[[#This Row],[Affected population projection 2026]], 0.05)), "")</f>
        <v>0</v>
      </c>
      <c r="AA166" s="322">
        <f>IFERROR(IF(tblPiNAnalysis5[[#This Row],[Health]]="", "", MROUND(tblPiNAnalysis5[[#This Row],[Health]]/tblPiNAnalysis5[[#This Row],[Affected population projection 2026]], 0.05)), "")</f>
        <v>0</v>
      </c>
      <c r="AB166" s="323">
        <f>IFERROR(IF(tblPiNAnalysis5[[#This Row],[Overarching Protection]]="", "", MROUND(tblPiNAnalysis5[[#This Row],[Overarching Protection]]/tblPiNAnalysis5[[#This Row],[Affected population projection 2026]], 0.05)), "")</f>
        <v>0</v>
      </c>
      <c r="AC166" s="323">
        <f>IFERROR(IF(tblPiNAnalysis5[[#This Row],[Shelter]]="", "", MROUND(tblPiNAnalysis5[[#This Row],[Shelter]]/tblPiNAnalysis5[[#This Row],[Affected population projection 2026]], 0.05)), "")</f>
        <v>0</v>
      </c>
      <c r="AD166" s="324">
        <f>IFERROR(IF(tblPiNAnalysis5[[#This Row],[WASH]]="", "", MROUND(tblPiNAnalysis5[[#This Row],[WASH]]/tblPiNAnalysis5[[#This Row],[Affected population projection 2026]], 0.05)), "")</f>
        <v>0</v>
      </c>
      <c r="AE166" s="322">
        <f>IFERROR(MROUND(tblPiNAnalysis5[[#This Row],[CP]]/tblPiNAnalysis5[[#This Row],[Affected population projection 2026]], 0.05), "")</f>
        <v>0</v>
      </c>
      <c r="AF166" s="322">
        <f>IFERROR(MROUND(tblPiNAnalysis5[[#This Row],[GBV]]/tblPiNAnalysis5[[#This Row],[Affected population projection 2026]], 0.05), "")</f>
        <v>0</v>
      </c>
      <c r="AG166" s="322">
        <f>IFERROR(MROUND(tblPiNAnalysis5[[#This Row],[Mine Action]]/tblPiNAnalysis5[[#This Row],[Affected population projection 2026]], 0.05), "")</f>
        <v>0</v>
      </c>
      <c r="AH166" s="322">
        <f>IFERROR(MROUND(tblPiNAnalysis5[[#This Row],[HLP]]/tblPiNAnalysis5[[#This Row],[Affected population projection 2026]], 0.05), "")</f>
        <v>0</v>
      </c>
      <c r="AI166" s="325">
        <f>IFERROR(LARGE(tblPiNAnalysis5[[#This Row],[CCCM]:[WASH]], 1), "")</f>
        <v>0</v>
      </c>
      <c r="AJ166" s="326" t="str" cm="1">
        <f t="array" ref="AJ166">IF(tblPiNAnalysis5[[#This Row],[Highest Target]]="", "", _xlfn.TEXTJOIN(CHAR(10), TRUE, IF(tblPiNAnalysis5[[#This Row],[Highest Target]]=tblPiNAnalysis5[[#This Row],[CCCM]:[WASH]], tblPiNAnalysis5[[#Headers],[CCCM]:[WASH]], "")))</f>
        <v>CCCM
Education
Nutrition
Food Security
Health
Overarching Protection
Shelter
WASH</v>
      </c>
      <c r="AK166" s="327">
        <f>IF(tblPiNAnalysis5[[#This Row],[Highest Target]]="", "", tblPiNAnalysis5[[#This Row],[Highest Target]]/tblPiNAnalysis5[[#This Row],[Affected population projection 2026]])</f>
        <v>0</v>
      </c>
      <c r="AL166" s="328" t="str">
        <f>IF(SUM(tblPiNAnalysis5[[#This Row],[CCCM]:[WASH]])=0, "",IF(COUNTIF(tblPiNAnalysis5[[#This Row],[CCCM]:[WASH]],"=0")+COUNTIF(tblPiNAnalysis5[[#This Row],[CCCM]:[WASH]],"")&gt;=zero_pin_thresh, "Flagged", ""))</f>
        <v/>
      </c>
      <c r="AM166" s="329" t="str">
        <f>IFERROR(IF(tblPiNAnalysis5[[#This Row],[Highest Target]]="", "", IF(tblPiNAnalysis5[[#This Row],[Highest sector(s'') Target %]]&gt;=flag_pin_perc, "Flagged", "")), "")</f>
        <v/>
      </c>
      <c r="AN166" s="330" t="str" cm="1">
        <f t="array" ref="AN166">IF(tblPiNAnalysis5[[#This Row],[Highest Target]]=0, "",  IF(OR(COUNTIF(tblPiNAnalysis5[[#This Row],[Highest sector(s)]],tblSubSectorPopulation[Sector])), "Flagged", ""))</f>
        <v/>
      </c>
      <c r="AO166" s="46" cm="1">
        <f t="array" ref="AO16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6" s="331" t="str" cm="1">
        <f t="array" ref="AP166">IF(tblPiNAnalysis5[[#This Row],[2nd Highest Target]]="", "", _xlfn.TEXTJOIN(CHAR(10), TRUE, IF(tblPiNAnalysis5[[#This Row],[2nd Highest Target]]=tblPiNAnalysis5[[#This Row],[CCCM]:[WASH]], tblPiNAnalysis5[[#Headers],[CCCM]:[WASH]], "")))</f>
        <v>CCCM
Education
Nutrition
Food Security
Health
Overarching Protection
Shelter
WASH</v>
      </c>
      <c r="AQ166" s="36">
        <f>IFERROR(tblPiNAnalysis5[[#This Row],[2nd Highest Target]]/tblPiNAnalysis5[[#This Row],[Affected population projection 2026]], "")</f>
        <v>0</v>
      </c>
      <c r="AR166" s="46">
        <f>IFERROR(tblPiNAnalysis5[[#This Row],[Highest Target]]-tblPiNAnalysis5[[#This Row],[2nd Highest Target]], "")</f>
        <v>0</v>
      </c>
      <c r="AS166" s="39" t="str">
        <f>IFERROR(((tblPiNAnalysis5[[#This Row],[Highest Target]]-tblPiNAnalysis5[[#This Row],[2nd Highest Target]])/tblPiNAnalysis5[[#This Row],[2nd Highest Target]]),"")</f>
        <v/>
      </c>
      <c r="AT166" s="39" t="str" cm="1">
        <f t="array" ref="AT16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6" s="332" cm="1">
        <f t="array" ref="AU16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6" s="190" t="str" cm="1">
        <f t="array" ref="AV166">IF(tblPiNAnalysis5[[#This Row],[3rd Highest Target]]="", "", _xlfn.TEXTJOIN(CHAR(10), TRUE, IF(tblPiNAnalysis5[[#This Row],[3rd Highest Target]]=tblPiNAnalysis5[[#This Row],[CCCM]:[WASH]], tblPiNAnalysis5[[#Headers],[CCCM]:[WASH]], "")))</f>
        <v>CCCM
Education
Nutrition
Food Security
Health
Overarching Protection
Shelter
WASH</v>
      </c>
      <c r="AW166" s="190">
        <f>IFERROR(tblPiNAnalysis5[[#This Row],[3rd Highest Target]]/tblPiNAnalysis5[[#This Row],[Affected population projection 2026]], "")</f>
        <v>0</v>
      </c>
      <c r="AX166" s="45">
        <f>IFERROR(tblPiNAnalysis5[[#This Row],[Highest Target]]-tblPiNAnalysis5[[#This Row],[3rd Highest Target]],"")</f>
        <v>0</v>
      </c>
      <c r="AY166" s="39" t="str">
        <f>IFERROR(tblPiNAnalysis5[[#This Row],[Difference of Target between Highest and 3rd Highest]]/tblPiNAnalysis5[[#This Row],[3rd Highest Target]], "")</f>
        <v/>
      </c>
      <c r="AZ166" s="330" t="str" cm="1">
        <f t="array" ref="AZ16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6" s="300" t="str" cm="1">
        <f t="array" ref="BA16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6" s="333" t="str" cm="1">
        <f t="array" ref="BB16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6" s="276" t="str" cm="1">
        <f t="array" ref="BC16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6" s="334" t="str" cm="1">
        <f t="array" ref="BD16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6" s="277" t="e">
        <f>INDEX(tblSeverityAnalysis[Final Severity], MATCH(tblPiNAnalysis5[[#This Row],[ID]],tblSeverityAnalysis[ID], 0))</f>
        <v>#N/A</v>
      </c>
      <c r="BF166" s="61" t="e">
        <f>IF(tblPiNAnalysis5[[#This Row],[Severity]]&gt;2,tblPiNAnalysis5[[#This Row],[Highest Target]],)</f>
        <v>#N/A</v>
      </c>
      <c r="BG166" s="191"/>
      <c r="BH166" s="192"/>
      <c r="BI166" s="193">
        <f>COUNTIFS(tblPiNAnalysis5[[#This Row],[Number of missing / zero PiNs greater than threshold - Data quality]:[Manual Flag]],"Flagged")</f>
        <v>2</v>
      </c>
      <c r="BJ166" s="96" t="str">
        <f>IF(tblPiNAnalysis5[[#This Row],['# Flags]]&gt;0, "Flagged", "")</f>
        <v>Flagged</v>
      </c>
      <c r="BK166" s="326" t="e">
        <f>tblPiNAnalysis5[[#This Row],[Preliminary Target]]</f>
        <v>#N/A</v>
      </c>
      <c r="BL166" s="331"/>
    </row>
    <row r="167" spans="1:64" ht="110.7" x14ac:dyDescent="0.55000000000000004">
      <c r="A1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7" s="316" t="s">
        <v>236</v>
      </c>
      <c r="C167" s="317" t="s">
        <v>237</v>
      </c>
      <c r="D167" s="317" t="s">
        <v>246</v>
      </c>
      <c r="E167" s="105" t="s">
        <v>247</v>
      </c>
      <c r="F167" s="100"/>
      <c r="G167" s="34"/>
      <c r="H167" s="34"/>
      <c r="I167" s="97">
        <v>1080</v>
      </c>
      <c r="J167" s="97" t="s">
        <v>414</v>
      </c>
      <c r="K167" s="318">
        <v>0</v>
      </c>
      <c r="L167" s="319">
        <v>0</v>
      </c>
      <c r="M167" s="319">
        <v>0</v>
      </c>
      <c r="N167" s="319">
        <v>0</v>
      </c>
      <c r="O167" s="319">
        <v>0</v>
      </c>
      <c r="P167" s="319">
        <v>0</v>
      </c>
      <c r="Q167" s="320">
        <v>0</v>
      </c>
      <c r="R167" s="319">
        <v>0</v>
      </c>
      <c r="S167" s="319"/>
      <c r="T167" s="319"/>
      <c r="U167" s="319"/>
      <c r="V167" s="319"/>
      <c r="W167" s="321">
        <f>IFERROR(IF(tblPiNAnalysis5[[#This Row],[CCCM]]="", "", MROUND(tblPiNAnalysis5[[#This Row],[CCCM]]/tblPiNAnalysis5[[#This Row],[Affected population projection 2026]], 0.05)), "")</f>
        <v>0</v>
      </c>
      <c r="X167" s="322">
        <f>IFERROR(IF(tblPiNAnalysis5[[#This Row],[Education]]="", "", MROUND(tblPiNAnalysis5[[#This Row],[Education]]/tblPiNAnalysis5[[#This Row],[Affected population projection 2026]], 0.05)), "")</f>
        <v>0</v>
      </c>
      <c r="Y167" s="322">
        <f>IFERROR(IF(tblPiNAnalysis5[[#This Row],[Nutrition]]="", "", MROUND(tblPiNAnalysis5[[#This Row],[Nutrition]]/tblPiNAnalysis5[[#This Row],[Affected population projection 2026]], 0.05)), "")</f>
        <v>0</v>
      </c>
      <c r="Z167" s="322">
        <f>IFERROR(IF(tblPiNAnalysis5[[#This Row],[Food Security]]="", "", MROUND(tblPiNAnalysis5[[#This Row],[Food Security]]/tblPiNAnalysis5[[#This Row],[Affected population projection 2026]], 0.05)), "")</f>
        <v>0</v>
      </c>
      <c r="AA167" s="322">
        <f>IFERROR(IF(tblPiNAnalysis5[[#This Row],[Health]]="", "", MROUND(tblPiNAnalysis5[[#This Row],[Health]]/tblPiNAnalysis5[[#This Row],[Affected population projection 2026]], 0.05)), "")</f>
        <v>0</v>
      </c>
      <c r="AB167" s="323">
        <f>IFERROR(IF(tblPiNAnalysis5[[#This Row],[Overarching Protection]]="", "", MROUND(tblPiNAnalysis5[[#This Row],[Overarching Protection]]/tblPiNAnalysis5[[#This Row],[Affected population projection 2026]], 0.05)), "")</f>
        <v>0</v>
      </c>
      <c r="AC167" s="323">
        <f>IFERROR(IF(tblPiNAnalysis5[[#This Row],[Shelter]]="", "", MROUND(tblPiNAnalysis5[[#This Row],[Shelter]]/tblPiNAnalysis5[[#This Row],[Affected population projection 2026]], 0.05)), "")</f>
        <v>0</v>
      </c>
      <c r="AD167" s="324">
        <f>IFERROR(IF(tblPiNAnalysis5[[#This Row],[WASH]]="", "", MROUND(tblPiNAnalysis5[[#This Row],[WASH]]/tblPiNAnalysis5[[#This Row],[Affected population projection 2026]], 0.05)), "")</f>
        <v>0</v>
      </c>
      <c r="AE167" s="322">
        <f>IFERROR(MROUND(tblPiNAnalysis5[[#This Row],[CP]]/tblPiNAnalysis5[[#This Row],[Affected population projection 2026]], 0.05), "")</f>
        <v>0</v>
      </c>
      <c r="AF167" s="322">
        <f>IFERROR(MROUND(tblPiNAnalysis5[[#This Row],[GBV]]/tblPiNAnalysis5[[#This Row],[Affected population projection 2026]], 0.05), "")</f>
        <v>0</v>
      </c>
      <c r="AG167" s="322">
        <f>IFERROR(MROUND(tblPiNAnalysis5[[#This Row],[Mine Action]]/tblPiNAnalysis5[[#This Row],[Affected population projection 2026]], 0.05), "")</f>
        <v>0</v>
      </c>
      <c r="AH167" s="322">
        <f>IFERROR(MROUND(tblPiNAnalysis5[[#This Row],[HLP]]/tblPiNAnalysis5[[#This Row],[Affected population projection 2026]], 0.05), "")</f>
        <v>0</v>
      </c>
      <c r="AI167" s="325">
        <f>IFERROR(LARGE(tblPiNAnalysis5[[#This Row],[CCCM]:[WASH]], 1), "")</f>
        <v>0</v>
      </c>
      <c r="AJ167" s="326" t="str" cm="1">
        <f t="array" ref="AJ167">IF(tblPiNAnalysis5[[#This Row],[Highest Target]]="", "", _xlfn.TEXTJOIN(CHAR(10), TRUE, IF(tblPiNAnalysis5[[#This Row],[Highest Target]]=tblPiNAnalysis5[[#This Row],[CCCM]:[WASH]], tblPiNAnalysis5[[#Headers],[CCCM]:[WASH]], "")))</f>
        <v>CCCM
Education
Nutrition
Food Security
Health
Overarching Protection
Shelter
WASH</v>
      </c>
      <c r="AK167" s="327">
        <f>IF(tblPiNAnalysis5[[#This Row],[Highest Target]]="", "", tblPiNAnalysis5[[#This Row],[Highest Target]]/tblPiNAnalysis5[[#This Row],[Affected population projection 2026]])</f>
        <v>0</v>
      </c>
      <c r="AL167" s="328" t="str">
        <f>IF(SUM(tblPiNAnalysis5[[#This Row],[CCCM]:[WASH]])=0, "",IF(COUNTIF(tblPiNAnalysis5[[#This Row],[CCCM]:[WASH]],"=0")+COUNTIF(tblPiNAnalysis5[[#This Row],[CCCM]:[WASH]],"")&gt;=zero_pin_thresh, "Flagged", ""))</f>
        <v/>
      </c>
      <c r="AM167" s="329" t="str">
        <f>IFERROR(IF(tblPiNAnalysis5[[#This Row],[Highest Target]]="", "", IF(tblPiNAnalysis5[[#This Row],[Highest sector(s'') Target %]]&gt;=flag_pin_perc, "Flagged", "")), "")</f>
        <v/>
      </c>
      <c r="AN167" s="330" t="str" cm="1">
        <f t="array" ref="AN167">IF(tblPiNAnalysis5[[#This Row],[Highest Target]]=0, "",  IF(OR(COUNTIF(tblPiNAnalysis5[[#This Row],[Highest sector(s)]],tblSubSectorPopulation[Sector])), "Flagged", ""))</f>
        <v/>
      </c>
      <c r="AO167" s="46" cm="1">
        <f t="array" ref="AO16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7" s="331" t="str" cm="1">
        <f t="array" ref="AP167">IF(tblPiNAnalysis5[[#This Row],[2nd Highest Target]]="", "", _xlfn.TEXTJOIN(CHAR(10), TRUE, IF(tblPiNAnalysis5[[#This Row],[2nd Highest Target]]=tblPiNAnalysis5[[#This Row],[CCCM]:[WASH]], tblPiNAnalysis5[[#Headers],[CCCM]:[WASH]], "")))</f>
        <v>CCCM
Education
Nutrition
Food Security
Health
Overarching Protection
Shelter
WASH</v>
      </c>
      <c r="AQ167" s="36">
        <f>IFERROR(tblPiNAnalysis5[[#This Row],[2nd Highest Target]]/tblPiNAnalysis5[[#This Row],[Affected population projection 2026]], "")</f>
        <v>0</v>
      </c>
      <c r="AR167" s="46">
        <f>IFERROR(tblPiNAnalysis5[[#This Row],[Highest Target]]-tblPiNAnalysis5[[#This Row],[2nd Highest Target]], "")</f>
        <v>0</v>
      </c>
      <c r="AS167" s="39" t="str">
        <f>IFERROR(((tblPiNAnalysis5[[#This Row],[Highest Target]]-tblPiNAnalysis5[[#This Row],[2nd Highest Target]])/tblPiNAnalysis5[[#This Row],[2nd Highest Target]]),"")</f>
        <v/>
      </c>
      <c r="AT167" s="39" t="str" cm="1">
        <f t="array" ref="AT16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7" s="332" cm="1">
        <f t="array" ref="AU16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7" s="190" t="str" cm="1">
        <f t="array" ref="AV167">IF(tblPiNAnalysis5[[#This Row],[3rd Highest Target]]="", "", _xlfn.TEXTJOIN(CHAR(10), TRUE, IF(tblPiNAnalysis5[[#This Row],[3rd Highest Target]]=tblPiNAnalysis5[[#This Row],[CCCM]:[WASH]], tblPiNAnalysis5[[#Headers],[CCCM]:[WASH]], "")))</f>
        <v>CCCM
Education
Nutrition
Food Security
Health
Overarching Protection
Shelter
WASH</v>
      </c>
      <c r="AW167" s="190">
        <f>IFERROR(tblPiNAnalysis5[[#This Row],[3rd Highest Target]]/tblPiNAnalysis5[[#This Row],[Affected population projection 2026]], "")</f>
        <v>0</v>
      </c>
      <c r="AX167" s="45">
        <f>IFERROR(tblPiNAnalysis5[[#This Row],[Highest Target]]-tblPiNAnalysis5[[#This Row],[3rd Highest Target]],"")</f>
        <v>0</v>
      </c>
      <c r="AY167" s="39" t="str">
        <f>IFERROR(tblPiNAnalysis5[[#This Row],[Difference of Target between Highest and 3rd Highest]]/tblPiNAnalysis5[[#This Row],[3rd Highest Target]], "")</f>
        <v/>
      </c>
      <c r="AZ167" s="330" t="str" cm="1">
        <f t="array" ref="AZ16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7" s="300" t="str" cm="1">
        <f t="array" ref="BA16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7" s="333" t="str" cm="1">
        <f t="array" ref="BB16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7" s="276" t="str" cm="1">
        <f t="array" ref="BC16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7" s="334" t="str" cm="1">
        <f t="array" ref="BD16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7" s="277" t="e">
        <f>INDEX(tblSeverityAnalysis[Final Severity], MATCH(tblPiNAnalysis5[[#This Row],[ID]],tblSeverityAnalysis[ID], 0))</f>
        <v>#N/A</v>
      </c>
      <c r="BF167" s="61" t="e">
        <f>IF(tblPiNAnalysis5[[#This Row],[Severity]]&gt;2,tblPiNAnalysis5[[#This Row],[Highest Target]],)</f>
        <v>#N/A</v>
      </c>
      <c r="BG167" s="191"/>
      <c r="BH167" s="192"/>
      <c r="BI167" s="193">
        <f>COUNTIFS(tblPiNAnalysis5[[#This Row],[Number of missing / zero PiNs greater than threshold - Data quality]:[Manual Flag]],"Flagged")</f>
        <v>2</v>
      </c>
      <c r="BJ167" s="96" t="str">
        <f>IF(tblPiNAnalysis5[[#This Row],['# Flags]]&gt;0, "Flagged", "")</f>
        <v>Flagged</v>
      </c>
      <c r="BK167" s="326" t="e">
        <f>tblPiNAnalysis5[[#This Row],[Preliminary Target]]</f>
        <v>#N/A</v>
      </c>
      <c r="BL167" s="331"/>
    </row>
    <row r="168" spans="1:64" ht="110.7" x14ac:dyDescent="0.55000000000000004">
      <c r="A1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8" s="316" t="s">
        <v>236</v>
      </c>
      <c r="C168" s="317" t="s">
        <v>237</v>
      </c>
      <c r="D168" s="317" t="s">
        <v>248</v>
      </c>
      <c r="E168" s="105" t="s">
        <v>249</v>
      </c>
      <c r="F168" s="100"/>
      <c r="G168" s="34"/>
      <c r="H168" s="34"/>
      <c r="I168" s="97">
        <v>29744.714285714301</v>
      </c>
      <c r="J168" s="97" t="s">
        <v>414</v>
      </c>
      <c r="K168" s="318">
        <v>0</v>
      </c>
      <c r="L168" s="319">
        <v>0</v>
      </c>
      <c r="M168" s="319">
        <v>0</v>
      </c>
      <c r="N168" s="319">
        <v>0</v>
      </c>
      <c r="O168" s="319">
        <v>0</v>
      </c>
      <c r="P168" s="319">
        <v>0</v>
      </c>
      <c r="Q168" s="320">
        <v>0</v>
      </c>
      <c r="R168" s="319">
        <v>0</v>
      </c>
      <c r="S168" s="319"/>
      <c r="T168" s="319"/>
      <c r="U168" s="319"/>
      <c r="V168" s="319"/>
      <c r="W168" s="321">
        <f>IFERROR(IF(tblPiNAnalysis5[[#This Row],[CCCM]]="", "", MROUND(tblPiNAnalysis5[[#This Row],[CCCM]]/tblPiNAnalysis5[[#This Row],[Affected population projection 2026]], 0.05)), "")</f>
        <v>0</v>
      </c>
      <c r="X168" s="322">
        <f>IFERROR(IF(tblPiNAnalysis5[[#This Row],[Education]]="", "", MROUND(tblPiNAnalysis5[[#This Row],[Education]]/tblPiNAnalysis5[[#This Row],[Affected population projection 2026]], 0.05)), "")</f>
        <v>0</v>
      </c>
      <c r="Y168" s="322">
        <f>IFERROR(IF(tblPiNAnalysis5[[#This Row],[Nutrition]]="", "", MROUND(tblPiNAnalysis5[[#This Row],[Nutrition]]/tblPiNAnalysis5[[#This Row],[Affected population projection 2026]], 0.05)), "")</f>
        <v>0</v>
      </c>
      <c r="Z168" s="322">
        <f>IFERROR(IF(tblPiNAnalysis5[[#This Row],[Food Security]]="", "", MROUND(tblPiNAnalysis5[[#This Row],[Food Security]]/tblPiNAnalysis5[[#This Row],[Affected population projection 2026]], 0.05)), "")</f>
        <v>0</v>
      </c>
      <c r="AA168" s="322">
        <f>IFERROR(IF(tblPiNAnalysis5[[#This Row],[Health]]="", "", MROUND(tblPiNAnalysis5[[#This Row],[Health]]/tblPiNAnalysis5[[#This Row],[Affected population projection 2026]], 0.05)), "")</f>
        <v>0</v>
      </c>
      <c r="AB168" s="323">
        <f>IFERROR(IF(tblPiNAnalysis5[[#This Row],[Overarching Protection]]="", "", MROUND(tblPiNAnalysis5[[#This Row],[Overarching Protection]]/tblPiNAnalysis5[[#This Row],[Affected population projection 2026]], 0.05)), "")</f>
        <v>0</v>
      </c>
      <c r="AC168" s="323">
        <f>IFERROR(IF(tblPiNAnalysis5[[#This Row],[Shelter]]="", "", MROUND(tblPiNAnalysis5[[#This Row],[Shelter]]/tblPiNAnalysis5[[#This Row],[Affected population projection 2026]], 0.05)), "")</f>
        <v>0</v>
      </c>
      <c r="AD168" s="324">
        <f>IFERROR(IF(tblPiNAnalysis5[[#This Row],[WASH]]="", "", MROUND(tblPiNAnalysis5[[#This Row],[WASH]]/tblPiNAnalysis5[[#This Row],[Affected population projection 2026]], 0.05)), "")</f>
        <v>0</v>
      </c>
      <c r="AE168" s="322">
        <f>IFERROR(MROUND(tblPiNAnalysis5[[#This Row],[CP]]/tblPiNAnalysis5[[#This Row],[Affected population projection 2026]], 0.05), "")</f>
        <v>0</v>
      </c>
      <c r="AF168" s="322">
        <f>IFERROR(MROUND(tblPiNAnalysis5[[#This Row],[GBV]]/tblPiNAnalysis5[[#This Row],[Affected population projection 2026]], 0.05), "")</f>
        <v>0</v>
      </c>
      <c r="AG168" s="322">
        <f>IFERROR(MROUND(tblPiNAnalysis5[[#This Row],[Mine Action]]/tblPiNAnalysis5[[#This Row],[Affected population projection 2026]], 0.05), "")</f>
        <v>0</v>
      </c>
      <c r="AH168" s="322">
        <f>IFERROR(MROUND(tblPiNAnalysis5[[#This Row],[HLP]]/tblPiNAnalysis5[[#This Row],[Affected population projection 2026]], 0.05), "")</f>
        <v>0</v>
      </c>
      <c r="AI168" s="325">
        <f>IFERROR(LARGE(tblPiNAnalysis5[[#This Row],[CCCM]:[WASH]], 1), "")</f>
        <v>0</v>
      </c>
      <c r="AJ168" s="326" t="str" cm="1">
        <f t="array" ref="AJ168">IF(tblPiNAnalysis5[[#This Row],[Highest Target]]="", "", _xlfn.TEXTJOIN(CHAR(10), TRUE, IF(tblPiNAnalysis5[[#This Row],[Highest Target]]=tblPiNAnalysis5[[#This Row],[CCCM]:[WASH]], tblPiNAnalysis5[[#Headers],[CCCM]:[WASH]], "")))</f>
        <v>CCCM
Education
Nutrition
Food Security
Health
Overarching Protection
Shelter
WASH</v>
      </c>
      <c r="AK168" s="327">
        <f>IF(tblPiNAnalysis5[[#This Row],[Highest Target]]="", "", tblPiNAnalysis5[[#This Row],[Highest Target]]/tblPiNAnalysis5[[#This Row],[Affected population projection 2026]])</f>
        <v>0</v>
      </c>
      <c r="AL168" s="328" t="str">
        <f>IF(SUM(tblPiNAnalysis5[[#This Row],[CCCM]:[WASH]])=0, "",IF(COUNTIF(tblPiNAnalysis5[[#This Row],[CCCM]:[WASH]],"=0")+COUNTIF(tblPiNAnalysis5[[#This Row],[CCCM]:[WASH]],"")&gt;=zero_pin_thresh, "Flagged", ""))</f>
        <v/>
      </c>
      <c r="AM168" s="329" t="str">
        <f>IFERROR(IF(tblPiNAnalysis5[[#This Row],[Highest Target]]="", "", IF(tblPiNAnalysis5[[#This Row],[Highest sector(s'') Target %]]&gt;=flag_pin_perc, "Flagged", "")), "")</f>
        <v/>
      </c>
      <c r="AN168" s="330" t="str" cm="1">
        <f t="array" ref="AN168">IF(tblPiNAnalysis5[[#This Row],[Highest Target]]=0, "",  IF(OR(COUNTIF(tblPiNAnalysis5[[#This Row],[Highest sector(s)]],tblSubSectorPopulation[Sector])), "Flagged", ""))</f>
        <v/>
      </c>
      <c r="AO168" s="46" cm="1">
        <f t="array" ref="AO16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8" s="331" t="str" cm="1">
        <f t="array" ref="AP168">IF(tblPiNAnalysis5[[#This Row],[2nd Highest Target]]="", "", _xlfn.TEXTJOIN(CHAR(10), TRUE, IF(tblPiNAnalysis5[[#This Row],[2nd Highest Target]]=tblPiNAnalysis5[[#This Row],[CCCM]:[WASH]], tblPiNAnalysis5[[#Headers],[CCCM]:[WASH]], "")))</f>
        <v>CCCM
Education
Nutrition
Food Security
Health
Overarching Protection
Shelter
WASH</v>
      </c>
      <c r="AQ168" s="36">
        <f>IFERROR(tblPiNAnalysis5[[#This Row],[2nd Highest Target]]/tblPiNAnalysis5[[#This Row],[Affected population projection 2026]], "")</f>
        <v>0</v>
      </c>
      <c r="AR168" s="46">
        <f>IFERROR(tblPiNAnalysis5[[#This Row],[Highest Target]]-tblPiNAnalysis5[[#This Row],[2nd Highest Target]], "")</f>
        <v>0</v>
      </c>
      <c r="AS168" s="39" t="str">
        <f>IFERROR(((tblPiNAnalysis5[[#This Row],[Highest Target]]-tblPiNAnalysis5[[#This Row],[2nd Highest Target]])/tblPiNAnalysis5[[#This Row],[2nd Highest Target]]),"")</f>
        <v/>
      </c>
      <c r="AT168" s="39" t="str" cm="1">
        <f t="array" ref="AT16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8" s="332" cm="1">
        <f t="array" ref="AU16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8" s="190" t="str" cm="1">
        <f t="array" ref="AV168">IF(tblPiNAnalysis5[[#This Row],[3rd Highest Target]]="", "", _xlfn.TEXTJOIN(CHAR(10), TRUE, IF(tblPiNAnalysis5[[#This Row],[3rd Highest Target]]=tblPiNAnalysis5[[#This Row],[CCCM]:[WASH]], tblPiNAnalysis5[[#Headers],[CCCM]:[WASH]], "")))</f>
        <v>CCCM
Education
Nutrition
Food Security
Health
Overarching Protection
Shelter
WASH</v>
      </c>
      <c r="AW168" s="190">
        <f>IFERROR(tblPiNAnalysis5[[#This Row],[3rd Highest Target]]/tblPiNAnalysis5[[#This Row],[Affected population projection 2026]], "")</f>
        <v>0</v>
      </c>
      <c r="AX168" s="45">
        <f>IFERROR(tblPiNAnalysis5[[#This Row],[Highest Target]]-tblPiNAnalysis5[[#This Row],[3rd Highest Target]],"")</f>
        <v>0</v>
      </c>
      <c r="AY168" s="39" t="str">
        <f>IFERROR(tblPiNAnalysis5[[#This Row],[Difference of Target between Highest and 3rd Highest]]/tblPiNAnalysis5[[#This Row],[3rd Highest Target]], "")</f>
        <v/>
      </c>
      <c r="AZ168" s="330" t="str" cm="1">
        <f t="array" ref="AZ16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8" s="300" t="str" cm="1">
        <f t="array" ref="BA16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8" s="333" t="str" cm="1">
        <f t="array" ref="BB16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8" s="276" t="str" cm="1">
        <f t="array" ref="BC16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8" s="334" t="str" cm="1">
        <f t="array" ref="BD16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8" s="277" t="e">
        <f>INDEX(tblSeverityAnalysis[Final Severity], MATCH(tblPiNAnalysis5[[#This Row],[ID]],tblSeverityAnalysis[ID], 0))</f>
        <v>#N/A</v>
      </c>
      <c r="BF168" s="61" t="e">
        <f>IF(tblPiNAnalysis5[[#This Row],[Severity]]&gt;2,tblPiNAnalysis5[[#This Row],[Highest Target]],)</f>
        <v>#N/A</v>
      </c>
      <c r="BG168" s="191"/>
      <c r="BH168" s="192"/>
      <c r="BI168" s="193">
        <f>COUNTIFS(tblPiNAnalysis5[[#This Row],[Number of missing / zero PiNs greater than threshold - Data quality]:[Manual Flag]],"Flagged")</f>
        <v>2</v>
      </c>
      <c r="BJ168" s="96" t="str">
        <f>IF(tblPiNAnalysis5[[#This Row],['# Flags]]&gt;0, "Flagged", "")</f>
        <v>Flagged</v>
      </c>
      <c r="BK168" s="326" t="e">
        <f>tblPiNAnalysis5[[#This Row],[Preliminary Target]]</f>
        <v>#N/A</v>
      </c>
      <c r="BL168" s="331"/>
    </row>
    <row r="169" spans="1:64" ht="110.7" x14ac:dyDescent="0.55000000000000004">
      <c r="A1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9" s="316" t="s">
        <v>250</v>
      </c>
      <c r="C169" s="317" t="s">
        <v>251</v>
      </c>
      <c r="D169" s="317" t="s">
        <v>252</v>
      </c>
      <c r="E169" s="105" t="s">
        <v>253</v>
      </c>
      <c r="F169" s="100"/>
      <c r="G169" s="34"/>
      <c r="H169" s="34"/>
      <c r="I169" s="97">
        <v>2130</v>
      </c>
      <c r="J169" s="97" t="s">
        <v>414</v>
      </c>
      <c r="K169" s="318">
        <v>0</v>
      </c>
      <c r="L169" s="319">
        <v>0</v>
      </c>
      <c r="M169" s="319">
        <v>0</v>
      </c>
      <c r="N169" s="319">
        <v>0</v>
      </c>
      <c r="O169" s="319">
        <v>0</v>
      </c>
      <c r="P169" s="319">
        <v>0</v>
      </c>
      <c r="Q169" s="320">
        <v>0</v>
      </c>
      <c r="R169" s="319">
        <v>0</v>
      </c>
      <c r="S169" s="319"/>
      <c r="T169" s="319"/>
      <c r="U169" s="319"/>
      <c r="V169" s="319"/>
      <c r="W169" s="321">
        <f>IFERROR(IF(tblPiNAnalysis5[[#This Row],[CCCM]]="", "", MROUND(tblPiNAnalysis5[[#This Row],[CCCM]]/tblPiNAnalysis5[[#This Row],[Affected population projection 2026]], 0.05)), "")</f>
        <v>0</v>
      </c>
      <c r="X169" s="322">
        <f>IFERROR(IF(tblPiNAnalysis5[[#This Row],[Education]]="", "", MROUND(tblPiNAnalysis5[[#This Row],[Education]]/tblPiNAnalysis5[[#This Row],[Affected population projection 2026]], 0.05)), "")</f>
        <v>0</v>
      </c>
      <c r="Y169" s="322">
        <f>IFERROR(IF(tblPiNAnalysis5[[#This Row],[Nutrition]]="", "", MROUND(tblPiNAnalysis5[[#This Row],[Nutrition]]/tblPiNAnalysis5[[#This Row],[Affected population projection 2026]], 0.05)), "")</f>
        <v>0</v>
      </c>
      <c r="Z169" s="322">
        <f>IFERROR(IF(tblPiNAnalysis5[[#This Row],[Food Security]]="", "", MROUND(tblPiNAnalysis5[[#This Row],[Food Security]]/tblPiNAnalysis5[[#This Row],[Affected population projection 2026]], 0.05)), "")</f>
        <v>0</v>
      </c>
      <c r="AA169" s="322">
        <f>IFERROR(IF(tblPiNAnalysis5[[#This Row],[Health]]="", "", MROUND(tblPiNAnalysis5[[#This Row],[Health]]/tblPiNAnalysis5[[#This Row],[Affected population projection 2026]], 0.05)), "")</f>
        <v>0</v>
      </c>
      <c r="AB169" s="323">
        <f>IFERROR(IF(tblPiNAnalysis5[[#This Row],[Overarching Protection]]="", "", MROUND(tblPiNAnalysis5[[#This Row],[Overarching Protection]]/tblPiNAnalysis5[[#This Row],[Affected population projection 2026]], 0.05)), "")</f>
        <v>0</v>
      </c>
      <c r="AC169" s="323">
        <f>IFERROR(IF(tblPiNAnalysis5[[#This Row],[Shelter]]="", "", MROUND(tblPiNAnalysis5[[#This Row],[Shelter]]/tblPiNAnalysis5[[#This Row],[Affected population projection 2026]], 0.05)), "")</f>
        <v>0</v>
      </c>
      <c r="AD169" s="324">
        <f>IFERROR(IF(tblPiNAnalysis5[[#This Row],[WASH]]="", "", MROUND(tblPiNAnalysis5[[#This Row],[WASH]]/tblPiNAnalysis5[[#This Row],[Affected population projection 2026]], 0.05)), "")</f>
        <v>0</v>
      </c>
      <c r="AE169" s="322">
        <f>IFERROR(MROUND(tblPiNAnalysis5[[#This Row],[CP]]/tblPiNAnalysis5[[#This Row],[Affected population projection 2026]], 0.05), "")</f>
        <v>0</v>
      </c>
      <c r="AF169" s="322">
        <f>IFERROR(MROUND(tblPiNAnalysis5[[#This Row],[GBV]]/tblPiNAnalysis5[[#This Row],[Affected population projection 2026]], 0.05), "")</f>
        <v>0</v>
      </c>
      <c r="AG169" s="322">
        <f>IFERROR(MROUND(tblPiNAnalysis5[[#This Row],[Mine Action]]/tblPiNAnalysis5[[#This Row],[Affected population projection 2026]], 0.05), "")</f>
        <v>0</v>
      </c>
      <c r="AH169" s="322">
        <f>IFERROR(MROUND(tblPiNAnalysis5[[#This Row],[HLP]]/tblPiNAnalysis5[[#This Row],[Affected population projection 2026]], 0.05), "")</f>
        <v>0</v>
      </c>
      <c r="AI169" s="325">
        <f>IFERROR(LARGE(tblPiNAnalysis5[[#This Row],[CCCM]:[WASH]], 1), "")</f>
        <v>0</v>
      </c>
      <c r="AJ169" s="326" t="str" cm="1">
        <f t="array" ref="AJ169">IF(tblPiNAnalysis5[[#This Row],[Highest Target]]="", "", _xlfn.TEXTJOIN(CHAR(10), TRUE, IF(tblPiNAnalysis5[[#This Row],[Highest Target]]=tblPiNAnalysis5[[#This Row],[CCCM]:[WASH]], tblPiNAnalysis5[[#Headers],[CCCM]:[WASH]], "")))</f>
        <v>CCCM
Education
Nutrition
Food Security
Health
Overarching Protection
Shelter
WASH</v>
      </c>
      <c r="AK169" s="327">
        <f>IF(tblPiNAnalysis5[[#This Row],[Highest Target]]="", "", tblPiNAnalysis5[[#This Row],[Highest Target]]/tblPiNAnalysis5[[#This Row],[Affected population projection 2026]])</f>
        <v>0</v>
      </c>
      <c r="AL169" s="328" t="str">
        <f>IF(SUM(tblPiNAnalysis5[[#This Row],[CCCM]:[WASH]])=0, "",IF(COUNTIF(tblPiNAnalysis5[[#This Row],[CCCM]:[WASH]],"=0")+COUNTIF(tblPiNAnalysis5[[#This Row],[CCCM]:[WASH]],"")&gt;=zero_pin_thresh, "Flagged", ""))</f>
        <v/>
      </c>
      <c r="AM169" s="329" t="str">
        <f>IFERROR(IF(tblPiNAnalysis5[[#This Row],[Highest Target]]="", "", IF(tblPiNAnalysis5[[#This Row],[Highest sector(s'') Target %]]&gt;=flag_pin_perc, "Flagged", "")), "")</f>
        <v/>
      </c>
      <c r="AN169" s="330" t="str" cm="1">
        <f t="array" ref="AN169">IF(tblPiNAnalysis5[[#This Row],[Highest Target]]=0, "",  IF(OR(COUNTIF(tblPiNAnalysis5[[#This Row],[Highest sector(s)]],tblSubSectorPopulation[Sector])), "Flagged", ""))</f>
        <v/>
      </c>
      <c r="AO169" s="46" cm="1">
        <f t="array" ref="AO16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69" s="331" t="str" cm="1">
        <f t="array" ref="AP169">IF(tblPiNAnalysis5[[#This Row],[2nd Highest Target]]="", "", _xlfn.TEXTJOIN(CHAR(10), TRUE, IF(tblPiNAnalysis5[[#This Row],[2nd Highest Target]]=tblPiNAnalysis5[[#This Row],[CCCM]:[WASH]], tblPiNAnalysis5[[#Headers],[CCCM]:[WASH]], "")))</f>
        <v>CCCM
Education
Nutrition
Food Security
Health
Overarching Protection
Shelter
WASH</v>
      </c>
      <c r="AQ169" s="36">
        <f>IFERROR(tblPiNAnalysis5[[#This Row],[2nd Highest Target]]/tblPiNAnalysis5[[#This Row],[Affected population projection 2026]], "")</f>
        <v>0</v>
      </c>
      <c r="AR169" s="46">
        <f>IFERROR(tblPiNAnalysis5[[#This Row],[Highest Target]]-tblPiNAnalysis5[[#This Row],[2nd Highest Target]], "")</f>
        <v>0</v>
      </c>
      <c r="AS169" s="39" t="str">
        <f>IFERROR(((tblPiNAnalysis5[[#This Row],[Highest Target]]-tblPiNAnalysis5[[#This Row],[2nd Highest Target]])/tblPiNAnalysis5[[#This Row],[2nd Highest Target]]),"")</f>
        <v/>
      </c>
      <c r="AT169" s="39" t="str" cm="1">
        <f t="array" ref="AT16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69" s="332" cm="1">
        <f t="array" ref="AU16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69" s="190" t="str" cm="1">
        <f t="array" ref="AV169">IF(tblPiNAnalysis5[[#This Row],[3rd Highest Target]]="", "", _xlfn.TEXTJOIN(CHAR(10), TRUE, IF(tblPiNAnalysis5[[#This Row],[3rd Highest Target]]=tblPiNAnalysis5[[#This Row],[CCCM]:[WASH]], tblPiNAnalysis5[[#Headers],[CCCM]:[WASH]], "")))</f>
        <v>CCCM
Education
Nutrition
Food Security
Health
Overarching Protection
Shelter
WASH</v>
      </c>
      <c r="AW169" s="190">
        <f>IFERROR(tblPiNAnalysis5[[#This Row],[3rd Highest Target]]/tblPiNAnalysis5[[#This Row],[Affected population projection 2026]], "")</f>
        <v>0</v>
      </c>
      <c r="AX169" s="45">
        <f>IFERROR(tblPiNAnalysis5[[#This Row],[Highest Target]]-tblPiNAnalysis5[[#This Row],[3rd Highest Target]],"")</f>
        <v>0</v>
      </c>
      <c r="AY169" s="39" t="str">
        <f>IFERROR(tblPiNAnalysis5[[#This Row],[Difference of Target between Highest and 3rd Highest]]/tblPiNAnalysis5[[#This Row],[3rd Highest Target]], "")</f>
        <v/>
      </c>
      <c r="AZ169" s="330" t="str" cm="1">
        <f t="array" ref="AZ16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69" s="300" t="str" cm="1">
        <f t="array" ref="BA16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69" s="333" t="str" cm="1">
        <f t="array" ref="BB16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69" s="276" t="str" cm="1">
        <f t="array" ref="BC16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69" s="334" t="str" cm="1">
        <f t="array" ref="BD16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69" s="277" t="e">
        <f>INDEX(tblSeverityAnalysis[Final Severity], MATCH(tblPiNAnalysis5[[#This Row],[ID]],tblSeverityAnalysis[ID], 0))</f>
        <v>#N/A</v>
      </c>
      <c r="BF169" s="61" t="e">
        <f>IF(tblPiNAnalysis5[[#This Row],[Severity]]&gt;2,tblPiNAnalysis5[[#This Row],[Highest Target]],)</f>
        <v>#N/A</v>
      </c>
      <c r="BG169" s="191"/>
      <c r="BH169" s="192"/>
      <c r="BI169" s="193">
        <f>COUNTIFS(tblPiNAnalysis5[[#This Row],[Number of missing / zero PiNs greater than threshold - Data quality]:[Manual Flag]],"Flagged")</f>
        <v>2</v>
      </c>
      <c r="BJ169" s="96" t="str">
        <f>IF(tblPiNAnalysis5[[#This Row],['# Flags]]&gt;0, "Flagged", "")</f>
        <v>Flagged</v>
      </c>
      <c r="BK169" s="326" t="e">
        <f>tblPiNAnalysis5[[#This Row],[Preliminary Target]]</f>
        <v>#N/A</v>
      </c>
      <c r="BL169" s="331"/>
    </row>
    <row r="170" spans="1:64" ht="110.7" x14ac:dyDescent="0.55000000000000004">
      <c r="A1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0" s="316" t="s">
        <v>250</v>
      </c>
      <c r="C170" s="317" t="s">
        <v>251</v>
      </c>
      <c r="D170" s="317" t="s">
        <v>254</v>
      </c>
      <c r="E170" s="105" t="s">
        <v>255</v>
      </c>
      <c r="F170" s="100"/>
      <c r="G170" s="34"/>
      <c r="H170" s="34"/>
      <c r="I170" s="97">
        <v>3437.4285714285702</v>
      </c>
      <c r="J170" s="97" t="s">
        <v>414</v>
      </c>
      <c r="K170" s="318">
        <v>0</v>
      </c>
      <c r="L170" s="319">
        <v>0</v>
      </c>
      <c r="M170" s="319">
        <v>0</v>
      </c>
      <c r="N170" s="319">
        <v>0</v>
      </c>
      <c r="O170" s="319">
        <v>0</v>
      </c>
      <c r="P170" s="319">
        <v>0</v>
      </c>
      <c r="Q170" s="320">
        <v>0</v>
      </c>
      <c r="R170" s="319">
        <v>0</v>
      </c>
      <c r="S170" s="319"/>
      <c r="T170" s="319"/>
      <c r="U170" s="319"/>
      <c r="V170" s="319"/>
      <c r="W170" s="321">
        <f>IFERROR(IF(tblPiNAnalysis5[[#This Row],[CCCM]]="", "", MROUND(tblPiNAnalysis5[[#This Row],[CCCM]]/tblPiNAnalysis5[[#This Row],[Affected population projection 2026]], 0.05)), "")</f>
        <v>0</v>
      </c>
      <c r="X170" s="322">
        <f>IFERROR(IF(tblPiNAnalysis5[[#This Row],[Education]]="", "", MROUND(tblPiNAnalysis5[[#This Row],[Education]]/tblPiNAnalysis5[[#This Row],[Affected population projection 2026]], 0.05)), "")</f>
        <v>0</v>
      </c>
      <c r="Y170" s="322">
        <f>IFERROR(IF(tblPiNAnalysis5[[#This Row],[Nutrition]]="", "", MROUND(tblPiNAnalysis5[[#This Row],[Nutrition]]/tblPiNAnalysis5[[#This Row],[Affected population projection 2026]], 0.05)), "")</f>
        <v>0</v>
      </c>
      <c r="Z170" s="322">
        <f>IFERROR(IF(tblPiNAnalysis5[[#This Row],[Food Security]]="", "", MROUND(tblPiNAnalysis5[[#This Row],[Food Security]]/tblPiNAnalysis5[[#This Row],[Affected population projection 2026]], 0.05)), "")</f>
        <v>0</v>
      </c>
      <c r="AA170" s="322">
        <f>IFERROR(IF(tblPiNAnalysis5[[#This Row],[Health]]="", "", MROUND(tblPiNAnalysis5[[#This Row],[Health]]/tblPiNAnalysis5[[#This Row],[Affected population projection 2026]], 0.05)), "")</f>
        <v>0</v>
      </c>
      <c r="AB170" s="323">
        <f>IFERROR(IF(tblPiNAnalysis5[[#This Row],[Overarching Protection]]="", "", MROUND(tblPiNAnalysis5[[#This Row],[Overarching Protection]]/tblPiNAnalysis5[[#This Row],[Affected population projection 2026]], 0.05)), "")</f>
        <v>0</v>
      </c>
      <c r="AC170" s="323">
        <f>IFERROR(IF(tblPiNAnalysis5[[#This Row],[Shelter]]="", "", MROUND(tblPiNAnalysis5[[#This Row],[Shelter]]/tblPiNAnalysis5[[#This Row],[Affected population projection 2026]], 0.05)), "")</f>
        <v>0</v>
      </c>
      <c r="AD170" s="324">
        <f>IFERROR(IF(tblPiNAnalysis5[[#This Row],[WASH]]="", "", MROUND(tblPiNAnalysis5[[#This Row],[WASH]]/tblPiNAnalysis5[[#This Row],[Affected population projection 2026]], 0.05)), "")</f>
        <v>0</v>
      </c>
      <c r="AE170" s="322">
        <f>IFERROR(MROUND(tblPiNAnalysis5[[#This Row],[CP]]/tblPiNAnalysis5[[#This Row],[Affected population projection 2026]], 0.05), "")</f>
        <v>0</v>
      </c>
      <c r="AF170" s="322">
        <f>IFERROR(MROUND(tblPiNAnalysis5[[#This Row],[GBV]]/tblPiNAnalysis5[[#This Row],[Affected population projection 2026]], 0.05), "")</f>
        <v>0</v>
      </c>
      <c r="AG170" s="322">
        <f>IFERROR(MROUND(tblPiNAnalysis5[[#This Row],[Mine Action]]/tblPiNAnalysis5[[#This Row],[Affected population projection 2026]], 0.05), "")</f>
        <v>0</v>
      </c>
      <c r="AH170" s="322">
        <f>IFERROR(MROUND(tblPiNAnalysis5[[#This Row],[HLP]]/tblPiNAnalysis5[[#This Row],[Affected population projection 2026]], 0.05), "")</f>
        <v>0</v>
      </c>
      <c r="AI170" s="325">
        <f>IFERROR(LARGE(tblPiNAnalysis5[[#This Row],[CCCM]:[WASH]], 1), "")</f>
        <v>0</v>
      </c>
      <c r="AJ170" s="326" t="str" cm="1">
        <f t="array" ref="AJ170">IF(tblPiNAnalysis5[[#This Row],[Highest Target]]="", "", _xlfn.TEXTJOIN(CHAR(10), TRUE, IF(tblPiNAnalysis5[[#This Row],[Highest Target]]=tblPiNAnalysis5[[#This Row],[CCCM]:[WASH]], tblPiNAnalysis5[[#Headers],[CCCM]:[WASH]], "")))</f>
        <v>CCCM
Education
Nutrition
Food Security
Health
Overarching Protection
Shelter
WASH</v>
      </c>
      <c r="AK170" s="327">
        <f>IF(tblPiNAnalysis5[[#This Row],[Highest Target]]="", "", tblPiNAnalysis5[[#This Row],[Highest Target]]/tblPiNAnalysis5[[#This Row],[Affected population projection 2026]])</f>
        <v>0</v>
      </c>
      <c r="AL170" s="328" t="str">
        <f>IF(SUM(tblPiNAnalysis5[[#This Row],[CCCM]:[WASH]])=0, "",IF(COUNTIF(tblPiNAnalysis5[[#This Row],[CCCM]:[WASH]],"=0")+COUNTIF(tblPiNAnalysis5[[#This Row],[CCCM]:[WASH]],"")&gt;=zero_pin_thresh, "Flagged", ""))</f>
        <v/>
      </c>
      <c r="AM170" s="329" t="str">
        <f>IFERROR(IF(tblPiNAnalysis5[[#This Row],[Highest Target]]="", "", IF(tblPiNAnalysis5[[#This Row],[Highest sector(s'') Target %]]&gt;=flag_pin_perc, "Flagged", "")), "")</f>
        <v/>
      </c>
      <c r="AN170" s="330" t="str" cm="1">
        <f t="array" ref="AN170">IF(tblPiNAnalysis5[[#This Row],[Highest Target]]=0, "",  IF(OR(COUNTIF(tblPiNAnalysis5[[#This Row],[Highest sector(s)]],tblSubSectorPopulation[Sector])), "Flagged", ""))</f>
        <v/>
      </c>
      <c r="AO170" s="46" cm="1">
        <f t="array" ref="AO17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70" s="331" t="str" cm="1">
        <f t="array" ref="AP170">IF(tblPiNAnalysis5[[#This Row],[2nd Highest Target]]="", "", _xlfn.TEXTJOIN(CHAR(10), TRUE, IF(tblPiNAnalysis5[[#This Row],[2nd Highest Target]]=tblPiNAnalysis5[[#This Row],[CCCM]:[WASH]], tblPiNAnalysis5[[#Headers],[CCCM]:[WASH]], "")))</f>
        <v>CCCM
Education
Nutrition
Food Security
Health
Overarching Protection
Shelter
WASH</v>
      </c>
      <c r="AQ170" s="36">
        <f>IFERROR(tblPiNAnalysis5[[#This Row],[2nd Highest Target]]/tblPiNAnalysis5[[#This Row],[Affected population projection 2026]], "")</f>
        <v>0</v>
      </c>
      <c r="AR170" s="46">
        <f>IFERROR(tblPiNAnalysis5[[#This Row],[Highest Target]]-tblPiNAnalysis5[[#This Row],[2nd Highest Target]], "")</f>
        <v>0</v>
      </c>
      <c r="AS170" s="39" t="str">
        <f>IFERROR(((tblPiNAnalysis5[[#This Row],[Highest Target]]-tblPiNAnalysis5[[#This Row],[2nd Highest Target]])/tblPiNAnalysis5[[#This Row],[2nd Highest Target]]),"")</f>
        <v/>
      </c>
      <c r="AT170" s="39" t="str" cm="1">
        <f t="array" ref="AT17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0" s="332" cm="1">
        <f t="array" ref="AU17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70" s="190" t="str" cm="1">
        <f t="array" ref="AV170">IF(tblPiNAnalysis5[[#This Row],[3rd Highest Target]]="", "", _xlfn.TEXTJOIN(CHAR(10), TRUE, IF(tblPiNAnalysis5[[#This Row],[3rd Highest Target]]=tblPiNAnalysis5[[#This Row],[CCCM]:[WASH]], tblPiNAnalysis5[[#Headers],[CCCM]:[WASH]], "")))</f>
        <v>CCCM
Education
Nutrition
Food Security
Health
Overarching Protection
Shelter
WASH</v>
      </c>
      <c r="AW170" s="190">
        <f>IFERROR(tblPiNAnalysis5[[#This Row],[3rd Highest Target]]/tblPiNAnalysis5[[#This Row],[Affected population projection 2026]], "")</f>
        <v>0</v>
      </c>
      <c r="AX170" s="45">
        <f>IFERROR(tblPiNAnalysis5[[#This Row],[Highest Target]]-tblPiNAnalysis5[[#This Row],[3rd Highest Target]],"")</f>
        <v>0</v>
      </c>
      <c r="AY170" s="39" t="str">
        <f>IFERROR(tblPiNAnalysis5[[#This Row],[Difference of Target between Highest and 3rd Highest]]/tblPiNAnalysis5[[#This Row],[3rd Highest Target]], "")</f>
        <v/>
      </c>
      <c r="AZ170" s="330" t="str" cm="1">
        <f t="array" ref="AZ17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0" s="300" t="str" cm="1">
        <f t="array" ref="BA17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0" s="333" t="str" cm="1">
        <f t="array" ref="BB17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70" s="276" t="str" cm="1">
        <f t="array" ref="BC17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0" s="334" t="str" cm="1">
        <f t="array" ref="BD17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0" s="277" t="e">
        <f>INDEX(tblSeverityAnalysis[Final Severity], MATCH(tblPiNAnalysis5[[#This Row],[ID]],tblSeverityAnalysis[ID], 0))</f>
        <v>#N/A</v>
      </c>
      <c r="BF170" s="61" t="e">
        <f>IF(tblPiNAnalysis5[[#This Row],[Severity]]&gt;2,tblPiNAnalysis5[[#This Row],[Highest Target]],)</f>
        <v>#N/A</v>
      </c>
      <c r="BG170" s="191"/>
      <c r="BH170" s="192"/>
      <c r="BI170" s="193">
        <f>COUNTIFS(tblPiNAnalysis5[[#This Row],[Number of missing / zero PiNs greater than threshold - Data quality]:[Manual Flag]],"Flagged")</f>
        <v>2</v>
      </c>
      <c r="BJ170" s="96" t="str">
        <f>IF(tblPiNAnalysis5[[#This Row],['# Flags]]&gt;0, "Flagged", "")</f>
        <v>Flagged</v>
      </c>
      <c r="BK170" s="326" t="e">
        <f>tblPiNAnalysis5[[#This Row],[Preliminary Target]]</f>
        <v>#N/A</v>
      </c>
      <c r="BL170" s="331"/>
    </row>
    <row r="171" spans="1:64" x14ac:dyDescent="0.55000000000000004">
      <c r="A1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1" s="316" t="s">
        <v>250</v>
      </c>
      <c r="C171" s="317" t="s">
        <v>251</v>
      </c>
      <c r="D171" s="317" t="s">
        <v>256</v>
      </c>
      <c r="E171" s="105" t="s">
        <v>257</v>
      </c>
      <c r="F171" s="100"/>
      <c r="G171" s="34"/>
      <c r="H171" s="34"/>
      <c r="I171" s="97">
        <v>3548.7142857142862</v>
      </c>
      <c r="J171" s="97" t="s">
        <v>414</v>
      </c>
      <c r="K171" s="318">
        <v>0</v>
      </c>
      <c r="L171" s="319">
        <v>606.12040000000013</v>
      </c>
      <c r="M171" s="319">
        <v>785.87134900659157</v>
      </c>
      <c r="N171" s="319">
        <v>1435.4278327603176</v>
      </c>
      <c r="O171" s="319">
        <v>963.57160222058019</v>
      </c>
      <c r="P171" s="319">
        <v>1237.9145162611615</v>
      </c>
      <c r="Q171" s="320">
        <v>0</v>
      </c>
      <c r="R171" s="319">
        <v>1988.54565941603</v>
      </c>
      <c r="S171" s="319"/>
      <c r="T171" s="319"/>
      <c r="U171" s="319"/>
      <c r="V171" s="319"/>
      <c r="W171" s="321">
        <f>IFERROR(IF(tblPiNAnalysis5[[#This Row],[CCCM]]="", "", MROUND(tblPiNAnalysis5[[#This Row],[CCCM]]/tblPiNAnalysis5[[#This Row],[Affected population projection 2026]], 0.05)), "")</f>
        <v>0</v>
      </c>
      <c r="X171" s="322">
        <f>IFERROR(IF(tblPiNAnalysis5[[#This Row],[Education]]="", "", MROUND(tblPiNAnalysis5[[#This Row],[Education]]/tblPiNAnalysis5[[#This Row],[Affected population projection 2026]], 0.05)), "")</f>
        <v>0.15000000000000002</v>
      </c>
      <c r="Y171" s="322">
        <f>IFERROR(IF(tblPiNAnalysis5[[#This Row],[Nutrition]]="", "", MROUND(tblPiNAnalysis5[[#This Row],[Nutrition]]/tblPiNAnalysis5[[#This Row],[Affected population projection 2026]], 0.05)), "")</f>
        <v>0.2</v>
      </c>
      <c r="Z171" s="322">
        <f>IFERROR(IF(tblPiNAnalysis5[[#This Row],[Food Security]]="", "", MROUND(tblPiNAnalysis5[[#This Row],[Food Security]]/tblPiNAnalysis5[[#This Row],[Affected population projection 2026]], 0.05)), "")</f>
        <v>0.4</v>
      </c>
      <c r="AA171" s="322">
        <f>IFERROR(IF(tblPiNAnalysis5[[#This Row],[Health]]="", "", MROUND(tblPiNAnalysis5[[#This Row],[Health]]/tblPiNAnalysis5[[#This Row],[Affected population projection 2026]], 0.05)), "")</f>
        <v>0.25</v>
      </c>
      <c r="AB171" s="323">
        <f>IFERROR(IF(tblPiNAnalysis5[[#This Row],[Overarching Protection]]="", "", MROUND(tblPiNAnalysis5[[#This Row],[Overarching Protection]]/tblPiNAnalysis5[[#This Row],[Affected population projection 2026]], 0.05)), "")</f>
        <v>0.35000000000000003</v>
      </c>
      <c r="AC171" s="323">
        <f>IFERROR(IF(tblPiNAnalysis5[[#This Row],[Shelter]]="", "", MROUND(tblPiNAnalysis5[[#This Row],[Shelter]]/tblPiNAnalysis5[[#This Row],[Affected population projection 2026]], 0.05)), "")</f>
        <v>0</v>
      </c>
      <c r="AD171" s="324">
        <f>IFERROR(IF(tblPiNAnalysis5[[#This Row],[WASH]]="", "", MROUND(tblPiNAnalysis5[[#This Row],[WASH]]/tblPiNAnalysis5[[#This Row],[Affected population projection 2026]], 0.05)), "")</f>
        <v>0.55000000000000004</v>
      </c>
      <c r="AE171" s="322">
        <f>IFERROR(MROUND(tblPiNAnalysis5[[#This Row],[CP]]/tblPiNAnalysis5[[#This Row],[Affected population projection 2026]], 0.05), "")</f>
        <v>0</v>
      </c>
      <c r="AF171" s="322">
        <f>IFERROR(MROUND(tblPiNAnalysis5[[#This Row],[GBV]]/tblPiNAnalysis5[[#This Row],[Affected population projection 2026]], 0.05), "")</f>
        <v>0</v>
      </c>
      <c r="AG171" s="322">
        <f>IFERROR(MROUND(tblPiNAnalysis5[[#This Row],[Mine Action]]/tblPiNAnalysis5[[#This Row],[Affected population projection 2026]], 0.05), "")</f>
        <v>0</v>
      </c>
      <c r="AH171" s="322">
        <f>IFERROR(MROUND(tblPiNAnalysis5[[#This Row],[HLP]]/tblPiNAnalysis5[[#This Row],[Affected population projection 2026]], 0.05), "")</f>
        <v>0</v>
      </c>
      <c r="AI171" s="325">
        <f>IFERROR(LARGE(tblPiNAnalysis5[[#This Row],[CCCM]:[WASH]], 1), "")</f>
        <v>1988.54565941603</v>
      </c>
      <c r="AJ171" s="326" t="str" cm="1">
        <f t="array" ref="AJ171">IF(tblPiNAnalysis5[[#This Row],[Highest Target]]="", "", _xlfn.TEXTJOIN(CHAR(10), TRUE, IF(tblPiNAnalysis5[[#This Row],[Highest Target]]=tblPiNAnalysis5[[#This Row],[CCCM]:[WASH]], tblPiNAnalysis5[[#Headers],[CCCM]:[WASH]], "")))</f>
        <v>WASH</v>
      </c>
      <c r="AK171" s="327">
        <f>IF(tblPiNAnalysis5[[#This Row],[Highest Target]]="", "", tblPiNAnalysis5[[#This Row],[Highest Target]]/tblPiNAnalysis5[[#This Row],[Affected population projection 2026]])</f>
        <v>0.56035665294924553</v>
      </c>
      <c r="AL171" s="328" t="str">
        <f>IF(SUM(tblPiNAnalysis5[[#This Row],[CCCM]:[WASH]])=0, "",IF(COUNTIF(tblPiNAnalysis5[[#This Row],[CCCM]:[WASH]],"=0")+COUNTIF(tblPiNAnalysis5[[#This Row],[CCCM]:[WASH]],"")&gt;=zero_pin_thresh, "Flagged", ""))</f>
        <v>Flagged</v>
      </c>
      <c r="AM171" s="329" t="str">
        <f>IFERROR(IF(tblPiNAnalysis5[[#This Row],[Highest Target]]="", "", IF(tblPiNAnalysis5[[#This Row],[Highest sector(s'') Target %]]&gt;=flag_pin_perc, "Flagged", "")), "")</f>
        <v/>
      </c>
      <c r="AN171" s="330" t="str" cm="1">
        <f t="array" ref="AN171">IF(tblPiNAnalysis5[[#This Row],[Highest Target]]=0, "",  IF(OR(COUNTIF(tblPiNAnalysis5[[#This Row],[Highest sector(s)]],tblSubSectorPopulation[Sector])), "Flagged", ""))</f>
        <v/>
      </c>
      <c r="AO171" s="46" cm="1">
        <f t="array" ref="AO17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1435.4278327603176</v>
      </c>
      <c r="AP171" s="331" t="str" cm="1">
        <f t="array" ref="AP171">IF(tblPiNAnalysis5[[#This Row],[2nd Highest Target]]="", "", _xlfn.TEXTJOIN(CHAR(10), TRUE, IF(tblPiNAnalysis5[[#This Row],[2nd Highest Target]]=tblPiNAnalysis5[[#This Row],[CCCM]:[WASH]], tblPiNAnalysis5[[#Headers],[CCCM]:[WASH]], "")))</f>
        <v>Food Security</v>
      </c>
      <c r="AQ171" s="36">
        <f>IFERROR(tblPiNAnalysis5[[#This Row],[2nd Highest Target]]/tblPiNAnalysis5[[#This Row],[Affected population projection 2026]], "")</f>
        <v>0.40449236461182003</v>
      </c>
      <c r="AR171" s="46">
        <f>IFERROR(tblPiNAnalysis5[[#This Row],[Highest Target]]-tblPiNAnalysis5[[#This Row],[2nd Highest Target]], "")</f>
        <v>553.11782665571241</v>
      </c>
      <c r="AS171" s="39">
        <f>IFERROR(((tblPiNAnalysis5[[#This Row],[Highest Target]]-tblPiNAnalysis5[[#This Row],[2nd Highest Target]])/tblPiNAnalysis5[[#This Row],[2nd Highest Target]]),"")</f>
        <v>0.3853330791225294</v>
      </c>
      <c r="AT171" s="39" t="str" cm="1">
        <f t="array" ref="AT17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71" s="332" cm="1">
        <f t="array" ref="AU17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1237.9145162611615</v>
      </c>
      <c r="AV171" s="190" t="str" cm="1">
        <f t="array" ref="AV171">IF(tblPiNAnalysis5[[#This Row],[3rd Highest Target]]="", "", _xlfn.TEXTJOIN(CHAR(10), TRUE, IF(tblPiNAnalysis5[[#This Row],[3rd Highest Target]]=tblPiNAnalysis5[[#This Row],[CCCM]:[WASH]], tblPiNAnalysis5[[#Headers],[CCCM]:[WASH]], "")))</f>
        <v>Overarching Protection</v>
      </c>
      <c r="AW171" s="190">
        <f>IFERROR(tblPiNAnalysis5[[#This Row],[3rd Highest Target]]/tblPiNAnalysis5[[#This Row],[Affected population projection 2026]], "")</f>
        <v>0.34883465294586086</v>
      </c>
      <c r="AX171" s="45">
        <f>IFERROR(tblPiNAnalysis5[[#This Row],[Highest Target]]-tblPiNAnalysis5[[#This Row],[3rd Highest Target]],"")</f>
        <v>750.6311431548686</v>
      </c>
      <c r="AY171" s="39">
        <f>IFERROR(tblPiNAnalysis5[[#This Row],[Difference of Target between Highest and 3rd Highest]]/tblPiNAnalysis5[[#This Row],[3rd Highest Target]], "")</f>
        <v>0.60636751027201685</v>
      </c>
      <c r="AZ171" s="330" t="str" cm="1">
        <f t="array" ref="AZ17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71" s="300" t="str" cm="1">
        <f t="array" ref="BA17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1" s="333" t="str" cm="1">
        <f t="array" ref="BB17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1" s="276" t="str" cm="1">
        <f t="array" ref="BC17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1" s="334" t="str" cm="1">
        <f t="array" ref="BD17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71" s="277" t="e">
        <f>INDEX(tblSeverityAnalysis[Final Severity], MATCH(tblPiNAnalysis5[[#This Row],[ID]],tblSeverityAnalysis[ID], 0))</f>
        <v>#N/A</v>
      </c>
      <c r="BF171" s="61" t="e">
        <f>IF(tblPiNAnalysis5[[#This Row],[Severity]]&gt;2,tblPiNAnalysis5[[#This Row],[Highest Target]],)</f>
        <v>#N/A</v>
      </c>
      <c r="BG171" s="191"/>
      <c r="BH171" s="192"/>
      <c r="BI171" s="193">
        <f>COUNTIFS(tblPiNAnalysis5[[#This Row],[Number of missing / zero PiNs greater than threshold - Data quality]:[Manual Flag]],"Flagged")</f>
        <v>3</v>
      </c>
      <c r="BJ171" s="96" t="str">
        <f>IF(tblPiNAnalysis5[[#This Row],['# Flags]]&gt;0, "Flagged", "")</f>
        <v>Flagged</v>
      </c>
      <c r="BK171" s="326" t="e">
        <f>tblPiNAnalysis5[[#This Row],[Preliminary Target]]</f>
        <v>#N/A</v>
      </c>
      <c r="BL171" s="331"/>
    </row>
    <row r="172" spans="1:64" ht="24.6" x14ac:dyDescent="0.55000000000000004">
      <c r="A1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2" s="316" t="s">
        <v>250</v>
      </c>
      <c r="C172" s="317" t="s">
        <v>251</v>
      </c>
      <c r="D172" s="317" t="s">
        <v>258</v>
      </c>
      <c r="E172" s="105" t="s">
        <v>259</v>
      </c>
      <c r="F172" s="100"/>
      <c r="G172" s="34"/>
      <c r="H172" s="34"/>
      <c r="I172" s="97">
        <v>3</v>
      </c>
      <c r="J172" s="97" t="s">
        <v>414</v>
      </c>
      <c r="K172" s="318">
        <v>0</v>
      </c>
      <c r="L172" s="319">
        <v>0.28425</v>
      </c>
      <c r="M172" s="319">
        <v>0.50515292439737713</v>
      </c>
      <c r="N172" s="319">
        <v>0.60360599977676932</v>
      </c>
      <c r="O172" s="319">
        <v>0.37368859055414139</v>
      </c>
      <c r="P172" s="319">
        <v>0.65300468527194944</v>
      </c>
      <c r="Q172" s="320">
        <v>0</v>
      </c>
      <c r="R172" s="319">
        <v>0.3499705412002358</v>
      </c>
      <c r="S172" s="319"/>
      <c r="T172" s="319"/>
      <c r="U172" s="319"/>
      <c r="V172" s="319"/>
      <c r="W172" s="321">
        <f>IFERROR(IF(tblPiNAnalysis5[[#This Row],[CCCM]]="", "", MROUND(tblPiNAnalysis5[[#This Row],[CCCM]]/tblPiNAnalysis5[[#This Row],[Affected population projection 2026]], 0.05)), "")</f>
        <v>0</v>
      </c>
      <c r="X172" s="322">
        <f>IFERROR(IF(tblPiNAnalysis5[[#This Row],[Education]]="", "", MROUND(tblPiNAnalysis5[[#This Row],[Education]]/tblPiNAnalysis5[[#This Row],[Affected population projection 2026]], 0.05)), "")</f>
        <v>0.1</v>
      </c>
      <c r="Y172" s="322">
        <f>IFERROR(IF(tblPiNAnalysis5[[#This Row],[Nutrition]]="", "", MROUND(tblPiNAnalysis5[[#This Row],[Nutrition]]/tblPiNAnalysis5[[#This Row],[Affected population projection 2026]], 0.05)), "")</f>
        <v>0.15000000000000002</v>
      </c>
      <c r="Z172" s="322">
        <f>IFERROR(IF(tblPiNAnalysis5[[#This Row],[Food Security]]="", "", MROUND(tblPiNAnalysis5[[#This Row],[Food Security]]/tblPiNAnalysis5[[#This Row],[Affected population projection 2026]], 0.05)), "")</f>
        <v>0.2</v>
      </c>
      <c r="AA172" s="322">
        <f>IFERROR(IF(tblPiNAnalysis5[[#This Row],[Health]]="", "", MROUND(tblPiNAnalysis5[[#This Row],[Health]]/tblPiNAnalysis5[[#This Row],[Affected population projection 2026]], 0.05)), "")</f>
        <v>0.1</v>
      </c>
      <c r="AB172" s="323">
        <f>IFERROR(IF(tblPiNAnalysis5[[#This Row],[Overarching Protection]]="", "", MROUND(tblPiNAnalysis5[[#This Row],[Overarching Protection]]/tblPiNAnalysis5[[#This Row],[Affected population projection 2026]], 0.05)), "")</f>
        <v>0.2</v>
      </c>
      <c r="AC172" s="323">
        <f>IFERROR(IF(tblPiNAnalysis5[[#This Row],[Shelter]]="", "", MROUND(tblPiNAnalysis5[[#This Row],[Shelter]]/tblPiNAnalysis5[[#This Row],[Affected population projection 2026]], 0.05)), "")</f>
        <v>0</v>
      </c>
      <c r="AD172" s="324">
        <f>IFERROR(IF(tblPiNAnalysis5[[#This Row],[WASH]]="", "", MROUND(tblPiNAnalysis5[[#This Row],[WASH]]/tblPiNAnalysis5[[#This Row],[Affected population projection 2026]], 0.05)), "")</f>
        <v>0.1</v>
      </c>
      <c r="AE172" s="322">
        <f>IFERROR(MROUND(tblPiNAnalysis5[[#This Row],[CP]]/tblPiNAnalysis5[[#This Row],[Affected population projection 2026]], 0.05), "")</f>
        <v>0</v>
      </c>
      <c r="AF172" s="322">
        <f>IFERROR(MROUND(tblPiNAnalysis5[[#This Row],[GBV]]/tblPiNAnalysis5[[#This Row],[Affected population projection 2026]], 0.05), "")</f>
        <v>0</v>
      </c>
      <c r="AG172" s="322">
        <f>IFERROR(MROUND(tblPiNAnalysis5[[#This Row],[Mine Action]]/tblPiNAnalysis5[[#This Row],[Affected population projection 2026]], 0.05), "")</f>
        <v>0</v>
      </c>
      <c r="AH172" s="322">
        <f>IFERROR(MROUND(tblPiNAnalysis5[[#This Row],[HLP]]/tblPiNAnalysis5[[#This Row],[Affected population projection 2026]], 0.05), "")</f>
        <v>0</v>
      </c>
      <c r="AI172" s="325">
        <f>IFERROR(LARGE(tblPiNAnalysis5[[#This Row],[CCCM]:[WASH]], 1), "")</f>
        <v>0.65300468527194944</v>
      </c>
      <c r="AJ172" s="326" t="str" cm="1">
        <f t="array" ref="AJ172">IF(tblPiNAnalysis5[[#This Row],[Highest Target]]="", "", _xlfn.TEXTJOIN(CHAR(10), TRUE, IF(tblPiNAnalysis5[[#This Row],[Highest Target]]=tblPiNAnalysis5[[#This Row],[CCCM]:[WASH]], tblPiNAnalysis5[[#Headers],[CCCM]:[WASH]], "")))</f>
        <v>Overarching Protection</v>
      </c>
      <c r="AK172" s="327">
        <f>IF(tblPiNAnalysis5[[#This Row],[Highest Target]]="", "", tblPiNAnalysis5[[#This Row],[Highest Target]]/tblPiNAnalysis5[[#This Row],[Affected population projection 2026]])</f>
        <v>0.21766822842398315</v>
      </c>
      <c r="AL172" s="328" t="str">
        <f>IF(SUM(tblPiNAnalysis5[[#This Row],[CCCM]:[WASH]])=0, "",IF(COUNTIF(tblPiNAnalysis5[[#This Row],[CCCM]:[WASH]],"=0")+COUNTIF(tblPiNAnalysis5[[#This Row],[CCCM]:[WASH]],"")&gt;=zero_pin_thresh, "Flagged", ""))</f>
        <v>Flagged</v>
      </c>
      <c r="AM172" s="329" t="str">
        <f>IFERROR(IF(tblPiNAnalysis5[[#This Row],[Highest Target]]="", "", IF(tblPiNAnalysis5[[#This Row],[Highest sector(s'') Target %]]&gt;=flag_pin_perc, "Flagged", "")), "")</f>
        <v/>
      </c>
      <c r="AN172" s="330" t="str" cm="1">
        <f t="array" ref="AN172">IF(tblPiNAnalysis5[[#This Row],[Highest Target]]=0, "",  IF(OR(COUNTIF(tblPiNAnalysis5[[#This Row],[Highest sector(s)]],tblSubSectorPopulation[Sector])), "Flagged", ""))</f>
        <v/>
      </c>
      <c r="AO172" s="46" cm="1">
        <f t="array" ref="AO17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0.60360599977676932</v>
      </c>
      <c r="AP172" s="331" t="str" cm="1">
        <f t="array" ref="AP172">IF(tblPiNAnalysis5[[#This Row],[2nd Highest Target]]="", "", _xlfn.TEXTJOIN(CHAR(10), TRUE, IF(tblPiNAnalysis5[[#This Row],[2nd Highest Target]]=tblPiNAnalysis5[[#This Row],[CCCM]:[WASH]], tblPiNAnalysis5[[#Headers],[CCCM]:[WASH]], "")))</f>
        <v>Food Security</v>
      </c>
      <c r="AQ172" s="36">
        <f>IFERROR(tblPiNAnalysis5[[#This Row],[2nd Highest Target]]/tblPiNAnalysis5[[#This Row],[Affected population projection 2026]], "")</f>
        <v>0.20120199992558976</v>
      </c>
      <c r="AR172" s="46">
        <f>IFERROR(tblPiNAnalysis5[[#This Row],[Highest Target]]-tblPiNAnalysis5[[#This Row],[2nd Highest Target]], "")</f>
        <v>4.9398685495180117E-2</v>
      </c>
      <c r="AS172" s="39">
        <f>IFERROR(((tblPiNAnalysis5[[#This Row],[Highest Target]]-tblPiNAnalysis5[[#This Row],[2nd Highest Target]])/tblPiNAnalysis5[[#This Row],[2nd Highest Target]]),"")</f>
        <v>8.1839288399136456E-2</v>
      </c>
      <c r="AT172" s="39" t="str" cm="1">
        <f t="array" ref="AT17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2" s="332" cm="1">
        <f t="array" ref="AU17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0.50515292439737713</v>
      </c>
      <c r="AV172" s="190" t="str" cm="1">
        <f t="array" ref="AV172">IF(tblPiNAnalysis5[[#This Row],[3rd Highest Target]]="", "", _xlfn.TEXTJOIN(CHAR(10), TRUE, IF(tblPiNAnalysis5[[#This Row],[3rd Highest Target]]=tblPiNAnalysis5[[#This Row],[CCCM]:[WASH]], tblPiNAnalysis5[[#Headers],[CCCM]:[WASH]], "")))</f>
        <v>Nutrition</v>
      </c>
      <c r="AW172" s="190">
        <f>IFERROR(tblPiNAnalysis5[[#This Row],[3rd Highest Target]]/tblPiNAnalysis5[[#This Row],[Affected population projection 2026]], "")</f>
        <v>0.16838430813245905</v>
      </c>
      <c r="AX172" s="45">
        <f>IFERROR(tblPiNAnalysis5[[#This Row],[Highest Target]]-tblPiNAnalysis5[[#This Row],[3rd Highest Target]],"")</f>
        <v>0.1478517608745723</v>
      </c>
      <c r="AY172" s="39">
        <f>IFERROR(tblPiNAnalysis5[[#This Row],[Difference of Target between Highest and 3rd Highest]]/tblPiNAnalysis5[[#This Row],[3rd Highest Target]], "")</f>
        <v>0.29268713241827166</v>
      </c>
      <c r="AZ172" s="330" t="str" cm="1">
        <f t="array" ref="AZ17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2" s="300" t="str" cm="1">
        <f t="array" ref="BA17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2" s="333" t="str" cm="1">
        <f t="array" ref="BB17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2" s="276" t="str" cm="1">
        <f t="array" ref="BC17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2" s="334" t="str" cm="1">
        <f t="array" ref="BD17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72" s="277" t="e">
        <f>INDEX(tblSeverityAnalysis[Final Severity], MATCH(tblPiNAnalysis5[[#This Row],[ID]],tblSeverityAnalysis[ID], 0))</f>
        <v>#N/A</v>
      </c>
      <c r="BF172" s="61" t="e">
        <f>IF(tblPiNAnalysis5[[#This Row],[Severity]]&gt;2,tblPiNAnalysis5[[#This Row],[Highest Target]],)</f>
        <v>#N/A</v>
      </c>
      <c r="BG172" s="191"/>
      <c r="BH172" s="192"/>
      <c r="BI172" s="193">
        <f>COUNTIFS(tblPiNAnalysis5[[#This Row],[Number of missing / zero PiNs greater than threshold - Data quality]:[Manual Flag]],"Flagged")</f>
        <v>1</v>
      </c>
      <c r="BJ172" s="96" t="str">
        <f>IF(tblPiNAnalysis5[[#This Row],['# Flags]]&gt;0, "Flagged", "")</f>
        <v>Flagged</v>
      </c>
      <c r="BK172" s="326" t="e">
        <f>tblPiNAnalysis5[[#This Row],[Preliminary Target]]</f>
        <v>#N/A</v>
      </c>
      <c r="BL172" s="331"/>
    </row>
    <row r="173" spans="1:64" x14ac:dyDescent="0.55000000000000004">
      <c r="A1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3" s="316" t="s">
        <v>250</v>
      </c>
      <c r="C173" s="317" t="s">
        <v>251</v>
      </c>
      <c r="D173" s="317" t="s">
        <v>260</v>
      </c>
      <c r="E173" s="105" t="s">
        <v>261</v>
      </c>
      <c r="F173" s="100"/>
      <c r="G173" s="34"/>
      <c r="H173" s="34"/>
      <c r="I173" s="97">
        <v>9189.5714285714294</v>
      </c>
      <c r="J173" s="97" t="s">
        <v>414</v>
      </c>
      <c r="K173" s="318">
        <v>0</v>
      </c>
      <c r="L173" s="319">
        <v>570.55016441428575</v>
      </c>
      <c r="M173" s="319">
        <v>1680.938008268329</v>
      </c>
      <c r="N173" s="319">
        <v>1044.1485460419394</v>
      </c>
      <c r="O173" s="319">
        <v>2018.2348199173564</v>
      </c>
      <c r="P173" s="319">
        <v>1396.7762329485834</v>
      </c>
      <c r="Q173" s="320">
        <v>0</v>
      </c>
      <c r="R173" s="319">
        <v>4109.6623769106409</v>
      </c>
      <c r="S173" s="319"/>
      <c r="T173" s="319"/>
      <c r="U173" s="319"/>
      <c r="V173" s="319"/>
      <c r="W173" s="321">
        <f>IFERROR(IF(tblPiNAnalysis5[[#This Row],[CCCM]]="", "", MROUND(tblPiNAnalysis5[[#This Row],[CCCM]]/tblPiNAnalysis5[[#This Row],[Affected population projection 2026]], 0.05)), "")</f>
        <v>0</v>
      </c>
      <c r="X173" s="322">
        <f>IFERROR(IF(tblPiNAnalysis5[[#This Row],[Education]]="", "", MROUND(tblPiNAnalysis5[[#This Row],[Education]]/tblPiNAnalysis5[[#This Row],[Affected population projection 2026]], 0.05)), "")</f>
        <v>0.05</v>
      </c>
      <c r="Y173" s="322">
        <f>IFERROR(IF(tblPiNAnalysis5[[#This Row],[Nutrition]]="", "", MROUND(tblPiNAnalysis5[[#This Row],[Nutrition]]/tblPiNAnalysis5[[#This Row],[Affected population projection 2026]], 0.05)), "")</f>
        <v>0.2</v>
      </c>
      <c r="Z173" s="322">
        <f>IFERROR(IF(tblPiNAnalysis5[[#This Row],[Food Security]]="", "", MROUND(tblPiNAnalysis5[[#This Row],[Food Security]]/tblPiNAnalysis5[[#This Row],[Affected population projection 2026]], 0.05)), "")</f>
        <v>0.1</v>
      </c>
      <c r="AA173" s="322">
        <f>IFERROR(IF(tblPiNAnalysis5[[#This Row],[Health]]="", "", MROUND(tblPiNAnalysis5[[#This Row],[Health]]/tblPiNAnalysis5[[#This Row],[Affected population projection 2026]], 0.05)), "")</f>
        <v>0.2</v>
      </c>
      <c r="AB173" s="323">
        <f>IFERROR(IF(tblPiNAnalysis5[[#This Row],[Overarching Protection]]="", "", MROUND(tblPiNAnalysis5[[#This Row],[Overarching Protection]]/tblPiNAnalysis5[[#This Row],[Affected population projection 2026]], 0.05)), "")</f>
        <v>0.15000000000000002</v>
      </c>
      <c r="AC173" s="323">
        <f>IFERROR(IF(tblPiNAnalysis5[[#This Row],[Shelter]]="", "", MROUND(tblPiNAnalysis5[[#This Row],[Shelter]]/tblPiNAnalysis5[[#This Row],[Affected population projection 2026]], 0.05)), "")</f>
        <v>0</v>
      </c>
      <c r="AD173" s="324">
        <f>IFERROR(IF(tblPiNAnalysis5[[#This Row],[WASH]]="", "", MROUND(tblPiNAnalysis5[[#This Row],[WASH]]/tblPiNAnalysis5[[#This Row],[Affected population projection 2026]], 0.05)), "")</f>
        <v>0.45</v>
      </c>
      <c r="AE173" s="322">
        <f>IFERROR(MROUND(tblPiNAnalysis5[[#This Row],[CP]]/tblPiNAnalysis5[[#This Row],[Affected population projection 2026]], 0.05), "")</f>
        <v>0</v>
      </c>
      <c r="AF173" s="322">
        <f>IFERROR(MROUND(tblPiNAnalysis5[[#This Row],[GBV]]/tblPiNAnalysis5[[#This Row],[Affected population projection 2026]], 0.05), "")</f>
        <v>0</v>
      </c>
      <c r="AG173" s="322">
        <f>IFERROR(MROUND(tblPiNAnalysis5[[#This Row],[Mine Action]]/tblPiNAnalysis5[[#This Row],[Affected population projection 2026]], 0.05), "")</f>
        <v>0</v>
      </c>
      <c r="AH173" s="322">
        <f>IFERROR(MROUND(tblPiNAnalysis5[[#This Row],[HLP]]/tblPiNAnalysis5[[#This Row],[Affected population projection 2026]], 0.05), "")</f>
        <v>0</v>
      </c>
      <c r="AI173" s="325">
        <f>IFERROR(LARGE(tblPiNAnalysis5[[#This Row],[CCCM]:[WASH]], 1), "")</f>
        <v>4109.6623769106409</v>
      </c>
      <c r="AJ173" s="326" t="str" cm="1">
        <f t="array" ref="AJ173">IF(tblPiNAnalysis5[[#This Row],[Highest Target]]="", "", _xlfn.TEXTJOIN(CHAR(10), TRUE, IF(tblPiNAnalysis5[[#This Row],[Highest Target]]=tblPiNAnalysis5[[#This Row],[CCCM]:[WASH]], tblPiNAnalysis5[[#Headers],[CCCM]:[WASH]], "")))</f>
        <v>WASH</v>
      </c>
      <c r="AK173" s="327">
        <f>IF(tblPiNAnalysis5[[#This Row],[Highest Target]]="", "", tblPiNAnalysis5[[#This Row],[Highest Target]]/tblPiNAnalysis5[[#This Row],[Affected population projection 2026]])</f>
        <v>0.44720936213991769</v>
      </c>
      <c r="AL173" s="328" t="str">
        <f>IF(SUM(tblPiNAnalysis5[[#This Row],[CCCM]:[WASH]])=0, "",IF(COUNTIF(tblPiNAnalysis5[[#This Row],[CCCM]:[WASH]],"=0")+COUNTIF(tblPiNAnalysis5[[#This Row],[CCCM]:[WASH]],"")&gt;=zero_pin_thresh, "Flagged", ""))</f>
        <v>Flagged</v>
      </c>
      <c r="AM173" s="329" t="str">
        <f>IFERROR(IF(tblPiNAnalysis5[[#This Row],[Highest Target]]="", "", IF(tblPiNAnalysis5[[#This Row],[Highest sector(s'') Target %]]&gt;=flag_pin_perc, "Flagged", "")), "")</f>
        <v/>
      </c>
      <c r="AN173" s="330" t="str" cm="1">
        <f t="array" ref="AN173">IF(tblPiNAnalysis5[[#This Row],[Highest Target]]=0, "",  IF(OR(COUNTIF(tblPiNAnalysis5[[#This Row],[Highest sector(s)]],tblSubSectorPopulation[Sector])), "Flagged", ""))</f>
        <v/>
      </c>
      <c r="AO173" s="46" cm="1">
        <f t="array" ref="AO17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2018.2348199173564</v>
      </c>
      <c r="AP173" s="331" t="str" cm="1">
        <f t="array" ref="AP173">IF(tblPiNAnalysis5[[#This Row],[2nd Highest Target]]="", "", _xlfn.TEXTJOIN(CHAR(10), TRUE, IF(tblPiNAnalysis5[[#This Row],[2nd Highest Target]]=tblPiNAnalysis5[[#This Row],[CCCM]:[WASH]], tblPiNAnalysis5[[#Headers],[CCCM]:[WASH]], "")))</f>
        <v>Health</v>
      </c>
      <c r="AQ173" s="36">
        <f>IFERROR(tblPiNAnalysis5[[#This Row],[2nd Highest Target]]/tblPiNAnalysis5[[#This Row],[Affected population projection 2026]], "")</f>
        <v>0.21962230073563968</v>
      </c>
      <c r="AR173" s="46">
        <f>IFERROR(tblPiNAnalysis5[[#This Row],[Highest Target]]-tblPiNAnalysis5[[#This Row],[2nd Highest Target]], "")</f>
        <v>2091.4275569932843</v>
      </c>
      <c r="AS173" s="39">
        <f>IFERROR(((tblPiNAnalysis5[[#This Row],[Highest Target]]-tblPiNAnalysis5[[#This Row],[2nd Highest Target]])/tblPiNAnalysis5[[#This Row],[2nd Highest Target]]),"")</f>
        <v>1.0362657191093974</v>
      </c>
      <c r="AT173" s="39" t="str" cm="1">
        <f t="array" ref="AT17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73" s="332" cm="1">
        <f t="array" ref="AU17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1680.938008268329</v>
      </c>
      <c r="AV173" s="190" t="str" cm="1">
        <f t="array" ref="AV173">IF(tblPiNAnalysis5[[#This Row],[3rd Highest Target]]="", "", _xlfn.TEXTJOIN(CHAR(10), TRUE, IF(tblPiNAnalysis5[[#This Row],[3rd Highest Target]]=tblPiNAnalysis5[[#This Row],[CCCM]:[WASH]], tblPiNAnalysis5[[#Headers],[CCCM]:[WASH]], "")))</f>
        <v>Nutrition</v>
      </c>
      <c r="AW173" s="190">
        <f>IFERROR(tblPiNAnalysis5[[#This Row],[3rd Highest Target]]/tblPiNAnalysis5[[#This Row],[Affected population projection 2026]], "")</f>
        <v>0.18291799800827493</v>
      </c>
      <c r="AX173" s="45">
        <f>IFERROR(tblPiNAnalysis5[[#This Row],[Highest Target]]-tblPiNAnalysis5[[#This Row],[3rd Highest Target]],"")</f>
        <v>2428.7243686423117</v>
      </c>
      <c r="AY173" s="39">
        <f>IFERROR(tblPiNAnalysis5[[#This Row],[Difference of Target between Highest and 3rd Highest]]/tblPiNAnalysis5[[#This Row],[3rd Highest Target]], "")</f>
        <v>1.4448625450169565</v>
      </c>
      <c r="AZ173" s="330" t="str" cm="1">
        <f t="array" ref="AZ17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73" s="300" t="str" cm="1">
        <f t="array" ref="BA17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3" s="333" t="str" cm="1">
        <f t="array" ref="BB17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3" s="276" t="str" cm="1">
        <f t="array" ref="BC17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3" s="334" t="str" cm="1">
        <f t="array" ref="BD17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3" s="277" t="e">
        <f>INDEX(tblSeverityAnalysis[Final Severity], MATCH(tblPiNAnalysis5[[#This Row],[ID]],tblSeverityAnalysis[ID], 0))</f>
        <v>#N/A</v>
      </c>
      <c r="BF173" s="61" t="e">
        <f>IF(tblPiNAnalysis5[[#This Row],[Severity]]&gt;2,tblPiNAnalysis5[[#This Row],[Highest Target]],)</f>
        <v>#N/A</v>
      </c>
      <c r="BG173" s="191"/>
      <c r="BH173" s="192"/>
      <c r="BI173" s="193">
        <f>COUNTIFS(tblPiNAnalysis5[[#This Row],[Number of missing / zero PiNs greater than threshold - Data quality]:[Manual Flag]],"Flagged")</f>
        <v>4</v>
      </c>
      <c r="BJ173" s="96" t="str">
        <f>IF(tblPiNAnalysis5[[#This Row],['# Flags]]&gt;0, "Flagged", "")</f>
        <v>Flagged</v>
      </c>
      <c r="BK173" s="326" t="e">
        <f>tblPiNAnalysis5[[#This Row],[Preliminary Target]]</f>
        <v>#N/A</v>
      </c>
      <c r="BL173" s="331"/>
    </row>
    <row r="174" spans="1:64" ht="24.6" x14ac:dyDescent="0.55000000000000004">
      <c r="A1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4" s="316" t="s">
        <v>250</v>
      </c>
      <c r="C174" s="317" t="s">
        <v>251</v>
      </c>
      <c r="D174" s="317" t="s">
        <v>262</v>
      </c>
      <c r="E174" s="105" t="s">
        <v>263</v>
      </c>
      <c r="F174" s="100"/>
      <c r="G174" s="34"/>
      <c r="H174" s="34"/>
      <c r="I174" s="97">
        <v>5555.8571428571404</v>
      </c>
      <c r="J174" s="97" t="s">
        <v>414</v>
      </c>
      <c r="K174" s="318">
        <v>0</v>
      </c>
      <c r="L174" s="319">
        <v>74.25403071428569</v>
      </c>
      <c r="M174" s="319">
        <v>857.05902333799702</v>
      </c>
      <c r="N174" s="319">
        <v>1080.806529489352</v>
      </c>
      <c r="O174" s="319">
        <v>805.75440914879971</v>
      </c>
      <c r="P174" s="319">
        <v>1009.6031292479264</v>
      </c>
      <c r="Q174" s="320">
        <v>0</v>
      </c>
      <c r="R174" s="319">
        <v>153.28548542948681</v>
      </c>
      <c r="S174" s="319"/>
      <c r="T174" s="319"/>
      <c r="U174" s="319"/>
      <c r="V174" s="319"/>
      <c r="W174" s="321">
        <f>IFERROR(IF(tblPiNAnalysis5[[#This Row],[CCCM]]="", "", MROUND(tblPiNAnalysis5[[#This Row],[CCCM]]/tblPiNAnalysis5[[#This Row],[Affected population projection 2026]], 0.05)), "")</f>
        <v>0</v>
      </c>
      <c r="X174" s="322">
        <f>IFERROR(IF(tblPiNAnalysis5[[#This Row],[Education]]="", "", MROUND(tblPiNAnalysis5[[#This Row],[Education]]/tblPiNAnalysis5[[#This Row],[Affected population projection 2026]], 0.05)), "")</f>
        <v>0</v>
      </c>
      <c r="Y174" s="322">
        <f>IFERROR(IF(tblPiNAnalysis5[[#This Row],[Nutrition]]="", "", MROUND(tblPiNAnalysis5[[#This Row],[Nutrition]]/tblPiNAnalysis5[[#This Row],[Affected population projection 2026]], 0.05)), "")</f>
        <v>0.15000000000000002</v>
      </c>
      <c r="Z174" s="322">
        <f>IFERROR(IF(tblPiNAnalysis5[[#This Row],[Food Security]]="", "", MROUND(tblPiNAnalysis5[[#This Row],[Food Security]]/tblPiNAnalysis5[[#This Row],[Affected population projection 2026]], 0.05)), "")</f>
        <v>0.2</v>
      </c>
      <c r="AA174" s="322">
        <f>IFERROR(IF(tblPiNAnalysis5[[#This Row],[Health]]="", "", MROUND(tblPiNAnalysis5[[#This Row],[Health]]/tblPiNAnalysis5[[#This Row],[Affected population projection 2026]], 0.05)), "")</f>
        <v>0.15000000000000002</v>
      </c>
      <c r="AB174" s="323">
        <f>IFERROR(IF(tblPiNAnalysis5[[#This Row],[Overarching Protection]]="", "", MROUND(tblPiNAnalysis5[[#This Row],[Overarching Protection]]/tblPiNAnalysis5[[#This Row],[Affected population projection 2026]], 0.05)), "")</f>
        <v>0.2</v>
      </c>
      <c r="AC174" s="323">
        <f>IFERROR(IF(tblPiNAnalysis5[[#This Row],[Shelter]]="", "", MROUND(tblPiNAnalysis5[[#This Row],[Shelter]]/tblPiNAnalysis5[[#This Row],[Affected population projection 2026]], 0.05)), "")</f>
        <v>0</v>
      </c>
      <c r="AD174" s="324">
        <f>IFERROR(IF(tblPiNAnalysis5[[#This Row],[WASH]]="", "", MROUND(tblPiNAnalysis5[[#This Row],[WASH]]/tblPiNAnalysis5[[#This Row],[Affected population projection 2026]], 0.05)), "")</f>
        <v>0.05</v>
      </c>
      <c r="AE174" s="322">
        <f>IFERROR(MROUND(tblPiNAnalysis5[[#This Row],[CP]]/tblPiNAnalysis5[[#This Row],[Affected population projection 2026]], 0.05), "")</f>
        <v>0</v>
      </c>
      <c r="AF174" s="322">
        <f>IFERROR(MROUND(tblPiNAnalysis5[[#This Row],[GBV]]/tblPiNAnalysis5[[#This Row],[Affected population projection 2026]], 0.05), "")</f>
        <v>0</v>
      </c>
      <c r="AG174" s="322">
        <f>IFERROR(MROUND(tblPiNAnalysis5[[#This Row],[Mine Action]]/tblPiNAnalysis5[[#This Row],[Affected population projection 2026]], 0.05), "")</f>
        <v>0</v>
      </c>
      <c r="AH174" s="322">
        <f>IFERROR(MROUND(tblPiNAnalysis5[[#This Row],[HLP]]/tblPiNAnalysis5[[#This Row],[Affected population projection 2026]], 0.05), "")</f>
        <v>0</v>
      </c>
      <c r="AI174" s="325">
        <f>IFERROR(LARGE(tblPiNAnalysis5[[#This Row],[CCCM]:[WASH]], 1), "")</f>
        <v>1080.806529489352</v>
      </c>
      <c r="AJ174" s="326" t="str" cm="1">
        <f t="array" ref="AJ174">IF(tblPiNAnalysis5[[#This Row],[Highest Target]]="", "", _xlfn.TEXTJOIN(CHAR(10), TRUE, IF(tblPiNAnalysis5[[#This Row],[Highest Target]]=tblPiNAnalysis5[[#This Row],[CCCM]:[WASH]], tblPiNAnalysis5[[#Headers],[CCCM]:[WASH]], "")))</f>
        <v>Food Security</v>
      </c>
      <c r="AK174" s="327">
        <f>IF(tblPiNAnalysis5[[#This Row],[Highest Target]]="", "", tblPiNAnalysis5[[#This Row],[Highest Target]]/tblPiNAnalysis5[[#This Row],[Affected population projection 2026]])</f>
        <v>0.1945346148575626</v>
      </c>
      <c r="AL174" s="328" t="str">
        <f>IF(SUM(tblPiNAnalysis5[[#This Row],[CCCM]:[WASH]])=0, "",IF(COUNTIF(tblPiNAnalysis5[[#This Row],[CCCM]:[WASH]],"=0")+COUNTIF(tblPiNAnalysis5[[#This Row],[CCCM]:[WASH]],"")&gt;=zero_pin_thresh, "Flagged", ""))</f>
        <v>Flagged</v>
      </c>
      <c r="AM174" s="329" t="str">
        <f>IFERROR(IF(tblPiNAnalysis5[[#This Row],[Highest Target]]="", "", IF(tblPiNAnalysis5[[#This Row],[Highest sector(s'') Target %]]&gt;=flag_pin_perc, "Flagged", "")), "")</f>
        <v/>
      </c>
      <c r="AN174" s="330" t="str" cm="1">
        <f t="array" ref="AN174">IF(tblPiNAnalysis5[[#This Row],[Highest Target]]=0, "",  IF(OR(COUNTIF(tblPiNAnalysis5[[#This Row],[Highest sector(s)]],tblSubSectorPopulation[Sector])), "Flagged", ""))</f>
        <v/>
      </c>
      <c r="AO174" s="46" cm="1">
        <f t="array" ref="AO17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1009.6031292479264</v>
      </c>
      <c r="AP174" s="331" t="str" cm="1">
        <f t="array" ref="AP174">IF(tblPiNAnalysis5[[#This Row],[2nd Highest Target]]="", "", _xlfn.TEXTJOIN(CHAR(10), TRUE, IF(tblPiNAnalysis5[[#This Row],[2nd Highest Target]]=tblPiNAnalysis5[[#This Row],[CCCM]:[WASH]], tblPiNAnalysis5[[#Headers],[CCCM]:[WASH]], "")))</f>
        <v>Overarching Protection</v>
      </c>
      <c r="AQ174" s="36">
        <f>IFERROR(tblPiNAnalysis5[[#This Row],[2nd Highest Target]]/tblPiNAnalysis5[[#This Row],[Affected population projection 2026]], "")</f>
        <v>0.18171869853527778</v>
      </c>
      <c r="AR174" s="46">
        <f>IFERROR(tblPiNAnalysis5[[#This Row],[Highest Target]]-tblPiNAnalysis5[[#This Row],[2nd Highest Target]], "")</f>
        <v>71.203400241425584</v>
      </c>
      <c r="AS174" s="39">
        <f>IFERROR(((tblPiNAnalysis5[[#This Row],[Highest Target]]-tblPiNAnalysis5[[#This Row],[2nd Highest Target]])/tblPiNAnalysis5[[#This Row],[2nd Highest Target]]),"")</f>
        <v>7.05261287120479E-2</v>
      </c>
      <c r="AT174" s="39" t="str" cm="1">
        <f t="array" ref="AT17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4" s="332" cm="1">
        <f t="array" ref="AU17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857.05902333799702</v>
      </c>
      <c r="AV174" s="190" t="str" cm="1">
        <f t="array" ref="AV174">IF(tblPiNAnalysis5[[#This Row],[3rd Highest Target]]="", "", _xlfn.TEXTJOIN(CHAR(10), TRUE, IF(tblPiNAnalysis5[[#This Row],[3rd Highest Target]]=tblPiNAnalysis5[[#This Row],[CCCM]:[WASH]], tblPiNAnalysis5[[#Headers],[CCCM]:[WASH]], "")))</f>
        <v>Nutrition</v>
      </c>
      <c r="AW174" s="190">
        <f>IFERROR(tblPiNAnalysis5[[#This Row],[3rd Highest Target]]/tblPiNAnalysis5[[#This Row],[Affected population projection 2026]], "")</f>
        <v>0.1542622499644129</v>
      </c>
      <c r="AX174" s="45">
        <f>IFERROR(tblPiNAnalysis5[[#This Row],[Highest Target]]-tblPiNAnalysis5[[#This Row],[3rd Highest Target]],"")</f>
        <v>223.74750615135497</v>
      </c>
      <c r="AY174" s="39">
        <f>IFERROR(tblPiNAnalysis5[[#This Row],[Difference of Target between Highest and 3rd Highest]]/tblPiNAnalysis5[[#This Row],[3rd Highest Target]], "")</f>
        <v>0.26106429085819916</v>
      </c>
      <c r="AZ174" s="330" t="str" cm="1">
        <f t="array" ref="AZ17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4" s="300" t="str" cm="1">
        <f t="array" ref="BA17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4" s="333" t="str" cm="1">
        <f t="array" ref="BB17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4" s="276" t="str" cm="1">
        <f t="array" ref="BC17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4" s="334" t="str" cm="1">
        <f t="array" ref="BD17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74" s="277" t="e">
        <f>INDEX(tblSeverityAnalysis[Final Severity], MATCH(tblPiNAnalysis5[[#This Row],[ID]],tblSeverityAnalysis[ID], 0))</f>
        <v>#N/A</v>
      </c>
      <c r="BF174" s="61" t="e">
        <f>IF(tblPiNAnalysis5[[#This Row],[Severity]]&gt;2,tblPiNAnalysis5[[#This Row],[Highest Target]],)</f>
        <v>#N/A</v>
      </c>
      <c r="BG174" s="191"/>
      <c r="BH174" s="192"/>
      <c r="BI174" s="193">
        <f>COUNTIFS(tblPiNAnalysis5[[#This Row],[Number of missing / zero PiNs greater than threshold - Data quality]:[Manual Flag]],"Flagged")</f>
        <v>1</v>
      </c>
      <c r="BJ174" s="96" t="str">
        <f>IF(tblPiNAnalysis5[[#This Row],['# Flags]]&gt;0, "Flagged", "")</f>
        <v>Flagged</v>
      </c>
      <c r="BK174" s="326" t="e">
        <f>tblPiNAnalysis5[[#This Row],[Preliminary Target]]</f>
        <v>#N/A</v>
      </c>
      <c r="BL174" s="331"/>
    </row>
    <row r="175" spans="1:64" ht="110.7" x14ac:dyDescent="0.55000000000000004">
      <c r="A1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5" s="316" t="s">
        <v>250</v>
      </c>
      <c r="C175" s="317" t="s">
        <v>251</v>
      </c>
      <c r="D175" s="317" t="s">
        <v>264</v>
      </c>
      <c r="E175" s="105" t="s">
        <v>265</v>
      </c>
      <c r="F175" s="100"/>
      <c r="G175" s="34"/>
      <c r="H175" s="34"/>
      <c r="I175" s="97">
        <v>33159.142857142899</v>
      </c>
      <c r="J175" s="97" t="s">
        <v>414</v>
      </c>
      <c r="K175" s="318">
        <v>0</v>
      </c>
      <c r="L175" s="319">
        <v>0</v>
      </c>
      <c r="M175" s="319">
        <v>0</v>
      </c>
      <c r="N175" s="319">
        <v>0</v>
      </c>
      <c r="O175" s="319">
        <v>0</v>
      </c>
      <c r="P175" s="319">
        <v>0</v>
      </c>
      <c r="Q175" s="320">
        <v>0</v>
      </c>
      <c r="R175" s="319">
        <v>0</v>
      </c>
      <c r="S175" s="319"/>
      <c r="T175" s="319"/>
      <c r="U175" s="319"/>
      <c r="V175" s="319"/>
      <c r="W175" s="321">
        <f>IFERROR(IF(tblPiNAnalysis5[[#This Row],[CCCM]]="", "", MROUND(tblPiNAnalysis5[[#This Row],[CCCM]]/tblPiNAnalysis5[[#This Row],[Affected population projection 2026]], 0.05)), "")</f>
        <v>0</v>
      </c>
      <c r="X175" s="322">
        <f>IFERROR(IF(tblPiNAnalysis5[[#This Row],[Education]]="", "", MROUND(tblPiNAnalysis5[[#This Row],[Education]]/tblPiNAnalysis5[[#This Row],[Affected population projection 2026]], 0.05)), "")</f>
        <v>0</v>
      </c>
      <c r="Y175" s="322">
        <f>IFERROR(IF(tblPiNAnalysis5[[#This Row],[Nutrition]]="", "", MROUND(tblPiNAnalysis5[[#This Row],[Nutrition]]/tblPiNAnalysis5[[#This Row],[Affected population projection 2026]], 0.05)), "")</f>
        <v>0</v>
      </c>
      <c r="Z175" s="322">
        <f>IFERROR(IF(tblPiNAnalysis5[[#This Row],[Food Security]]="", "", MROUND(tblPiNAnalysis5[[#This Row],[Food Security]]/tblPiNAnalysis5[[#This Row],[Affected population projection 2026]], 0.05)), "")</f>
        <v>0</v>
      </c>
      <c r="AA175" s="322">
        <f>IFERROR(IF(tblPiNAnalysis5[[#This Row],[Health]]="", "", MROUND(tblPiNAnalysis5[[#This Row],[Health]]/tblPiNAnalysis5[[#This Row],[Affected population projection 2026]], 0.05)), "")</f>
        <v>0</v>
      </c>
      <c r="AB175" s="323">
        <f>IFERROR(IF(tblPiNAnalysis5[[#This Row],[Overarching Protection]]="", "", MROUND(tblPiNAnalysis5[[#This Row],[Overarching Protection]]/tblPiNAnalysis5[[#This Row],[Affected population projection 2026]], 0.05)), "")</f>
        <v>0</v>
      </c>
      <c r="AC175" s="323">
        <f>IFERROR(IF(tblPiNAnalysis5[[#This Row],[Shelter]]="", "", MROUND(tblPiNAnalysis5[[#This Row],[Shelter]]/tblPiNAnalysis5[[#This Row],[Affected population projection 2026]], 0.05)), "")</f>
        <v>0</v>
      </c>
      <c r="AD175" s="324">
        <f>IFERROR(IF(tblPiNAnalysis5[[#This Row],[WASH]]="", "", MROUND(tblPiNAnalysis5[[#This Row],[WASH]]/tblPiNAnalysis5[[#This Row],[Affected population projection 2026]], 0.05)), "")</f>
        <v>0</v>
      </c>
      <c r="AE175" s="322">
        <f>IFERROR(MROUND(tblPiNAnalysis5[[#This Row],[CP]]/tblPiNAnalysis5[[#This Row],[Affected population projection 2026]], 0.05), "")</f>
        <v>0</v>
      </c>
      <c r="AF175" s="322">
        <f>IFERROR(MROUND(tblPiNAnalysis5[[#This Row],[GBV]]/tblPiNAnalysis5[[#This Row],[Affected population projection 2026]], 0.05), "")</f>
        <v>0</v>
      </c>
      <c r="AG175" s="322">
        <f>IFERROR(MROUND(tblPiNAnalysis5[[#This Row],[Mine Action]]/tblPiNAnalysis5[[#This Row],[Affected population projection 2026]], 0.05), "")</f>
        <v>0</v>
      </c>
      <c r="AH175" s="322">
        <f>IFERROR(MROUND(tblPiNAnalysis5[[#This Row],[HLP]]/tblPiNAnalysis5[[#This Row],[Affected population projection 2026]], 0.05), "")</f>
        <v>0</v>
      </c>
      <c r="AI175" s="325">
        <f>IFERROR(LARGE(tblPiNAnalysis5[[#This Row],[CCCM]:[WASH]], 1), "")</f>
        <v>0</v>
      </c>
      <c r="AJ175" s="326" t="str" cm="1">
        <f t="array" ref="AJ175">IF(tblPiNAnalysis5[[#This Row],[Highest Target]]="", "", _xlfn.TEXTJOIN(CHAR(10), TRUE, IF(tblPiNAnalysis5[[#This Row],[Highest Target]]=tblPiNAnalysis5[[#This Row],[CCCM]:[WASH]], tblPiNAnalysis5[[#Headers],[CCCM]:[WASH]], "")))</f>
        <v>CCCM
Education
Nutrition
Food Security
Health
Overarching Protection
Shelter
WASH</v>
      </c>
      <c r="AK175" s="327">
        <f>IF(tblPiNAnalysis5[[#This Row],[Highest Target]]="", "", tblPiNAnalysis5[[#This Row],[Highest Target]]/tblPiNAnalysis5[[#This Row],[Affected population projection 2026]])</f>
        <v>0</v>
      </c>
      <c r="AL175" s="328" t="str">
        <f>IF(SUM(tblPiNAnalysis5[[#This Row],[CCCM]:[WASH]])=0, "",IF(COUNTIF(tblPiNAnalysis5[[#This Row],[CCCM]:[WASH]],"=0")+COUNTIF(tblPiNAnalysis5[[#This Row],[CCCM]:[WASH]],"")&gt;=zero_pin_thresh, "Flagged", ""))</f>
        <v/>
      </c>
      <c r="AM175" s="329" t="str">
        <f>IFERROR(IF(tblPiNAnalysis5[[#This Row],[Highest Target]]="", "", IF(tblPiNAnalysis5[[#This Row],[Highest sector(s'') Target %]]&gt;=flag_pin_perc, "Flagged", "")), "")</f>
        <v/>
      </c>
      <c r="AN175" s="330" t="str" cm="1">
        <f t="array" ref="AN175">IF(tblPiNAnalysis5[[#This Row],[Highest Target]]=0, "",  IF(OR(COUNTIF(tblPiNAnalysis5[[#This Row],[Highest sector(s)]],tblSubSectorPopulation[Sector])), "Flagged", ""))</f>
        <v/>
      </c>
      <c r="AO175" s="46" cm="1">
        <f t="array" ref="AO17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75" s="331" t="str" cm="1">
        <f t="array" ref="AP175">IF(tblPiNAnalysis5[[#This Row],[2nd Highest Target]]="", "", _xlfn.TEXTJOIN(CHAR(10), TRUE, IF(tblPiNAnalysis5[[#This Row],[2nd Highest Target]]=tblPiNAnalysis5[[#This Row],[CCCM]:[WASH]], tblPiNAnalysis5[[#Headers],[CCCM]:[WASH]], "")))</f>
        <v>CCCM
Education
Nutrition
Food Security
Health
Overarching Protection
Shelter
WASH</v>
      </c>
      <c r="AQ175" s="36">
        <f>IFERROR(tblPiNAnalysis5[[#This Row],[2nd Highest Target]]/tblPiNAnalysis5[[#This Row],[Affected population projection 2026]], "")</f>
        <v>0</v>
      </c>
      <c r="AR175" s="46">
        <f>IFERROR(tblPiNAnalysis5[[#This Row],[Highest Target]]-tblPiNAnalysis5[[#This Row],[2nd Highest Target]], "")</f>
        <v>0</v>
      </c>
      <c r="AS175" s="39" t="str">
        <f>IFERROR(((tblPiNAnalysis5[[#This Row],[Highest Target]]-tblPiNAnalysis5[[#This Row],[2nd Highest Target]])/tblPiNAnalysis5[[#This Row],[2nd Highest Target]]),"")</f>
        <v/>
      </c>
      <c r="AT175" s="39" t="str" cm="1">
        <f t="array" ref="AT17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5" s="332" cm="1">
        <f t="array" ref="AU17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75" s="190" t="str" cm="1">
        <f t="array" ref="AV175">IF(tblPiNAnalysis5[[#This Row],[3rd Highest Target]]="", "", _xlfn.TEXTJOIN(CHAR(10), TRUE, IF(tblPiNAnalysis5[[#This Row],[3rd Highest Target]]=tblPiNAnalysis5[[#This Row],[CCCM]:[WASH]], tblPiNAnalysis5[[#Headers],[CCCM]:[WASH]], "")))</f>
        <v>CCCM
Education
Nutrition
Food Security
Health
Overarching Protection
Shelter
WASH</v>
      </c>
      <c r="AW175" s="190">
        <f>IFERROR(tblPiNAnalysis5[[#This Row],[3rd Highest Target]]/tblPiNAnalysis5[[#This Row],[Affected population projection 2026]], "")</f>
        <v>0</v>
      </c>
      <c r="AX175" s="45">
        <f>IFERROR(tblPiNAnalysis5[[#This Row],[Highest Target]]-tblPiNAnalysis5[[#This Row],[3rd Highest Target]],"")</f>
        <v>0</v>
      </c>
      <c r="AY175" s="39" t="str">
        <f>IFERROR(tblPiNAnalysis5[[#This Row],[Difference of Target between Highest and 3rd Highest]]/tblPiNAnalysis5[[#This Row],[3rd Highest Target]], "")</f>
        <v/>
      </c>
      <c r="AZ175" s="330" t="str" cm="1">
        <f t="array" ref="AZ17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5" s="300" t="str" cm="1">
        <f t="array" ref="BA17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5" s="333" t="str" cm="1">
        <f t="array" ref="BB17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75" s="276" t="str" cm="1">
        <f t="array" ref="BC17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5" s="334" t="str" cm="1">
        <f t="array" ref="BD17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5" s="277" t="e">
        <f>INDEX(tblSeverityAnalysis[Final Severity], MATCH(tblPiNAnalysis5[[#This Row],[ID]],tblSeverityAnalysis[ID], 0))</f>
        <v>#N/A</v>
      </c>
      <c r="BF175" s="61" t="e">
        <f>IF(tblPiNAnalysis5[[#This Row],[Severity]]&gt;2,tblPiNAnalysis5[[#This Row],[Highest Target]],)</f>
        <v>#N/A</v>
      </c>
      <c r="BG175" s="191"/>
      <c r="BH175" s="192"/>
      <c r="BI175" s="193">
        <f>COUNTIFS(tblPiNAnalysis5[[#This Row],[Number of missing / zero PiNs greater than threshold - Data quality]:[Manual Flag]],"Flagged")</f>
        <v>2</v>
      </c>
      <c r="BJ175" s="96" t="str">
        <f>IF(tblPiNAnalysis5[[#This Row],['# Flags]]&gt;0, "Flagged", "")</f>
        <v>Flagged</v>
      </c>
      <c r="BK175" s="326" t="e">
        <f>tblPiNAnalysis5[[#This Row],[Preliminary Target]]</f>
        <v>#N/A</v>
      </c>
      <c r="BL175" s="331"/>
    </row>
    <row r="176" spans="1:64" ht="110.7" x14ac:dyDescent="0.55000000000000004">
      <c r="A1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6" s="316" t="s">
        <v>250</v>
      </c>
      <c r="C176" s="317" t="s">
        <v>251</v>
      </c>
      <c r="D176" s="317" t="s">
        <v>266</v>
      </c>
      <c r="E176" s="105" t="s">
        <v>267</v>
      </c>
      <c r="F176" s="100"/>
      <c r="G176" s="34"/>
      <c r="H176" s="34"/>
      <c r="I176" s="97">
        <v>9209.5714285714294</v>
      </c>
      <c r="J176" s="97" t="s">
        <v>414</v>
      </c>
      <c r="K176" s="318">
        <v>0</v>
      </c>
      <c r="L176" s="319">
        <v>0</v>
      </c>
      <c r="M176" s="319">
        <v>0</v>
      </c>
      <c r="N176" s="319">
        <v>0</v>
      </c>
      <c r="O176" s="319">
        <v>0</v>
      </c>
      <c r="P176" s="319">
        <v>0</v>
      </c>
      <c r="Q176" s="320">
        <v>0</v>
      </c>
      <c r="R176" s="319">
        <v>0</v>
      </c>
      <c r="S176" s="319"/>
      <c r="T176" s="319"/>
      <c r="U176" s="319"/>
      <c r="V176" s="319"/>
      <c r="W176" s="321">
        <f>IFERROR(IF(tblPiNAnalysis5[[#This Row],[CCCM]]="", "", MROUND(tblPiNAnalysis5[[#This Row],[CCCM]]/tblPiNAnalysis5[[#This Row],[Affected population projection 2026]], 0.05)), "")</f>
        <v>0</v>
      </c>
      <c r="X176" s="322">
        <f>IFERROR(IF(tblPiNAnalysis5[[#This Row],[Education]]="", "", MROUND(tblPiNAnalysis5[[#This Row],[Education]]/tblPiNAnalysis5[[#This Row],[Affected population projection 2026]], 0.05)), "")</f>
        <v>0</v>
      </c>
      <c r="Y176" s="322">
        <f>IFERROR(IF(tblPiNAnalysis5[[#This Row],[Nutrition]]="", "", MROUND(tblPiNAnalysis5[[#This Row],[Nutrition]]/tblPiNAnalysis5[[#This Row],[Affected population projection 2026]], 0.05)), "")</f>
        <v>0</v>
      </c>
      <c r="Z176" s="322">
        <f>IFERROR(IF(tblPiNAnalysis5[[#This Row],[Food Security]]="", "", MROUND(tblPiNAnalysis5[[#This Row],[Food Security]]/tblPiNAnalysis5[[#This Row],[Affected population projection 2026]], 0.05)), "")</f>
        <v>0</v>
      </c>
      <c r="AA176" s="322">
        <f>IFERROR(IF(tblPiNAnalysis5[[#This Row],[Health]]="", "", MROUND(tblPiNAnalysis5[[#This Row],[Health]]/tblPiNAnalysis5[[#This Row],[Affected population projection 2026]], 0.05)), "")</f>
        <v>0</v>
      </c>
      <c r="AB176" s="323">
        <f>IFERROR(IF(tblPiNAnalysis5[[#This Row],[Overarching Protection]]="", "", MROUND(tblPiNAnalysis5[[#This Row],[Overarching Protection]]/tblPiNAnalysis5[[#This Row],[Affected population projection 2026]], 0.05)), "")</f>
        <v>0</v>
      </c>
      <c r="AC176" s="323">
        <f>IFERROR(IF(tblPiNAnalysis5[[#This Row],[Shelter]]="", "", MROUND(tblPiNAnalysis5[[#This Row],[Shelter]]/tblPiNAnalysis5[[#This Row],[Affected population projection 2026]], 0.05)), "")</f>
        <v>0</v>
      </c>
      <c r="AD176" s="324">
        <f>IFERROR(IF(tblPiNAnalysis5[[#This Row],[WASH]]="", "", MROUND(tblPiNAnalysis5[[#This Row],[WASH]]/tblPiNAnalysis5[[#This Row],[Affected population projection 2026]], 0.05)), "")</f>
        <v>0</v>
      </c>
      <c r="AE176" s="322">
        <f>IFERROR(MROUND(tblPiNAnalysis5[[#This Row],[CP]]/tblPiNAnalysis5[[#This Row],[Affected population projection 2026]], 0.05), "")</f>
        <v>0</v>
      </c>
      <c r="AF176" s="322">
        <f>IFERROR(MROUND(tblPiNAnalysis5[[#This Row],[GBV]]/tblPiNAnalysis5[[#This Row],[Affected population projection 2026]], 0.05), "")</f>
        <v>0</v>
      </c>
      <c r="AG176" s="322">
        <f>IFERROR(MROUND(tblPiNAnalysis5[[#This Row],[Mine Action]]/tblPiNAnalysis5[[#This Row],[Affected population projection 2026]], 0.05), "")</f>
        <v>0</v>
      </c>
      <c r="AH176" s="322">
        <f>IFERROR(MROUND(tblPiNAnalysis5[[#This Row],[HLP]]/tblPiNAnalysis5[[#This Row],[Affected population projection 2026]], 0.05), "")</f>
        <v>0</v>
      </c>
      <c r="AI176" s="325">
        <f>IFERROR(LARGE(tblPiNAnalysis5[[#This Row],[CCCM]:[WASH]], 1), "")</f>
        <v>0</v>
      </c>
      <c r="AJ176" s="326" t="str" cm="1">
        <f t="array" ref="AJ176">IF(tblPiNAnalysis5[[#This Row],[Highest Target]]="", "", _xlfn.TEXTJOIN(CHAR(10), TRUE, IF(tblPiNAnalysis5[[#This Row],[Highest Target]]=tblPiNAnalysis5[[#This Row],[CCCM]:[WASH]], tblPiNAnalysis5[[#Headers],[CCCM]:[WASH]], "")))</f>
        <v>CCCM
Education
Nutrition
Food Security
Health
Overarching Protection
Shelter
WASH</v>
      </c>
      <c r="AK176" s="327">
        <f>IF(tblPiNAnalysis5[[#This Row],[Highest Target]]="", "", tblPiNAnalysis5[[#This Row],[Highest Target]]/tblPiNAnalysis5[[#This Row],[Affected population projection 2026]])</f>
        <v>0</v>
      </c>
      <c r="AL176" s="328" t="str">
        <f>IF(SUM(tblPiNAnalysis5[[#This Row],[CCCM]:[WASH]])=0, "",IF(COUNTIF(tblPiNAnalysis5[[#This Row],[CCCM]:[WASH]],"=0")+COUNTIF(tblPiNAnalysis5[[#This Row],[CCCM]:[WASH]],"")&gt;=zero_pin_thresh, "Flagged", ""))</f>
        <v/>
      </c>
      <c r="AM176" s="329" t="str">
        <f>IFERROR(IF(tblPiNAnalysis5[[#This Row],[Highest Target]]="", "", IF(tblPiNAnalysis5[[#This Row],[Highest sector(s'') Target %]]&gt;=flag_pin_perc, "Flagged", "")), "")</f>
        <v/>
      </c>
      <c r="AN176" s="330" t="str" cm="1">
        <f t="array" ref="AN176">IF(tblPiNAnalysis5[[#This Row],[Highest Target]]=0, "",  IF(OR(COUNTIF(tblPiNAnalysis5[[#This Row],[Highest sector(s)]],tblSubSectorPopulation[Sector])), "Flagged", ""))</f>
        <v/>
      </c>
      <c r="AO176" s="46" cm="1">
        <f t="array" ref="AO17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76" s="331" t="str" cm="1">
        <f t="array" ref="AP176">IF(tblPiNAnalysis5[[#This Row],[2nd Highest Target]]="", "", _xlfn.TEXTJOIN(CHAR(10), TRUE, IF(tblPiNAnalysis5[[#This Row],[2nd Highest Target]]=tblPiNAnalysis5[[#This Row],[CCCM]:[WASH]], tblPiNAnalysis5[[#Headers],[CCCM]:[WASH]], "")))</f>
        <v>CCCM
Education
Nutrition
Food Security
Health
Overarching Protection
Shelter
WASH</v>
      </c>
      <c r="AQ176" s="36">
        <f>IFERROR(tblPiNAnalysis5[[#This Row],[2nd Highest Target]]/tblPiNAnalysis5[[#This Row],[Affected population projection 2026]], "")</f>
        <v>0</v>
      </c>
      <c r="AR176" s="46">
        <f>IFERROR(tblPiNAnalysis5[[#This Row],[Highest Target]]-tblPiNAnalysis5[[#This Row],[2nd Highest Target]], "")</f>
        <v>0</v>
      </c>
      <c r="AS176" s="39" t="str">
        <f>IFERROR(((tblPiNAnalysis5[[#This Row],[Highest Target]]-tblPiNAnalysis5[[#This Row],[2nd Highest Target]])/tblPiNAnalysis5[[#This Row],[2nd Highest Target]]),"")</f>
        <v/>
      </c>
      <c r="AT176" s="39" t="str" cm="1">
        <f t="array" ref="AT17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6" s="332" cm="1">
        <f t="array" ref="AU17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76" s="190" t="str" cm="1">
        <f t="array" ref="AV176">IF(tblPiNAnalysis5[[#This Row],[3rd Highest Target]]="", "", _xlfn.TEXTJOIN(CHAR(10), TRUE, IF(tblPiNAnalysis5[[#This Row],[3rd Highest Target]]=tblPiNAnalysis5[[#This Row],[CCCM]:[WASH]], tblPiNAnalysis5[[#Headers],[CCCM]:[WASH]], "")))</f>
        <v>CCCM
Education
Nutrition
Food Security
Health
Overarching Protection
Shelter
WASH</v>
      </c>
      <c r="AW176" s="190">
        <f>IFERROR(tblPiNAnalysis5[[#This Row],[3rd Highest Target]]/tblPiNAnalysis5[[#This Row],[Affected population projection 2026]], "")</f>
        <v>0</v>
      </c>
      <c r="AX176" s="45">
        <f>IFERROR(tblPiNAnalysis5[[#This Row],[Highest Target]]-tblPiNAnalysis5[[#This Row],[3rd Highest Target]],"")</f>
        <v>0</v>
      </c>
      <c r="AY176" s="39" t="str">
        <f>IFERROR(tblPiNAnalysis5[[#This Row],[Difference of Target between Highest and 3rd Highest]]/tblPiNAnalysis5[[#This Row],[3rd Highest Target]], "")</f>
        <v/>
      </c>
      <c r="AZ176" s="330" t="str" cm="1">
        <f t="array" ref="AZ17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6" s="300" t="str" cm="1">
        <f t="array" ref="BA17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6" s="333" t="str" cm="1">
        <f t="array" ref="BB17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76" s="276" t="str" cm="1">
        <f t="array" ref="BC17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6" s="334" t="str" cm="1">
        <f t="array" ref="BD17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6" s="277" t="e">
        <f>INDEX(tblSeverityAnalysis[Final Severity], MATCH(tblPiNAnalysis5[[#This Row],[ID]],tblSeverityAnalysis[ID], 0))</f>
        <v>#N/A</v>
      </c>
      <c r="BF176" s="61" t="e">
        <f>IF(tblPiNAnalysis5[[#This Row],[Severity]]&gt;2,tblPiNAnalysis5[[#This Row],[Highest Target]],)</f>
        <v>#N/A</v>
      </c>
      <c r="BG176" s="191"/>
      <c r="BH176" s="192"/>
      <c r="BI176" s="193">
        <f>COUNTIFS(tblPiNAnalysis5[[#This Row],[Number of missing / zero PiNs greater than threshold - Data quality]:[Manual Flag]],"Flagged")</f>
        <v>2</v>
      </c>
      <c r="BJ176" s="96" t="str">
        <f>IF(tblPiNAnalysis5[[#This Row],['# Flags]]&gt;0, "Flagged", "")</f>
        <v>Flagged</v>
      </c>
      <c r="BK176" s="326" t="e">
        <f>tblPiNAnalysis5[[#This Row],[Preliminary Target]]</f>
        <v>#N/A</v>
      </c>
      <c r="BL176" s="331"/>
    </row>
    <row r="177" spans="1:64" x14ac:dyDescent="0.55000000000000004">
      <c r="A1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7" s="316" t="s">
        <v>268</v>
      </c>
      <c r="C177" s="317" t="s">
        <v>269</v>
      </c>
      <c r="D177" s="317" t="s">
        <v>270</v>
      </c>
      <c r="E177" s="105" t="s">
        <v>271</v>
      </c>
      <c r="F177" s="100"/>
      <c r="G177" s="34"/>
      <c r="H177" s="34"/>
      <c r="I177" s="97">
        <v>6904.2601395402035</v>
      </c>
      <c r="J177" s="97" t="s">
        <v>414</v>
      </c>
      <c r="K177" s="318">
        <v>16657</v>
      </c>
      <c r="L177" s="319">
        <v>1361.7410358417935</v>
      </c>
      <c r="M177" s="319">
        <v>1801.3765715273275</v>
      </c>
      <c r="N177" s="319">
        <v>3355.8925562211812</v>
      </c>
      <c r="O177" s="319">
        <v>3326.3255614655754</v>
      </c>
      <c r="P177" s="319">
        <v>3232.3325469795955</v>
      </c>
      <c r="Q177" s="320">
        <v>3079.3690648363263</v>
      </c>
      <c r="R177" s="319">
        <v>1182.6741905693866</v>
      </c>
      <c r="S177" s="319"/>
      <c r="T177" s="319"/>
      <c r="U177" s="319"/>
      <c r="V177" s="319"/>
      <c r="W177" s="321">
        <f>IFERROR(IF(tblPiNAnalysis5[[#This Row],[CCCM]]="", "", MROUND(tblPiNAnalysis5[[#This Row],[CCCM]]/tblPiNAnalysis5[[#This Row],[Affected population projection 2026]], 0.05)), "")</f>
        <v>2.4000000000000004</v>
      </c>
      <c r="X177" s="322">
        <f>IFERROR(IF(tblPiNAnalysis5[[#This Row],[Education]]="", "", MROUND(tblPiNAnalysis5[[#This Row],[Education]]/tblPiNAnalysis5[[#This Row],[Affected population projection 2026]], 0.05)), "")</f>
        <v>0.2</v>
      </c>
      <c r="Y177" s="322">
        <f>IFERROR(IF(tblPiNAnalysis5[[#This Row],[Nutrition]]="", "", MROUND(tblPiNAnalysis5[[#This Row],[Nutrition]]/tblPiNAnalysis5[[#This Row],[Affected population projection 2026]], 0.05)), "")</f>
        <v>0.25</v>
      </c>
      <c r="Z177" s="322">
        <f>IFERROR(IF(tblPiNAnalysis5[[#This Row],[Food Security]]="", "", MROUND(tblPiNAnalysis5[[#This Row],[Food Security]]/tblPiNAnalysis5[[#This Row],[Affected population projection 2026]], 0.05)), "")</f>
        <v>0.5</v>
      </c>
      <c r="AA177" s="322">
        <f>IFERROR(IF(tblPiNAnalysis5[[#This Row],[Health]]="", "", MROUND(tblPiNAnalysis5[[#This Row],[Health]]/tblPiNAnalysis5[[#This Row],[Affected population projection 2026]], 0.05)), "")</f>
        <v>0.5</v>
      </c>
      <c r="AB177" s="323">
        <f>IFERROR(IF(tblPiNAnalysis5[[#This Row],[Overarching Protection]]="", "", MROUND(tblPiNAnalysis5[[#This Row],[Overarching Protection]]/tblPiNAnalysis5[[#This Row],[Affected population projection 2026]], 0.05)), "")</f>
        <v>0.45</v>
      </c>
      <c r="AC177" s="323">
        <f>IFERROR(IF(tblPiNAnalysis5[[#This Row],[Shelter]]="", "", MROUND(tblPiNAnalysis5[[#This Row],[Shelter]]/tblPiNAnalysis5[[#This Row],[Affected population projection 2026]], 0.05)), "")</f>
        <v>0.45</v>
      </c>
      <c r="AD177" s="324">
        <f>IFERROR(IF(tblPiNAnalysis5[[#This Row],[WASH]]="", "", MROUND(tblPiNAnalysis5[[#This Row],[WASH]]/tblPiNAnalysis5[[#This Row],[Affected population projection 2026]], 0.05)), "")</f>
        <v>0.15000000000000002</v>
      </c>
      <c r="AE177" s="322">
        <f>IFERROR(MROUND(tblPiNAnalysis5[[#This Row],[CP]]/tblPiNAnalysis5[[#This Row],[Affected population projection 2026]], 0.05), "")</f>
        <v>0</v>
      </c>
      <c r="AF177" s="322">
        <f>IFERROR(MROUND(tblPiNAnalysis5[[#This Row],[GBV]]/tblPiNAnalysis5[[#This Row],[Affected population projection 2026]], 0.05), "")</f>
        <v>0</v>
      </c>
      <c r="AG177" s="322">
        <f>IFERROR(MROUND(tblPiNAnalysis5[[#This Row],[Mine Action]]/tblPiNAnalysis5[[#This Row],[Affected population projection 2026]], 0.05), "")</f>
        <v>0</v>
      </c>
      <c r="AH177" s="322">
        <f>IFERROR(MROUND(tblPiNAnalysis5[[#This Row],[HLP]]/tblPiNAnalysis5[[#This Row],[Affected population projection 2026]], 0.05), "")</f>
        <v>0</v>
      </c>
      <c r="AI177" s="325">
        <f>IFERROR(LARGE(tblPiNAnalysis5[[#This Row],[CCCM]:[WASH]], 1), "")</f>
        <v>16657</v>
      </c>
      <c r="AJ177" s="326" t="str" cm="1">
        <f t="array" ref="AJ177">IF(tblPiNAnalysis5[[#This Row],[Highest Target]]="", "", _xlfn.TEXTJOIN(CHAR(10), TRUE, IF(tblPiNAnalysis5[[#This Row],[Highest Target]]=tblPiNAnalysis5[[#This Row],[CCCM]:[WASH]], tblPiNAnalysis5[[#Headers],[CCCM]:[WASH]], "")))</f>
        <v>CCCM</v>
      </c>
      <c r="AK177" s="327">
        <f>IF(tblPiNAnalysis5[[#This Row],[Highest Target]]="", "", tblPiNAnalysis5[[#This Row],[Highest Target]]/tblPiNAnalysis5[[#This Row],[Affected population projection 2026]])</f>
        <v>2.4125684234588083</v>
      </c>
      <c r="AL177" s="328" t="str">
        <f>IF(SUM(tblPiNAnalysis5[[#This Row],[CCCM]:[WASH]])=0, "",IF(COUNTIF(tblPiNAnalysis5[[#This Row],[CCCM]:[WASH]],"=0")+COUNTIF(tblPiNAnalysis5[[#This Row],[CCCM]:[WASH]],"")&gt;=zero_pin_thresh, "Flagged", ""))</f>
        <v/>
      </c>
      <c r="AM177" s="329" t="str">
        <f>IFERROR(IF(tblPiNAnalysis5[[#This Row],[Highest Target]]="", "", IF(tblPiNAnalysis5[[#This Row],[Highest sector(s'') Target %]]&gt;=flag_pin_perc, "Flagged", "")), "")</f>
        <v>Flagged</v>
      </c>
      <c r="AN177" s="330" t="str" cm="1">
        <f t="array" ref="AN177">IF(tblPiNAnalysis5[[#This Row],[Highest Target]]=0, "",  IF(OR(COUNTIF(tblPiNAnalysis5[[#This Row],[Highest sector(s)]],tblSubSectorPopulation[Sector])), "Flagged", ""))</f>
        <v/>
      </c>
      <c r="AO177" s="46" cm="1">
        <f t="array" ref="AO17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3355.8925562211812</v>
      </c>
      <c r="AP177" s="331" t="str" cm="1">
        <f t="array" ref="AP177">IF(tblPiNAnalysis5[[#This Row],[2nd Highest Target]]="", "", _xlfn.TEXTJOIN(CHAR(10), TRUE, IF(tblPiNAnalysis5[[#This Row],[2nd Highest Target]]=tblPiNAnalysis5[[#This Row],[CCCM]:[WASH]], tblPiNAnalysis5[[#Headers],[CCCM]:[WASH]], "")))</f>
        <v>Food Security</v>
      </c>
      <c r="AQ177" s="36">
        <f>IFERROR(tblPiNAnalysis5[[#This Row],[2nd Highest Target]]/tblPiNAnalysis5[[#This Row],[Affected population projection 2026]], "")</f>
        <v>0.48606114028094405</v>
      </c>
      <c r="AR177" s="46">
        <f>IFERROR(tblPiNAnalysis5[[#This Row],[Highest Target]]-tblPiNAnalysis5[[#This Row],[2nd Highest Target]], "")</f>
        <v>13301.107443778819</v>
      </c>
      <c r="AS177" s="39">
        <f>IFERROR(((tblPiNAnalysis5[[#This Row],[Highest Target]]-tblPiNAnalysis5[[#This Row],[2nd Highest Target]])/tblPiNAnalysis5[[#This Row],[2nd Highest Target]]),"")</f>
        <v>3.9635081341090963</v>
      </c>
      <c r="AT177" s="39" t="str" cm="1">
        <f t="array" ref="AT17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77" s="332" cm="1">
        <f t="array" ref="AU17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3326.3255614655754</v>
      </c>
      <c r="AV177" s="190" t="str" cm="1">
        <f t="array" ref="AV177">IF(tblPiNAnalysis5[[#This Row],[3rd Highest Target]]="", "", _xlfn.TEXTJOIN(CHAR(10), TRUE, IF(tblPiNAnalysis5[[#This Row],[3rd Highest Target]]=tblPiNAnalysis5[[#This Row],[CCCM]:[WASH]], tblPiNAnalysis5[[#Headers],[CCCM]:[WASH]], "")))</f>
        <v>Health</v>
      </c>
      <c r="AW177" s="190">
        <f>IFERROR(tblPiNAnalysis5[[#This Row],[3rd Highest Target]]/tblPiNAnalysis5[[#This Row],[Affected population projection 2026]], "")</f>
        <v>0.48177871259745081</v>
      </c>
      <c r="AX177" s="45">
        <f>IFERROR(tblPiNAnalysis5[[#This Row],[Highest Target]]-tblPiNAnalysis5[[#This Row],[3rd Highest Target]],"")</f>
        <v>13330.674438534425</v>
      </c>
      <c r="AY177" s="39">
        <f>IFERROR(tblPiNAnalysis5[[#This Row],[Difference of Target between Highest and 3rd Highest]]/tblPiNAnalysis5[[#This Row],[3rd Highest Target]], "")</f>
        <v>4.0076276937429247</v>
      </c>
      <c r="AZ177" s="330" t="str" cm="1">
        <f t="array" ref="AZ17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77" s="300" t="str" cm="1">
        <f t="array" ref="BA17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7" s="333" t="str" cm="1">
        <f t="array" ref="BB17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7" s="276" t="str" cm="1">
        <f t="array" ref="BC17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7" s="334" t="str" cm="1">
        <f t="array" ref="BD17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77" s="277" t="e">
        <f>INDEX(tblSeverityAnalysis[Final Severity], MATCH(tblPiNAnalysis5[[#This Row],[ID]],tblSeverityAnalysis[ID], 0))</f>
        <v>#N/A</v>
      </c>
      <c r="BF177" s="61" t="e">
        <f>IF(tblPiNAnalysis5[[#This Row],[Severity]]&gt;2,tblPiNAnalysis5[[#This Row],[Highest Target]],)</f>
        <v>#N/A</v>
      </c>
      <c r="BG177" s="191"/>
      <c r="BH177" s="192"/>
      <c r="BI177" s="193">
        <f>COUNTIFS(tblPiNAnalysis5[[#This Row],[Number of missing / zero PiNs greater than threshold - Data quality]:[Manual Flag]],"Flagged")</f>
        <v>3</v>
      </c>
      <c r="BJ177" s="96" t="str">
        <f>IF(tblPiNAnalysis5[[#This Row],['# Flags]]&gt;0, "Flagged", "")</f>
        <v>Flagged</v>
      </c>
      <c r="BK177" s="326" t="e">
        <f>tblPiNAnalysis5[[#This Row],[Preliminary Target]]</f>
        <v>#N/A</v>
      </c>
      <c r="BL177" s="331"/>
    </row>
    <row r="178" spans="1:64" x14ac:dyDescent="0.55000000000000004">
      <c r="A1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8" s="316" t="s">
        <v>268</v>
      </c>
      <c r="C178" s="317" t="s">
        <v>269</v>
      </c>
      <c r="D178" s="317" t="s">
        <v>272</v>
      </c>
      <c r="E178" s="105" t="s">
        <v>273</v>
      </c>
      <c r="F178" s="100"/>
      <c r="G178" s="34"/>
      <c r="H178" s="34"/>
      <c r="I178" s="97">
        <v>19402.803122498015</v>
      </c>
      <c r="J178" s="97" t="s">
        <v>414</v>
      </c>
      <c r="K178" s="318">
        <v>0</v>
      </c>
      <c r="L178" s="319">
        <v>2673.8614927052067</v>
      </c>
      <c r="M178" s="319">
        <v>3430.8154551067632</v>
      </c>
      <c r="N178" s="319">
        <v>8325.8096411820425</v>
      </c>
      <c r="O178" s="319">
        <v>7840.7348102945498</v>
      </c>
      <c r="P178" s="319">
        <v>6220.7805075157594</v>
      </c>
      <c r="Q178" s="320">
        <v>5310.3134990446406</v>
      </c>
      <c r="R178" s="319">
        <v>13432.487884477732</v>
      </c>
      <c r="S178" s="319"/>
      <c r="T178" s="319"/>
      <c r="U178" s="319"/>
      <c r="V178" s="319"/>
      <c r="W178" s="321">
        <f>IFERROR(IF(tblPiNAnalysis5[[#This Row],[CCCM]]="", "", MROUND(tblPiNAnalysis5[[#This Row],[CCCM]]/tblPiNAnalysis5[[#This Row],[Affected population projection 2026]], 0.05)), "")</f>
        <v>0</v>
      </c>
      <c r="X178" s="322">
        <f>IFERROR(IF(tblPiNAnalysis5[[#This Row],[Education]]="", "", MROUND(tblPiNAnalysis5[[#This Row],[Education]]/tblPiNAnalysis5[[#This Row],[Affected population projection 2026]], 0.05)), "")</f>
        <v>0.15000000000000002</v>
      </c>
      <c r="Y178" s="322">
        <f>IFERROR(IF(tblPiNAnalysis5[[#This Row],[Nutrition]]="", "", MROUND(tblPiNAnalysis5[[#This Row],[Nutrition]]/tblPiNAnalysis5[[#This Row],[Affected population projection 2026]], 0.05)), "")</f>
        <v>0.2</v>
      </c>
      <c r="Z178" s="322">
        <f>IFERROR(IF(tblPiNAnalysis5[[#This Row],[Food Security]]="", "", MROUND(tblPiNAnalysis5[[#This Row],[Food Security]]/tblPiNAnalysis5[[#This Row],[Affected population projection 2026]], 0.05)), "")</f>
        <v>0.45</v>
      </c>
      <c r="AA178" s="322">
        <f>IFERROR(IF(tblPiNAnalysis5[[#This Row],[Health]]="", "", MROUND(tblPiNAnalysis5[[#This Row],[Health]]/tblPiNAnalysis5[[#This Row],[Affected population projection 2026]], 0.05)), "")</f>
        <v>0.4</v>
      </c>
      <c r="AB178" s="323">
        <f>IFERROR(IF(tblPiNAnalysis5[[#This Row],[Overarching Protection]]="", "", MROUND(tblPiNAnalysis5[[#This Row],[Overarching Protection]]/tblPiNAnalysis5[[#This Row],[Affected population projection 2026]], 0.05)), "")</f>
        <v>0.30000000000000004</v>
      </c>
      <c r="AC178" s="323">
        <f>IFERROR(IF(tblPiNAnalysis5[[#This Row],[Shelter]]="", "", MROUND(tblPiNAnalysis5[[#This Row],[Shelter]]/tblPiNAnalysis5[[#This Row],[Affected population projection 2026]], 0.05)), "")</f>
        <v>0.25</v>
      </c>
      <c r="AD178" s="324">
        <f>IFERROR(IF(tblPiNAnalysis5[[#This Row],[WASH]]="", "", MROUND(tblPiNAnalysis5[[#This Row],[WASH]]/tblPiNAnalysis5[[#This Row],[Affected population projection 2026]], 0.05)), "")</f>
        <v>0.70000000000000007</v>
      </c>
      <c r="AE178" s="322">
        <f>IFERROR(MROUND(tblPiNAnalysis5[[#This Row],[CP]]/tblPiNAnalysis5[[#This Row],[Affected population projection 2026]], 0.05), "")</f>
        <v>0</v>
      </c>
      <c r="AF178" s="322">
        <f>IFERROR(MROUND(tblPiNAnalysis5[[#This Row],[GBV]]/tblPiNAnalysis5[[#This Row],[Affected population projection 2026]], 0.05), "")</f>
        <v>0</v>
      </c>
      <c r="AG178" s="322">
        <f>IFERROR(MROUND(tblPiNAnalysis5[[#This Row],[Mine Action]]/tblPiNAnalysis5[[#This Row],[Affected population projection 2026]], 0.05), "")</f>
        <v>0</v>
      </c>
      <c r="AH178" s="322">
        <f>IFERROR(MROUND(tblPiNAnalysis5[[#This Row],[HLP]]/tblPiNAnalysis5[[#This Row],[Affected population projection 2026]], 0.05), "")</f>
        <v>0</v>
      </c>
      <c r="AI178" s="325">
        <f>IFERROR(LARGE(tblPiNAnalysis5[[#This Row],[CCCM]:[WASH]], 1), "")</f>
        <v>13432.487884477732</v>
      </c>
      <c r="AJ178" s="326" t="str" cm="1">
        <f t="array" ref="AJ178">IF(tblPiNAnalysis5[[#This Row],[Highest Target]]="", "", _xlfn.TEXTJOIN(CHAR(10), TRUE, IF(tblPiNAnalysis5[[#This Row],[Highest Target]]=tblPiNAnalysis5[[#This Row],[CCCM]:[WASH]], tblPiNAnalysis5[[#Headers],[CCCM]:[WASH]], "")))</f>
        <v>WASH</v>
      </c>
      <c r="AK178" s="327">
        <f>IF(tblPiNAnalysis5[[#This Row],[Highest Target]]="", "", tblPiNAnalysis5[[#This Row],[Highest Target]]/tblPiNAnalysis5[[#This Row],[Affected population projection 2026]])</f>
        <v>0.69229625223081503</v>
      </c>
      <c r="AL178" s="328" t="str">
        <f>IF(SUM(tblPiNAnalysis5[[#This Row],[CCCM]:[WASH]])=0, "",IF(COUNTIF(tblPiNAnalysis5[[#This Row],[CCCM]:[WASH]],"=0")+COUNTIF(tblPiNAnalysis5[[#This Row],[CCCM]:[WASH]],"")&gt;=zero_pin_thresh, "Flagged", ""))</f>
        <v/>
      </c>
      <c r="AM178" s="329" t="str">
        <f>IFERROR(IF(tblPiNAnalysis5[[#This Row],[Highest Target]]="", "", IF(tblPiNAnalysis5[[#This Row],[Highest sector(s'') Target %]]&gt;=flag_pin_perc, "Flagged", "")), "")</f>
        <v/>
      </c>
      <c r="AN178" s="330" t="str" cm="1">
        <f t="array" ref="AN178">IF(tblPiNAnalysis5[[#This Row],[Highest Target]]=0, "",  IF(OR(COUNTIF(tblPiNAnalysis5[[#This Row],[Highest sector(s)]],tblSubSectorPopulation[Sector])), "Flagged", ""))</f>
        <v/>
      </c>
      <c r="AO178" s="46" cm="1">
        <f t="array" ref="AO17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8325.8096411820425</v>
      </c>
      <c r="AP178" s="331" t="str" cm="1">
        <f t="array" ref="AP178">IF(tblPiNAnalysis5[[#This Row],[2nd Highest Target]]="", "", _xlfn.TEXTJOIN(CHAR(10), TRUE, IF(tblPiNAnalysis5[[#This Row],[2nd Highest Target]]=tblPiNAnalysis5[[#This Row],[CCCM]:[WASH]], tblPiNAnalysis5[[#Headers],[CCCM]:[WASH]], "")))</f>
        <v>Food Security</v>
      </c>
      <c r="AQ178" s="36">
        <f>IFERROR(tblPiNAnalysis5[[#This Row],[2nd Highest Target]]/tblPiNAnalysis5[[#This Row],[Affected population projection 2026]], "")</f>
        <v>0.42910344390023042</v>
      </c>
      <c r="AR178" s="46">
        <f>IFERROR(tblPiNAnalysis5[[#This Row],[Highest Target]]-tblPiNAnalysis5[[#This Row],[2nd Highest Target]], "")</f>
        <v>5106.6782432956898</v>
      </c>
      <c r="AS178" s="39">
        <f>IFERROR(((tblPiNAnalysis5[[#This Row],[Highest Target]]-tblPiNAnalysis5[[#This Row],[2nd Highest Target]])/tblPiNAnalysis5[[#This Row],[2nd Highest Target]]),"")</f>
        <v>0.61335515263722484</v>
      </c>
      <c r="AT178" s="39" t="str" cm="1">
        <f t="array" ref="AT17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78" s="332" cm="1">
        <f t="array" ref="AU17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7840.7348102945498</v>
      </c>
      <c r="AV178" s="190" t="str" cm="1">
        <f t="array" ref="AV178">IF(tblPiNAnalysis5[[#This Row],[3rd Highest Target]]="", "", _xlfn.TEXTJOIN(CHAR(10), TRUE, IF(tblPiNAnalysis5[[#This Row],[3rd Highest Target]]=tblPiNAnalysis5[[#This Row],[CCCM]:[WASH]], tblPiNAnalysis5[[#Headers],[CCCM]:[WASH]], "")))</f>
        <v>Health</v>
      </c>
      <c r="AW178" s="190">
        <f>IFERROR(tblPiNAnalysis5[[#This Row],[3rd Highest Target]]/tblPiNAnalysis5[[#This Row],[Affected population projection 2026]], "")</f>
        <v>0.40410319894464269</v>
      </c>
      <c r="AX178" s="45">
        <f>IFERROR(tblPiNAnalysis5[[#This Row],[Highest Target]]-tblPiNAnalysis5[[#This Row],[3rd Highest Target]],"")</f>
        <v>5591.7530741831824</v>
      </c>
      <c r="AY178" s="39">
        <f>IFERROR(tblPiNAnalysis5[[#This Row],[Difference of Target between Highest and 3rd Highest]]/tblPiNAnalysis5[[#This Row],[3rd Highest Target]], "")</f>
        <v>0.71316696833585669</v>
      </c>
      <c r="AZ178" s="330" t="str" cm="1">
        <f t="array" ref="AZ17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78" s="300" t="str" cm="1">
        <f t="array" ref="BA17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8" s="333" t="str" cm="1">
        <f t="array" ref="BB17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78" s="276" t="str" cm="1">
        <f t="array" ref="BC17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8" s="334" t="str" cm="1">
        <f t="array" ref="BD17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78" s="277" t="e">
        <f>INDEX(tblSeverityAnalysis[Final Severity], MATCH(tblPiNAnalysis5[[#This Row],[ID]],tblSeverityAnalysis[ID], 0))</f>
        <v>#N/A</v>
      </c>
      <c r="BF178" s="61" t="e">
        <f>IF(tblPiNAnalysis5[[#This Row],[Severity]]&gt;2,tblPiNAnalysis5[[#This Row],[Highest Target]],)</f>
        <v>#N/A</v>
      </c>
      <c r="BG178" s="191"/>
      <c r="BH178" s="192"/>
      <c r="BI178" s="193">
        <f>COUNTIFS(tblPiNAnalysis5[[#This Row],[Number of missing / zero PiNs greater than threshold - Data quality]:[Manual Flag]],"Flagged")</f>
        <v>2</v>
      </c>
      <c r="BJ178" s="96" t="str">
        <f>IF(tblPiNAnalysis5[[#This Row],['# Flags]]&gt;0, "Flagged", "")</f>
        <v>Flagged</v>
      </c>
      <c r="BK178" s="326" t="e">
        <f>tblPiNAnalysis5[[#This Row],[Preliminary Target]]</f>
        <v>#N/A</v>
      </c>
      <c r="BL178" s="331"/>
    </row>
    <row r="179" spans="1:64" ht="110.7" x14ac:dyDescent="0.55000000000000004">
      <c r="A1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9" s="316" t="s">
        <v>268</v>
      </c>
      <c r="C179" s="317" t="s">
        <v>269</v>
      </c>
      <c r="D179" s="317" t="s">
        <v>274</v>
      </c>
      <c r="E179" s="105" t="s">
        <v>275</v>
      </c>
      <c r="F179" s="100"/>
      <c r="G179" s="34"/>
      <c r="H179" s="34"/>
      <c r="I179" s="97">
        <v>16703</v>
      </c>
      <c r="J179" s="97" t="s">
        <v>414</v>
      </c>
      <c r="K179" s="318">
        <v>0</v>
      </c>
      <c r="L179" s="319">
        <v>0</v>
      </c>
      <c r="M179" s="319">
        <v>0</v>
      </c>
      <c r="N179" s="319">
        <v>0</v>
      </c>
      <c r="O179" s="319">
        <v>0</v>
      </c>
      <c r="P179" s="319">
        <v>0</v>
      </c>
      <c r="Q179" s="320">
        <v>0</v>
      </c>
      <c r="R179" s="319">
        <v>0</v>
      </c>
      <c r="S179" s="319"/>
      <c r="T179" s="319"/>
      <c r="U179" s="319"/>
      <c r="V179" s="319"/>
      <c r="W179" s="321">
        <f>IFERROR(IF(tblPiNAnalysis5[[#This Row],[CCCM]]="", "", MROUND(tblPiNAnalysis5[[#This Row],[CCCM]]/tblPiNAnalysis5[[#This Row],[Affected population projection 2026]], 0.05)), "")</f>
        <v>0</v>
      </c>
      <c r="X179" s="322">
        <f>IFERROR(IF(tblPiNAnalysis5[[#This Row],[Education]]="", "", MROUND(tblPiNAnalysis5[[#This Row],[Education]]/tblPiNAnalysis5[[#This Row],[Affected population projection 2026]], 0.05)), "")</f>
        <v>0</v>
      </c>
      <c r="Y179" s="322">
        <f>IFERROR(IF(tblPiNAnalysis5[[#This Row],[Nutrition]]="", "", MROUND(tblPiNAnalysis5[[#This Row],[Nutrition]]/tblPiNAnalysis5[[#This Row],[Affected population projection 2026]], 0.05)), "")</f>
        <v>0</v>
      </c>
      <c r="Z179" s="322">
        <f>IFERROR(IF(tblPiNAnalysis5[[#This Row],[Food Security]]="", "", MROUND(tblPiNAnalysis5[[#This Row],[Food Security]]/tblPiNAnalysis5[[#This Row],[Affected population projection 2026]], 0.05)), "")</f>
        <v>0</v>
      </c>
      <c r="AA179" s="322">
        <f>IFERROR(IF(tblPiNAnalysis5[[#This Row],[Health]]="", "", MROUND(tblPiNAnalysis5[[#This Row],[Health]]/tblPiNAnalysis5[[#This Row],[Affected population projection 2026]], 0.05)), "")</f>
        <v>0</v>
      </c>
      <c r="AB179" s="323">
        <f>IFERROR(IF(tblPiNAnalysis5[[#This Row],[Overarching Protection]]="", "", MROUND(tblPiNAnalysis5[[#This Row],[Overarching Protection]]/tblPiNAnalysis5[[#This Row],[Affected population projection 2026]], 0.05)), "")</f>
        <v>0</v>
      </c>
      <c r="AC179" s="323">
        <f>IFERROR(IF(tblPiNAnalysis5[[#This Row],[Shelter]]="", "", MROUND(tblPiNAnalysis5[[#This Row],[Shelter]]/tblPiNAnalysis5[[#This Row],[Affected population projection 2026]], 0.05)), "")</f>
        <v>0</v>
      </c>
      <c r="AD179" s="324">
        <f>IFERROR(IF(tblPiNAnalysis5[[#This Row],[WASH]]="", "", MROUND(tblPiNAnalysis5[[#This Row],[WASH]]/tblPiNAnalysis5[[#This Row],[Affected population projection 2026]], 0.05)), "")</f>
        <v>0</v>
      </c>
      <c r="AE179" s="322">
        <f>IFERROR(MROUND(tblPiNAnalysis5[[#This Row],[CP]]/tblPiNAnalysis5[[#This Row],[Affected population projection 2026]], 0.05), "")</f>
        <v>0</v>
      </c>
      <c r="AF179" s="322">
        <f>IFERROR(MROUND(tblPiNAnalysis5[[#This Row],[GBV]]/tblPiNAnalysis5[[#This Row],[Affected population projection 2026]], 0.05), "")</f>
        <v>0</v>
      </c>
      <c r="AG179" s="322">
        <f>IFERROR(MROUND(tblPiNAnalysis5[[#This Row],[Mine Action]]/tblPiNAnalysis5[[#This Row],[Affected population projection 2026]], 0.05), "")</f>
        <v>0</v>
      </c>
      <c r="AH179" s="322">
        <f>IFERROR(MROUND(tblPiNAnalysis5[[#This Row],[HLP]]/tblPiNAnalysis5[[#This Row],[Affected population projection 2026]], 0.05), "")</f>
        <v>0</v>
      </c>
      <c r="AI179" s="325">
        <f>IFERROR(LARGE(tblPiNAnalysis5[[#This Row],[CCCM]:[WASH]], 1), "")</f>
        <v>0</v>
      </c>
      <c r="AJ179" s="326" t="str" cm="1">
        <f t="array" ref="AJ179">IF(tblPiNAnalysis5[[#This Row],[Highest Target]]="", "", _xlfn.TEXTJOIN(CHAR(10), TRUE, IF(tblPiNAnalysis5[[#This Row],[Highest Target]]=tblPiNAnalysis5[[#This Row],[CCCM]:[WASH]], tblPiNAnalysis5[[#Headers],[CCCM]:[WASH]], "")))</f>
        <v>CCCM
Education
Nutrition
Food Security
Health
Overarching Protection
Shelter
WASH</v>
      </c>
      <c r="AK179" s="327">
        <f>IF(tblPiNAnalysis5[[#This Row],[Highest Target]]="", "", tblPiNAnalysis5[[#This Row],[Highest Target]]/tblPiNAnalysis5[[#This Row],[Affected population projection 2026]])</f>
        <v>0</v>
      </c>
      <c r="AL179" s="328" t="str">
        <f>IF(SUM(tblPiNAnalysis5[[#This Row],[CCCM]:[WASH]])=0, "",IF(COUNTIF(tblPiNAnalysis5[[#This Row],[CCCM]:[WASH]],"=0")+COUNTIF(tblPiNAnalysis5[[#This Row],[CCCM]:[WASH]],"")&gt;=zero_pin_thresh, "Flagged", ""))</f>
        <v/>
      </c>
      <c r="AM179" s="329" t="str">
        <f>IFERROR(IF(tblPiNAnalysis5[[#This Row],[Highest Target]]="", "", IF(tblPiNAnalysis5[[#This Row],[Highest sector(s'') Target %]]&gt;=flag_pin_perc, "Flagged", "")), "")</f>
        <v/>
      </c>
      <c r="AN179" s="330" t="str" cm="1">
        <f t="array" ref="AN179">IF(tblPiNAnalysis5[[#This Row],[Highest Target]]=0, "",  IF(OR(COUNTIF(tblPiNAnalysis5[[#This Row],[Highest sector(s)]],tblSubSectorPopulation[Sector])), "Flagged", ""))</f>
        <v/>
      </c>
      <c r="AO179" s="46" cm="1">
        <f t="array" ref="AO17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79" s="331" t="str" cm="1">
        <f t="array" ref="AP179">IF(tblPiNAnalysis5[[#This Row],[2nd Highest Target]]="", "", _xlfn.TEXTJOIN(CHAR(10), TRUE, IF(tblPiNAnalysis5[[#This Row],[2nd Highest Target]]=tblPiNAnalysis5[[#This Row],[CCCM]:[WASH]], tblPiNAnalysis5[[#Headers],[CCCM]:[WASH]], "")))</f>
        <v>CCCM
Education
Nutrition
Food Security
Health
Overarching Protection
Shelter
WASH</v>
      </c>
      <c r="AQ179" s="36">
        <f>IFERROR(tblPiNAnalysis5[[#This Row],[2nd Highest Target]]/tblPiNAnalysis5[[#This Row],[Affected population projection 2026]], "")</f>
        <v>0</v>
      </c>
      <c r="AR179" s="46">
        <f>IFERROR(tblPiNAnalysis5[[#This Row],[Highest Target]]-tblPiNAnalysis5[[#This Row],[2nd Highest Target]], "")</f>
        <v>0</v>
      </c>
      <c r="AS179" s="39" t="str">
        <f>IFERROR(((tblPiNAnalysis5[[#This Row],[Highest Target]]-tblPiNAnalysis5[[#This Row],[2nd Highest Target]])/tblPiNAnalysis5[[#This Row],[2nd Highest Target]]),"")</f>
        <v/>
      </c>
      <c r="AT179" s="39" t="str" cm="1">
        <f t="array" ref="AT17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79" s="332" cm="1">
        <f t="array" ref="AU17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79" s="190" t="str" cm="1">
        <f t="array" ref="AV179">IF(tblPiNAnalysis5[[#This Row],[3rd Highest Target]]="", "", _xlfn.TEXTJOIN(CHAR(10), TRUE, IF(tblPiNAnalysis5[[#This Row],[3rd Highest Target]]=tblPiNAnalysis5[[#This Row],[CCCM]:[WASH]], tblPiNAnalysis5[[#Headers],[CCCM]:[WASH]], "")))</f>
        <v>CCCM
Education
Nutrition
Food Security
Health
Overarching Protection
Shelter
WASH</v>
      </c>
      <c r="AW179" s="190">
        <f>IFERROR(tblPiNAnalysis5[[#This Row],[3rd Highest Target]]/tblPiNAnalysis5[[#This Row],[Affected population projection 2026]], "")</f>
        <v>0</v>
      </c>
      <c r="AX179" s="45">
        <f>IFERROR(tblPiNAnalysis5[[#This Row],[Highest Target]]-tblPiNAnalysis5[[#This Row],[3rd Highest Target]],"")</f>
        <v>0</v>
      </c>
      <c r="AY179" s="39" t="str">
        <f>IFERROR(tblPiNAnalysis5[[#This Row],[Difference of Target between Highest and 3rd Highest]]/tblPiNAnalysis5[[#This Row],[3rd Highest Target]], "")</f>
        <v/>
      </c>
      <c r="AZ179" s="330" t="str" cm="1">
        <f t="array" ref="AZ17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79" s="300" t="str" cm="1">
        <f t="array" ref="BA17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79" s="333" t="str" cm="1">
        <f t="array" ref="BB17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79" s="276" t="str" cm="1">
        <f t="array" ref="BC17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79" s="334" t="str" cm="1">
        <f t="array" ref="BD17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79" s="277" t="e">
        <f>INDEX(tblSeverityAnalysis[Final Severity], MATCH(tblPiNAnalysis5[[#This Row],[ID]],tblSeverityAnalysis[ID], 0))</f>
        <v>#N/A</v>
      </c>
      <c r="BF179" s="61" t="e">
        <f>IF(tblPiNAnalysis5[[#This Row],[Severity]]&gt;2,tblPiNAnalysis5[[#This Row],[Highest Target]],)</f>
        <v>#N/A</v>
      </c>
      <c r="BG179" s="191"/>
      <c r="BH179" s="192"/>
      <c r="BI179" s="193">
        <f>COUNTIFS(tblPiNAnalysis5[[#This Row],[Number of missing / zero PiNs greater than threshold - Data quality]:[Manual Flag]],"Flagged")</f>
        <v>2</v>
      </c>
      <c r="BJ179" s="96" t="str">
        <f>IF(tblPiNAnalysis5[[#This Row],['# Flags]]&gt;0, "Flagged", "")</f>
        <v>Flagged</v>
      </c>
      <c r="BK179" s="326" t="e">
        <f>tblPiNAnalysis5[[#This Row],[Preliminary Target]]</f>
        <v>#N/A</v>
      </c>
      <c r="BL179" s="331"/>
    </row>
    <row r="180" spans="1:64" x14ac:dyDescent="0.55000000000000004">
      <c r="A1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0" s="316" t="s">
        <v>268</v>
      </c>
      <c r="C180" s="317" t="s">
        <v>269</v>
      </c>
      <c r="D180" s="317" t="s">
        <v>276</v>
      </c>
      <c r="E180" s="105" t="s">
        <v>277</v>
      </c>
      <c r="F180" s="100"/>
      <c r="G180" s="34"/>
      <c r="H180" s="34"/>
      <c r="I180" s="97">
        <v>1206</v>
      </c>
      <c r="J180" s="97" t="s">
        <v>414</v>
      </c>
      <c r="K180" s="318">
        <v>0</v>
      </c>
      <c r="L180" s="319">
        <v>196.24273199999999</v>
      </c>
      <c r="M180" s="319">
        <v>260.96943800482529</v>
      </c>
      <c r="N180" s="319">
        <v>619.86023018184108</v>
      </c>
      <c r="O180" s="319">
        <v>799.57273998366782</v>
      </c>
      <c r="P180" s="319">
        <v>536.63385856856837</v>
      </c>
      <c r="Q180" s="320">
        <v>0</v>
      </c>
      <c r="R180" s="319">
        <v>1112.9444444444446</v>
      </c>
      <c r="S180" s="319"/>
      <c r="T180" s="319"/>
      <c r="U180" s="319"/>
      <c r="V180" s="319"/>
      <c r="W180" s="321">
        <f>IFERROR(IF(tblPiNAnalysis5[[#This Row],[CCCM]]="", "", MROUND(tblPiNAnalysis5[[#This Row],[CCCM]]/tblPiNAnalysis5[[#This Row],[Affected population projection 2026]], 0.05)), "")</f>
        <v>0</v>
      </c>
      <c r="X180" s="322">
        <f>IFERROR(IF(tblPiNAnalysis5[[#This Row],[Education]]="", "", MROUND(tblPiNAnalysis5[[#This Row],[Education]]/tblPiNAnalysis5[[#This Row],[Affected population projection 2026]], 0.05)), "")</f>
        <v>0.15000000000000002</v>
      </c>
      <c r="Y180" s="322">
        <f>IFERROR(IF(tblPiNAnalysis5[[#This Row],[Nutrition]]="", "", MROUND(tblPiNAnalysis5[[#This Row],[Nutrition]]/tblPiNAnalysis5[[#This Row],[Affected population projection 2026]], 0.05)), "")</f>
        <v>0.2</v>
      </c>
      <c r="Z180" s="322">
        <f>IFERROR(IF(tblPiNAnalysis5[[#This Row],[Food Security]]="", "", MROUND(tblPiNAnalysis5[[#This Row],[Food Security]]/tblPiNAnalysis5[[#This Row],[Affected population projection 2026]], 0.05)), "")</f>
        <v>0.5</v>
      </c>
      <c r="AA180" s="322">
        <f>IFERROR(IF(tblPiNAnalysis5[[#This Row],[Health]]="", "", MROUND(tblPiNAnalysis5[[#This Row],[Health]]/tblPiNAnalysis5[[#This Row],[Affected population projection 2026]], 0.05)), "")</f>
        <v>0.65</v>
      </c>
      <c r="AB180" s="323">
        <f>IFERROR(IF(tblPiNAnalysis5[[#This Row],[Overarching Protection]]="", "", MROUND(tblPiNAnalysis5[[#This Row],[Overarching Protection]]/tblPiNAnalysis5[[#This Row],[Affected population projection 2026]], 0.05)), "")</f>
        <v>0.45</v>
      </c>
      <c r="AC180" s="323">
        <f>IFERROR(IF(tblPiNAnalysis5[[#This Row],[Shelter]]="", "", MROUND(tblPiNAnalysis5[[#This Row],[Shelter]]/tblPiNAnalysis5[[#This Row],[Affected population projection 2026]], 0.05)), "")</f>
        <v>0</v>
      </c>
      <c r="AD180" s="324">
        <f>IFERROR(IF(tblPiNAnalysis5[[#This Row],[WASH]]="", "", MROUND(tblPiNAnalysis5[[#This Row],[WASH]]/tblPiNAnalysis5[[#This Row],[Affected population projection 2026]], 0.05)), "")</f>
        <v>0.9</v>
      </c>
      <c r="AE180" s="322">
        <f>IFERROR(MROUND(tblPiNAnalysis5[[#This Row],[CP]]/tblPiNAnalysis5[[#This Row],[Affected population projection 2026]], 0.05), "")</f>
        <v>0</v>
      </c>
      <c r="AF180" s="322">
        <f>IFERROR(MROUND(tblPiNAnalysis5[[#This Row],[GBV]]/tblPiNAnalysis5[[#This Row],[Affected population projection 2026]], 0.05), "")</f>
        <v>0</v>
      </c>
      <c r="AG180" s="322">
        <f>IFERROR(MROUND(tblPiNAnalysis5[[#This Row],[Mine Action]]/tblPiNAnalysis5[[#This Row],[Affected population projection 2026]], 0.05), "")</f>
        <v>0</v>
      </c>
      <c r="AH180" s="322">
        <f>IFERROR(MROUND(tblPiNAnalysis5[[#This Row],[HLP]]/tblPiNAnalysis5[[#This Row],[Affected population projection 2026]], 0.05), "")</f>
        <v>0</v>
      </c>
      <c r="AI180" s="325">
        <f>IFERROR(LARGE(tblPiNAnalysis5[[#This Row],[CCCM]:[WASH]], 1), "")</f>
        <v>1112.9444444444446</v>
      </c>
      <c r="AJ180" s="326" t="str" cm="1">
        <f t="array" ref="AJ180">IF(tblPiNAnalysis5[[#This Row],[Highest Target]]="", "", _xlfn.TEXTJOIN(CHAR(10), TRUE, IF(tblPiNAnalysis5[[#This Row],[Highest Target]]=tblPiNAnalysis5[[#This Row],[CCCM]:[WASH]], tblPiNAnalysis5[[#Headers],[CCCM]:[WASH]], "")))</f>
        <v>WASH</v>
      </c>
      <c r="AK180" s="327">
        <f>IF(tblPiNAnalysis5[[#This Row],[Highest Target]]="", "", tblPiNAnalysis5[[#This Row],[Highest Target]]/tblPiNAnalysis5[[#This Row],[Affected population projection 2026]])</f>
        <v>0.92283950617283961</v>
      </c>
      <c r="AL180" s="328" t="str">
        <f>IF(SUM(tblPiNAnalysis5[[#This Row],[CCCM]:[WASH]])=0, "",IF(COUNTIF(tblPiNAnalysis5[[#This Row],[CCCM]:[WASH]],"=0")+COUNTIF(tblPiNAnalysis5[[#This Row],[CCCM]:[WASH]],"")&gt;=zero_pin_thresh, "Flagged", ""))</f>
        <v>Flagged</v>
      </c>
      <c r="AM180" s="329" t="str">
        <f>IFERROR(IF(tblPiNAnalysis5[[#This Row],[Highest Target]]="", "", IF(tblPiNAnalysis5[[#This Row],[Highest sector(s'') Target %]]&gt;=flag_pin_perc, "Flagged", "")), "")</f>
        <v>Flagged</v>
      </c>
      <c r="AN180" s="330" t="str" cm="1">
        <f t="array" ref="AN180">IF(tblPiNAnalysis5[[#This Row],[Highest Target]]=0, "",  IF(OR(COUNTIF(tblPiNAnalysis5[[#This Row],[Highest sector(s)]],tblSubSectorPopulation[Sector])), "Flagged", ""))</f>
        <v/>
      </c>
      <c r="AO180" s="46" cm="1">
        <f t="array" ref="AO18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799.57273998366782</v>
      </c>
      <c r="AP180" s="331" t="str" cm="1">
        <f t="array" ref="AP180">IF(tblPiNAnalysis5[[#This Row],[2nd Highest Target]]="", "", _xlfn.TEXTJOIN(CHAR(10), TRUE, IF(tblPiNAnalysis5[[#This Row],[2nd Highest Target]]=tblPiNAnalysis5[[#This Row],[CCCM]:[WASH]], tblPiNAnalysis5[[#Headers],[CCCM]:[WASH]], "")))</f>
        <v>Health</v>
      </c>
      <c r="AQ180" s="36">
        <f>IFERROR(tblPiNAnalysis5[[#This Row],[2nd Highest Target]]/tblPiNAnalysis5[[#This Row],[Affected population projection 2026]], "")</f>
        <v>0.66299563846075271</v>
      </c>
      <c r="AR180" s="46">
        <f>IFERROR(tblPiNAnalysis5[[#This Row],[Highest Target]]-tblPiNAnalysis5[[#This Row],[2nd Highest Target]], "")</f>
        <v>313.37170446077675</v>
      </c>
      <c r="AS180" s="39">
        <f>IFERROR(((tblPiNAnalysis5[[#This Row],[Highest Target]]-tblPiNAnalysis5[[#This Row],[2nd Highest Target]])/tblPiNAnalysis5[[#This Row],[2nd Highest Target]]),"")</f>
        <v>0.39192394736616176</v>
      </c>
      <c r="AT180" s="39" t="str" cm="1">
        <f t="array" ref="AT18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80" s="332" cm="1">
        <f t="array" ref="AU18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619.86023018184108</v>
      </c>
      <c r="AV180" s="190" t="str" cm="1">
        <f t="array" ref="AV180">IF(tblPiNAnalysis5[[#This Row],[3rd Highest Target]]="", "", _xlfn.TEXTJOIN(CHAR(10), TRUE, IF(tblPiNAnalysis5[[#This Row],[3rd Highest Target]]=tblPiNAnalysis5[[#This Row],[CCCM]:[WASH]], tblPiNAnalysis5[[#Headers],[CCCM]:[WASH]], "")))</f>
        <v>Food Security</v>
      </c>
      <c r="AW180" s="190">
        <f>IFERROR(tblPiNAnalysis5[[#This Row],[3rd Highest Target]]/tblPiNAnalysis5[[#This Row],[Affected population projection 2026]], "")</f>
        <v>0.51398029036636905</v>
      </c>
      <c r="AX180" s="45">
        <f>IFERROR(tblPiNAnalysis5[[#This Row],[Highest Target]]-tblPiNAnalysis5[[#This Row],[3rd Highest Target]],"")</f>
        <v>493.0842142626035</v>
      </c>
      <c r="AY180" s="39">
        <f>IFERROR(tblPiNAnalysis5[[#This Row],[Difference of Target between Highest and 3rd Highest]]/tblPiNAnalysis5[[#This Row],[3rd Highest Target]], "")</f>
        <v>0.79547644816308538</v>
      </c>
      <c r="AZ180" s="330" t="str" cm="1">
        <f t="array" ref="AZ18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80" s="300" t="str" cm="1">
        <f t="array" ref="BA18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0" s="333" t="str" cm="1">
        <f t="array" ref="BB18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80" s="276" t="str" cm="1">
        <f t="array" ref="BC18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0" s="334" t="str" cm="1">
        <f t="array" ref="BD18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0" s="277" t="e">
        <f>INDEX(tblSeverityAnalysis[Final Severity], MATCH(tblPiNAnalysis5[[#This Row],[ID]],tblSeverityAnalysis[ID], 0))</f>
        <v>#N/A</v>
      </c>
      <c r="BF180" s="61" t="e">
        <f>IF(tblPiNAnalysis5[[#This Row],[Severity]]&gt;2,tblPiNAnalysis5[[#This Row],[Highest Target]],)</f>
        <v>#N/A</v>
      </c>
      <c r="BG180" s="191"/>
      <c r="BH180" s="192"/>
      <c r="BI180" s="193">
        <f>COUNTIFS(tblPiNAnalysis5[[#This Row],[Number of missing / zero PiNs greater than threshold - Data quality]:[Manual Flag]],"Flagged")</f>
        <v>5</v>
      </c>
      <c r="BJ180" s="96" t="str">
        <f>IF(tblPiNAnalysis5[[#This Row],['# Flags]]&gt;0, "Flagged", "")</f>
        <v>Flagged</v>
      </c>
      <c r="BK180" s="326" t="e">
        <f>tblPiNAnalysis5[[#This Row],[Preliminary Target]]</f>
        <v>#N/A</v>
      </c>
      <c r="BL180" s="331"/>
    </row>
    <row r="181" spans="1:64" x14ac:dyDescent="0.55000000000000004">
      <c r="A1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1" s="316" t="s">
        <v>268</v>
      </c>
      <c r="C181" s="317" t="s">
        <v>269</v>
      </c>
      <c r="D181" s="317" t="s">
        <v>278</v>
      </c>
      <c r="E181" s="105" t="s">
        <v>279</v>
      </c>
      <c r="F181" s="100"/>
      <c r="G181" s="34"/>
      <c r="H181" s="34"/>
      <c r="I181" s="97">
        <v>9262.1428571428605</v>
      </c>
      <c r="J181" s="97" t="s">
        <v>414</v>
      </c>
      <c r="K181" s="318">
        <v>0</v>
      </c>
      <c r="L181" s="319">
        <v>887.40590714285759</v>
      </c>
      <c r="M181" s="319">
        <v>2008.8154111316726</v>
      </c>
      <c r="N181" s="319">
        <v>3747.2004957880122</v>
      </c>
      <c r="O181" s="319">
        <v>5544.7593122630933</v>
      </c>
      <c r="P181" s="319">
        <v>3416.3437670668109</v>
      </c>
      <c r="Q181" s="320">
        <v>4131.0083357142876</v>
      </c>
      <c r="R181" s="319">
        <v>1133.9454732510289</v>
      </c>
      <c r="S181" s="319"/>
      <c r="T181" s="319"/>
      <c r="U181" s="319"/>
      <c r="V181" s="319"/>
      <c r="W181" s="321">
        <f>IFERROR(IF(tblPiNAnalysis5[[#This Row],[CCCM]]="", "", MROUND(tblPiNAnalysis5[[#This Row],[CCCM]]/tblPiNAnalysis5[[#This Row],[Affected population projection 2026]], 0.05)), "")</f>
        <v>0</v>
      </c>
      <c r="X181" s="322">
        <f>IFERROR(IF(tblPiNAnalysis5[[#This Row],[Education]]="", "", MROUND(tblPiNAnalysis5[[#This Row],[Education]]/tblPiNAnalysis5[[#This Row],[Affected population projection 2026]], 0.05)), "")</f>
        <v>0.1</v>
      </c>
      <c r="Y181" s="322">
        <f>IFERROR(IF(tblPiNAnalysis5[[#This Row],[Nutrition]]="", "", MROUND(tblPiNAnalysis5[[#This Row],[Nutrition]]/tblPiNAnalysis5[[#This Row],[Affected population projection 2026]], 0.05)), "")</f>
        <v>0.2</v>
      </c>
      <c r="Z181" s="322">
        <f>IFERROR(IF(tblPiNAnalysis5[[#This Row],[Food Security]]="", "", MROUND(tblPiNAnalysis5[[#This Row],[Food Security]]/tblPiNAnalysis5[[#This Row],[Affected population projection 2026]], 0.05)), "")</f>
        <v>0.4</v>
      </c>
      <c r="AA181" s="322">
        <f>IFERROR(IF(tblPiNAnalysis5[[#This Row],[Health]]="", "", MROUND(tblPiNAnalysis5[[#This Row],[Health]]/tblPiNAnalysis5[[#This Row],[Affected population projection 2026]], 0.05)), "")</f>
        <v>0.60000000000000009</v>
      </c>
      <c r="AB181" s="323">
        <f>IFERROR(IF(tblPiNAnalysis5[[#This Row],[Overarching Protection]]="", "", MROUND(tblPiNAnalysis5[[#This Row],[Overarching Protection]]/tblPiNAnalysis5[[#This Row],[Affected population projection 2026]], 0.05)), "")</f>
        <v>0.35000000000000003</v>
      </c>
      <c r="AC181" s="323">
        <f>IFERROR(IF(tblPiNAnalysis5[[#This Row],[Shelter]]="", "", MROUND(tblPiNAnalysis5[[#This Row],[Shelter]]/tblPiNAnalysis5[[#This Row],[Affected population projection 2026]], 0.05)), "")</f>
        <v>0.45</v>
      </c>
      <c r="AD181" s="324">
        <f>IFERROR(IF(tblPiNAnalysis5[[#This Row],[WASH]]="", "", MROUND(tblPiNAnalysis5[[#This Row],[WASH]]/tblPiNAnalysis5[[#This Row],[Affected population projection 2026]], 0.05)), "")</f>
        <v>0.1</v>
      </c>
      <c r="AE181" s="322">
        <f>IFERROR(MROUND(tblPiNAnalysis5[[#This Row],[CP]]/tblPiNAnalysis5[[#This Row],[Affected population projection 2026]], 0.05), "")</f>
        <v>0</v>
      </c>
      <c r="AF181" s="322">
        <f>IFERROR(MROUND(tblPiNAnalysis5[[#This Row],[GBV]]/tblPiNAnalysis5[[#This Row],[Affected population projection 2026]], 0.05), "")</f>
        <v>0</v>
      </c>
      <c r="AG181" s="322">
        <f>IFERROR(MROUND(tblPiNAnalysis5[[#This Row],[Mine Action]]/tblPiNAnalysis5[[#This Row],[Affected population projection 2026]], 0.05), "")</f>
        <v>0</v>
      </c>
      <c r="AH181" s="322">
        <f>IFERROR(MROUND(tblPiNAnalysis5[[#This Row],[HLP]]/tblPiNAnalysis5[[#This Row],[Affected population projection 2026]], 0.05), "")</f>
        <v>0</v>
      </c>
      <c r="AI181" s="325">
        <f>IFERROR(LARGE(tblPiNAnalysis5[[#This Row],[CCCM]:[WASH]], 1), "")</f>
        <v>5544.7593122630933</v>
      </c>
      <c r="AJ181" s="326" t="str" cm="1">
        <f t="array" ref="AJ181">IF(tblPiNAnalysis5[[#This Row],[Highest Target]]="", "", _xlfn.TEXTJOIN(CHAR(10), TRUE, IF(tblPiNAnalysis5[[#This Row],[Highest Target]]=tblPiNAnalysis5[[#This Row],[CCCM]:[WASH]], tblPiNAnalysis5[[#Headers],[CCCM]:[WASH]], "")))</f>
        <v>Health</v>
      </c>
      <c r="AK181" s="327">
        <f>IF(tblPiNAnalysis5[[#This Row],[Highest Target]]="", "", tblPiNAnalysis5[[#This Row],[Highest Target]]/tblPiNAnalysis5[[#This Row],[Affected population projection 2026]])</f>
        <v>0.5986475697669722</v>
      </c>
      <c r="AL181" s="328" t="str">
        <f>IF(SUM(tblPiNAnalysis5[[#This Row],[CCCM]:[WASH]])=0, "",IF(COUNTIF(tblPiNAnalysis5[[#This Row],[CCCM]:[WASH]],"=0")+COUNTIF(tblPiNAnalysis5[[#This Row],[CCCM]:[WASH]],"")&gt;=zero_pin_thresh, "Flagged", ""))</f>
        <v/>
      </c>
      <c r="AM181" s="329" t="str">
        <f>IFERROR(IF(tblPiNAnalysis5[[#This Row],[Highest Target]]="", "", IF(tblPiNAnalysis5[[#This Row],[Highest sector(s'') Target %]]&gt;=flag_pin_perc, "Flagged", "")), "")</f>
        <v/>
      </c>
      <c r="AN181" s="330" t="str" cm="1">
        <f t="array" ref="AN181">IF(tblPiNAnalysis5[[#This Row],[Highest Target]]=0, "",  IF(OR(COUNTIF(tblPiNAnalysis5[[#This Row],[Highest sector(s)]],tblSubSectorPopulation[Sector])), "Flagged", ""))</f>
        <v/>
      </c>
      <c r="AO181" s="46" cm="1">
        <f t="array" ref="AO18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4131.0083357142876</v>
      </c>
      <c r="AP181" s="331" t="str" cm="1">
        <f t="array" ref="AP181">IF(tblPiNAnalysis5[[#This Row],[2nd Highest Target]]="", "", _xlfn.TEXTJOIN(CHAR(10), TRUE, IF(tblPiNAnalysis5[[#This Row],[2nd Highest Target]]=tblPiNAnalysis5[[#This Row],[CCCM]:[WASH]], tblPiNAnalysis5[[#Headers],[CCCM]:[WASH]], "")))</f>
        <v>Shelter</v>
      </c>
      <c r="AQ181" s="36">
        <f>IFERROR(tblPiNAnalysis5[[#This Row],[2nd Highest Target]]/tblPiNAnalysis5[[#This Row],[Affected population projection 2026]], "")</f>
        <v>0.44601000000000002</v>
      </c>
      <c r="AR181" s="46">
        <f>IFERROR(tblPiNAnalysis5[[#This Row],[Highest Target]]-tblPiNAnalysis5[[#This Row],[2nd Highest Target]], "")</f>
        <v>1413.7509765488057</v>
      </c>
      <c r="AS181" s="39">
        <f>IFERROR(((tblPiNAnalysis5[[#This Row],[Highest Target]]-tblPiNAnalysis5[[#This Row],[2nd Highest Target]])/tblPiNAnalysis5[[#This Row],[2nd Highest Target]]),"")</f>
        <v>0.34222903021674872</v>
      </c>
      <c r="AT181" s="39" t="str" cm="1">
        <f t="array" ref="AT18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81" s="332" cm="1">
        <f t="array" ref="AU18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3747.2004957880122</v>
      </c>
      <c r="AV181" s="190" t="str" cm="1">
        <f t="array" ref="AV181">IF(tblPiNAnalysis5[[#This Row],[3rd Highest Target]]="", "", _xlfn.TEXTJOIN(CHAR(10), TRUE, IF(tblPiNAnalysis5[[#This Row],[3rd Highest Target]]=tblPiNAnalysis5[[#This Row],[CCCM]:[WASH]], tblPiNAnalysis5[[#Headers],[CCCM]:[WASH]], "")))</f>
        <v>Food Security</v>
      </c>
      <c r="AW181" s="190">
        <f>IFERROR(tblPiNAnalysis5[[#This Row],[3rd Highest Target]]/tblPiNAnalysis5[[#This Row],[Affected population projection 2026]], "")</f>
        <v>0.40457165837149806</v>
      </c>
      <c r="AX181" s="45">
        <f>IFERROR(tblPiNAnalysis5[[#This Row],[Highest Target]]-tblPiNAnalysis5[[#This Row],[3rd Highest Target]],"")</f>
        <v>1797.5588164750811</v>
      </c>
      <c r="AY181" s="39">
        <f>IFERROR(tblPiNAnalysis5[[#This Row],[Difference of Target between Highest and 3rd Highest]]/tblPiNAnalysis5[[#This Row],[3rd Highest Target]], "")</f>
        <v>0.4797071356324813</v>
      </c>
      <c r="AZ181" s="330" t="str" cm="1">
        <f t="array" ref="AZ18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1" s="300" t="str" cm="1">
        <f t="array" ref="BA18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1" s="333" t="str" cm="1">
        <f t="array" ref="BB18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1" s="276" t="str" cm="1">
        <f t="array" ref="BC18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1" s="334" t="str" cm="1">
        <f t="array" ref="BD18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1" s="277" t="e">
        <f>INDEX(tblSeverityAnalysis[Final Severity], MATCH(tblPiNAnalysis5[[#This Row],[ID]],tblSeverityAnalysis[ID], 0))</f>
        <v>#N/A</v>
      </c>
      <c r="BF181" s="61" t="e">
        <f>IF(tblPiNAnalysis5[[#This Row],[Severity]]&gt;2,tblPiNAnalysis5[[#This Row],[Highest Target]],)</f>
        <v>#N/A</v>
      </c>
      <c r="BG181" s="191"/>
      <c r="BH181" s="192"/>
      <c r="BI181" s="193">
        <f>COUNTIFS(tblPiNAnalysis5[[#This Row],[Number of missing / zero PiNs greater than threshold - Data quality]:[Manual Flag]],"Flagged")</f>
        <v>3</v>
      </c>
      <c r="BJ181" s="96" t="str">
        <f>IF(tblPiNAnalysis5[[#This Row],['# Flags]]&gt;0, "Flagged", "")</f>
        <v>Flagged</v>
      </c>
      <c r="BK181" s="326" t="e">
        <f>tblPiNAnalysis5[[#This Row],[Preliminary Target]]</f>
        <v>#N/A</v>
      </c>
      <c r="BL181" s="331"/>
    </row>
    <row r="182" spans="1:64" x14ac:dyDescent="0.55000000000000004">
      <c r="A1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2" s="316" t="s">
        <v>268</v>
      </c>
      <c r="C182" s="317" t="s">
        <v>269</v>
      </c>
      <c r="D182" s="317" t="s">
        <v>280</v>
      </c>
      <c r="E182" s="105" t="s">
        <v>281</v>
      </c>
      <c r="F182" s="100"/>
      <c r="G182" s="34"/>
      <c r="H182" s="34"/>
      <c r="I182" s="97">
        <v>33686.173990621071</v>
      </c>
      <c r="J182" s="97" t="s">
        <v>414</v>
      </c>
      <c r="K182" s="318">
        <v>0</v>
      </c>
      <c r="L182" s="319">
        <v>12598.62907249228</v>
      </c>
      <c r="M182" s="319">
        <v>6274.2977324118883</v>
      </c>
      <c r="N182" s="319">
        <v>17972.574446081995</v>
      </c>
      <c r="O182" s="319">
        <v>19746.098949396881</v>
      </c>
      <c r="P182" s="319">
        <v>14089.62812251618</v>
      </c>
      <c r="Q182" s="320">
        <v>15024.370461556904</v>
      </c>
      <c r="R182" s="319">
        <v>19515.974000481987</v>
      </c>
      <c r="S182" s="319"/>
      <c r="T182" s="319"/>
      <c r="U182" s="319"/>
      <c r="V182" s="319"/>
      <c r="W182" s="321">
        <f>IFERROR(IF(tblPiNAnalysis5[[#This Row],[CCCM]]="", "", MROUND(tblPiNAnalysis5[[#This Row],[CCCM]]/tblPiNAnalysis5[[#This Row],[Affected population projection 2026]], 0.05)), "")</f>
        <v>0</v>
      </c>
      <c r="X182" s="322">
        <f>IFERROR(IF(tblPiNAnalysis5[[#This Row],[Education]]="", "", MROUND(tblPiNAnalysis5[[#This Row],[Education]]/tblPiNAnalysis5[[#This Row],[Affected population projection 2026]], 0.05)), "")</f>
        <v>0.35000000000000003</v>
      </c>
      <c r="Y182" s="322">
        <f>IFERROR(IF(tblPiNAnalysis5[[#This Row],[Nutrition]]="", "", MROUND(tblPiNAnalysis5[[#This Row],[Nutrition]]/tblPiNAnalysis5[[#This Row],[Affected population projection 2026]], 0.05)), "")</f>
        <v>0.2</v>
      </c>
      <c r="Z182" s="322">
        <f>IFERROR(IF(tblPiNAnalysis5[[#This Row],[Food Security]]="", "", MROUND(tblPiNAnalysis5[[#This Row],[Food Security]]/tblPiNAnalysis5[[#This Row],[Affected population projection 2026]], 0.05)), "")</f>
        <v>0.55000000000000004</v>
      </c>
      <c r="AA182" s="322">
        <f>IFERROR(IF(tblPiNAnalysis5[[#This Row],[Health]]="", "", MROUND(tblPiNAnalysis5[[#This Row],[Health]]/tblPiNAnalysis5[[#This Row],[Affected population projection 2026]], 0.05)), "")</f>
        <v>0.60000000000000009</v>
      </c>
      <c r="AB182" s="323">
        <f>IFERROR(IF(tblPiNAnalysis5[[#This Row],[Overarching Protection]]="", "", MROUND(tblPiNAnalysis5[[#This Row],[Overarching Protection]]/tblPiNAnalysis5[[#This Row],[Affected population projection 2026]], 0.05)), "")</f>
        <v>0.4</v>
      </c>
      <c r="AC182" s="323">
        <f>IFERROR(IF(tblPiNAnalysis5[[#This Row],[Shelter]]="", "", MROUND(tblPiNAnalysis5[[#This Row],[Shelter]]/tblPiNAnalysis5[[#This Row],[Affected population projection 2026]], 0.05)), "")</f>
        <v>0.45</v>
      </c>
      <c r="AD182" s="324">
        <f>IFERROR(IF(tblPiNAnalysis5[[#This Row],[WASH]]="", "", MROUND(tblPiNAnalysis5[[#This Row],[WASH]]/tblPiNAnalysis5[[#This Row],[Affected population projection 2026]], 0.05)), "")</f>
        <v>0.60000000000000009</v>
      </c>
      <c r="AE182" s="322">
        <f>IFERROR(MROUND(tblPiNAnalysis5[[#This Row],[CP]]/tblPiNAnalysis5[[#This Row],[Affected population projection 2026]], 0.05), "")</f>
        <v>0</v>
      </c>
      <c r="AF182" s="322">
        <f>IFERROR(MROUND(tblPiNAnalysis5[[#This Row],[GBV]]/tblPiNAnalysis5[[#This Row],[Affected population projection 2026]], 0.05), "")</f>
        <v>0</v>
      </c>
      <c r="AG182" s="322">
        <f>IFERROR(MROUND(tblPiNAnalysis5[[#This Row],[Mine Action]]/tblPiNAnalysis5[[#This Row],[Affected population projection 2026]], 0.05), "")</f>
        <v>0</v>
      </c>
      <c r="AH182" s="322">
        <f>IFERROR(MROUND(tblPiNAnalysis5[[#This Row],[HLP]]/tblPiNAnalysis5[[#This Row],[Affected population projection 2026]], 0.05), "")</f>
        <v>0</v>
      </c>
      <c r="AI182" s="325">
        <f>IFERROR(LARGE(tblPiNAnalysis5[[#This Row],[CCCM]:[WASH]], 1), "")</f>
        <v>19746.098949396881</v>
      </c>
      <c r="AJ182" s="326" t="str" cm="1">
        <f t="array" ref="AJ182">IF(tblPiNAnalysis5[[#This Row],[Highest Target]]="", "", _xlfn.TEXTJOIN(CHAR(10), TRUE, IF(tblPiNAnalysis5[[#This Row],[Highest Target]]=tblPiNAnalysis5[[#This Row],[CCCM]:[WASH]], tblPiNAnalysis5[[#Headers],[CCCM]:[WASH]], "")))</f>
        <v>Health</v>
      </c>
      <c r="AK182" s="327">
        <f>IF(tblPiNAnalysis5[[#This Row],[Highest Target]]="", "", tblPiNAnalysis5[[#This Row],[Highest Target]]/tblPiNAnalysis5[[#This Row],[Affected population projection 2026]])</f>
        <v>0.58617814403305657</v>
      </c>
      <c r="AL182" s="328" t="str">
        <f>IF(SUM(tblPiNAnalysis5[[#This Row],[CCCM]:[WASH]])=0, "",IF(COUNTIF(tblPiNAnalysis5[[#This Row],[CCCM]:[WASH]],"=0")+COUNTIF(tblPiNAnalysis5[[#This Row],[CCCM]:[WASH]],"")&gt;=zero_pin_thresh, "Flagged", ""))</f>
        <v/>
      </c>
      <c r="AM182" s="329" t="str">
        <f>IFERROR(IF(tblPiNAnalysis5[[#This Row],[Highest Target]]="", "", IF(tblPiNAnalysis5[[#This Row],[Highest sector(s'') Target %]]&gt;=flag_pin_perc, "Flagged", "")), "")</f>
        <v/>
      </c>
      <c r="AN182" s="330" t="str" cm="1">
        <f t="array" ref="AN182">IF(tblPiNAnalysis5[[#This Row],[Highest Target]]=0, "",  IF(OR(COUNTIF(tblPiNAnalysis5[[#This Row],[Highest sector(s)]],tblSubSectorPopulation[Sector])), "Flagged", ""))</f>
        <v/>
      </c>
      <c r="AO182" s="46" cm="1">
        <f t="array" ref="AO18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19515.974000481987</v>
      </c>
      <c r="AP182" s="331" t="str" cm="1">
        <f t="array" ref="AP182">IF(tblPiNAnalysis5[[#This Row],[2nd Highest Target]]="", "", _xlfn.TEXTJOIN(CHAR(10), TRUE, IF(tblPiNAnalysis5[[#This Row],[2nd Highest Target]]=tblPiNAnalysis5[[#This Row],[CCCM]:[WASH]], tblPiNAnalysis5[[#Headers],[CCCM]:[WASH]], "")))</f>
        <v>WASH</v>
      </c>
      <c r="AQ182" s="36">
        <f>IFERROR(tblPiNAnalysis5[[#This Row],[2nd Highest Target]]/tblPiNAnalysis5[[#This Row],[Affected population projection 2026]], "")</f>
        <v>0.57934670781893005</v>
      </c>
      <c r="AR182" s="46">
        <f>IFERROR(tblPiNAnalysis5[[#This Row],[Highest Target]]-tblPiNAnalysis5[[#This Row],[2nd Highest Target]], "")</f>
        <v>230.12494891489405</v>
      </c>
      <c r="AS182" s="39">
        <f>IFERROR(((tblPiNAnalysis5[[#This Row],[Highest Target]]-tblPiNAnalysis5[[#This Row],[2nd Highest Target]])/tblPiNAnalysis5[[#This Row],[2nd Highest Target]]),"")</f>
        <v>1.179161997803495E-2</v>
      </c>
      <c r="AT182" s="39" t="str" cm="1">
        <f t="array" ref="AT18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2" s="332" cm="1">
        <f t="array" ref="AU18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17972.574446081995</v>
      </c>
      <c r="AV182" s="190" t="str" cm="1">
        <f t="array" ref="AV182">IF(tblPiNAnalysis5[[#This Row],[3rd Highest Target]]="", "", _xlfn.TEXTJOIN(CHAR(10), TRUE, IF(tblPiNAnalysis5[[#This Row],[3rd Highest Target]]=tblPiNAnalysis5[[#This Row],[CCCM]:[WASH]], tblPiNAnalysis5[[#Headers],[CCCM]:[WASH]], "")))</f>
        <v>Food Security</v>
      </c>
      <c r="AW182" s="190">
        <f>IFERROR(tblPiNAnalysis5[[#This Row],[3rd Highest Target]]/tblPiNAnalysis5[[#This Row],[Affected population projection 2026]], "")</f>
        <v>0.53352970423669754</v>
      </c>
      <c r="AX182" s="45">
        <f>IFERROR(tblPiNAnalysis5[[#This Row],[Highest Target]]-tblPiNAnalysis5[[#This Row],[3rd Highest Target]],"")</f>
        <v>1773.5245033148858</v>
      </c>
      <c r="AY182" s="39">
        <f>IFERROR(tblPiNAnalysis5[[#This Row],[Difference of Target between Highest and 3rd Highest]]/tblPiNAnalysis5[[#This Row],[3rd Highest Target]], "")</f>
        <v>9.8679491279086762E-2</v>
      </c>
      <c r="AZ182" s="330" t="str" cm="1">
        <f t="array" ref="AZ18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2" s="300" t="str" cm="1">
        <f t="array" ref="BA18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2" s="333" t="str" cm="1">
        <f t="array" ref="BB18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2" s="276" t="str" cm="1">
        <f t="array" ref="BC18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2" s="334" t="str" cm="1">
        <f t="array" ref="BD18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82" s="277" t="e">
        <f>INDEX(tblSeverityAnalysis[Final Severity], MATCH(tblPiNAnalysis5[[#This Row],[ID]],tblSeverityAnalysis[ID], 0))</f>
        <v>#N/A</v>
      </c>
      <c r="BF182" s="61" t="e">
        <f>IF(tblPiNAnalysis5[[#This Row],[Severity]]&gt;2,tblPiNAnalysis5[[#This Row],[Highest Target]],)</f>
        <v>#N/A</v>
      </c>
      <c r="BG182" s="191"/>
      <c r="BH182" s="192"/>
      <c r="BI182" s="193">
        <f>COUNTIFS(tblPiNAnalysis5[[#This Row],[Number of missing / zero PiNs greater than threshold - Data quality]:[Manual Flag]],"Flagged")</f>
        <v>1</v>
      </c>
      <c r="BJ182" s="96" t="str">
        <f>IF(tblPiNAnalysis5[[#This Row],['# Flags]]&gt;0, "Flagged", "")</f>
        <v>Flagged</v>
      </c>
      <c r="BK182" s="326" t="e">
        <f>tblPiNAnalysis5[[#This Row],[Preliminary Target]]</f>
        <v>#N/A</v>
      </c>
      <c r="BL182" s="331"/>
    </row>
    <row r="183" spans="1:64" x14ac:dyDescent="0.55000000000000004">
      <c r="A1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3" s="316" t="s">
        <v>268</v>
      </c>
      <c r="C183" s="317" t="s">
        <v>269</v>
      </c>
      <c r="D183" s="317" t="s">
        <v>282</v>
      </c>
      <c r="E183" s="105" t="s">
        <v>283</v>
      </c>
      <c r="F183" s="100"/>
      <c r="G183" s="34"/>
      <c r="H183" s="34"/>
      <c r="I183" s="97">
        <v>13146.5714285714</v>
      </c>
      <c r="J183" s="97" t="s">
        <v>414</v>
      </c>
      <c r="K183" s="318">
        <v>0</v>
      </c>
      <c r="L183" s="319">
        <v>2284.7465925428523</v>
      </c>
      <c r="M183" s="319">
        <v>3155.0850083313644</v>
      </c>
      <c r="N183" s="319">
        <v>5820.2547071310528</v>
      </c>
      <c r="O183" s="319">
        <v>8341.5333690618572</v>
      </c>
      <c r="P183" s="319">
        <v>3739.3035039957849</v>
      </c>
      <c r="Q183" s="320">
        <v>4221.7216724571344</v>
      </c>
      <c r="R183" s="319">
        <v>4920.9474328826082</v>
      </c>
      <c r="S183" s="319"/>
      <c r="T183" s="319"/>
      <c r="U183" s="319"/>
      <c r="V183" s="319"/>
      <c r="W183" s="321">
        <f>IFERROR(IF(tblPiNAnalysis5[[#This Row],[CCCM]]="", "", MROUND(tblPiNAnalysis5[[#This Row],[CCCM]]/tblPiNAnalysis5[[#This Row],[Affected population projection 2026]], 0.05)), "")</f>
        <v>0</v>
      </c>
      <c r="X183" s="322">
        <f>IFERROR(IF(tblPiNAnalysis5[[#This Row],[Education]]="", "", MROUND(tblPiNAnalysis5[[#This Row],[Education]]/tblPiNAnalysis5[[#This Row],[Affected population projection 2026]], 0.05)), "")</f>
        <v>0.15000000000000002</v>
      </c>
      <c r="Y183" s="322">
        <f>IFERROR(IF(tblPiNAnalysis5[[#This Row],[Nutrition]]="", "", MROUND(tblPiNAnalysis5[[#This Row],[Nutrition]]/tblPiNAnalysis5[[#This Row],[Affected population projection 2026]], 0.05)), "")</f>
        <v>0.25</v>
      </c>
      <c r="Z183" s="322">
        <f>IFERROR(IF(tblPiNAnalysis5[[#This Row],[Food Security]]="", "", MROUND(tblPiNAnalysis5[[#This Row],[Food Security]]/tblPiNAnalysis5[[#This Row],[Affected population projection 2026]], 0.05)), "")</f>
        <v>0.45</v>
      </c>
      <c r="AA183" s="322">
        <f>IFERROR(IF(tblPiNAnalysis5[[#This Row],[Health]]="", "", MROUND(tblPiNAnalysis5[[#This Row],[Health]]/tblPiNAnalysis5[[#This Row],[Affected population projection 2026]], 0.05)), "")</f>
        <v>0.65</v>
      </c>
      <c r="AB183" s="323">
        <f>IFERROR(IF(tblPiNAnalysis5[[#This Row],[Overarching Protection]]="", "", MROUND(tblPiNAnalysis5[[#This Row],[Overarching Protection]]/tblPiNAnalysis5[[#This Row],[Affected population projection 2026]], 0.05)), "")</f>
        <v>0.30000000000000004</v>
      </c>
      <c r="AC183" s="323">
        <f>IFERROR(IF(tblPiNAnalysis5[[#This Row],[Shelter]]="", "", MROUND(tblPiNAnalysis5[[#This Row],[Shelter]]/tblPiNAnalysis5[[#This Row],[Affected population projection 2026]], 0.05)), "")</f>
        <v>0.30000000000000004</v>
      </c>
      <c r="AD183" s="324">
        <f>IFERROR(IF(tblPiNAnalysis5[[#This Row],[WASH]]="", "", MROUND(tblPiNAnalysis5[[#This Row],[WASH]]/tblPiNAnalysis5[[#This Row],[Affected population projection 2026]], 0.05)), "")</f>
        <v>0.35000000000000003</v>
      </c>
      <c r="AE183" s="322">
        <f>IFERROR(MROUND(tblPiNAnalysis5[[#This Row],[CP]]/tblPiNAnalysis5[[#This Row],[Affected population projection 2026]], 0.05), "")</f>
        <v>0</v>
      </c>
      <c r="AF183" s="322">
        <f>IFERROR(MROUND(tblPiNAnalysis5[[#This Row],[GBV]]/tblPiNAnalysis5[[#This Row],[Affected population projection 2026]], 0.05), "")</f>
        <v>0</v>
      </c>
      <c r="AG183" s="322">
        <f>IFERROR(MROUND(tblPiNAnalysis5[[#This Row],[Mine Action]]/tblPiNAnalysis5[[#This Row],[Affected population projection 2026]], 0.05), "")</f>
        <v>0</v>
      </c>
      <c r="AH183" s="322">
        <f>IFERROR(MROUND(tblPiNAnalysis5[[#This Row],[HLP]]/tblPiNAnalysis5[[#This Row],[Affected population projection 2026]], 0.05), "")</f>
        <v>0</v>
      </c>
      <c r="AI183" s="325">
        <f>IFERROR(LARGE(tblPiNAnalysis5[[#This Row],[CCCM]:[WASH]], 1), "")</f>
        <v>8341.5333690618572</v>
      </c>
      <c r="AJ183" s="326" t="str" cm="1">
        <f t="array" ref="AJ183">IF(tblPiNAnalysis5[[#This Row],[Highest Target]]="", "", _xlfn.TEXTJOIN(CHAR(10), TRUE, IF(tblPiNAnalysis5[[#This Row],[Highest Target]]=tblPiNAnalysis5[[#This Row],[CCCM]:[WASH]], tblPiNAnalysis5[[#Headers],[CCCM]:[WASH]], "")))</f>
        <v>Health</v>
      </c>
      <c r="AK183" s="327">
        <f>IF(tblPiNAnalysis5[[#This Row],[Highest Target]]="", "", tblPiNAnalysis5[[#This Row],[Highest Target]]/tblPiNAnalysis5[[#This Row],[Affected population projection 2026]])</f>
        <v>0.63450257083251604</v>
      </c>
      <c r="AL183" s="328" t="str">
        <f>IF(SUM(tblPiNAnalysis5[[#This Row],[CCCM]:[WASH]])=0, "",IF(COUNTIF(tblPiNAnalysis5[[#This Row],[CCCM]:[WASH]],"=0")+COUNTIF(tblPiNAnalysis5[[#This Row],[CCCM]:[WASH]],"")&gt;=zero_pin_thresh, "Flagged", ""))</f>
        <v/>
      </c>
      <c r="AM183" s="329" t="str">
        <f>IFERROR(IF(tblPiNAnalysis5[[#This Row],[Highest Target]]="", "", IF(tblPiNAnalysis5[[#This Row],[Highest sector(s'') Target %]]&gt;=flag_pin_perc, "Flagged", "")), "")</f>
        <v/>
      </c>
      <c r="AN183" s="330" t="str" cm="1">
        <f t="array" ref="AN183">IF(tblPiNAnalysis5[[#This Row],[Highest Target]]=0, "",  IF(OR(COUNTIF(tblPiNAnalysis5[[#This Row],[Highest sector(s)]],tblSubSectorPopulation[Sector])), "Flagged", ""))</f>
        <v/>
      </c>
      <c r="AO183" s="46" cm="1">
        <f t="array" ref="AO18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5820.2547071310528</v>
      </c>
      <c r="AP183" s="331" t="str" cm="1">
        <f t="array" ref="AP183">IF(tblPiNAnalysis5[[#This Row],[2nd Highest Target]]="", "", _xlfn.TEXTJOIN(CHAR(10), TRUE, IF(tblPiNAnalysis5[[#This Row],[2nd Highest Target]]=tblPiNAnalysis5[[#This Row],[CCCM]:[WASH]], tblPiNAnalysis5[[#Headers],[CCCM]:[WASH]], "")))</f>
        <v>Food Security</v>
      </c>
      <c r="AQ183" s="36">
        <f>IFERROR(tblPiNAnalysis5[[#This Row],[2nd Highest Target]]/tblPiNAnalysis5[[#This Row],[Affected population projection 2026]], "")</f>
        <v>0.44272035022621276</v>
      </c>
      <c r="AR183" s="46">
        <f>IFERROR(tblPiNAnalysis5[[#This Row],[Highest Target]]-tblPiNAnalysis5[[#This Row],[2nd Highest Target]], "")</f>
        <v>2521.2786619308044</v>
      </c>
      <c r="AS183" s="39">
        <f>IFERROR(((tblPiNAnalysis5[[#This Row],[Highest Target]]-tblPiNAnalysis5[[#This Row],[2nd Highest Target]])/tblPiNAnalysis5[[#This Row],[2nd Highest Target]]),"")</f>
        <v>0.43319043388972317</v>
      </c>
      <c r="AT183" s="39" t="str" cm="1">
        <f t="array" ref="AT18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83" s="332" cm="1">
        <f t="array" ref="AU18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4920.9474328826082</v>
      </c>
      <c r="AV183" s="190" t="str" cm="1">
        <f t="array" ref="AV183">IF(tblPiNAnalysis5[[#This Row],[3rd Highest Target]]="", "", _xlfn.TEXTJOIN(CHAR(10), TRUE, IF(tblPiNAnalysis5[[#This Row],[3rd Highest Target]]=tblPiNAnalysis5[[#This Row],[CCCM]:[WASH]], tblPiNAnalysis5[[#Headers],[CCCM]:[WASH]], "")))</f>
        <v>WASH</v>
      </c>
      <c r="AW183" s="190">
        <f>IFERROR(tblPiNAnalysis5[[#This Row],[3rd Highest Target]]/tblPiNAnalysis5[[#This Row],[Affected population projection 2026]], "")</f>
        <v>0.37431412894375865</v>
      </c>
      <c r="AX183" s="45">
        <f>IFERROR(tblPiNAnalysis5[[#This Row],[Highest Target]]-tblPiNAnalysis5[[#This Row],[3rd Highest Target]],"")</f>
        <v>3420.5859361792491</v>
      </c>
      <c r="AY183" s="39">
        <f>IFERROR(tblPiNAnalysis5[[#This Row],[Difference of Target between Highest and 3rd Highest]]/tblPiNAnalysis5[[#This Row],[3rd Highest Target]], "")</f>
        <v>0.69510718877472899</v>
      </c>
      <c r="AZ183" s="330" t="str" cm="1">
        <f t="array" ref="AZ18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83" s="300" t="str" cm="1">
        <f t="array" ref="BA18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3" s="333" t="str" cm="1">
        <f t="array" ref="BB18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3" s="276" t="str" cm="1">
        <f t="array" ref="BC18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3" s="334" t="str" cm="1">
        <f t="array" ref="BD18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83" s="277" t="e">
        <f>INDEX(tblSeverityAnalysis[Final Severity], MATCH(tblPiNAnalysis5[[#This Row],[ID]],tblSeverityAnalysis[ID], 0))</f>
        <v>#N/A</v>
      </c>
      <c r="BF183" s="61" t="e">
        <f>IF(tblPiNAnalysis5[[#This Row],[Severity]]&gt;2,tblPiNAnalysis5[[#This Row],[Highest Target]],)</f>
        <v>#N/A</v>
      </c>
      <c r="BG183" s="191"/>
      <c r="BH183" s="192"/>
      <c r="BI183" s="193">
        <f>COUNTIFS(tblPiNAnalysis5[[#This Row],[Number of missing / zero PiNs greater than threshold - Data quality]:[Manual Flag]],"Flagged")</f>
        <v>3</v>
      </c>
      <c r="BJ183" s="96" t="str">
        <f>IF(tblPiNAnalysis5[[#This Row],['# Flags]]&gt;0, "Flagged", "")</f>
        <v>Flagged</v>
      </c>
      <c r="BK183" s="326" t="e">
        <f>tblPiNAnalysis5[[#This Row],[Preliminary Target]]</f>
        <v>#N/A</v>
      </c>
      <c r="BL183" s="331"/>
    </row>
    <row r="184" spans="1:64" x14ac:dyDescent="0.55000000000000004">
      <c r="A1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4" s="316" t="s">
        <v>268</v>
      </c>
      <c r="C184" s="317" t="s">
        <v>269</v>
      </c>
      <c r="D184" s="317" t="s">
        <v>284</v>
      </c>
      <c r="E184" s="105" t="s">
        <v>285</v>
      </c>
      <c r="F184" s="100"/>
      <c r="G184" s="34"/>
      <c r="H184" s="34"/>
      <c r="I184" s="97">
        <v>4238</v>
      </c>
      <c r="J184" s="97" t="s">
        <v>414</v>
      </c>
      <c r="K184" s="318">
        <v>0</v>
      </c>
      <c r="L184" s="319">
        <v>1214.4158519999999</v>
      </c>
      <c r="M184" s="319">
        <v>1181.7457253986281</v>
      </c>
      <c r="N184" s="319">
        <v>2062.6986624635656</v>
      </c>
      <c r="O184" s="319">
        <v>2323.2040163304687</v>
      </c>
      <c r="P184" s="319">
        <v>1489.6598372324775</v>
      </c>
      <c r="Q184" s="320">
        <v>1080.1087885714287</v>
      </c>
      <c r="R184" s="319">
        <v>2781.7325102880664</v>
      </c>
      <c r="S184" s="319"/>
      <c r="T184" s="319"/>
      <c r="U184" s="319"/>
      <c r="V184" s="319"/>
      <c r="W184" s="321">
        <f>IFERROR(IF(tblPiNAnalysis5[[#This Row],[CCCM]]="", "", MROUND(tblPiNAnalysis5[[#This Row],[CCCM]]/tblPiNAnalysis5[[#This Row],[Affected population projection 2026]], 0.05)), "")</f>
        <v>0</v>
      </c>
      <c r="X184" s="322">
        <f>IFERROR(IF(tblPiNAnalysis5[[#This Row],[Education]]="", "", MROUND(tblPiNAnalysis5[[#This Row],[Education]]/tblPiNAnalysis5[[#This Row],[Affected population projection 2026]], 0.05)), "")</f>
        <v>0.30000000000000004</v>
      </c>
      <c r="Y184" s="322">
        <f>IFERROR(IF(tblPiNAnalysis5[[#This Row],[Nutrition]]="", "", MROUND(tblPiNAnalysis5[[#This Row],[Nutrition]]/tblPiNAnalysis5[[#This Row],[Affected population projection 2026]], 0.05)), "")</f>
        <v>0.30000000000000004</v>
      </c>
      <c r="Z184" s="322">
        <f>IFERROR(IF(tblPiNAnalysis5[[#This Row],[Food Security]]="", "", MROUND(tblPiNAnalysis5[[#This Row],[Food Security]]/tblPiNAnalysis5[[#This Row],[Affected population projection 2026]], 0.05)), "")</f>
        <v>0.5</v>
      </c>
      <c r="AA184" s="322">
        <f>IFERROR(IF(tblPiNAnalysis5[[#This Row],[Health]]="", "", MROUND(tblPiNAnalysis5[[#This Row],[Health]]/tblPiNAnalysis5[[#This Row],[Affected population projection 2026]], 0.05)), "")</f>
        <v>0.55000000000000004</v>
      </c>
      <c r="AB184" s="323">
        <f>IFERROR(IF(tblPiNAnalysis5[[#This Row],[Overarching Protection]]="", "", MROUND(tblPiNAnalysis5[[#This Row],[Overarching Protection]]/tblPiNAnalysis5[[#This Row],[Affected population projection 2026]], 0.05)), "")</f>
        <v>0.35000000000000003</v>
      </c>
      <c r="AC184" s="323">
        <f>IFERROR(IF(tblPiNAnalysis5[[#This Row],[Shelter]]="", "", MROUND(tblPiNAnalysis5[[#This Row],[Shelter]]/tblPiNAnalysis5[[#This Row],[Affected population projection 2026]], 0.05)), "")</f>
        <v>0.25</v>
      </c>
      <c r="AD184" s="324">
        <f>IFERROR(IF(tblPiNAnalysis5[[#This Row],[WASH]]="", "", MROUND(tblPiNAnalysis5[[#This Row],[WASH]]/tblPiNAnalysis5[[#This Row],[Affected population projection 2026]], 0.05)), "")</f>
        <v>0.65</v>
      </c>
      <c r="AE184" s="322">
        <f>IFERROR(MROUND(tblPiNAnalysis5[[#This Row],[CP]]/tblPiNAnalysis5[[#This Row],[Affected population projection 2026]], 0.05), "")</f>
        <v>0</v>
      </c>
      <c r="AF184" s="322">
        <f>IFERROR(MROUND(tblPiNAnalysis5[[#This Row],[GBV]]/tblPiNAnalysis5[[#This Row],[Affected population projection 2026]], 0.05), "")</f>
        <v>0</v>
      </c>
      <c r="AG184" s="322">
        <f>IFERROR(MROUND(tblPiNAnalysis5[[#This Row],[Mine Action]]/tblPiNAnalysis5[[#This Row],[Affected population projection 2026]], 0.05), "")</f>
        <v>0</v>
      </c>
      <c r="AH184" s="322">
        <f>IFERROR(MROUND(tblPiNAnalysis5[[#This Row],[HLP]]/tblPiNAnalysis5[[#This Row],[Affected population projection 2026]], 0.05), "")</f>
        <v>0</v>
      </c>
      <c r="AI184" s="325">
        <f>IFERROR(LARGE(tblPiNAnalysis5[[#This Row],[CCCM]:[WASH]], 1), "")</f>
        <v>2781.7325102880664</v>
      </c>
      <c r="AJ184" s="326" t="str" cm="1">
        <f t="array" ref="AJ184">IF(tblPiNAnalysis5[[#This Row],[Highest Target]]="", "", _xlfn.TEXTJOIN(CHAR(10), TRUE, IF(tblPiNAnalysis5[[#This Row],[Highest Target]]=tblPiNAnalysis5[[#This Row],[CCCM]:[WASH]], tblPiNAnalysis5[[#Headers],[CCCM]:[WASH]], "")))</f>
        <v>WASH</v>
      </c>
      <c r="AK184" s="327">
        <f>IF(tblPiNAnalysis5[[#This Row],[Highest Target]]="", "", tblPiNAnalysis5[[#This Row],[Highest Target]]/tblPiNAnalysis5[[#This Row],[Affected population projection 2026]])</f>
        <v>0.65637860082304533</v>
      </c>
      <c r="AL184" s="328" t="str">
        <f>IF(SUM(tblPiNAnalysis5[[#This Row],[CCCM]:[WASH]])=0, "",IF(COUNTIF(tblPiNAnalysis5[[#This Row],[CCCM]:[WASH]],"=0")+COUNTIF(tblPiNAnalysis5[[#This Row],[CCCM]:[WASH]],"")&gt;=zero_pin_thresh, "Flagged", ""))</f>
        <v/>
      </c>
      <c r="AM184" s="329" t="str">
        <f>IFERROR(IF(tblPiNAnalysis5[[#This Row],[Highest Target]]="", "", IF(tblPiNAnalysis5[[#This Row],[Highest sector(s'') Target %]]&gt;=flag_pin_perc, "Flagged", "")), "")</f>
        <v/>
      </c>
      <c r="AN184" s="330" t="str" cm="1">
        <f t="array" ref="AN184">IF(tblPiNAnalysis5[[#This Row],[Highest Target]]=0, "",  IF(OR(COUNTIF(tblPiNAnalysis5[[#This Row],[Highest sector(s)]],tblSubSectorPopulation[Sector])), "Flagged", ""))</f>
        <v/>
      </c>
      <c r="AO184" s="46" cm="1">
        <f t="array" ref="AO18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2323.2040163304687</v>
      </c>
      <c r="AP184" s="331" t="str" cm="1">
        <f t="array" ref="AP184">IF(tblPiNAnalysis5[[#This Row],[2nd Highest Target]]="", "", _xlfn.TEXTJOIN(CHAR(10), TRUE, IF(tblPiNAnalysis5[[#This Row],[2nd Highest Target]]=tblPiNAnalysis5[[#This Row],[CCCM]:[WASH]], tblPiNAnalysis5[[#Headers],[CCCM]:[WASH]], "")))</f>
        <v>Health</v>
      </c>
      <c r="AQ184" s="36">
        <f>IFERROR(tblPiNAnalysis5[[#This Row],[2nd Highest Target]]/tblPiNAnalysis5[[#This Row],[Affected population projection 2026]], "")</f>
        <v>0.5481840529330978</v>
      </c>
      <c r="AR184" s="46">
        <f>IFERROR(tblPiNAnalysis5[[#This Row],[Highest Target]]-tblPiNAnalysis5[[#This Row],[2nd Highest Target]], "")</f>
        <v>458.52849395759768</v>
      </c>
      <c r="AS184" s="39">
        <f>IFERROR(((tblPiNAnalysis5[[#This Row],[Highest Target]]-tblPiNAnalysis5[[#This Row],[2nd Highest Target]])/tblPiNAnalysis5[[#This Row],[2nd Highest Target]]),"")</f>
        <v>0.19736901741494467</v>
      </c>
      <c r="AT184" s="39" t="str" cm="1">
        <f t="array" ref="AT18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4" s="332" cm="1">
        <f t="array" ref="AU18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2062.6986624635656</v>
      </c>
      <c r="AV184" s="190" t="str" cm="1">
        <f t="array" ref="AV184">IF(tblPiNAnalysis5[[#This Row],[3rd Highest Target]]="", "", _xlfn.TEXTJOIN(CHAR(10), TRUE, IF(tblPiNAnalysis5[[#This Row],[3rd Highest Target]]=tblPiNAnalysis5[[#This Row],[CCCM]:[WASH]], tblPiNAnalysis5[[#Headers],[CCCM]:[WASH]], "")))</f>
        <v>Food Security</v>
      </c>
      <c r="AW184" s="190">
        <f>IFERROR(tblPiNAnalysis5[[#This Row],[3rd Highest Target]]/tblPiNAnalysis5[[#This Row],[Affected population projection 2026]], "")</f>
        <v>0.48671511620187957</v>
      </c>
      <c r="AX184" s="45">
        <f>IFERROR(tblPiNAnalysis5[[#This Row],[Highest Target]]-tblPiNAnalysis5[[#This Row],[3rd Highest Target]],"")</f>
        <v>719.03384782450075</v>
      </c>
      <c r="AY184" s="39">
        <f>IFERROR(tblPiNAnalysis5[[#This Row],[Difference of Target between Highest and 3rd Highest]]/tblPiNAnalysis5[[#This Row],[3rd Highest Target]], "")</f>
        <v>0.34858889517372799</v>
      </c>
      <c r="AZ184" s="330" t="str" cm="1">
        <f t="array" ref="AZ18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4" s="300" t="str" cm="1">
        <f t="array" ref="BA18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4" s="333" t="str" cm="1">
        <f t="array" ref="BB18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84" s="276" t="str" cm="1">
        <f t="array" ref="BC18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4" s="334" t="str" cm="1">
        <f t="array" ref="BD18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4" s="277" t="e">
        <f>INDEX(tblSeverityAnalysis[Final Severity], MATCH(tblPiNAnalysis5[[#This Row],[ID]],tblSeverityAnalysis[ID], 0))</f>
        <v>#N/A</v>
      </c>
      <c r="BF184" s="61" t="e">
        <f>IF(tblPiNAnalysis5[[#This Row],[Severity]]&gt;2,tblPiNAnalysis5[[#This Row],[Highest Target]],)</f>
        <v>#N/A</v>
      </c>
      <c r="BG184" s="191"/>
      <c r="BH184" s="192"/>
      <c r="BI184" s="193">
        <f>COUNTIFS(tblPiNAnalysis5[[#This Row],[Number of missing / zero PiNs greater than threshold - Data quality]:[Manual Flag]],"Flagged")</f>
        <v>1</v>
      </c>
      <c r="BJ184" s="96" t="str">
        <f>IF(tblPiNAnalysis5[[#This Row],['# Flags]]&gt;0, "Flagged", "")</f>
        <v>Flagged</v>
      </c>
      <c r="BK184" s="326" t="e">
        <f>tblPiNAnalysis5[[#This Row],[Preliminary Target]]</f>
        <v>#N/A</v>
      </c>
      <c r="BL184" s="331"/>
    </row>
    <row r="185" spans="1:64" x14ac:dyDescent="0.55000000000000004">
      <c r="A1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5" s="316" t="s">
        <v>268</v>
      </c>
      <c r="C185" s="317" t="s">
        <v>269</v>
      </c>
      <c r="D185" s="317" t="s">
        <v>286</v>
      </c>
      <c r="E185" s="105" t="s">
        <v>287</v>
      </c>
      <c r="F185" s="100"/>
      <c r="G185" s="34"/>
      <c r="H185" s="34"/>
      <c r="I185" s="97">
        <v>2811.1428571428601</v>
      </c>
      <c r="J185" s="97" t="s">
        <v>414</v>
      </c>
      <c r="K185" s="318">
        <v>0</v>
      </c>
      <c r="L185" s="319">
        <v>90.246119142857239</v>
      </c>
      <c r="M185" s="319">
        <v>414.41681013897232</v>
      </c>
      <c r="N185" s="319">
        <v>517.46796457116295</v>
      </c>
      <c r="O185" s="319">
        <v>799.9621749535695</v>
      </c>
      <c r="P185" s="319">
        <v>419.82158965620926</v>
      </c>
      <c r="Q185" s="320">
        <v>2791.1679592522619</v>
      </c>
      <c r="R185" s="319">
        <v>1.6562578907499388</v>
      </c>
      <c r="S185" s="319"/>
      <c r="T185" s="319"/>
      <c r="U185" s="319"/>
      <c r="V185" s="319"/>
      <c r="W185" s="321">
        <f>IFERROR(IF(tblPiNAnalysis5[[#This Row],[CCCM]]="", "", MROUND(tblPiNAnalysis5[[#This Row],[CCCM]]/tblPiNAnalysis5[[#This Row],[Affected population projection 2026]], 0.05)), "")</f>
        <v>0</v>
      </c>
      <c r="X185" s="322">
        <f>IFERROR(IF(tblPiNAnalysis5[[#This Row],[Education]]="", "", MROUND(tblPiNAnalysis5[[#This Row],[Education]]/tblPiNAnalysis5[[#This Row],[Affected population projection 2026]], 0.05)), "")</f>
        <v>0.05</v>
      </c>
      <c r="Y185" s="322">
        <f>IFERROR(IF(tblPiNAnalysis5[[#This Row],[Nutrition]]="", "", MROUND(tblPiNAnalysis5[[#This Row],[Nutrition]]/tblPiNAnalysis5[[#This Row],[Affected population projection 2026]], 0.05)), "")</f>
        <v>0.15000000000000002</v>
      </c>
      <c r="Z185" s="322">
        <f>IFERROR(IF(tblPiNAnalysis5[[#This Row],[Food Security]]="", "", MROUND(tblPiNAnalysis5[[#This Row],[Food Security]]/tblPiNAnalysis5[[#This Row],[Affected population projection 2026]], 0.05)), "")</f>
        <v>0.2</v>
      </c>
      <c r="AA185" s="322">
        <f>IFERROR(IF(tblPiNAnalysis5[[#This Row],[Health]]="", "", MROUND(tblPiNAnalysis5[[#This Row],[Health]]/tblPiNAnalysis5[[#This Row],[Affected population projection 2026]], 0.05)), "")</f>
        <v>0.30000000000000004</v>
      </c>
      <c r="AB185" s="323">
        <f>IFERROR(IF(tblPiNAnalysis5[[#This Row],[Overarching Protection]]="", "", MROUND(tblPiNAnalysis5[[#This Row],[Overarching Protection]]/tblPiNAnalysis5[[#This Row],[Affected population projection 2026]], 0.05)), "")</f>
        <v>0.15000000000000002</v>
      </c>
      <c r="AC185" s="323">
        <f>IFERROR(IF(tblPiNAnalysis5[[#This Row],[Shelter]]="", "", MROUND(tblPiNAnalysis5[[#This Row],[Shelter]]/tblPiNAnalysis5[[#This Row],[Affected population projection 2026]], 0.05)), "")</f>
        <v>1</v>
      </c>
      <c r="AD185" s="324">
        <f>IFERROR(IF(tblPiNAnalysis5[[#This Row],[WASH]]="", "", MROUND(tblPiNAnalysis5[[#This Row],[WASH]]/tblPiNAnalysis5[[#This Row],[Affected population projection 2026]], 0.05)), "")</f>
        <v>0</v>
      </c>
      <c r="AE185" s="322">
        <f>IFERROR(MROUND(tblPiNAnalysis5[[#This Row],[CP]]/tblPiNAnalysis5[[#This Row],[Affected population projection 2026]], 0.05), "")</f>
        <v>0</v>
      </c>
      <c r="AF185" s="322">
        <f>IFERROR(MROUND(tblPiNAnalysis5[[#This Row],[GBV]]/tblPiNAnalysis5[[#This Row],[Affected population projection 2026]], 0.05), "")</f>
        <v>0</v>
      </c>
      <c r="AG185" s="322">
        <f>IFERROR(MROUND(tblPiNAnalysis5[[#This Row],[Mine Action]]/tblPiNAnalysis5[[#This Row],[Affected population projection 2026]], 0.05), "")</f>
        <v>0</v>
      </c>
      <c r="AH185" s="322">
        <f>IFERROR(MROUND(tblPiNAnalysis5[[#This Row],[HLP]]/tblPiNAnalysis5[[#This Row],[Affected population projection 2026]], 0.05), "")</f>
        <v>0</v>
      </c>
      <c r="AI185" s="325">
        <f>IFERROR(LARGE(tblPiNAnalysis5[[#This Row],[CCCM]:[WASH]], 1), "")</f>
        <v>2791.1679592522619</v>
      </c>
      <c r="AJ185" s="326" t="str" cm="1">
        <f t="array" ref="AJ185">IF(tblPiNAnalysis5[[#This Row],[Highest Target]]="", "", _xlfn.TEXTJOIN(CHAR(10), TRUE, IF(tblPiNAnalysis5[[#This Row],[Highest Target]]=tblPiNAnalysis5[[#This Row],[CCCM]:[WASH]], tblPiNAnalysis5[[#Headers],[CCCM]:[WASH]], "")))</f>
        <v>Shelter</v>
      </c>
      <c r="AK185" s="327">
        <f>IF(tblPiNAnalysis5[[#This Row],[Highest Target]]="", "", tblPiNAnalysis5[[#This Row],[Highest Target]]/tblPiNAnalysis5[[#This Row],[Affected population projection 2026]])</f>
        <v>0.99289438534230168</v>
      </c>
      <c r="AL185" s="328" t="str">
        <f>IF(SUM(tblPiNAnalysis5[[#This Row],[CCCM]:[WASH]])=0, "",IF(COUNTIF(tblPiNAnalysis5[[#This Row],[CCCM]:[WASH]],"=0")+COUNTIF(tblPiNAnalysis5[[#This Row],[CCCM]:[WASH]],"")&gt;=zero_pin_thresh, "Flagged", ""))</f>
        <v/>
      </c>
      <c r="AM185" s="329" t="str">
        <f>IFERROR(IF(tblPiNAnalysis5[[#This Row],[Highest Target]]="", "", IF(tblPiNAnalysis5[[#This Row],[Highest sector(s'') Target %]]&gt;=flag_pin_perc, "Flagged", "")), "")</f>
        <v>Flagged</v>
      </c>
      <c r="AN185" s="330" t="str" cm="1">
        <f t="array" ref="AN185">IF(tblPiNAnalysis5[[#This Row],[Highest Target]]=0, "",  IF(OR(COUNTIF(tblPiNAnalysis5[[#This Row],[Highest sector(s)]],tblSubSectorPopulation[Sector])), "Flagged", ""))</f>
        <v/>
      </c>
      <c r="AO185" s="46" cm="1">
        <f t="array" ref="AO18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799.9621749535695</v>
      </c>
      <c r="AP185" s="331" t="str" cm="1">
        <f t="array" ref="AP185">IF(tblPiNAnalysis5[[#This Row],[2nd Highest Target]]="", "", _xlfn.TEXTJOIN(CHAR(10), TRUE, IF(tblPiNAnalysis5[[#This Row],[2nd Highest Target]]=tblPiNAnalysis5[[#This Row],[CCCM]:[WASH]], tblPiNAnalysis5[[#Headers],[CCCM]:[WASH]], "")))</f>
        <v>Health</v>
      </c>
      <c r="AQ185" s="36">
        <f>IFERROR(tblPiNAnalysis5[[#This Row],[2nd Highest Target]]/tblPiNAnalysis5[[#This Row],[Affected population projection 2026]], "")</f>
        <v>0.28456831104151747</v>
      </c>
      <c r="AR185" s="46">
        <f>IFERROR(tblPiNAnalysis5[[#This Row],[Highest Target]]-tblPiNAnalysis5[[#This Row],[2nd Highest Target]], "")</f>
        <v>1991.2057842986924</v>
      </c>
      <c r="AS185" s="39">
        <f>IFERROR(((tblPiNAnalysis5[[#This Row],[Highest Target]]-tblPiNAnalysis5[[#This Row],[2nd Highest Target]])/tblPiNAnalysis5[[#This Row],[2nd Highest Target]]),"")</f>
        <v>2.4891249194554277</v>
      </c>
      <c r="AT185" s="39" t="str" cm="1">
        <f t="array" ref="AT18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85" s="332" cm="1">
        <f t="array" ref="AU18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517.46796457116295</v>
      </c>
      <c r="AV185" s="190" t="str" cm="1">
        <f t="array" ref="AV185">IF(tblPiNAnalysis5[[#This Row],[3rd Highest Target]]="", "", _xlfn.TEXTJOIN(CHAR(10), TRUE, IF(tblPiNAnalysis5[[#This Row],[3rd Highest Target]]=tblPiNAnalysis5[[#This Row],[CCCM]:[WASH]], tblPiNAnalysis5[[#Headers],[CCCM]:[WASH]], "")))</f>
        <v>Food Security</v>
      </c>
      <c r="AW185" s="190">
        <f>IFERROR(tblPiNAnalysis5[[#This Row],[3rd Highest Target]]/tblPiNAnalysis5[[#This Row],[Affected population projection 2026]], "")</f>
        <v>0.18407743429200818</v>
      </c>
      <c r="AX185" s="45">
        <f>IFERROR(tblPiNAnalysis5[[#This Row],[Highest Target]]-tblPiNAnalysis5[[#This Row],[3rd Highest Target]],"")</f>
        <v>2273.6999946810988</v>
      </c>
      <c r="AY185" s="39">
        <f>IFERROR(tblPiNAnalysis5[[#This Row],[Difference of Target between Highest and 3rd Highest]]/tblPiNAnalysis5[[#This Row],[3rd Highest Target]], "")</f>
        <v>4.3938951787389655</v>
      </c>
      <c r="AZ185" s="330" t="str" cm="1">
        <f t="array" ref="AZ18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85" s="300" t="str" cm="1">
        <f t="array" ref="BA18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5" s="333" t="str" cm="1">
        <f t="array" ref="BB18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5" s="276" t="str" cm="1">
        <f t="array" ref="BC18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5" s="334" t="str" cm="1">
        <f t="array" ref="BD18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5" s="277" t="e">
        <f>INDEX(tblSeverityAnalysis[Final Severity], MATCH(tblPiNAnalysis5[[#This Row],[ID]],tblSeverityAnalysis[ID], 0))</f>
        <v>#N/A</v>
      </c>
      <c r="BF185" s="61" t="e">
        <f>IF(tblPiNAnalysis5[[#This Row],[Severity]]&gt;2,tblPiNAnalysis5[[#This Row],[Highest Target]],)</f>
        <v>#N/A</v>
      </c>
      <c r="BG185" s="191"/>
      <c r="BH185" s="192"/>
      <c r="BI185" s="193">
        <f>COUNTIFS(tblPiNAnalysis5[[#This Row],[Number of missing / zero PiNs greater than threshold - Data quality]:[Manual Flag]],"Flagged")</f>
        <v>5</v>
      </c>
      <c r="BJ185" s="96" t="str">
        <f>IF(tblPiNAnalysis5[[#This Row],['# Flags]]&gt;0, "Flagged", "")</f>
        <v>Flagged</v>
      </c>
      <c r="BK185" s="326" t="e">
        <f>tblPiNAnalysis5[[#This Row],[Preliminary Target]]</f>
        <v>#N/A</v>
      </c>
      <c r="BL185" s="331"/>
    </row>
    <row r="186" spans="1:64" x14ac:dyDescent="0.55000000000000004">
      <c r="A1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6" s="316" t="s">
        <v>268</v>
      </c>
      <c r="C186" s="317" t="s">
        <v>269</v>
      </c>
      <c r="D186" s="317" t="s">
        <v>288</v>
      </c>
      <c r="E186" s="105" t="s">
        <v>289</v>
      </c>
      <c r="F186" s="100"/>
      <c r="G186" s="34"/>
      <c r="H186" s="34"/>
      <c r="I186" s="97">
        <v>5169</v>
      </c>
      <c r="J186" s="97" t="s">
        <v>414</v>
      </c>
      <c r="K186" s="318">
        <v>0</v>
      </c>
      <c r="L186" s="319">
        <v>1679.9250000000002</v>
      </c>
      <c r="M186" s="319">
        <v>1134.0669503428085</v>
      </c>
      <c r="N186" s="319">
        <v>2195.6205771620066</v>
      </c>
      <c r="O186" s="319">
        <v>2593.4320999480992</v>
      </c>
      <c r="P186" s="319">
        <v>2503.5142318059297</v>
      </c>
      <c r="Q186" s="320">
        <v>2305.42569</v>
      </c>
      <c r="R186" s="319">
        <v>1723</v>
      </c>
      <c r="S186" s="319"/>
      <c r="T186" s="319"/>
      <c r="U186" s="319"/>
      <c r="V186" s="319"/>
      <c r="W186" s="321">
        <f>IFERROR(IF(tblPiNAnalysis5[[#This Row],[CCCM]]="", "", MROUND(tblPiNAnalysis5[[#This Row],[CCCM]]/tblPiNAnalysis5[[#This Row],[Affected population projection 2026]], 0.05)), "")</f>
        <v>0</v>
      </c>
      <c r="X186" s="322">
        <f>IFERROR(IF(tblPiNAnalysis5[[#This Row],[Education]]="", "", MROUND(tblPiNAnalysis5[[#This Row],[Education]]/tblPiNAnalysis5[[#This Row],[Affected population projection 2026]], 0.05)), "")</f>
        <v>0.35000000000000003</v>
      </c>
      <c r="Y186" s="322">
        <f>IFERROR(IF(tblPiNAnalysis5[[#This Row],[Nutrition]]="", "", MROUND(tblPiNAnalysis5[[#This Row],[Nutrition]]/tblPiNAnalysis5[[#This Row],[Affected population projection 2026]], 0.05)), "")</f>
        <v>0.2</v>
      </c>
      <c r="Z186" s="322">
        <f>IFERROR(IF(tblPiNAnalysis5[[#This Row],[Food Security]]="", "", MROUND(tblPiNAnalysis5[[#This Row],[Food Security]]/tblPiNAnalysis5[[#This Row],[Affected population projection 2026]], 0.05)), "")</f>
        <v>0.4</v>
      </c>
      <c r="AA186" s="322">
        <f>IFERROR(IF(tblPiNAnalysis5[[#This Row],[Health]]="", "", MROUND(tblPiNAnalysis5[[#This Row],[Health]]/tblPiNAnalysis5[[#This Row],[Affected population projection 2026]], 0.05)), "")</f>
        <v>0.5</v>
      </c>
      <c r="AB186" s="323">
        <f>IFERROR(IF(tblPiNAnalysis5[[#This Row],[Overarching Protection]]="", "", MROUND(tblPiNAnalysis5[[#This Row],[Overarching Protection]]/tblPiNAnalysis5[[#This Row],[Affected population projection 2026]], 0.05)), "")</f>
        <v>0.5</v>
      </c>
      <c r="AC186" s="323">
        <f>IFERROR(IF(tblPiNAnalysis5[[#This Row],[Shelter]]="", "", MROUND(tblPiNAnalysis5[[#This Row],[Shelter]]/tblPiNAnalysis5[[#This Row],[Affected population projection 2026]], 0.05)), "")</f>
        <v>0.45</v>
      </c>
      <c r="AD186" s="324">
        <f>IFERROR(IF(tblPiNAnalysis5[[#This Row],[WASH]]="", "", MROUND(tblPiNAnalysis5[[#This Row],[WASH]]/tblPiNAnalysis5[[#This Row],[Affected population projection 2026]], 0.05)), "")</f>
        <v>0.35000000000000003</v>
      </c>
      <c r="AE186" s="322">
        <f>IFERROR(MROUND(tblPiNAnalysis5[[#This Row],[CP]]/tblPiNAnalysis5[[#This Row],[Affected population projection 2026]], 0.05), "")</f>
        <v>0</v>
      </c>
      <c r="AF186" s="322">
        <f>IFERROR(MROUND(tblPiNAnalysis5[[#This Row],[GBV]]/tblPiNAnalysis5[[#This Row],[Affected population projection 2026]], 0.05), "")</f>
        <v>0</v>
      </c>
      <c r="AG186" s="322">
        <f>IFERROR(MROUND(tblPiNAnalysis5[[#This Row],[Mine Action]]/tblPiNAnalysis5[[#This Row],[Affected population projection 2026]], 0.05), "")</f>
        <v>0</v>
      </c>
      <c r="AH186" s="322">
        <f>IFERROR(MROUND(tblPiNAnalysis5[[#This Row],[HLP]]/tblPiNAnalysis5[[#This Row],[Affected population projection 2026]], 0.05), "")</f>
        <v>0</v>
      </c>
      <c r="AI186" s="325">
        <f>IFERROR(LARGE(tblPiNAnalysis5[[#This Row],[CCCM]:[WASH]], 1), "")</f>
        <v>2593.4320999480992</v>
      </c>
      <c r="AJ186" s="326" t="str" cm="1">
        <f t="array" ref="AJ186">IF(tblPiNAnalysis5[[#This Row],[Highest Target]]="", "", _xlfn.TEXTJOIN(CHAR(10), TRUE, IF(tblPiNAnalysis5[[#This Row],[Highest Target]]=tblPiNAnalysis5[[#This Row],[CCCM]:[WASH]], tblPiNAnalysis5[[#Headers],[CCCM]:[WASH]], "")))</f>
        <v>Health</v>
      </c>
      <c r="AK186" s="327">
        <f>IF(tblPiNAnalysis5[[#This Row],[Highest Target]]="", "", tblPiNAnalysis5[[#This Row],[Highest Target]]/tblPiNAnalysis5[[#This Row],[Affected population projection 2026]])</f>
        <v>0.50172801314530846</v>
      </c>
      <c r="AL186" s="328" t="str">
        <f>IF(SUM(tblPiNAnalysis5[[#This Row],[CCCM]:[WASH]])=0, "",IF(COUNTIF(tblPiNAnalysis5[[#This Row],[CCCM]:[WASH]],"=0")+COUNTIF(tblPiNAnalysis5[[#This Row],[CCCM]:[WASH]],"")&gt;=zero_pin_thresh, "Flagged", ""))</f>
        <v/>
      </c>
      <c r="AM186" s="329" t="str">
        <f>IFERROR(IF(tblPiNAnalysis5[[#This Row],[Highest Target]]="", "", IF(tblPiNAnalysis5[[#This Row],[Highest sector(s'') Target %]]&gt;=flag_pin_perc, "Flagged", "")), "")</f>
        <v/>
      </c>
      <c r="AN186" s="330" t="str" cm="1">
        <f t="array" ref="AN186">IF(tblPiNAnalysis5[[#This Row],[Highest Target]]=0, "",  IF(OR(COUNTIF(tblPiNAnalysis5[[#This Row],[Highest sector(s)]],tblSubSectorPopulation[Sector])), "Flagged", ""))</f>
        <v/>
      </c>
      <c r="AO186" s="46" cm="1">
        <f t="array" ref="AO18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2503.5142318059297</v>
      </c>
      <c r="AP186" s="331" t="str" cm="1">
        <f t="array" ref="AP186">IF(tblPiNAnalysis5[[#This Row],[2nd Highest Target]]="", "", _xlfn.TEXTJOIN(CHAR(10), TRUE, IF(tblPiNAnalysis5[[#This Row],[2nd Highest Target]]=tblPiNAnalysis5[[#This Row],[CCCM]:[WASH]], tblPiNAnalysis5[[#Headers],[CCCM]:[WASH]], "")))</f>
        <v>Overarching Protection</v>
      </c>
      <c r="AQ186" s="36">
        <f>IFERROR(tblPiNAnalysis5[[#This Row],[2nd Highest Target]]/tblPiNAnalysis5[[#This Row],[Affected population projection 2026]], "")</f>
        <v>0.48433241087365636</v>
      </c>
      <c r="AR186" s="46">
        <f>IFERROR(tblPiNAnalysis5[[#This Row],[Highest Target]]-tblPiNAnalysis5[[#This Row],[2nd Highest Target]], "")</f>
        <v>89.917868142169482</v>
      </c>
      <c r="AS186" s="39">
        <f>IFERROR(((tblPiNAnalysis5[[#This Row],[Highest Target]]-tblPiNAnalysis5[[#This Row],[2nd Highest Target]])/tblPiNAnalysis5[[#This Row],[2nd Highest Target]]),"")</f>
        <v>3.5916659470038852E-2</v>
      </c>
      <c r="AT186" s="39" t="str" cm="1">
        <f t="array" ref="AT18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6" s="332" cm="1">
        <f t="array" ref="AU18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2305.42569</v>
      </c>
      <c r="AV186" s="190" t="str" cm="1">
        <f t="array" ref="AV186">IF(tblPiNAnalysis5[[#This Row],[3rd Highest Target]]="", "", _xlfn.TEXTJOIN(CHAR(10), TRUE, IF(tblPiNAnalysis5[[#This Row],[3rd Highest Target]]=tblPiNAnalysis5[[#This Row],[CCCM]:[WASH]], tblPiNAnalysis5[[#Headers],[CCCM]:[WASH]], "")))</f>
        <v>Shelter</v>
      </c>
      <c r="AW186" s="190">
        <f>IFERROR(tblPiNAnalysis5[[#This Row],[3rd Highest Target]]/tblPiNAnalysis5[[#This Row],[Affected population projection 2026]], "")</f>
        <v>0.44601000000000002</v>
      </c>
      <c r="AX186" s="45">
        <f>IFERROR(tblPiNAnalysis5[[#This Row],[Highest Target]]-tblPiNAnalysis5[[#This Row],[3rd Highest Target]],"")</f>
        <v>288.00640994809919</v>
      </c>
      <c r="AY186" s="39">
        <f>IFERROR(tblPiNAnalysis5[[#This Row],[Difference of Target between Highest and 3rd Highest]]/tblPiNAnalysis5[[#This Row],[3rd Highest Target]], "")</f>
        <v>0.1249254795751405</v>
      </c>
      <c r="AZ186" s="330" t="str" cm="1">
        <f t="array" ref="AZ18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6" s="300" t="str" cm="1">
        <f t="array" ref="BA18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6" s="333" t="str" cm="1">
        <f t="array" ref="BB18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6" s="276" t="str" cm="1">
        <f t="array" ref="BC18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6" s="334" t="str" cm="1">
        <f t="array" ref="BD18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86" s="277" t="e">
        <f>INDEX(tblSeverityAnalysis[Final Severity], MATCH(tblPiNAnalysis5[[#This Row],[ID]],tblSeverityAnalysis[ID], 0))</f>
        <v>#N/A</v>
      </c>
      <c r="BF186" s="61" t="e">
        <f>IF(tblPiNAnalysis5[[#This Row],[Severity]]&gt;2,tblPiNAnalysis5[[#This Row],[Highest Target]],)</f>
        <v>#N/A</v>
      </c>
      <c r="BG186" s="191"/>
      <c r="BH186" s="192"/>
      <c r="BI186" s="193">
        <f>COUNTIFS(tblPiNAnalysis5[[#This Row],[Number of missing / zero PiNs greater than threshold - Data quality]:[Manual Flag]],"Flagged")</f>
        <v>1</v>
      </c>
      <c r="BJ186" s="96" t="str">
        <f>IF(tblPiNAnalysis5[[#This Row],['# Flags]]&gt;0, "Flagged", "")</f>
        <v>Flagged</v>
      </c>
      <c r="BK186" s="326" t="e">
        <f>tblPiNAnalysis5[[#This Row],[Preliminary Target]]</f>
        <v>#N/A</v>
      </c>
      <c r="BL186" s="331"/>
    </row>
    <row r="187" spans="1:64" x14ac:dyDescent="0.55000000000000004">
      <c r="A1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7" s="316" t="s">
        <v>268</v>
      </c>
      <c r="C187" s="317" t="s">
        <v>269</v>
      </c>
      <c r="D187" s="317" t="s">
        <v>290</v>
      </c>
      <c r="E187" s="105" t="s">
        <v>291</v>
      </c>
      <c r="F187" s="100"/>
      <c r="G187" s="34"/>
      <c r="H187" s="34"/>
      <c r="I187" s="97">
        <v>5651</v>
      </c>
      <c r="J187" s="97" t="s">
        <v>414</v>
      </c>
      <c r="K187" s="318">
        <v>0</v>
      </c>
      <c r="L187" s="319">
        <v>1011.709832</v>
      </c>
      <c r="M187" s="319">
        <v>1744.6043485875227</v>
      </c>
      <c r="N187" s="319">
        <v>2720.786999844061</v>
      </c>
      <c r="O187" s="319">
        <v>1896.4890700077565</v>
      </c>
      <c r="P187" s="319">
        <v>1600.0443805733657</v>
      </c>
      <c r="Q187" s="320">
        <v>1260.2012549999999</v>
      </c>
      <c r="R187" s="319">
        <v>3248.4529320987654</v>
      </c>
      <c r="S187" s="319"/>
      <c r="T187" s="319"/>
      <c r="U187" s="319"/>
      <c r="V187" s="319"/>
      <c r="W187" s="321">
        <f>IFERROR(IF(tblPiNAnalysis5[[#This Row],[CCCM]]="", "", MROUND(tblPiNAnalysis5[[#This Row],[CCCM]]/tblPiNAnalysis5[[#This Row],[Affected population projection 2026]], 0.05)), "")</f>
        <v>0</v>
      </c>
      <c r="X187" s="322">
        <f>IFERROR(IF(tblPiNAnalysis5[[#This Row],[Education]]="", "", MROUND(tblPiNAnalysis5[[#This Row],[Education]]/tblPiNAnalysis5[[#This Row],[Affected population projection 2026]], 0.05)), "")</f>
        <v>0.2</v>
      </c>
      <c r="Y187" s="322">
        <f>IFERROR(IF(tblPiNAnalysis5[[#This Row],[Nutrition]]="", "", MROUND(tblPiNAnalysis5[[#This Row],[Nutrition]]/tblPiNAnalysis5[[#This Row],[Affected population projection 2026]], 0.05)), "")</f>
        <v>0.30000000000000004</v>
      </c>
      <c r="Z187" s="322">
        <f>IFERROR(IF(tblPiNAnalysis5[[#This Row],[Food Security]]="", "", MROUND(tblPiNAnalysis5[[#This Row],[Food Security]]/tblPiNAnalysis5[[#This Row],[Affected population projection 2026]], 0.05)), "")</f>
        <v>0.5</v>
      </c>
      <c r="AA187" s="322">
        <f>IFERROR(IF(tblPiNAnalysis5[[#This Row],[Health]]="", "", MROUND(tblPiNAnalysis5[[#This Row],[Health]]/tblPiNAnalysis5[[#This Row],[Affected population projection 2026]], 0.05)), "")</f>
        <v>0.35000000000000003</v>
      </c>
      <c r="AB187" s="323">
        <f>IFERROR(IF(tblPiNAnalysis5[[#This Row],[Overarching Protection]]="", "", MROUND(tblPiNAnalysis5[[#This Row],[Overarching Protection]]/tblPiNAnalysis5[[#This Row],[Affected population projection 2026]], 0.05)), "")</f>
        <v>0.30000000000000004</v>
      </c>
      <c r="AC187" s="323">
        <f>IFERROR(IF(tblPiNAnalysis5[[#This Row],[Shelter]]="", "", MROUND(tblPiNAnalysis5[[#This Row],[Shelter]]/tblPiNAnalysis5[[#This Row],[Affected population projection 2026]], 0.05)), "")</f>
        <v>0.2</v>
      </c>
      <c r="AD187" s="324">
        <f>IFERROR(IF(tblPiNAnalysis5[[#This Row],[WASH]]="", "", MROUND(tblPiNAnalysis5[[#This Row],[WASH]]/tblPiNAnalysis5[[#This Row],[Affected population projection 2026]], 0.05)), "")</f>
        <v>0.55000000000000004</v>
      </c>
      <c r="AE187" s="322">
        <f>IFERROR(MROUND(tblPiNAnalysis5[[#This Row],[CP]]/tblPiNAnalysis5[[#This Row],[Affected population projection 2026]], 0.05), "")</f>
        <v>0</v>
      </c>
      <c r="AF187" s="322">
        <f>IFERROR(MROUND(tblPiNAnalysis5[[#This Row],[GBV]]/tblPiNAnalysis5[[#This Row],[Affected population projection 2026]], 0.05), "")</f>
        <v>0</v>
      </c>
      <c r="AG187" s="322">
        <f>IFERROR(MROUND(tblPiNAnalysis5[[#This Row],[Mine Action]]/tblPiNAnalysis5[[#This Row],[Affected population projection 2026]], 0.05), "")</f>
        <v>0</v>
      </c>
      <c r="AH187" s="322">
        <f>IFERROR(MROUND(tblPiNAnalysis5[[#This Row],[HLP]]/tblPiNAnalysis5[[#This Row],[Affected population projection 2026]], 0.05), "")</f>
        <v>0</v>
      </c>
      <c r="AI187" s="325">
        <f>IFERROR(LARGE(tblPiNAnalysis5[[#This Row],[CCCM]:[WASH]], 1), "")</f>
        <v>3248.4529320987654</v>
      </c>
      <c r="AJ187" s="326" t="str" cm="1">
        <f t="array" ref="AJ187">IF(tblPiNAnalysis5[[#This Row],[Highest Target]]="", "", _xlfn.TEXTJOIN(CHAR(10), TRUE, IF(tblPiNAnalysis5[[#This Row],[Highest Target]]=tblPiNAnalysis5[[#This Row],[CCCM]:[WASH]], tblPiNAnalysis5[[#Headers],[CCCM]:[WASH]], "")))</f>
        <v>WASH</v>
      </c>
      <c r="AK187" s="327">
        <f>IF(tblPiNAnalysis5[[#This Row],[Highest Target]]="", "", tblPiNAnalysis5[[#This Row],[Highest Target]]/tblPiNAnalysis5[[#This Row],[Affected population projection 2026]])</f>
        <v>0.57484567901234562</v>
      </c>
      <c r="AL187" s="328" t="str">
        <f>IF(SUM(tblPiNAnalysis5[[#This Row],[CCCM]:[WASH]])=0, "",IF(COUNTIF(tblPiNAnalysis5[[#This Row],[CCCM]:[WASH]],"=0")+COUNTIF(tblPiNAnalysis5[[#This Row],[CCCM]:[WASH]],"")&gt;=zero_pin_thresh, "Flagged", ""))</f>
        <v/>
      </c>
      <c r="AM187" s="329" t="str">
        <f>IFERROR(IF(tblPiNAnalysis5[[#This Row],[Highest Target]]="", "", IF(tblPiNAnalysis5[[#This Row],[Highest sector(s'') Target %]]&gt;=flag_pin_perc, "Flagged", "")), "")</f>
        <v/>
      </c>
      <c r="AN187" s="330" t="str" cm="1">
        <f t="array" ref="AN187">IF(tblPiNAnalysis5[[#This Row],[Highest Target]]=0, "",  IF(OR(COUNTIF(tblPiNAnalysis5[[#This Row],[Highest sector(s)]],tblSubSectorPopulation[Sector])), "Flagged", ""))</f>
        <v/>
      </c>
      <c r="AO187" s="46" cm="1">
        <f t="array" ref="AO18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2720.786999844061</v>
      </c>
      <c r="AP187" s="331" t="str" cm="1">
        <f t="array" ref="AP187">IF(tblPiNAnalysis5[[#This Row],[2nd Highest Target]]="", "", _xlfn.TEXTJOIN(CHAR(10), TRUE, IF(tblPiNAnalysis5[[#This Row],[2nd Highest Target]]=tblPiNAnalysis5[[#This Row],[CCCM]:[WASH]], tblPiNAnalysis5[[#Headers],[CCCM]:[WASH]], "")))</f>
        <v>Food Security</v>
      </c>
      <c r="AQ187" s="36">
        <f>IFERROR(tblPiNAnalysis5[[#This Row],[2nd Highest Target]]/tblPiNAnalysis5[[#This Row],[Affected population projection 2026]], "")</f>
        <v>0.48147000528119999</v>
      </c>
      <c r="AR187" s="46">
        <f>IFERROR(tblPiNAnalysis5[[#This Row],[Highest Target]]-tblPiNAnalysis5[[#This Row],[2nd Highest Target]], "")</f>
        <v>527.66593225470433</v>
      </c>
      <c r="AS187" s="39">
        <f>IFERROR(((tblPiNAnalysis5[[#This Row],[Highest Target]]-tblPiNAnalysis5[[#This Row],[2nd Highest Target]])/tblPiNAnalysis5[[#This Row],[2nd Highest Target]]),"")</f>
        <v>0.19393871416062591</v>
      </c>
      <c r="AT187" s="39" t="str" cm="1">
        <f t="array" ref="AT18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7" s="332" cm="1">
        <f t="array" ref="AU18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1896.4890700077565</v>
      </c>
      <c r="AV187" s="190" t="str" cm="1">
        <f t="array" ref="AV187">IF(tblPiNAnalysis5[[#This Row],[3rd Highest Target]]="", "", _xlfn.TEXTJOIN(CHAR(10), TRUE, IF(tblPiNAnalysis5[[#This Row],[3rd Highest Target]]=tblPiNAnalysis5[[#This Row],[CCCM]:[WASH]], tblPiNAnalysis5[[#Headers],[CCCM]:[WASH]], "")))</f>
        <v>Health</v>
      </c>
      <c r="AW187" s="190">
        <f>IFERROR(tblPiNAnalysis5[[#This Row],[3rd Highest Target]]/tblPiNAnalysis5[[#This Row],[Affected population projection 2026]], "")</f>
        <v>0.33560238365028427</v>
      </c>
      <c r="AX187" s="45">
        <f>IFERROR(tblPiNAnalysis5[[#This Row],[Highest Target]]-tblPiNAnalysis5[[#This Row],[3rd Highest Target]],"")</f>
        <v>1351.9638620910089</v>
      </c>
      <c r="AY187" s="39">
        <f>IFERROR(tblPiNAnalysis5[[#This Row],[Difference of Target between Highest and 3rd Highest]]/tblPiNAnalysis5[[#This Row],[3rd Highest Target]], "")</f>
        <v>0.71287722321831226</v>
      </c>
      <c r="AZ187" s="330" t="str" cm="1">
        <f t="array" ref="AZ18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87" s="300" t="str" cm="1">
        <f t="array" ref="BA18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7" s="333" t="str" cm="1">
        <f t="array" ref="BB18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87" s="276" t="str" cm="1">
        <f t="array" ref="BC18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7" s="334" t="str" cm="1">
        <f t="array" ref="BD18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87" s="277" t="e">
        <f>INDEX(tblSeverityAnalysis[Final Severity], MATCH(tblPiNAnalysis5[[#This Row],[ID]],tblSeverityAnalysis[ID], 0))</f>
        <v>#N/A</v>
      </c>
      <c r="BF187" s="61" t="e">
        <f>IF(tblPiNAnalysis5[[#This Row],[Severity]]&gt;2,tblPiNAnalysis5[[#This Row],[Highest Target]],)</f>
        <v>#N/A</v>
      </c>
      <c r="BG187" s="191"/>
      <c r="BH187" s="192"/>
      <c r="BI187" s="193">
        <f>COUNTIFS(tblPiNAnalysis5[[#This Row],[Number of missing / zero PiNs greater than threshold - Data quality]:[Manual Flag]],"Flagged")</f>
        <v>1</v>
      </c>
      <c r="BJ187" s="96" t="str">
        <f>IF(tblPiNAnalysis5[[#This Row],['# Flags]]&gt;0, "Flagged", "")</f>
        <v>Flagged</v>
      </c>
      <c r="BK187" s="326" t="e">
        <f>tblPiNAnalysis5[[#This Row],[Preliminary Target]]</f>
        <v>#N/A</v>
      </c>
      <c r="BL187" s="331"/>
    </row>
    <row r="188" spans="1:64" x14ac:dyDescent="0.55000000000000004">
      <c r="A1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8" s="316" t="s">
        <v>292</v>
      </c>
      <c r="C188" s="317" t="s">
        <v>293</v>
      </c>
      <c r="D188" s="317" t="s">
        <v>294</v>
      </c>
      <c r="E188" s="105" t="s">
        <v>295</v>
      </c>
      <c r="F188" s="100"/>
      <c r="G188" s="34"/>
      <c r="H188" s="34"/>
      <c r="I188" s="97">
        <v>3073.7142857142899</v>
      </c>
      <c r="J188" s="97" t="s">
        <v>414</v>
      </c>
      <c r="K188" s="318">
        <v>0</v>
      </c>
      <c r="L188" s="319">
        <v>294.37806985714326</v>
      </c>
      <c r="M188" s="319">
        <v>541.78376790242942</v>
      </c>
      <c r="N188" s="319">
        <v>566.62668387024894</v>
      </c>
      <c r="O188" s="319">
        <v>526.12910610323752</v>
      </c>
      <c r="P188" s="319">
        <v>125.65107543710594</v>
      </c>
      <c r="Q188" s="320">
        <v>489.60975306122515</v>
      </c>
      <c r="R188" s="319">
        <v>768.42857142857258</v>
      </c>
      <c r="S188" s="319"/>
      <c r="T188" s="319"/>
      <c r="U188" s="319"/>
      <c r="V188" s="319"/>
      <c r="W188" s="321">
        <f>IFERROR(IF(tblPiNAnalysis5[[#This Row],[CCCM]]="", "", MROUND(tblPiNAnalysis5[[#This Row],[CCCM]]/tblPiNAnalysis5[[#This Row],[Affected population projection 2026]], 0.05)), "")</f>
        <v>0</v>
      </c>
      <c r="X188" s="322">
        <f>IFERROR(IF(tblPiNAnalysis5[[#This Row],[Education]]="", "", MROUND(tblPiNAnalysis5[[#This Row],[Education]]/tblPiNAnalysis5[[#This Row],[Affected population projection 2026]], 0.05)), "")</f>
        <v>0.1</v>
      </c>
      <c r="Y188" s="322">
        <f>IFERROR(IF(tblPiNAnalysis5[[#This Row],[Nutrition]]="", "", MROUND(tblPiNAnalysis5[[#This Row],[Nutrition]]/tblPiNAnalysis5[[#This Row],[Affected population projection 2026]], 0.05)), "")</f>
        <v>0.2</v>
      </c>
      <c r="Z188" s="322">
        <f>IFERROR(IF(tblPiNAnalysis5[[#This Row],[Food Security]]="", "", MROUND(tblPiNAnalysis5[[#This Row],[Food Security]]/tblPiNAnalysis5[[#This Row],[Affected population projection 2026]], 0.05)), "")</f>
        <v>0.2</v>
      </c>
      <c r="AA188" s="322">
        <f>IFERROR(IF(tblPiNAnalysis5[[#This Row],[Health]]="", "", MROUND(tblPiNAnalysis5[[#This Row],[Health]]/tblPiNAnalysis5[[#This Row],[Affected population projection 2026]], 0.05)), "")</f>
        <v>0.15000000000000002</v>
      </c>
      <c r="AB188" s="323">
        <f>IFERROR(IF(tblPiNAnalysis5[[#This Row],[Overarching Protection]]="", "", MROUND(tblPiNAnalysis5[[#This Row],[Overarching Protection]]/tblPiNAnalysis5[[#This Row],[Affected population projection 2026]], 0.05)), "")</f>
        <v>0.05</v>
      </c>
      <c r="AC188" s="323">
        <f>IFERROR(IF(tblPiNAnalysis5[[#This Row],[Shelter]]="", "", MROUND(tblPiNAnalysis5[[#This Row],[Shelter]]/tblPiNAnalysis5[[#This Row],[Affected population projection 2026]], 0.05)), "")</f>
        <v>0.15000000000000002</v>
      </c>
      <c r="AD188" s="324">
        <f>IFERROR(IF(tblPiNAnalysis5[[#This Row],[WASH]]="", "", MROUND(tblPiNAnalysis5[[#This Row],[WASH]]/tblPiNAnalysis5[[#This Row],[Affected population projection 2026]], 0.05)), "")</f>
        <v>0.25</v>
      </c>
      <c r="AE188" s="322">
        <f>IFERROR(MROUND(tblPiNAnalysis5[[#This Row],[CP]]/tblPiNAnalysis5[[#This Row],[Affected population projection 2026]], 0.05), "")</f>
        <v>0</v>
      </c>
      <c r="AF188" s="322">
        <f>IFERROR(MROUND(tblPiNAnalysis5[[#This Row],[GBV]]/tblPiNAnalysis5[[#This Row],[Affected population projection 2026]], 0.05), "")</f>
        <v>0</v>
      </c>
      <c r="AG188" s="322">
        <f>IFERROR(MROUND(tblPiNAnalysis5[[#This Row],[Mine Action]]/tblPiNAnalysis5[[#This Row],[Affected population projection 2026]], 0.05), "")</f>
        <v>0</v>
      </c>
      <c r="AH188" s="322">
        <f>IFERROR(MROUND(tblPiNAnalysis5[[#This Row],[HLP]]/tblPiNAnalysis5[[#This Row],[Affected population projection 2026]], 0.05), "")</f>
        <v>0</v>
      </c>
      <c r="AI188" s="325">
        <f>IFERROR(LARGE(tblPiNAnalysis5[[#This Row],[CCCM]:[WASH]], 1), "")</f>
        <v>768.42857142857258</v>
      </c>
      <c r="AJ188" s="326" t="str" cm="1">
        <f t="array" ref="AJ188">IF(tblPiNAnalysis5[[#This Row],[Highest Target]]="", "", _xlfn.TEXTJOIN(CHAR(10), TRUE, IF(tblPiNAnalysis5[[#This Row],[Highest Target]]=tblPiNAnalysis5[[#This Row],[CCCM]:[WASH]], tblPiNAnalysis5[[#Headers],[CCCM]:[WASH]], "")))</f>
        <v>WASH</v>
      </c>
      <c r="AK188" s="327">
        <f>IF(tblPiNAnalysis5[[#This Row],[Highest Target]]="", "", tblPiNAnalysis5[[#This Row],[Highest Target]]/tblPiNAnalysis5[[#This Row],[Affected population projection 2026]])</f>
        <v>0.25000000000000006</v>
      </c>
      <c r="AL188" s="328" t="str">
        <f>IF(SUM(tblPiNAnalysis5[[#This Row],[CCCM]:[WASH]])=0, "",IF(COUNTIF(tblPiNAnalysis5[[#This Row],[CCCM]:[WASH]],"=0")+COUNTIF(tblPiNAnalysis5[[#This Row],[CCCM]:[WASH]],"")&gt;=zero_pin_thresh, "Flagged", ""))</f>
        <v/>
      </c>
      <c r="AM188" s="329" t="str">
        <f>IFERROR(IF(tblPiNAnalysis5[[#This Row],[Highest Target]]="", "", IF(tblPiNAnalysis5[[#This Row],[Highest sector(s'') Target %]]&gt;=flag_pin_perc, "Flagged", "")), "")</f>
        <v/>
      </c>
      <c r="AN188" s="330" t="str" cm="1">
        <f t="array" ref="AN188">IF(tblPiNAnalysis5[[#This Row],[Highest Target]]=0, "",  IF(OR(COUNTIF(tblPiNAnalysis5[[#This Row],[Highest sector(s)]],tblSubSectorPopulation[Sector])), "Flagged", ""))</f>
        <v/>
      </c>
      <c r="AO188" s="46" cm="1">
        <f t="array" ref="AO18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566.62668387024894</v>
      </c>
      <c r="AP188" s="331" t="str" cm="1">
        <f t="array" ref="AP188">IF(tblPiNAnalysis5[[#This Row],[2nd Highest Target]]="", "", _xlfn.TEXTJOIN(CHAR(10), TRUE, IF(tblPiNAnalysis5[[#This Row],[2nd Highest Target]]=tblPiNAnalysis5[[#This Row],[CCCM]:[WASH]], tblPiNAnalysis5[[#Headers],[CCCM]:[WASH]], "")))</f>
        <v>Food Security</v>
      </c>
      <c r="AQ188" s="36">
        <f>IFERROR(tblPiNAnalysis5[[#This Row],[2nd Highest Target]]/tblPiNAnalysis5[[#This Row],[Affected population projection 2026]], "")</f>
        <v>0.18434591871592013</v>
      </c>
      <c r="AR188" s="46">
        <f>IFERROR(tblPiNAnalysis5[[#This Row],[Highest Target]]-tblPiNAnalysis5[[#This Row],[2nd Highest Target]], "")</f>
        <v>201.80188755832364</v>
      </c>
      <c r="AS188" s="39">
        <f>IFERROR(((tblPiNAnalysis5[[#This Row],[Highest Target]]-tblPiNAnalysis5[[#This Row],[2nd Highest Target]])/tblPiNAnalysis5[[#This Row],[2nd Highest Target]]),"")</f>
        <v>0.35614610695696425</v>
      </c>
      <c r="AT188" s="39" t="str" cm="1">
        <f t="array" ref="AT18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88" s="332" cm="1">
        <f t="array" ref="AU18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541.78376790242942</v>
      </c>
      <c r="AV188" s="190" t="str" cm="1">
        <f t="array" ref="AV188">IF(tblPiNAnalysis5[[#This Row],[3rd Highest Target]]="", "", _xlfn.TEXTJOIN(CHAR(10), TRUE, IF(tblPiNAnalysis5[[#This Row],[3rd Highest Target]]=tblPiNAnalysis5[[#This Row],[CCCM]:[WASH]], tblPiNAnalysis5[[#Headers],[CCCM]:[WASH]], "")))</f>
        <v>Nutrition</v>
      </c>
      <c r="AW188" s="190">
        <f>IFERROR(tblPiNAnalysis5[[#This Row],[3rd Highest Target]]/tblPiNAnalysis5[[#This Row],[Affected population projection 2026]], "")</f>
        <v>0.17626354226236293</v>
      </c>
      <c r="AX188" s="45">
        <f>IFERROR(tblPiNAnalysis5[[#This Row],[Highest Target]]-tblPiNAnalysis5[[#This Row],[3rd Highest Target]],"")</f>
        <v>226.64480352614316</v>
      </c>
      <c r="AY188" s="39">
        <f>IFERROR(tblPiNAnalysis5[[#This Row],[Difference of Target between Highest and 3rd Highest]]/tblPiNAnalysis5[[#This Row],[3rd Highest Target]], "")</f>
        <v>0.41833073811646559</v>
      </c>
      <c r="AZ188" s="330" t="str" cm="1">
        <f t="array" ref="AZ18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8" s="300" t="str" cm="1">
        <f t="array" ref="BA18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8" s="333" t="str" cm="1">
        <f t="array" ref="BB18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88" s="276" t="str" cm="1">
        <f t="array" ref="BC18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8" s="334" t="str" cm="1">
        <f t="array" ref="BD18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88" s="277" t="e">
        <f>INDEX(tblSeverityAnalysis[Final Severity], MATCH(tblPiNAnalysis5[[#This Row],[ID]],tblSeverityAnalysis[ID], 0))</f>
        <v>#N/A</v>
      </c>
      <c r="BF188" s="61" t="e">
        <f>IF(tblPiNAnalysis5[[#This Row],[Severity]]&gt;2,tblPiNAnalysis5[[#This Row],[Highest Target]],)</f>
        <v>#N/A</v>
      </c>
      <c r="BG188" s="191"/>
      <c r="BH188" s="192"/>
      <c r="BI188" s="193">
        <f>COUNTIFS(tblPiNAnalysis5[[#This Row],[Number of missing / zero PiNs greater than threshold - Data quality]:[Manual Flag]],"Flagged")</f>
        <v>1</v>
      </c>
      <c r="BJ188" s="96" t="str">
        <f>IF(tblPiNAnalysis5[[#This Row],['# Flags]]&gt;0, "Flagged", "")</f>
        <v>Flagged</v>
      </c>
      <c r="BK188" s="326" t="e">
        <f>tblPiNAnalysis5[[#This Row],[Preliminary Target]]</f>
        <v>#N/A</v>
      </c>
      <c r="BL188" s="331"/>
    </row>
    <row r="189" spans="1:64" ht="110.7" x14ac:dyDescent="0.55000000000000004">
      <c r="A1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9" s="316" t="s">
        <v>292</v>
      </c>
      <c r="C189" s="317" t="s">
        <v>293</v>
      </c>
      <c r="D189" s="317" t="s">
        <v>296</v>
      </c>
      <c r="E189" s="105" t="s">
        <v>297</v>
      </c>
      <c r="F189" s="100"/>
      <c r="G189" s="34"/>
      <c r="H189" s="34"/>
      <c r="I189" s="97">
        <v>1148</v>
      </c>
      <c r="J189" s="97" t="s">
        <v>414</v>
      </c>
      <c r="K189" s="318">
        <v>0</v>
      </c>
      <c r="L189" s="319">
        <v>0</v>
      </c>
      <c r="M189" s="319">
        <v>0</v>
      </c>
      <c r="N189" s="319">
        <v>0</v>
      </c>
      <c r="O189" s="319">
        <v>0</v>
      </c>
      <c r="P189" s="319">
        <v>0</v>
      </c>
      <c r="Q189" s="320">
        <v>0</v>
      </c>
      <c r="R189" s="319">
        <v>0</v>
      </c>
      <c r="S189" s="319"/>
      <c r="T189" s="319"/>
      <c r="U189" s="319"/>
      <c r="V189" s="319"/>
      <c r="W189" s="321">
        <f>IFERROR(IF(tblPiNAnalysis5[[#This Row],[CCCM]]="", "", MROUND(tblPiNAnalysis5[[#This Row],[CCCM]]/tblPiNAnalysis5[[#This Row],[Affected population projection 2026]], 0.05)), "")</f>
        <v>0</v>
      </c>
      <c r="X189" s="322">
        <f>IFERROR(IF(tblPiNAnalysis5[[#This Row],[Education]]="", "", MROUND(tblPiNAnalysis5[[#This Row],[Education]]/tblPiNAnalysis5[[#This Row],[Affected population projection 2026]], 0.05)), "")</f>
        <v>0</v>
      </c>
      <c r="Y189" s="322">
        <f>IFERROR(IF(tblPiNAnalysis5[[#This Row],[Nutrition]]="", "", MROUND(tblPiNAnalysis5[[#This Row],[Nutrition]]/tblPiNAnalysis5[[#This Row],[Affected population projection 2026]], 0.05)), "")</f>
        <v>0</v>
      </c>
      <c r="Z189" s="322">
        <f>IFERROR(IF(tblPiNAnalysis5[[#This Row],[Food Security]]="", "", MROUND(tblPiNAnalysis5[[#This Row],[Food Security]]/tblPiNAnalysis5[[#This Row],[Affected population projection 2026]], 0.05)), "")</f>
        <v>0</v>
      </c>
      <c r="AA189" s="322">
        <f>IFERROR(IF(tblPiNAnalysis5[[#This Row],[Health]]="", "", MROUND(tblPiNAnalysis5[[#This Row],[Health]]/tblPiNAnalysis5[[#This Row],[Affected population projection 2026]], 0.05)), "")</f>
        <v>0</v>
      </c>
      <c r="AB189" s="323">
        <f>IFERROR(IF(tblPiNAnalysis5[[#This Row],[Overarching Protection]]="", "", MROUND(tblPiNAnalysis5[[#This Row],[Overarching Protection]]/tblPiNAnalysis5[[#This Row],[Affected population projection 2026]], 0.05)), "")</f>
        <v>0</v>
      </c>
      <c r="AC189" s="323">
        <f>IFERROR(IF(tblPiNAnalysis5[[#This Row],[Shelter]]="", "", MROUND(tblPiNAnalysis5[[#This Row],[Shelter]]/tblPiNAnalysis5[[#This Row],[Affected population projection 2026]], 0.05)), "")</f>
        <v>0</v>
      </c>
      <c r="AD189" s="324">
        <f>IFERROR(IF(tblPiNAnalysis5[[#This Row],[WASH]]="", "", MROUND(tblPiNAnalysis5[[#This Row],[WASH]]/tblPiNAnalysis5[[#This Row],[Affected population projection 2026]], 0.05)), "")</f>
        <v>0</v>
      </c>
      <c r="AE189" s="322">
        <f>IFERROR(MROUND(tblPiNAnalysis5[[#This Row],[CP]]/tblPiNAnalysis5[[#This Row],[Affected population projection 2026]], 0.05), "")</f>
        <v>0</v>
      </c>
      <c r="AF189" s="322">
        <f>IFERROR(MROUND(tblPiNAnalysis5[[#This Row],[GBV]]/tblPiNAnalysis5[[#This Row],[Affected population projection 2026]], 0.05), "")</f>
        <v>0</v>
      </c>
      <c r="AG189" s="322">
        <f>IFERROR(MROUND(tblPiNAnalysis5[[#This Row],[Mine Action]]/tblPiNAnalysis5[[#This Row],[Affected population projection 2026]], 0.05), "")</f>
        <v>0</v>
      </c>
      <c r="AH189" s="322">
        <f>IFERROR(MROUND(tblPiNAnalysis5[[#This Row],[HLP]]/tblPiNAnalysis5[[#This Row],[Affected population projection 2026]], 0.05), "")</f>
        <v>0</v>
      </c>
      <c r="AI189" s="325">
        <f>IFERROR(LARGE(tblPiNAnalysis5[[#This Row],[CCCM]:[WASH]], 1), "")</f>
        <v>0</v>
      </c>
      <c r="AJ189" s="326" t="str" cm="1">
        <f t="array" ref="AJ189">IF(tblPiNAnalysis5[[#This Row],[Highest Target]]="", "", _xlfn.TEXTJOIN(CHAR(10), TRUE, IF(tblPiNAnalysis5[[#This Row],[Highest Target]]=tblPiNAnalysis5[[#This Row],[CCCM]:[WASH]], tblPiNAnalysis5[[#Headers],[CCCM]:[WASH]], "")))</f>
        <v>CCCM
Education
Nutrition
Food Security
Health
Overarching Protection
Shelter
WASH</v>
      </c>
      <c r="AK189" s="327">
        <f>IF(tblPiNAnalysis5[[#This Row],[Highest Target]]="", "", tblPiNAnalysis5[[#This Row],[Highest Target]]/tblPiNAnalysis5[[#This Row],[Affected population projection 2026]])</f>
        <v>0</v>
      </c>
      <c r="AL189" s="328" t="str">
        <f>IF(SUM(tblPiNAnalysis5[[#This Row],[CCCM]:[WASH]])=0, "",IF(COUNTIF(tblPiNAnalysis5[[#This Row],[CCCM]:[WASH]],"=0")+COUNTIF(tblPiNAnalysis5[[#This Row],[CCCM]:[WASH]],"")&gt;=zero_pin_thresh, "Flagged", ""))</f>
        <v/>
      </c>
      <c r="AM189" s="329" t="str">
        <f>IFERROR(IF(tblPiNAnalysis5[[#This Row],[Highest Target]]="", "", IF(tblPiNAnalysis5[[#This Row],[Highest sector(s'') Target %]]&gt;=flag_pin_perc, "Flagged", "")), "")</f>
        <v/>
      </c>
      <c r="AN189" s="330" t="str" cm="1">
        <f t="array" ref="AN189">IF(tblPiNAnalysis5[[#This Row],[Highest Target]]=0, "",  IF(OR(COUNTIF(tblPiNAnalysis5[[#This Row],[Highest sector(s)]],tblSubSectorPopulation[Sector])), "Flagged", ""))</f>
        <v/>
      </c>
      <c r="AO189" s="46" cm="1">
        <f t="array" ref="AO18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89" s="331" t="str" cm="1">
        <f t="array" ref="AP189">IF(tblPiNAnalysis5[[#This Row],[2nd Highest Target]]="", "", _xlfn.TEXTJOIN(CHAR(10), TRUE, IF(tblPiNAnalysis5[[#This Row],[2nd Highest Target]]=tblPiNAnalysis5[[#This Row],[CCCM]:[WASH]], tblPiNAnalysis5[[#Headers],[CCCM]:[WASH]], "")))</f>
        <v>CCCM
Education
Nutrition
Food Security
Health
Overarching Protection
Shelter
WASH</v>
      </c>
      <c r="AQ189" s="36">
        <f>IFERROR(tblPiNAnalysis5[[#This Row],[2nd Highest Target]]/tblPiNAnalysis5[[#This Row],[Affected population projection 2026]], "")</f>
        <v>0</v>
      </c>
      <c r="AR189" s="46">
        <f>IFERROR(tblPiNAnalysis5[[#This Row],[Highest Target]]-tblPiNAnalysis5[[#This Row],[2nd Highest Target]], "")</f>
        <v>0</v>
      </c>
      <c r="AS189" s="39" t="str">
        <f>IFERROR(((tblPiNAnalysis5[[#This Row],[Highest Target]]-tblPiNAnalysis5[[#This Row],[2nd Highest Target]])/tblPiNAnalysis5[[#This Row],[2nd Highest Target]]),"")</f>
        <v/>
      </c>
      <c r="AT189" s="39" t="str" cm="1">
        <f t="array" ref="AT18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89" s="332" cm="1">
        <f t="array" ref="AU18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89" s="190" t="str" cm="1">
        <f t="array" ref="AV189">IF(tblPiNAnalysis5[[#This Row],[3rd Highest Target]]="", "", _xlfn.TEXTJOIN(CHAR(10), TRUE, IF(tblPiNAnalysis5[[#This Row],[3rd Highest Target]]=tblPiNAnalysis5[[#This Row],[CCCM]:[WASH]], tblPiNAnalysis5[[#Headers],[CCCM]:[WASH]], "")))</f>
        <v>CCCM
Education
Nutrition
Food Security
Health
Overarching Protection
Shelter
WASH</v>
      </c>
      <c r="AW189" s="190">
        <f>IFERROR(tblPiNAnalysis5[[#This Row],[3rd Highest Target]]/tblPiNAnalysis5[[#This Row],[Affected population projection 2026]], "")</f>
        <v>0</v>
      </c>
      <c r="AX189" s="45">
        <f>IFERROR(tblPiNAnalysis5[[#This Row],[Highest Target]]-tblPiNAnalysis5[[#This Row],[3rd Highest Target]],"")</f>
        <v>0</v>
      </c>
      <c r="AY189" s="39" t="str">
        <f>IFERROR(tblPiNAnalysis5[[#This Row],[Difference of Target between Highest and 3rd Highest]]/tblPiNAnalysis5[[#This Row],[3rd Highest Target]], "")</f>
        <v/>
      </c>
      <c r="AZ189" s="330" t="str" cm="1">
        <f t="array" ref="AZ18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89" s="300" t="str" cm="1">
        <f t="array" ref="BA18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89" s="333" t="str" cm="1">
        <f t="array" ref="BB18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89" s="276" t="str" cm="1">
        <f t="array" ref="BC18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89" s="334" t="str" cm="1">
        <f t="array" ref="BD18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89" s="277" t="e">
        <f>INDEX(tblSeverityAnalysis[Final Severity], MATCH(tblPiNAnalysis5[[#This Row],[ID]],tblSeverityAnalysis[ID], 0))</f>
        <v>#N/A</v>
      </c>
      <c r="BF189" s="61" t="e">
        <f>IF(tblPiNAnalysis5[[#This Row],[Severity]]&gt;2,tblPiNAnalysis5[[#This Row],[Highest Target]],)</f>
        <v>#N/A</v>
      </c>
      <c r="BG189" s="191"/>
      <c r="BH189" s="192"/>
      <c r="BI189" s="193">
        <f>COUNTIFS(tblPiNAnalysis5[[#This Row],[Number of missing / zero PiNs greater than threshold - Data quality]:[Manual Flag]],"Flagged")</f>
        <v>2</v>
      </c>
      <c r="BJ189" s="96" t="str">
        <f>IF(tblPiNAnalysis5[[#This Row],['# Flags]]&gt;0, "Flagged", "")</f>
        <v>Flagged</v>
      </c>
      <c r="BK189" s="326" t="e">
        <f>tblPiNAnalysis5[[#This Row],[Preliminary Target]]</f>
        <v>#N/A</v>
      </c>
      <c r="BL189" s="331"/>
    </row>
    <row r="190" spans="1:64" ht="110.7" x14ac:dyDescent="0.55000000000000004">
      <c r="A1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0" s="316" t="s">
        <v>292</v>
      </c>
      <c r="C190" s="317" t="s">
        <v>293</v>
      </c>
      <c r="D190" s="317" t="s">
        <v>298</v>
      </c>
      <c r="E190" s="105" t="s">
        <v>299</v>
      </c>
      <c r="F190" s="100"/>
      <c r="G190" s="34"/>
      <c r="H190" s="34"/>
      <c r="I190" s="97">
        <v>2881</v>
      </c>
      <c r="J190" s="97" t="s">
        <v>414</v>
      </c>
      <c r="K190" s="318">
        <v>0</v>
      </c>
      <c r="L190" s="319">
        <v>0</v>
      </c>
      <c r="M190" s="319">
        <v>0</v>
      </c>
      <c r="N190" s="319">
        <v>0</v>
      </c>
      <c r="O190" s="319">
        <v>0</v>
      </c>
      <c r="P190" s="319">
        <v>0</v>
      </c>
      <c r="Q190" s="320">
        <v>0</v>
      </c>
      <c r="R190" s="319">
        <v>0</v>
      </c>
      <c r="S190" s="319"/>
      <c r="T190" s="319"/>
      <c r="U190" s="319"/>
      <c r="V190" s="319"/>
      <c r="W190" s="321">
        <f>IFERROR(IF(tblPiNAnalysis5[[#This Row],[CCCM]]="", "", MROUND(tblPiNAnalysis5[[#This Row],[CCCM]]/tblPiNAnalysis5[[#This Row],[Affected population projection 2026]], 0.05)), "")</f>
        <v>0</v>
      </c>
      <c r="X190" s="322">
        <f>IFERROR(IF(tblPiNAnalysis5[[#This Row],[Education]]="", "", MROUND(tblPiNAnalysis5[[#This Row],[Education]]/tblPiNAnalysis5[[#This Row],[Affected population projection 2026]], 0.05)), "")</f>
        <v>0</v>
      </c>
      <c r="Y190" s="322">
        <f>IFERROR(IF(tblPiNAnalysis5[[#This Row],[Nutrition]]="", "", MROUND(tblPiNAnalysis5[[#This Row],[Nutrition]]/tblPiNAnalysis5[[#This Row],[Affected population projection 2026]], 0.05)), "")</f>
        <v>0</v>
      </c>
      <c r="Z190" s="322">
        <f>IFERROR(IF(tblPiNAnalysis5[[#This Row],[Food Security]]="", "", MROUND(tblPiNAnalysis5[[#This Row],[Food Security]]/tblPiNAnalysis5[[#This Row],[Affected population projection 2026]], 0.05)), "")</f>
        <v>0</v>
      </c>
      <c r="AA190" s="322">
        <f>IFERROR(IF(tblPiNAnalysis5[[#This Row],[Health]]="", "", MROUND(tblPiNAnalysis5[[#This Row],[Health]]/tblPiNAnalysis5[[#This Row],[Affected population projection 2026]], 0.05)), "")</f>
        <v>0</v>
      </c>
      <c r="AB190" s="323">
        <f>IFERROR(IF(tblPiNAnalysis5[[#This Row],[Overarching Protection]]="", "", MROUND(tblPiNAnalysis5[[#This Row],[Overarching Protection]]/tblPiNAnalysis5[[#This Row],[Affected population projection 2026]], 0.05)), "")</f>
        <v>0</v>
      </c>
      <c r="AC190" s="323">
        <f>IFERROR(IF(tblPiNAnalysis5[[#This Row],[Shelter]]="", "", MROUND(tblPiNAnalysis5[[#This Row],[Shelter]]/tblPiNAnalysis5[[#This Row],[Affected population projection 2026]], 0.05)), "")</f>
        <v>0</v>
      </c>
      <c r="AD190" s="324">
        <f>IFERROR(IF(tblPiNAnalysis5[[#This Row],[WASH]]="", "", MROUND(tblPiNAnalysis5[[#This Row],[WASH]]/tblPiNAnalysis5[[#This Row],[Affected population projection 2026]], 0.05)), "")</f>
        <v>0</v>
      </c>
      <c r="AE190" s="322">
        <f>IFERROR(MROUND(tblPiNAnalysis5[[#This Row],[CP]]/tblPiNAnalysis5[[#This Row],[Affected population projection 2026]], 0.05), "")</f>
        <v>0</v>
      </c>
      <c r="AF190" s="322">
        <f>IFERROR(MROUND(tblPiNAnalysis5[[#This Row],[GBV]]/tblPiNAnalysis5[[#This Row],[Affected population projection 2026]], 0.05), "")</f>
        <v>0</v>
      </c>
      <c r="AG190" s="322">
        <f>IFERROR(MROUND(tblPiNAnalysis5[[#This Row],[Mine Action]]/tblPiNAnalysis5[[#This Row],[Affected population projection 2026]], 0.05), "")</f>
        <v>0</v>
      </c>
      <c r="AH190" s="322">
        <f>IFERROR(MROUND(tblPiNAnalysis5[[#This Row],[HLP]]/tblPiNAnalysis5[[#This Row],[Affected population projection 2026]], 0.05), "")</f>
        <v>0</v>
      </c>
      <c r="AI190" s="325">
        <f>IFERROR(LARGE(tblPiNAnalysis5[[#This Row],[CCCM]:[WASH]], 1), "")</f>
        <v>0</v>
      </c>
      <c r="AJ190" s="326" t="str" cm="1">
        <f t="array" ref="AJ190">IF(tblPiNAnalysis5[[#This Row],[Highest Target]]="", "", _xlfn.TEXTJOIN(CHAR(10), TRUE, IF(tblPiNAnalysis5[[#This Row],[Highest Target]]=tblPiNAnalysis5[[#This Row],[CCCM]:[WASH]], tblPiNAnalysis5[[#Headers],[CCCM]:[WASH]], "")))</f>
        <v>CCCM
Education
Nutrition
Food Security
Health
Overarching Protection
Shelter
WASH</v>
      </c>
      <c r="AK190" s="327">
        <f>IF(tblPiNAnalysis5[[#This Row],[Highest Target]]="", "", tblPiNAnalysis5[[#This Row],[Highest Target]]/tblPiNAnalysis5[[#This Row],[Affected population projection 2026]])</f>
        <v>0</v>
      </c>
      <c r="AL190" s="328" t="str">
        <f>IF(SUM(tblPiNAnalysis5[[#This Row],[CCCM]:[WASH]])=0, "",IF(COUNTIF(tblPiNAnalysis5[[#This Row],[CCCM]:[WASH]],"=0")+COUNTIF(tblPiNAnalysis5[[#This Row],[CCCM]:[WASH]],"")&gt;=zero_pin_thresh, "Flagged", ""))</f>
        <v/>
      </c>
      <c r="AM190" s="329" t="str">
        <f>IFERROR(IF(tblPiNAnalysis5[[#This Row],[Highest Target]]="", "", IF(tblPiNAnalysis5[[#This Row],[Highest sector(s'') Target %]]&gt;=flag_pin_perc, "Flagged", "")), "")</f>
        <v/>
      </c>
      <c r="AN190" s="330" t="str" cm="1">
        <f t="array" ref="AN190">IF(tblPiNAnalysis5[[#This Row],[Highest Target]]=0, "",  IF(OR(COUNTIF(tblPiNAnalysis5[[#This Row],[Highest sector(s)]],tblSubSectorPopulation[Sector])), "Flagged", ""))</f>
        <v/>
      </c>
      <c r="AO190" s="46" cm="1">
        <f t="array" ref="AO19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90" s="331" t="str" cm="1">
        <f t="array" ref="AP190">IF(tblPiNAnalysis5[[#This Row],[2nd Highest Target]]="", "", _xlfn.TEXTJOIN(CHAR(10), TRUE, IF(tblPiNAnalysis5[[#This Row],[2nd Highest Target]]=tblPiNAnalysis5[[#This Row],[CCCM]:[WASH]], tblPiNAnalysis5[[#Headers],[CCCM]:[WASH]], "")))</f>
        <v>CCCM
Education
Nutrition
Food Security
Health
Overarching Protection
Shelter
WASH</v>
      </c>
      <c r="AQ190" s="36">
        <f>IFERROR(tblPiNAnalysis5[[#This Row],[2nd Highest Target]]/tblPiNAnalysis5[[#This Row],[Affected population projection 2026]], "")</f>
        <v>0</v>
      </c>
      <c r="AR190" s="46">
        <f>IFERROR(tblPiNAnalysis5[[#This Row],[Highest Target]]-tblPiNAnalysis5[[#This Row],[2nd Highest Target]], "")</f>
        <v>0</v>
      </c>
      <c r="AS190" s="39" t="str">
        <f>IFERROR(((tblPiNAnalysis5[[#This Row],[Highest Target]]-tblPiNAnalysis5[[#This Row],[2nd Highest Target]])/tblPiNAnalysis5[[#This Row],[2nd Highest Target]]),"")</f>
        <v/>
      </c>
      <c r="AT190" s="39" t="str" cm="1">
        <f t="array" ref="AT19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0" s="332" cm="1">
        <f t="array" ref="AU19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90" s="190" t="str" cm="1">
        <f t="array" ref="AV190">IF(tblPiNAnalysis5[[#This Row],[3rd Highest Target]]="", "", _xlfn.TEXTJOIN(CHAR(10), TRUE, IF(tblPiNAnalysis5[[#This Row],[3rd Highest Target]]=tblPiNAnalysis5[[#This Row],[CCCM]:[WASH]], tblPiNAnalysis5[[#Headers],[CCCM]:[WASH]], "")))</f>
        <v>CCCM
Education
Nutrition
Food Security
Health
Overarching Protection
Shelter
WASH</v>
      </c>
      <c r="AW190" s="190">
        <f>IFERROR(tblPiNAnalysis5[[#This Row],[3rd Highest Target]]/tblPiNAnalysis5[[#This Row],[Affected population projection 2026]], "")</f>
        <v>0</v>
      </c>
      <c r="AX190" s="45">
        <f>IFERROR(tblPiNAnalysis5[[#This Row],[Highest Target]]-tblPiNAnalysis5[[#This Row],[3rd Highest Target]],"")</f>
        <v>0</v>
      </c>
      <c r="AY190" s="39" t="str">
        <f>IFERROR(tblPiNAnalysis5[[#This Row],[Difference of Target between Highest and 3rd Highest]]/tblPiNAnalysis5[[#This Row],[3rd Highest Target]], "")</f>
        <v/>
      </c>
      <c r="AZ190" s="330" t="str" cm="1">
        <f t="array" ref="AZ19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0" s="300" t="str" cm="1">
        <f t="array" ref="BA19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0" s="333" t="str" cm="1">
        <f t="array" ref="BB19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0" s="276" t="str" cm="1">
        <f t="array" ref="BC19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0" s="334" t="str" cm="1">
        <f t="array" ref="BD19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0" s="277" t="e">
        <f>INDEX(tblSeverityAnalysis[Final Severity], MATCH(tblPiNAnalysis5[[#This Row],[ID]],tblSeverityAnalysis[ID], 0))</f>
        <v>#N/A</v>
      </c>
      <c r="BF190" s="61" t="e">
        <f>IF(tblPiNAnalysis5[[#This Row],[Severity]]&gt;2,tblPiNAnalysis5[[#This Row],[Highest Target]],)</f>
        <v>#N/A</v>
      </c>
      <c r="BG190" s="191"/>
      <c r="BH190" s="192"/>
      <c r="BI190" s="193">
        <f>COUNTIFS(tblPiNAnalysis5[[#This Row],[Number of missing / zero PiNs greater than threshold - Data quality]:[Manual Flag]],"Flagged")</f>
        <v>2</v>
      </c>
      <c r="BJ190" s="96" t="str">
        <f>IF(tblPiNAnalysis5[[#This Row],['# Flags]]&gt;0, "Flagged", "")</f>
        <v>Flagged</v>
      </c>
      <c r="BK190" s="326" t="e">
        <f>tblPiNAnalysis5[[#This Row],[Preliminary Target]]</f>
        <v>#N/A</v>
      </c>
      <c r="BL190" s="331"/>
    </row>
    <row r="191" spans="1:64" ht="110.7" x14ac:dyDescent="0.55000000000000004">
      <c r="A1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1" s="316" t="s">
        <v>292</v>
      </c>
      <c r="C191" s="317" t="s">
        <v>293</v>
      </c>
      <c r="D191" s="317" t="s">
        <v>300</v>
      </c>
      <c r="E191" s="105" t="s">
        <v>301</v>
      </c>
      <c r="F191" s="100"/>
      <c r="G191" s="34"/>
      <c r="H191" s="34"/>
      <c r="I191" s="97">
        <v>6622</v>
      </c>
      <c r="J191" s="97" t="s">
        <v>414</v>
      </c>
      <c r="K191" s="318">
        <v>0</v>
      </c>
      <c r="L191" s="319">
        <v>0</v>
      </c>
      <c r="M191" s="319">
        <v>0</v>
      </c>
      <c r="N191" s="319">
        <v>0</v>
      </c>
      <c r="O191" s="319">
        <v>0</v>
      </c>
      <c r="P191" s="319">
        <v>0</v>
      </c>
      <c r="Q191" s="320">
        <v>0</v>
      </c>
      <c r="R191" s="319">
        <v>0</v>
      </c>
      <c r="S191" s="319"/>
      <c r="T191" s="319"/>
      <c r="U191" s="319"/>
      <c r="V191" s="319"/>
      <c r="W191" s="321">
        <f>IFERROR(IF(tblPiNAnalysis5[[#This Row],[CCCM]]="", "", MROUND(tblPiNAnalysis5[[#This Row],[CCCM]]/tblPiNAnalysis5[[#This Row],[Affected population projection 2026]], 0.05)), "")</f>
        <v>0</v>
      </c>
      <c r="X191" s="322">
        <f>IFERROR(IF(tblPiNAnalysis5[[#This Row],[Education]]="", "", MROUND(tblPiNAnalysis5[[#This Row],[Education]]/tblPiNAnalysis5[[#This Row],[Affected population projection 2026]], 0.05)), "")</f>
        <v>0</v>
      </c>
      <c r="Y191" s="322">
        <f>IFERROR(IF(tblPiNAnalysis5[[#This Row],[Nutrition]]="", "", MROUND(tblPiNAnalysis5[[#This Row],[Nutrition]]/tblPiNAnalysis5[[#This Row],[Affected population projection 2026]], 0.05)), "")</f>
        <v>0</v>
      </c>
      <c r="Z191" s="322">
        <f>IFERROR(IF(tblPiNAnalysis5[[#This Row],[Food Security]]="", "", MROUND(tblPiNAnalysis5[[#This Row],[Food Security]]/tblPiNAnalysis5[[#This Row],[Affected population projection 2026]], 0.05)), "")</f>
        <v>0</v>
      </c>
      <c r="AA191" s="322">
        <f>IFERROR(IF(tblPiNAnalysis5[[#This Row],[Health]]="", "", MROUND(tblPiNAnalysis5[[#This Row],[Health]]/tblPiNAnalysis5[[#This Row],[Affected population projection 2026]], 0.05)), "")</f>
        <v>0</v>
      </c>
      <c r="AB191" s="323">
        <f>IFERROR(IF(tblPiNAnalysis5[[#This Row],[Overarching Protection]]="", "", MROUND(tblPiNAnalysis5[[#This Row],[Overarching Protection]]/tblPiNAnalysis5[[#This Row],[Affected population projection 2026]], 0.05)), "")</f>
        <v>0</v>
      </c>
      <c r="AC191" s="323">
        <f>IFERROR(IF(tblPiNAnalysis5[[#This Row],[Shelter]]="", "", MROUND(tblPiNAnalysis5[[#This Row],[Shelter]]/tblPiNAnalysis5[[#This Row],[Affected population projection 2026]], 0.05)), "")</f>
        <v>0</v>
      </c>
      <c r="AD191" s="324">
        <f>IFERROR(IF(tblPiNAnalysis5[[#This Row],[WASH]]="", "", MROUND(tblPiNAnalysis5[[#This Row],[WASH]]/tblPiNAnalysis5[[#This Row],[Affected population projection 2026]], 0.05)), "")</f>
        <v>0</v>
      </c>
      <c r="AE191" s="322">
        <f>IFERROR(MROUND(tblPiNAnalysis5[[#This Row],[CP]]/tblPiNAnalysis5[[#This Row],[Affected population projection 2026]], 0.05), "")</f>
        <v>0</v>
      </c>
      <c r="AF191" s="322">
        <f>IFERROR(MROUND(tblPiNAnalysis5[[#This Row],[GBV]]/tblPiNAnalysis5[[#This Row],[Affected population projection 2026]], 0.05), "")</f>
        <v>0</v>
      </c>
      <c r="AG191" s="322">
        <f>IFERROR(MROUND(tblPiNAnalysis5[[#This Row],[Mine Action]]/tblPiNAnalysis5[[#This Row],[Affected population projection 2026]], 0.05), "")</f>
        <v>0</v>
      </c>
      <c r="AH191" s="322">
        <f>IFERROR(MROUND(tblPiNAnalysis5[[#This Row],[HLP]]/tblPiNAnalysis5[[#This Row],[Affected population projection 2026]], 0.05), "")</f>
        <v>0</v>
      </c>
      <c r="AI191" s="325">
        <f>IFERROR(LARGE(tblPiNAnalysis5[[#This Row],[CCCM]:[WASH]], 1), "")</f>
        <v>0</v>
      </c>
      <c r="AJ191" s="326" t="str" cm="1">
        <f t="array" ref="AJ191">IF(tblPiNAnalysis5[[#This Row],[Highest Target]]="", "", _xlfn.TEXTJOIN(CHAR(10), TRUE, IF(tblPiNAnalysis5[[#This Row],[Highest Target]]=tblPiNAnalysis5[[#This Row],[CCCM]:[WASH]], tblPiNAnalysis5[[#Headers],[CCCM]:[WASH]], "")))</f>
        <v>CCCM
Education
Nutrition
Food Security
Health
Overarching Protection
Shelter
WASH</v>
      </c>
      <c r="AK191" s="327">
        <f>IF(tblPiNAnalysis5[[#This Row],[Highest Target]]="", "", tblPiNAnalysis5[[#This Row],[Highest Target]]/tblPiNAnalysis5[[#This Row],[Affected population projection 2026]])</f>
        <v>0</v>
      </c>
      <c r="AL191" s="328" t="str">
        <f>IF(SUM(tblPiNAnalysis5[[#This Row],[CCCM]:[WASH]])=0, "",IF(COUNTIF(tblPiNAnalysis5[[#This Row],[CCCM]:[WASH]],"=0")+COUNTIF(tblPiNAnalysis5[[#This Row],[CCCM]:[WASH]],"")&gt;=zero_pin_thresh, "Flagged", ""))</f>
        <v/>
      </c>
      <c r="AM191" s="329" t="str">
        <f>IFERROR(IF(tblPiNAnalysis5[[#This Row],[Highest Target]]="", "", IF(tblPiNAnalysis5[[#This Row],[Highest sector(s'') Target %]]&gt;=flag_pin_perc, "Flagged", "")), "")</f>
        <v/>
      </c>
      <c r="AN191" s="330" t="str" cm="1">
        <f t="array" ref="AN191">IF(tblPiNAnalysis5[[#This Row],[Highest Target]]=0, "",  IF(OR(COUNTIF(tblPiNAnalysis5[[#This Row],[Highest sector(s)]],tblSubSectorPopulation[Sector])), "Flagged", ""))</f>
        <v/>
      </c>
      <c r="AO191" s="46" cm="1">
        <f t="array" ref="AO19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91" s="331" t="str" cm="1">
        <f t="array" ref="AP191">IF(tblPiNAnalysis5[[#This Row],[2nd Highest Target]]="", "", _xlfn.TEXTJOIN(CHAR(10), TRUE, IF(tblPiNAnalysis5[[#This Row],[2nd Highest Target]]=tblPiNAnalysis5[[#This Row],[CCCM]:[WASH]], tblPiNAnalysis5[[#Headers],[CCCM]:[WASH]], "")))</f>
        <v>CCCM
Education
Nutrition
Food Security
Health
Overarching Protection
Shelter
WASH</v>
      </c>
      <c r="AQ191" s="36">
        <f>IFERROR(tblPiNAnalysis5[[#This Row],[2nd Highest Target]]/tblPiNAnalysis5[[#This Row],[Affected population projection 2026]], "")</f>
        <v>0</v>
      </c>
      <c r="AR191" s="46">
        <f>IFERROR(tblPiNAnalysis5[[#This Row],[Highest Target]]-tblPiNAnalysis5[[#This Row],[2nd Highest Target]], "")</f>
        <v>0</v>
      </c>
      <c r="AS191" s="39" t="str">
        <f>IFERROR(((tblPiNAnalysis5[[#This Row],[Highest Target]]-tblPiNAnalysis5[[#This Row],[2nd Highest Target]])/tblPiNAnalysis5[[#This Row],[2nd Highest Target]]),"")</f>
        <v/>
      </c>
      <c r="AT191" s="39" t="str" cm="1">
        <f t="array" ref="AT19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1" s="332" cm="1">
        <f t="array" ref="AU19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91" s="190" t="str" cm="1">
        <f t="array" ref="AV191">IF(tblPiNAnalysis5[[#This Row],[3rd Highest Target]]="", "", _xlfn.TEXTJOIN(CHAR(10), TRUE, IF(tblPiNAnalysis5[[#This Row],[3rd Highest Target]]=tblPiNAnalysis5[[#This Row],[CCCM]:[WASH]], tblPiNAnalysis5[[#Headers],[CCCM]:[WASH]], "")))</f>
        <v>CCCM
Education
Nutrition
Food Security
Health
Overarching Protection
Shelter
WASH</v>
      </c>
      <c r="AW191" s="190">
        <f>IFERROR(tblPiNAnalysis5[[#This Row],[3rd Highest Target]]/tblPiNAnalysis5[[#This Row],[Affected population projection 2026]], "")</f>
        <v>0</v>
      </c>
      <c r="AX191" s="45">
        <f>IFERROR(tblPiNAnalysis5[[#This Row],[Highest Target]]-tblPiNAnalysis5[[#This Row],[3rd Highest Target]],"")</f>
        <v>0</v>
      </c>
      <c r="AY191" s="39" t="str">
        <f>IFERROR(tblPiNAnalysis5[[#This Row],[Difference of Target between Highest and 3rd Highest]]/tblPiNAnalysis5[[#This Row],[3rd Highest Target]], "")</f>
        <v/>
      </c>
      <c r="AZ191" s="330" t="str" cm="1">
        <f t="array" ref="AZ19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1" s="300" t="str" cm="1">
        <f t="array" ref="BA19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1" s="333" t="str" cm="1">
        <f t="array" ref="BB19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1" s="276" t="str" cm="1">
        <f t="array" ref="BC19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1" s="334" t="str" cm="1">
        <f t="array" ref="BD19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1" s="277" t="e">
        <f>INDEX(tblSeverityAnalysis[Final Severity], MATCH(tblPiNAnalysis5[[#This Row],[ID]],tblSeverityAnalysis[ID], 0))</f>
        <v>#N/A</v>
      </c>
      <c r="BF191" s="61" t="e">
        <f>IF(tblPiNAnalysis5[[#This Row],[Severity]]&gt;2,tblPiNAnalysis5[[#This Row],[Highest Target]],)</f>
        <v>#N/A</v>
      </c>
      <c r="BG191" s="191"/>
      <c r="BH191" s="192"/>
      <c r="BI191" s="193">
        <f>COUNTIFS(tblPiNAnalysis5[[#This Row],[Number of missing / zero PiNs greater than threshold - Data quality]:[Manual Flag]],"Flagged")</f>
        <v>2</v>
      </c>
      <c r="BJ191" s="96" t="str">
        <f>IF(tblPiNAnalysis5[[#This Row],['# Flags]]&gt;0, "Flagged", "")</f>
        <v>Flagged</v>
      </c>
      <c r="BK191" s="326" t="e">
        <f>tblPiNAnalysis5[[#This Row],[Preliminary Target]]</f>
        <v>#N/A</v>
      </c>
      <c r="BL191" s="331"/>
    </row>
    <row r="192" spans="1:64" x14ac:dyDescent="0.55000000000000004">
      <c r="A1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2" s="316" t="s">
        <v>292</v>
      </c>
      <c r="C192" s="317" t="s">
        <v>293</v>
      </c>
      <c r="D192" s="317" t="s">
        <v>302</v>
      </c>
      <c r="E192" s="105" t="s">
        <v>303</v>
      </c>
      <c r="F192" s="100"/>
      <c r="G192" s="34"/>
      <c r="H192" s="34"/>
      <c r="I192" s="97">
        <v>3719.2857142857101</v>
      </c>
      <c r="J192" s="97" t="s">
        <v>414</v>
      </c>
      <c r="K192" s="318">
        <v>0</v>
      </c>
      <c r="L192" s="319">
        <v>252.84727089285684</v>
      </c>
      <c r="M192" s="319">
        <v>496.94805957661163</v>
      </c>
      <c r="N192" s="319">
        <v>738.57952047700996</v>
      </c>
      <c r="O192" s="319">
        <v>893.50702089730964</v>
      </c>
      <c r="P192" s="319">
        <v>219.32356257046223</v>
      </c>
      <c r="Q192" s="320">
        <v>0</v>
      </c>
      <c r="R192" s="319">
        <v>43.047288359788311</v>
      </c>
      <c r="S192" s="319"/>
      <c r="T192" s="319"/>
      <c r="U192" s="319"/>
      <c r="V192" s="319"/>
      <c r="W192" s="321">
        <f>IFERROR(IF(tblPiNAnalysis5[[#This Row],[CCCM]]="", "", MROUND(tblPiNAnalysis5[[#This Row],[CCCM]]/tblPiNAnalysis5[[#This Row],[Affected population projection 2026]], 0.05)), "")</f>
        <v>0</v>
      </c>
      <c r="X192" s="322">
        <f>IFERROR(IF(tblPiNAnalysis5[[#This Row],[Education]]="", "", MROUND(tblPiNAnalysis5[[#This Row],[Education]]/tblPiNAnalysis5[[#This Row],[Affected population projection 2026]], 0.05)), "")</f>
        <v>0.05</v>
      </c>
      <c r="Y192" s="322">
        <f>IFERROR(IF(tblPiNAnalysis5[[#This Row],[Nutrition]]="", "", MROUND(tblPiNAnalysis5[[#This Row],[Nutrition]]/tblPiNAnalysis5[[#This Row],[Affected population projection 2026]], 0.05)), "")</f>
        <v>0.15000000000000002</v>
      </c>
      <c r="Z192" s="322">
        <f>IFERROR(IF(tblPiNAnalysis5[[#This Row],[Food Security]]="", "", MROUND(tblPiNAnalysis5[[#This Row],[Food Security]]/tblPiNAnalysis5[[#This Row],[Affected population projection 2026]], 0.05)), "")</f>
        <v>0.2</v>
      </c>
      <c r="AA192" s="322">
        <f>IFERROR(IF(tblPiNAnalysis5[[#This Row],[Health]]="", "", MROUND(tblPiNAnalysis5[[#This Row],[Health]]/tblPiNAnalysis5[[#This Row],[Affected population projection 2026]], 0.05)), "")</f>
        <v>0.25</v>
      </c>
      <c r="AB192" s="323">
        <f>IFERROR(IF(tblPiNAnalysis5[[#This Row],[Overarching Protection]]="", "", MROUND(tblPiNAnalysis5[[#This Row],[Overarching Protection]]/tblPiNAnalysis5[[#This Row],[Affected population projection 2026]], 0.05)), "")</f>
        <v>0.05</v>
      </c>
      <c r="AC192" s="323">
        <f>IFERROR(IF(tblPiNAnalysis5[[#This Row],[Shelter]]="", "", MROUND(tblPiNAnalysis5[[#This Row],[Shelter]]/tblPiNAnalysis5[[#This Row],[Affected population projection 2026]], 0.05)), "")</f>
        <v>0</v>
      </c>
      <c r="AD192" s="324">
        <f>IFERROR(IF(tblPiNAnalysis5[[#This Row],[WASH]]="", "", MROUND(tblPiNAnalysis5[[#This Row],[WASH]]/tblPiNAnalysis5[[#This Row],[Affected population projection 2026]], 0.05)), "")</f>
        <v>0</v>
      </c>
      <c r="AE192" s="322">
        <f>IFERROR(MROUND(tblPiNAnalysis5[[#This Row],[CP]]/tblPiNAnalysis5[[#This Row],[Affected population projection 2026]], 0.05), "")</f>
        <v>0</v>
      </c>
      <c r="AF192" s="322">
        <f>IFERROR(MROUND(tblPiNAnalysis5[[#This Row],[GBV]]/tblPiNAnalysis5[[#This Row],[Affected population projection 2026]], 0.05), "")</f>
        <v>0</v>
      </c>
      <c r="AG192" s="322">
        <f>IFERROR(MROUND(tblPiNAnalysis5[[#This Row],[Mine Action]]/tblPiNAnalysis5[[#This Row],[Affected population projection 2026]], 0.05), "")</f>
        <v>0</v>
      </c>
      <c r="AH192" s="322">
        <f>IFERROR(MROUND(tblPiNAnalysis5[[#This Row],[HLP]]/tblPiNAnalysis5[[#This Row],[Affected population projection 2026]], 0.05), "")</f>
        <v>0</v>
      </c>
      <c r="AI192" s="325">
        <f>IFERROR(LARGE(tblPiNAnalysis5[[#This Row],[CCCM]:[WASH]], 1), "")</f>
        <v>893.50702089730964</v>
      </c>
      <c r="AJ192" s="326" t="str" cm="1">
        <f t="array" ref="AJ192">IF(tblPiNAnalysis5[[#This Row],[Highest Target]]="", "", _xlfn.TEXTJOIN(CHAR(10), TRUE, IF(tblPiNAnalysis5[[#This Row],[Highest Target]]=tblPiNAnalysis5[[#This Row],[CCCM]:[WASH]], tblPiNAnalysis5[[#Headers],[CCCM]:[WASH]], "")))</f>
        <v>Health</v>
      </c>
      <c r="AK192" s="327">
        <f>IF(tblPiNAnalysis5[[#This Row],[Highest Target]]="", "", tblPiNAnalysis5[[#This Row],[Highest Target]]/tblPiNAnalysis5[[#This Row],[Affected population projection 2026]])</f>
        <v>0.2402361876812435</v>
      </c>
      <c r="AL192" s="328" t="str">
        <f>IF(SUM(tblPiNAnalysis5[[#This Row],[CCCM]:[WASH]])=0, "",IF(COUNTIF(tblPiNAnalysis5[[#This Row],[CCCM]:[WASH]],"=0")+COUNTIF(tblPiNAnalysis5[[#This Row],[CCCM]:[WASH]],"")&gt;=zero_pin_thresh, "Flagged", ""))</f>
        <v>Flagged</v>
      </c>
      <c r="AM192" s="329" t="str">
        <f>IFERROR(IF(tblPiNAnalysis5[[#This Row],[Highest Target]]="", "", IF(tblPiNAnalysis5[[#This Row],[Highest sector(s'') Target %]]&gt;=flag_pin_perc, "Flagged", "")), "")</f>
        <v/>
      </c>
      <c r="AN192" s="330" t="str" cm="1">
        <f t="array" ref="AN192">IF(tblPiNAnalysis5[[#This Row],[Highest Target]]=0, "",  IF(OR(COUNTIF(tblPiNAnalysis5[[#This Row],[Highest sector(s)]],tblSubSectorPopulation[Sector])), "Flagged", ""))</f>
        <v/>
      </c>
      <c r="AO192" s="46" cm="1">
        <f t="array" ref="AO19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738.57952047700996</v>
      </c>
      <c r="AP192" s="331" t="str" cm="1">
        <f t="array" ref="AP192">IF(tblPiNAnalysis5[[#This Row],[2nd Highest Target]]="", "", _xlfn.TEXTJOIN(CHAR(10), TRUE, IF(tblPiNAnalysis5[[#This Row],[2nd Highest Target]]=tblPiNAnalysis5[[#This Row],[CCCM]:[WASH]], tblPiNAnalysis5[[#Headers],[CCCM]:[WASH]], "")))</f>
        <v>Food Security</v>
      </c>
      <c r="AQ192" s="36">
        <f>IFERROR(tblPiNAnalysis5[[#This Row],[2nd Highest Target]]/tblPiNAnalysis5[[#This Row],[Affected population projection 2026]], "")</f>
        <v>0.19858101184325239</v>
      </c>
      <c r="AR192" s="46">
        <f>IFERROR(tblPiNAnalysis5[[#This Row],[Highest Target]]-tblPiNAnalysis5[[#This Row],[2nd Highest Target]], "")</f>
        <v>154.92750042029968</v>
      </c>
      <c r="AS192" s="39">
        <f>IFERROR(((tblPiNAnalysis5[[#This Row],[Highest Target]]-tblPiNAnalysis5[[#This Row],[2nd Highest Target]])/tblPiNAnalysis5[[#This Row],[2nd Highest Target]]),"")</f>
        <v>0.20976414336568674</v>
      </c>
      <c r="AT192" s="39" t="str" cm="1">
        <f t="array" ref="AT19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2" s="332" cm="1">
        <f t="array" ref="AU19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496.94805957661163</v>
      </c>
      <c r="AV192" s="190" t="str" cm="1">
        <f t="array" ref="AV192">IF(tblPiNAnalysis5[[#This Row],[3rd Highest Target]]="", "", _xlfn.TEXTJOIN(CHAR(10), TRUE, IF(tblPiNAnalysis5[[#This Row],[3rd Highest Target]]=tblPiNAnalysis5[[#This Row],[CCCM]:[WASH]], tblPiNAnalysis5[[#Headers],[CCCM]:[WASH]], "")))</f>
        <v>Nutrition</v>
      </c>
      <c r="AW192" s="190">
        <f>IFERROR(tblPiNAnalysis5[[#This Row],[3rd Highest Target]]/tblPiNAnalysis5[[#This Row],[Affected population projection 2026]], "")</f>
        <v>0.13361384355814424</v>
      </c>
      <c r="AX192" s="45">
        <f>IFERROR(tblPiNAnalysis5[[#This Row],[Highest Target]]-tblPiNAnalysis5[[#This Row],[3rd Highest Target]],"")</f>
        <v>396.55896132069802</v>
      </c>
      <c r="AY192" s="39">
        <f>IFERROR(tblPiNAnalysis5[[#This Row],[Difference of Target between Highest and 3rd Highest]]/tblPiNAnalysis5[[#This Row],[3rd Highest Target]], "")</f>
        <v>0.79798875089392074</v>
      </c>
      <c r="AZ192" s="330" t="str" cm="1">
        <f t="array" ref="AZ19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192" s="300" t="str" cm="1">
        <f t="array" ref="BA19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2" s="333" t="str" cm="1">
        <f t="array" ref="BB19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2" s="276" t="str" cm="1">
        <f t="array" ref="BC19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2" s="334" t="str" cm="1">
        <f t="array" ref="BD19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92" s="277" t="e">
        <f>INDEX(tblSeverityAnalysis[Final Severity], MATCH(tblPiNAnalysis5[[#This Row],[ID]],tblSeverityAnalysis[ID], 0))</f>
        <v>#N/A</v>
      </c>
      <c r="BF192" s="61" t="e">
        <f>IF(tblPiNAnalysis5[[#This Row],[Severity]]&gt;2,tblPiNAnalysis5[[#This Row],[Highest Target]],)</f>
        <v>#N/A</v>
      </c>
      <c r="BG192" s="191"/>
      <c r="BH192" s="192"/>
      <c r="BI192" s="193">
        <f>COUNTIFS(tblPiNAnalysis5[[#This Row],[Number of missing / zero PiNs greater than threshold - Data quality]:[Manual Flag]],"Flagged")</f>
        <v>3</v>
      </c>
      <c r="BJ192" s="96" t="str">
        <f>IF(tblPiNAnalysis5[[#This Row],['# Flags]]&gt;0, "Flagged", "")</f>
        <v>Flagged</v>
      </c>
      <c r="BK192" s="326" t="e">
        <f>tblPiNAnalysis5[[#This Row],[Preliminary Target]]</f>
        <v>#N/A</v>
      </c>
      <c r="BL192" s="331"/>
    </row>
    <row r="193" spans="1:64" ht="110.7" x14ac:dyDescent="0.55000000000000004">
      <c r="A1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3" s="316" t="s">
        <v>292</v>
      </c>
      <c r="C193" s="317" t="s">
        <v>293</v>
      </c>
      <c r="D193" s="317" t="s">
        <v>304</v>
      </c>
      <c r="E193" s="105" t="s">
        <v>305</v>
      </c>
      <c r="F193" s="100"/>
      <c r="G193" s="34"/>
      <c r="H193" s="34"/>
      <c r="I193" s="97">
        <v>2968</v>
      </c>
      <c r="J193" s="97" t="s">
        <v>414</v>
      </c>
      <c r="K193" s="318">
        <v>0</v>
      </c>
      <c r="L193" s="319">
        <v>0</v>
      </c>
      <c r="M193" s="319">
        <v>0</v>
      </c>
      <c r="N193" s="319">
        <v>0</v>
      </c>
      <c r="O193" s="319">
        <v>0</v>
      </c>
      <c r="P193" s="319">
        <v>0</v>
      </c>
      <c r="Q193" s="320">
        <v>0</v>
      </c>
      <c r="R193" s="319">
        <v>0</v>
      </c>
      <c r="S193" s="319"/>
      <c r="T193" s="319"/>
      <c r="U193" s="319"/>
      <c r="V193" s="319"/>
      <c r="W193" s="321">
        <f>IFERROR(IF(tblPiNAnalysis5[[#This Row],[CCCM]]="", "", MROUND(tblPiNAnalysis5[[#This Row],[CCCM]]/tblPiNAnalysis5[[#This Row],[Affected population projection 2026]], 0.05)), "")</f>
        <v>0</v>
      </c>
      <c r="X193" s="322">
        <f>IFERROR(IF(tblPiNAnalysis5[[#This Row],[Education]]="", "", MROUND(tblPiNAnalysis5[[#This Row],[Education]]/tblPiNAnalysis5[[#This Row],[Affected population projection 2026]], 0.05)), "")</f>
        <v>0</v>
      </c>
      <c r="Y193" s="322">
        <f>IFERROR(IF(tblPiNAnalysis5[[#This Row],[Nutrition]]="", "", MROUND(tblPiNAnalysis5[[#This Row],[Nutrition]]/tblPiNAnalysis5[[#This Row],[Affected population projection 2026]], 0.05)), "")</f>
        <v>0</v>
      </c>
      <c r="Z193" s="322">
        <f>IFERROR(IF(tblPiNAnalysis5[[#This Row],[Food Security]]="", "", MROUND(tblPiNAnalysis5[[#This Row],[Food Security]]/tblPiNAnalysis5[[#This Row],[Affected population projection 2026]], 0.05)), "")</f>
        <v>0</v>
      </c>
      <c r="AA193" s="322">
        <f>IFERROR(IF(tblPiNAnalysis5[[#This Row],[Health]]="", "", MROUND(tblPiNAnalysis5[[#This Row],[Health]]/tblPiNAnalysis5[[#This Row],[Affected population projection 2026]], 0.05)), "")</f>
        <v>0</v>
      </c>
      <c r="AB193" s="323">
        <f>IFERROR(IF(tblPiNAnalysis5[[#This Row],[Overarching Protection]]="", "", MROUND(tblPiNAnalysis5[[#This Row],[Overarching Protection]]/tblPiNAnalysis5[[#This Row],[Affected population projection 2026]], 0.05)), "")</f>
        <v>0</v>
      </c>
      <c r="AC193" s="323">
        <f>IFERROR(IF(tblPiNAnalysis5[[#This Row],[Shelter]]="", "", MROUND(tblPiNAnalysis5[[#This Row],[Shelter]]/tblPiNAnalysis5[[#This Row],[Affected population projection 2026]], 0.05)), "")</f>
        <v>0</v>
      </c>
      <c r="AD193" s="324">
        <f>IFERROR(IF(tblPiNAnalysis5[[#This Row],[WASH]]="", "", MROUND(tblPiNAnalysis5[[#This Row],[WASH]]/tblPiNAnalysis5[[#This Row],[Affected population projection 2026]], 0.05)), "")</f>
        <v>0</v>
      </c>
      <c r="AE193" s="322">
        <f>IFERROR(MROUND(tblPiNAnalysis5[[#This Row],[CP]]/tblPiNAnalysis5[[#This Row],[Affected population projection 2026]], 0.05), "")</f>
        <v>0</v>
      </c>
      <c r="AF193" s="322">
        <f>IFERROR(MROUND(tblPiNAnalysis5[[#This Row],[GBV]]/tblPiNAnalysis5[[#This Row],[Affected population projection 2026]], 0.05), "")</f>
        <v>0</v>
      </c>
      <c r="AG193" s="322">
        <f>IFERROR(MROUND(tblPiNAnalysis5[[#This Row],[Mine Action]]/tblPiNAnalysis5[[#This Row],[Affected population projection 2026]], 0.05), "")</f>
        <v>0</v>
      </c>
      <c r="AH193" s="322">
        <f>IFERROR(MROUND(tblPiNAnalysis5[[#This Row],[HLP]]/tblPiNAnalysis5[[#This Row],[Affected population projection 2026]], 0.05), "")</f>
        <v>0</v>
      </c>
      <c r="AI193" s="325">
        <f>IFERROR(LARGE(tblPiNAnalysis5[[#This Row],[CCCM]:[WASH]], 1), "")</f>
        <v>0</v>
      </c>
      <c r="AJ193" s="326" t="str" cm="1">
        <f t="array" ref="AJ193">IF(tblPiNAnalysis5[[#This Row],[Highest Target]]="", "", _xlfn.TEXTJOIN(CHAR(10), TRUE, IF(tblPiNAnalysis5[[#This Row],[Highest Target]]=tblPiNAnalysis5[[#This Row],[CCCM]:[WASH]], tblPiNAnalysis5[[#Headers],[CCCM]:[WASH]], "")))</f>
        <v>CCCM
Education
Nutrition
Food Security
Health
Overarching Protection
Shelter
WASH</v>
      </c>
      <c r="AK193" s="327">
        <f>IF(tblPiNAnalysis5[[#This Row],[Highest Target]]="", "", tblPiNAnalysis5[[#This Row],[Highest Target]]/tblPiNAnalysis5[[#This Row],[Affected population projection 2026]])</f>
        <v>0</v>
      </c>
      <c r="AL193" s="328" t="str">
        <f>IF(SUM(tblPiNAnalysis5[[#This Row],[CCCM]:[WASH]])=0, "",IF(COUNTIF(tblPiNAnalysis5[[#This Row],[CCCM]:[WASH]],"=0")+COUNTIF(tblPiNAnalysis5[[#This Row],[CCCM]:[WASH]],"")&gt;=zero_pin_thresh, "Flagged", ""))</f>
        <v/>
      </c>
      <c r="AM193" s="329" t="str">
        <f>IFERROR(IF(tblPiNAnalysis5[[#This Row],[Highest Target]]="", "", IF(tblPiNAnalysis5[[#This Row],[Highest sector(s'') Target %]]&gt;=flag_pin_perc, "Flagged", "")), "")</f>
        <v/>
      </c>
      <c r="AN193" s="330" t="str" cm="1">
        <f t="array" ref="AN193">IF(tblPiNAnalysis5[[#This Row],[Highest Target]]=0, "",  IF(OR(COUNTIF(tblPiNAnalysis5[[#This Row],[Highest sector(s)]],tblSubSectorPopulation[Sector])), "Flagged", ""))</f>
        <v/>
      </c>
      <c r="AO193" s="46" cm="1">
        <f t="array" ref="AO19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93" s="331" t="str" cm="1">
        <f t="array" ref="AP193">IF(tblPiNAnalysis5[[#This Row],[2nd Highest Target]]="", "", _xlfn.TEXTJOIN(CHAR(10), TRUE, IF(tblPiNAnalysis5[[#This Row],[2nd Highest Target]]=tblPiNAnalysis5[[#This Row],[CCCM]:[WASH]], tblPiNAnalysis5[[#Headers],[CCCM]:[WASH]], "")))</f>
        <v>CCCM
Education
Nutrition
Food Security
Health
Overarching Protection
Shelter
WASH</v>
      </c>
      <c r="AQ193" s="36">
        <f>IFERROR(tblPiNAnalysis5[[#This Row],[2nd Highest Target]]/tblPiNAnalysis5[[#This Row],[Affected population projection 2026]], "")</f>
        <v>0</v>
      </c>
      <c r="AR193" s="46">
        <f>IFERROR(tblPiNAnalysis5[[#This Row],[Highest Target]]-tblPiNAnalysis5[[#This Row],[2nd Highest Target]], "")</f>
        <v>0</v>
      </c>
      <c r="AS193" s="39" t="str">
        <f>IFERROR(((tblPiNAnalysis5[[#This Row],[Highest Target]]-tblPiNAnalysis5[[#This Row],[2nd Highest Target]])/tblPiNAnalysis5[[#This Row],[2nd Highest Target]]),"")</f>
        <v/>
      </c>
      <c r="AT193" s="39" t="str" cm="1">
        <f t="array" ref="AT19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3" s="332" cm="1">
        <f t="array" ref="AU19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93" s="190" t="str" cm="1">
        <f t="array" ref="AV193">IF(tblPiNAnalysis5[[#This Row],[3rd Highest Target]]="", "", _xlfn.TEXTJOIN(CHAR(10), TRUE, IF(tblPiNAnalysis5[[#This Row],[3rd Highest Target]]=tblPiNAnalysis5[[#This Row],[CCCM]:[WASH]], tblPiNAnalysis5[[#Headers],[CCCM]:[WASH]], "")))</f>
        <v>CCCM
Education
Nutrition
Food Security
Health
Overarching Protection
Shelter
WASH</v>
      </c>
      <c r="AW193" s="190">
        <f>IFERROR(tblPiNAnalysis5[[#This Row],[3rd Highest Target]]/tblPiNAnalysis5[[#This Row],[Affected population projection 2026]], "")</f>
        <v>0</v>
      </c>
      <c r="AX193" s="45">
        <f>IFERROR(tblPiNAnalysis5[[#This Row],[Highest Target]]-tblPiNAnalysis5[[#This Row],[3rd Highest Target]],"")</f>
        <v>0</v>
      </c>
      <c r="AY193" s="39" t="str">
        <f>IFERROR(tblPiNAnalysis5[[#This Row],[Difference of Target between Highest and 3rd Highest]]/tblPiNAnalysis5[[#This Row],[3rd Highest Target]], "")</f>
        <v/>
      </c>
      <c r="AZ193" s="330" t="str" cm="1">
        <f t="array" ref="AZ19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3" s="300" t="str" cm="1">
        <f t="array" ref="BA19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3" s="333" t="str" cm="1">
        <f t="array" ref="BB19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3" s="276" t="str" cm="1">
        <f t="array" ref="BC19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3" s="334" t="str" cm="1">
        <f t="array" ref="BD19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3" s="277" t="e">
        <f>INDEX(tblSeverityAnalysis[Final Severity], MATCH(tblPiNAnalysis5[[#This Row],[ID]],tblSeverityAnalysis[ID], 0))</f>
        <v>#N/A</v>
      </c>
      <c r="BF193" s="61" t="e">
        <f>IF(tblPiNAnalysis5[[#This Row],[Severity]]&gt;2,tblPiNAnalysis5[[#This Row],[Highest Target]],)</f>
        <v>#N/A</v>
      </c>
      <c r="BG193" s="191"/>
      <c r="BH193" s="192"/>
      <c r="BI193" s="193">
        <f>COUNTIFS(tblPiNAnalysis5[[#This Row],[Number of missing / zero PiNs greater than threshold - Data quality]:[Manual Flag]],"Flagged")</f>
        <v>2</v>
      </c>
      <c r="BJ193" s="96" t="str">
        <f>IF(tblPiNAnalysis5[[#This Row],['# Flags]]&gt;0, "Flagged", "")</f>
        <v>Flagged</v>
      </c>
      <c r="BK193" s="326" t="e">
        <f>tblPiNAnalysis5[[#This Row],[Preliminary Target]]</f>
        <v>#N/A</v>
      </c>
      <c r="BL193" s="331"/>
    </row>
    <row r="194" spans="1:64" ht="24.6" x14ac:dyDescent="0.55000000000000004">
      <c r="A1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4" s="316" t="s">
        <v>292</v>
      </c>
      <c r="C194" s="317" t="s">
        <v>293</v>
      </c>
      <c r="D194" s="317" t="s">
        <v>306</v>
      </c>
      <c r="E194" s="105" t="s">
        <v>307</v>
      </c>
      <c r="F194" s="100"/>
      <c r="G194" s="34"/>
      <c r="H194" s="34"/>
      <c r="I194" s="97">
        <v>3047.871016813448</v>
      </c>
      <c r="J194" s="97" t="s">
        <v>414</v>
      </c>
      <c r="K194" s="318">
        <v>0</v>
      </c>
      <c r="L194" s="319">
        <v>126.98192623799028</v>
      </c>
      <c r="M194" s="319">
        <v>413.01606726889457</v>
      </c>
      <c r="N194" s="319">
        <v>639.64744982839079</v>
      </c>
      <c r="O194" s="319">
        <v>410.83181060014215</v>
      </c>
      <c r="P194" s="319">
        <v>451.84845446950709</v>
      </c>
      <c r="Q194" s="320">
        <v>0</v>
      </c>
      <c r="R194" s="319">
        <v>432.72242831302043</v>
      </c>
      <c r="S194" s="319"/>
      <c r="T194" s="319"/>
      <c r="U194" s="319"/>
      <c r="V194" s="319"/>
      <c r="W194" s="321">
        <f>IFERROR(IF(tblPiNAnalysis5[[#This Row],[CCCM]]="", "", MROUND(tblPiNAnalysis5[[#This Row],[CCCM]]/tblPiNAnalysis5[[#This Row],[Affected population projection 2026]], 0.05)), "")</f>
        <v>0</v>
      </c>
      <c r="X194" s="322">
        <f>IFERROR(IF(tblPiNAnalysis5[[#This Row],[Education]]="", "", MROUND(tblPiNAnalysis5[[#This Row],[Education]]/tblPiNAnalysis5[[#This Row],[Affected population projection 2026]], 0.05)), "")</f>
        <v>0.05</v>
      </c>
      <c r="Y194" s="322">
        <f>IFERROR(IF(tblPiNAnalysis5[[#This Row],[Nutrition]]="", "", MROUND(tblPiNAnalysis5[[#This Row],[Nutrition]]/tblPiNAnalysis5[[#This Row],[Affected population projection 2026]], 0.05)), "")</f>
        <v>0.15000000000000002</v>
      </c>
      <c r="Z194" s="322">
        <f>IFERROR(IF(tblPiNAnalysis5[[#This Row],[Food Security]]="", "", MROUND(tblPiNAnalysis5[[#This Row],[Food Security]]/tblPiNAnalysis5[[#This Row],[Affected population projection 2026]], 0.05)), "")</f>
        <v>0.2</v>
      </c>
      <c r="AA194" s="322">
        <f>IFERROR(IF(tblPiNAnalysis5[[#This Row],[Health]]="", "", MROUND(tblPiNAnalysis5[[#This Row],[Health]]/tblPiNAnalysis5[[#This Row],[Affected population projection 2026]], 0.05)), "")</f>
        <v>0.15000000000000002</v>
      </c>
      <c r="AB194" s="323">
        <f>IFERROR(IF(tblPiNAnalysis5[[#This Row],[Overarching Protection]]="", "", MROUND(tblPiNAnalysis5[[#This Row],[Overarching Protection]]/tblPiNAnalysis5[[#This Row],[Affected population projection 2026]], 0.05)), "")</f>
        <v>0.15000000000000002</v>
      </c>
      <c r="AC194" s="323">
        <f>IFERROR(IF(tblPiNAnalysis5[[#This Row],[Shelter]]="", "", MROUND(tblPiNAnalysis5[[#This Row],[Shelter]]/tblPiNAnalysis5[[#This Row],[Affected population projection 2026]], 0.05)), "")</f>
        <v>0</v>
      </c>
      <c r="AD194" s="324">
        <f>IFERROR(IF(tblPiNAnalysis5[[#This Row],[WASH]]="", "", MROUND(tblPiNAnalysis5[[#This Row],[WASH]]/tblPiNAnalysis5[[#This Row],[Affected population projection 2026]], 0.05)), "")</f>
        <v>0.15000000000000002</v>
      </c>
      <c r="AE194" s="322">
        <f>IFERROR(MROUND(tblPiNAnalysis5[[#This Row],[CP]]/tblPiNAnalysis5[[#This Row],[Affected population projection 2026]], 0.05), "")</f>
        <v>0</v>
      </c>
      <c r="AF194" s="322">
        <f>IFERROR(MROUND(tblPiNAnalysis5[[#This Row],[GBV]]/tblPiNAnalysis5[[#This Row],[Affected population projection 2026]], 0.05), "")</f>
        <v>0</v>
      </c>
      <c r="AG194" s="322">
        <f>IFERROR(MROUND(tblPiNAnalysis5[[#This Row],[Mine Action]]/tblPiNAnalysis5[[#This Row],[Affected population projection 2026]], 0.05), "")</f>
        <v>0</v>
      </c>
      <c r="AH194" s="322">
        <f>IFERROR(MROUND(tblPiNAnalysis5[[#This Row],[HLP]]/tblPiNAnalysis5[[#This Row],[Affected population projection 2026]], 0.05), "")</f>
        <v>0</v>
      </c>
      <c r="AI194" s="325">
        <f>IFERROR(LARGE(tblPiNAnalysis5[[#This Row],[CCCM]:[WASH]], 1), "")</f>
        <v>639.64744982839079</v>
      </c>
      <c r="AJ194" s="326" t="str" cm="1">
        <f t="array" ref="AJ194">IF(tblPiNAnalysis5[[#This Row],[Highest Target]]="", "", _xlfn.TEXTJOIN(CHAR(10), TRUE, IF(tblPiNAnalysis5[[#This Row],[Highest Target]]=tblPiNAnalysis5[[#This Row],[CCCM]:[WASH]], tblPiNAnalysis5[[#Headers],[CCCM]:[WASH]], "")))</f>
        <v>Food Security</v>
      </c>
      <c r="AK194" s="327">
        <f>IF(tblPiNAnalysis5[[#This Row],[Highest Target]]="", "", tblPiNAnalysis5[[#This Row],[Highest Target]]/tblPiNAnalysis5[[#This Row],[Affected population projection 2026]])</f>
        <v>0.20986696822135958</v>
      </c>
      <c r="AL194" s="328" t="str">
        <f>IF(SUM(tblPiNAnalysis5[[#This Row],[CCCM]:[WASH]])=0, "",IF(COUNTIF(tblPiNAnalysis5[[#This Row],[CCCM]:[WASH]],"=0")+COUNTIF(tblPiNAnalysis5[[#This Row],[CCCM]:[WASH]],"")&gt;=zero_pin_thresh, "Flagged", ""))</f>
        <v>Flagged</v>
      </c>
      <c r="AM194" s="329" t="str">
        <f>IFERROR(IF(tblPiNAnalysis5[[#This Row],[Highest Target]]="", "", IF(tblPiNAnalysis5[[#This Row],[Highest sector(s'') Target %]]&gt;=flag_pin_perc, "Flagged", "")), "")</f>
        <v/>
      </c>
      <c r="AN194" s="330" t="str" cm="1">
        <f t="array" ref="AN194">IF(tblPiNAnalysis5[[#This Row],[Highest Target]]=0, "",  IF(OR(COUNTIF(tblPiNAnalysis5[[#This Row],[Highest sector(s)]],tblSubSectorPopulation[Sector])), "Flagged", ""))</f>
        <v/>
      </c>
      <c r="AO194" s="46" cm="1">
        <f t="array" ref="AO19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451.84845446950709</v>
      </c>
      <c r="AP194" s="331" t="str" cm="1">
        <f t="array" ref="AP194">IF(tblPiNAnalysis5[[#This Row],[2nd Highest Target]]="", "", _xlfn.TEXTJOIN(CHAR(10), TRUE, IF(tblPiNAnalysis5[[#This Row],[2nd Highest Target]]=tblPiNAnalysis5[[#This Row],[CCCM]:[WASH]], tblPiNAnalysis5[[#Headers],[CCCM]:[WASH]], "")))</f>
        <v>Overarching Protection</v>
      </c>
      <c r="AQ194" s="36">
        <f>IFERROR(tblPiNAnalysis5[[#This Row],[2nd Highest Target]]/tblPiNAnalysis5[[#This Row],[Affected population projection 2026]], "")</f>
        <v>0.14825051715669879</v>
      </c>
      <c r="AR194" s="46">
        <f>IFERROR(tblPiNAnalysis5[[#This Row],[Highest Target]]-tblPiNAnalysis5[[#This Row],[2nd Highest Target]], "")</f>
        <v>187.7989953588837</v>
      </c>
      <c r="AS194" s="39">
        <f>IFERROR(((tblPiNAnalysis5[[#This Row],[Highest Target]]-tblPiNAnalysis5[[#This Row],[2nd Highest Target]])/tblPiNAnalysis5[[#This Row],[2nd Highest Target]]),"")</f>
        <v>0.41562385242496669</v>
      </c>
      <c r="AT194" s="39" t="str" cm="1">
        <f t="array" ref="AT19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194" s="332" cm="1">
        <f t="array" ref="AU19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432.72242831302043</v>
      </c>
      <c r="AV194" s="190" t="str" cm="1">
        <f t="array" ref="AV194">IF(tblPiNAnalysis5[[#This Row],[3rd Highest Target]]="", "", _xlfn.TEXTJOIN(CHAR(10), TRUE, IF(tblPiNAnalysis5[[#This Row],[3rd Highest Target]]=tblPiNAnalysis5[[#This Row],[CCCM]:[WASH]], tblPiNAnalysis5[[#Headers],[CCCM]:[WASH]], "")))</f>
        <v>WASH</v>
      </c>
      <c r="AW194" s="190">
        <f>IFERROR(tblPiNAnalysis5[[#This Row],[3rd Highest Target]]/tblPiNAnalysis5[[#This Row],[Affected population projection 2026]], "")</f>
        <v>0.14197530864197533</v>
      </c>
      <c r="AX194" s="45">
        <f>IFERROR(tblPiNAnalysis5[[#This Row],[Highest Target]]-tblPiNAnalysis5[[#This Row],[3rd Highest Target]],"")</f>
        <v>206.92502151537036</v>
      </c>
      <c r="AY194" s="39">
        <f>IFERROR(tblPiNAnalysis5[[#This Row],[Difference of Target between Highest and 3rd Highest]]/tblPiNAnalysis5[[#This Row],[3rd Highest Target]], "")</f>
        <v>0.47819342834174994</v>
      </c>
      <c r="AZ194" s="330" t="str" cm="1">
        <f t="array" ref="AZ19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4" s="300" t="str" cm="1">
        <f t="array" ref="BA19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4" s="333" t="str" cm="1">
        <f t="array" ref="BB19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94" s="276" t="str" cm="1">
        <f t="array" ref="BC19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4" s="334" t="str" cm="1">
        <f t="array" ref="BD19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94" s="277" t="e">
        <f>INDEX(tblSeverityAnalysis[Final Severity], MATCH(tblPiNAnalysis5[[#This Row],[ID]],tblSeverityAnalysis[ID], 0))</f>
        <v>#N/A</v>
      </c>
      <c r="BF194" s="61" t="e">
        <f>IF(tblPiNAnalysis5[[#This Row],[Severity]]&gt;2,tblPiNAnalysis5[[#This Row],[Highest Target]],)</f>
        <v>#N/A</v>
      </c>
      <c r="BG194" s="191"/>
      <c r="BH194" s="192"/>
      <c r="BI194" s="193">
        <f>COUNTIFS(tblPiNAnalysis5[[#This Row],[Number of missing / zero PiNs greater than threshold - Data quality]:[Manual Flag]],"Flagged")</f>
        <v>2</v>
      </c>
      <c r="BJ194" s="96" t="str">
        <f>IF(tblPiNAnalysis5[[#This Row],['# Flags]]&gt;0, "Flagged", "")</f>
        <v>Flagged</v>
      </c>
      <c r="BK194" s="326" t="e">
        <f>tblPiNAnalysis5[[#This Row],[Preliminary Target]]</f>
        <v>#N/A</v>
      </c>
      <c r="BL194" s="331"/>
    </row>
    <row r="195" spans="1:64" ht="110.7" x14ac:dyDescent="0.55000000000000004">
      <c r="A1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5" s="316" t="s">
        <v>292</v>
      </c>
      <c r="C195" s="317" t="s">
        <v>293</v>
      </c>
      <c r="D195" s="317" t="s">
        <v>308</v>
      </c>
      <c r="E195" s="105" t="s">
        <v>309</v>
      </c>
      <c r="F195" s="100"/>
      <c r="G195" s="34"/>
      <c r="H195" s="34"/>
      <c r="I195" s="97">
        <v>5119.8571428571404</v>
      </c>
      <c r="J195" s="97" t="s">
        <v>414</v>
      </c>
      <c r="K195" s="318">
        <v>0</v>
      </c>
      <c r="L195" s="319">
        <v>0</v>
      </c>
      <c r="M195" s="319">
        <v>0</v>
      </c>
      <c r="N195" s="319">
        <v>0</v>
      </c>
      <c r="O195" s="319">
        <v>0</v>
      </c>
      <c r="P195" s="319">
        <v>0</v>
      </c>
      <c r="Q195" s="320">
        <v>0</v>
      </c>
      <c r="R195" s="319">
        <v>0</v>
      </c>
      <c r="S195" s="319"/>
      <c r="T195" s="319"/>
      <c r="U195" s="319"/>
      <c r="V195" s="319"/>
      <c r="W195" s="321">
        <f>IFERROR(IF(tblPiNAnalysis5[[#This Row],[CCCM]]="", "", MROUND(tblPiNAnalysis5[[#This Row],[CCCM]]/tblPiNAnalysis5[[#This Row],[Affected population projection 2026]], 0.05)), "")</f>
        <v>0</v>
      </c>
      <c r="X195" s="322">
        <f>IFERROR(IF(tblPiNAnalysis5[[#This Row],[Education]]="", "", MROUND(tblPiNAnalysis5[[#This Row],[Education]]/tblPiNAnalysis5[[#This Row],[Affected population projection 2026]], 0.05)), "")</f>
        <v>0</v>
      </c>
      <c r="Y195" s="322">
        <f>IFERROR(IF(tblPiNAnalysis5[[#This Row],[Nutrition]]="", "", MROUND(tblPiNAnalysis5[[#This Row],[Nutrition]]/tblPiNAnalysis5[[#This Row],[Affected population projection 2026]], 0.05)), "")</f>
        <v>0</v>
      </c>
      <c r="Z195" s="322">
        <f>IFERROR(IF(tblPiNAnalysis5[[#This Row],[Food Security]]="", "", MROUND(tblPiNAnalysis5[[#This Row],[Food Security]]/tblPiNAnalysis5[[#This Row],[Affected population projection 2026]], 0.05)), "")</f>
        <v>0</v>
      </c>
      <c r="AA195" s="322">
        <f>IFERROR(IF(tblPiNAnalysis5[[#This Row],[Health]]="", "", MROUND(tblPiNAnalysis5[[#This Row],[Health]]/tblPiNAnalysis5[[#This Row],[Affected population projection 2026]], 0.05)), "")</f>
        <v>0</v>
      </c>
      <c r="AB195" s="323">
        <f>IFERROR(IF(tblPiNAnalysis5[[#This Row],[Overarching Protection]]="", "", MROUND(tblPiNAnalysis5[[#This Row],[Overarching Protection]]/tblPiNAnalysis5[[#This Row],[Affected population projection 2026]], 0.05)), "")</f>
        <v>0</v>
      </c>
      <c r="AC195" s="323">
        <f>IFERROR(IF(tblPiNAnalysis5[[#This Row],[Shelter]]="", "", MROUND(tblPiNAnalysis5[[#This Row],[Shelter]]/tblPiNAnalysis5[[#This Row],[Affected population projection 2026]], 0.05)), "")</f>
        <v>0</v>
      </c>
      <c r="AD195" s="324">
        <f>IFERROR(IF(tblPiNAnalysis5[[#This Row],[WASH]]="", "", MROUND(tblPiNAnalysis5[[#This Row],[WASH]]/tblPiNAnalysis5[[#This Row],[Affected population projection 2026]], 0.05)), "")</f>
        <v>0</v>
      </c>
      <c r="AE195" s="322">
        <f>IFERROR(MROUND(tblPiNAnalysis5[[#This Row],[CP]]/tblPiNAnalysis5[[#This Row],[Affected population projection 2026]], 0.05), "")</f>
        <v>0</v>
      </c>
      <c r="AF195" s="322">
        <f>IFERROR(MROUND(tblPiNAnalysis5[[#This Row],[GBV]]/tblPiNAnalysis5[[#This Row],[Affected population projection 2026]], 0.05), "")</f>
        <v>0</v>
      </c>
      <c r="AG195" s="322">
        <f>IFERROR(MROUND(tblPiNAnalysis5[[#This Row],[Mine Action]]/tblPiNAnalysis5[[#This Row],[Affected population projection 2026]], 0.05), "")</f>
        <v>0</v>
      </c>
      <c r="AH195" s="322">
        <f>IFERROR(MROUND(tblPiNAnalysis5[[#This Row],[HLP]]/tblPiNAnalysis5[[#This Row],[Affected population projection 2026]], 0.05), "")</f>
        <v>0</v>
      </c>
      <c r="AI195" s="325">
        <f>IFERROR(LARGE(tblPiNAnalysis5[[#This Row],[CCCM]:[WASH]], 1), "")</f>
        <v>0</v>
      </c>
      <c r="AJ195" s="326" t="str" cm="1">
        <f t="array" ref="AJ195">IF(tblPiNAnalysis5[[#This Row],[Highest Target]]="", "", _xlfn.TEXTJOIN(CHAR(10), TRUE, IF(tblPiNAnalysis5[[#This Row],[Highest Target]]=tblPiNAnalysis5[[#This Row],[CCCM]:[WASH]], tblPiNAnalysis5[[#Headers],[CCCM]:[WASH]], "")))</f>
        <v>CCCM
Education
Nutrition
Food Security
Health
Overarching Protection
Shelter
WASH</v>
      </c>
      <c r="AK195" s="327">
        <f>IF(tblPiNAnalysis5[[#This Row],[Highest Target]]="", "", tblPiNAnalysis5[[#This Row],[Highest Target]]/tblPiNAnalysis5[[#This Row],[Affected population projection 2026]])</f>
        <v>0</v>
      </c>
      <c r="AL195" s="328" t="str">
        <f>IF(SUM(tblPiNAnalysis5[[#This Row],[CCCM]:[WASH]])=0, "",IF(COUNTIF(tblPiNAnalysis5[[#This Row],[CCCM]:[WASH]],"=0")+COUNTIF(tblPiNAnalysis5[[#This Row],[CCCM]:[WASH]],"")&gt;=zero_pin_thresh, "Flagged", ""))</f>
        <v/>
      </c>
      <c r="AM195" s="329" t="str">
        <f>IFERROR(IF(tblPiNAnalysis5[[#This Row],[Highest Target]]="", "", IF(tblPiNAnalysis5[[#This Row],[Highest sector(s'') Target %]]&gt;=flag_pin_perc, "Flagged", "")), "")</f>
        <v/>
      </c>
      <c r="AN195" s="330" t="str" cm="1">
        <f t="array" ref="AN195">IF(tblPiNAnalysis5[[#This Row],[Highest Target]]=0, "",  IF(OR(COUNTIF(tblPiNAnalysis5[[#This Row],[Highest sector(s)]],tblSubSectorPopulation[Sector])), "Flagged", ""))</f>
        <v/>
      </c>
      <c r="AO195" s="46" cm="1">
        <f t="array" ref="AO19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95" s="331" t="str" cm="1">
        <f t="array" ref="AP195">IF(tblPiNAnalysis5[[#This Row],[2nd Highest Target]]="", "", _xlfn.TEXTJOIN(CHAR(10), TRUE, IF(tblPiNAnalysis5[[#This Row],[2nd Highest Target]]=tblPiNAnalysis5[[#This Row],[CCCM]:[WASH]], tblPiNAnalysis5[[#Headers],[CCCM]:[WASH]], "")))</f>
        <v>CCCM
Education
Nutrition
Food Security
Health
Overarching Protection
Shelter
WASH</v>
      </c>
      <c r="AQ195" s="36">
        <f>IFERROR(tblPiNAnalysis5[[#This Row],[2nd Highest Target]]/tblPiNAnalysis5[[#This Row],[Affected population projection 2026]], "")</f>
        <v>0</v>
      </c>
      <c r="AR195" s="46">
        <f>IFERROR(tblPiNAnalysis5[[#This Row],[Highest Target]]-tblPiNAnalysis5[[#This Row],[2nd Highest Target]], "")</f>
        <v>0</v>
      </c>
      <c r="AS195" s="39" t="str">
        <f>IFERROR(((tblPiNAnalysis5[[#This Row],[Highest Target]]-tblPiNAnalysis5[[#This Row],[2nd Highest Target]])/tblPiNAnalysis5[[#This Row],[2nd Highest Target]]),"")</f>
        <v/>
      </c>
      <c r="AT195" s="39" t="str" cm="1">
        <f t="array" ref="AT19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5" s="332" cm="1">
        <f t="array" ref="AU19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95" s="190" t="str" cm="1">
        <f t="array" ref="AV195">IF(tblPiNAnalysis5[[#This Row],[3rd Highest Target]]="", "", _xlfn.TEXTJOIN(CHAR(10), TRUE, IF(tblPiNAnalysis5[[#This Row],[3rd Highest Target]]=tblPiNAnalysis5[[#This Row],[CCCM]:[WASH]], tblPiNAnalysis5[[#Headers],[CCCM]:[WASH]], "")))</f>
        <v>CCCM
Education
Nutrition
Food Security
Health
Overarching Protection
Shelter
WASH</v>
      </c>
      <c r="AW195" s="190">
        <f>IFERROR(tblPiNAnalysis5[[#This Row],[3rd Highest Target]]/tblPiNAnalysis5[[#This Row],[Affected population projection 2026]], "")</f>
        <v>0</v>
      </c>
      <c r="AX195" s="45">
        <f>IFERROR(tblPiNAnalysis5[[#This Row],[Highest Target]]-tblPiNAnalysis5[[#This Row],[3rd Highest Target]],"")</f>
        <v>0</v>
      </c>
      <c r="AY195" s="39" t="str">
        <f>IFERROR(tblPiNAnalysis5[[#This Row],[Difference of Target between Highest and 3rd Highest]]/tblPiNAnalysis5[[#This Row],[3rd Highest Target]], "")</f>
        <v/>
      </c>
      <c r="AZ195" s="330" t="str" cm="1">
        <f t="array" ref="AZ19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5" s="300" t="str" cm="1">
        <f t="array" ref="BA19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5" s="333" t="str" cm="1">
        <f t="array" ref="BB19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5" s="276" t="str" cm="1">
        <f t="array" ref="BC19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5" s="334" t="str" cm="1">
        <f t="array" ref="BD19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5" s="277" t="e">
        <f>INDEX(tblSeverityAnalysis[Final Severity], MATCH(tblPiNAnalysis5[[#This Row],[ID]],tblSeverityAnalysis[ID], 0))</f>
        <v>#N/A</v>
      </c>
      <c r="BF195" s="61" t="e">
        <f>IF(tblPiNAnalysis5[[#This Row],[Severity]]&gt;2,tblPiNAnalysis5[[#This Row],[Highest Target]],)</f>
        <v>#N/A</v>
      </c>
      <c r="BG195" s="191"/>
      <c r="BH195" s="192"/>
      <c r="BI195" s="193">
        <f>COUNTIFS(tblPiNAnalysis5[[#This Row],[Number of missing / zero PiNs greater than threshold - Data quality]:[Manual Flag]],"Flagged")</f>
        <v>2</v>
      </c>
      <c r="BJ195" s="96" t="str">
        <f>IF(tblPiNAnalysis5[[#This Row],['# Flags]]&gt;0, "Flagged", "")</f>
        <v>Flagged</v>
      </c>
      <c r="BK195" s="326" t="e">
        <f>tblPiNAnalysis5[[#This Row],[Preliminary Target]]</f>
        <v>#N/A</v>
      </c>
      <c r="BL195" s="331"/>
    </row>
    <row r="196" spans="1:64" ht="110.7" x14ac:dyDescent="0.55000000000000004">
      <c r="A1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6" s="316" t="s">
        <v>310</v>
      </c>
      <c r="C196" s="317" t="s">
        <v>311</v>
      </c>
      <c r="D196" s="317" t="s">
        <v>312</v>
      </c>
      <c r="E196" s="105" t="s">
        <v>313</v>
      </c>
      <c r="F196" s="100"/>
      <c r="G196" s="34"/>
      <c r="H196" s="34"/>
      <c r="I196" s="97">
        <v>16513.487018186021</v>
      </c>
      <c r="J196" s="97" t="s">
        <v>414</v>
      </c>
      <c r="K196" s="318">
        <v>0</v>
      </c>
      <c r="L196" s="319">
        <v>0</v>
      </c>
      <c r="M196" s="319">
        <v>0</v>
      </c>
      <c r="N196" s="319">
        <v>0</v>
      </c>
      <c r="O196" s="319">
        <v>0</v>
      </c>
      <c r="P196" s="319">
        <v>0</v>
      </c>
      <c r="Q196" s="320">
        <v>0</v>
      </c>
      <c r="R196" s="319">
        <v>0</v>
      </c>
      <c r="S196" s="319"/>
      <c r="T196" s="319"/>
      <c r="U196" s="319"/>
      <c r="V196" s="319"/>
      <c r="W196" s="321">
        <f>IFERROR(IF(tblPiNAnalysis5[[#This Row],[CCCM]]="", "", MROUND(tblPiNAnalysis5[[#This Row],[CCCM]]/tblPiNAnalysis5[[#This Row],[Affected population projection 2026]], 0.05)), "")</f>
        <v>0</v>
      </c>
      <c r="X196" s="322">
        <f>IFERROR(IF(tblPiNAnalysis5[[#This Row],[Education]]="", "", MROUND(tblPiNAnalysis5[[#This Row],[Education]]/tblPiNAnalysis5[[#This Row],[Affected population projection 2026]], 0.05)), "")</f>
        <v>0</v>
      </c>
      <c r="Y196" s="322">
        <f>IFERROR(IF(tblPiNAnalysis5[[#This Row],[Nutrition]]="", "", MROUND(tblPiNAnalysis5[[#This Row],[Nutrition]]/tblPiNAnalysis5[[#This Row],[Affected population projection 2026]], 0.05)), "")</f>
        <v>0</v>
      </c>
      <c r="Z196" s="322">
        <f>IFERROR(IF(tblPiNAnalysis5[[#This Row],[Food Security]]="", "", MROUND(tblPiNAnalysis5[[#This Row],[Food Security]]/tblPiNAnalysis5[[#This Row],[Affected population projection 2026]], 0.05)), "")</f>
        <v>0</v>
      </c>
      <c r="AA196" s="322">
        <f>IFERROR(IF(tblPiNAnalysis5[[#This Row],[Health]]="", "", MROUND(tblPiNAnalysis5[[#This Row],[Health]]/tblPiNAnalysis5[[#This Row],[Affected population projection 2026]], 0.05)), "")</f>
        <v>0</v>
      </c>
      <c r="AB196" s="323">
        <f>IFERROR(IF(tblPiNAnalysis5[[#This Row],[Overarching Protection]]="", "", MROUND(tblPiNAnalysis5[[#This Row],[Overarching Protection]]/tblPiNAnalysis5[[#This Row],[Affected population projection 2026]], 0.05)), "")</f>
        <v>0</v>
      </c>
      <c r="AC196" s="323">
        <f>IFERROR(IF(tblPiNAnalysis5[[#This Row],[Shelter]]="", "", MROUND(tblPiNAnalysis5[[#This Row],[Shelter]]/tblPiNAnalysis5[[#This Row],[Affected population projection 2026]], 0.05)), "")</f>
        <v>0</v>
      </c>
      <c r="AD196" s="324">
        <f>IFERROR(IF(tblPiNAnalysis5[[#This Row],[WASH]]="", "", MROUND(tblPiNAnalysis5[[#This Row],[WASH]]/tblPiNAnalysis5[[#This Row],[Affected population projection 2026]], 0.05)), "")</f>
        <v>0</v>
      </c>
      <c r="AE196" s="322">
        <f>IFERROR(MROUND(tblPiNAnalysis5[[#This Row],[CP]]/tblPiNAnalysis5[[#This Row],[Affected population projection 2026]], 0.05), "")</f>
        <v>0</v>
      </c>
      <c r="AF196" s="322">
        <f>IFERROR(MROUND(tblPiNAnalysis5[[#This Row],[GBV]]/tblPiNAnalysis5[[#This Row],[Affected population projection 2026]], 0.05), "")</f>
        <v>0</v>
      </c>
      <c r="AG196" s="322">
        <f>IFERROR(MROUND(tblPiNAnalysis5[[#This Row],[Mine Action]]/tblPiNAnalysis5[[#This Row],[Affected population projection 2026]], 0.05), "")</f>
        <v>0</v>
      </c>
      <c r="AH196" s="322">
        <f>IFERROR(MROUND(tblPiNAnalysis5[[#This Row],[HLP]]/tblPiNAnalysis5[[#This Row],[Affected population projection 2026]], 0.05), "")</f>
        <v>0</v>
      </c>
      <c r="AI196" s="325">
        <f>IFERROR(LARGE(tblPiNAnalysis5[[#This Row],[CCCM]:[WASH]], 1), "")</f>
        <v>0</v>
      </c>
      <c r="AJ196" s="326" t="str" cm="1">
        <f t="array" ref="AJ196">IF(tblPiNAnalysis5[[#This Row],[Highest Target]]="", "", _xlfn.TEXTJOIN(CHAR(10), TRUE, IF(tblPiNAnalysis5[[#This Row],[Highest Target]]=tblPiNAnalysis5[[#This Row],[CCCM]:[WASH]], tblPiNAnalysis5[[#Headers],[CCCM]:[WASH]], "")))</f>
        <v>CCCM
Education
Nutrition
Food Security
Health
Overarching Protection
Shelter
WASH</v>
      </c>
      <c r="AK196" s="327">
        <f>IF(tblPiNAnalysis5[[#This Row],[Highest Target]]="", "", tblPiNAnalysis5[[#This Row],[Highest Target]]/tblPiNAnalysis5[[#This Row],[Affected population projection 2026]])</f>
        <v>0</v>
      </c>
      <c r="AL196" s="328" t="str">
        <f>IF(SUM(tblPiNAnalysis5[[#This Row],[CCCM]:[WASH]])=0, "",IF(COUNTIF(tblPiNAnalysis5[[#This Row],[CCCM]:[WASH]],"=0")+COUNTIF(tblPiNAnalysis5[[#This Row],[CCCM]:[WASH]],"")&gt;=zero_pin_thresh, "Flagged", ""))</f>
        <v/>
      </c>
      <c r="AM196" s="329" t="str">
        <f>IFERROR(IF(tblPiNAnalysis5[[#This Row],[Highest Target]]="", "", IF(tblPiNAnalysis5[[#This Row],[Highest sector(s'') Target %]]&gt;=flag_pin_perc, "Flagged", "")), "")</f>
        <v/>
      </c>
      <c r="AN196" s="330" t="str" cm="1">
        <f t="array" ref="AN196">IF(tblPiNAnalysis5[[#This Row],[Highest Target]]=0, "",  IF(OR(COUNTIF(tblPiNAnalysis5[[#This Row],[Highest sector(s)]],tblSubSectorPopulation[Sector])), "Flagged", ""))</f>
        <v/>
      </c>
      <c r="AO196" s="46" cm="1">
        <f t="array" ref="AO19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196" s="331" t="str" cm="1">
        <f t="array" ref="AP196">IF(tblPiNAnalysis5[[#This Row],[2nd Highest Target]]="", "", _xlfn.TEXTJOIN(CHAR(10), TRUE, IF(tblPiNAnalysis5[[#This Row],[2nd Highest Target]]=tblPiNAnalysis5[[#This Row],[CCCM]:[WASH]], tblPiNAnalysis5[[#Headers],[CCCM]:[WASH]], "")))</f>
        <v>CCCM
Education
Nutrition
Food Security
Health
Overarching Protection
Shelter
WASH</v>
      </c>
      <c r="AQ196" s="36">
        <f>IFERROR(tblPiNAnalysis5[[#This Row],[2nd Highest Target]]/tblPiNAnalysis5[[#This Row],[Affected population projection 2026]], "")</f>
        <v>0</v>
      </c>
      <c r="AR196" s="46">
        <f>IFERROR(tblPiNAnalysis5[[#This Row],[Highest Target]]-tblPiNAnalysis5[[#This Row],[2nd Highest Target]], "")</f>
        <v>0</v>
      </c>
      <c r="AS196" s="39" t="str">
        <f>IFERROR(((tblPiNAnalysis5[[#This Row],[Highest Target]]-tblPiNAnalysis5[[#This Row],[2nd Highest Target]])/tblPiNAnalysis5[[#This Row],[2nd Highest Target]]),"")</f>
        <v/>
      </c>
      <c r="AT196" s="39" t="str" cm="1">
        <f t="array" ref="AT19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6" s="332" cm="1">
        <f t="array" ref="AU19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196" s="190" t="str" cm="1">
        <f t="array" ref="AV196">IF(tblPiNAnalysis5[[#This Row],[3rd Highest Target]]="", "", _xlfn.TEXTJOIN(CHAR(10), TRUE, IF(tblPiNAnalysis5[[#This Row],[3rd Highest Target]]=tblPiNAnalysis5[[#This Row],[CCCM]:[WASH]], tblPiNAnalysis5[[#Headers],[CCCM]:[WASH]], "")))</f>
        <v>CCCM
Education
Nutrition
Food Security
Health
Overarching Protection
Shelter
WASH</v>
      </c>
      <c r="AW196" s="190">
        <f>IFERROR(tblPiNAnalysis5[[#This Row],[3rd Highest Target]]/tblPiNAnalysis5[[#This Row],[Affected population projection 2026]], "")</f>
        <v>0</v>
      </c>
      <c r="AX196" s="45">
        <f>IFERROR(tblPiNAnalysis5[[#This Row],[Highest Target]]-tblPiNAnalysis5[[#This Row],[3rd Highest Target]],"")</f>
        <v>0</v>
      </c>
      <c r="AY196" s="39" t="str">
        <f>IFERROR(tblPiNAnalysis5[[#This Row],[Difference of Target between Highest and 3rd Highest]]/tblPiNAnalysis5[[#This Row],[3rd Highest Target]], "")</f>
        <v/>
      </c>
      <c r="AZ196" s="330" t="str" cm="1">
        <f t="array" ref="AZ19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6" s="300" t="str" cm="1">
        <f t="array" ref="BA19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6" s="333" t="str" cm="1">
        <f t="array" ref="BB19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6" s="276" t="str" cm="1">
        <f t="array" ref="BC19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6" s="334" t="str" cm="1">
        <f t="array" ref="BD19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6" s="277" t="e">
        <f>INDEX(tblSeverityAnalysis[Final Severity], MATCH(tblPiNAnalysis5[[#This Row],[ID]],tblSeverityAnalysis[ID], 0))</f>
        <v>#N/A</v>
      </c>
      <c r="BF196" s="61" t="e">
        <f>IF(tblPiNAnalysis5[[#This Row],[Severity]]&gt;2,tblPiNAnalysis5[[#This Row],[Highest Target]],)</f>
        <v>#N/A</v>
      </c>
      <c r="BG196" s="191"/>
      <c r="BH196" s="192"/>
      <c r="BI196" s="193">
        <f>COUNTIFS(tblPiNAnalysis5[[#This Row],[Number of missing / zero PiNs greater than threshold - Data quality]:[Manual Flag]],"Flagged")</f>
        <v>2</v>
      </c>
      <c r="BJ196" s="96" t="str">
        <f>IF(tblPiNAnalysis5[[#This Row],['# Flags]]&gt;0, "Flagged", "")</f>
        <v>Flagged</v>
      </c>
      <c r="BK196" s="326" t="e">
        <f>tblPiNAnalysis5[[#This Row],[Preliminary Target]]</f>
        <v>#N/A</v>
      </c>
      <c r="BL196" s="331"/>
    </row>
    <row r="197" spans="1:64" x14ac:dyDescent="0.55000000000000004">
      <c r="A1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7" s="316" t="s">
        <v>310</v>
      </c>
      <c r="C197" s="317" t="s">
        <v>311</v>
      </c>
      <c r="D197" s="317" t="s">
        <v>314</v>
      </c>
      <c r="E197" s="105" t="s">
        <v>315</v>
      </c>
      <c r="F197" s="100"/>
      <c r="G197" s="34"/>
      <c r="H197" s="34"/>
      <c r="I197" s="97">
        <v>84624.371794578474</v>
      </c>
      <c r="J197" s="97" t="s">
        <v>414</v>
      </c>
      <c r="K197" s="318">
        <v>6817</v>
      </c>
      <c r="L197" s="319">
        <v>31034.769764707813</v>
      </c>
      <c r="M197" s="319">
        <v>18515.163075924651</v>
      </c>
      <c r="N197" s="319">
        <v>37316.940294097905</v>
      </c>
      <c r="O197" s="319">
        <v>32173.087639161407</v>
      </c>
      <c r="P197" s="319">
        <v>33615.929344172117</v>
      </c>
      <c r="Q197" s="320">
        <v>37743.316064099949</v>
      </c>
      <c r="R197" s="319">
        <v>9097.9905890261853</v>
      </c>
      <c r="S197" s="319"/>
      <c r="T197" s="319"/>
      <c r="U197" s="319"/>
      <c r="V197" s="319"/>
      <c r="W197" s="321">
        <f>IFERROR(IF(tblPiNAnalysis5[[#This Row],[CCCM]]="", "", MROUND(tblPiNAnalysis5[[#This Row],[CCCM]]/tblPiNAnalysis5[[#This Row],[Affected population projection 2026]], 0.05)), "")</f>
        <v>0.1</v>
      </c>
      <c r="X197" s="322">
        <f>IFERROR(IF(tblPiNAnalysis5[[#This Row],[Education]]="", "", MROUND(tblPiNAnalysis5[[#This Row],[Education]]/tblPiNAnalysis5[[#This Row],[Affected population projection 2026]], 0.05)), "")</f>
        <v>0.35000000000000003</v>
      </c>
      <c r="Y197" s="322">
        <f>IFERROR(IF(tblPiNAnalysis5[[#This Row],[Nutrition]]="", "", MROUND(tblPiNAnalysis5[[#This Row],[Nutrition]]/tblPiNAnalysis5[[#This Row],[Affected population projection 2026]], 0.05)), "")</f>
        <v>0.2</v>
      </c>
      <c r="Z197" s="322">
        <f>IFERROR(IF(tblPiNAnalysis5[[#This Row],[Food Security]]="", "", MROUND(tblPiNAnalysis5[[#This Row],[Food Security]]/tblPiNAnalysis5[[#This Row],[Affected population projection 2026]], 0.05)), "")</f>
        <v>0.45</v>
      </c>
      <c r="AA197" s="322">
        <f>IFERROR(IF(tblPiNAnalysis5[[#This Row],[Health]]="", "", MROUND(tblPiNAnalysis5[[#This Row],[Health]]/tblPiNAnalysis5[[#This Row],[Affected population projection 2026]], 0.05)), "")</f>
        <v>0.4</v>
      </c>
      <c r="AB197" s="323">
        <f>IFERROR(IF(tblPiNAnalysis5[[#This Row],[Overarching Protection]]="", "", MROUND(tblPiNAnalysis5[[#This Row],[Overarching Protection]]/tblPiNAnalysis5[[#This Row],[Affected population projection 2026]], 0.05)), "")</f>
        <v>0.4</v>
      </c>
      <c r="AC197" s="323">
        <f>IFERROR(IF(tblPiNAnalysis5[[#This Row],[Shelter]]="", "", MROUND(tblPiNAnalysis5[[#This Row],[Shelter]]/tblPiNAnalysis5[[#This Row],[Affected population projection 2026]], 0.05)), "")</f>
        <v>0.45</v>
      </c>
      <c r="AD197" s="324">
        <f>IFERROR(IF(tblPiNAnalysis5[[#This Row],[WASH]]="", "", MROUND(tblPiNAnalysis5[[#This Row],[WASH]]/tblPiNAnalysis5[[#This Row],[Affected population projection 2026]], 0.05)), "")</f>
        <v>0.1</v>
      </c>
      <c r="AE197" s="322">
        <f>IFERROR(MROUND(tblPiNAnalysis5[[#This Row],[CP]]/tblPiNAnalysis5[[#This Row],[Affected population projection 2026]], 0.05), "")</f>
        <v>0</v>
      </c>
      <c r="AF197" s="322">
        <f>IFERROR(MROUND(tblPiNAnalysis5[[#This Row],[GBV]]/tblPiNAnalysis5[[#This Row],[Affected population projection 2026]], 0.05), "")</f>
        <v>0</v>
      </c>
      <c r="AG197" s="322">
        <f>IFERROR(MROUND(tblPiNAnalysis5[[#This Row],[Mine Action]]/tblPiNAnalysis5[[#This Row],[Affected population projection 2026]], 0.05), "")</f>
        <v>0</v>
      </c>
      <c r="AH197" s="322">
        <f>IFERROR(MROUND(tblPiNAnalysis5[[#This Row],[HLP]]/tblPiNAnalysis5[[#This Row],[Affected population projection 2026]], 0.05), "")</f>
        <v>0</v>
      </c>
      <c r="AI197" s="325">
        <f>IFERROR(LARGE(tblPiNAnalysis5[[#This Row],[CCCM]:[WASH]], 1), "")</f>
        <v>37743.316064099949</v>
      </c>
      <c r="AJ197" s="326" t="str" cm="1">
        <f t="array" ref="AJ197">IF(tblPiNAnalysis5[[#This Row],[Highest Target]]="", "", _xlfn.TEXTJOIN(CHAR(10), TRUE, IF(tblPiNAnalysis5[[#This Row],[Highest Target]]=tblPiNAnalysis5[[#This Row],[CCCM]:[WASH]], tblPiNAnalysis5[[#Headers],[CCCM]:[WASH]], "")))</f>
        <v>Shelter</v>
      </c>
      <c r="AK197" s="327">
        <f>IF(tblPiNAnalysis5[[#This Row],[Highest Target]]="", "", tblPiNAnalysis5[[#This Row],[Highest Target]]/tblPiNAnalysis5[[#This Row],[Affected population projection 2026]])</f>
        <v>0.44601000000000002</v>
      </c>
      <c r="AL197" s="328" t="str">
        <f>IF(SUM(tblPiNAnalysis5[[#This Row],[CCCM]:[WASH]])=0, "",IF(COUNTIF(tblPiNAnalysis5[[#This Row],[CCCM]:[WASH]],"=0")+COUNTIF(tblPiNAnalysis5[[#This Row],[CCCM]:[WASH]],"")&gt;=zero_pin_thresh, "Flagged", ""))</f>
        <v/>
      </c>
      <c r="AM197" s="329" t="str">
        <f>IFERROR(IF(tblPiNAnalysis5[[#This Row],[Highest Target]]="", "", IF(tblPiNAnalysis5[[#This Row],[Highest sector(s'') Target %]]&gt;=flag_pin_perc, "Flagged", "")), "")</f>
        <v/>
      </c>
      <c r="AN197" s="330" t="str" cm="1">
        <f t="array" ref="AN197">IF(tblPiNAnalysis5[[#This Row],[Highest Target]]=0, "",  IF(OR(COUNTIF(tblPiNAnalysis5[[#This Row],[Highest sector(s)]],tblSubSectorPopulation[Sector])), "Flagged", ""))</f>
        <v/>
      </c>
      <c r="AO197" s="46" cm="1">
        <f t="array" ref="AO19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37316.940294097905</v>
      </c>
      <c r="AP197" s="331" t="str" cm="1">
        <f t="array" ref="AP197">IF(tblPiNAnalysis5[[#This Row],[2nd Highest Target]]="", "", _xlfn.TEXTJOIN(CHAR(10), TRUE, IF(tblPiNAnalysis5[[#This Row],[2nd Highest Target]]=tblPiNAnalysis5[[#This Row],[CCCM]:[WASH]], tblPiNAnalysis5[[#Headers],[CCCM]:[WASH]], "")))</f>
        <v>Food Security</v>
      </c>
      <c r="AQ197" s="36">
        <f>IFERROR(tblPiNAnalysis5[[#This Row],[2nd Highest Target]]/tblPiNAnalysis5[[#This Row],[Affected population projection 2026]], "")</f>
        <v>0.44097154877182371</v>
      </c>
      <c r="AR197" s="46">
        <f>IFERROR(tblPiNAnalysis5[[#This Row],[Highest Target]]-tblPiNAnalysis5[[#This Row],[2nd Highest Target]], "")</f>
        <v>426.37577000204328</v>
      </c>
      <c r="AS197" s="39">
        <f>IFERROR(((tblPiNAnalysis5[[#This Row],[Highest Target]]-tblPiNAnalysis5[[#This Row],[2nd Highest Target]])/tblPiNAnalysis5[[#This Row],[2nd Highest Target]]),"")</f>
        <v>1.1425796612523438E-2</v>
      </c>
      <c r="AT197" s="39" t="str" cm="1">
        <f t="array" ref="AT19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7" s="332" cm="1">
        <f t="array" ref="AU19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33615.929344172117</v>
      </c>
      <c r="AV197" s="190" t="str" cm="1">
        <f t="array" ref="AV197">IF(tblPiNAnalysis5[[#This Row],[3rd Highest Target]]="", "", _xlfn.TEXTJOIN(CHAR(10), TRUE, IF(tblPiNAnalysis5[[#This Row],[3rd Highest Target]]=tblPiNAnalysis5[[#This Row],[CCCM]:[WASH]], tblPiNAnalysis5[[#Headers],[CCCM]:[WASH]], "")))</f>
        <v>Overarching Protection</v>
      </c>
      <c r="AW197" s="190">
        <f>IFERROR(tblPiNAnalysis5[[#This Row],[3rd Highest Target]]/tblPiNAnalysis5[[#This Row],[Affected population projection 2026]], "")</f>
        <v>0.39723697359636706</v>
      </c>
      <c r="AX197" s="45">
        <f>IFERROR(tblPiNAnalysis5[[#This Row],[Highest Target]]-tblPiNAnalysis5[[#This Row],[3rd Highest Target]],"")</f>
        <v>4127.386719927832</v>
      </c>
      <c r="AY197" s="39">
        <f>IFERROR(tblPiNAnalysis5[[#This Row],[Difference of Target between Highest and 3rd Highest]]/tblPiNAnalysis5[[#This Row],[3rd Highest Target]], "")</f>
        <v>0.12278068167237458</v>
      </c>
      <c r="AZ197" s="330" t="str" cm="1">
        <f t="array" ref="AZ19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7" s="300" t="str" cm="1">
        <f t="array" ref="BA19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7" s="333" t="str" cm="1">
        <f t="array" ref="BB19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197" s="276" t="str" cm="1">
        <f t="array" ref="BC19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7" s="334" t="str" cm="1">
        <f t="array" ref="BD19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97" s="277" t="e">
        <f>INDEX(tblSeverityAnalysis[Final Severity], MATCH(tblPiNAnalysis5[[#This Row],[ID]],tblSeverityAnalysis[ID], 0))</f>
        <v>#N/A</v>
      </c>
      <c r="BF197" s="61" t="e">
        <f>IF(tblPiNAnalysis5[[#This Row],[Severity]]&gt;2,tblPiNAnalysis5[[#This Row],[Highest Target]],)</f>
        <v>#N/A</v>
      </c>
      <c r="BG197" s="191"/>
      <c r="BH197" s="192"/>
      <c r="BI197" s="193">
        <f>COUNTIFS(tblPiNAnalysis5[[#This Row],[Number of missing / zero PiNs greater than threshold - Data quality]:[Manual Flag]],"Flagged")</f>
        <v>1</v>
      </c>
      <c r="BJ197" s="96" t="str">
        <f>IF(tblPiNAnalysis5[[#This Row],['# Flags]]&gt;0, "Flagged", "")</f>
        <v>Flagged</v>
      </c>
      <c r="BK197" s="326" t="e">
        <f>tblPiNAnalysis5[[#This Row],[Preliminary Target]]</f>
        <v>#N/A</v>
      </c>
      <c r="BL197" s="331"/>
    </row>
    <row r="198" spans="1:64" ht="24.6" x14ac:dyDescent="0.55000000000000004">
      <c r="A1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8" s="316" t="s">
        <v>310</v>
      </c>
      <c r="C198" s="317" t="s">
        <v>311</v>
      </c>
      <c r="D198" s="317" t="s">
        <v>316</v>
      </c>
      <c r="E198" s="105" t="s">
        <v>317</v>
      </c>
      <c r="F198" s="100"/>
      <c r="G198" s="34"/>
      <c r="H198" s="34"/>
      <c r="I198" s="97">
        <v>62262.159201647075</v>
      </c>
      <c r="J198" s="97" t="s">
        <v>414</v>
      </c>
      <c r="K198" s="318">
        <v>0</v>
      </c>
      <c r="L198" s="319">
        <v>8144.0585314052814</v>
      </c>
      <c r="M198" s="319">
        <v>22132.152043279402</v>
      </c>
      <c r="N198" s="319">
        <v>25043.913831496066</v>
      </c>
      <c r="O198" s="319">
        <v>25633.300676064508</v>
      </c>
      <c r="P198" s="319">
        <v>29469.802812157952</v>
      </c>
      <c r="Q198" s="320">
        <v>21710.735670866259</v>
      </c>
      <c r="R198" s="319">
        <v>2522.1939491407957</v>
      </c>
      <c r="S198" s="319"/>
      <c r="T198" s="319"/>
      <c r="U198" s="319"/>
      <c r="V198" s="319"/>
      <c r="W198" s="321">
        <f>IFERROR(IF(tblPiNAnalysis5[[#This Row],[CCCM]]="", "", MROUND(tblPiNAnalysis5[[#This Row],[CCCM]]/tblPiNAnalysis5[[#This Row],[Affected population projection 2026]], 0.05)), "")</f>
        <v>0</v>
      </c>
      <c r="X198" s="322">
        <f>IFERROR(IF(tblPiNAnalysis5[[#This Row],[Education]]="", "", MROUND(tblPiNAnalysis5[[#This Row],[Education]]/tblPiNAnalysis5[[#This Row],[Affected population projection 2026]], 0.05)), "")</f>
        <v>0.15000000000000002</v>
      </c>
      <c r="Y198" s="322">
        <f>IFERROR(IF(tblPiNAnalysis5[[#This Row],[Nutrition]]="", "", MROUND(tblPiNAnalysis5[[#This Row],[Nutrition]]/tblPiNAnalysis5[[#This Row],[Affected population projection 2026]], 0.05)), "")</f>
        <v>0.35000000000000003</v>
      </c>
      <c r="Z198" s="322">
        <f>IFERROR(IF(tblPiNAnalysis5[[#This Row],[Food Security]]="", "", MROUND(tblPiNAnalysis5[[#This Row],[Food Security]]/tblPiNAnalysis5[[#This Row],[Affected population projection 2026]], 0.05)), "")</f>
        <v>0.4</v>
      </c>
      <c r="AA198" s="322">
        <f>IFERROR(IF(tblPiNAnalysis5[[#This Row],[Health]]="", "", MROUND(tblPiNAnalysis5[[#This Row],[Health]]/tblPiNAnalysis5[[#This Row],[Affected population projection 2026]], 0.05)), "")</f>
        <v>0.4</v>
      </c>
      <c r="AB198" s="323">
        <f>IFERROR(IF(tblPiNAnalysis5[[#This Row],[Overarching Protection]]="", "", MROUND(tblPiNAnalysis5[[#This Row],[Overarching Protection]]/tblPiNAnalysis5[[#This Row],[Affected population projection 2026]], 0.05)), "")</f>
        <v>0.45</v>
      </c>
      <c r="AC198" s="323">
        <f>IFERROR(IF(tblPiNAnalysis5[[#This Row],[Shelter]]="", "", MROUND(tblPiNAnalysis5[[#This Row],[Shelter]]/tblPiNAnalysis5[[#This Row],[Affected population projection 2026]], 0.05)), "")</f>
        <v>0.35000000000000003</v>
      </c>
      <c r="AD198" s="324">
        <f>IFERROR(IF(tblPiNAnalysis5[[#This Row],[WASH]]="", "", MROUND(tblPiNAnalysis5[[#This Row],[WASH]]/tblPiNAnalysis5[[#This Row],[Affected population projection 2026]], 0.05)), "")</f>
        <v>0.05</v>
      </c>
      <c r="AE198" s="322">
        <f>IFERROR(MROUND(tblPiNAnalysis5[[#This Row],[CP]]/tblPiNAnalysis5[[#This Row],[Affected population projection 2026]], 0.05), "")</f>
        <v>0</v>
      </c>
      <c r="AF198" s="322">
        <f>IFERROR(MROUND(tblPiNAnalysis5[[#This Row],[GBV]]/tblPiNAnalysis5[[#This Row],[Affected population projection 2026]], 0.05), "")</f>
        <v>0</v>
      </c>
      <c r="AG198" s="322">
        <f>IFERROR(MROUND(tblPiNAnalysis5[[#This Row],[Mine Action]]/tblPiNAnalysis5[[#This Row],[Affected population projection 2026]], 0.05), "")</f>
        <v>0</v>
      </c>
      <c r="AH198" s="322">
        <f>IFERROR(MROUND(tblPiNAnalysis5[[#This Row],[HLP]]/tblPiNAnalysis5[[#This Row],[Affected population projection 2026]], 0.05), "")</f>
        <v>0</v>
      </c>
      <c r="AI198" s="325">
        <f>IFERROR(LARGE(tblPiNAnalysis5[[#This Row],[CCCM]:[WASH]], 1), "")</f>
        <v>29469.802812157952</v>
      </c>
      <c r="AJ198" s="326" t="str" cm="1">
        <f t="array" ref="AJ198">IF(tblPiNAnalysis5[[#This Row],[Highest Target]]="", "", _xlfn.TEXTJOIN(CHAR(10), TRUE, IF(tblPiNAnalysis5[[#This Row],[Highest Target]]=tblPiNAnalysis5[[#This Row],[CCCM]:[WASH]], tblPiNAnalysis5[[#Headers],[CCCM]:[WASH]], "")))</f>
        <v>Overarching Protection</v>
      </c>
      <c r="AK198" s="327">
        <f>IF(tblPiNAnalysis5[[#This Row],[Highest Target]]="", "", tblPiNAnalysis5[[#This Row],[Highest Target]]/tblPiNAnalysis5[[#This Row],[Affected population projection 2026]])</f>
        <v>0.47331803442143333</v>
      </c>
      <c r="AL198" s="328" t="str">
        <f>IF(SUM(tblPiNAnalysis5[[#This Row],[CCCM]:[WASH]])=0, "",IF(COUNTIF(tblPiNAnalysis5[[#This Row],[CCCM]:[WASH]],"=0")+COUNTIF(tblPiNAnalysis5[[#This Row],[CCCM]:[WASH]],"")&gt;=zero_pin_thresh, "Flagged", ""))</f>
        <v/>
      </c>
      <c r="AM198" s="329" t="str">
        <f>IFERROR(IF(tblPiNAnalysis5[[#This Row],[Highest Target]]="", "", IF(tblPiNAnalysis5[[#This Row],[Highest sector(s'') Target %]]&gt;=flag_pin_perc, "Flagged", "")), "")</f>
        <v/>
      </c>
      <c r="AN198" s="330" t="str" cm="1">
        <f t="array" ref="AN198">IF(tblPiNAnalysis5[[#This Row],[Highest Target]]=0, "",  IF(OR(COUNTIF(tblPiNAnalysis5[[#This Row],[Highest sector(s)]],tblSubSectorPopulation[Sector])), "Flagged", ""))</f>
        <v/>
      </c>
      <c r="AO198" s="46" cm="1">
        <f t="array" ref="AO19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25633.300676064508</v>
      </c>
      <c r="AP198" s="331" t="str" cm="1">
        <f t="array" ref="AP198">IF(tblPiNAnalysis5[[#This Row],[2nd Highest Target]]="", "", _xlfn.TEXTJOIN(CHAR(10), TRUE, IF(tblPiNAnalysis5[[#This Row],[2nd Highest Target]]=tblPiNAnalysis5[[#This Row],[CCCM]:[WASH]], tblPiNAnalysis5[[#Headers],[CCCM]:[WASH]], "")))</f>
        <v>Health</v>
      </c>
      <c r="AQ198" s="36">
        <f>IFERROR(tblPiNAnalysis5[[#This Row],[2nd Highest Target]]/tblPiNAnalysis5[[#This Row],[Affected population projection 2026]], "")</f>
        <v>0.41169951387401305</v>
      </c>
      <c r="AR198" s="46">
        <f>IFERROR(tblPiNAnalysis5[[#This Row],[Highest Target]]-tblPiNAnalysis5[[#This Row],[2nd Highest Target]], "")</f>
        <v>3836.5021360934443</v>
      </c>
      <c r="AS198" s="39">
        <f>IFERROR(((tblPiNAnalysis5[[#This Row],[Highest Target]]-tblPiNAnalysis5[[#This Row],[2nd Highest Target]])/tblPiNAnalysis5[[#This Row],[2nd Highest Target]]),"")</f>
        <v>0.14966867453303967</v>
      </c>
      <c r="AT198" s="39" t="str" cm="1">
        <f t="array" ref="AT19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8" s="332" cm="1">
        <f t="array" ref="AU19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25043.913831496066</v>
      </c>
      <c r="AV198" s="190" t="str" cm="1">
        <f t="array" ref="AV198">IF(tblPiNAnalysis5[[#This Row],[3rd Highest Target]]="", "", _xlfn.TEXTJOIN(CHAR(10), TRUE, IF(tblPiNAnalysis5[[#This Row],[3rd Highest Target]]=tblPiNAnalysis5[[#This Row],[CCCM]:[WASH]], tblPiNAnalysis5[[#Headers],[CCCM]:[WASH]], "")))</f>
        <v>Food Security</v>
      </c>
      <c r="AW198" s="190">
        <f>IFERROR(tblPiNAnalysis5[[#This Row],[3rd Highest Target]]/tblPiNAnalysis5[[#This Row],[Affected population projection 2026]], "")</f>
        <v>0.40223330113539585</v>
      </c>
      <c r="AX198" s="45">
        <f>IFERROR(tblPiNAnalysis5[[#This Row],[Highest Target]]-tblPiNAnalysis5[[#This Row],[3rd Highest Target]],"")</f>
        <v>4425.8889806618863</v>
      </c>
      <c r="AY198" s="39">
        <f>IFERROR(tblPiNAnalysis5[[#This Row],[Difference of Target between Highest and 3rd Highest]]/tblPiNAnalysis5[[#This Row],[3rd Highest Target]], "")</f>
        <v>0.17672513211955473</v>
      </c>
      <c r="AZ198" s="330" t="str" cm="1">
        <f t="array" ref="AZ19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8" s="300" t="str" cm="1">
        <f t="array" ref="BA19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8" s="333" t="str" cm="1">
        <f t="array" ref="BB19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98" s="276" t="str" cm="1">
        <f t="array" ref="BC19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8" s="334" t="str" cm="1">
        <f t="array" ref="BD19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198" s="277" t="e">
        <f>INDEX(tblSeverityAnalysis[Final Severity], MATCH(tblPiNAnalysis5[[#This Row],[ID]],tblSeverityAnalysis[ID], 0))</f>
        <v>#N/A</v>
      </c>
      <c r="BF198" s="61" t="e">
        <f>IF(tblPiNAnalysis5[[#This Row],[Severity]]&gt;2,tblPiNAnalysis5[[#This Row],[Highest Target]],)</f>
        <v>#N/A</v>
      </c>
      <c r="BG198" s="191"/>
      <c r="BH198" s="192"/>
      <c r="BI198" s="193">
        <f>COUNTIFS(tblPiNAnalysis5[[#This Row],[Number of missing / zero PiNs greater than threshold - Data quality]:[Manual Flag]],"Flagged")</f>
        <v>1</v>
      </c>
      <c r="BJ198" s="96" t="str">
        <f>IF(tblPiNAnalysis5[[#This Row],['# Flags]]&gt;0, "Flagged", "")</f>
        <v>Flagged</v>
      </c>
      <c r="BK198" s="326" t="e">
        <f>tblPiNAnalysis5[[#This Row],[Preliminary Target]]</f>
        <v>#N/A</v>
      </c>
      <c r="BL198" s="331"/>
    </row>
    <row r="199" spans="1:64" ht="24.6" x14ac:dyDescent="0.55000000000000004">
      <c r="A1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9" s="316" t="s">
        <v>310</v>
      </c>
      <c r="C199" s="317" t="s">
        <v>311</v>
      </c>
      <c r="D199" s="317" t="s">
        <v>318</v>
      </c>
      <c r="E199" s="105" t="s">
        <v>319</v>
      </c>
      <c r="F199" s="100"/>
      <c r="G199" s="34"/>
      <c r="H199" s="34"/>
      <c r="I199" s="97">
        <v>8876.9955392885731</v>
      </c>
      <c r="J199" s="97" t="s">
        <v>414</v>
      </c>
      <c r="K199" s="318">
        <v>0</v>
      </c>
      <c r="L199" s="319">
        <v>809.7484368494795</v>
      </c>
      <c r="M199" s="319">
        <v>2458.0660530455111</v>
      </c>
      <c r="N199" s="319">
        <v>3775.6570624876808</v>
      </c>
      <c r="O199" s="319">
        <v>2930.4271734008034</v>
      </c>
      <c r="P199" s="319">
        <v>3994.993051649406</v>
      </c>
      <c r="Q199" s="320">
        <v>2791.1679592522619</v>
      </c>
      <c r="R199" s="319">
        <v>2079.8580457754633</v>
      </c>
      <c r="S199" s="319"/>
      <c r="T199" s="319"/>
      <c r="U199" s="319"/>
      <c r="V199" s="319"/>
      <c r="W199" s="321">
        <f>IFERROR(IF(tblPiNAnalysis5[[#This Row],[CCCM]]="", "", MROUND(tblPiNAnalysis5[[#This Row],[CCCM]]/tblPiNAnalysis5[[#This Row],[Affected population projection 2026]], 0.05)), "")</f>
        <v>0</v>
      </c>
      <c r="X199" s="322">
        <f>IFERROR(IF(tblPiNAnalysis5[[#This Row],[Education]]="", "", MROUND(tblPiNAnalysis5[[#This Row],[Education]]/tblPiNAnalysis5[[#This Row],[Affected population projection 2026]], 0.05)), "")</f>
        <v>0.1</v>
      </c>
      <c r="Y199" s="322">
        <f>IFERROR(IF(tblPiNAnalysis5[[#This Row],[Nutrition]]="", "", MROUND(tblPiNAnalysis5[[#This Row],[Nutrition]]/tblPiNAnalysis5[[#This Row],[Affected population projection 2026]], 0.05)), "")</f>
        <v>0.30000000000000004</v>
      </c>
      <c r="Z199" s="322">
        <f>IFERROR(IF(tblPiNAnalysis5[[#This Row],[Food Security]]="", "", MROUND(tblPiNAnalysis5[[#This Row],[Food Security]]/tblPiNAnalysis5[[#This Row],[Affected population projection 2026]], 0.05)), "")</f>
        <v>0.45</v>
      </c>
      <c r="AA199" s="322">
        <f>IFERROR(IF(tblPiNAnalysis5[[#This Row],[Health]]="", "", MROUND(tblPiNAnalysis5[[#This Row],[Health]]/tblPiNAnalysis5[[#This Row],[Affected population projection 2026]], 0.05)), "")</f>
        <v>0.35000000000000003</v>
      </c>
      <c r="AB199" s="323">
        <f>IFERROR(IF(tblPiNAnalysis5[[#This Row],[Overarching Protection]]="", "", MROUND(tblPiNAnalysis5[[#This Row],[Overarching Protection]]/tblPiNAnalysis5[[#This Row],[Affected population projection 2026]], 0.05)), "")</f>
        <v>0.45</v>
      </c>
      <c r="AC199" s="323">
        <f>IFERROR(IF(tblPiNAnalysis5[[#This Row],[Shelter]]="", "", MROUND(tblPiNAnalysis5[[#This Row],[Shelter]]/tblPiNAnalysis5[[#This Row],[Affected population projection 2026]], 0.05)), "")</f>
        <v>0.30000000000000004</v>
      </c>
      <c r="AD199" s="324">
        <f>IFERROR(IF(tblPiNAnalysis5[[#This Row],[WASH]]="", "", MROUND(tblPiNAnalysis5[[#This Row],[WASH]]/tblPiNAnalysis5[[#This Row],[Affected population projection 2026]], 0.05)), "")</f>
        <v>0.25</v>
      </c>
      <c r="AE199" s="322">
        <f>IFERROR(MROUND(tblPiNAnalysis5[[#This Row],[CP]]/tblPiNAnalysis5[[#This Row],[Affected population projection 2026]], 0.05), "")</f>
        <v>0</v>
      </c>
      <c r="AF199" s="322">
        <f>IFERROR(MROUND(tblPiNAnalysis5[[#This Row],[GBV]]/tblPiNAnalysis5[[#This Row],[Affected population projection 2026]], 0.05), "")</f>
        <v>0</v>
      </c>
      <c r="AG199" s="322">
        <f>IFERROR(MROUND(tblPiNAnalysis5[[#This Row],[Mine Action]]/tblPiNAnalysis5[[#This Row],[Affected population projection 2026]], 0.05), "")</f>
        <v>0</v>
      </c>
      <c r="AH199" s="322">
        <f>IFERROR(MROUND(tblPiNAnalysis5[[#This Row],[HLP]]/tblPiNAnalysis5[[#This Row],[Affected population projection 2026]], 0.05), "")</f>
        <v>0</v>
      </c>
      <c r="AI199" s="325">
        <f>IFERROR(LARGE(tblPiNAnalysis5[[#This Row],[CCCM]:[WASH]], 1), "")</f>
        <v>3994.993051649406</v>
      </c>
      <c r="AJ199" s="326" t="str" cm="1">
        <f t="array" ref="AJ199">IF(tblPiNAnalysis5[[#This Row],[Highest Target]]="", "", _xlfn.TEXTJOIN(CHAR(10), TRUE, IF(tblPiNAnalysis5[[#This Row],[Highest Target]]=tblPiNAnalysis5[[#This Row],[CCCM]:[WASH]], tblPiNAnalysis5[[#Headers],[CCCM]:[WASH]], "")))</f>
        <v>Overarching Protection</v>
      </c>
      <c r="AK199" s="327">
        <f>IF(tblPiNAnalysis5[[#This Row],[Highest Target]]="", "", tblPiNAnalysis5[[#This Row],[Highest Target]]/tblPiNAnalysis5[[#This Row],[Affected population projection 2026]])</f>
        <v>0.45003887114373559</v>
      </c>
      <c r="AL199" s="328" t="str">
        <f>IF(SUM(tblPiNAnalysis5[[#This Row],[CCCM]:[WASH]])=0, "",IF(COUNTIF(tblPiNAnalysis5[[#This Row],[CCCM]:[WASH]],"=0")+COUNTIF(tblPiNAnalysis5[[#This Row],[CCCM]:[WASH]],"")&gt;=zero_pin_thresh, "Flagged", ""))</f>
        <v/>
      </c>
      <c r="AM199" s="329" t="str">
        <f>IFERROR(IF(tblPiNAnalysis5[[#This Row],[Highest Target]]="", "", IF(tblPiNAnalysis5[[#This Row],[Highest sector(s'') Target %]]&gt;=flag_pin_perc, "Flagged", "")), "")</f>
        <v/>
      </c>
      <c r="AN199" s="330" t="str" cm="1">
        <f t="array" ref="AN199">IF(tblPiNAnalysis5[[#This Row],[Highest Target]]=0, "",  IF(OR(COUNTIF(tblPiNAnalysis5[[#This Row],[Highest sector(s)]],tblSubSectorPopulation[Sector])), "Flagged", ""))</f>
        <v/>
      </c>
      <c r="AO199" s="46" cm="1">
        <f t="array" ref="AO19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3775.6570624876808</v>
      </c>
      <c r="AP199" s="331" t="str" cm="1">
        <f t="array" ref="AP199">IF(tblPiNAnalysis5[[#This Row],[2nd Highest Target]]="", "", _xlfn.TEXTJOIN(CHAR(10), TRUE, IF(tblPiNAnalysis5[[#This Row],[2nd Highest Target]]=tblPiNAnalysis5[[#This Row],[CCCM]:[WASH]], tblPiNAnalysis5[[#Headers],[CCCM]:[WASH]], "")))</f>
        <v>Food Security</v>
      </c>
      <c r="AQ199" s="36">
        <f>IFERROR(tblPiNAnalysis5[[#This Row],[2nd Highest Target]]/tblPiNAnalysis5[[#This Row],[Affected population projection 2026]], "")</f>
        <v>0.42533051253400456</v>
      </c>
      <c r="AR199" s="46">
        <f>IFERROR(tblPiNAnalysis5[[#This Row],[Highest Target]]-tblPiNAnalysis5[[#This Row],[2nd Highest Target]], "")</f>
        <v>219.33598916172514</v>
      </c>
      <c r="AS199" s="39">
        <f>IFERROR(((tblPiNAnalysis5[[#This Row],[Highest Target]]-tblPiNAnalysis5[[#This Row],[2nd Highest Target]])/tblPiNAnalysis5[[#This Row],[2nd Highest Target]]),"")</f>
        <v>5.809213748274332E-2</v>
      </c>
      <c r="AT199" s="39" t="str" cm="1">
        <f t="array" ref="AT19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199" s="332" cm="1">
        <f t="array" ref="AU19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2930.4271734008034</v>
      </c>
      <c r="AV199" s="190" t="str" cm="1">
        <f t="array" ref="AV199">IF(tblPiNAnalysis5[[#This Row],[3rd Highest Target]]="", "", _xlfn.TEXTJOIN(CHAR(10), TRUE, IF(tblPiNAnalysis5[[#This Row],[3rd Highest Target]]=tblPiNAnalysis5[[#This Row],[CCCM]:[WASH]], tblPiNAnalysis5[[#Headers],[CCCM]:[WASH]], "")))</f>
        <v>Health</v>
      </c>
      <c r="AW199" s="190">
        <f>IFERROR(tblPiNAnalysis5[[#This Row],[3rd Highest Target]]/tblPiNAnalysis5[[#This Row],[Affected population projection 2026]], "")</f>
        <v>0.33011475114874911</v>
      </c>
      <c r="AX199" s="45">
        <f>IFERROR(tblPiNAnalysis5[[#This Row],[Highest Target]]-tblPiNAnalysis5[[#This Row],[3rd Highest Target]],"")</f>
        <v>1064.5658782486025</v>
      </c>
      <c r="AY199" s="39">
        <f>IFERROR(tblPiNAnalysis5[[#This Row],[Difference of Target between Highest and 3rd Highest]]/tblPiNAnalysis5[[#This Row],[3rd Highest Target]], "")</f>
        <v>0.36328010056402743</v>
      </c>
      <c r="AZ199" s="330" t="str" cm="1">
        <f t="array" ref="AZ19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199" s="300" t="str" cm="1">
        <f t="array" ref="BA19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199" s="333" t="str" cm="1">
        <f t="array" ref="BB19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199" s="276" t="str" cm="1">
        <f t="array" ref="BC19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199" s="334" t="str" cm="1">
        <f t="array" ref="BD19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199" s="277" t="e">
        <f>INDEX(tblSeverityAnalysis[Final Severity], MATCH(tblPiNAnalysis5[[#This Row],[ID]],tblSeverityAnalysis[ID], 0))</f>
        <v>#N/A</v>
      </c>
      <c r="BF199" s="61" t="e">
        <f>IF(tblPiNAnalysis5[[#This Row],[Severity]]&gt;2,tblPiNAnalysis5[[#This Row],[Highest Target]],)</f>
        <v>#N/A</v>
      </c>
      <c r="BG199" s="191"/>
      <c r="BH199" s="192"/>
      <c r="BI199" s="193">
        <f>COUNTIFS(tblPiNAnalysis5[[#This Row],[Number of missing / zero PiNs greater than threshold - Data quality]:[Manual Flag]],"Flagged")</f>
        <v>0</v>
      </c>
      <c r="BJ199" s="96" t="str">
        <f>IF(tblPiNAnalysis5[[#This Row],['# Flags]]&gt;0, "Flagged", "")</f>
        <v/>
      </c>
      <c r="BK199" s="326" t="e">
        <f>tblPiNAnalysis5[[#This Row],[Preliminary Target]]</f>
        <v>#N/A</v>
      </c>
      <c r="BL199" s="331"/>
    </row>
    <row r="200" spans="1:64" ht="24.6" x14ac:dyDescent="0.55000000000000004">
      <c r="A2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0" s="316" t="s">
        <v>310</v>
      </c>
      <c r="C200" s="317" t="s">
        <v>311</v>
      </c>
      <c r="D200" s="317" t="s">
        <v>320</v>
      </c>
      <c r="E200" s="105" t="s">
        <v>321</v>
      </c>
      <c r="F200" s="100"/>
      <c r="G200" s="34"/>
      <c r="H200" s="34"/>
      <c r="I200" s="97">
        <v>46727.292920050364</v>
      </c>
      <c r="J200" s="97" t="s">
        <v>414</v>
      </c>
      <c r="K200" s="318">
        <v>0</v>
      </c>
      <c r="L200" s="319">
        <v>1830.2146090925328</v>
      </c>
      <c r="M200" s="319">
        <v>8260.7405083810445</v>
      </c>
      <c r="N200" s="319">
        <v>8622.1084897205419</v>
      </c>
      <c r="O200" s="319">
        <v>6958.3208077515483</v>
      </c>
      <c r="P200" s="319">
        <v>4539.9371124334475</v>
      </c>
      <c r="Q200" s="320">
        <v>8018.4569592522603</v>
      </c>
      <c r="R200" s="319">
        <v>1858.3154536422687</v>
      </c>
      <c r="S200" s="319"/>
      <c r="T200" s="319"/>
      <c r="U200" s="319"/>
      <c r="V200" s="319"/>
      <c r="W200" s="321">
        <f>IFERROR(IF(tblPiNAnalysis5[[#This Row],[CCCM]]="", "", MROUND(tblPiNAnalysis5[[#This Row],[CCCM]]/tblPiNAnalysis5[[#This Row],[Affected population projection 2026]], 0.05)), "")</f>
        <v>0</v>
      </c>
      <c r="X200" s="322">
        <f>IFERROR(IF(tblPiNAnalysis5[[#This Row],[Education]]="", "", MROUND(tblPiNAnalysis5[[#This Row],[Education]]/tblPiNAnalysis5[[#This Row],[Affected population projection 2026]], 0.05)), "")</f>
        <v>0.05</v>
      </c>
      <c r="Y200" s="322">
        <f>IFERROR(IF(tblPiNAnalysis5[[#This Row],[Nutrition]]="", "", MROUND(tblPiNAnalysis5[[#This Row],[Nutrition]]/tblPiNAnalysis5[[#This Row],[Affected population projection 2026]], 0.05)), "")</f>
        <v>0.2</v>
      </c>
      <c r="Z200" s="322">
        <f>IFERROR(IF(tblPiNAnalysis5[[#This Row],[Food Security]]="", "", MROUND(tblPiNAnalysis5[[#This Row],[Food Security]]/tblPiNAnalysis5[[#This Row],[Affected population projection 2026]], 0.05)), "")</f>
        <v>0.2</v>
      </c>
      <c r="AA200" s="322">
        <f>IFERROR(IF(tblPiNAnalysis5[[#This Row],[Health]]="", "", MROUND(tblPiNAnalysis5[[#This Row],[Health]]/tblPiNAnalysis5[[#This Row],[Affected population projection 2026]], 0.05)), "")</f>
        <v>0.15000000000000002</v>
      </c>
      <c r="AB200" s="323">
        <f>IFERROR(IF(tblPiNAnalysis5[[#This Row],[Overarching Protection]]="", "", MROUND(tblPiNAnalysis5[[#This Row],[Overarching Protection]]/tblPiNAnalysis5[[#This Row],[Affected population projection 2026]], 0.05)), "")</f>
        <v>0.1</v>
      </c>
      <c r="AC200" s="323">
        <f>IFERROR(IF(tblPiNAnalysis5[[#This Row],[Shelter]]="", "", MROUND(tblPiNAnalysis5[[#This Row],[Shelter]]/tblPiNAnalysis5[[#This Row],[Affected population projection 2026]], 0.05)), "")</f>
        <v>0.15000000000000002</v>
      </c>
      <c r="AD200" s="324">
        <f>IFERROR(IF(tblPiNAnalysis5[[#This Row],[WASH]]="", "", MROUND(tblPiNAnalysis5[[#This Row],[WASH]]/tblPiNAnalysis5[[#This Row],[Affected population projection 2026]], 0.05)), "")</f>
        <v>0.05</v>
      </c>
      <c r="AE200" s="322">
        <f>IFERROR(MROUND(tblPiNAnalysis5[[#This Row],[CP]]/tblPiNAnalysis5[[#This Row],[Affected population projection 2026]], 0.05), "")</f>
        <v>0</v>
      </c>
      <c r="AF200" s="322">
        <f>IFERROR(MROUND(tblPiNAnalysis5[[#This Row],[GBV]]/tblPiNAnalysis5[[#This Row],[Affected population projection 2026]], 0.05), "")</f>
        <v>0</v>
      </c>
      <c r="AG200" s="322">
        <f>IFERROR(MROUND(tblPiNAnalysis5[[#This Row],[Mine Action]]/tblPiNAnalysis5[[#This Row],[Affected population projection 2026]], 0.05), "")</f>
        <v>0</v>
      </c>
      <c r="AH200" s="322">
        <f>IFERROR(MROUND(tblPiNAnalysis5[[#This Row],[HLP]]/tblPiNAnalysis5[[#This Row],[Affected population projection 2026]], 0.05), "")</f>
        <v>0</v>
      </c>
      <c r="AI200" s="325">
        <f>IFERROR(LARGE(tblPiNAnalysis5[[#This Row],[CCCM]:[WASH]], 1), "")</f>
        <v>8622.1084897205419</v>
      </c>
      <c r="AJ200" s="326" t="str" cm="1">
        <f t="array" ref="AJ200">IF(tblPiNAnalysis5[[#This Row],[Highest Target]]="", "", _xlfn.TEXTJOIN(CHAR(10), TRUE, IF(tblPiNAnalysis5[[#This Row],[Highest Target]]=tblPiNAnalysis5[[#This Row],[CCCM]:[WASH]], tblPiNAnalysis5[[#Headers],[CCCM]:[WASH]], "")))</f>
        <v>Food Security</v>
      </c>
      <c r="AK200" s="327">
        <f>IF(tblPiNAnalysis5[[#This Row],[Highest Target]]="", "", tblPiNAnalysis5[[#This Row],[Highest Target]]/tblPiNAnalysis5[[#This Row],[Affected population projection 2026]])</f>
        <v>0.18451975175349508</v>
      </c>
      <c r="AL200" s="328" t="str">
        <f>IF(SUM(tblPiNAnalysis5[[#This Row],[CCCM]:[WASH]])=0, "",IF(COUNTIF(tblPiNAnalysis5[[#This Row],[CCCM]:[WASH]],"=0")+COUNTIF(tblPiNAnalysis5[[#This Row],[CCCM]:[WASH]],"")&gt;=zero_pin_thresh, "Flagged", ""))</f>
        <v/>
      </c>
      <c r="AM200" s="329" t="str">
        <f>IFERROR(IF(tblPiNAnalysis5[[#This Row],[Highest Target]]="", "", IF(tblPiNAnalysis5[[#This Row],[Highest sector(s'') Target %]]&gt;=flag_pin_perc, "Flagged", "")), "")</f>
        <v/>
      </c>
      <c r="AN200" s="330" t="str" cm="1">
        <f t="array" ref="AN200">IF(tblPiNAnalysis5[[#This Row],[Highest Target]]=0, "",  IF(OR(COUNTIF(tblPiNAnalysis5[[#This Row],[Highest sector(s)]],tblSubSectorPopulation[Sector])), "Flagged", ""))</f>
        <v/>
      </c>
      <c r="AO200" s="46" cm="1">
        <f t="array" ref="AO20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8260.7405083810445</v>
      </c>
      <c r="AP200" s="331" t="str" cm="1">
        <f t="array" ref="AP200">IF(tblPiNAnalysis5[[#This Row],[2nd Highest Target]]="", "", _xlfn.TEXTJOIN(CHAR(10), TRUE, IF(tblPiNAnalysis5[[#This Row],[2nd Highest Target]]=tblPiNAnalysis5[[#This Row],[CCCM]:[WASH]], tblPiNAnalysis5[[#Headers],[CCCM]:[WASH]], "")))</f>
        <v>Nutrition</v>
      </c>
      <c r="AQ200" s="36">
        <f>IFERROR(tblPiNAnalysis5[[#This Row],[2nd Highest Target]]/tblPiNAnalysis5[[#This Row],[Affected population projection 2026]], "")</f>
        <v>0.17678619907459731</v>
      </c>
      <c r="AR200" s="46">
        <f>IFERROR(tblPiNAnalysis5[[#This Row],[Highest Target]]-tblPiNAnalysis5[[#This Row],[2nd Highest Target]], "")</f>
        <v>361.36798133949742</v>
      </c>
      <c r="AS200" s="39">
        <f>IFERROR(((tblPiNAnalysis5[[#This Row],[Highest Target]]-tblPiNAnalysis5[[#This Row],[2nd Highest Target]])/tblPiNAnalysis5[[#This Row],[2nd Highest Target]]),"")</f>
        <v>4.374522852677272E-2</v>
      </c>
      <c r="AT200" s="39" t="str" cm="1">
        <f t="array" ref="AT20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00" s="332" cm="1">
        <f t="array" ref="AU20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8018.4569592522603</v>
      </c>
      <c r="AV200" s="190" t="str" cm="1">
        <f t="array" ref="AV200">IF(tblPiNAnalysis5[[#This Row],[3rd Highest Target]]="", "", _xlfn.TEXTJOIN(CHAR(10), TRUE, IF(tblPiNAnalysis5[[#This Row],[3rd Highest Target]]=tblPiNAnalysis5[[#This Row],[CCCM]:[WASH]], tblPiNAnalysis5[[#Headers],[CCCM]:[WASH]], "")))</f>
        <v>Shelter</v>
      </c>
      <c r="AW200" s="190">
        <f>IFERROR(tblPiNAnalysis5[[#This Row],[3rd Highest Target]]/tblPiNAnalysis5[[#This Row],[Affected population projection 2026]], "")</f>
        <v>0.17160114481640759</v>
      </c>
      <c r="AX200" s="45">
        <f>IFERROR(tblPiNAnalysis5[[#This Row],[Highest Target]]-tblPiNAnalysis5[[#This Row],[3rd Highest Target]],"")</f>
        <v>603.65153046828163</v>
      </c>
      <c r="AY200" s="39">
        <f>IFERROR(tblPiNAnalysis5[[#This Row],[Difference of Target between Highest and 3rd Highest]]/tblPiNAnalysis5[[#This Row],[3rd Highest Target]], "")</f>
        <v>7.5282754965934687E-2</v>
      </c>
      <c r="AZ200" s="330" t="str" cm="1">
        <f t="array" ref="AZ20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00" s="300" t="str" cm="1">
        <f t="array" ref="BA20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0" s="333" t="str" cm="1">
        <f t="array" ref="BB20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00" s="276" t="str" cm="1">
        <f t="array" ref="BC20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0" s="334" t="str" cm="1">
        <f t="array" ref="BD20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0" s="277" t="e">
        <f>INDEX(tblSeverityAnalysis[Final Severity], MATCH(tblPiNAnalysis5[[#This Row],[ID]],tblSeverityAnalysis[ID], 0))</f>
        <v>#N/A</v>
      </c>
      <c r="BF200" s="61" t="e">
        <f>IF(tblPiNAnalysis5[[#This Row],[Severity]]&gt;2,tblPiNAnalysis5[[#This Row],[Highest Target]],)</f>
        <v>#N/A</v>
      </c>
      <c r="BG200" s="191"/>
      <c r="BH200" s="192"/>
      <c r="BI200" s="193">
        <f>COUNTIFS(tblPiNAnalysis5[[#This Row],[Number of missing / zero PiNs greater than threshold - Data quality]:[Manual Flag]],"Flagged")</f>
        <v>0</v>
      </c>
      <c r="BJ200" s="96" t="str">
        <f>IF(tblPiNAnalysis5[[#This Row],['# Flags]]&gt;0, "Flagged", "")</f>
        <v/>
      </c>
      <c r="BK200" s="326" t="e">
        <f>tblPiNAnalysis5[[#This Row],[Preliminary Target]]</f>
        <v>#N/A</v>
      </c>
      <c r="BL200" s="331"/>
    </row>
    <row r="201" spans="1:64" ht="110.7" x14ac:dyDescent="0.55000000000000004">
      <c r="A2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1" s="316" t="s">
        <v>322</v>
      </c>
      <c r="C201" s="317" t="s">
        <v>323</v>
      </c>
      <c r="D201" s="317" t="s">
        <v>324</v>
      </c>
      <c r="E201" s="105" t="s">
        <v>325</v>
      </c>
      <c r="F201" s="100"/>
      <c r="G201" s="34"/>
      <c r="H201" s="34"/>
      <c r="I201" s="97">
        <v>1708.2679972549467</v>
      </c>
      <c r="J201" s="97" t="s">
        <v>414</v>
      </c>
      <c r="K201" s="318">
        <v>0</v>
      </c>
      <c r="L201" s="319">
        <v>0</v>
      </c>
      <c r="M201" s="319">
        <v>0</v>
      </c>
      <c r="N201" s="319">
        <v>0</v>
      </c>
      <c r="O201" s="319">
        <v>0</v>
      </c>
      <c r="P201" s="319">
        <v>0</v>
      </c>
      <c r="Q201" s="320">
        <v>0</v>
      </c>
      <c r="R201" s="319">
        <v>0</v>
      </c>
      <c r="S201" s="319"/>
      <c r="T201" s="319"/>
      <c r="U201" s="319"/>
      <c r="V201" s="319"/>
      <c r="W201" s="321">
        <f>IFERROR(IF(tblPiNAnalysis5[[#This Row],[CCCM]]="", "", MROUND(tblPiNAnalysis5[[#This Row],[CCCM]]/tblPiNAnalysis5[[#This Row],[Affected population projection 2026]], 0.05)), "")</f>
        <v>0</v>
      </c>
      <c r="X201" s="322">
        <f>IFERROR(IF(tblPiNAnalysis5[[#This Row],[Education]]="", "", MROUND(tblPiNAnalysis5[[#This Row],[Education]]/tblPiNAnalysis5[[#This Row],[Affected population projection 2026]], 0.05)), "")</f>
        <v>0</v>
      </c>
      <c r="Y201" s="322">
        <f>IFERROR(IF(tblPiNAnalysis5[[#This Row],[Nutrition]]="", "", MROUND(tblPiNAnalysis5[[#This Row],[Nutrition]]/tblPiNAnalysis5[[#This Row],[Affected population projection 2026]], 0.05)), "")</f>
        <v>0</v>
      </c>
      <c r="Z201" s="322">
        <f>IFERROR(IF(tblPiNAnalysis5[[#This Row],[Food Security]]="", "", MROUND(tblPiNAnalysis5[[#This Row],[Food Security]]/tblPiNAnalysis5[[#This Row],[Affected population projection 2026]], 0.05)), "")</f>
        <v>0</v>
      </c>
      <c r="AA201" s="322">
        <f>IFERROR(IF(tblPiNAnalysis5[[#This Row],[Health]]="", "", MROUND(tblPiNAnalysis5[[#This Row],[Health]]/tblPiNAnalysis5[[#This Row],[Affected population projection 2026]], 0.05)), "")</f>
        <v>0</v>
      </c>
      <c r="AB201" s="323">
        <f>IFERROR(IF(tblPiNAnalysis5[[#This Row],[Overarching Protection]]="", "", MROUND(tblPiNAnalysis5[[#This Row],[Overarching Protection]]/tblPiNAnalysis5[[#This Row],[Affected population projection 2026]], 0.05)), "")</f>
        <v>0</v>
      </c>
      <c r="AC201" s="323">
        <f>IFERROR(IF(tblPiNAnalysis5[[#This Row],[Shelter]]="", "", MROUND(tblPiNAnalysis5[[#This Row],[Shelter]]/tblPiNAnalysis5[[#This Row],[Affected population projection 2026]], 0.05)), "")</f>
        <v>0</v>
      </c>
      <c r="AD201" s="324">
        <f>IFERROR(IF(tblPiNAnalysis5[[#This Row],[WASH]]="", "", MROUND(tblPiNAnalysis5[[#This Row],[WASH]]/tblPiNAnalysis5[[#This Row],[Affected population projection 2026]], 0.05)), "")</f>
        <v>0</v>
      </c>
      <c r="AE201" s="322">
        <f>IFERROR(MROUND(tblPiNAnalysis5[[#This Row],[CP]]/tblPiNAnalysis5[[#This Row],[Affected population projection 2026]], 0.05), "")</f>
        <v>0</v>
      </c>
      <c r="AF201" s="322">
        <f>IFERROR(MROUND(tblPiNAnalysis5[[#This Row],[GBV]]/tblPiNAnalysis5[[#This Row],[Affected population projection 2026]], 0.05), "")</f>
        <v>0</v>
      </c>
      <c r="AG201" s="322">
        <f>IFERROR(MROUND(tblPiNAnalysis5[[#This Row],[Mine Action]]/tblPiNAnalysis5[[#This Row],[Affected population projection 2026]], 0.05), "")</f>
        <v>0</v>
      </c>
      <c r="AH201" s="322">
        <f>IFERROR(MROUND(tblPiNAnalysis5[[#This Row],[HLP]]/tblPiNAnalysis5[[#This Row],[Affected population projection 2026]], 0.05), "")</f>
        <v>0</v>
      </c>
      <c r="AI201" s="325">
        <f>IFERROR(LARGE(tblPiNAnalysis5[[#This Row],[CCCM]:[WASH]], 1), "")</f>
        <v>0</v>
      </c>
      <c r="AJ201" s="326" t="str" cm="1">
        <f t="array" ref="AJ201">IF(tblPiNAnalysis5[[#This Row],[Highest Target]]="", "", _xlfn.TEXTJOIN(CHAR(10), TRUE, IF(tblPiNAnalysis5[[#This Row],[Highest Target]]=tblPiNAnalysis5[[#This Row],[CCCM]:[WASH]], tblPiNAnalysis5[[#Headers],[CCCM]:[WASH]], "")))</f>
        <v>CCCM
Education
Nutrition
Food Security
Health
Overarching Protection
Shelter
WASH</v>
      </c>
      <c r="AK201" s="327">
        <f>IF(tblPiNAnalysis5[[#This Row],[Highest Target]]="", "", tblPiNAnalysis5[[#This Row],[Highest Target]]/tblPiNAnalysis5[[#This Row],[Affected population projection 2026]])</f>
        <v>0</v>
      </c>
      <c r="AL201" s="328" t="str">
        <f>IF(SUM(tblPiNAnalysis5[[#This Row],[CCCM]:[WASH]])=0, "",IF(COUNTIF(tblPiNAnalysis5[[#This Row],[CCCM]:[WASH]],"=0")+COUNTIF(tblPiNAnalysis5[[#This Row],[CCCM]:[WASH]],"")&gt;=zero_pin_thresh, "Flagged", ""))</f>
        <v/>
      </c>
      <c r="AM201" s="329" t="str">
        <f>IFERROR(IF(tblPiNAnalysis5[[#This Row],[Highest Target]]="", "", IF(tblPiNAnalysis5[[#This Row],[Highest sector(s'') Target %]]&gt;=flag_pin_perc, "Flagged", "")), "")</f>
        <v/>
      </c>
      <c r="AN201" s="330" t="str" cm="1">
        <f t="array" ref="AN201">IF(tblPiNAnalysis5[[#This Row],[Highest Target]]=0, "",  IF(OR(COUNTIF(tblPiNAnalysis5[[#This Row],[Highest sector(s)]],tblSubSectorPopulation[Sector])), "Flagged", ""))</f>
        <v/>
      </c>
      <c r="AO201" s="46" cm="1">
        <f t="array" ref="AO20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01" s="331" t="str" cm="1">
        <f t="array" ref="AP201">IF(tblPiNAnalysis5[[#This Row],[2nd Highest Target]]="", "", _xlfn.TEXTJOIN(CHAR(10), TRUE, IF(tblPiNAnalysis5[[#This Row],[2nd Highest Target]]=tblPiNAnalysis5[[#This Row],[CCCM]:[WASH]], tblPiNAnalysis5[[#Headers],[CCCM]:[WASH]], "")))</f>
        <v>CCCM
Education
Nutrition
Food Security
Health
Overarching Protection
Shelter
WASH</v>
      </c>
      <c r="AQ201" s="36">
        <f>IFERROR(tblPiNAnalysis5[[#This Row],[2nd Highest Target]]/tblPiNAnalysis5[[#This Row],[Affected population projection 2026]], "")</f>
        <v>0</v>
      </c>
      <c r="AR201" s="46">
        <f>IFERROR(tblPiNAnalysis5[[#This Row],[Highest Target]]-tblPiNAnalysis5[[#This Row],[2nd Highest Target]], "")</f>
        <v>0</v>
      </c>
      <c r="AS201" s="39" t="str">
        <f>IFERROR(((tblPiNAnalysis5[[#This Row],[Highest Target]]-tblPiNAnalysis5[[#This Row],[2nd Highest Target]])/tblPiNAnalysis5[[#This Row],[2nd Highest Target]]),"")</f>
        <v/>
      </c>
      <c r="AT201" s="39" t="str" cm="1">
        <f t="array" ref="AT20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01" s="332" cm="1">
        <f t="array" ref="AU20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01" s="190" t="str" cm="1">
        <f t="array" ref="AV201">IF(tblPiNAnalysis5[[#This Row],[3rd Highest Target]]="", "", _xlfn.TEXTJOIN(CHAR(10), TRUE, IF(tblPiNAnalysis5[[#This Row],[3rd Highest Target]]=tblPiNAnalysis5[[#This Row],[CCCM]:[WASH]], tblPiNAnalysis5[[#Headers],[CCCM]:[WASH]], "")))</f>
        <v>CCCM
Education
Nutrition
Food Security
Health
Overarching Protection
Shelter
WASH</v>
      </c>
      <c r="AW201" s="190">
        <f>IFERROR(tblPiNAnalysis5[[#This Row],[3rd Highest Target]]/tblPiNAnalysis5[[#This Row],[Affected population projection 2026]], "")</f>
        <v>0</v>
      </c>
      <c r="AX201" s="45">
        <f>IFERROR(tblPiNAnalysis5[[#This Row],[Highest Target]]-tblPiNAnalysis5[[#This Row],[3rd Highest Target]],"")</f>
        <v>0</v>
      </c>
      <c r="AY201" s="39" t="str">
        <f>IFERROR(tblPiNAnalysis5[[#This Row],[Difference of Target between Highest and 3rd Highest]]/tblPiNAnalysis5[[#This Row],[3rd Highest Target]], "")</f>
        <v/>
      </c>
      <c r="AZ201" s="330" t="str" cm="1">
        <f t="array" ref="AZ20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01" s="300" t="str" cm="1">
        <f t="array" ref="BA20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1" s="333" t="str" cm="1">
        <f t="array" ref="BB20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1" s="276" t="str" cm="1">
        <f t="array" ref="BC20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1" s="334" t="str" cm="1">
        <f t="array" ref="BD20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01" s="277" t="e">
        <f>INDEX(tblSeverityAnalysis[Final Severity], MATCH(tblPiNAnalysis5[[#This Row],[ID]],tblSeverityAnalysis[ID], 0))</f>
        <v>#N/A</v>
      </c>
      <c r="BF201" s="61" t="e">
        <f>IF(tblPiNAnalysis5[[#This Row],[Severity]]&gt;2,tblPiNAnalysis5[[#This Row],[Highest Target]],)</f>
        <v>#N/A</v>
      </c>
      <c r="BG201" s="191"/>
      <c r="BH201" s="192"/>
      <c r="BI201" s="193">
        <f>COUNTIFS(tblPiNAnalysis5[[#This Row],[Number of missing / zero PiNs greater than threshold - Data quality]:[Manual Flag]],"Flagged")</f>
        <v>2</v>
      </c>
      <c r="BJ201" s="96" t="str">
        <f>IF(tblPiNAnalysis5[[#This Row],['# Flags]]&gt;0, "Flagged", "")</f>
        <v>Flagged</v>
      </c>
      <c r="BK201" s="326" t="e">
        <f>tblPiNAnalysis5[[#This Row],[Preliminary Target]]</f>
        <v>#N/A</v>
      </c>
      <c r="BL201" s="331"/>
    </row>
    <row r="202" spans="1:64" x14ac:dyDescent="0.55000000000000004">
      <c r="A2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2" s="316" t="s">
        <v>322</v>
      </c>
      <c r="C202" s="317" t="s">
        <v>323</v>
      </c>
      <c r="D202" s="317" t="s">
        <v>326</v>
      </c>
      <c r="E202" s="105" t="s">
        <v>327</v>
      </c>
      <c r="F202" s="100"/>
      <c r="G202" s="34"/>
      <c r="H202" s="34"/>
      <c r="I202" s="97">
        <v>1810</v>
      </c>
      <c r="J202" s="97" t="s">
        <v>414</v>
      </c>
      <c r="K202" s="318">
        <v>994</v>
      </c>
      <c r="L202" s="319">
        <v>103.09167224999999</v>
      </c>
      <c r="M202" s="319">
        <v>351.92441432570166</v>
      </c>
      <c r="N202" s="319">
        <v>408.87124388056441</v>
      </c>
      <c r="O202" s="319">
        <v>325.47977083742273</v>
      </c>
      <c r="P202" s="319">
        <v>243.46121963387958</v>
      </c>
      <c r="Q202" s="320">
        <v>1810</v>
      </c>
      <c r="R202" s="319">
        <v>149.90226337448559</v>
      </c>
      <c r="S202" s="319"/>
      <c r="T202" s="319"/>
      <c r="U202" s="319"/>
      <c r="V202" s="319"/>
      <c r="W202" s="321">
        <f>IFERROR(IF(tblPiNAnalysis5[[#This Row],[CCCM]]="", "", MROUND(tblPiNAnalysis5[[#This Row],[CCCM]]/tblPiNAnalysis5[[#This Row],[Affected population projection 2026]], 0.05)), "")</f>
        <v>0.55000000000000004</v>
      </c>
      <c r="X202" s="322">
        <f>IFERROR(IF(tblPiNAnalysis5[[#This Row],[Education]]="", "", MROUND(tblPiNAnalysis5[[#This Row],[Education]]/tblPiNAnalysis5[[#This Row],[Affected population projection 2026]], 0.05)), "")</f>
        <v>0.05</v>
      </c>
      <c r="Y202" s="322">
        <f>IFERROR(IF(tblPiNAnalysis5[[#This Row],[Nutrition]]="", "", MROUND(tblPiNAnalysis5[[#This Row],[Nutrition]]/tblPiNAnalysis5[[#This Row],[Affected population projection 2026]], 0.05)), "")</f>
        <v>0.2</v>
      </c>
      <c r="Z202" s="322">
        <f>IFERROR(IF(tblPiNAnalysis5[[#This Row],[Food Security]]="", "", MROUND(tblPiNAnalysis5[[#This Row],[Food Security]]/tblPiNAnalysis5[[#This Row],[Affected population projection 2026]], 0.05)), "")</f>
        <v>0.25</v>
      </c>
      <c r="AA202" s="322">
        <f>IFERROR(IF(tblPiNAnalysis5[[#This Row],[Health]]="", "", MROUND(tblPiNAnalysis5[[#This Row],[Health]]/tblPiNAnalysis5[[#This Row],[Affected population projection 2026]], 0.05)), "")</f>
        <v>0.2</v>
      </c>
      <c r="AB202" s="323">
        <f>IFERROR(IF(tblPiNAnalysis5[[#This Row],[Overarching Protection]]="", "", MROUND(tblPiNAnalysis5[[#This Row],[Overarching Protection]]/tblPiNAnalysis5[[#This Row],[Affected population projection 2026]], 0.05)), "")</f>
        <v>0.15000000000000002</v>
      </c>
      <c r="AC202" s="323">
        <f>IFERROR(IF(tblPiNAnalysis5[[#This Row],[Shelter]]="", "", MROUND(tblPiNAnalysis5[[#This Row],[Shelter]]/tblPiNAnalysis5[[#This Row],[Affected population projection 2026]], 0.05)), "")</f>
        <v>1</v>
      </c>
      <c r="AD202" s="324">
        <f>IFERROR(IF(tblPiNAnalysis5[[#This Row],[WASH]]="", "", MROUND(tblPiNAnalysis5[[#This Row],[WASH]]/tblPiNAnalysis5[[#This Row],[Affected population projection 2026]], 0.05)), "")</f>
        <v>0.1</v>
      </c>
      <c r="AE202" s="322">
        <f>IFERROR(MROUND(tblPiNAnalysis5[[#This Row],[CP]]/tblPiNAnalysis5[[#This Row],[Affected population projection 2026]], 0.05), "")</f>
        <v>0</v>
      </c>
      <c r="AF202" s="322">
        <f>IFERROR(MROUND(tblPiNAnalysis5[[#This Row],[GBV]]/tblPiNAnalysis5[[#This Row],[Affected population projection 2026]], 0.05), "")</f>
        <v>0</v>
      </c>
      <c r="AG202" s="322">
        <f>IFERROR(MROUND(tblPiNAnalysis5[[#This Row],[Mine Action]]/tblPiNAnalysis5[[#This Row],[Affected population projection 2026]], 0.05), "")</f>
        <v>0</v>
      </c>
      <c r="AH202" s="322">
        <f>IFERROR(MROUND(tblPiNAnalysis5[[#This Row],[HLP]]/tblPiNAnalysis5[[#This Row],[Affected population projection 2026]], 0.05), "")</f>
        <v>0</v>
      </c>
      <c r="AI202" s="325">
        <f>IFERROR(LARGE(tblPiNAnalysis5[[#This Row],[CCCM]:[WASH]], 1), "")</f>
        <v>1810</v>
      </c>
      <c r="AJ202" s="326" t="str" cm="1">
        <f t="array" ref="AJ202">IF(tblPiNAnalysis5[[#This Row],[Highest Target]]="", "", _xlfn.TEXTJOIN(CHAR(10), TRUE, IF(tblPiNAnalysis5[[#This Row],[Highest Target]]=tblPiNAnalysis5[[#This Row],[CCCM]:[WASH]], tblPiNAnalysis5[[#Headers],[CCCM]:[WASH]], "")))</f>
        <v>Shelter</v>
      </c>
      <c r="AK202" s="327">
        <f>IF(tblPiNAnalysis5[[#This Row],[Highest Target]]="", "", tblPiNAnalysis5[[#This Row],[Highest Target]]/tblPiNAnalysis5[[#This Row],[Affected population projection 2026]])</f>
        <v>1</v>
      </c>
      <c r="AL202" s="328" t="str">
        <f>IF(SUM(tblPiNAnalysis5[[#This Row],[CCCM]:[WASH]])=0, "",IF(COUNTIF(tblPiNAnalysis5[[#This Row],[CCCM]:[WASH]],"=0")+COUNTIF(tblPiNAnalysis5[[#This Row],[CCCM]:[WASH]],"")&gt;=zero_pin_thresh, "Flagged", ""))</f>
        <v/>
      </c>
      <c r="AM202" s="329" t="str">
        <f>IFERROR(IF(tblPiNAnalysis5[[#This Row],[Highest Target]]="", "", IF(tblPiNAnalysis5[[#This Row],[Highest sector(s'') Target %]]&gt;=flag_pin_perc, "Flagged", "")), "")</f>
        <v>Flagged</v>
      </c>
      <c r="AN202" s="330" t="str" cm="1">
        <f t="array" ref="AN202">IF(tblPiNAnalysis5[[#This Row],[Highest Target]]=0, "",  IF(OR(COUNTIF(tblPiNAnalysis5[[#This Row],[Highest sector(s)]],tblSubSectorPopulation[Sector])), "Flagged", ""))</f>
        <v/>
      </c>
      <c r="AO202" s="46" cm="1">
        <f t="array" ref="AO20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994</v>
      </c>
      <c r="AP202" s="331" t="str" cm="1">
        <f t="array" ref="AP202">IF(tblPiNAnalysis5[[#This Row],[2nd Highest Target]]="", "", _xlfn.TEXTJOIN(CHAR(10), TRUE, IF(tblPiNAnalysis5[[#This Row],[2nd Highest Target]]=tblPiNAnalysis5[[#This Row],[CCCM]:[WASH]], tblPiNAnalysis5[[#Headers],[CCCM]:[WASH]], "")))</f>
        <v>CCCM</v>
      </c>
      <c r="AQ202" s="36">
        <f>IFERROR(tblPiNAnalysis5[[#This Row],[2nd Highest Target]]/tblPiNAnalysis5[[#This Row],[Affected population projection 2026]], "")</f>
        <v>0.54917127071823202</v>
      </c>
      <c r="AR202" s="46">
        <f>IFERROR(tblPiNAnalysis5[[#This Row],[Highest Target]]-tblPiNAnalysis5[[#This Row],[2nd Highest Target]], "")</f>
        <v>816</v>
      </c>
      <c r="AS202" s="39">
        <f>IFERROR(((tblPiNAnalysis5[[#This Row],[Highest Target]]-tblPiNAnalysis5[[#This Row],[2nd Highest Target]])/tblPiNAnalysis5[[#This Row],[2nd Highest Target]]),"")</f>
        <v>0.82092555331991957</v>
      </c>
      <c r="AT202" s="39" t="str" cm="1">
        <f t="array" ref="AT20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2" s="332" cm="1">
        <f t="array" ref="AU20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408.87124388056441</v>
      </c>
      <c r="AV202" s="190" t="str" cm="1">
        <f t="array" ref="AV202">IF(tblPiNAnalysis5[[#This Row],[3rd Highest Target]]="", "", _xlfn.TEXTJOIN(CHAR(10), TRUE, IF(tblPiNAnalysis5[[#This Row],[3rd Highest Target]]=tblPiNAnalysis5[[#This Row],[CCCM]:[WASH]], tblPiNAnalysis5[[#Headers],[CCCM]:[WASH]], "")))</f>
        <v>Food Security</v>
      </c>
      <c r="AW202" s="190">
        <f>IFERROR(tblPiNAnalysis5[[#This Row],[3rd Highest Target]]/tblPiNAnalysis5[[#This Row],[Affected population projection 2026]], "")</f>
        <v>0.22589571485114054</v>
      </c>
      <c r="AX202" s="45">
        <f>IFERROR(tblPiNAnalysis5[[#This Row],[Highest Target]]-tblPiNAnalysis5[[#This Row],[3rd Highest Target]],"")</f>
        <v>1401.1287561194356</v>
      </c>
      <c r="AY202" s="39">
        <f>IFERROR(tblPiNAnalysis5[[#This Row],[Difference of Target between Highest and 3rd Highest]]/tblPiNAnalysis5[[#This Row],[3rd Highest Target]], "")</f>
        <v>3.4268214678572995</v>
      </c>
      <c r="AZ202" s="330" t="str" cm="1">
        <f t="array" ref="AZ20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2" s="300" t="str" cm="1">
        <f t="array" ref="BA20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2" s="333" t="str" cm="1">
        <f t="array" ref="BB20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2" s="276" t="str" cm="1">
        <f t="array" ref="BC20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2" s="334" t="str" cm="1">
        <f t="array" ref="BD20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2" s="277" t="e">
        <f>INDEX(tblSeverityAnalysis[Final Severity], MATCH(tblPiNAnalysis5[[#This Row],[ID]],tblSeverityAnalysis[ID], 0))</f>
        <v>#N/A</v>
      </c>
      <c r="BF202" s="61" t="e">
        <f>IF(tblPiNAnalysis5[[#This Row],[Severity]]&gt;2,tblPiNAnalysis5[[#This Row],[Highest Target]],)</f>
        <v>#N/A</v>
      </c>
      <c r="BG202" s="191"/>
      <c r="BH202" s="192"/>
      <c r="BI202" s="193">
        <f>COUNTIFS(tblPiNAnalysis5[[#This Row],[Number of missing / zero PiNs greater than threshold - Data quality]:[Manual Flag]],"Flagged")</f>
        <v>4</v>
      </c>
      <c r="BJ202" s="96" t="str">
        <f>IF(tblPiNAnalysis5[[#This Row],['# Flags]]&gt;0, "Flagged", "")</f>
        <v>Flagged</v>
      </c>
      <c r="BK202" s="326" t="e">
        <f>tblPiNAnalysis5[[#This Row],[Preliminary Target]]</f>
        <v>#N/A</v>
      </c>
      <c r="BL202" s="331"/>
    </row>
    <row r="203" spans="1:64" ht="24.6" x14ac:dyDescent="0.55000000000000004">
      <c r="A2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3" s="316" t="s">
        <v>322</v>
      </c>
      <c r="C203" s="317" t="s">
        <v>323</v>
      </c>
      <c r="D203" s="317" t="s">
        <v>328</v>
      </c>
      <c r="E203" s="105" t="s">
        <v>329</v>
      </c>
      <c r="F203" s="100"/>
      <c r="G203" s="34"/>
      <c r="H203" s="34"/>
      <c r="I203" s="97">
        <v>7417</v>
      </c>
      <c r="J203" s="97" t="s">
        <v>414</v>
      </c>
      <c r="K203" s="318">
        <v>0</v>
      </c>
      <c r="L203" s="319">
        <v>666.75900285</v>
      </c>
      <c r="M203" s="319">
        <v>1541.5242485182951</v>
      </c>
      <c r="N203" s="319">
        <v>1572.4063279913989</v>
      </c>
      <c r="O203" s="319">
        <v>1330.8514622051105</v>
      </c>
      <c r="P203" s="319">
        <v>991.02253596006744</v>
      </c>
      <c r="Q203" s="320">
        <v>0</v>
      </c>
      <c r="R203" s="319">
        <v>857.65421382030172</v>
      </c>
      <c r="S203" s="319"/>
      <c r="T203" s="319"/>
      <c r="U203" s="319"/>
      <c r="V203" s="319"/>
      <c r="W203" s="321">
        <f>IFERROR(IF(tblPiNAnalysis5[[#This Row],[CCCM]]="", "", MROUND(tblPiNAnalysis5[[#This Row],[CCCM]]/tblPiNAnalysis5[[#This Row],[Affected population projection 2026]], 0.05)), "")</f>
        <v>0</v>
      </c>
      <c r="X203" s="322">
        <f>IFERROR(IF(tblPiNAnalysis5[[#This Row],[Education]]="", "", MROUND(tblPiNAnalysis5[[#This Row],[Education]]/tblPiNAnalysis5[[#This Row],[Affected population projection 2026]], 0.05)), "")</f>
        <v>0.1</v>
      </c>
      <c r="Y203" s="322">
        <f>IFERROR(IF(tblPiNAnalysis5[[#This Row],[Nutrition]]="", "", MROUND(tblPiNAnalysis5[[#This Row],[Nutrition]]/tblPiNAnalysis5[[#This Row],[Affected population projection 2026]], 0.05)), "")</f>
        <v>0.2</v>
      </c>
      <c r="Z203" s="322">
        <f>IFERROR(IF(tblPiNAnalysis5[[#This Row],[Food Security]]="", "", MROUND(tblPiNAnalysis5[[#This Row],[Food Security]]/tblPiNAnalysis5[[#This Row],[Affected population projection 2026]], 0.05)), "")</f>
        <v>0.2</v>
      </c>
      <c r="AA203" s="322">
        <f>IFERROR(IF(tblPiNAnalysis5[[#This Row],[Health]]="", "", MROUND(tblPiNAnalysis5[[#This Row],[Health]]/tblPiNAnalysis5[[#This Row],[Affected population projection 2026]], 0.05)), "")</f>
        <v>0.2</v>
      </c>
      <c r="AB203" s="323">
        <f>IFERROR(IF(tblPiNAnalysis5[[#This Row],[Overarching Protection]]="", "", MROUND(tblPiNAnalysis5[[#This Row],[Overarching Protection]]/tblPiNAnalysis5[[#This Row],[Affected population projection 2026]], 0.05)), "")</f>
        <v>0.15000000000000002</v>
      </c>
      <c r="AC203" s="323">
        <f>IFERROR(IF(tblPiNAnalysis5[[#This Row],[Shelter]]="", "", MROUND(tblPiNAnalysis5[[#This Row],[Shelter]]/tblPiNAnalysis5[[#This Row],[Affected population projection 2026]], 0.05)), "")</f>
        <v>0</v>
      </c>
      <c r="AD203" s="324">
        <f>IFERROR(IF(tblPiNAnalysis5[[#This Row],[WASH]]="", "", MROUND(tblPiNAnalysis5[[#This Row],[WASH]]/tblPiNAnalysis5[[#This Row],[Affected population projection 2026]], 0.05)), "")</f>
        <v>0.1</v>
      </c>
      <c r="AE203" s="322">
        <f>IFERROR(MROUND(tblPiNAnalysis5[[#This Row],[CP]]/tblPiNAnalysis5[[#This Row],[Affected population projection 2026]], 0.05), "")</f>
        <v>0</v>
      </c>
      <c r="AF203" s="322">
        <f>IFERROR(MROUND(tblPiNAnalysis5[[#This Row],[GBV]]/tblPiNAnalysis5[[#This Row],[Affected population projection 2026]], 0.05), "")</f>
        <v>0</v>
      </c>
      <c r="AG203" s="322">
        <f>IFERROR(MROUND(tblPiNAnalysis5[[#This Row],[Mine Action]]/tblPiNAnalysis5[[#This Row],[Affected population projection 2026]], 0.05), "")</f>
        <v>0</v>
      </c>
      <c r="AH203" s="322">
        <f>IFERROR(MROUND(tblPiNAnalysis5[[#This Row],[HLP]]/tblPiNAnalysis5[[#This Row],[Affected population projection 2026]], 0.05), "")</f>
        <v>0</v>
      </c>
      <c r="AI203" s="325">
        <f>IFERROR(LARGE(tblPiNAnalysis5[[#This Row],[CCCM]:[WASH]], 1), "")</f>
        <v>1572.4063279913989</v>
      </c>
      <c r="AJ203" s="326" t="str" cm="1">
        <f t="array" ref="AJ203">IF(tblPiNAnalysis5[[#This Row],[Highest Target]]="", "", _xlfn.TEXTJOIN(CHAR(10), TRUE, IF(tblPiNAnalysis5[[#This Row],[Highest Target]]=tblPiNAnalysis5[[#This Row],[CCCM]:[WASH]], tblPiNAnalysis5[[#Headers],[CCCM]:[WASH]], "")))</f>
        <v>Food Security</v>
      </c>
      <c r="AK203" s="327">
        <f>IF(tblPiNAnalysis5[[#This Row],[Highest Target]]="", "", tblPiNAnalysis5[[#This Row],[Highest Target]]/tblPiNAnalysis5[[#This Row],[Affected population projection 2026]])</f>
        <v>0.21200031387237414</v>
      </c>
      <c r="AL203" s="328" t="str">
        <f>IF(SUM(tblPiNAnalysis5[[#This Row],[CCCM]:[WASH]])=0, "",IF(COUNTIF(tblPiNAnalysis5[[#This Row],[CCCM]:[WASH]],"=0")+COUNTIF(tblPiNAnalysis5[[#This Row],[CCCM]:[WASH]],"")&gt;=zero_pin_thresh, "Flagged", ""))</f>
        <v>Flagged</v>
      </c>
      <c r="AM203" s="329" t="str">
        <f>IFERROR(IF(tblPiNAnalysis5[[#This Row],[Highest Target]]="", "", IF(tblPiNAnalysis5[[#This Row],[Highest sector(s'') Target %]]&gt;=flag_pin_perc, "Flagged", "")), "")</f>
        <v/>
      </c>
      <c r="AN203" s="330" t="str" cm="1">
        <f t="array" ref="AN203">IF(tblPiNAnalysis5[[#This Row],[Highest Target]]=0, "",  IF(OR(COUNTIF(tblPiNAnalysis5[[#This Row],[Highest sector(s)]],tblSubSectorPopulation[Sector])), "Flagged", ""))</f>
        <v/>
      </c>
      <c r="AO203" s="46" cm="1">
        <f t="array" ref="AO20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1541.5242485182951</v>
      </c>
      <c r="AP203" s="331" t="str" cm="1">
        <f t="array" ref="AP203">IF(tblPiNAnalysis5[[#This Row],[2nd Highest Target]]="", "", _xlfn.TEXTJOIN(CHAR(10), TRUE, IF(tblPiNAnalysis5[[#This Row],[2nd Highest Target]]=tblPiNAnalysis5[[#This Row],[CCCM]:[WASH]], tblPiNAnalysis5[[#Headers],[CCCM]:[WASH]], "")))</f>
        <v>Nutrition</v>
      </c>
      <c r="AQ203" s="36">
        <f>IFERROR(tblPiNAnalysis5[[#This Row],[2nd Highest Target]]/tblPiNAnalysis5[[#This Row],[Affected population projection 2026]], "")</f>
        <v>0.20783662512043885</v>
      </c>
      <c r="AR203" s="46">
        <f>IFERROR(tblPiNAnalysis5[[#This Row],[Highest Target]]-tblPiNAnalysis5[[#This Row],[2nd Highest Target]], "")</f>
        <v>30.882079473103886</v>
      </c>
      <c r="AS203" s="39">
        <f>IFERROR(((tblPiNAnalysis5[[#This Row],[Highest Target]]-tblPiNAnalysis5[[#This Row],[2nd Highest Target]])/tblPiNAnalysis5[[#This Row],[2nd Highest Target]]),"")</f>
        <v>2.0033469796396378E-2</v>
      </c>
      <c r="AT203" s="39" t="str" cm="1">
        <f t="array" ref="AT20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03" s="332" cm="1">
        <f t="array" ref="AU20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1330.8514622051105</v>
      </c>
      <c r="AV203" s="190" t="str" cm="1">
        <f t="array" ref="AV203">IF(tblPiNAnalysis5[[#This Row],[3rd Highest Target]]="", "", _xlfn.TEXTJOIN(CHAR(10), TRUE, IF(tblPiNAnalysis5[[#This Row],[3rd Highest Target]]=tblPiNAnalysis5[[#This Row],[CCCM]:[WASH]], tblPiNAnalysis5[[#Headers],[CCCM]:[WASH]], "")))</f>
        <v>Health</v>
      </c>
      <c r="AW203" s="190">
        <f>IFERROR(tblPiNAnalysis5[[#This Row],[3rd Highest Target]]/tblPiNAnalysis5[[#This Row],[Affected population projection 2026]], "")</f>
        <v>0.17943258220373606</v>
      </c>
      <c r="AX203" s="45">
        <f>IFERROR(tblPiNAnalysis5[[#This Row],[Highest Target]]-tblPiNAnalysis5[[#This Row],[3rd Highest Target]],"")</f>
        <v>241.55486578628847</v>
      </c>
      <c r="AY203" s="39">
        <f>IFERROR(tblPiNAnalysis5[[#This Row],[Difference of Target between Highest and 3rd Highest]]/tblPiNAnalysis5[[#This Row],[3rd Highest Target]], "")</f>
        <v>0.18150400149544271</v>
      </c>
      <c r="AZ203" s="330" t="str" cm="1">
        <f t="array" ref="AZ20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03" s="300" t="str" cm="1">
        <f t="array" ref="BA20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3" s="333" t="str" cm="1">
        <f t="array" ref="BB20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03" s="276" t="str" cm="1">
        <f t="array" ref="BC20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3" s="334" t="str" cm="1">
        <f t="array" ref="BD20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3" s="277" t="e">
        <f>INDEX(tblSeverityAnalysis[Final Severity], MATCH(tblPiNAnalysis5[[#This Row],[ID]],tblSeverityAnalysis[ID], 0))</f>
        <v>#N/A</v>
      </c>
      <c r="BF203" s="61" t="e">
        <f>IF(tblPiNAnalysis5[[#This Row],[Severity]]&gt;2,tblPiNAnalysis5[[#This Row],[Highest Target]],)</f>
        <v>#N/A</v>
      </c>
      <c r="BG203" s="191"/>
      <c r="BH203" s="192"/>
      <c r="BI203" s="193">
        <f>COUNTIFS(tblPiNAnalysis5[[#This Row],[Number of missing / zero PiNs greater than threshold - Data quality]:[Manual Flag]],"Flagged")</f>
        <v>1</v>
      </c>
      <c r="BJ203" s="96" t="str">
        <f>IF(tblPiNAnalysis5[[#This Row],['# Flags]]&gt;0, "Flagged", "")</f>
        <v>Flagged</v>
      </c>
      <c r="BK203" s="326" t="e">
        <f>tblPiNAnalysis5[[#This Row],[Preliminary Target]]</f>
        <v>#N/A</v>
      </c>
      <c r="BL203" s="331"/>
    </row>
    <row r="204" spans="1:64" x14ac:dyDescent="0.55000000000000004">
      <c r="A2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4" s="316" t="s">
        <v>322</v>
      </c>
      <c r="C204" s="317" t="s">
        <v>323</v>
      </c>
      <c r="D204" s="317" t="s">
        <v>330</v>
      </c>
      <c r="E204" s="105" t="s">
        <v>331</v>
      </c>
      <c r="F204" s="100"/>
      <c r="G204" s="34"/>
      <c r="H204" s="34"/>
      <c r="I204" s="97">
        <v>5041.023996339929</v>
      </c>
      <c r="J204" s="97" t="s">
        <v>414</v>
      </c>
      <c r="K204" s="318">
        <v>413</v>
      </c>
      <c r="L204" s="319">
        <v>491.72920623497652</v>
      </c>
      <c r="M204" s="319">
        <v>948.70786540732831</v>
      </c>
      <c r="N204" s="319">
        <v>2013.4750014282604</v>
      </c>
      <c r="O204" s="319">
        <v>2516.4715151088149</v>
      </c>
      <c r="P204" s="319">
        <v>1710.5132263169794</v>
      </c>
      <c r="Q204" s="320">
        <v>2052.8386680330004</v>
      </c>
      <c r="R204" s="319">
        <v>547.79646050761835</v>
      </c>
      <c r="S204" s="319"/>
      <c r="T204" s="319"/>
      <c r="U204" s="319"/>
      <c r="V204" s="319"/>
      <c r="W204" s="321">
        <f>IFERROR(IF(tblPiNAnalysis5[[#This Row],[CCCM]]="", "", MROUND(tblPiNAnalysis5[[#This Row],[CCCM]]/tblPiNAnalysis5[[#This Row],[Affected population projection 2026]], 0.05)), "")</f>
        <v>0.1</v>
      </c>
      <c r="X204" s="322">
        <f>IFERROR(IF(tblPiNAnalysis5[[#This Row],[Education]]="", "", MROUND(tblPiNAnalysis5[[#This Row],[Education]]/tblPiNAnalysis5[[#This Row],[Affected population projection 2026]], 0.05)), "")</f>
        <v>0.1</v>
      </c>
      <c r="Y204" s="322">
        <f>IFERROR(IF(tblPiNAnalysis5[[#This Row],[Nutrition]]="", "", MROUND(tblPiNAnalysis5[[#This Row],[Nutrition]]/tblPiNAnalysis5[[#This Row],[Affected population projection 2026]], 0.05)), "")</f>
        <v>0.2</v>
      </c>
      <c r="Z204" s="322">
        <f>IFERROR(IF(tblPiNAnalysis5[[#This Row],[Food Security]]="", "", MROUND(tblPiNAnalysis5[[#This Row],[Food Security]]/tblPiNAnalysis5[[#This Row],[Affected population projection 2026]], 0.05)), "")</f>
        <v>0.4</v>
      </c>
      <c r="AA204" s="322">
        <f>IFERROR(IF(tblPiNAnalysis5[[#This Row],[Health]]="", "", MROUND(tblPiNAnalysis5[[#This Row],[Health]]/tblPiNAnalysis5[[#This Row],[Affected population projection 2026]], 0.05)), "")</f>
        <v>0.5</v>
      </c>
      <c r="AB204" s="323">
        <f>IFERROR(IF(tblPiNAnalysis5[[#This Row],[Overarching Protection]]="", "", MROUND(tblPiNAnalysis5[[#This Row],[Overarching Protection]]/tblPiNAnalysis5[[#This Row],[Affected population projection 2026]], 0.05)), "")</f>
        <v>0.35000000000000003</v>
      </c>
      <c r="AC204" s="323">
        <f>IFERROR(IF(tblPiNAnalysis5[[#This Row],[Shelter]]="", "", MROUND(tblPiNAnalysis5[[#This Row],[Shelter]]/tblPiNAnalysis5[[#This Row],[Affected population projection 2026]], 0.05)), "")</f>
        <v>0.4</v>
      </c>
      <c r="AD204" s="324">
        <f>IFERROR(IF(tblPiNAnalysis5[[#This Row],[WASH]]="", "", MROUND(tblPiNAnalysis5[[#This Row],[WASH]]/tblPiNAnalysis5[[#This Row],[Affected population projection 2026]], 0.05)), "")</f>
        <v>0.1</v>
      </c>
      <c r="AE204" s="322">
        <f>IFERROR(MROUND(tblPiNAnalysis5[[#This Row],[CP]]/tblPiNAnalysis5[[#This Row],[Affected population projection 2026]], 0.05), "")</f>
        <v>0</v>
      </c>
      <c r="AF204" s="322">
        <f>IFERROR(MROUND(tblPiNAnalysis5[[#This Row],[GBV]]/tblPiNAnalysis5[[#This Row],[Affected population projection 2026]], 0.05), "")</f>
        <v>0</v>
      </c>
      <c r="AG204" s="322">
        <f>IFERROR(MROUND(tblPiNAnalysis5[[#This Row],[Mine Action]]/tblPiNAnalysis5[[#This Row],[Affected population projection 2026]], 0.05), "")</f>
        <v>0</v>
      </c>
      <c r="AH204" s="322">
        <f>IFERROR(MROUND(tblPiNAnalysis5[[#This Row],[HLP]]/tblPiNAnalysis5[[#This Row],[Affected population projection 2026]], 0.05), "")</f>
        <v>0</v>
      </c>
      <c r="AI204" s="325">
        <f>IFERROR(LARGE(tblPiNAnalysis5[[#This Row],[CCCM]:[WASH]], 1), "")</f>
        <v>2516.4715151088149</v>
      </c>
      <c r="AJ204" s="326" t="str" cm="1">
        <f t="array" ref="AJ204">IF(tblPiNAnalysis5[[#This Row],[Highest Target]]="", "", _xlfn.TEXTJOIN(CHAR(10), TRUE, IF(tblPiNAnalysis5[[#This Row],[Highest Target]]=tblPiNAnalysis5[[#This Row],[CCCM]:[WASH]], tblPiNAnalysis5[[#Headers],[CCCM]:[WASH]], "")))</f>
        <v>Health</v>
      </c>
      <c r="AK204" s="327">
        <f>IF(tblPiNAnalysis5[[#This Row],[Highest Target]]="", "", tblPiNAnalysis5[[#This Row],[Highest Target]]/tblPiNAnalysis5[[#This Row],[Affected population projection 2026]])</f>
        <v>0.49919847970093312</v>
      </c>
      <c r="AL204" s="328" t="str">
        <f>IF(SUM(tblPiNAnalysis5[[#This Row],[CCCM]:[WASH]])=0, "",IF(COUNTIF(tblPiNAnalysis5[[#This Row],[CCCM]:[WASH]],"=0")+COUNTIF(tblPiNAnalysis5[[#This Row],[CCCM]:[WASH]],"")&gt;=zero_pin_thresh, "Flagged", ""))</f>
        <v/>
      </c>
      <c r="AM204" s="329" t="str">
        <f>IFERROR(IF(tblPiNAnalysis5[[#This Row],[Highest Target]]="", "", IF(tblPiNAnalysis5[[#This Row],[Highest sector(s'') Target %]]&gt;=flag_pin_perc, "Flagged", "")), "")</f>
        <v/>
      </c>
      <c r="AN204" s="330" t="str" cm="1">
        <f t="array" ref="AN204">IF(tblPiNAnalysis5[[#This Row],[Highest Target]]=0, "",  IF(OR(COUNTIF(tblPiNAnalysis5[[#This Row],[Highest sector(s)]],tblSubSectorPopulation[Sector])), "Flagged", ""))</f>
        <v/>
      </c>
      <c r="AO204" s="46" cm="1">
        <f t="array" ref="AO20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2052.8386680330004</v>
      </c>
      <c r="AP204" s="331" t="str" cm="1">
        <f t="array" ref="AP204">IF(tblPiNAnalysis5[[#This Row],[2nd Highest Target]]="", "", _xlfn.TEXTJOIN(CHAR(10), TRUE, IF(tblPiNAnalysis5[[#This Row],[2nd Highest Target]]=tblPiNAnalysis5[[#This Row],[CCCM]:[WASH]], tblPiNAnalysis5[[#Headers],[CCCM]:[WASH]], "")))</f>
        <v>Shelter</v>
      </c>
      <c r="AQ204" s="36">
        <f>IFERROR(tblPiNAnalysis5[[#This Row],[2nd Highest Target]]/tblPiNAnalysis5[[#This Row],[Affected population projection 2026]], "")</f>
        <v>0.40722652173913049</v>
      </c>
      <c r="AR204" s="46">
        <f>IFERROR(tblPiNAnalysis5[[#This Row],[Highest Target]]-tblPiNAnalysis5[[#This Row],[2nd Highest Target]], "")</f>
        <v>463.63284707581442</v>
      </c>
      <c r="AS204" s="39">
        <f>IFERROR(((tblPiNAnalysis5[[#This Row],[Highest Target]]-tblPiNAnalysis5[[#This Row],[2nd Highest Target]])/tblPiNAnalysis5[[#This Row],[2nd Highest Target]]),"")</f>
        <v>0.22584962680971932</v>
      </c>
      <c r="AT204" s="39" t="str" cm="1">
        <f t="array" ref="AT20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04" s="332" cm="1">
        <f t="array" ref="AU20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2013.4750014282604</v>
      </c>
      <c r="AV204" s="190" t="str" cm="1">
        <f t="array" ref="AV204">IF(tblPiNAnalysis5[[#This Row],[3rd Highest Target]]="", "", _xlfn.TEXTJOIN(CHAR(10), TRUE, IF(tblPiNAnalysis5[[#This Row],[3rd Highest Target]]=tblPiNAnalysis5[[#This Row],[CCCM]:[WASH]], tblPiNAnalysis5[[#Headers],[CCCM]:[WASH]], "")))</f>
        <v>Food Security</v>
      </c>
      <c r="AW204" s="190">
        <f>IFERROR(tblPiNAnalysis5[[#This Row],[3rd Highest Target]]/tblPiNAnalysis5[[#This Row],[Affected population projection 2026]], "")</f>
        <v>0.3994178569453663</v>
      </c>
      <c r="AX204" s="45">
        <f>IFERROR(tblPiNAnalysis5[[#This Row],[Highest Target]]-tblPiNAnalysis5[[#This Row],[3rd Highest Target]],"")</f>
        <v>502.99651368055447</v>
      </c>
      <c r="AY204" s="39">
        <f>IFERROR(tblPiNAnalysis5[[#This Row],[Difference of Target between Highest and 3rd Highest]]/tblPiNAnalysis5[[#This Row],[3rd Highest Target]], "")</f>
        <v>0.24981512724208318</v>
      </c>
      <c r="AZ204" s="330" t="str" cm="1">
        <f t="array" ref="AZ20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04" s="300" t="str" cm="1">
        <f t="array" ref="BA20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4" s="333" t="str" cm="1">
        <f t="array" ref="BB20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4" s="276" t="str" cm="1">
        <f t="array" ref="BC20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4" s="334" t="str" cm="1">
        <f t="array" ref="BD20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04" s="277" t="e">
        <f>INDEX(tblSeverityAnalysis[Final Severity], MATCH(tblPiNAnalysis5[[#This Row],[ID]],tblSeverityAnalysis[ID], 0))</f>
        <v>#N/A</v>
      </c>
      <c r="BF204" s="61" t="e">
        <f>IF(tblPiNAnalysis5[[#This Row],[Severity]]&gt;2,tblPiNAnalysis5[[#This Row],[Highest Target]],)</f>
        <v>#N/A</v>
      </c>
      <c r="BG204" s="191"/>
      <c r="BH204" s="192"/>
      <c r="BI204" s="193">
        <f>COUNTIFS(tblPiNAnalysis5[[#This Row],[Number of missing / zero PiNs greater than threshold - Data quality]:[Manual Flag]],"Flagged")</f>
        <v>2</v>
      </c>
      <c r="BJ204" s="96" t="str">
        <f>IF(tblPiNAnalysis5[[#This Row],['# Flags]]&gt;0, "Flagged", "")</f>
        <v>Flagged</v>
      </c>
      <c r="BK204" s="326" t="e">
        <f>tblPiNAnalysis5[[#This Row],[Preliminary Target]]</f>
        <v>#N/A</v>
      </c>
      <c r="BL204" s="331"/>
    </row>
    <row r="205" spans="1:64" x14ac:dyDescent="0.55000000000000004">
      <c r="A2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5" s="316" t="s">
        <v>322</v>
      </c>
      <c r="C205" s="317" t="s">
        <v>323</v>
      </c>
      <c r="D205" s="317" t="s">
        <v>332</v>
      </c>
      <c r="E205" s="105" t="s">
        <v>333</v>
      </c>
      <c r="F205" s="100"/>
      <c r="G205" s="34"/>
      <c r="H205" s="34"/>
      <c r="I205" s="97">
        <v>3069.1428571428601</v>
      </c>
      <c r="J205" s="97" t="s">
        <v>414</v>
      </c>
      <c r="K205" s="318">
        <v>672</v>
      </c>
      <c r="L205" s="319">
        <v>597.15391828571489</v>
      </c>
      <c r="M205" s="319">
        <v>737.81076198523169</v>
      </c>
      <c r="N205" s="319">
        <v>1273.5593109339161</v>
      </c>
      <c r="O205" s="319">
        <v>1325.7418685254431</v>
      </c>
      <c r="P205" s="319">
        <v>1140.0764846098041</v>
      </c>
      <c r="Q205" s="320">
        <v>1368.8684057142871</v>
      </c>
      <c r="R205" s="319">
        <v>295.23133450911257</v>
      </c>
      <c r="S205" s="319"/>
      <c r="T205" s="319"/>
      <c r="U205" s="319"/>
      <c r="V205" s="319"/>
      <c r="W205" s="321">
        <f>IFERROR(IF(tblPiNAnalysis5[[#This Row],[CCCM]]="", "", MROUND(tblPiNAnalysis5[[#This Row],[CCCM]]/tblPiNAnalysis5[[#This Row],[Affected population projection 2026]], 0.05)), "")</f>
        <v>0.2</v>
      </c>
      <c r="X205" s="322">
        <f>IFERROR(IF(tblPiNAnalysis5[[#This Row],[Education]]="", "", MROUND(tblPiNAnalysis5[[#This Row],[Education]]/tblPiNAnalysis5[[#This Row],[Affected population projection 2026]], 0.05)), "")</f>
        <v>0.2</v>
      </c>
      <c r="Y205" s="322">
        <f>IFERROR(IF(tblPiNAnalysis5[[#This Row],[Nutrition]]="", "", MROUND(tblPiNAnalysis5[[#This Row],[Nutrition]]/tblPiNAnalysis5[[#This Row],[Affected population projection 2026]], 0.05)), "")</f>
        <v>0.25</v>
      </c>
      <c r="Z205" s="322">
        <f>IFERROR(IF(tblPiNAnalysis5[[#This Row],[Food Security]]="", "", MROUND(tblPiNAnalysis5[[#This Row],[Food Security]]/tblPiNAnalysis5[[#This Row],[Affected population projection 2026]], 0.05)), "")</f>
        <v>0.4</v>
      </c>
      <c r="AA205" s="322">
        <f>IFERROR(IF(tblPiNAnalysis5[[#This Row],[Health]]="", "", MROUND(tblPiNAnalysis5[[#This Row],[Health]]/tblPiNAnalysis5[[#This Row],[Affected population projection 2026]], 0.05)), "")</f>
        <v>0.45</v>
      </c>
      <c r="AB205" s="323">
        <f>IFERROR(IF(tblPiNAnalysis5[[#This Row],[Overarching Protection]]="", "", MROUND(tblPiNAnalysis5[[#This Row],[Overarching Protection]]/tblPiNAnalysis5[[#This Row],[Affected population projection 2026]], 0.05)), "")</f>
        <v>0.35000000000000003</v>
      </c>
      <c r="AC205" s="323">
        <f>IFERROR(IF(tblPiNAnalysis5[[#This Row],[Shelter]]="", "", MROUND(tblPiNAnalysis5[[#This Row],[Shelter]]/tblPiNAnalysis5[[#This Row],[Affected population projection 2026]], 0.05)), "")</f>
        <v>0.45</v>
      </c>
      <c r="AD205" s="324">
        <f>IFERROR(IF(tblPiNAnalysis5[[#This Row],[WASH]]="", "", MROUND(tblPiNAnalysis5[[#This Row],[WASH]]/tblPiNAnalysis5[[#This Row],[Affected population projection 2026]], 0.05)), "")</f>
        <v>0.1</v>
      </c>
      <c r="AE205" s="322">
        <f>IFERROR(MROUND(tblPiNAnalysis5[[#This Row],[CP]]/tblPiNAnalysis5[[#This Row],[Affected population projection 2026]], 0.05), "")</f>
        <v>0</v>
      </c>
      <c r="AF205" s="322">
        <f>IFERROR(MROUND(tblPiNAnalysis5[[#This Row],[GBV]]/tblPiNAnalysis5[[#This Row],[Affected population projection 2026]], 0.05), "")</f>
        <v>0</v>
      </c>
      <c r="AG205" s="322">
        <f>IFERROR(MROUND(tblPiNAnalysis5[[#This Row],[Mine Action]]/tblPiNAnalysis5[[#This Row],[Affected population projection 2026]], 0.05), "")</f>
        <v>0</v>
      </c>
      <c r="AH205" s="322">
        <f>IFERROR(MROUND(tblPiNAnalysis5[[#This Row],[HLP]]/tblPiNAnalysis5[[#This Row],[Affected population projection 2026]], 0.05), "")</f>
        <v>0</v>
      </c>
      <c r="AI205" s="325">
        <f>IFERROR(LARGE(tblPiNAnalysis5[[#This Row],[CCCM]:[WASH]], 1), "")</f>
        <v>1368.8684057142871</v>
      </c>
      <c r="AJ205" s="326" t="str" cm="1">
        <f t="array" ref="AJ205">IF(tblPiNAnalysis5[[#This Row],[Highest Target]]="", "", _xlfn.TEXTJOIN(CHAR(10), TRUE, IF(tblPiNAnalysis5[[#This Row],[Highest Target]]=tblPiNAnalysis5[[#This Row],[CCCM]:[WASH]], tblPiNAnalysis5[[#Headers],[CCCM]:[WASH]], "")))</f>
        <v>Shelter</v>
      </c>
      <c r="AK205" s="327">
        <f>IF(tblPiNAnalysis5[[#This Row],[Highest Target]]="", "", tblPiNAnalysis5[[#This Row],[Highest Target]]/tblPiNAnalysis5[[#This Row],[Affected population projection 2026]])</f>
        <v>0.44601000000000002</v>
      </c>
      <c r="AL205" s="328" t="str">
        <f>IF(SUM(tblPiNAnalysis5[[#This Row],[CCCM]:[WASH]])=0, "",IF(COUNTIF(tblPiNAnalysis5[[#This Row],[CCCM]:[WASH]],"=0")+COUNTIF(tblPiNAnalysis5[[#This Row],[CCCM]:[WASH]],"")&gt;=zero_pin_thresh, "Flagged", ""))</f>
        <v/>
      </c>
      <c r="AM205" s="329" t="str">
        <f>IFERROR(IF(tblPiNAnalysis5[[#This Row],[Highest Target]]="", "", IF(tblPiNAnalysis5[[#This Row],[Highest sector(s'') Target %]]&gt;=flag_pin_perc, "Flagged", "")), "")</f>
        <v/>
      </c>
      <c r="AN205" s="330" t="str" cm="1">
        <f t="array" ref="AN205">IF(tblPiNAnalysis5[[#This Row],[Highest Target]]=0, "",  IF(OR(COUNTIF(tblPiNAnalysis5[[#This Row],[Highest sector(s)]],tblSubSectorPopulation[Sector])), "Flagged", ""))</f>
        <v/>
      </c>
      <c r="AO205" s="46" cm="1">
        <f t="array" ref="AO20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1325.7418685254431</v>
      </c>
      <c r="AP205" s="331" t="str" cm="1">
        <f t="array" ref="AP205">IF(tblPiNAnalysis5[[#This Row],[2nd Highest Target]]="", "", _xlfn.TEXTJOIN(CHAR(10), TRUE, IF(tblPiNAnalysis5[[#This Row],[2nd Highest Target]]=tblPiNAnalysis5[[#This Row],[CCCM]:[WASH]], tblPiNAnalysis5[[#Headers],[CCCM]:[WASH]], "")))</f>
        <v>Health</v>
      </c>
      <c r="AQ205" s="36">
        <f>IFERROR(tblPiNAnalysis5[[#This Row],[2nd Highest Target]]/tblPiNAnalysis5[[#This Row],[Affected population projection 2026]], "")</f>
        <v>0.43195834479976231</v>
      </c>
      <c r="AR205" s="46">
        <f>IFERROR(tblPiNAnalysis5[[#This Row],[Highest Target]]-tblPiNAnalysis5[[#This Row],[2nd Highest Target]], "")</f>
        <v>43.12653718884394</v>
      </c>
      <c r="AS205" s="39">
        <f>IFERROR(((tblPiNAnalysis5[[#This Row],[Highest Target]]-tblPiNAnalysis5[[#This Row],[2nd Highest Target]])/tblPiNAnalysis5[[#This Row],[2nd Highest Target]]),"")</f>
        <v>3.2530116316543164E-2</v>
      </c>
      <c r="AT205" s="39" t="str" cm="1">
        <f t="array" ref="AT20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05" s="332" cm="1">
        <f t="array" ref="AU20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1273.5593109339161</v>
      </c>
      <c r="AV205" s="190" t="str" cm="1">
        <f t="array" ref="AV205">IF(tblPiNAnalysis5[[#This Row],[3rd Highest Target]]="", "", _xlfn.TEXTJOIN(CHAR(10), TRUE, IF(tblPiNAnalysis5[[#This Row],[3rd Highest Target]]=tblPiNAnalysis5[[#This Row],[CCCM]:[WASH]], tblPiNAnalysis5[[#Headers],[CCCM]:[WASH]], "")))</f>
        <v>Food Security</v>
      </c>
      <c r="AW205" s="190">
        <f>IFERROR(tblPiNAnalysis5[[#This Row],[3rd Highest Target]]/tblPiNAnalysis5[[#This Row],[Affected population projection 2026]], "")</f>
        <v>0.41495602199485215</v>
      </c>
      <c r="AX205" s="45">
        <f>IFERROR(tblPiNAnalysis5[[#This Row],[Highest Target]]-tblPiNAnalysis5[[#This Row],[3rd Highest Target]],"")</f>
        <v>95.30909478037097</v>
      </c>
      <c r="AY205" s="39">
        <f>IFERROR(tblPiNAnalysis5[[#This Row],[Difference of Target between Highest and 3rd Highest]]/tblPiNAnalysis5[[#This Row],[3rd Highest Target]], "")</f>
        <v>7.4836793200058885E-2</v>
      </c>
      <c r="AZ205" s="330" t="str" cm="1">
        <f t="array" ref="AZ20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05" s="300" t="str" cm="1">
        <f t="array" ref="BA20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5" s="333" t="str" cm="1">
        <f t="array" ref="BB20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5" s="276" t="str" cm="1">
        <f t="array" ref="BC20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5" s="334" t="str" cm="1">
        <f t="array" ref="BD20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05" s="277" t="e">
        <f>INDEX(tblSeverityAnalysis[Final Severity], MATCH(tblPiNAnalysis5[[#This Row],[ID]],tblSeverityAnalysis[ID], 0))</f>
        <v>#N/A</v>
      </c>
      <c r="BF205" s="61" t="e">
        <f>IF(tblPiNAnalysis5[[#This Row],[Severity]]&gt;2,tblPiNAnalysis5[[#This Row],[Highest Target]],)</f>
        <v>#N/A</v>
      </c>
      <c r="BG205" s="191"/>
      <c r="BH205" s="192"/>
      <c r="BI205" s="193">
        <f>COUNTIFS(tblPiNAnalysis5[[#This Row],[Number of missing / zero PiNs greater than threshold - Data quality]:[Manual Flag]],"Flagged")</f>
        <v>2</v>
      </c>
      <c r="BJ205" s="96" t="str">
        <f>IF(tblPiNAnalysis5[[#This Row],['# Flags]]&gt;0, "Flagged", "")</f>
        <v>Flagged</v>
      </c>
      <c r="BK205" s="326" t="e">
        <f>tblPiNAnalysis5[[#This Row],[Preliminary Target]]</f>
        <v>#N/A</v>
      </c>
      <c r="BL205" s="331"/>
    </row>
    <row r="206" spans="1:64" x14ac:dyDescent="0.55000000000000004">
      <c r="A2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6" s="316" t="s">
        <v>322</v>
      </c>
      <c r="C206" s="317" t="s">
        <v>323</v>
      </c>
      <c r="D206" s="317" t="s">
        <v>334</v>
      </c>
      <c r="E206" s="105" t="s">
        <v>335</v>
      </c>
      <c r="F206" s="100"/>
      <c r="G206" s="34"/>
      <c r="H206" s="34"/>
      <c r="I206" s="97">
        <v>7050.3021159784967</v>
      </c>
      <c r="J206" s="97" t="s">
        <v>414</v>
      </c>
      <c r="K206" s="318">
        <v>0</v>
      </c>
      <c r="L206" s="319">
        <v>539.36397505211585</v>
      </c>
      <c r="M206" s="319">
        <v>1452.1571784353212</v>
      </c>
      <c r="N206" s="319">
        <v>1269.9235399732042</v>
      </c>
      <c r="O206" s="319">
        <v>1332.4182694928645</v>
      </c>
      <c r="P206" s="319">
        <v>908.95500636156851</v>
      </c>
      <c r="Q206" s="320">
        <v>2791.1679592522619</v>
      </c>
      <c r="R206" s="319">
        <v>396.2168241618574</v>
      </c>
      <c r="S206" s="319"/>
      <c r="T206" s="319"/>
      <c r="U206" s="319"/>
      <c r="V206" s="319"/>
      <c r="W206" s="321">
        <f>IFERROR(IF(tblPiNAnalysis5[[#This Row],[CCCM]]="", "", MROUND(tblPiNAnalysis5[[#This Row],[CCCM]]/tblPiNAnalysis5[[#This Row],[Affected population projection 2026]], 0.05)), "")</f>
        <v>0</v>
      </c>
      <c r="X206" s="322">
        <f>IFERROR(IF(tblPiNAnalysis5[[#This Row],[Education]]="", "", MROUND(tblPiNAnalysis5[[#This Row],[Education]]/tblPiNAnalysis5[[#This Row],[Affected population projection 2026]], 0.05)), "")</f>
        <v>0.1</v>
      </c>
      <c r="Y206" s="322">
        <f>IFERROR(IF(tblPiNAnalysis5[[#This Row],[Nutrition]]="", "", MROUND(tblPiNAnalysis5[[#This Row],[Nutrition]]/tblPiNAnalysis5[[#This Row],[Affected population projection 2026]], 0.05)), "")</f>
        <v>0.2</v>
      </c>
      <c r="Z206" s="322">
        <f>IFERROR(IF(tblPiNAnalysis5[[#This Row],[Food Security]]="", "", MROUND(tblPiNAnalysis5[[#This Row],[Food Security]]/tblPiNAnalysis5[[#This Row],[Affected population projection 2026]], 0.05)), "")</f>
        <v>0.2</v>
      </c>
      <c r="AA206" s="322">
        <f>IFERROR(IF(tblPiNAnalysis5[[#This Row],[Health]]="", "", MROUND(tblPiNAnalysis5[[#This Row],[Health]]/tblPiNAnalysis5[[#This Row],[Affected population projection 2026]], 0.05)), "")</f>
        <v>0.2</v>
      </c>
      <c r="AB206" s="323">
        <f>IFERROR(IF(tblPiNAnalysis5[[#This Row],[Overarching Protection]]="", "", MROUND(tblPiNAnalysis5[[#This Row],[Overarching Protection]]/tblPiNAnalysis5[[#This Row],[Affected population projection 2026]], 0.05)), "")</f>
        <v>0.15000000000000002</v>
      </c>
      <c r="AC206" s="323">
        <f>IFERROR(IF(tblPiNAnalysis5[[#This Row],[Shelter]]="", "", MROUND(tblPiNAnalysis5[[#This Row],[Shelter]]/tblPiNAnalysis5[[#This Row],[Affected population projection 2026]], 0.05)), "")</f>
        <v>0.4</v>
      </c>
      <c r="AD206" s="324">
        <f>IFERROR(IF(tblPiNAnalysis5[[#This Row],[WASH]]="", "", MROUND(tblPiNAnalysis5[[#This Row],[WASH]]/tblPiNAnalysis5[[#This Row],[Affected population projection 2026]], 0.05)), "")</f>
        <v>0.05</v>
      </c>
      <c r="AE206" s="322">
        <f>IFERROR(MROUND(tblPiNAnalysis5[[#This Row],[CP]]/tblPiNAnalysis5[[#This Row],[Affected population projection 2026]], 0.05), "")</f>
        <v>0</v>
      </c>
      <c r="AF206" s="322">
        <f>IFERROR(MROUND(tblPiNAnalysis5[[#This Row],[GBV]]/tblPiNAnalysis5[[#This Row],[Affected population projection 2026]], 0.05), "")</f>
        <v>0</v>
      </c>
      <c r="AG206" s="322">
        <f>IFERROR(MROUND(tblPiNAnalysis5[[#This Row],[Mine Action]]/tblPiNAnalysis5[[#This Row],[Affected population projection 2026]], 0.05), "")</f>
        <v>0</v>
      </c>
      <c r="AH206" s="322">
        <f>IFERROR(MROUND(tblPiNAnalysis5[[#This Row],[HLP]]/tblPiNAnalysis5[[#This Row],[Affected population projection 2026]], 0.05), "")</f>
        <v>0</v>
      </c>
      <c r="AI206" s="325">
        <f>IFERROR(LARGE(tblPiNAnalysis5[[#This Row],[CCCM]:[WASH]], 1), "")</f>
        <v>2791.1679592522619</v>
      </c>
      <c r="AJ206" s="326" t="str" cm="1">
        <f t="array" ref="AJ206">IF(tblPiNAnalysis5[[#This Row],[Highest Target]]="", "", _xlfn.TEXTJOIN(CHAR(10), TRUE, IF(tblPiNAnalysis5[[#This Row],[Highest Target]]=tblPiNAnalysis5[[#This Row],[CCCM]:[WASH]], tblPiNAnalysis5[[#Headers],[CCCM]:[WASH]], "")))</f>
        <v>Shelter</v>
      </c>
      <c r="AK206" s="327">
        <f>IF(tblPiNAnalysis5[[#This Row],[Highest Target]]="", "", tblPiNAnalysis5[[#This Row],[Highest Target]]/tblPiNAnalysis5[[#This Row],[Affected population projection 2026]])</f>
        <v>0.39589338348018888</v>
      </c>
      <c r="AL206" s="328" t="str">
        <f>IF(SUM(tblPiNAnalysis5[[#This Row],[CCCM]:[WASH]])=0, "",IF(COUNTIF(tblPiNAnalysis5[[#This Row],[CCCM]:[WASH]],"=0")+COUNTIF(tblPiNAnalysis5[[#This Row],[CCCM]:[WASH]],"")&gt;=zero_pin_thresh, "Flagged", ""))</f>
        <v/>
      </c>
      <c r="AM206" s="329" t="str">
        <f>IFERROR(IF(tblPiNAnalysis5[[#This Row],[Highest Target]]="", "", IF(tblPiNAnalysis5[[#This Row],[Highest sector(s'') Target %]]&gt;=flag_pin_perc, "Flagged", "")), "")</f>
        <v/>
      </c>
      <c r="AN206" s="330" t="str" cm="1">
        <f t="array" ref="AN206">IF(tblPiNAnalysis5[[#This Row],[Highest Target]]=0, "",  IF(OR(COUNTIF(tblPiNAnalysis5[[#This Row],[Highest sector(s)]],tblSubSectorPopulation[Sector])), "Flagged", ""))</f>
        <v/>
      </c>
      <c r="AO206" s="46" cm="1">
        <f t="array" ref="AO20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1452.1571784353212</v>
      </c>
      <c r="AP206" s="331" t="str" cm="1">
        <f t="array" ref="AP206">IF(tblPiNAnalysis5[[#This Row],[2nd Highest Target]]="", "", _xlfn.TEXTJOIN(CHAR(10), TRUE, IF(tblPiNAnalysis5[[#This Row],[2nd Highest Target]]=tblPiNAnalysis5[[#This Row],[CCCM]:[WASH]], tblPiNAnalysis5[[#Headers],[CCCM]:[WASH]], "")))</f>
        <v>Nutrition</v>
      </c>
      <c r="AQ206" s="36">
        <f>IFERROR(tblPiNAnalysis5[[#This Row],[2nd Highest Target]]/tblPiNAnalysis5[[#This Row],[Affected population projection 2026]], "")</f>
        <v>0.20597091508237861</v>
      </c>
      <c r="AR206" s="46">
        <f>IFERROR(tblPiNAnalysis5[[#This Row],[Highest Target]]-tblPiNAnalysis5[[#This Row],[2nd Highest Target]], "")</f>
        <v>1339.0107808169407</v>
      </c>
      <c r="AS206" s="39">
        <f>IFERROR(((tblPiNAnalysis5[[#This Row],[Highest Target]]-tblPiNAnalysis5[[#This Row],[2nd Highest Target]])/tblPiNAnalysis5[[#This Row],[2nd Highest Target]]),"")</f>
        <v>0.92208391811946</v>
      </c>
      <c r="AT206" s="39" t="str" cm="1">
        <f t="array" ref="AT20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6" s="332" cm="1">
        <f t="array" ref="AU20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1332.4182694928645</v>
      </c>
      <c r="AV206" s="190" t="str" cm="1">
        <f t="array" ref="AV206">IF(tblPiNAnalysis5[[#This Row],[3rd Highest Target]]="", "", _xlfn.TEXTJOIN(CHAR(10), TRUE, IF(tblPiNAnalysis5[[#This Row],[3rd Highest Target]]=tblPiNAnalysis5[[#This Row],[CCCM]:[WASH]], tblPiNAnalysis5[[#Headers],[CCCM]:[WASH]], "")))</f>
        <v>Health</v>
      </c>
      <c r="AW206" s="190">
        <f>IFERROR(tblPiNAnalysis5[[#This Row],[3rd Highest Target]]/tblPiNAnalysis5[[#This Row],[Affected population projection 2026]], "")</f>
        <v>0.18898740047935392</v>
      </c>
      <c r="AX206" s="45">
        <f>IFERROR(tblPiNAnalysis5[[#This Row],[Highest Target]]-tblPiNAnalysis5[[#This Row],[3rd Highest Target]],"")</f>
        <v>1458.7496897593974</v>
      </c>
      <c r="AY206" s="39">
        <f>IFERROR(tblPiNAnalysis5[[#This Row],[Difference of Target between Highest and 3rd Highest]]/tblPiNAnalysis5[[#This Row],[3rd Highest Target]], "")</f>
        <v>1.0948136355970384</v>
      </c>
      <c r="AZ206" s="330" t="str" cm="1">
        <f t="array" ref="AZ20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6" s="300" t="str" cm="1">
        <f t="array" ref="BA20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6" s="333" t="str" cm="1">
        <f t="array" ref="BB20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6" s="276" t="str" cm="1">
        <f t="array" ref="BC20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6" s="334" t="str" cm="1">
        <f t="array" ref="BD20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6" s="277" t="e">
        <f>INDEX(tblSeverityAnalysis[Final Severity], MATCH(tblPiNAnalysis5[[#This Row],[ID]],tblSeverityAnalysis[ID], 0))</f>
        <v>#N/A</v>
      </c>
      <c r="BF206" s="61" t="e">
        <f>IF(tblPiNAnalysis5[[#This Row],[Severity]]&gt;2,tblPiNAnalysis5[[#This Row],[Highest Target]],)</f>
        <v>#N/A</v>
      </c>
      <c r="BG206" s="191"/>
      <c r="BH206" s="192"/>
      <c r="BI206" s="193">
        <f>COUNTIFS(tblPiNAnalysis5[[#This Row],[Number of missing / zero PiNs greater than threshold - Data quality]:[Manual Flag]],"Flagged")</f>
        <v>3</v>
      </c>
      <c r="BJ206" s="96" t="str">
        <f>IF(tblPiNAnalysis5[[#This Row],['# Flags]]&gt;0, "Flagged", "")</f>
        <v>Flagged</v>
      </c>
      <c r="BK206" s="326" t="e">
        <f>tblPiNAnalysis5[[#This Row],[Preliminary Target]]</f>
        <v>#N/A</v>
      </c>
      <c r="BL206" s="331"/>
    </row>
    <row r="207" spans="1:64" x14ac:dyDescent="0.55000000000000004">
      <c r="A2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7" s="316" t="s">
        <v>322</v>
      </c>
      <c r="C207" s="317" t="s">
        <v>323</v>
      </c>
      <c r="D207" s="317" t="s">
        <v>336</v>
      </c>
      <c r="E207" s="105" t="s">
        <v>337</v>
      </c>
      <c r="F207" s="100"/>
      <c r="G207" s="34"/>
      <c r="H207" s="34"/>
      <c r="I207" s="97">
        <v>3636</v>
      </c>
      <c r="J207" s="97" t="s">
        <v>414</v>
      </c>
      <c r="K207" s="318">
        <v>3219</v>
      </c>
      <c r="L207" s="319">
        <v>688.46932800000013</v>
      </c>
      <c r="M207" s="319">
        <v>799.68180931631616</v>
      </c>
      <c r="N207" s="319">
        <v>1476.0376778663449</v>
      </c>
      <c r="O207" s="319">
        <v>2102.6310698931975</v>
      </c>
      <c r="P207" s="319">
        <v>1041.2681171064048</v>
      </c>
      <c r="Q207" s="320">
        <v>1621.69236</v>
      </c>
      <c r="R207" s="319">
        <v>941.73148148148152</v>
      </c>
      <c r="S207" s="319"/>
      <c r="T207" s="319"/>
      <c r="U207" s="319"/>
      <c r="V207" s="319"/>
      <c r="W207" s="321">
        <f>IFERROR(IF(tblPiNAnalysis5[[#This Row],[CCCM]]="", "", MROUND(tblPiNAnalysis5[[#This Row],[CCCM]]/tblPiNAnalysis5[[#This Row],[Affected population projection 2026]], 0.05)), "")</f>
        <v>0.9</v>
      </c>
      <c r="X207" s="322">
        <f>IFERROR(IF(tblPiNAnalysis5[[#This Row],[Education]]="", "", MROUND(tblPiNAnalysis5[[#This Row],[Education]]/tblPiNAnalysis5[[#This Row],[Affected population projection 2026]], 0.05)), "")</f>
        <v>0.2</v>
      </c>
      <c r="Y207" s="322">
        <f>IFERROR(IF(tblPiNAnalysis5[[#This Row],[Nutrition]]="", "", MROUND(tblPiNAnalysis5[[#This Row],[Nutrition]]/tblPiNAnalysis5[[#This Row],[Affected population projection 2026]], 0.05)), "")</f>
        <v>0.2</v>
      </c>
      <c r="Z207" s="322">
        <f>IFERROR(IF(tblPiNAnalysis5[[#This Row],[Food Security]]="", "", MROUND(tblPiNAnalysis5[[#This Row],[Food Security]]/tblPiNAnalysis5[[#This Row],[Affected population projection 2026]], 0.05)), "")</f>
        <v>0.4</v>
      </c>
      <c r="AA207" s="322">
        <f>IFERROR(IF(tblPiNAnalysis5[[#This Row],[Health]]="", "", MROUND(tblPiNAnalysis5[[#This Row],[Health]]/tblPiNAnalysis5[[#This Row],[Affected population projection 2026]], 0.05)), "")</f>
        <v>0.60000000000000009</v>
      </c>
      <c r="AB207" s="323">
        <f>IFERROR(IF(tblPiNAnalysis5[[#This Row],[Overarching Protection]]="", "", MROUND(tblPiNAnalysis5[[#This Row],[Overarching Protection]]/tblPiNAnalysis5[[#This Row],[Affected population projection 2026]], 0.05)), "")</f>
        <v>0.30000000000000004</v>
      </c>
      <c r="AC207" s="323">
        <f>IFERROR(IF(tblPiNAnalysis5[[#This Row],[Shelter]]="", "", MROUND(tblPiNAnalysis5[[#This Row],[Shelter]]/tblPiNAnalysis5[[#This Row],[Affected population projection 2026]], 0.05)), "")</f>
        <v>0.45</v>
      </c>
      <c r="AD207" s="324">
        <f>IFERROR(IF(tblPiNAnalysis5[[#This Row],[WASH]]="", "", MROUND(tblPiNAnalysis5[[#This Row],[WASH]]/tblPiNAnalysis5[[#This Row],[Affected population projection 2026]], 0.05)), "")</f>
        <v>0.25</v>
      </c>
      <c r="AE207" s="322">
        <f>IFERROR(MROUND(tblPiNAnalysis5[[#This Row],[CP]]/tblPiNAnalysis5[[#This Row],[Affected population projection 2026]], 0.05), "")</f>
        <v>0</v>
      </c>
      <c r="AF207" s="322">
        <f>IFERROR(MROUND(tblPiNAnalysis5[[#This Row],[GBV]]/tblPiNAnalysis5[[#This Row],[Affected population projection 2026]], 0.05), "")</f>
        <v>0</v>
      </c>
      <c r="AG207" s="322">
        <f>IFERROR(MROUND(tblPiNAnalysis5[[#This Row],[Mine Action]]/tblPiNAnalysis5[[#This Row],[Affected population projection 2026]], 0.05), "")</f>
        <v>0</v>
      </c>
      <c r="AH207" s="322">
        <f>IFERROR(MROUND(tblPiNAnalysis5[[#This Row],[HLP]]/tblPiNAnalysis5[[#This Row],[Affected population projection 2026]], 0.05), "")</f>
        <v>0</v>
      </c>
      <c r="AI207" s="325">
        <f>IFERROR(LARGE(tblPiNAnalysis5[[#This Row],[CCCM]:[WASH]], 1), "")</f>
        <v>3219</v>
      </c>
      <c r="AJ207" s="326" t="str" cm="1">
        <f t="array" ref="AJ207">IF(tblPiNAnalysis5[[#This Row],[Highest Target]]="", "", _xlfn.TEXTJOIN(CHAR(10), TRUE, IF(tblPiNAnalysis5[[#This Row],[Highest Target]]=tblPiNAnalysis5[[#This Row],[CCCM]:[WASH]], tblPiNAnalysis5[[#Headers],[CCCM]:[WASH]], "")))</f>
        <v>CCCM</v>
      </c>
      <c r="AK207" s="327">
        <f>IF(tblPiNAnalysis5[[#This Row],[Highest Target]]="", "", tblPiNAnalysis5[[#This Row],[Highest Target]]/tblPiNAnalysis5[[#This Row],[Affected population projection 2026]])</f>
        <v>0.88531353135313529</v>
      </c>
      <c r="AL207" s="328" t="str">
        <f>IF(SUM(tblPiNAnalysis5[[#This Row],[CCCM]:[WASH]])=0, "",IF(COUNTIF(tblPiNAnalysis5[[#This Row],[CCCM]:[WASH]],"=0")+COUNTIF(tblPiNAnalysis5[[#This Row],[CCCM]:[WASH]],"")&gt;=zero_pin_thresh, "Flagged", ""))</f>
        <v/>
      </c>
      <c r="AM207" s="329" t="str">
        <f>IFERROR(IF(tblPiNAnalysis5[[#This Row],[Highest Target]]="", "", IF(tblPiNAnalysis5[[#This Row],[Highest sector(s'') Target %]]&gt;=flag_pin_perc, "Flagged", "")), "")</f>
        <v/>
      </c>
      <c r="AN207" s="330" t="str" cm="1">
        <f t="array" ref="AN207">IF(tblPiNAnalysis5[[#This Row],[Highest Target]]=0, "",  IF(OR(COUNTIF(tblPiNAnalysis5[[#This Row],[Highest sector(s)]],tblSubSectorPopulation[Sector])), "Flagged", ""))</f>
        <v/>
      </c>
      <c r="AO207" s="46" cm="1">
        <f t="array" ref="AO20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2102.6310698931975</v>
      </c>
      <c r="AP207" s="331" t="str" cm="1">
        <f t="array" ref="AP207">IF(tblPiNAnalysis5[[#This Row],[2nd Highest Target]]="", "", _xlfn.TEXTJOIN(CHAR(10), TRUE, IF(tblPiNAnalysis5[[#This Row],[2nd Highest Target]]=tblPiNAnalysis5[[#This Row],[CCCM]:[WASH]], tblPiNAnalysis5[[#Headers],[CCCM]:[WASH]], "")))</f>
        <v>Health</v>
      </c>
      <c r="AQ207" s="36">
        <f>IFERROR(tblPiNAnalysis5[[#This Row],[2nd Highest Target]]/tblPiNAnalysis5[[#This Row],[Affected population projection 2026]], "")</f>
        <v>0.57828137235786514</v>
      </c>
      <c r="AR207" s="46">
        <f>IFERROR(tblPiNAnalysis5[[#This Row],[Highest Target]]-tblPiNAnalysis5[[#This Row],[2nd Highest Target]], "")</f>
        <v>1116.3689301068025</v>
      </c>
      <c r="AS207" s="39">
        <f>IFERROR(((tblPiNAnalysis5[[#This Row],[Highest Target]]-tblPiNAnalysis5[[#This Row],[2nd Highest Target]])/tblPiNAnalysis5[[#This Row],[2nd Highest Target]]),"")</f>
        <v>0.53093904398716418</v>
      </c>
      <c r="AT207" s="39" t="str" cm="1">
        <f t="array" ref="AT20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7" s="332" cm="1">
        <f t="array" ref="AU20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1621.69236</v>
      </c>
      <c r="AV207" s="190" t="str" cm="1">
        <f t="array" ref="AV207">IF(tblPiNAnalysis5[[#This Row],[3rd Highest Target]]="", "", _xlfn.TEXTJOIN(CHAR(10), TRUE, IF(tblPiNAnalysis5[[#This Row],[3rd Highest Target]]=tblPiNAnalysis5[[#This Row],[CCCM]:[WASH]], tblPiNAnalysis5[[#Headers],[CCCM]:[WASH]], "")))</f>
        <v>Shelter</v>
      </c>
      <c r="AW207" s="190">
        <f>IFERROR(tblPiNAnalysis5[[#This Row],[3rd Highest Target]]/tblPiNAnalysis5[[#This Row],[Affected population projection 2026]], "")</f>
        <v>0.44601000000000002</v>
      </c>
      <c r="AX207" s="45">
        <f>IFERROR(tblPiNAnalysis5[[#This Row],[Highest Target]]-tblPiNAnalysis5[[#This Row],[3rd Highest Target]],"")</f>
        <v>1597.30764</v>
      </c>
      <c r="AY207" s="39">
        <f>IFERROR(tblPiNAnalysis5[[#This Row],[Difference of Target between Highest and 3rd Highest]]/tblPiNAnalysis5[[#This Row],[3rd Highest Target]], "")</f>
        <v>0.98496341192604497</v>
      </c>
      <c r="AZ207" s="330" t="str" cm="1">
        <f t="array" ref="AZ20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7" s="300" t="str" cm="1">
        <f t="array" ref="BA20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7" s="333" t="str" cm="1">
        <f t="array" ref="BB20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07" s="276" t="str" cm="1">
        <f t="array" ref="BC20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7" s="334" t="str" cm="1">
        <f t="array" ref="BD20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07" s="277" t="e">
        <f>INDEX(tblSeverityAnalysis[Final Severity], MATCH(tblPiNAnalysis5[[#This Row],[ID]],tblSeverityAnalysis[ID], 0))</f>
        <v>#N/A</v>
      </c>
      <c r="BF207" s="61" t="e">
        <f>IF(tblPiNAnalysis5[[#This Row],[Severity]]&gt;2,tblPiNAnalysis5[[#This Row],[Highest Target]],)</f>
        <v>#N/A</v>
      </c>
      <c r="BG207" s="191"/>
      <c r="BH207" s="192"/>
      <c r="BI207" s="193">
        <f>COUNTIFS(tblPiNAnalysis5[[#This Row],[Number of missing / zero PiNs greater than threshold - Data quality]:[Manual Flag]],"Flagged")</f>
        <v>3</v>
      </c>
      <c r="BJ207" s="96" t="str">
        <f>IF(tblPiNAnalysis5[[#This Row],['# Flags]]&gt;0, "Flagged", "")</f>
        <v>Flagged</v>
      </c>
      <c r="BK207" s="326" t="e">
        <f>tblPiNAnalysis5[[#This Row],[Preliminary Target]]</f>
        <v>#N/A</v>
      </c>
      <c r="BL207" s="331"/>
    </row>
    <row r="208" spans="1:64" x14ac:dyDescent="0.55000000000000004">
      <c r="A2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8" s="316" t="s">
        <v>322</v>
      </c>
      <c r="C208" s="317" t="s">
        <v>323</v>
      </c>
      <c r="D208" s="317" t="s">
        <v>338</v>
      </c>
      <c r="E208" s="105" t="s">
        <v>339</v>
      </c>
      <c r="F208" s="100"/>
      <c r="G208" s="34"/>
      <c r="H208" s="34"/>
      <c r="I208" s="97">
        <v>3515.9389111289033</v>
      </c>
      <c r="J208" s="97" t="s">
        <v>414</v>
      </c>
      <c r="K208" s="318">
        <v>0</v>
      </c>
      <c r="L208" s="319">
        <v>94.197277337510016</v>
      </c>
      <c r="M208" s="319">
        <v>756.72707642445596</v>
      </c>
      <c r="N208" s="319">
        <v>1174.6142706748806</v>
      </c>
      <c r="O208" s="319">
        <v>2199.7477844080736</v>
      </c>
      <c r="P208" s="319">
        <v>505.22963318149124</v>
      </c>
      <c r="Q208" s="320">
        <v>0</v>
      </c>
      <c r="R208" s="319">
        <v>483.25294519598515</v>
      </c>
      <c r="S208" s="319"/>
      <c r="T208" s="319"/>
      <c r="U208" s="319"/>
      <c r="V208" s="319"/>
      <c r="W208" s="321">
        <f>IFERROR(IF(tblPiNAnalysis5[[#This Row],[CCCM]]="", "", MROUND(tblPiNAnalysis5[[#This Row],[CCCM]]/tblPiNAnalysis5[[#This Row],[Affected population projection 2026]], 0.05)), "")</f>
        <v>0</v>
      </c>
      <c r="X208" s="322">
        <f>IFERROR(IF(tblPiNAnalysis5[[#This Row],[Education]]="", "", MROUND(tblPiNAnalysis5[[#This Row],[Education]]/tblPiNAnalysis5[[#This Row],[Affected population projection 2026]], 0.05)), "")</f>
        <v>0.05</v>
      </c>
      <c r="Y208" s="322">
        <f>IFERROR(IF(tblPiNAnalysis5[[#This Row],[Nutrition]]="", "", MROUND(tblPiNAnalysis5[[#This Row],[Nutrition]]/tblPiNAnalysis5[[#This Row],[Affected population projection 2026]], 0.05)), "")</f>
        <v>0.2</v>
      </c>
      <c r="Z208" s="322">
        <f>IFERROR(IF(tblPiNAnalysis5[[#This Row],[Food Security]]="", "", MROUND(tblPiNAnalysis5[[#This Row],[Food Security]]/tblPiNAnalysis5[[#This Row],[Affected population projection 2026]], 0.05)), "")</f>
        <v>0.35000000000000003</v>
      </c>
      <c r="AA208" s="322">
        <f>IFERROR(IF(tblPiNAnalysis5[[#This Row],[Health]]="", "", MROUND(tblPiNAnalysis5[[#This Row],[Health]]/tblPiNAnalysis5[[#This Row],[Affected population projection 2026]], 0.05)), "")</f>
        <v>0.65</v>
      </c>
      <c r="AB208" s="323">
        <f>IFERROR(IF(tblPiNAnalysis5[[#This Row],[Overarching Protection]]="", "", MROUND(tblPiNAnalysis5[[#This Row],[Overarching Protection]]/tblPiNAnalysis5[[#This Row],[Affected population projection 2026]], 0.05)), "")</f>
        <v>0.15000000000000002</v>
      </c>
      <c r="AC208" s="323">
        <f>IFERROR(IF(tblPiNAnalysis5[[#This Row],[Shelter]]="", "", MROUND(tblPiNAnalysis5[[#This Row],[Shelter]]/tblPiNAnalysis5[[#This Row],[Affected population projection 2026]], 0.05)), "")</f>
        <v>0</v>
      </c>
      <c r="AD208" s="324">
        <f>IFERROR(IF(tblPiNAnalysis5[[#This Row],[WASH]]="", "", MROUND(tblPiNAnalysis5[[#This Row],[WASH]]/tblPiNAnalysis5[[#This Row],[Affected population projection 2026]], 0.05)), "")</f>
        <v>0.15000000000000002</v>
      </c>
      <c r="AE208" s="322">
        <f>IFERROR(MROUND(tblPiNAnalysis5[[#This Row],[CP]]/tblPiNAnalysis5[[#This Row],[Affected population projection 2026]], 0.05), "")</f>
        <v>0</v>
      </c>
      <c r="AF208" s="322">
        <f>IFERROR(MROUND(tblPiNAnalysis5[[#This Row],[GBV]]/tblPiNAnalysis5[[#This Row],[Affected population projection 2026]], 0.05), "")</f>
        <v>0</v>
      </c>
      <c r="AG208" s="322">
        <f>IFERROR(MROUND(tblPiNAnalysis5[[#This Row],[Mine Action]]/tblPiNAnalysis5[[#This Row],[Affected population projection 2026]], 0.05), "")</f>
        <v>0</v>
      </c>
      <c r="AH208" s="322">
        <f>IFERROR(MROUND(tblPiNAnalysis5[[#This Row],[HLP]]/tblPiNAnalysis5[[#This Row],[Affected population projection 2026]], 0.05), "")</f>
        <v>0</v>
      </c>
      <c r="AI208" s="325">
        <f>IFERROR(LARGE(tblPiNAnalysis5[[#This Row],[CCCM]:[WASH]], 1), "")</f>
        <v>2199.7477844080736</v>
      </c>
      <c r="AJ208" s="326" t="str" cm="1">
        <f t="array" ref="AJ208">IF(tblPiNAnalysis5[[#This Row],[Highest Target]]="", "", _xlfn.TEXTJOIN(CHAR(10), TRUE, IF(tblPiNAnalysis5[[#This Row],[Highest Target]]=tblPiNAnalysis5[[#This Row],[CCCM]:[WASH]], tblPiNAnalysis5[[#Headers],[CCCM]:[WASH]], "")))</f>
        <v>Health</v>
      </c>
      <c r="AK208" s="327">
        <f>IF(tblPiNAnalysis5[[#This Row],[Highest Target]]="", "", tblPiNAnalysis5[[#This Row],[Highest Target]]/tblPiNAnalysis5[[#This Row],[Affected population projection 2026]])</f>
        <v>0.6256501719769002</v>
      </c>
      <c r="AL208" s="328" t="str">
        <f>IF(SUM(tblPiNAnalysis5[[#This Row],[CCCM]:[WASH]])=0, "",IF(COUNTIF(tblPiNAnalysis5[[#This Row],[CCCM]:[WASH]],"=0")+COUNTIF(tblPiNAnalysis5[[#This Row],[CCCM]:[WASH]],"")&gt;=zero_pin_thresh, "Flagged", ""))</f>
        <v>Flagged</v>
      </c>
      <c r="AM208" s="329" t="str">
        <f>IFERROR(IF(tblPiNAnalysis5[[#This Row],[Highest Target]]="", "", IF(tblPiNAnalysis5[[#This Row],[Highest sector(s'') Target %]]&gt;=flag_pin_perc, "Flagged", "")), "")</f>
        <v/>
      </c>
      <c r="AN208" s="330" t="str" cm="1">
        <f t="array" ref="AN208">IF(tblPiNAnalysis5[[#This Row],[Highest Target]]=0, "",  IF(OR(COUNTIF(tblPiNAnalysis5[[#This Row],[Highest sector(s)]],tblSubSectorPopulation[Sector])), "Flagged", ""))</f>
        <v/>
      </c>
      <c r="AO208" s="46" cm="1">
        <f t="array" ref="AO20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1174.6142706748806</v>
      </c>
      <c r="AP208" s="331" t="str" cm="1">
        <f t="array" ref="AP208">IF(tblPiNAnalysis5[[#This Row],[2nd Highest Target]]="", "", _xlfn.TEXTJOIN(CHAR(10), TRUE, IF(tblPiNAnalysis5[[#This Row],[2nd Highest Target]]=tblPiNAnalysis5[[#This Row],[CCCM]:[WASH]], tblPiNAnalysis5[[#Headers],[CCCM]:[WASH]], "")))</f>
        <v>Food Security</v>
      </c>
      <c r="AQ208" s="36">
        <f>IFERROR(tblPiNAnalysis5[[#This Row],[2nd Highest Target]]/tblPiNAnalysis5[[#This Row],[Affected population projection 2026]], "")</f>
        <v>0.3340826733243023</v>
      </c>
      <c r="AR208" s="46">
        <f>IFERROR(tblPiNAnalysis5[[#This Row],[Highest Target]]-tblPiNAnalysis5[[#This Row],[2nd Highest Target]], "")</f>
        <v>1025.133513733193</v>
      </c>
      <c r="AS208" s="39">
        <f>IFERROR(((tblPiNAnalysis5[[#This Row],[Highest Target]]-tblPiNAnalysis5[[#This Row],[2nd Highest Target]])/tblPiNAnalysis5[[#This Row],[2nd Highest Target]]),"")</f>
        <v>0.87274055775279946</v>
      </c>
      <c r="AT208" s="39" t="str" cm="1">
        <f t="array" ref="AT20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8" s="332" cm="1">
        <f t="array" ref="AU20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756.72707642445596</v>
      </c>
      <c r="AV208" s="190" t="str" cm="1">
        <f t="array" ref="AV208">IF(tblPiNAnalysis5[[#This Row],[3rd Highest Target]]="", "", _xlfn.TEXTJOIN(CHAR(10), TRUE, IF(tblPiNAnalysis5[[#This Row],[3rd Highest Target]]=tblPiNAnalysis5[[#This Row],[CCCM]:[WASH]], tblPiNAnalysis5[[#Headers],[CCCM]:[WASH]], "")))</f>
        <v>Nutrition</v>
      </c>
      <c r="AW208" s="190">
        <f>IFERROR(tblPiNAnalysis5[[#This Row],[3rd Highest Target]]/tblPiNAnalysis5[[#This Row],[Affected population projection 2026]], "")</f>
        <v>0.21522759511810882</v>
      </c>
      <c r="AX208" s="45">
        <f>IFERROR(tblPiNAnalysis5[[#This Row],[Highest Target]]-tblPiNAnalysis5[[#This Row],[3rd Highest Target]],"")</f>
        <v>1443.0207079836177</v>
      </c>
      <c r="AY208" s="39">
        <f>IFERROR(tblPiNAnalysis5[[#This Row],[Difference of Target between Highest and 3rd Highest]]/tblPiNAnalysis5[[#This Row],[3rd Highest Target]], "")</f>
        <v>1.9069235830729185</v>
      </c>
      <c r="AZ208" s="330" t="str" cm="1">
        <f t="array" ref="AZ20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8" s="300" t="str" cm="1">
        <f t="array" ref="BA20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8" s="333" t="str" cm="1">
        <f t="array" ref="BB20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08" s="276" t="str" cm="1">
        <f t="array" ref="BC20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8" s="334" t="str" cm="1">
        <f t="array" ref="BD20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08" s="277" t="e">
        <f>INDEX(tblSeverityAnalysis[Final Severity], MATCH(tblPiNAnalysis5[[#This Row],[ID]],tblSeverityAnalysis[ID], 0))</f>
        <v>#N/A</v>
      </c>
      <c r="BF208" s="61" t="e">
        <f>IF(tblPiNAnalysis5[[#This Row],[Severity]]&gt;2,tblPiNAnalysis5[[#This Row],[Highest Target]],)</f>
        <v>#N/A</v>
      </c>
      <c r="BG208" s="191"/>
      <c r="BH208" s="192"/>
      <c r="BI208" s="193">
        <f>COUNTIFS(tblPiNAnalysis5[[#This Row],[Number of missing / zero PiNs greater than threshold - Data quality]:[Manual Flag]],"Flagged")</f>
        <v>4</v>
      </c>
      <c r="BJ208" s="96" t="str">
        <f>IF(tblPiNAnalysis5[[#This Row],['# Flags]]&gt;0, "Flagged", "")</f>
        <v>Flagged</v>
      </c>
      <c r="BK208" s="326" t="e">
        <f>tblPiNAnalysis5[[#This Row],[Preliminary Target]]</f>
        <v>#N/A</v>
      </c>
      <c r="BL208" s="331"/>
    </row>
    <row r="209" spans="1:64" x14ac:dyDescent="0.55000000000000004">
      <c r="A2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9" s="316" t="s">
        <v>322</v>
      </c>
      <c r="C209" s="317" t="s">
        <v>323</v>
      </c>
      <c r="D209" s="317" t="s">
        <v>340</v>
      </c>
      <c r="E209" s="105" t="s">
        <v>341</v>
      </c>
      <c r="F209" s="100"/>
      <c r="G209" s="34"/>
      <c r="H209" s="34"/>
      <c r="I209" s="97">
        <v>13224.062358458195</v>
      </c>
      <c r="J209" s="97" t="s">
        <v>414</v>
      </c>
      <c r="K209" s="318">
        <v>21065</v>
      </c>
      <c r="L209" s="319">
        <v>3641.3751662125778</v>
      </c>
      <c r="M209" s="319">
        <v>2331.1192661250252</v>
      </c>
      <c r="N209" s="319">
        <v>6140.5817860921698</v>
      </c>
      <c r="O209" s="319">
        <v>7526.0717905892307</v>
      </c>
      <c r="P209" s="319">
        <v>4112.2893425930761</v>
      </c>
      <c r="Q209" s="320">
        <v>5898.0640524959399</v>
      </c>
      <c r="R209" s="319">
        <v>2168.2972617070727</v>
      </c>
      <c r="S209" s="319"/>
      <c r="T209" s="319"/>
      <c r="U209" s="319"/>
      <c r="V209" s="319"/>
      <c r="W209" s="321">
        <f>IFERROR(IF(tblPiNAnalysis5[[#This Row],[CCCM]]="", "", MROUND(tblPiNAnalysis5[[#This Row],[CCCM]]/tblPiNAnalysis5[[#This Row],[Affected population projection 2026]], 0.05)), "")</f>
        <v>1.6</v>
      </c>
      <c r="X209" s="322">
        <f>IFERROR(IF(tblPiNAnalysis5[[#This Row],[Education]]="", "", MROUND(tblPiNAnalysis5[[#This Row],[Education]]/tblPiNAnalysis5[[#This Row],[Affected population projection 2026]], 0.05)), "")</f>
        <v>0.30000000000000004</v>
      </c>
      <c r="Y209" s="322">
        <f>IFERROR(IF(tblPiNAnalysis5[[#This Row],[Nutrition]]="", "", MROUND(tblPiNAnalysis5[[#This Row],[Nutrition]]/tblPiNAnalysis5[[#This Row],[Affected population projection 2026]], 0.05)), "")</f>
        <v>0.2</v>
      </c>
      <c r="Z209" s="322">
        <f>IFERROR(IF(tblPiNAnalysis5[[#This Row],[Food Security]]="", "", MROUND(tblPiNAnalysis5[[#This Row],[Food Security]]/tblPiNAnalysis5[[#This Row],[Affected population projection 2026]], 0.05)), "")</f>
        <v>0.45</v>
      </c>
      <c r="AA209" s="322">
        <f>IFERROR(IF(tblPiNAnalysis5[[#This Row],[Health]]="", "", MROUND(tblPiNAnalysis5[[#This Row],[Health]]/tblPiNAnalysis5[[#This Row],[Affected population projection 2026]], 0.05)), "")</f>
        <v>0.55000000000000004</v>
      </c>
      <c r="AB209" s="323">
        <f>IFERROR(IF(tblPiNAnalysis5[[#This Row],[Overarching Protection]]="", "", MROUND(tblPiNAnalysis5[[#This Row],[Overarching Protection]]/tblPiNAnalysis5[[#This Row],[Affected population projection 2026]], 0.05)), "")</f>
        <v>0.30000000000000004</v>
      </c>
      <c r="AC209" s="323">
        <f>IFERROR(IF(tblPiNAnalysis5[[#This Row],[Shelter]]="", "", MROUND(tblPiNAnalysis5[[#This Row],[Shelter]]/tblPiNAnalysis5[[#This Row],[Affected population projection 2026]], 0.05)), "")</f>
        <v>0.45</v>
      </c>
      <c r="AD209" s="324">
        <f>IFERROR(IF(tblPiNAnalysis5[[#This Row],[WASH]]="", "", MROUND(tblPiNAnalysis5[[#This Row],[WASH]]/tblPiNAnalysis5[[#This Row],[Affected population projection 2026]], 0.05)), "")</f>
        <v>0.15000000000000002</v>
      </c>
      <c r="AE209" s="322">
        <f>IFERROR(MROUND(tblPiNAnalysis5[[#This Row],[CP]]/tblPiNAnalysis5[[#This Row],[Affected population projection 2026]], 0.05), "")</f>
        <v>0</v>
      </c>
      <c r="AF209" s="322">
        <f>IFERROR(MROUND(tblPiNAnalysis5[[#This Row],[GBV]]/tblPiNAnalysis5[[#This Row],[Affected population projection 2026]], 0.05), "")</f>
        <v>0</v>
      </c>
      <c r="AG209" s="322">
        <f>IFERROR(MROUND(tblPiNAnalysis5[[#This Row],[Mine Action]]/tblPiNAnalysis5[[#This Row],[Affected population projection 2026]], 0.05), "")</f>
        <v>0</v>
      </c>
      <c r="AH209" s="322">
        <f>IFERROR(MROUND(tblPiNAnalysis5[[#This Row],[HLP]]/tblPiNAnalysis5[[#This Row],[Affected population projection 2026]], 0.05), "")</f>
        <v>0</v>
      </c>
      <c r="AI209" s="325">
        <f>IFERROR(LARGE(tblPiNAnalysis5[[#This Row],[CCCM]:[WASH]], 1), "")</f>
        <v>21065</v>
      </c>
      <c r="AJ209" s="326" t="str" cm="1">
        <f t="array" ref="AJ209">IF(tblPiNAnalysis5[[#This Row],[Highest Target]]="", "", _xlfn.TEXTJOIN(CHAR(10), TRUE, IF(tblPiNAnalysis5[[#This Row],[Highest Target]]=tblPiNAnalysis5[[#This Row],[CCCM]:[WASH]], tblPiNAnalysis5[[#Headers],[CCCM]:[WASH]], "")))</f>
        <v>CCCM</v>
      </c>
      <c r="AK209" s="327">
        <f>IF(tblPiNAnalysis5[[#This Row],[Highest Target]]="", "", tblPiNAnalysis5[[#This Row],[Highest Target]]/tblPiNAnalysis5[[#This Row],[Affected population projection 2026]])</f>
        <v>1.5929295725474775</v>
      </c>
      <c r="AL209" s="328" t="str">
        <f>IF(SUM(tblPiNAnalysis5[[#This Row],[CCCM]:[WASH]])=0, "",IF(COUNTIF(tblPiNAnalysis5[[#This Row],[CCCM]:[WASH]],"=0")+COUNTIF(tblPiNAnalysis5[[#This Row],[CCCM]:[WASH]],"")&gt;=zero_pin_thresh, "Flagged", ""))</f>
        <v/>
      </c>
      <c r="AM209" s="329" t="str">
        <f>IFERROR(IF(tblPiNAnalysis5[[#This Row],[Highest Target]]="", "", IF(tblPiNAnalysis5[[#This Row],[Highest sector(s'') Target %]]&gt;=flag_pin_perc, "Flagged", "")), "")</f>
        <v>Flagged</v>
      </c>
      <c r="AN209" s="330" t="str" cm="1">
        <f t="array" ref="AN209">IF(tblPiNAnalysis5[[#This Row],[Highest Target]]=0, "",  IF(OR(COUNTIF(tblPiNAnalysis5[[#This Row],[Highest sector(s)]],tblSubSectorPopulation[Sector])), "Flagged", ""))</f>
        <v/>
      </c>
      <c r="AO209" s="46" cm="1">
        <f t="array" ref="AO20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7526.0717905892307</v>
      </c>
      <c r="AP209" s="331" t="str" cm="1">
        <f t="array" ref="AP209">IF(tblPiNAnalysis5[[#This Row],[2nd Highest Target]]="", "", _xlfn.TEXTJOIN(CHAR(10), TRUE, IF(tblPiNAnalysis5[[#This Row],[2nd Highest Target]]=tblPiNAnalysis5[[#This Row],[CCCM]:[WASH]], tblPiNAnalysis5[[#Headers],[CCCM]:[WASH]], "")))</f>
        <v>Health</v>
      </c>
      <c r="AQ209" s="36">
        <f>IFERROR(tblPiNAnalysis5[[#This Row],[2nd Highest Target]]/tblPiNAnalysis5[[#This Row],[Affected population projection 2026]], "")</f>
        <v>0.56911950250866039</v>
      </c>
      <c r="AR209" s="46">
        <f>IFERROR(tblPiNAnalysis5[[#This Row],[Highest Target]]-tblPiNAnalysis5[[#This Row],[2nd Highest Target]], "")</f>
        <v>13538.928209410769</v>
      </c>
      <c r="AS209" s="39">
        <f>IFERROR(((tblPiNAnalysis5[[#This Row],[Highest Target]]-tblPiNAnalysis5[[#This Row],[2nd Highest Target]])/tblPiNAnalysis5[[#This Row],[2nd Highest Target]]),"")</f>
        <v>1.7989368937910146</v>
      </c>
      <c r="AT209" s="39" t="str" cm="1">
        <f t="array" ref="AT20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09" s="332" cm="1">
        <f t="array" ref="AU20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6140.5817860921698</v>
      </c>
      <c r="AV209" s="190" t="str" cm="1">
        <f t="array" ref="AV209">IF(tblPiNAnalysis5[[#This Row],[3rd Highest Target]]="", "", _xlfn.TEXTJOIN(CHAR(10), TRUE, IF(tblPiNAnalysis5[[#This Row],[3rd Highest Target]]=tblPiNAnalysis5[[#This Row],[CCCM]:[WASH]], tblPiNAnalysis5[[#Headers],[CCCM]:[WASH]], "")))</f>
        <v>Food Security</v>
      </c>
      <c r="AW209" s="190">
        <f>IFERROR(tblPiNAnalysis5[[#This Row],[3rd Highest Target]]/tblPiNAnalysis5[[#This Row],[Affected population projection 2026]], "")</f>
        <v>0.46434912507536796</v>
      </c>
      <c r="AX209" s="45">
        <f>IFERROR(tblPiNAnalysis5[[#This Row],[Highest Target]]-tblPiNAnalysis5[[#This Row],[3rd Highest Target]],"")</f>
        <v>14924.418213907829</v>
      </c>
      <c r="AY209" s="39">
        <f>IFERROR(tblPiNAnalysis5[[#This Row],[Difference of Target between Highest and 3rd Highest]]/tblPiNAnalysis5[[#This Row],[3rd Highest Target]], "")</f>
        <v>2.4304567113999211</v>
      </c>
      <c r="AZ209" s="330" t="str" cm="1">
        <f t="array" ref="AZ20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09" s="300" t="str" cm="1">
        <f t="array" ref="BA20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09" s="333" t="str" cm="1">
        <f t="array" ref="BB20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09" s="276" t="str" cm="1">
        <f t="array" ref="BC20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09" s="334" t="str" cm="1">
        <f t="array" ref="BD20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09" s="277" t="e">
        <f>INDEX(tblSeverityAnalysis[Final Severity], MATCH(tblPiNAnalysis5[[#This Row],[ID]],tblSeverityAnalysis[ID], 0))</f>
        <v>#N/A</v>
      </c>
      <c r="BF209" s="61" t="e">
        <f>IF(tblPiNAnalysis5[[#This Row],[Severity]]&gt;2,tblPiNAnalysis5[[#This Row],[Highest Target]],)</f>
        <v>#N/A</v>
      </c>
      <c r="BG209" s="191"/>
      <c r="BH209" s="192"/>
      <c r="BI209" s="193">
        <f>COUNTIFS(tblPiNAnalysis5[[#This Row],[Number of missing / zero PiNs greater than threshold - Data quality]:[Manual Flag]],"Flagged")</f>
        <v>4</v>
      </c>
      <c r="BJ209" s="96" t="str">
        <f>IF(tblPiNAnalysis5[[#This Row],['# Flags]]&gt;0, "Flagged", "")</f>
        <v>Flagged</v>
      </c>
      <c r="BK209" s="326" t="e">
        <f>tblPiNAnalysis5[[#This Row],[Preliminary Target]]</f>
        <v>#N/A</v>
      </c>
      <c r="BL209" s="331"/>
    </row>
    <row r="210" spans="1:64" x14ac:dyDescent="0.55000000000000004">
      <c r="A2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0" s="316" t="s">
        <v>342</v>
      </c>
      <c r="C210" s="317" t="s">
        <v>343</v>
      </c>
      <c r="D210" s="317" t="s">
        <v>344</v>
      </c>
      <c r="E210" s="105" t="s">
        <v>345</v>
      </c>
      <c r="F210" s="100"/>
      <c r="G210" s="34"/>
      <c r="H210" s="34"/>
      <c r="I210" s="97">
        <v>4961</v>
      </c>
      <c r="J210" s="97" t="s">
        <v>414</v>
      </c>
      <c r="K210" s="318">
        <v>0</v>
      </c>
      <c r="L210" s="319">
        <v>397.55469600000004</v>
      </c>
      <c r="M210" s="319">
        <v>1649.102015036234</v>
      </c>
      <c r="N210" s="319">
        <v>2215.0636691353689</v>
      </c>
      <c r="O210" s="319">
        <v>2205.8461840677242</v>
      </c>
      <c r="P210" s="319">
        <v>757.12273409536999</v>
      </c>
      <c r="Q210" s="320">
        <v>2791.1679592522619</v>
      </c>
      <c r="R210" s="319">
        <v>4001.8903463648835</v>
      </c>
      <c r="S210" s="319"/>
      <c r="T210" s="319"/>
      <c r="U210" s="319"/>
      <c r="V210" s="319"/>
      <c r="W210" s="321">
        <f>IFERROR(IF(tblPiNAnalysis5[[#This Row],[CCCM]]="", "", MROUND(tblPiNAnalysis5[[#This Row],[CCCM]]/tblPiNAnalysis5[[#This Row],[Affected population projection 2026]], 0.05)), "")</f>
        <v>0</v>
      </c>
      <c r="X210" s="322">
        <f>IFERROR(IF(tblPiNAnalysis5[[#This Row],[Education]]="", "", MROUND(tblPiNAnalysis5[[#This Row],[Education]]/tblPiNAnalysis5[[#This Row],[Affected population projection 2026]], 0.05)), "")</f>
        <v>0.1</v>
      </c>
      <c r="Y210" s="322">
        <f>IFERROR(IF(tblPiNAnalysis5[[#This Row],[Nutrition]]="", "", MROUND(tblPiNAnalysis5[[#This Row],[Nutrition]]/tblPiNAnalysis5[[#This Row],[Affected population projection 2026]], 0.05)), "")</f>
        <v>0.35000000000000003</v>
      </c>
      <c r="Z210" s="322">
        <f>IFERROR(IF(tblPiNAnalysis5[[#This Row],[Food Security]]="", "", MROUND(tblPiNAnalysis5[[#This Row],[Food Security]]/tblPiNAnalysis5[[#This Row],[Affected population projection 2026]], 0.05)), "")</f>
        <v>0.45</v>
      </c>
      <c r="AA210" s="322">
        <f>IFERROR(IF(tblPiNAnalysis5[[#This Row],[Health]]="", "", MROUND(tblPiNAnalysis5[[#This Row],[Health]]/tblPiNAnalysis5[[#This Row],[Affected population projection 2026]], 0.05)), "")</f>
        <v>0.45</v>
      </c>
      <c r="AB210" s="323">
        <f>IFERROR(IF(tblPiNAnalysis5[[#This Row],[Overarching Protection]]="", "", MROUND(tblPiNAnalysis5[[#This Row],[Overarching Protection]]/tblPiNAnalysis5[[#This Row],[Affected population projection 2026]], 0.05)), "")</f>
        <v>0.15000000000000002</v>
      </c>
      <c r="AC210" s="323">
        <f>IFERROR(IF(tblPiNAnalysis5[[#This Row],[Shelter]]="", "", MROUND(tblPiNAnalysis5[[#This Row],[Shelter]]/tblPiNAnalysis5[[#This Row],[Affected population projection 2026]], 0.05)), "")</f>
        <v>0.55000000000000004</v>
      </c>
      <c r="AD210" s="324">
        <f>IFERROR(IF(tblPiNAnalysis5[[#This Row],[WASH]]="", "", MROUND(tblPiNAnalysis5[[#This Row],[WASH]]/tblPiNAnalysis5[[#This Row],[Affected population projection 2026]], 0.05)), "")</f>
        <v>0.8</v>
      </c>
      <c r="AE210" s="322">
        <f>IFERROR(MROUND(tblPiNAnalysis5[[#This Row],[CP]]/tblPiNAnalysis5[[#This Row],[Affected population projection 2026]], 0.05), "")</f>
        <v>0</v>
      </c>
      <c r="AF210" s="322">
        <f>IFERROR(MROUND(tblPiNAnalysis5[[#This Row],[GBV]]/tblPiNAnalysis5[[#This Row],[Affected population projection 2026]], 0.05), "")</f>
        <v>0</v>
      </c>
      <c r="AG210" s="322">
        <f>IFERROR(MROUND(tblPiNAnalysis5[[#This Row],[Mine Action]]/tblPiNAnalysis5[[#This Row],[Affected population projection 2026]], 0.05), "")</f>
        <v>0</v>
      </c>
      <c r="AH210" s="322">
        <f>IFERROR(MROUND(tblPiNAnalysis5[[#This Row],[HLP]]/tblPiNAnalysis5[[#This Row],[Affected population projection 2026]], 0.05), "")</f>
        <v>0</v>
      </c>
      <c r="AI210" s="325">
        <f>IFERROR(LARGE(tblPiNAnalysis5[[#This Row],[CCCM]:[WASH]], 1), "")</f>
        <v>4001.8903463648835</v>
      </c>
      <c r="AJ210" s="326" t="str" cm="1">
        <f t="array" ref="AJ210">IF(tblPiNAnalysis5[[#This Row],[Highest Target]]="", "", _xlfn.TEXTJOIN(CHAR(10), TRUE, IF(tblPiNAnalysis5[[#This Row],[Highest Target]]=tblPiNAnalysis5[[#This Row],[CCCM]:[WASH]], tblPiNAnalysis5[[#Headers],[CCCM]:[WASH]], "")))</f>
        <v>WASH</v>
      </c>
      <c r="AK210" s="327">
        <f>IF(tblPiNAnalysis5[[#This Row],[Highest Target]]="", "", tblPiNAnalysis5[[#This Row],[Highest Target]]/tblPiNAnalysis5[[#This Row],[Affected population projection 2026]])</f>
        <v>0.80667009602194795</v>
      </c>
      <c r="AL210" s="328" t="str">
        <f>IF(SUM(tblPiNAnalysis5[[#This Row],[CCCM]:[WASH]])=0, "",IF(COUNTIF(tblPiNAnalysis5[[#This Row],[CCCM]:[WASH]],"=0")+COUNTIF(tblPiNAnalysis5[[#This Row],[CCCM]:[WASH]],"")&gt;=zero_pin_thresh, "Flagged", ""))</f>
        <v/>
      </c>
      <c r="AM210" s="329" t="str">
        <f>IFERROR(IF(tblPiNAnalysis5[[#This Row],[Highest Target]]="", "", IF(tblPiNAnalysis5[[#This Row],[Highest sector(s'') Target %]]&gt;=flag_pin_perc, "Flagged", "")), "")</f>
        <v/>
      </c>
      <c r="AN210" s="330" t="str" cm="1">
        <f t="array" ref="AN210">IF(tblPiNAnalysis5[[#This Row],[Highest Target]]=0, "",  IF(OR(COUNTIF(tblPiNAnalysis5[[#This Row],[Highest sector(s)]],tblSubSectorPopulation[Sector])), "Flagged", ""))</f>
        <v/>
      </c>
      <c r="AO210" s="46" cm="1">
        <f t="array" ref="AO21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2791.1679592522619</v>
      </c>
      <c r="AP210" s="331" t="str" cm="1">
        <f t="array" ref="AP210">IF(tblPiNAnalysis5[[#This Row],[2nd Highest Target]]="", "", _xlfn.TEXTJOIN(CHAR(10), TRUE, IF(tblPiNAnalysis5[[#This Row],[2nd Highest Target]]=tblPiNAnalysis5[[#This Row],[CCCM]:[WASH]], tblPiNAnalysis5[[#Headers],[CCCM]:[WASH]], "")))</f>
        <v>Shelter</v>
      </c>
      <c r="AQ210" s="36">
        <f>IFERROR(tblPiNAnalysis5[[#This Row],[2nd Highest Target]]/tblPiNAnalysis5[[#This Row],[Affected population projection 2026]], "")</f>
        <v>0.56262204379203018</v>
      </c>
      <c r="AR210" s="46">
        <f>IFERROR(tblPiNAnalysis5[[#This Row],[Highest Target]]-tblPiNAnalysis5[[#This Row],[2nd Highest Target]], "")</f>
        <v>1210.7223871126216</v>
      </c>
      <c r="AS210" s="39">
        <f>IFERROR(((tblPiNAnalysis5[[#This Row],[Highest Target]]-tblPiNAnalysis5[[#This Row],[2nd Highest Target]])/tblPiNAnalysis5[[#This Row],[2nd Highest Target]]),"")</f>
        <v>0.43376909049821827</v>
      </c>
      <c r="AT210" s="39" t="str" cm="1">
        <f t="array" ref="AT21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10" s="332" cm="1">
        <f t="array" ref="AU21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2215.0636691353689</v>
      </c>
      <c r="AV210" s="190" t="str" cm="1">
        <f t="array" ref="AV210">IF(tblPiNAnalysis5[[#This Row],[3rd Highest Target]]="", "", _xlfn.TEXTJOIN(CHAR(10), TRUE, IF(tblPiNAnalysis5[[#This Row],[3rd Highest Target]]=tblPiNAnalysis5[[#This Row],[CCCM]:[WASH]], tblPiNAnalysis5[[#Headers],[CCCM]:[WASH]], "")))</f>
        <v>Food Security</v>
      </c>
      <c r="AW210" s="190">
        <f>IFERROR(tblPiNAnalysis5[[#This Row],[3rd Highest Target]]/tblPiNAnalysis5[[#This Row],[Affected population projection 2026]], "")</f>
        <v>0.44649539793093507</v>
      </c>
      <c r="AX210" s="45">
        <f>IFERROR(tblPiNAnalysis5[[#This Row],[Highest Target]]-tblPiNAnalysis5[[#This Row],[3rd Highest Target]],"")</f>
        <v>1786.8266772295146</v>
      </c>
      <c r="AY210" s="39">
        <f>IFERROR(tblPiNAnalysis5[[#This Row],[Difference of Target between Highest and 3rd Highest]]/tblPiNAnalysis5[[#This Row],[3rd Highest Target]], "")</f>
        <v>0.80667057210458748</v>
      </c>
      <c r="AZ210" s="330" t="str" cm="1">
        <f t="array" ref="AZ21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10" s="300" t="str" cm="1">
        <f t="array" ref="BA21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0" s="333" t="str" cm="1">
        <f t="array" ref="BB21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0" s="276" t="str" cm="1">
        <f t="array" ref="BC21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0" s="334" t="str" cm="1">
        <f t="array" ref="BD21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0" s="277" t="e">
        <f>INDEX(tblSeverityAnalysis[Final Severity], MATCH(tblPiNAnalysis5[[#This Row],[ID]],tblSeverityAnalysis[ID], 0))</f>
        <v>#N/A</v>
      </c>
      <c r="BF210" s="61" t="e">
        <f>IF(tblPiNAnalysis5[[#This Row],[Severity]]&gt;2,tblPiNAnalysis5[[#This Row],[Highest Target]],)</f>
        <v>#N/A</v>
      </c>
      <c r="BG210" s="191"/>
      <c r="BH210" s="192"/>
      <c r="BI210" s="193">
        <f>COUNTIFS(tblPiNAnalysis5[[#This Row],[Number of missing / zero PiNs greater than threshold - Data quality]:[Manual Flag]],"Flagged")</f>
        <v>3</v>
      </c>
      <c r="BJ210" s="96" t="str">
        <f>IF(tblPiNAnalysis5[[#This Row],['# Flags]]&gt;0, "Flagged", "")</f>
        <v>Flagged</v>
      </c>
      <c r="BK210" s="326" t="e">
        <f>tblPiNAnalysis5[[#This Row],[Preliminary Target]]</f>
        <v>#N/A</v>
      </c>
      <c r="BL210" s="331"/>
    </row>
    <row r="211" spans="1:64" x14ac:dyDescent="0.55000000000000004">
      <c r="A2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1" s="316" t="s">
        <v>342</v>
      </c>
      <c r="C211" s="317" t="s">
        <v>343</v>
      </c>
      <c r="D211" s="317" t="s">
        <v>346</v>
      </c>
      <c r="E211" s="105" t="s">
        <v>347</v>
      </c>
      <c r="F211" s="100"/>
      <c r="G211" s="34"/>
      <c r="H211" s="34"/>
      <c r="I211" s="97">
        <v>14416.589191353083</v>
      </c>
      <c r="J211" s="97" t="s">
        <v>414</v>
      </c>
      <c r="K211" s="318">
        <v>5999</v>
      </c>
      <c r="L211" s="319">
        <v>4916.7489105325858</v>
      </c>
      <c r="M211" s="319">
        <v>2555.6208862431035</v>
      </c>
      <c r="N211" s="319">
        <v>5590.2544771625207</v>
      </c>
      <c r="O211" s="319">
        <v>4442.7025215305175</v>
      </c>
      <c r="P211" s="319">
        <v>6625.3038970920416</v>
      </c>
      <c r="Q211" s="320">
        <v>3634.3155777417414</v>
      </c>
      <c r="R211" s="319">
        <v>13124.301716494821</v>
      </c>
      <c r="S211" s="319"/>
      <c r="T211" s="319"/>
      <c r="U211" s="319"/>
      <c r="V211" s="319"/>
      <c r="W211" s="321">
        <f>IFERROR(IF(tblPiNAnalysis5[[#This Row],[CCCM]]="", "", MROUND(tblPiNAnalysis5[[#This Row],[CCCM]]/tblPiNAnalysis5[[#This Row],[Affected population projection 2026]], 0.05)), "")</f>
        <v>0.4</v>
      </c>
      <c r="X211" s="322">
        <f>IFERROR(IF(tblPiNAnalysis5[[#This Row],[Education]]="", "", MROUND(tblPiNAnalysis5[[#This Row],[Education]]/tblPiNAnalysis5[[#This Row],[Affected population projection 2026]], 0.05)), "")</f>
        <v>0.35000000000000003</v>
      </c>
      <c r="Y211" s="322">
        <f>IFERROR(IF(tblPiNAnalysis5[[#This Row],[Nutrition]]="", "", MROUND(tblPiNAnalysis5[[#This Row],[Nutrition]]/tblPiNAnalysis5[[#This Row],[Affected population projection 2026]], 0.05)), "")</f>
        <v>0.2</v>
      </c>
      <c r="Z211" s="322">
        <f>IFERROR(IF(tblPiNAnalysis5[[#This Row],[Food Security]]="", "", MROUND(tblPiNAnalysis5[[#This Row],[Food Security]]/tblPiNAnalysis5[[#This Row],[Affected population projection 2026]], 0.05)), "")</f>
        <v>0.4</v>
      </c>
      <c r="AA211" s="322">
        <f>IFERROR(IF(tblPiNAnalysis5[[#This Row],[Health]]="", "", MROUND(tblPiNAnalysis5[[#This Row],[Health]]/tblPiNAnalysis5[[#This Row],[Affected population projection 2026]], 0.05)), "")</f>
        <v>0.30000000000000004</v>
      </c>
      <c r="AB211" s="323">
        <f>IFERROR(IF(tblPiNAnalysis5[[#This Row],[Overarching Protection]]="", "", MROUND(tblPiNAnalysis5[[#This Row],[Overarching Protection]]/tblPiNAnalysis5[[#This Row],[Affected population projection 2026]], 0.05)), "")</f>
        <v>0.45</v>
      </c>
      <c r="AC211" s="323">
        <f>IFERROR(IF(tblPiNAnalysis5[[#This Row],[Shelter]]="", "", MROUND(tblPiNAnalysis5[[#This Row],[Shelter]]/tblPiNAnalysis5[[#This Row],[Affected population projection 2026]], 0.05)), "")</f>
        <v>0.25</v>
      </c>
      <c r="AD211" s="324">
        <f>IFERROR(IF(tblPiNAnalysis5[[#This Row],[WASH]]="", "", MROUND(tblPiNAnalysis5[[#This Row],[WASH]]/tblPiNAnalysis5[[#This Row],[Affected population projection 2026]], 0.05)), "")</f>
        <v>0.9</v>
      </c>
      <c r="AE211" s="322">
        <f>IFERROR(MROUND(tblPiNAnalysis5[[#This Row],[CP]]/tblPiNAnalysis5[[#This Row],[Affected population projection 2026]], 0.05), "")</f>
        <v>0</v>
      </c>
      <c r="AF211" s="322">
        <f>IFERROR(MROUND(tblPiNAnalysis5[[#This Row],[GBV]]/tblPiNAnalysis5[[#This Row],[Affected population projection 2026]], 0.05), "")</f>
        <v>0</v>
      </c>
      <c r="AG211" s="322">
        <f>IFERROR(MROUND(tblPiNAnalysis5[[#This Row],[Mine Action]]/tblPiNAnalysis5[[#This Row],[Affected population projection 2026]], 0.05), "")</f>
        <v>0</v>
      </c>
      <c r="AH211" s="322">
        <f>IFERROR(MROUND(tblPiNAnalysis5[[#This Row],[HLP]]/tblPiNAnalysis5[[#This Row],[Affected population projection 2026]], 0.05), "")</f>
        <v>0</v>
      </c>
      <c r="AI211" s="325">
        <f>IFERROR(LARGE(tblPiNAnalysis5[[#This Row],[CCCM]:[WASH]], 1), "")</f>
        <v>13124.301716494821</v>
      </c>
      <c r="AJ211" s="326" t="str" cm="1">
        <f t="array" ref="AJ211">IF(tblPiNAnalysis5[[#This Row],[Highest Target]]="", "", _xlfn.TEXTJOIN(CHAR(10), TRUE, IF(tblPiNAnalysis5[[#This Row],[Highest Target]]=tblPiNAnalysis5[[#This Row],[CCCM]:[WASH]], tblPiNAnalysis5[[#Headers],[CCCM]:[WASH]], "")))</f>
        <v>WASH</v>
      </c>
      <c r="AK211" s="327">
        <f>IF(tblPiNAnalysis5[[#This Row],[Highest Target]]="", "", tblPiNAnalysis5[[#This Row],[Highest Target]]/tblPiNAnalysis5[[#This Row],[Affected population projection 2026]])</f>
        <v>0.91036108071711153</v>
      </c>
      <c r="AL211" s="328" t="str">
        <f>IF(SUM(tblPiNAnalysis5[[#This Row],[CCCM]:[WASH]])=0, "",IF(COUNTIF(tblPiNAnalysis5[[#This Row],[CCCM]:[WASH]],"=0")+COUNTIF(tblPiNAnalysis5[[#This Row],[CCCM]:[WASH]],"")&gt;=zero_pin_thresh, "Flagged", ""))</f>
        <v/>
      </c>
      <c r="AM211" s="329" t="str">
        <f>IFERROR(IF(tblPiNAnalysis5[[#This Row],[Highest Target]]="", "", IF(tblPiNAnalysis5[[#This Row],[Highest sector(s'') Target %]]&gt;=flag_pin_perc, "Flagged", "")), "")</f>
        <v>Flagged</v>
      </c>
      <c r="AN211" s="330" t="str" cm="1">
        <f t="array" ref="AN211">IF(tblPiNAnalysis5[[#This Row],[Highest Target]]=0, "",  IF(OR(COUNTIF(tblPiNAnalysis5[[#This Row],[Highest sector(s)]],tblSubSectorPopulation[Sector])), "Flagged", ""))</f>
        <v/>
      </c>
      <c r="AO211" s="46" cm="1">
        <f t="array" ref="AO21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6625.3038970920416</v>
      </c>
      <c r="AP211" s="331" t="str" cm="1">
        <f t="array" ref="AP211">IF(tblPiNAnalysis5[[#This Row],[2nd Highest Target]]="", "", _xlfn.TEXTJOIN(CHAR(10), TRUE, IF(tblPiNAnalysis5[[#This Row],[2nd Highest Target]]=tblPiNAnalysis5[[#This Row],[CCCM]:[WASH]], tblPiNAnalysis5[[#Headers],[CCCM]:[WASH]], "")))</f>
        <v>Overarching Protection</v>
      </c>
      <c r="AQ211" s="36">
        <f>IFERROR(tblPiNAnalysis5[[#This Row],[2nd Highest Target]]/tblPiNAnalysis5[[#This Row],[Affected population projection 2026]], "")</f>
        <v>0.45956112150756356</v>
      </c>
      <c r="AR211" s="46">
        <f>IFERROR(tblPiNAnalysis5[[#This Row],[Highest Target]]-tblPiNAnalysis5[[#This Row],[2nd Highest Target]], "")</f>
        <v>6498.9978194027799</v>
      </c>
      <c r="AS211" s="39">
        <f>IFERROR(((tblPiNAnalysis5[[#This Row],[Highest Target]]-tblPiNAnalysis5[[#This Row],[2nd Highest Target]])/tblPiNAnalysis5[[#This Row],[2nd Highest Target]]),"")</f>
        <v>0.9809358061681217</v>
      </c>
      <c r="AT211" s="39" t="str" cm="1">
        <f t="array" ref="AT21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11" s="332" cm="1">
        <f t="array" ref="AU21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5999</v>
      </c>
      <c r="AV211" s="190" t="str" cm="1">
        <f t="array" ref="AV211">IF(tblPiNAnalysis5[[#This Row],[3rd Highest Target]]="", "", _xlfn.TEXTJOIN(CHAR(10), TRUE, IF(tblPiNAnalysis5[[#This Row],[3rd Highest Target]]=tblPiNAnalysis5[[#This Row],[CCCM]:[WASH]], tblPiNAnalysis5[[#Headers],[CCCM]:[WASH]], "")))</f>
        <v>CCCM</v>
      </c>
      <c r="AW211" s="190">
        <f>IFERROR(tblPiNAnalysis5[[#This Row],[3rd Highest Target]]/tblPiNAnalysis5[[#This Row],[Affected population projection 2026]], "")</f>
        <v>0.41611784315794587</v>
      </c>
      <c r="AX211" s="45">
        <f>IFERROR(tblPiNAnalysis5[[#This Row],[Highest Target]]-tblPiNAnalysis5[[#This Row],[3rd Highest Target]],"")</f>
        <v>7125.3017164948214</v>
      </c>
      <c r="AY211" s="39">
        <f>IFERROR(tblPiNAnalysis5[[#This Row],[Difference of Target between Highest and 3rd Highest]]/tblPiNAnalysis5[[#This Row],[3rd Highest Target]], "")</f>
        <v>1.1877482441231575</v>
      </c>
      <c r="AZ211" s="330" t="str" cm="1">
        <f t="array" ref="AZ21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11" s="300" t="str" cm="1">
        <f t="array" ref="BA21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1" s="333" t="str" cm="1">
        <f t="array" ref="BB21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1" s="276" t="str" cm="1">
        <f t="array" ref="BC21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1" s="334" t="str" cm="1">
        <f t="array" ref="BD21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11" s="277" t="e">
        <f>INDEX(tblSeverityAnalysis[Final Severity], MATCH(tblPiNAnalysis5[[#This Row],[ID]],tblSeverityAnalysis[ID], 0))</f>
        <v>#N/A</v>
      </c>
      <c r="BF211" s="61" t="e">
        <f>IF(tblPiNAnalysis5[[#This Row],[Severity]]&gt;2,tblPiNAnalysis5[[#This Row],[Highest Target]],)</f>
        <v>#N/A</v>
      </c>
      <c r="BG211" s="191"/>
      <c r="BH211" s="192"/>
      <c r="BI211" s="193">
        <f>COUNTIFS(tblPiNAnalysis5[[#This Row],[Number of missing / zero PiNs greater than threshold - Data quality]:[Manual Flag]],"Flagged")</f>
        <v>3</v>
      </c>
      <c r="BJ211" s="96" t="str">
        <f>IF(tblPiNAnalysis5[[#This Row],['# Flags]]&gt;0, "Flagged", "")</f>
        <v>Flagged</v>
      </c>
      <c r="BK211" s="326" t="e">
        <f>tblPiNAnalysis5[[#This Row],[Preliminary Target]]</f>
        <v>#N/A</v>
      </c>
      <c r="BL211" s="331"/>
    </row>
    <row r="212" spans="1:64" ht="24.6" x14ac:dyDescent="0.55000000000000004">
      <c r="A2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2" s="316" t="s">
        <v>342</v>
      </c>
      <c r="C212" s="317" t="s">
        <v>343</v>
      </c>
      <c r="D212" s="317" t="s">
        <v>348</v>
      </c>
      <c r="E212" s="105" t="s">
        <v>349</v>
      </c>
      <c r="F212" s="100"/>
      <c r="G212" s="34"/>
      <c r="H212" s="34"/>
      <c r="I212" s="97">
        <v>16232.649182202906</v>
      </c>
      <c r="J212" s="97" t="s">
        <v>414</v>
      </c>
      <c r="K212" s="318">
        <v>0</v>
      </c>
      <c r="L212" s="319">
        <v>5592.8212982099622</v>
      </c>
      <c r="M212" s="319">
        <v>3052.9079294512967</v>
      </c>
      <c r="N212" s="319">
        <v>8504.5465125834617</v>
      </c>
      <c r="O212" s="319">
        <v>4934.7575944873897</v>
      </c>
      <c r="P212" s="319">
        <v>6252.6934178106303</v>
      </c>
      <c r="Q212" s="320">
        <v>6883.8620324877138</v>
      </c>
      <c r="R212" s="319">
        <v>1364.9033358320601</v>
      </c>
      <c r="S212" s="319"/>
      <c r="T212" s="319"/>
      <c r="U212" s="319"/>
      <c r="V212" s="319"/>
      <c r="W212" s="321">
        <f>IFERROR(IF(tblPiNAnalysis5[[#This Row],[CCCM]]="", "", MROUND(tblPiNAnalysis5[[#This Row],[CCCM]]/tblPiNAnalysis5[[#This Row],[Affected population projection 2026]], 0.05)), "")</f>
        <v>0</v>
      </c>
      <c r="X212" s="322">
        <f>IFERROR(IF(tblPiNAnalysis5[[#This Row],[Education]]="", "", MROUND(tblPiNAnalysis5[[#This Row],[Education]]/tblPiNAnalysis5[[#This Row],[Affected population projection 2026]], 0.05)), "")</f>
        <v>0.35000000000000003</v>
      </c>
      <c r="Y212" s="322">
        <f>IFERROR(IF(tblPiNAnalysis5[[#This Row],[Nutrition]]="", "", MROUND(tblPiNAnalysis5[[#This Row],[Nutrition]]/tblPiNAnalysis5[[#This Row],[Affected population projection 2026]], 0.05)), "")</f>
        <v>0.2</v>
      </c>
      <c r="Z212" s="322">
        <f>IFERROR(IF(tblPiNAnalysis5[[#This Row],[Food Security]]="", "", MROUND(tblPiNAnalysis5[[#This Row],[Food Security]]/tblPiNAnalysis5[[#This Row],[Affected population projection 2026]], 0.05)), "")</f>
        <v>0.5</v>
      </c>
      <c r="AA212" s="322">
        <f>IFERROR(IF(tblPiNAnalysis5[[#This Row],[Health]]="", "", MROUND(tblPiNAnalysis5[[#This Row],[Health]]/tblPiNAnalysis5[[#This Row],[Affected population projection 2026]], 0.05)), "")</f>
        <v>0.30000000000000004</v>
      </c>
      <c r="AB212" s="323">
        <f>IFERROR(IF(tblPiNAnalysis5[[#This Row],[Overarching Protection]]="", "", MROUND(tblPiNAnalysis5[[#This Row],[Overarching Protection]]/tblPiNAnalysis5[[#This Row],[Affected population projection 2026]], 0.05)), "")</f>
        <v>0.4</v>
      </c>
      <c r="AC212" s="323">
        <f>IFERROR(IF(tblPiNAnalysis5[[#This Row],[Shelter]]="", "", MROUND(tblPiNAnalysis5[[#This Row],[Shelter]]/tblPiNAnalysis5[[#This Row],[Affected population projection 2026]], 0.05)), "")</f>
        <v>0.4</v>
      </c>
      <c r="AD212" s="324">
        <f>IFERROR(IF(tblPiNAnalysis5[[#This Row],[WASH]]="", "", MROUND(tblPiNAnalysis5[[#This Row],[WASH]]/tblPiNAnalysis5[[#This Row],[Affected population projection 2026]], 0.05)), "")</f>
        <v>0.1</v>
      </c>
      <c r="AE212" s="322">
        <f>IFERROR(MROUND(tblPiNAnalysis5[[#This Row],[CP]]/tblPiNAnalysis5[[#This Row],[Affected population projection 2026]], 0.05), "")</f>
        <v>0</v>
      </c>
      <c r="AF212" s="322">
        <f>IFERROR(MROUND(tblPiNAnalysis5[[#This Row],[GBV]]/tblPiNAnalysis5[[#This Row],[Affected population projection 2026]], 0.05), "")</f>
        <v>0</v>
      </c>
      <c r="AG212" s="322">
        <f>IFERROR(MROUND(tblPiNAnalysis5[[#This Row],[Mine Action]]/tblPiNAnalysis5[[#This Row],[Affected population projection 2026]], 0.05), "")</f>
        <v>0</v>
      </c>
      <c r="AH212" s="322">
        <f>IFERROR(MROUND(tblPiNAnalysis5[[#This Row],[HLP]]/tblPiNAnalysis5[[#This Row],[Affected population projection 2026]], 0.05), "")</f>
        <v>0</v>
      </c>
      <c r="AI212" s="325">
        <f>IFERROR(LARGE(tblPiNAnalysis5[[#This Row],[CCCM]:[WASH]], 1), "")</f>
        <v>8504.5465125834617</v>
      </c>
      <c r="AJ212" s="326" t="str" cm="1">
        <f t="array" ref="AJ212">IF(tblPiNAnalysis5[[#This Row],[Highest Target]]="", "", _xlfn.TEXTJOIN(CHAR(10), TRUE, IF(tblPiNAnalysis5[[#This Row],[Highest Target]]=tblPiNAnalysis5[[#This Row],[CCCM]:[WASH]], tblPiNAnalysis5[[#Headers],[CCCM]:[WASH]], "")))</f>
        <v>Food Security</v>
      </c>
      <c r="AK212" s="327">
        <f>IF(tblPiNAnalysis5[[#This Row],[Highest Target]]="", "", tblPiNAnalysis5[[#This Row],[Highest Target]]/tblPiNAnalysis5[[#This Row],[Affected population projection 2026]])</f>
        <v>0.52391611604023614</v>
      </c>
      <c r="AL212" s="328" t="str">
        <f>IF(SUM(tblPiNAnalysis5[[#This Row],[CCCM]:[WASH]])=0, "",IF(COUNTIF(tblPiNAnalysis5[[#This Row],[CCCM]:[WASH]],"=0")+COUNTIF(tblPiNAnalysis5[[#This Row],[CCCM]:[WASH]],"")&gt;=zero_pin_thresh, "Flagged", ""))</f>
        <v/>
      </c>
      <c r="AM212" s="329" t="str">
        <f>IFERROR(IF(tblPiNAnalysis5[[#This Row],[Highest Target]]="", "", IF(tblPiNAnalysis5[[#This Row],[Highest sector(s'') Target %]]&gt;=flag_pin_perc, "Flagged", "")), "")</f>
        <v/>
      </c>
      <c r="AN212" s="330" t="str" cm="1">
        <f t="array" ref="AN212">IF(tblPiNAnalysis5[[#This Row],[Highest Target]]=0, "",  IF(OR(COUNTIF(tblPiNAnalysis5[[#This Row],[Highest sector(s)]],tblSubSectorPopulation[Sector])), "Flagged", ""))</f>
        <v/>
      </c>
      <c r="AO212" s="46" cm="1">
        <f t="array" ref="AO21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6883.8620324877138</v>
      </c>
      <c r="AP212" s="331" t="str" cm="1">
        <f t="array" ref="AP212">IF(tblPiNAnalysis5[[#This Row],[2nd Highest Target]]="", "", _xlfn.TEXTJOIN(CHAR(10), TRUE, IF(tblPiNAnalysis5[[#This Row],[2nd Highest Target]]=tblPiNAnalysis5[[#This Row],[CCCM]:[WASH]], tblPiNAnalysis5[[#Headers],[CCCM]:[WASH]], "")))</f>
        <v>Shelter</v>
      </c>
      <c r="AQ212" s="36">
        <f>IFERROR(tblPiNAnalysis5[[#This Row],[2nd Highest Target]]/tblPiNAnalysis5[[#This Row],[Affected population projection 2026]], "")</f>
        <v>0.42407508196721322</v>
      </c>
      <c r="AR212" s="46">
        <f>IFERROR(tblPiNAnalysis5[[#This Row],[Highest Target]]-tblPiNAnalysis5[[#This Row],[2nd Highest Target]], "")</f>
        <v>1620.6844800957479</v>
      </c>
      <c r="AS212" s="39">
        <f>IFERROR(((tblPiNAnalysis5[[#This Row],[Highest Target]]-tblPiNAnalysis5[[#This Row],[2nd Highest Target]])/tblPiNAnalysis5[[#This Row],[2nd Highest Target]]),"")</f>
        <v>0.23543244656082385</v>
      </c>
      <c r="AT212" s="39" t="str" cm="1">
        <f t="array" ref="AT21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2" s="332" cm="1">
        <f t="array" ref="AU21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6252.6934178106303</v>
      </c>
      <c r="AV212" s="190" t="str" cm="1">
        <f t="array" ref="AV212">IF(tblPiNAnalysis5[[#This Row],[3rd Highest Target]]="", "", _xlfn.TEXTJOIN(CHAR(10), TRUE, IF(tblPiNAnalysis5[[#This Row],[3rd Highest Target]]=tblPiNAnalysis5[[#This Row],[CCCM]:[WASH]], tblPiNAnalysis5[[#Headers],[CCCM]:[WASH]], "")))</f>
        <v>Overarching Protection</v>
      </c>
      <c r="AW212" s="190">
        <f>IFERROR(tblPiNAnalysis5[[#This Row],[3rd Highest Target]]/tblPiNAnalysis5[[#This Row],[Affected population projection 2026]], "")</f>
        <v>0.38519241977248769</v>
      </c>
      <c r="AX212" s="45">
        <f>IFERROR(tblPiNAnalysis5[[#This Row],[Highest Target]]-tblPiNAnalysis5[[#This Row],[3rd Highest Target]],"")</f>
        <v>2251.8530947728314</v>
      </c>
      <c r="AY212" s="39">
        <f>IFERROR(tblPiNAnalysis5[[#This Row],[Difference of Target between Highest and 3rd Highest]]/tblPiNAnalysis5[[#This Row],[3rd Highest Target]], "")</f>
        <v>0.36014129340781176</v>
      </c>
      <c r="AZ212" s="330" t="str" cm="1">
        <f t="array" ref="AZ21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2" s="300" t="str" cm="1">
        <f t="array" ref="BA21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2" s="333" t="str" cm="1">
        <f t="array" ref="BB21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2" s="276" t="str" cm="1">
        <f t="array" ref="BC21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2" s="334" t="str" cm="1">
        <f t="array" ref="BD21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2" s="277" t="e">
        <f>INDEX(tblSeverityAnalysis[Final Severity], MATCH(tblPiNAnalysis5[[#This Row],[ID]],tblSeverityAnalysis[ID], 0))</f>
        <v>#N/A</v>
      </c>
      <c r="BF212" s="61" t="e">
        <f>IF(tblPiNAnalysis5[[#This Row],[Severity]]&gt;2,tblPiNAnalysis5[[#This Row],[Highest Target]],)</f>
        <v>#N/A</v>
      </c>
      <c r="BG212" s="191"/>
      <c r="BH212" s="192"/>
      <c r="BI212" s="193">
        <f>COUNTIFS(tblPiNAnalysis5[[#This Row],[Number of missing / zero PiNs greater than threshold - Data quality]:[Manual Flag]],"Flagged")</f>
        <v>1</v>
      </c>
      <c r="BJ212" s="96" t="str">
        <f>IF(tblPiNAnalysis5[[#This Row],['# Flags]]&gt;0, "Flagged", "")</f>
        <v>Flagged</v>
      </c>
      <c r="BK212" s="326" t="e">
        <f>tblPiNAnalysis5[[#This Row],[Preliminary Target]]</f>
        <v>#N/A</v>
      </c>
      <c r="BL212" s="331"/>
    </row>
    <row r="213" spans="1:64" x14ac:dyDescent="0.55000000000000004">
      <c r="A2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3" s="316" t="s">
        <v>342</v>
      </c>
      <c r="C213" s="317" t="s">
        <v>343</v>
      </c>
      <c r="D213" s="317" t="s">
        <v>350</v>
      </c>
      <c r="E213" s="105" t="s">
        <v>351</v>
      </c>
      <c r="F213" s="100"/>
      <c r="G213" s="34"/>
      <c r="H213" s="34"/>
      <c r="I213" s="97">
        <v>158050.00862404195</v>
      </c>
      <c r="J213" s="97" t="s">
        <v>414</v>
      </c>
      <c r="K213" s="318">
        <v>0</v>
      </c>
      <c r="L213" s="319">
        <v>42577.170848234979</v>
      </c>
      <c r="M213" s="319">
        <v>33518.025657618113</v>
      </c>
      <c r="N213" s="319">
        <v>85266.022690283688</v>
      </c>
      <c r="O213" s="319">
        <v>87835.957677037863</v>
      </c>
      <c r="P213" s="319">
        <v>69612.640747181373</v>
      </c>
      <c r="Q213" s="320">
        <v>30439.677331403862</v>
      </c>
      <c r="R213" s="319">
        <v>118537.50646803142</v>
      </c>
      <c r="S213" s="319"/>
      <c r="T213" s="319"/>
      <c r="U213" s="319"/>
      <c r="V213" s="319"/>
      <c r="W213" s="321">
        <f>IFERROR(IF(tblPiNAnalysis5[[#This Row],[CCCM]]="", "", MROUND(tblPiNAnalysis5[[#This Row],[CCCM]]/tblPiNAnalysis5[[#This Row],[Affected population projection 2026]], 0.05)), "")</f>
        <v>0</v>
      </c>
      <c r="X213" s="322">
        <f>IFERROR(IF(tblPiNAnalysis5[[#This Row],[Education]]="", "", MROUND(tblPiNAnalysis5[[#This Row],[Education]]/tblPiNAnalysis5[[#This Row],[Affected population projection 2026]], 0.05)), "")</f>
        <v>0.25</v>
      </c>
      <c r="Y213" s="322">
        <f>IFERROR(IF(tblPiNAnalysis5[[#This Row],[Nutrition]]="", "", MROUND(tblPiNAnalysis5[[#This Row],[Nutrition]]/tblPiNAnalysis5[[#This Row],[Affected population projection 2026]], 0.05)), "")</f>
        <v>0.2</v>
      </c>
      <c r="Z213" s="322">
        <f>IFERROR(IF(tblPiNAnalysis5[[#This Row],[Food Security]]="", "", MROUND(tblPiNAnalysis5[[#This Row],[Food Security]]/tblPiNAnalysis5[[#This Row],[Affected population projection 2026]], 0.05)), "")</f>
        <v>0.55000000000000004</v>
      </c>
      <c r="AA213" s="322">
        <f>IFERROR(IF(tblPiNAnalysis5[[#This Row],[Health]]="", "", MROUND(tblPiNAnalysis5[[#This Row],[Health]]/tblPiNAnalysis5[[#This Row],[Affected population projection 2026]], 0.05)), "")</f>
        <v>0.55000000000000004</v>
      </c>
      <c r="AB213" s="323">
        <f>IFERROR(IF(tblPiNAnalysis5[[#This Row],[Overarching Protection]]="", "", MROUND(tblPiNAnalysis5[[#This Row],[Overarching Protection]]/tblPiNAnalysis5[[#This Row],[Affected population projection 2026]], 0.05)), "")</f>
        <v>0.45</v>
      </c>
      <c r="AC213" s="323">
        <f>IFERROR(IF(tblPiNAnalysis5[[#This Row],[Shelter]]="", "", MROUND(tblPiNAnalysis5[[#This Row],[Shelter]]/tblPiNAnalysis5[[#This Row],[Affected population projection 2026]], 0.05)), "")</f>
        <v>0.2</v>
      </c>
      <c r="AD213" s="324">
        <f>IFERROR(IF(tblPiNAnalysis5[[#This Row],[WASH]]="", "", MROUND(tblPiNAnalysis5[[#This Row],[WASH]]/tblPiNAnalysis5[[#This Row],[Affected population projection 2026]], 0.05)), "")</f>
        <v>0.75</v>
      </c>
      <c r="AE213" s="322">
        <f>IFERROR(MROUND(tblPiNAnalysis5[[#This Row],[CP]]/tblPiNAnalysis5[[#This Row],[Affected population projection 2026]], 0.05), "")</f>
        <v>0</v>
      </c>
      <c r="AF213" s="322">
        <f>IFERROR(MROUND(tblPiNAnalysis5[[#This Row],[GBV]]/tblPiNAnalysis5[[#This Row],[Affected population projection 2026]], 0.05), "")</f>
        <v>0</v>
      </c>
      <c r="AG213" s="322">
        <f>IFERROR(MROUND(tblPiNAnalysis5[[#This Row],[Mine Action]]/tblPiNAnalysis5[[#This Row],[Affected population projection 2026]], 0.05), "")</f>
        <v>0</v>
      </c>
      <c r="AH213" s="322">
        <f>IFERROR(MROUND(tblPiNAnalysis5[[#This Row],[HLP]]/tblPiNAnalysis5[[#This Row],[Affected population projection 2026]], 0.05), "")</f>
        <v>0</v>
      </c>
      <c r="AI213" s="325">
        <f>IFERROR(LARGE(tblPiNAnalysis5[[#This Row],[CCCM]:[WASH]], 1), "")</f>
        <v>118537.50646803142</v>
      </c>
      <c r="AJ213" s="326" t="str" cm="1">
        <f t="array" ref="AJ213">IF(tblPiNAnalysis5[[#This Row],[Highest Target]]="", "", _xlfn.TEXTJOIN(CHAR(10), TRUE, IF(tblPiNAnalysis5[[#This Row],[Highest Target]]=tblPiNAnalysis5[[#This Row],[CCCM]:[WASH]], tblPiNAnalysis5[[#Headers],[CCCM]:[WASH]], "")))</f>
        <v>WASH</v>
      </c>
      <c r="AK213" s="327">
        <f>IF(tblPiNAnalysis5[[#This Row],[Highest Target]]="", "", tblPiNAnalysis5[[#This Row],[Highest Target]]/tblPiNAnalysis5[[#This Row],[Affected population projection 2026]])</f>
        <v>0.74999999999999978</v>
      </c>
      <c r="AL213" s="328" t="str">
        <f>IF(SUM(tblPiNAnalysis5[[#This Row],[CCCM]:[WASH]])=0, "",IF(COUNTIF(tblPiNAnalysis5[[#This Row],[CCCM]:[WASH]],"=0")+COUNTIF(tblPiNAnalysis5[[#This Row],[CCCM]:[WASH]],"")&gt;=zero_pin_thresh, "Flagged", ""))</f>
        <v/>
      </c>
      <c r="AM213" s="329" t="str">
        <f>IFERROR(IF(tblPiNAnalysis5[[#This Row],[Highest Target]]="", "", IF(tblPiNAnalysis5[[#This Row],[Highest sector(s'') Target %]]&gt;=flag_pin_perc, "Flagged", "")), "")</f>
        <v/>
      </c>
      <c r="AN213" s="330" t="str" cm="1">
        <f t="array" ref="AN213">IF(tblPiNAnalysis5[[#This Row],[Highest Target]]=0, "",  IF(OR(COUNTIF(tblPiNAnalysis5[[#This Row],[Highest sector(s)]],tblSubSectorPopulation[Sector])), "Flagged", ""))</f>
        <v/>
      </c>
      <c r="AO213" s="46" cm="1">
        <f t="array" ref="AO21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87835.957677037863</v>
      </c>
      <c r="AP213" s="331" t="str" cm="1">
        <f t="array" ref="AP213">IF(tblPiNAnalysis5[[#This Row],[2nd Highest Target]]="", "", _xlfn.TEXTJOIN(CHAR(10), TRUE, IF(tblPiNAnalysis5[[#This Row],[2nd Highest Target]]=tblPiNAnalysis5[[#This Row],[CCCM]:[WASH]], tblPiNAnalysis5[[#Headers],[CCCM]:[WASH]], "")))</f>
        <v>Health</v>
      </c>
      <c r="AQ213" s="36">
        <f>IFERROR(tblPiNAnalysis5[[#This Row],[2nd Highest Target]]/tblPiNAnalysis5[[#This Row],[Affected population projection 2026]], "")</f>
        <v>0.55574788284874921</v>
      </c>
      <c r="AR213" s="46">
        <f>IFERROR(tblPiNAnalysis5[[#This Row],[Highest Target]]-tblPiNAnalysis5[[#This Row],[2nd Highest Target]], "")</f>
        <v>30701.548790993562</v>
      </c>
      <c r="AS213" s="39">
        <f>IFERROR(((tblPiNAnalysis5[[#This Row],[Highest Target]]-tblPiNAnalysis5[[#This Row],[2nd Highest Target]])/tblPiNAnalysis5[[#This Row],[2nd Highest Target]]),"")</f>
        <v>0.34953280641487877</v>
      </c>
      <c r="AT213" s="39" t="str" cm="1">
        <f t="array" ref="AT21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13" s="332" cm="1">
        <f t="array" ref="AU21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85266.022690283688</v>
      </c>
      <c r="AV213" s="190" t="str" cm="1">
        <f t="array" ref="AV213">IF(tblPiNAnalysis5[[#This Row],[3rd Highest Target]]="", "", _xlfn.TEXTJOIN(CHAR(10), TRUE, IF(tblPiNAnalysis5[[#This Row],[3rd Highest Target]]=tblPiNAnalysis5[[#This Row],[CCCM]:[WASH]], tblPiNAnalysis5[[#Headers],[CCCM]:[WASH]], "")))</f>
        <v>Food Security</v>
      </c>
      <c r="AW213" s="190">
        <f>IFERROR(tblPiNAnalysis5[[#This Row],[3rd Highest Target]]/tblPiNAnalysis5[[#This Row],[Affected population projection 2026]], "")</f>
        <v>0.53948761808111256</v>
      </c>
      <c r="AX213" s="45">
        <f>IFERROR(tblPiNAnalysis5[[#This Row],[Highest Target]]-tblPiNAnalysis5[[#This Row],[3rd Highest Target]],"")</f>
        <v>33271.483777747737</v>
      </c>
      <c r="AY213" s="39">
        <f>IFERROR(tblPiNAnalysis5[[#This Row],[Difference of Target between Highest and 3rd Highest]]/tblPiNAnalysis5[[#This Row],[3rd Highest Target]], "")</f>
        <v>0.39020799525974748</v>
      </c>
      <c r="AZ213" s="330" t="str" cm="1">
        <f t="array" ref="AZ21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3" s="300" t="str" cm="1">
        <f t="array" ref="BA21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3" s="333" t="str" cm="1">
        <f t="array" ref="BB21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3" s="276" t="str" cm="1">
        <f t="array" ref="BC21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3" s="334" t="str" cm="1">
        <f t="array" ref="BD21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3" s="277" t="e">
        <f>INDEX(tblSeverityAnalysis[Final Severity], MATCH(tblPiNAnalysis5[[#This Row],[ID]],tblSeverityAnalysis[ID], 0))</f>
        <v>#N/A</v>
      </c>
      <c r="BF213" s="61" t="e">
        <f>IF(tblPiNAnalysis5[[#This Row],[Severity]]&gt;2,tblPiNAnalysis5[[#This Row],[Highest Target]],)</f>
        <v>#N/A</v>
      </c>
      <c r="BG213" s="191"/>
      <c r="BH213" s="192"/>
      <c r="BI213" s="193">
        <f>COUNTIFS(tblPiNAnalysis5[[#This Row],[Number of missing / zero PiNs greater than threshold - Data quality]:[Manual Flag]],"Flagged")</f>
        <v>2</v>
      </c>
      <c r="BJ213" s="96" t="str">
        <f>IF(tblPiNAnalysis5[[#This Row],['# Flags]]&gt;0, "Flagged", "")</f>
        <v>Flagged</v>
      </c>
      <c r="BK213" s="326" t="e">
        <f>tblPiNAnalysis5[[#This Row],[Preliminary Target]]</f>
        <v>#N/A</v>
      </c>
      <c r="BL213" s="331"/>
    </row>
    <row r="214" spans="1:64" ht="24.6" x14ac:dyDescent="0.55000000000000004">
      <c r="A2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4" s="316" t="s">
        <v>342</v>
      </c>
      <c r="C214" s="317" t="s">
        <v>343</v>
      </c>
      <c r="D214" s="317" t="s">
        <v>352</v>
      </c>
      <c r="E214" s="105" t="s">
        <v>353</v>
      </c>
      <c r="F214" s="100"/>
      <c r="G214" s="34"/>
      <c r="H214" s="34"/>
      <c r="I214" s="97">
        <v>25766.491604712341</v>
      </c>
      <c r="J214" s="97" t="s">
        <v>414</v>
      </c>
      <c r="K214" s="318">
        <v>0</v>
      </c>
      <c r="L214" s="319">
        <v>8874.6367541988493</v>
      </c>
      <c r="M214" s="319">
        <v>4296.6261739277361</v>
      </c>
      <c r="N214" s="319">
        <v>9521.46214068886</v>
      </c>
      <c r="O214" s="319">
        <v>10259.793865779977</v>
      </c>
      <c r="P214" s="319">
        <v>11727.119475335045</v>
      </c>
      <c r="Q214" s="320">
        <v>0</v>
      </c>
      <c r="R214" s="319">
        <v>4294.4152674520565</v>
      </c>
      <c r="S214" s="319"/>
      <c r="T214" s="319"/>
      <c r="U214" s="319"/>
      <c r="V214" s="319"/>
      <c r="W214" s="321">
        <f>IFERROR(IF(tblPiNAnalysis5[[#This Row],[CCCM]]="", "", MROUND(tblPiNAnalysis5[[#This Row],[CCCM]]/tblPiNAnalysis5[[#This Row],[Affected population projection 2026]], 0.05)), "")</f>
        <v>0</v>
      </c>
      <c r="X214" s="322">
        <f>IFERROR(IF(tblPiNAnalysis5[[#This Row],[Education]]="", "", MROUND(tblPiNAnalysis5[[#This Row],[Education]]/tblPiNAnalysis5[[#This Row],[Affected population projection 2026]], 0.05)), "")</f>
        <v>0.35000000000000003</v>
      </c>
      <c r="Y214" s="322">
        <f>IFERROR(IF(tblPiNAnalysis5[[#This Row],[Nutrition]]="", "", MROUND(tblPiNAnalysis5[[#This Row],[Nutrition]]/tblPiNAnalysis5[[#This Row],[Affected population projection 2026]], 0.05)), "")</f>
        <v>0.15000000000000002</v>
      </c>
      <c r="Z214" s="322">
        <f>IFERROR(IF(tblPiNAnalysis5[[#This Row],[Food Security]]="", "", MROUND(tblPiNAnalysis5[[#This Row],[Food Security]]/tblPiNAnalysis5[[#This Row],[Affected population projection 2026]], 0.05)), "")</f>
        <v>0.35000000000000003</v>
      </c>
      <c r="AA214" s="322">
        <f>IFERROR(IF(tblPiNAnalysis5[[#This Row],[Health]]="", "", MROUND(tblPiNAnalysis5[[#This Row],[Health]]/tblPiNAnalysis5[[#This Row],[Affected population projection 2026]], 0.05)), "")</f>
        <v>0.4</v>
      </c>
      <c r="AB214" s="323">
        <f>IFERROR(IF(tblPiNAnalysis5[[#This Row],[Overarching Protection]]="", "", MROUND(tblPiNAnalysis5[[#This Row],[Overarching Protection]]/tblPiNAnalysis5[[#This Row],[Affected population projection 2026]], 0.05)), "")</f>
        <v>0.45</v>
      </c>
      <c r="AC214" s="323">
        <f>IFERROR(IF(tblPiNAnalysis5[[#This Row],[Shelter]]="", "", MROUND(tblPiNAnalysis5[[#This Row],[Shelter]]/tblPiNAnalysis5[[#This Row],[Affected population projection 2026]], 0.05)), "")</f>
        <v>0</v>
      </c>
      <c r="AD214" s="324">
        <f>IFERROR(IF(tblPiNAnalysis5[[#This Row],[WASH]]="", "", MROUND(tblPiNAnalysis5[[#This Row],[WASH]]/tblPiNAnalysis5[[#This Row],[Affected population projection 2026]], 0.05)), "")</f>
        <v>0.15000000000000002</v>
      </c>
      <c r="AE214" s="322">
        <f>IFERROR(MROUND(tblPiNAnalysis5[[#This Row],[CP]]/tblPiNAnalysis5[[#This Row],[Affected population projection 2026]], 0.05), "")</f>
        <v>0</v>
      </c>
      <c r="AF214" s="322">
        <f>IFERROR(MROUND(tblPiNAnalysis5[[#This Row],[GBV]]/tblPiNAnalysis5[[#This Row],[Affected population projection 2026]], 0.05), "")</f>
        <v>0</v>
      </c>
      <c r="AG214" s="322">
        <f>IFERROR(MROUND(tblPiNAnalysis5[[#This Row],[Mine Action]]/tblPiNAnalysis5[[#This Row],[Affected population projection 2026]], 0.05), "")</f>
        <v>0</v>
      </c>
      <c r="AH214" s="322">
        <f>IFERROR(MROUND(tblPiNAnalysis5[[#This Row],[HLP]]/tblPiNAnalysis5[[#This Row],[Affected population projection 2026]], 0.05), "")</f>
        <v>0</v>
      </c>
      <c r="AI214" s="325">
        <f>IFERROR(LARGE(tblPiNAnalysis5[[#This Row],[CCCM]:[WASH]], 1), "")</f>
        <v>11727.119475335045</v>
      </c>
      <c r="AJ214" s="326" t="str" cm="1">
        <f t="array" ref="AJ214">IF(tblPiNAnalysis5[[#This Row],[Highest Target]]="", "", _xlfn.TEXTJOIN(CHAR(10), TRUE, IF(tblPiNAnalysis5[[#This Row],[Highest Target]]=tblPiNAnalysis5[[#This Row],[CCCM]:[WASH]], tblPiNAnalysis5[[#Headers],[CCCM]:[WASH]], "")))</f>
        <v>Overarching Protection</v>
      </c>
      <c r="AK214" s="327">
        <f>IF(tblPiNAnalysis5[[#This Row],[Highest Target]]="", "", tblPiNAnalysis5[[#This Row],[Highest Target]]/tblPiNAnalysis5[[#This Row],[Affected population projection 2026]])</f>
        <v>0.45513062683280925</v>
      </c>
      <c r="AL214" s="328" t="str">
        <f>IF(SUM(tblPiNAnalysis5[[#This Row],[CCCM]:[WASH]])=0, "",IF(COUNTIF(tblPiNAnalysis5[[#This Row],[CCCM]:[WASH]],"=0")+COUNTIF(tblPiNAnalysis5[[#This Row],[CCCM]:[WASH]],"")&gt;=zero_pin_thresh, "Flagged", ""))</f>
        <v>Flagged</v>
      </c>
      <c r="AM214" s="329" t="str">
        <f>IFERROR(IF(tblPiNAnalysis5[[#This Row],[Highest Target]]="", "", IF(tblPiNAnalysis5[[#This Row],[Highest sector(s'') Target %]]&gt;=flag_pin_perc, "Flagged", "")), "")</f>
        <v/>
      </c>
      <c r="AN214" s="330" t="str" cm="1">
        <f t="array" ref="AN214">IF(tblPiNAnalysis5[[#This Row],[Highest Target]]=0, "",  IF(OR(COUNTIF(tblPiNAnalysis5[[#This Row],[Highest sector(s)]],tblSubSectorPopulation[Sector])), "Flagged", ""))</f>
        <v/>
      </c>
      <c r="AO214" s="46" cm="1">
        <f t="array" ref="AO21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10259.793865779977</v>
      </c>
      <c r="AP214" s="331" t="str" cm="1">
        <f t="array" ref="AP214">IF(tblPiNAnalysis5[[#This Row],[2nd Highest Target]]="", "", _xlfn.TEXTJOIN(CHAR(10), TRUE, IF(tblPiNAnalysis5[[#This Row],[2nd Highest Target]]=tblPiNAnalysis5[[#This Row],[CCCM]:[WASH]], tblPiNAnalysis5[[#Headers],[CCCM]:[WASH]], "")))</f>
        <v>Health</v>
      </c>
      <c r="AQ214" s="36">
        <f>IFERROR(tblPiNAnalysis5[[#This Row],[2nd Highest Target]]/tblPiNAnalysis5[[#This Row],[Affected population projection 2026]], "")</f>
        <v>0.39818357978948132</v>
      </c>
      <c r="AR214" s="46">
        <f>IFERROR(tblPiNAnalysis5[[#This Row],[Highest Target]]-tblPiNAnalysis5[[#This Row],[2nd Highest Target]], "")</f>
        <v>1467.3256095550678</v>
      </c>
      <c r="AS214" s="39">
        <f>IFERROR(((tblPiNAnalysis5[[#This Row],[Highest Target]]-tblPiNAnalysis5[[#This Row],[2nd Highest Target]])/tblPiNAnalysis5[[#This Row],[2nd Highest Target]]),"")</f>
        <v>0.14301706532809738</v>
      </c>
      <c r="AT214" s="39" t="str" cm="1">
        <f t="array" ref="AT21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4" s="332" cm="1">
        <f t="array" ref="AU21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9521.46214068886</v>
      </c>
      <c r="AV214" s="190" t="str" cm="1">
        <f t="array" ref="AV214">IF(tblPiNAnalysis5[[#This Row],[3rd Highest Target]]="", "", _xlfn.TEXTJOIN(CHAR(10), TRUE, IF(tblPiNAnalysis5[[#This Row],[3rd Highest Target]]=tblPiNAnalysis5[[#This Row],[CCCM]:[WASH]], tblPiNAnalysis5[[#Headers],[CCCM]:[WASH]], "")))</f>
        <v>Food Security</v>
      </c>
      <c r="AW214" s="190">
        <f>IFERROR(tblPiNAnalysis5[[#This Row],[3rd Highest Target]]/tblPiNAnalysis5[[#This Row],[Affected population projection 2026]], "")</f>
        <v>0.36952885502454336</v>
      </c>
      <c r="AX214" s="45">
        <f>IFERROR(tblPiNAnalysis5[[#This Row],[Highest Target]]-tblPiNAnalysis5[[#This Row],[3rd Highest Target]],"")</f>
        <v>2205.6573346461846</v>
      </c>
      <c r="AY214" s="39">
        <f>IFERROR(tblPiNAnalysis5[[#This Row],[Difference of Target between Highest and 3rd Highest]]/tblPiNAnalysis5[[#This Row],[3rd Highest Target]], "")</f>
        <v>0.23165111639950389</v>
      </c>
      <c r="AZ214" s="330" t="str" cm="1">
        <f t="array" ref="AZ21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4" s="300" t="str" cm="1">
        <f t="array" ref="BA21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4" s="333" t="str" cm="1">
        <f t="array" ref="BB21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4" s="276" t="str" cm="1">
        <f t="array" ref="BC21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4" s="334" t="str" cm="1">
        <f t="array" ref="BD21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4" s="277" t="e">
        <f>INDEX(tblSeverityAnalysis[Final Severity], MATCH(tblPiNAnalysis5[[#This Row],[ID]],tblSeverityAnalysis[ID], 0))</f>
        <v>#N/A</v>
      </c>
      <c r="BF214" s="61" t="e">
        <f>IF(tblPiNAnalysis5[[#This Row],[Severity]]&gt;2,tblPiNAnalysis5[[#This Row],[Highest Target]],)</f>
        <v>#N/A</v>
      </c>
      <c r="BG214" s="191"/>
      <c r="BH214" s="192"/>
      <c r="BI214" s="193">
        <f>COUNTIFS(tblPiNAnalysis5[[#This Row],[Number of missing / zero PiNs greater than threshold - Data quality]:[Manual Flag]],"Flagged")</f>
        <v>2</v>
      </c>
      <c r="BJ214" s="96" t="str">
        <f>IF(tblPiNAnalysis5[[#This Row],['# Flags]]&gt;0, "Flagged", "")</f>
        <v>Flagged</v>
      </c>
      <c r="BK214" s="326" t="e">
        <f>tblPiNAnalysis5[[#This Row],[Preliminary Target]]</f>
        <v>#N/A</v>
      </c>
      <c r="BL214" s="331"/>
    </row>
    <row r="215" spans="1:64" ht="110.7" x14ac:dyDescent="0.55000000000000004">
      <c r="A2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5" s="316" t="s">
        <v>342</v>
      </c>
      <c r="C215" s="317" t="s">
        <v>343</v>
      </c>
      <c r="D215" s="317" t="s">
        <v>354</v>
      </c>
      <c r="E215" s="105" t="s">
        <v>355</v>
      </c>
      <c r="F215" s="100"/>
      <c r="G215" s="34"/>
      <c r="H215" s="34"/>
      <c r="I215" s="97">
        <v>43189.075569026623</v>
      </c>
      <c r="J215" s="97" t="s">
        <v>414</v>
      </c>
      <c r="K215" s="318">
        <v>0</v>
      </c>
      <c r="L215" s="319">
        <v>0</v>
      </c>
      <c r="M215" s="319">
        <v>0</v>
      </c>
      <c r="N215" s="319">
        <v>0</v>
      </c>
      <c r="O215" s="319">
        <v>0</v>
      </c>
      <c r="P215" s="319">
        <v>0</v>
      </c>
      <c r="Q215" s="320">
        <v>0</v>
      </c>
      <c r="R215" s="319">
        <v>0</v>
      </c>
      <c r="S215" s="319"/>
      <c r="T215" s="319"/>
      <c r="U215" s="319"/>
      <c r="V215" s="319"/>
      <c r="W215" s="321">
        <f>IFERROR(IF(tblPiNAnalysis5[[#This Row],[CCCM]]="", "", MROUND(tblPiNAnalysis5[[#This Row],[CCCM]]/tblPiNAnalysis5[[#This Row],[Affected population projection 2026]], 0.05)), "")</f>
        <v>0</v>
      </c>
      <c r="X215" s="322">
        <f>IFERROR(IF(tblPiNAnalysis5[[#This Row],[Education]]="", "", MROUND(tblPiNAnalysis5[[#This Row],[Education]]/tblPiNAnalysis5[[#This Row],[Affected population projection 2026]], 0.05)), "")</f>
        <v>0</v>
      </c>
      <c r="Y215" s="322">
        <f>IFERROR(IF(tblPiNAnalysis5[[#This Row],[Nutrition]]="", "", MROUND(tblPiNAnalysis5[[#This Row],[Nutrition]]/tblPiNAnalysis5[[#This Row],[Affected population projection 2026]], 0.05)), "")</f>
        <v>0</v>
      </c>
      <c r="Z215" s="322">
        <f>IFERROR(IF(tblPiNAnalysis5[[#This Row],[Food Security]]="", "", MROUND(tblPiNAnalysis5[[#This Row],[Food Security]]/tblPiNAnalysis5[[#This Row],[Affected population projection 2026]], 0.05)), "")</f>
        <v>0</v>
      </c>
      <c r="AA215" s="322">
        <f>IFERROR(IF(tblPiNAnalysis5[[#This Row],[Health]]="", "", MROUND(tblPiNAnalysis5[[#This Row],[Health]]/tblPiNAnalysis5[[#This Row],[Affected population projection 2026]], 0.05)), "")</f>
        <v>0</v>
      </c>
      <c r="AB215" s="323">
        <f>IFERROR(IF(tblPiNAnalysis5[[#This Row],[Overarching Protection]]="", "", MROUND(tblPiNAnalysis5[[#This Row],[Overarching Protection]]/tblPiNAnalysis5[[#This Row],[Affected population projection 2026]], 0.05)), "")</f>
        <v>0</v>
      </c>
      <c r="AC215" s="323">
        <f>IFERROR(IF(tblPiNAnalysis5[[#This Row],[Shelter]]="", "", MROUND(tblPiNAnalysis5[[#This Row],[Shelter]]/tblPiNAnalysis5[[#This Row],[Affected population projection 2026]], 0.05)), "")</f>
        <v>0</v>
      </c>
      <c r="AD215" s="324">
        <f>IFERROR(IF(tblPiNAnalysis5[[#This Row],[WASH]]="", "", MROUND(tblPiNAnalysis5[[#This Row],[WASH]]/tblPiNAnalysis5[[#This Row],[Affected population projection 2026]], 0.05)), "")</f>
        <v>0</v>
      </c>
      <c r="AE215" s="322">
        <f>IFERROR(MROUND(tblPiNAnalysis5[[#This Row],[CP]]/tblPiNAnalysis5[[#This Row],[Affected population projection 2026]], 0.05), "")</f>
        <v>0</v>
      </c>
      <c r="AF215" s="322">
        <f>IFERROR(MROUND(tblPiNAnalysis5[[#This Row],[GBV]]/tblPiNAnalysis5[[#This Row],[Affected population projection 2026]], 0.05), "")</f>
        <v>0</v>
      </c>
      <c r="AG215" s="322">
        <f>IFERROR(MROUND(tblPiNAnalysis5[[#This Row],[Mine Action]]/tblPiNAnalysis5[[#This Row],[Affected population projection 2026]], 0.05), "")</f>
        <v>0</v>
      </c>
      <c r="AH215" s="322">
        <f>IFERROR(MROUND(tblPiNAnalysis5[[#This Row],[HLP]]/tblPiNAnalysis5[[#This Row],[Affected population projection 2026]], 0.05), "")</f>
        <v>0</v>
      </c>
      <c r="AI215" s="325">
        <f>IFERROR(LARGE(tblPiNAnalysis5[[#This Row],[CCCM]:[WASH]], 1), "")</f>
        <v>0</v>
      </c>
      <c r="AJ215" s="326" t="str" cm="1">
        <f t="array" ref="AJ215">IF(tblPiNAnalysis5[[#This Row],[Highest Target]]="", "", _xlfn.TEXTJOIN(CHAR(10), TRUE, IF(tblPiNAnalysis5[[#This Row],[Highest Target]]=tblPiNAnalysis5[[#This Row],[CCCM]:[WASH]], tblPiNAnalysis5[[#Headers],[CCCM]:[WASH]], "")))</f>
        <v>CCCM
Education
Nutrition
Food Security
Health
Overarching Protection
Shelter
WASH</v>
      </c>
      <c r="AK215" s="327">
        <f>IF(tblPiNAnalysis5[[#This Row],[Highest Target]]="", "", tblPiNAnalysis5[[#This Row],[Highest Target]]/tblPiNAnalysis5[[#This Row],[Affected population projection 2026]])</f>
        <v>0</v>
      </c>
      <c r="AL215" s="328" t="str">
        <f>IF(SUM(tblPiNAnalysis5[[#This Row],[CCCM]:[WASH]])=0, "",IF(COUNTIF(tblPiNAnalysis5[[#This Row],[CCCM]:[WASH]],"=0")+COUNTIF(tblPiNAnalysis5[[#This Row],[CCCM]:[WASH]],"")&gt;=zero_pin_thresh, "Flagged", ""))</f>
        <v/>
      </c>
      <c r="AM215" s="329" t="str">
        <f>IFERROR(IF(tblPiNAnalysis5[[#This Row],[Highest Target]]="", "", IF(tblPiNAnalysis5[[#This Row],[Highest sector(s'') Target %]]&gt;=flag_pin_perc, "Flagged", "")), "")</f>
        <v/>
      </c>
      <c r="AN215" s="330" t="str" cm="1">
        <f t="array" ref="AN215">IF(tblPiNAnalysis5[[#This Row],[Highest Target]]=0, "",  IF(OR(COUNTIF(tblPiNAnalysis5[[#This Row],[Highest sector(s)]],tblSubSectorPopulation[Sector])), "Flagged", ""))</f>
        <v/>
      </c>
      <c r="AO215" s="46" cm="1">
        <f t="array" ref="AO21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15" s="331" t="str" cm="1">
        <f t="array" ref="AP215">IF(tblPiNAnalysis5[[#This Row],[2nd Highest Target]]="", "", _xlfn.TEXTJOIN(CHAR(10), TRUE, IF(tblPiNAnalysis5[[#This Row],[2nd Highest Target]]=tblPiNAnalysis5[[#This Row],[CCCM]:[WASH]], tblPiNAnalysis5[[#Headers],[CCCM]:[WASH]], "")))</f>
        <v>CCCM
Education
Nutrition
Food Security
Health
Overarching Protection
Shelter
WASH</v>
      </c>
      <c r="AQ215" s="36">
        <f>IFERROR(tblPiNAnalysis5[[#This Row],[2nd Highest Target]]/tblPiNAnalysis5[[#This Row],[Affected population projection 2026]], "")</f>
        <v>0</v>
      </c>
      <c r="AR215" s="46">
        <f>IFERROR(tblPiNAnalysis5[[#This Row],[Highest Target]]-tblPiNAnalysis5[[#This Row],[2nd Highest Target]], "")</f>
        <v>0</v>
      </c>
      <c r="AS215" s="39" t="str">
        <f>IFERROR(((tblPiNAnalysis5[[#This Row],[Highest Target]]-tblPiNAnalysis5[[#This Row],[2nd Highest Target]])/tblPiNAnalysis5[[#This Row],[2nd Highest Target]]),"")</f>
        <v/>
      </c>
      <c r="AT215" s="39" t="str" cm="1">
        <f t="array" ref="AT21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5" s="332" cm="1">
        <f t="array" ref="AU21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15" s="190" t="str" cm="1">
        <f t="array" ref="AV215">IF(tblPiNAnalysis5[[#This Row],[3rd Highest Target]]="", "", _xlfn.TEXTJOIN(CHAR(10), TRUE, IF(tblPiNAnalysis5[[#This Row],[3rd Highest Target]]=tblPiNAnalysis5[[#This Row],[CCCM]:[WASH]], tblPiNAnalysis5[[#Headers],[CCCM]:[WASH]], "")))</f>
        <v>CCCM
Education
Nutrition
Food Security
Health
Overarching Protection
Shelter
WASH</v>
      </c>
      <c r="AW215" s="190">
        <f>IFERROR(tblPiNAnalysis5[[#This Row],[3rd Highest Target]]/tblPiNAnalysis5[[#This Row],[Affected population projection 2026]], "")</f>
        <v>0</v>
      </c>
      <c r="AX215" s="45">
        <f>IFERROR(tblPiNAnalysis5[[#This Row],[Highest Target]]-tblPiNAnalysis5[[#This Row],[3rd Highest Target]],"")</f>
        <v>0</v>
      </c>
      <c r="AY215" s="39" t="str">
        <f>IFERROR(tblPiNAnalysis5[[#This Row],[Difference of Target between Highest and 3rd Highest]]/tblPiNAnalysis5[[#This Row],[3rd Highest Target]], "")</f>
        <v/>
      </c>
      <c r="AZ215" s="330" t="str" cm="1">
        <f t="array" ref="AZ21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5" s="300" t="str" cm="1">
        <f t="array" ref="BA21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5" s="333" t="str" cm="1">
        <f t="array" ref="BB21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15" s="276" t="str" cm="1">
        <f t="array" ref="BC21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5" s="334" t="str" cm="1">
        <f t="array" ref="BD21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5" s="277" t="e">
        <f>INDEX(tblSeverityAnalysis[Final Severity], MATCH(tblPiNAnalysis5[[#This Row],[ID]],tblSeverityAnalysis[ID], 0))</f>
        <v>#N/A</v>
      </c>
      <c r="BF215" s="61" t="e">
        <f>IF(tblPiNAnalysis5[[#This Row],[Severity]]&gt;2,tblPiNAnalysis5[[#This Row],[Highest Target]],)</f>
        <v>#N/A</v>
      </c>
      <c r="BG215" s="191"/>
      <c r="BH215" s="192"/>
      <c r="BI215" s="193">
        <f>COUNTIFS(tblPiNAnalysis5[[#This Row],[Number of missing / zero PiNs greater than threshold - Data quality]:[Manual Flag]],"Flagged")</f>
        <v>2</v>
      </c>
      <c r="BJ215" s="96" t="str">
        <f>IF(tblPiNAnalysis5[[#This Row],['# Flags]]&gt;0, "Flagged", "")</f>
        <v>Flagged</v>
      </c>
      <c r="BK215" s="326" t="e">
        <f>tblPiNAnalysis5[[#This Row],[Preliminary Target]]</f>
        <v>#N/A</v>
      </c>
      <c r="BL215" s="331"/>
    </row>
    <row r="216" spans="1:64" x14ac:dyDescent="0.55000000000000004">
      <c r="A2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6" s="316" t="s">
        <v>342</v>
      </c>
      <c r="C216" s="317" t="s">
        <v>343</v>
      </c>
      <c r="D216" s="317" t="s">
        <v>356</v>
      </c>
      <c r="E216" s="105" t="s">
        <v>357</v>
      </c>
      <c r="F216" s="100"/>
      <c r="G216" s="34"/>
      <c r="H216" s="34"/>
      <c r="I216" s="97">
        <v>12690.76710511266</v>
      </c>
      <c r="J216" s="97" t="s">
        <v>414</v>
      </c>
      <c r="K216" s="318">
        <v>9357</v>
      </c>
      <c r="L216" s="319">
        <v>355.58514167157261</v>
      </c>
      <c r="M216" s="319">
        <v>2632.8893740184176</v>
      </c>
      <c r="N216" s="319">
        <v>5810.9299799468654</v>
      </c>
      <c r="O216" s="319">
        <v>7717.6077569269</v>
      </c>
      <c r="P216" s="319">
        <v>4126.5776425319546</v>
      </c>
      <c r="Q216" s="320">
        <v>5660.2090365512977</v>
      </c>
      <c r="R216" s="319">
        <v>7931.0856837405618</v>
      </c>
      <c r="S216" s="319"/>
      <c r="T216" s="319"/>
      <c r="U216" s="319"/>
      <c r="V216" s="319"/>
      <c r="W216" s="321">
        <f>IFERROR(IF(tblPiNAnalysis5[[#This Row],[CCCM]]="", "", MROUND(tblPiNAnalysis5[[#This Row],[CCCM]]/tblPiNAnalysis5[[#This Row],[Affected population projection 2026]], 0.05)), "")</f>
        <v>0.75</v>
      </c>
      <c r="X216" s="322">
        <f>IFERROR(IF(tblPiNAnalysis5[[#This Row],[Education]]="", "", MROUND(tblPiNAnalysis5[[#This Row],[Education]]/tblPiNAnalysis5[[#This Row],[Affected population projection 2026]], 0.05)), "")</f>
        <v>0.05</v>
      </c>
      <c r="Y216" s="322">
        <f>IFERROR(IF(tblPiNAnalysis5[[#This Row],[Nutrition]]="", "", MROUND(tblPiNAnalysis5[[#This Row],[Nutrition]]/tblPiNAnalysis5[[#This Row],[Affected population projection 2026]], 0.05)), "")</f>
        <v>0.2</v>
      </c>
      <c r="Z216" s="322">
        <f>IFERROR(IF(tblPiNAnalysis5[[#This Row],[Food Security]]="", "", MROUND(tblPiNAnalysis5[[#This Row],[Food Security]]/tblPiNAnalysis5[[#This Row],[Affected population projection 2026]], 0.05)), "")</f>
        <v>0.45</v>
      </c>
      <c r="AA216" s="322">
        <f>IFERROR(IF(tblPiNAnalysis5[[#This Row],[Health]]="", "", MROUND(tblPiNAnalysis5[[#This Row],[Health]]/tblPiNAnalysis5[[#This Row],[Affected population projection 2026]], 0.05)), "")</f>
        <v>0.60000000000000009</v>
      </c>
      <c r="AB216" s="323">
        <f>IFERROR(IF(tblPiNAnalysis5[[#This Row],[Overarching Protection]]="", "", MROUND(tblPiNAnalysis5[[#This Row],[Overarching Protection]]/tblPiNAnalysis5[[#This Row],[Affected population projection 2026]], 0.05)), "")</f>
        <v>0.35000000000000003</v>
      </c>
      <c r="AC216" s="323">
        <f>IFERROR(IF(tblPiNAnalysis5[[#This Row],[Shelter]]="", "", MROUND(tblPiNAnalysis5[[#This Row],[Shelter]]/tblPiNAnalysis5[[#This Row],[Affected population projection 2026]], 0.05)), "")</f>
        <v>0.45</v>
      </c>
      <c r="AD216" s="324">
        <f>IFERROR(IF(tblPiNAnalysis5[[#This Row],[WASH]]="", "", MROUND(tblPiNAnalysis5[[#This Row],[WASH]]/tblPiNAnalysis5[[#This Row],[Affected population projection 2026]], 0.05)), "")</f>
        <v>0.60000000000000009</v>
      </c>
      <c r="AE216" s="322">
        <f>IFERROR(MROUND(tblPiNAnalysis5[[#This Row],[CP]]/tblPiNAnalysis5[[#This Row],[Affected population projection 2026]], 0.05), "")</f>
        <v>0</v>
      </c>
      <c r="AF216" s="322">
        <f>IFERROR(MROUND(tblPiNAnalysis5[[#This Row],[GBV]]/tblPiNAnalysis5[[#This Row],[Affected population projection 2026]], 0.05), "")</f>
        <v>0</v>
      </c>
      <c r="AG216" s="322">
        <f>IFERROR(MROUND(tblPiNAnalysis5[[#This Row],[Mine Action]]/tblPiNAnalysis5[[#This Row],[Affected population projection 2026]], 0.05), "")</f>
        <v>0</v>
      </c>
      <c r="AH216" s="322">
        <f>IFERROR(MROUND(tblPiNAnalysis5[[#This Row],[HLP]]/tblPiNAnalysis5[[#This Row],[Affected population projection 2026]], 0.05), "")</f>
        <v>0</v>
      </c>
      <c r="AI216" s="325">
        <f>IFERROR(LARGE(tblPiNAnalysis5[[#This Row],[CCCM]:[WASH]], 1), "")</f>
        <v>9357</v>
      </c>
      <c r="AJ216" s="326" t="str" cm="1">
        <f t="array" ref="AJ216">IF(tblPiNAnalysis5[[#This Row],[Highest Target]]="", "", _xlfn.TEXTJOIN(CHAR(10), TRUE, IF(tblPiNAnalysis5[[#This Row],[Highest Target]]=tblPiNAnalysis5[[#This Row],[CCCM]:[WASH]], tblPiNAnalysis5[[#Headers],[CCCM]:[WASH]], "")))</f>
        <v>CCCM</v>
      </c>
      <c r="AK216" s="327">
        <f>IF(tblPiNAnalysis5[[#This Row],[Highest Target]]="", "", tblPiNAnalysis5[[#This Row],[Highest Target]]/tblPiNAnalysis5[[#This Row],[Affected population projection 2026]])</f>
        <v>0.73730767592688673</v>
      </c>
      <c r="AL216" s="328" t="str">
        <f>IF(SUM(tblPiNAnalysis5[[#This Row],[CCCM]:[WASH]])=0, "",IF(COUNTIF(tblPiNAnalysis5[[#This Row],[CCCM]:[WASH]],"=0")+COUNTIF(tblPiNAnalysis5[[#This Row],[CCCM]:[WASH]],"")&gt;=zero_pin_thresh, "Flagged", ""))</f>
        <v/>
      </c>
      <c r="AM216" s="329" t="str">
        <f>IFERROR(IF(tblPiNAnalysis5[[#This Row],[Highest Target]]="", "", IF(tblPiNAnalysis5[[#This Row],[Highest sector(s'') Target %]]&gt;=flag_pin_perc, "Flagged", "")), "")</f>
        <v/>
      </c>
      <c r="AN216" s="330" t="str" cm="1">
        <f t="array" ref="AN216">IF(tblPiNAnalysis5[[#This Row],[Highest Target]]=0, "",  IF(OR(COUNTIF(tblPiNAnalysis5[[#This Row],[Highest sector(s)]],tblSubSectorPopulation[Sector])), "Flagged", ""))</f>
        <v/>
      </c>
      <c r="AO216" s="46" cm="1">
        <f t="array" ref="AO21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7931.0856837405618</v>
      </c>
      <c r="AP216" s="331" t="str" cm="1">
        <f t="array" ref="AP216">IF(tblPiNAnalysis5[[#This Row],[2nd Highest Target]]="", "", _xlfn.TEXTJOIN(CHAR(10), TRUE, IF(tblPiNAnalysis5[[#This Row],[2nd Highest Target]]=tblPiNAnalysis5[[#This Row],[CCCM]:[WASH]], tblPiNAnalysis5[[#Headers],[CCCM]:[WASH]], "")))</f>
        <v>WASH</v>
      </c>
      <c r="AQ216" s="36">
        <f>IFERROR(tblPiNAnalysis5[[#This Row],[2nd Highest Target]]/tblPiNAnalysis5[[#This Row],[Affected population projection 2026]], "")</f>
        <v>0.62494927359792207</v>
      </c>
      <c r="AR216" s="46">
        <f>IFERROR(tblPiNAnalysis5[[#This Row],[Highest Target]]-tblPiNAnalysis5[[#This Row],[2nd Highest Target]], "")</f>
        <v>1425.9143162594382</v>
      </c>
      <c r="AS216" s="39">
        <f>IFERROR(((tblPiNAnalysis5[[#This Row],[Highest Target]]-tblPiNAnalysis5[[#This Row],[2nd Highest Target]])/tblPiNAnalysis5[[#This Row],[2nd Highest Target]]),"")</f>
        <v>0.17978803572664595</v>
      </c>
      <c r="AT216" s="39" t="str" cm="1">
        <f t="array" ref="AT21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6" s="332" cm="1">
        <f t="array" ref="AU21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7717.6077569269</v>
      </c>
      <c r="AV216" s="190" t="str" cm="1">
        <f t="array" ref="AV216">IF(tblPiNAnalysis5[[#This Row],[3rd Highest Target]]="", "", _xlfn.TEXTJOIN(CHAR(10), TRUE, IF(tblPiNAnalysis5[[#This Row],[3rd Highest Target]]=tblPiNAnalysis5[[#This Row],[CCCM]:[WASH]], tblPiNAnalysis5[[#Headers],[CCCM]:[WASH]], "")))</f>
        <v>Health</v>
      </c>
      <c r="AW216" s="190">
        <f>IFERROR(tblPiNAnalysis5[[#This Row],[3rd Highest Target]]/tblPiNAnalysis5[[#This Row],[Affected population projection 2026]], "")</f>
        <v>0.60812775878754799</v>
      </c>
      <c r="AX216" s="45">
        <f>IFERROR(tblPiNAnalysis5[[#This Row],[Highest Target]]-tblPiNAnalysis5[[#This Row],[3rd Highest Target]],"")</f>
        <v>1639.3922430731</v>
      </c>
      <c r="AY216" s="39">
        <f>IFERROR(tblPiNAnalysis5[[#This Row],[Difference of Target between Highest and 3rd Highest]]/tblPiNAnalysis5[[#This Row],[3rd Highest Target]], "")</f>
        <v>0.21242233276259365</v>
      </c>
      <c r="AZ216" s="330" t="str" cm="1">
        <f t="array" ref="AZ21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6" s="300" t="str" cm="1">
        <f t="array" ref="BA21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6" s="333" t="str" cm="1">
        <f t="array" ref="BB21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6" s="276" t="str" cm="1">
        <f t="array" ref="BC21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6" s="334" t="str" cm="1">
        <f t="array" ref="BD21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16" s="277" t="e">
        <f>INDEX(tblSeverityAnalysis[Final Severity], MATCH(tblPiNAnalysis5[[#This Row],[ID]],tblSeverityAnalysis[ID], 0))</f>
        <v>#N/A</v>
      </c>
      <c r="BF216" s="61" t="e">
        <f>IF(tblPiNAnalysis5[[#This Row],[Severity]]&gt;2,tblPiNAnalysis5[[#This Row],[Highest Target]],)</f>
        <v>#N/A</v>
      </c>
      <c r="BG216" s="191"/>
      <c r="BH216" s="192"/>
      <c r="BI216" s="193">
        <f>COUNTIFS(tblPiNAnalysis5[[#This Row],[Number of missing / zero PiNs greater than threshold - Data quality]:[Manual Flag]],"Flagged")</f>
        <v>0</v>
      </c>
      <c r="BJ216" s="96" t="str">
        <f>IF(tblPiNAnalysis5[[#This Row],['# Flags]]&gt;0, "Flagged", "")</f>
        <v/>
      </c>
      <c r="BK216" s="326" t="e">
        <f>tblPiNAnalysis5[[#This Row],[Preliminary Target]]</f>
        <v>#N/A</v>
      </c>
      <c r="BL216" s="331"/>
    </row>
    <row r="217" spans="1:64" x14ac:dyDescent="0.55000000000000004">
      <c r="A2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7" s="316" t="s">
        <v>342</v>
      </c>
      <c r="C217" s="317" t="s">
        <v>343</v>
      </c>
      <c r="D217" s="317" t="s">
        <v>358</v>
      </c>
      <c r="E217" s="105" t="s">
        <v>359</v>
      </c>
      <c r="F217" s="100"/>
      <c r="G217" s="34"/>
      <c r="H217" s="34"/>
      <c r="I217" s="97">
        <v>24576.329269129605</v>
      </c>
      <c r="J217" s="97" t="s">
        <v>414</v>
      </c>
      <c r="K217" s="318">
        <v>0</v>
      </c>
      <c r="L217" s="319">
        <v>660.90664670543333</v>
      </c>
      <c r="M217" s="319">
        <v>5329.8340296166089</v>
      </c>
      <c r="N217" s="319">
        <v>4666.6608498102905</v>
      </c>
      <c r="O217" s="319">
        <v>4242.4747149122877</v>
      </c>
      <c r="P217" s="319">
        <v>2856.2082564528882</v>
      </c>
      <c r="Q217" s="320">
        <v>2791.1679592522619</v>
      </c>
      <c r="R217" s="319">
        <v>8148.9157620335</v>
      </c>
      <c r="S217" s="319"/>
      <c r="T217" s="319"/>
      <c r="U217" s="319"/>
      <c r="V217" s="319"/>
      <c r="W217" s="321">
        <f>IFERROR(IF(tblPiNAnalysis5[[#This Row],[CCCM]]="", "", MROUND(tblPiNAnalysis5[[#This Row],[CCCM]]/tblPiNAnalysis5[[#This Row],[Affected population projection 2026]], 0.05)), "")</f>
        <v>0</v>
      </c>
      <c r="X217" s="322">
        <f>IFERROR(IF(tblPiNAnalysis5[[#This Row],[Education]]="", "", MROUND(tblPiNAnalysis5[[#This Row],[Education]]/tblPiNAnalysis5[[#This Row],[Affected population projection 2026]], 0.05)), "")</f>
        <v>0.05</v>
      </c>
      <c r="Y217" s="322">
        <f>IFERROR(IF(tblPiNAnalysis5[[#This Row],[Nutrition]]="", "", MROUND(tblPiNAnalysis5[[#This Row],[Nutrition]]/tblPiNAnalysis5[[#This Row],[Affected population projection 2026]], 0.05)), "")</f>
        <v>0.2</v>
      </c>
      <c r="Z217" s="322">
        <f>IFERROR(IF(tblPiNAnalysis5[[#This Row],[Food Security]]="", "", MROUND(tblPiNAnalysis5[[#This Row],[Food Security]]/tblPiNAnalysis5[[#This Row],[Affected population projection 2026]], 0.05)), "")</f>
        <v>0.2</v>
      </c>
      <c r="AA217" s="322">
        <f>IFERROR(IF(tblPiNAnalysis5[[#This Row],[Health]]="", "", MROUND(tblPiNAnalysis5[[#This Row],[Health]]/tblPiNAnalysis5[[#This Row],[Affected population projection 2026]], 0.05)), "")</f>
        <v>0.15000000000000002</v>
      </c>
      <c r="AB217" s="323">
        <f>IFERROR(IF(tblPiNAnalysis5[[#This Row],[Overarching Protection]]="", "", MROUND(tblPiNAnalysis5[[#This Row],[Overarching Protection]]/tblPiNAnalysis5[[#This Row],[Affected population projection 2026]], 0.05)), "")</f>
        <v>0.1</v>
      </c>
      <c r="AC217" s="323">
        <f>IFERROR(IF(tblPiNAnalysis5[[#This Row],[Shelter]]="", "", MROUND(tblPiNAnalysis5[[#This Row],[Shelter]]/tblPiNAnalysis5[[#This Row],[Affected population projection 2026]], 0.05)), "")</f>
        <v>0.1</v>
      </c>
      <c r="AD217" s="324">
        <f>IFERROR(IF(tblPiNAnalysis5[[#This Row],[WASH]]="", "", MROUND(tblPiNAnalysis5[[#This Row],[WASH]]/tblPiNAnalysis5[[#This Row],[Affected population projection 2026]], 0.05)), "")</f>
        <v>0.35000000000000003</v>
      </c>
      <c r="AE217" s="322">
        <f>IFERROR(MROUND(tblPiNAnalysis5[[#This Row],[CP]]/tblPiNAnalysis5[[#This Row],[Affected population projection 2026]], 0.05), "")</f>
        <v>0</v>
      </c>
      <c r="AF217" s="322">
        <f>IFERROR(MROUND(tblPiNAnalysis5[[#This Row],[GBV]]/tblPiNAnalysis5[[#This Row],[Affected population projection 2026]], 0.05), "")</f>
        <v>0</v>
      </c>
      <c r="AG217" s="322">
        <f>IFERROR(MROUND(tblPiNAnalysis5[[#This Row],[Mine Action]]/tblPiNAnalysis5[[#This Row],[Affected population projection 2026]], 0.05), "")</f>
        <v>0</v>
      </c>
      <c r="AH217" s="322">
        <f>IFERROR(MROUND(tblPiNAnalysis5[[#This Row],[HLP]]/tblPiNAnalysis5[[#This Row],[Affected population projection 2026]], 0.05), "")</f>
        <v>0</v>
      </c>
      <c r="AI217" s="325">
        <f>IFERROR(LARGE(tblPiNAnalysis5[[#This Row],[CCCM]:[WASH]], 1), "")</f>
        <v>8148.9157620335</v>
      </c>
      <c r="AJ217" s="326" t="str" cm="1">
        <f t="array" ref="AJ217">IF(tblPiNAnalysis5[[#This Row],[Highest Target]]="", "", _xlfn.TEXTJOIN(CHAR(10), TRUE, IF(tblPiNAnalysis5[[#This Row],[Highest Target]]=tblPiNAnalysis5[[#This Row],[CCCM]:[WASH]], tblPiNAnalysis5[[#Headers],[CCCM]:[WASH]], "")))</f>
        <v>WASH</v>
      </c>
      <c r="AK217" s="327">
        <f>IF(tblPiNAnalysis5[[#This Row],[Highest Target]]="", "", tblPiNAnalysis5[[#This Row],[Highest Target]]/tblPiNAnalysis5[[#This Row],[Affected population projection 2026]])</f>
        <v>0.33157578875171467</v>
      </c>
      <c r="AL217" s="328" t="str">
        <f>IF(SUM(tblPiNAnalysis5[[#This Row],[CCCM]:[WASH]])=0, "",IF(COUNTIF(tblPiNAnalysis5[[#This Row],[CCCM]:[WASH]],"=0")+COUNTIF(tblPiNAnalysis5[[#This Row],[CCCM]:[WASH]],"")&gt;=zero_pin_thresh, "Flagged", ""))</f>
        <v/>
      </c>
      <c r="AM217" s="329" t="str">
        <f>IFERROR(IF(tblPiNAnalysis5[[#This Row],[Highest Target]]="", "", IF(tblPiNAnalysis5[[#This Row],[Highest sector(s'') Target %]]&gt;=flag_pin_perc, "Flagged", "")), "")</f>
        <v/>
      </c>
      <c r="AN217" s="330" t="str" cm="1">
        <f t="array" ref="AN217">IF(tblPiNAnalysis5[[#This Row],[Highest Target]]=0, "",  IF(OR(COUNTIF(tblPiNAnalysis5[[#This Row],[Highest sector(s)]],tblSubSectorPopulation[Sector])), "Flagged", ""))</f>
        <v/>
      </c>
      <c r="AO217" s="46" cm="1">
        <f t="array" ref="AO21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5329.8340296166089</v>
      </c>
      <c r="AP217" s="331" t="str" cm="1">
        <f t="array" ref="AP217">IF(tblPiNAnalysis5[[#This Row],[2nd Highest Target]]="", "", _xlfn.TEXTJOIN(CHAR(10), TRUE, IF(tblPiNAnalysis5[[#This Row],[2nd Highest Target]]=tblPiNAnalysis5[[#This Row],[CCCM]:[WASH]], tblPiNAnalysis5[[#Headers],[CCCM]:[WASH]], "")))</f>
        <v>Nutrition</v>
      </c>
      <c r="AQ217" s="36">
        <f>IFERROR(tblPiNAnalysis5[[#This Row],[2nd Highest Target]]/tblPiNAnalysis5[[#This Row],[Affected population projection 2026]], "")</f>
        <v>0.21686859625173677</v>
      </c>
      <c r="AR217" s="46">
        <f>IFERROR(tblPiNAnalysis5[[#This Row],[Highest Target]]-tblPiNAnalysis5[[#This Row],[2nd Highest Target]], "")</f>
        <v>2819.0817324168911</v>
      </c>
      <c r="AS217" s="39">
        <f>IFERROR(((tblPiNAnalysis5[[#This Row],[Highest Target]]-tblPiNAnalysis5[[#This Row],[2nd Highest Target]])/tblPiNAnalysis5[[#This Row],[2nd Highest Target]]),"")</f>
        <v>0.52892486271653683</v>
      </c>
      <c r="AT217" s="39" t="str" cm="1">
        <f t="array" ref="AT21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17" s="332" cm="1">
        <f t="array" ref="AU21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4666.6608498102905</v>
      </c>
      <c r="AV217" s="190" t="str" cm="1">
        <f t="array" ref="AV217">IF(tblPiNAnalysis5[[#This Row],[3rd Highest Target]]="", "", _xlfn.TEXTJOIN(CHAR(10), TRUE, IF(tblPiNAnalysis5[[#This Row],[3rd Highest Target]]=tblPiNAnalysis5[[#This Row],[CCCM]:[WASH]], tblPiNAnalysis5[[#Headers],[CCCM]:[WASH]], "")))</f>
        <v>Food Security</v>
      </c>
      <c r="AW217" s="190">
        <f>IFERROR(tblPiNAnalysis5[[#This Row],[3rd Highest Target]]/tblPiNAnalysis5[[#This Row],[Affected population projection 2026]], "")</f>
        <v>0.18988437201938438</v>
      </c>
      <c r="AX217" s="45">
        <f>IFERROR(tblPiNAnalysis5[[#This Row],[Highest Target]]-tblPiNAnalysis5[[#This Row],[3rd Highest Target]],"")</f>
        <v>3482.2549122232094</v>
      </c>
      <c r="AY217" s="39">
        <f>IFERROR(tblPiNAnalysis5[[#This Row],[Difference of Target between Highest and 3rd Highest]]/tblPiNAnalysis5[[#This Row],[3rd Highest Target]], "")</f>
        <v>0.74619841130404196</v>
      </c>
      <c r="AZ217" s="330" t="str" cm="1">
        <f t="array" ref="AZ21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17" s="300" t="str" cm="1">
        <f t="array" ref="BA21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7" s="333" t="str" cm="1">
        <f t="array" ref="BB21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7" s="276" t="str" cm="1">
        <f t="array" ref="BC21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7" s="334" t="str" cm="1">
        <f t="array" ref="BD21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17" s="277" t="e">
        <f>INDEX(tblSeverityAnalysis[Final Severity], MATCH(tblPiNAnalysis5[[#This Row],[ID]],tblSeverityAnalysis[ID], 0))</f>
        <v>#N/A</v>
      </c>
      <c r="BF217" s="61" t="e">
        <f>IF(tblPiNAnalysis5[[#This Row],[Severity]]&gt;2,tblPiNAnalysis5[[#This Row],[Highest Target]],)</f>
        <v>#N/A</v>
      </c>
      <c r="BG217" s="191"/>
      <c r="BH217" s="192"/>
      <c r="BI217" s="193">
        <f>COUNTIFS(tblPiNAnalysis5[[#This Row],[Number of missing / zero PiNs greater than threshold - Data quality]:[Manual Flag]],"Flagged")</f>
        <v>2</v>
      </c>
      <c r="BJ217" s="96" t="str">
        <f>IF(tblPiNAnalysis5[[#This Row],['# Flags]]&gt;0, "Flagged", "")</f>
        <v>Flagged</v>
      </c>
      <c r="BK217" s="326" t="e">
        <f>tblPiNAnalysis5[[#This Row],[Preliminary Target]]</f>
        <v>#N/A</v>
      </c>
      <c r="BL217" s="331"/>
    </row>
    <row r="218" spans="1:64" ht="110.7" x14ac:dyDescent="0.55000000000000004">
      <c r="A2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8" s="316" t="s">
        <v>342</v>
      </c>
      <c r="C218" s="317" t="s">
        <v>343</v>
      </c>
      <c r="D218" s="317" t="s">
        <v>360</v>
      </c>
      <c r="E218" s="105" t="s">
        <v>361</v>
      </c>
      <c r="F218" s="100"/>
      <c r="G218" s="34"/>
      <c r="H218" s="34"/>
      <c r="I218" s="97">
        <v>1622.427953791605</v>
      </c>
      <c r="J218" s="97" t="s">
        <v>414</v>
      </c>
      <c r="K218" s="318">
        <v>0</v>
      </c>
      <c r="L218" s="319">
        <v>0</v>
      </c>
      <c r="M218" s="319">
        <v>0</v>
      </c>
      <c r="N218" s="319">
        <v>0</v>
      </c>
      <c r="O218" s="319">
        <v>0</v>
      </c>
      <c r="P218" s="319">
        <v>0</v>
      </c>
      <c r="Q218" s="320">
        <v>0</v>
      </c>
      <c r="R218" s="319">
        <v>0</v>
      </c>
      <c r="S218" s="319"/>
      <c r="T218" s="319"/>
      <c r="U218" s="319"/>
      <c r="V218" s="319"/>
      <c r="W218" s="321">
        <f>IFERROR(IF(tblPiNAnalysis5[[#This Row],[CCCM]]="", "", MROUND(tblPiNAnalysis5[[#This Row],[CCCM]]/tblPiNAnalysis5[[#This Row],[Affected population projection 2026]], 0.05)), "")</f>
        <v>0</v>
      </c>
      <c r="X218" s="322">
        <f>IFERROR(IF(tblPiNAnalysis5[[#This Row],[Education]]="", "", MROUND(tblPiNAnalysis5[[#This Row],[Education]]/tblPiNAnalysis5[[#This Row],[Affected population projection 2026]], 0.05)), "")</f>
        <v>0</v>
      </c>
      <c r="Y218" s="322">
        <f>IFERROR(IF(tblPiNAnalysis5[[#This Row],[Nutrition]]="", "", MROUND(tblPiNAnalysis5[[#This Row],[Nutrition]]/tblPiNAnalysis5[[#This Row],[Affected population projection 2026]], 0.05)), "")</f>
        <v>0</v>
      </c>
      <c r="Z218" s="322">
        <f>IFERROR(IF(tblPiNAnalysis5[[#This Row],[Food Security]]="", "", MROUND(tblPiNAnalysis5[[#This Row],[Food Security]]/tblPiNAnalysis5[[#This Row],[Affected population projection 2026]], 0.05)), "")</f>
        <v>0</v>
      </c>
      <c r="AA218" s="322">
        <f>IFERROR(IF(tblPiNAnalysis5[[#This Row],[Health]]="", "", MROUND(tblPiNAnalysis5[[#This Row],[Health]]/tblPiNAnalysis5[[#This Row],[Affected population projection 2026]], 0.05)), "")</f>
        <v>0</v>
      </c>
      <c r="AB218" s="323">
        <f>IFERROR(IF(tblPiNAnalysis5[[#This Row],[Overarching Protection]]="", "", MROUND(tblPiNAnalysis5[[#This Row],[Overarching Protection]]/tblPiNAnalysis5[[#This Row],[Affected population projection 2026]], 0.05)), "")</f>
        <v>0</v>
      </c>
      <c r="AC218" s="323">
        <f>IFERROR(IF(tblPiNAnalysis5[[#This Row],[Shelter]]="", "", MROUND(tblPiNAnalysis5[[#This Row],[Shelter]]/tblPiNAnalysis5[[#This Row],[Affected population projection 2026]], 0.05)), "")</f>
        <v>0</v>
      </c>
      <c r="AD218" s="324">
        <f>IFERROR(IF(tblPiNAnalysis5[[#This Row],[WASH]]="", "", MROUND(tblPiNAnalysis5[[#This Row],[WASH]]/tblPiNAnalysis5[[#This Row],[Affected population projection 2026]], 0.05)), "")</f>
        <v>0</v>
      </c>
      <c r="AE218" s="322">
        <f>IFERROR(MROUND(tblPiNAnalysis5[[#This Row],[CP]]/tblPiNAnalysis5[[#This Row],[Affected population projection 2026]], 0.05), "")</f>
        <v>0</v>
      </c>
      <c r="AF218" s="322">
        <f>IFERROR(MROUND(tblPiNAnalysis5[[#This Row],[GBV]]/tblPiNAnalysis5[[#This Row],[Affected population projection 2026]], 0.05), "")</f>
        <v>0</v>
      </c>
      <c r="AG218" s="322">
        <f>IFERROR(MROUND(tblPiNAnalysis5[[#This Row],[Mine Action]]/tblPiNAnalysis5[[#This Row],[Affected population projection 2026]], 0.05), "")</f>
        <v>0</v>
      </c>
      <c r="AH218" s="322">
        <f>IFERROR(MROUND(tblPiNAnalysis5[[#This Row],[HLP]]/tblPiNAnalysis5[[#This Row],[Affected population projection 2026]], 0.05), "")</f>
        <v>0</v>
      </c>
      <c r="AI218" s="325">
        <f>IFERROR(LARGE(tblPiNAnalysis5[[#This Row],[CCCM]:[WASH]], 1), "")</f>
        <v>0</v>
      </c>
      <c r="AJ218" s="326" t="str" cm="1">
        <f t="array" ref="AJ218">IF(tblPiNAnalysis5[[#This Row],[Highest Target]]="", "", _xlfn.TEXTJOIN(CHAR(10), TRUE, IF(tblPiNAnalysis5[[#This Row],[Highest Target]]=tblPiNAnalysis5[[#This Row],[CCCM]:[WASH]], tblPiNAnalysis5[[#Headers],[CCCM]:[WASH]], "")))</f>
        <v>CCCM
Education
Nutrition
Food Security
Health
Overarching Protection
Shelter
WASH</v>
      </c>
      <c r="AK218" s="327">
        <f>IF(tblPiNAnalysis5[[#This Row],[Highest Target]]="", "", tblPiNAnalysis5[[#This Row],[Highest Target]]/tblPiNAnalysis5[[#This Row],[Affected population projection 2026]])</f>
        <v>0</v>
      </c>
      <c r="AL218" s="328" t="str">
        <f>IF(SUM(tblPiNAnalysis5[[#This Row],[CCCM]:[WASH]])=0, "",IF(COUNTIF(tblPiNAnalysis5[[#This Row],[CCCM]:[WASH]],"=0")+COUNTIF(tblPiNAnalysis5[[#This Row],[CCCM]:[WASH]],"")&gt;=zero_pin_thresh, "Flagged", ""))</f>
        <v/>
      </c>
      <c r="AM218" s="329" t="str">
        <f>IFERROR(IF(tblPiNAnalysis5[[#This Row],[Highest Target]]="", "", IF(tblPiNAnalysis5[[#This Row],[Highest sector(s'') Target %]]&gt;=flag_pin_perc, "Flagged", "")), "")</f>
        <v/>
      </c>
      <c r="AN218" s="330" t="str" cm="1">
        <f t="array" ref="AN218">IF(tblPiNAnalysis5[[#This Row],[Highest Target]]=0, "",  IF(OR(COUNTIF(tblPiNAnalysis5[[#This Row],[Highest sector(s)]],tblSubSectorPopulation[Sector])), "Flagged", ""))</f>
        <v/>
      </c>
      <c r="AO218" s="46" cm="1">
        <f t="array" ref="AO21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18" s="331" t="str" cm="1">
        <f t="array" ref="AP218">IF(tblPiNAnalysis5[[#This Row],[2nd Highest Target]]="", "", _xlfn.TEXTJOIN(CHAR(10), TRUE, IF(tblPiNAnalysis5[[#This Row],[2nd Highest Target]]=tblPiNAnalysis5[[#This Row],[CCCM]:[WASH]], tblPiNAnalysis5[[#Headers],[CCCM]:[WASH]], "")))</f>
        <v>CCCM
Education
Nutrition
Food Security
Health
Overarching Protection
Shelter
WASH</v>
      </c>
      <c r="AQ218" s="36">
        <f>IFERROR(tblPiNAnalysis5[[#This Row],[2nd Highest Target]]/tblPiNAnalysis5[[#This Row],[Affected population projection 2026]], "")</f>
        <v>0</v>
      </c>
      <c r="AR218" s="46">
        <f>IFERROR(tblPiNAnalysis5[[#This Row],[Highest Target]]-tblPiNAnalysis5[[#This Row],[2nd Highest Target]], "")</f>
        <v>0</v>
      </c>
      <c r="AS218" s="39" t="str">
        <f>IFERROR(((tblPiNAnalysis5[[#This Row],[Highest Target]]-tblPiNAnalysis5[[#This Row],[2nd Highest Target]])/tblPiNAnalysis5[[#This Row],[2nd Highest Target]]),"")</f>
        <v/>
      </c>
      <c r="AT218" s="39" t="str" cm="1">
        <f t="array" ref="AT21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18" s="332" cm="1">
        <f t="array" ref="AU21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18" s="190" t="str" cm="1">
        <f t="array" ref="AV218">IF(tblPiNAnalysis5[[#This Row],[3rd Highest Target]]="", "", _xlfn.TEXTJOIN(CHAR(10), TRUE, IF(tblPiNAnalysis5[[#This Row],[3rd Highest Target]]=tblPiNAnalysis5[[#This Row],[CCCM]:[WASH]], tblPiNAnalysis5[[#Headers],[CCCM]:[WASH]], "")))</f>
        <v>CCCM
Education
Nutrition
Food Security
Health
Overarching Protection
Shelter
WASH</v>
      </c>
      <c r="AW218" s="190">
        <f>IFERROR(tblPiNAnalysis5[[#This Row],[3rd Highest Target]]/tblPiNAnalysis5[[#This Row],[Affected population projection 2026]], "")</f>
        <v>0</v>
      </c>
      <c r="AX218" s="45">
        <f>IFERROR(tblPiNAnalysis5[[#This Row],[Highest Target]]-tblPiNAnalysis5[[#This Row],[3rd Highest Target]],"")</f>
        <v>0</v>
      </c>
      <c r="AY218" s="39" t="str">
        <f>IFERROR(tblPiNAnalysis5[[#This Row],[Difference of Target between Highest and 3rd Highest]]/tblPiNAnalysis5[[#This Row],[3rd Highest Target]], "")</f>
        <v/>
      </c>
      <c r="AZ218" s="330" t="str" cm="1">
        <f t="array" ref="AZ21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18" s="300" t="str" cm="1">
        <f t="array" ref="BA21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8" s="333" t="str" cm="1">
        <f t="array" ref="BB21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18" s="276" t="str" cm="1">
        <f t="array" ref="BC21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8" s="334" t="str" cm="1">
        <f t="array" ref="BD21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8" s="277" t="e">
        <f>INDEX(tblSeverityAnalysis[Final Severity], MATCH(tblPiNAnalysis5[[#This Row],[ID]],tblSeverityAnalysis[ID], 0))</f>
        <v>#N/A</v>
      </c>
      <c r="BF218" s="61" t="e">
        <f>IF(tblPiNAnalysis5[[#This Row],[Severity]]&gt;2,tblPiNAnalysis5[[#This Row],[Highest Target]],)</f>
        <v>#N/A</v>
      </c>
      <c r="BG218" s="191"/>
      <c r="BH218" s="192"/>
      <c r="BI218" s="193">
        <f>COUNTIFS(tblPiNAnalysis5[[#This Row],[Number of missing / zero PiNs greater than threshold - Data quality]:[Manual Flag]],"Flagged")</f>
        <v>2</v>
      </c>
      <c r="BJ218" s="96" t="str">
        <f>IF(tblPiNAnalysis5[[#This Row],['# Flags]]&gt;0, "Flagged", "")</f>
        <v>Flagged</v>
      </c>
      <c r="BK218" s="326" t="e">
        <f>tblPiNAnalysis5[[#This Row],[Preliminary Target]]</f>
        <v>#N/A</v>
      </c>
      <c r="BL218" s="331"/>
    </row>
    <row r="219" spans="1:64" x14ac:dyDescent="0.55000000000000004">
      <c r="A2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9" s="316" t="s">
        <v>342</v>
      </c>
      <c r="C219" s="317" t="s">
        <v>343</v>
      </c>
      <c r="D219" s="317" t="s">
        <v>362</v>
      </c>
      <c r="E219" s="105" t="s">
        <v>363</v>
      </c>
      <c r="F219" s="100"/>
      <c r="G219" s="34"/>
      <c r="H219" s="34"/>
      <c r="I219" s="97">
        <v>4756.8792176598463</v>
      </c>
      <c r="J219" s="97" t="s">
        <v>414</v>
      </c>
      <c r="K219" s="318">
        <v>0</v>
      </c>
      <c r="L219" s="319">
        <v>393.45004247523769</v>
      </c>
      <c r="M219" s="319">
        <v>1333.8809251820439</v>
      </c>
      <c r="N219" s="319">
        <v>2327.5766133163752</v>
      </c>
      <c r="O219" s="319">
        <v>2602.5939162895193</v>
      </c>
      <c r="P219" s="319">
        <v>1668.7434639992207</v>
      </c>
      <c r="Q219" s="320">
        <v>2791.1679592522619</v>
      </c>
      <c r="R219" s="319">
        <v>4334.263915264446</v>
      </c>
      <c r="S219" s="319"/>
      <c r="T219" s="319"/>
      <c r="U219" s="319"/>
      <c r="V219" s="319"/>
      <c r="W219" s="321">
        <f>IFERROR(IF(tblPiNAnalysis5[[#This Row],[CCCM]]="", "", MROUND(tblPiNAnalysis5[[#This Row],[CCCM]]/tblPiNAnalysis5[[#This Row],[Affected population projection 2026]], 0.05)), "")</f>
        <v>0</v>
      </c>
      <c r="X219" s="322">
        <f>IFERROR(IF(tblPiNAnalysis5[[#This Row],[Education]]="", "", MROUND(tblPiNAnalysis5[[#This Row],[Education]]/tblPiNAnalysis5[[#This Row],[Affected population projection 2026]], 0.05)), "")</f>
        <v>0.1</v>
      </c>
      <c r="Y219" s="322">
        <f>IFERROR(IF(tblPiNAnalysis5[[#This Row],[Nutrition]]="", "", MROUND(tblPiNAnalysis5[[#This Row],[Nutrition]]/tblPiNAnalysis5[[#This Row],[Affected population projection 2026]], 0.05)), "")</f>
        <v>0.30000000000000004</v>
      </c>
      <c r="Z219" s="322">
        <f>IFERROR(IF(tblPiNAnalysis5[[#This Row],[Food Security]]="", "", MROUND(tblPiNAnalysis5[[#This Row],[Food Security]]/tblPiNAnalysis5[[#This Row],[Affected population projection 2026]], 0.05)), "")</f>
        <v>0.5</v>
      </c>
      <c r="AA219" s="322">
        <f>IFERROR(IF(tblPiNAnalysis5[[#This Row],[Health]]="", "", MROUND(tblPiNAnalysis5[[#This Row],[Health]]/tblPiNAnalysis5[[#This Row],[Affected population projection 2026]], 0.05)), "")</f>
        <v>0.55000000000000004</v>
      </c>
      <c r="AB219" s="323">
        <f>IFERROR(IF(tblPiNAnalysis5[[#This Row],[Overarching Protection]]="", "", MROUND(tblPiNAnalysis5[[#This Row],[Overarching Protection]]/tblPiNAnalysis5[[#This Row],[Affected population projection 2026]], 0.05)), "")</f>
        <v>0.35000000000000003</v>
      </c>
      <c r="AC219" s="323">
        <f>IFERROR(IF(tblPiNAnalysis5[[#This Row],[Shelter]]="", "", MROUND(tblPiNAnalysis5[[#This Row],[Shelter]]/tblPiNAnalysis5[[#This Row],[Affected population projection 2026]], 0.05)), "")</f>
        <v>0.60000000000000009</v>
      </c>
      <c r="AD219" s="324">
        <f>IFERROR(IF(tblPiNAnalysis5[[#This Row],[WASH]]="", "", MROUND(tblPiNAnalysis5[[#This Row],[WASH]]/tblPiNAnalysis5[[#This Row],[Affected population projection 2026]], 0.05)), "")</f>
        <v>0.9</v>
      </c>
      <c r="AE219" s="322">
        <f>IFERROR(MROUND(tblPiNAnalysis5[[#This Row],[CP]]/tblPiNAnalysis5[[#This Row],[Affected population projection 2026]], 0.05), "")</f>
        <v>0</v>
      </c>
      <c r="AF219" s="322">
        <f>IFERROR(MROUND(tblPiNAnalysis5[[#This Row],[GBV]]/tblPiNAnalysis5[[#This Row],[Affected population projection 2026]], 0.05), "")</f>
        <v>0</v>
      </c>
      <c r="AG219" s="322">
        <f>IFERROR(MROUND(tblPiNAnalysis5[[#This Row],[Mine Action]]/tblPiNAnalysis5[[#This Row],[Affected population projection 2026]], 0.05), "")</f>
        <v>0</v>
      </c>
      <c r="AH219" s="322">
        <f>IFERROR(MROUND(tblPiNAnalysis5[[#This Row],[HLP]]/tblPiNAnalysis5[[#This Row],[Affected population projection 2026]], 0.05), "")</f>
        <v>0</v>
      </c>
      <c r="AI219" s="325">
        <f>IFERROR(LARGE(tblPiNAnalysis5[[#This Row],[CCCM]:[WASH]], 1), "")</f>
        <v>4334.263915264446</v>
      </c>
      <c r="AJ219" s="326" t="str" cm="1">
        <f t="array" ref="AJ219">IF(tblPiNAnalysis5[[#This Row],[Highest Target]]="", "", _xlfn.TEXTJOIN(CHAR(10), TRUE, IF(tblPiNAnalysis5[[#This Row],[Highest Target]]=tblPiNAnalysis5[[#This Row],[CCCM]:[WASH]], tblPiNAnalysis5[[#Headers],[CCCM]:[WASH]], "")))</f>
        <v>WASH</v>
      </c>
      <c r="AK219" s="327">
        <f>IF(tblPiNAnalysis5[[#This Row],[Highest Target]]="", "", tblPiNAnalysis5[[#This Row],[Highest Target]]/tblPiNAnalysis5[[#This Row],[Affected population projection 2026]])</f>
        <v>0.91115702479338834</v>
      </c>
      <c r="AL219" s="328" t="str">
        <f>IF(SUM(tblPiNAnalysis5[[#This Row],[CCCM]:[WASH]])=0, "",IF(COUNTIF(tblPiNAnalysis5[[#This Row],[CCCM]:[WASH]],"=0")+COUNTIF(tblPiNAnalysis5[[#This Row],[CCCM]:[WASH]],"")&gt;=zero_pin_thresh, "Flagged", ""))</f>
        <v/>
      </c>
      <c r="AM219" s="329" t="str">
        <f>IFERROR(IF(tblPiNAnalysis5[[#This Row],[Highest Target]]="", "", IF(tblPiNAnalysis5[[#This Row],[Highest sector(s'') Target %]]&gt;=flag_pin_perc, "Flagged", "")), "")</f>
        <v>Flagged</v>
      </c>
      <c r="AN219" s="330" t="str" cm="1">
        <f t="array" ref="AN219">IF(tblPiNAnalysis5[[#This Row],[Highest Target]]=0, "",  IF(OR(COUNTIF(tblPiNAnalysis5[[#This Row],[Highest sector(s)]],tblSubSectorPopulation[Sector])), "Flagged", ""))</f>
        <v/>
      </c>
      <c r="AO219" s="46" cm="1">
        <f t="array" ref="AO21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2791.1679592522619</v>
      </c>
      <c r="AP219" s="331" t="str" cm="1">
        <f t="array" ref="AP219">IF(tblPiNAnalysis5[[#This Row],[2nd Highest Target]]="", "", _xlfn.TEXTJOIN(CHAR(10), TRUE, IF(tblPiNAnalysis5[[#This Row],[2nd Highest Target]]=tblPiNAnalysis5[[#This Row],[CCCM]:[WASH]], tblPiNAnalysis5[[#Headers],[CCCM]:[WASH]], "")))</f>
        <v>Shelter</v>
      </c>
      <c r="AQ219" s="36">
        <f>IFERROR(tblPiNAnalysis5[[#This Row],[2nd Highest Target]]/tblPiNAnalysis5[[#This Row],[Affected population projection 2026]], "")</f>
        <v>0.58676452176672689</v>
      </c>
      <c r="AR219" s="46">
        <f>IFERROR(tblPiNAnalysis5[[#This Row],[Highest Target]]-tblPiNAnalysis5[[#This Row],[2nd Highest Target]], "")</f>
        <v>1543.0959560121842</v>
      </c>
      <c r="AS219" s="39">
        <f>IFERROR(((tblPiNAnalysis5[[#This Row],[Highest Target]]-tblPiNAnalysis5[[#This Row],[2nd Highest Target]])/tblPiNAnalysis5[[#This Row],[2nd Highest Target]]),"")</f>
        <v>0.55284955206549835</v>
      </c>
      <c r="AT219" s="39" t="str" cm="1">
        <f t="array" ref="AT21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19" s="332" cm="1">
        <f t="array" ref="AU21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2602.5939162895193</v>
      </c>
      <c r="AV219" s="190" t="str" cm="1">
        <f t="array" ref="AV219">IF(tblPiNAnalysis5[[#This Row],[3rd Highest Target]]="", "", _xlfn.TEXTJOIN(CHAR(10), TRUE, IF(tblPiNAnalysis5[[#This Row],[3rd Highest Target]]=tblPiNAnalysis5[[#This Row],[CCCM]:[WASH]], tblPiNAnalysis5[[#Headers],[CCCM]:[WASH]], "")))</f>
        <v>Health</v>
      </c>
      <c r="AW219" s="190">
        <f>IFERROR(tblPiNAnalysis5[[#This Row],[3rd Highest Target]]/tblPiNAnalysis5[[#This Row],[Affected population projection 2026]], "")</f>
        <v>0.5471221355857484</v>
      </c>
      <c r="AX219" s="45">
        <f>IFERROR(tblPiNAnalysis5[[#This Row],[Highest Target]]-tblPiNAnalysis5[[#This Row],[3rd Highest Target]],"")</f>
        <v>1731.6699989749268</v>
      </c>
      <c r="AY219" s="39">
        <f>IFERROR(tblPiNAnalysis5[[#This Row],[Difference of Target between Highest and 3rd Highest]]/tblPiNAnalysis5[[#This Row],[3rd Highest Target]], "")</f>
        <v>0.66536311644182422</v>
      </c>
      <c r="AZ219" s="330" t="str" cm="1">
        <f t="array" ref="AZ21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19" s="300" t="str" cm="1">
        <f t="array" ref="BA21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19" s="333" t="str" cm="1">
        <f t="array" ref="BB21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19" s="276" t="str" cm="1">
        <f t="array" ref="BC21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19" s="334" t="str" cm="1">
        <f t="array" ref="BD21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19" s="277" t="e">
        <f>INDEX(tblSeverityAnalysis[Final Severity], MATCH(tblPiNAnalysis5[[#This Row],[ID]],tblSeverityAnalysis[ID], 0))</f>
        <v>#N/A</v>
      </c>
      <c r="BF219" s="61" t="e">
        <f>IF(tblPiNAnalysis5[[#This Row],[Severity]]&gt;2,tblPiNAnalysis5[[#This Row],[Highest Target]],)</f>
        <v>#N/A</v>
      </c>
      <c r="BG219" s="191"/>
      <c r="BH219" s="192"/>
      <c r="BI219" s="193">
        <f>COUNTIFS(tblPiNAnalysis5[[#This Row],[Number of missing / zero PiNs greater than threshold - Data quality]:[Manual Flag]],"Flagged")</f>
        <v>4</v>
      </c>
      <c r="BJ219" s="96" t="str">
        <f>IF(tblPiNAnalysis5[[#This Row],['# Flags]]&gt;0, "Flagged", "")</f>
        <v>Flagged</v>
      </c>
      <c r="BK219" s="326" t="e">
        <f>tblPiNAnalysis5[[#This Row],[Preliminary Target]]</f>
        <v>#N/A</v>
      </c>
      <c r="BL219" s="331"/>
    </row>
    <row r="220" spans="1:64" ht="24.6" x14ac:dyDescent="0.55000000000000004">
      <c r="A2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0" s="316" t="s">
        <v>342</v>
      </c>
      <c r="C220" s="317" t="s">
        <v>343</v>
      </c>
      <c r="D220" s="317" t="s">
        <v>364</v>
      </c>
      <c r="E220" s="105" t="s">
        <v>365</v>
      </c>
      <c r="F220" s="100"/>
      <c r="G220" s="34"/>
      <c r="H220" s="34"/>
      <c r="I220" s="97">
        <v>235020.19206222118</v>
      </c>
      <c r="J220" s="97" t="s">
        <v>414</v>
      </c>
      <c r="K220" s="318">
        <v>10519</v>
      </c>
      <c r="L220" s="319">
        <v>43043.948176195809</v>
      </c>
      <c r="M220" s="319">
        <v>38448.70083296996</v>
      </c>
      <c r="N220" s="319">
        <v>84869.09553284297</v>
      </c>
      <c r="O220" s="319">
        <v>69517.660651019134</v>
      </c>
      <c r="P220" s="319">
        <v>53143.78769676089</v>
      </c>
      <c r="Q220" s="320">
        <v>23293.634635926948</v>
      </c>
      <c r="R220" s="319">
        <v>46625.233576129962</v>
      </c>
      <c r="S220" s="319"/>
      <c r="T220" s="319"/>
      <c r="U220" s="319"/>
      <c r="V220" s="319"/>
      <c r="W220" s="321">
        <f>IFERROR(IF(tblPiNAnalysis5[[#This Row],[CCCM]]="", "", MROUND(tblPiNAnalysis5[[#This Row],[CCCM]]/tblPiNAnalysis5[[#This Row],[Affected population projection 2026]], 0.05)), "")</f>
        <v>0.05</v>
      </c>
      <c r="X220" s="322">
        <f>IFERROR(IF(tblPiNAnalysis5[[#This Row],[Education]]="", "", MROUND(tblPiNAnalysis5[[#This Row],[Education]]/tblPiNAnalysis5[[#This Row],[Affected population projection 2026]], 0.05)), "")</f>
        <v>0.2</v>
      </c>
      <c r="Y220" s="322">
        <f>IFERROR(IF(tblPiNAnalysis5[[#This Row],[Nutrition]]="", "", MROUND(tblPiNAnalysis5[[#This Row],[Nutrition]]/tblPiNAnalysis5[[#This Row],[Affected population projection 2026]], 0.05)), "")</f>
        <v>0.15000000000000002</v>
      </c>
      <c r="Z220" s="322">
        <f>IFERROR(IF(tblPiNAnalysis5[[#This Row],[Food Security]]="", "", MROUND(tblPiNAnalysis5[[#This Row],[Food Security]]/tblPiNAnalysis5[[#This Row],[Affected population projection 2026]], 0.05)), "")</f>
        <v>0.35000000000000003</v>
      </c>
      <c r="AA220" s="322">
        <f>IFERROR(IF(tblPiNAnalysis5[[#This Row],[Health]]="", "", MROUND(tblPiNAnalysis5[[#This Row],[Health]]/tblPiNAnalysis5[[#This Row],[Affected population projection 2026]], 0.05)), "")</f>
        <v>0.30000000000000004</v>
      </c>
      <c r="AB220" s="323">
        <f>IFERROR(IF(tblPiNAnalysis5[[#This Row],[Overarching Protection]]="", "", MROUND(tblPiNAnalysis5[[#This Row],[Overarching Protection]]/tblPiNAnalysis5[[#This Row],[Affected population projection 2026]], 0.05)), "")</f>
        <v>0.25</v>
      </c>
      <c r="AC220" s="323">
        <f>IFERROR(IF(tblPiNAnalysis5[[#This Row],[Shelter]]="", "", MROUND(tblPiNAnalysis5[[#This Row],[Shelter]]/tblPiNAnalysis5[[#This Row],[Affected population projection 2026]], 0.05)), "")</f>
        <v>0.1</v>
      </c>
      <c r="AD220" s="324">
        <f>IFERROR(IF(tblPiNAnalysis5[[#This Row],[WASH]]="", "", MROUND(tblPiNAnalysis5[[#This Row],[WASH]]/tblPiNAnalysis5[[#This Row],[Affected population projection 2026]], 0.05)), "")</f>
        <v>0.2</v>
      </c>
      <c r="AE220" s="322">
        <f>IFERROR(MROUND(tblPiNAnalysis5[[#This Row],[CP]]/tblPiNAnalysis5[[#This Row],[Affected population projection 2026]], 0.05), "")</f>
        <v>0</v>
      </c>
      <c r="AF220" s="322">
        <f>IFERROR(MROUND(tblPiNAnalysis5[[#This Row],[GBV]]/tblPiNAnalysis5[[#This Row],[Affected population projection 2026]], 0.05), "")</f>
        <v>0</v>
      </c>
      <c r="AG220" s="322">
        <f>IFERROR(MROUND(tblPiNAnalysis5[[#This Row],[Mine Action]]/tblPiNAnalysis5[[#This Row],[Affected population projection 2026]], 0.05), "")</f>
        <v>0</v>
      </c>
      <c r="AH220" s="322">
        <f>IFERROR(MROUND(tblPiNAnalysis5[[#This Row],[HLP]]/tblPiNAnalysis5[[#This Row],[Affected population projection 2026]], 0.05), "")</f>
        <v>0</v>
      </c>
      <c r="AI220" s="325">
        <f>IFERROR(LARGE(tblPiNAnalysis5[[#This Row],[CCCM]:[WASH]], 1), "")</f>
        <v>84869.09553284297</v>
      </c>
      <c r="AJ220" s="326" t="str" cm="1">
        <f t="array" ref="AJ220">IF(tblPiNAnalysis5[[#This Row],[Highest Target]]="", "", _xlfn.TEXTJOIN(CHAR(10), TRUE, IF(tblPiNAnalysis5[[#This Row],[Highest Target]]=tblPiNAnalysis5[[#This Row],[CCCM]:[WASH]], tblPiNAnalysis5[[#Headers],[CCCM]:[WASH]], "")))</f>
        <v>Food Security</v>
      </c>
      <c r="AK220" s="327">
        <f>IF(tblPiNAnalysis5[[#This Row],[Highest Target]]="", "", tblPiNAnalysis5[[#This Row],[Highest Target]]/tblPiNAnalysis5[[#This Row],[Affected population projection 2026]])</f>
        <v>0.36111405912890254</v>
      </c>
      <c r="AL220" s="328" t="str">
        <f>IF(SUM(tblPiNAnalysis5[[#This Row],[CCCM]:[WASH]])=0, "",IF(COUNTIF(tblPiNAnalysis5[[#This Row],[CCCM]:[WASH]],"=0")+COUNTIF(tblPiNAnalysis5[[#This Row],[CCCM]:[WASH]],"")&gt;=zero_pin_thresh, "Flagged", ""))</f>
        <v/>
      </c>
      <c r="AM220" s="329" t="str">
        <f>IFERROR(IF(tblPiNAnalysis5[[#This Row],[Highest Target]]="", "", IF(tblPiNAnalysis5[[#This Row],[Highest sector(s'') Target %]]&gt;=flag_pin_perc, "Flagged", "")), "")</f>
        <v/>
      </c>
      <c r="AN220" s="330" t="str" cm="1">
        <f t="array" ref="AN220">IF(tblPiNAnalysis5[[#This Row],[Highest Target]]=0, "",  IF(OR(COUNTIF(tblPiNAnalysis5[[#This Row],[Highest sector(s)]],tblSubSectorPopulation[Sector])), "Flagged", ""))</f>
        <v/>
      </c>
      <c r="AO220" s="46" cm="1">
        <f t="array" ref="AO22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69517.660651019134</v>
      </c>
      <c r="AP220" s="331" t="str" cm="1">
        <f t="array" ref="AP220">IF(tblPiNAnalysis5[[#This Row],[2nd Highest Target]]="", "", _xlfn.TEXTJOIN(CHAR(10), TRUE, IF(tblPiNAnalysis5[[#This Row],[2nd Highest Target]]=tblPiNAnalysis5[[#This Row],[CCCM]:[WASH]], tblPiNAnalysis5[[#Headers],[CCCM]:[WASH]], "")))</f>
        <v>Health</v>
      </c>
      <c r="AQ220" s="36">
        <f>IFERROR(tblPiNAnalysis5[[#This Row],[2nd Highest Target]]/tblPiNAnalysis5[[#This Row],[Affected population projection 2026]], "")</f>
        <v>0.29579441681595792</v>
      </c>
      <c r="AR220" s="46">
        <f>IFERROR(tblPiNAnalysis5[[#This Row],[Highest Target]]-tblPiNAnalysis5[[#This Row],[2nd Highest Target]], "")</f>
        <v>15351.434881823836</v>
      </c>
      <c r="AS220" s="39">
        <f>IFERROR(((tblPiNAnalysis5[[#This Row],[Highest Target]]-tblPiNAnalysis5[[#This Row],[2nd Highest Target]])/tblPiNAnalysis5[[#This Row],[2nd Highest Target]]),"")</f>
        <v>0.22082784055246804</v>
      </c>
      <c r="AT220" s="39" t="str" cm="1">
        <f t="array" ref="AT22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0" s="332" cm="1">
        <f t="array" ref="AU22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53143.78769676089</v>
      </c>
      <c r="AV220" s="190" t="str" cm="1">
        <f t="array" ref="AV220">IF(tblPiNAnalysis5[[#This Row],[3rd Highest Target]]="", "", _xlfn.TEXTJOIN(CHAR(10), TRUE, IF(tblPiNAnalysis5[[#This Row],[3rd Highest Target]]=tblPiNAnalysis5[[#This Row],[CCCM]:[WASH]], tblPiNAnalysis5[[#Headers],[CCCM]:[WASH]], "")))</f>
        <v>Overarching Protection</v>
      </c>
      <c r="AW220" s="190">
        <f>IFERROR(tblPiNAnalysis5[[#This Row],[3rd Highest Target]]/tblPiNAnalysis5[[#This Row],[Affected population projection 2026]], "")</f>
        <v>0.22612434799938877</v>
      </c>
      <c r="AX220" s="45">
        <f>IFERROR(tblPiNAnalysis5[[#This Row],[Highest Target]]-tblPiNAnalysis5[[#This Row],[3rd Highest Target]],"")</f>
        <v>31725.30783608208</v>
      </c>
      <c r="AY220" s="39">
        <f>IFERROR(tblPiNAnalysis5[[#This Row],[Difference of Target between Highest and 3rd Highest]]/tblPiNAnalysis5[[#This Row],[3rd Highest Target]], "")</f>
        <v>0.59697114584882582</v>
      </c>
      <c r="AZ220" s="330" t="str" cm="1">
        <f t="array" ref="AZ22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20" s="300" t="str" cm="1">
        <f t="array" ref="BA22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0" s="333" t="str" cm="1">
        <f t="array" ref="BB22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0" s="276" t="str" cm="1">
        <f t="array" ref="BC22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0" s="334" t="str" cm="1">
        <f t="array" ref="BD22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0" s="277" t="e">
        <f>INDEX(tblSeverityAnalysis[Final Severity], MATCH(tblPiNAnalysis5[[#This Row],[ID]],tblSeverityAnalysis[ID], 0))</f>
        <v>#N/A</v>
      </c>
      <c r="BF220" s="61" t="e">
        <f>IF(tblPiNAnalysis5[[#This Row],[Severity]]&gt;2,tblPiNAnalysis5[[#This Row],[Highest Target]],)</f>
        <v>#N/A</v>
      </c>
      <c r="BG220" s="191"/>
      <c r="BH220" s="192"/>
      <c r="BI220" s="193">
        <f>COUNTIFS(tblPiNAnalysis5[[#This Row],[Number of missing / zero PiNs greater than threshold - Data quality]:[Manual Flag]],"Flagged")</f>
        <v>2</v>
      </c>
      <c r="BJ220" s="96" t="str">
        <f>IF(tblPiNAnalysis5[[#This Row],['# Flags]]&gt;0, "Flagged", "")</f>
        <v>Flagged</v>
      </c>
      <c r="BK220" s="326" t="e">
        <f>tblPiNAnalysis5[[#This Row],[Preliminary Target]]</f>
        <v>#N/A</v>
      </c>
      <c r="BL220" s="331"/>
    </row>
    <row r="221" spans="1:64" x14ac:dyDescent="0.55000000000000004">
      <c r="A2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1" s="316" t="s">
        <v>342</v>
      </c>
      <c r="C221" s="317" t="s">
        <v>343</v>
      </c>
      <c r="D221" s="317" t="s">
        <v>366</v>
      </c>
      <c r="E221" s="105" t="s">
        <v>367</v>
      </c>
      <c r="F221" s="100"/>
      <c r="G221" s="34"/>
      <c r="H221" s="34"/>
      <c r="I221" s="97">
        <v>44257.266075717678</v>
      </c>
      <c r="J221" s="97" t="s">
        <v>414</v>
      </c>
      <c r="K221" s="318">
        <v>0</v>
      </c>
      <c r="L221" s="319">
        <v>14377.415457357643</v>
      </c>
      <c r="M221" s="319">
        <v>8899.1872448533759</v>
      </c>
      <c r="N221" s="319">
        <v>22810.630866941527</v>
      </c>
      <c r="O221" s="319">
        <v>25678.83079632674</v>
      </c>
      <c r="P221" s="319">
        <v>14445.247226652808</v>
      </c>
      <c r="Q221" s="320">
        <v>11279.533281389053</v>
      </c>
      <c r="R221" s="319">
        <v>33192.949556788255</v>
      </c>
      <c r="S221" s="319"/>
      <c r="T221" s="319"/>
      <c r="U221" s="319"/>
      <c r="V221" s="319"/>
      <c r="W221" s="321">
        <f>IFERROR(IF(tblPiNAnalysis5[[#This Row],[CCCM]]="", "", MROUND(tblPiNAnalysis5[[#This Row],[CCCM]]/tblPiNAnalysis5[[#This Row],[Affected population projection 2026]], 0.05)), "")</f>
        <v>0</v>
      </c>
      <c r="X221" s="322">
        <f>IFERROR(IF(tblPiNAnalysis5[[#This Row],[Education]]="", "", MROUND(tblPiNAnalysis5[[#This Row],[Education]]/tblPiNAnalysis5[[#This Row],[Affected population projection 2026]], 0.05)), "")</f>
        <v>0.30000000000000004</v>
      </c>
      <c r="Y221" s="322">
        <f>IFERROR(IF(tblPiNAnalysis5[[#This Row],[Nutrition]]="", "", MROUND(tblPiNAnalysis5[[#This Row],[Nutrition]]/tblPiNAnalysis5[[#This Row],[Affected population projection 2026]], 0.05)), "")</f>
        <v>0.2</v>
      </c>
      <c r="Z221" s="322">
        <f>IFERROR(IF(tblPiNAnalysis5[[#This Row],[Food Security]]="", "", MROUND(tblPiNAnalysis5[[#This Row],[Food Security]]/tblPiNAnalysis5[[#This Row],[Affected population projection 2026]], 0.05)), "")</f>
        <v>0.5</v>
      </c>
      <c r="AA221" s="322">
        <f>IFERROR(IF(tblPiNAnalysis5[[#This Row],[Health]]="", "", MROUND(tblPiNAnalysis5[[#This Row],[Health]]/tblPiNAnalysis5[[#This Row],[Affected population projection 2026]], 0.05)), "")</f>
        <v>0.60000000000000009</v>
      </c>
      <c r="AB221" s="323">
        <f>IFERROR(IF(tblPiNAnalysis5[[#This Row],[Overarching Protection]]="", "", MROUND(tblPiNAnalysis5[[#This Row],[Overarching Protection]]/tblPiNAnalysis5[[#This Row],[Affected population projection 2026]], 0.05)), "")</f>
        <v>0.35000000000000003</v>
      </c>
      <c r="AC221" s="323">
        <f>IFERROR(IF(tblPiNAnalysis5[[#This Row],[Shelter]]="", "", MROUND(tblPiNAnalysis5[[#This Row],[Shelter]]/tblPiNAnalysis5[[#This Row],[Affected population projection 2026]], 0.05)), "")</f>
        <v>0.25</v>
      </c>
      <c r="AD221" s="324">
        <f>IFERROR(IF(tblPiNAnalysis5[[#This Row],[WASH]]="", "", MROUND(tblPiNAnalysis5[[#This Row],[WASH]]/tblPiNAnalysis5[[#This Row],[Affected population projection 2026]], 0.05)), "")</f>
        <v>0.75</v>
      </c>
      <c r="AE221" s="322">
        <f>IFERROR(MROUND(tblPiNAnalysis5[[#This Row],[CP]]/tblPiNAnalysis5[[#This Row],[Affected population projection 2026]], 0.05), "")</f>
        <v>0</v>
      </c>
      <c r="AF221" s="322">
        <f>IFERROR(MROUND(tblPiNAnalysis5[[#This Row],[GBV]]/tblPiNAnalysis5[[#This Row],[Affected population projection 2026]], 0.05), "")</f>
        <v>0</v>
      </c>
      <c r="AG221" s="322">
        <f>IFERROR(MROUND(tblPiNAnalysis5[[#This Row],[Mine Action]]/tblPiNAnalysis5[[#This Row],[Affected population projection 2026]], 0.05), "")</f>
        <v>0</v>
      </c>
      <c r="AH221" s="322">
        <f>IFERROR(MROUND(tblPiNAnalysis5[[#This Row],[HLP]]/tblPiNAnalysis5[[#This Row],[Affected population projection 2026]], 0.05), "")</f>
        <v>0</v>
      </c>
      <c r="AI221" s="325">
        <f>IFERROR(LARGE(tblPiNAnalysis5[[#This Row],[CCCM]:[WASH]], 1), "")</f>
        <v>33192.949556788255</v>
      </c>
      <c r="AJ221" s="326" t="str" cm="1">
        <f t="array" ref="AJ221">IF(tblPiNAnalysis5[[#This Row],[Highest Target]]="", "", _xlfn.TEXTJOIN(CHAR(10), TRUE, IF(tblPiNAnalysis5[[#This Row],[Highest Target]]=tblPiNAnalysis5[[#This Row],[CCCM]:[WASH]], tblPiNAnalysis5[[#Headers],[CCCM]:[WASH]], "")))</f>
        <v>WASH</v>
      </c>
      <c r="AK221" s="327">
        <f>IF(tblPiNAnalysis5[[#This Row],[Highest Target]]="", "", tblPiNAnalysis5[[#This Row],[Highest Target]]/tblPiNAnalysis5[[#This Row],[Affected population projection 2026]])</f>
        <v>0.74999999999999989</v>
      </c>
      <c r="AL221" s="328" t="str">
        <f>IF(SUM(tblPiNAnalysis5[[#This Row],[CCCM]:[WASH]])=0, "",IF(COUNTIF(tblPiNAnalysis5[[#This Row],[CCCM]:[WASH]],"=0")+COUNTIF(tblPiNAnalysis5[[#This Row],[CCCM]:[WASH]],"")&gt;=zero_pin_thresh, "Flagged", ""))</f>
        <v/>
      </c>
      <c r="AM221" s="329" t="str">
        <f>IFERROR(IF(tblPiNAnalysis5[[#This Row],[Highest Target]]="", "", IF(tblPiNAnalysis5[[#This Row],[Highest sector(s'') Target %]]&gt;=flag_pin_perc, "Flagged", "")), "")</f>
        <v/>
      </c>
      <c r="AN221" s="330" t="str" cm="1">
        <f t="array" ref="AN221">IF(tblPiNAnalysis5[[#This Row],[Highest Target]]=0, "",  IF(OR(COUNTIF(tblPiNAnalysis5[[#This Row],[Highest sector(s)]],tblSubSectorPopulation[Sector])), "Flagged", ""))</f>
        <v/>
      </c>
      <c r="AO221" s="46" cm="1">
        <f t="array" ref="AO22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25678.83079632674</v>
      </c>
      <c r="AP221" s="331" t="str" cm="1">
        <f t="array" ref="AP221">IF(tblPiNAnalysis5[[#This Row],[2nd Highest Target]]="", "", _xlfn.TEXTJOIN(CHAR(10), TRUE, IF(tblPiNAnalysis5[[#This Row],[2nd Highest Target]]=tblPiNAnalysis5[[#This Row],[CCCM]:[WASH]], tblPiNAnalysis5[[#Headers],[CCCM]:[WASH]], "")))</f>
        <v>Health</v>
      </c>
      <c r="AQ221" s="36">
        <f>IFERROR(tblPiNAnalysis5[[#This Row],[2nd Highest Target]]/tblPiNAnalysis5[[#This Row],[Affected population projection 2026]], "")</f>
        <v>0.58021728573098108</v>
      </c>
      <c r="AR221" s="46">
        <f>IFERROR(tblPiNAnalysis5[[#This Row],[Highest Target]]-tblPiNAnalysis5[[#This Row],[2nd Highest Target]], "")</f>
        <v>7514.1187604615152</v>
      </c>
      <c r="AS221" s="39">
        <f>IFERROR(((tblPiNAnalysis5[[#This Row],[Highest Target]]-tblPiNAnalysis5[[#This Row],[2nd Highest Target]])/tblPiNAnalysis5[[#This Row],[2nd Highest Target]]),"")</f>
        <v>0.29261919360971766</v>
      </c>
      <c r="AT221" s="39" t="str" cm="1">
        <f t="array" ref="AT22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1" s="332" cm="1">
        <f t="array" ref="AU22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22810.630866941527</v>
      </c>
      <c r="AV221" s="190" t="str" cm="1">
        <f t="array" ref="AV221">IF(tblPiNAnalysis5[[#This Row],[3rd Highest Target]]="", "", _xlfn.TEXTJOIN(CHAR(10), TRUE, IF(tblPiNAnalysis5[[#This Row],[3rd Highest Target]]=tblPiNAnalysis5[[#This Row],[CCCM]:[WASH]], tblPiNAnalysis5[[#Headers],[CCCM]:[WASH]], "")))</f>
        <v>Food Security</v>
      </c>
      <c r="AW221" s="190">
        <f>IFERROR(tblPiNAnalysis5[[#This Row],[3rd Highest Target]]/tblPiNAnalysis5[[#This Row],[Affected population projection 2026]], "")</f>
        <v>0.51540984994228722</v>
      </c>
      <c r="AX221" s="45">
        <f>IFERROR(tblPiNAnalysis5[[#This Row],[Highest Target]]-tblPiNAnalysis5[[#This Row],[3rd Highest Target]],"")</f>
        <v>10382.318689846728</v>
      </c>
      <c r="AY221" s="39">
        <f>IFERROR(tblPiNAnalysis5[[#This Row],[Difference of Target between Highest and 3rd Highest]]/tblPiNAnalysis5[[#This Row],[3rd Highest Target]], "")</f>
        <v>0.45515263257770655</v>
      </c>
      <c r="AZ221" s="330" t="str" cm="1">
        <f t="array" ref="AZ22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1" s="300" t="str" cm="1">
        <f t="array" ref="BA22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1" s="333" t="str" cm="1">
        <f t="array" ref="BB22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1" s="276" t="str" cm="1">
        <f t="array" ref="BC22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1" s="334" t="str" cm="1">
        <f t="array" ref="BD22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1" s="277" t="e">
        <f>INDEX(tblSeverityAnalysis[Final Severity], MATCH(tblPiNAnalysis5[[#This Row],[ID]],tblSeverityAnalysis[ID], 0))</f>
        <v>#N/A</v>
      </c>
      <c r="BF221" s="61" t="e">
        <f>IF(tblPiNAnalysis5[[#This Row],[Severity]]&gt;2,tblPiNAnalysis5[[#This Row],[Highest Target]],)</f>
        <v>#N/A</v>
      </c>
      <c r="BG221" s="191"/>
      <c r="BH221" s="192"/>
      <c r="BI221" s="193">
        <f>COUNTIFS(tblPiNAnalysis5[[#This Row],[Number of missing / zero PiNs greater than threshold - Data quality]:[Manual Flag]],"Flagged")</f>
        <v>1</v>
      </c>
      <c r="BJ221" s="96" t="str">
        <f>IF(tblPiNAnalysis5[[#This Row],['# Flags]]&gt;0, "Flagged", "")</f>
        <v>Flagged</v>
      </c>
      <c r="BK221" s="326" t="e">
        <f>tblPiNAnalysis5[[#This Row],[Preliminary Target]]</f>
        <v>#N/A</v>
      </c>
      <c r="BL221" s="331"/>
    </row>
    <row r="222" spans="1:64" x14ac:dyDescent="0.55000000000000004">
      <c r="A2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2" s="316" t="s">
        <v>368</v>
      </c>
      <c r="C222" s="317" t="s">
        <v>369</v>
      </c>
      <c r="D222" s="317" t="s">
        <v>370</v>
      </c>
      <c r="E222" s="105" t="s">
        <v>371</v>
      </c>
      <c r="F222" s="100"/>
      <c r="G222" s="34"/>
      <c r="H222" s="34"/>
      <c r="I222" s="97">
        <v>34983.329520759507</v>
      </c>
      <c r="J222" s="97" t="s">
        <v>414</v>
      </c>
      <c r="K222" s="318">
        <v>0</v>
      </c>
      <c r="L222" s="319">
        <v>1853.3573263496535</v>
      </c>
      <c r="M222" s="319">
        <v>6260.8038420060857</v>
      </c>
      <c r="N222" s="319">
        <v>5655.1617490371</v>
      </c>
      <c r="O222" s="319">
        <v>5892.1146252364215</v>
      </c>
      <c r="P222" s="319">
        <v>4872.5964171905953</v>
      </c>
      <c r="Q222" s="320">
        <v>5499.388003121474</v>
      </c>
      <c r="R222" s="319">
        <v>971.75915335443062</v>
      </c>
      <c r="S222" s="319"/>
      <c r="T222" s="319"/>
      <c r="U222" s="319"/>
      <c r="V222" s="319"/>
      <c r="W222" s="321">
        <f>IFERROR(IF(tblPiNAnalysis5[[#This Row],[CCCM]]="", "", MROUND(tblPiNAnalysis5[[#This Row],[CCCM]]/tblPiNAnalysis5[[#This Row],[Affected population projection 2026]], 0.05)), "")</f>
        <v>0</v>
      </c>
      <c r="X222" s="322">
        <f>IFERROR(IF(tblPiNAnalysis5[[#This Row],[Education]]="", "", MROUND(tblPiNAnalysis5[[#This Row],[Education]]/tblPiNAnalysis5[[#This Row],[Affected population projection 2026]], 0.05)), "")</f>
        <v>0.05</v>
      </c>
      <c r="Y222" s="322">
        <f>IFERROR(IF(tblPiNAnalysis5[[#This Row],[Nutrition]]="", "", MROUND(tblPiNAnalysis5[[#This Row],[Nutrition]]/tblPiNAnalysis5[[#This Row],[Affected population projection 2026]], 0.05)), "")</f>
        <v>0.2</v>
      </c>
      <c r="Z222" s="322">
        <f>IFERROR(IF(tblPiNAnalysis5[[#This Row],[Food Security]]="", "", MROUND(tblPiNAnalysis5[[#This Row],[Food Security]]/tblPiNAnalysis5[[#This Row],[Affected population projection 2026]], 0.05)), "")</f>
        <v>0.15000000000000002</v>
      </c>
      <c r="AA222" s="322">
        <f>IFERROR(IF(tblPiNAnalysis5[[#This Row],[Health]]="", "", MROUND(tblPiNAnalysis5[[#This Row],[Health]]/tblPiNAnalysis5[[#This Row],[Affected population projection 2026]], 0.05)), "")</f>
        <v>0.15000000000000002</v>
      </c>
      <c r="AB222" s="323">
        <f>IFERROR(IF(tblPiNAnalysis5[[#This Row],[Overarching Protection]]="", "", MROUND(tblPiNAnalysis5[[#This Row],[Overarching Protection]]/tblPiNAnalysis5[[#This Row],[Affected population projection 2026]], 0.05)), "")</f>
        <v>0.15000000000000002</v>
      </c>
      <c r="AC222" s="323">
        <f>IFERROR(IF(tblPiNAnalysis5[[#This Row],[Shelter]]="", "", MROUND(tblPiNAnalysis5[[#This Row],[Shelter]]/tblPiNAnalysis5[[#This Row],[Affected population projection 2026]], 0.05)), "")</f>
        <v>0.15000000000000002</v>
      </c>
      <c r="AD222" s="324">
        <f>IFERROR(IF(tblPiNAnalysis5[[#This Row],[WASH]]="", "", MROUND(tblPiNAnalysis5[[#This Row],[WASH]]/tblPiNAnalysis5[[#This Row],[Affected population projection 2026]], 0.05)), "")</f>
        <v>0.05</v>
      </c>
      <c r="AE222" s="322">
        <f>IFERROR(MROUND(tblPiNAnalysis5[[#This Row],[CP]]/tblPiNAnalysis5[[#This Row],[Affected population projection 2026]], 0.05), "")</f>
        <v>0</v>
      </c>
      <c r="AF222" s="322">
        <f>IFERROR(MROUND(tblPiNAnalysis5[[#This Row],[GBV]]/tblPiNAnalysis5[[#This Row],[Affected population projection 2026]], 0.05), "")</f>
        <v>0</v>
      </c>
      <c r="AG222" s="322">
        <f>IFERROR(MROUND(tblPiNAnalysis5[[#This Row],[Mine Action]]/tblPiNAnalysis5[[#This Row],[Affected population projection 2026]], 0.05), "")</f>
        <v>0</v>
      </c>
      <c r="AH222" s="322">
        <f>IFERROR(MROUND(tblPiNAnalysis5[[#This Row],[HLP]]/tblPiNAnalysis5[[#This Row],[Affected population projection 2026]], 0.05), "")</f>
        <v>0</v>
      </c>
      <c r="AI222" s="325">
        <f>IFERROR(LARGE(tblPiNAnalysis5[[#This Row],[CCCM]:[WASH]], 1), "")</f>
        <v>6260.8038420060857</v>
      </c>
      <c r="AJ222" s="326" t="str" cm="1">
        <f t="array" ref="AJ222">IF(tblPiNAnalysis5[[#This Row],[Highest Target]]="", "", _xlfn.TEXTJOIN(CHAR(10), TRUE, IF(tblPiNAnalysis5[[#This Row],[Highest Target]]=tblPiNAnalysis5[[#This Row],[CCCM]:[WASH]], tblPiNAnalysis5[[#Headers],[CCCM]:[WASH]], "")))</f>
        <v>Nutrition</v>
      </c>
      <c r="AK222" s="327">
        <f>IF(tblPiNAnalysis5[[#This Row],[Highest Target]]="", "", tblPiNAnalysis5[[#This Row],[Highest Target]]/tblPiNAnalysis5[[#This Row],[Affected population projection 2026]])</f>
        <v>0.17896535086206855</v>
      </c>
      <c r="AL222" s="328" t="str">
        <f>IF(SUM(tblPiNAnalysis5[[#This Row],[CCCM]:[WASH]])=0, "",IF(COUNTIF(tblPiNAnalysis5[[#This Row],[CCCM]:[WASH]],"=0")+COUNTIF(tblPiNAnalysis5[[#This Row],[CCCM]:[WASH]],"")&gt;=zero_pin_thresh, "Flagged", ""))</f>
        <v/>
      </c>
      <c r="AM222" s="329" t="str">
        <f>IFERROR(IF(tblPiNAnalysis5[[#This Row],[Highest Target]]="", "", IF(tblPiNAnalysis5[[#This Row],[Highest sector(s'') Target %]]&gt;=flag_pin_perc, "Flagged", "")), "")</f>
        <v/>
      </c>
      <c r="AN222" s="330" t="str" cm="1">
        <f t="array" ref="AN222">IF(tblPiNAnalysis5[[#This Row],[Highest Target]]=0, "",  IF(OR(COUNTIF(tblPiNAnalysis5[[#This Row],[Highest sector(s)]],tblSubSectorPopulation[Sector])), "Flagged", ""))</f>
        <v/>
      </c>
      <c r="AO222" s="46" cm="1">
        <f t="array" ref="AO22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5892.1146252364215</v>
      </c>
      <c r="AP222" s="331" t="str" cm="1">
        <f t="array" ref="AP222">IF(tblPiNAnalysis5[[#This Row],[2nd Highest Target]]="", "", _xlfn.TEXTJOIN(CHAR(10), TRUE, IF(tblPiNAnalysis5[[#This Row],[2nd Highest Target]]=tblPiNAnalysis5[[#This Row],[CCCM]:[WASH]], tblPiNAnalysis5[[#Headers],[CCCM]:[WASH]], "")))</f>
        <v>Health</v>
      </c>
      <c r="AQ222" s="36">
        <f>IFERROR(tblPiNAnalysis5[[#This Row],[2nd Highest Target]]/tblPiNAnalysis5[[#This Row],[Affected population projection 2026]], "")</f>
        <v>0.168426353521896</v>
      </c>
      <c r="AR222" s="46">
        <f>IFERROR(tblPiNAnalysis5[[#This Row],[Highest Target]]-tblPiNAnalysis5[[#This Row],[2nd Highest Target]], "")</f>
        <v>368.6892167696642</v>
      </c>
      <c r="AS222" s="39">
        <f>IFERROR(((tblPiNAnalysis5[[#This Row],[Highest Target]]-tblPiNAnalysis5[[#This Row],[2nd Highest Target]])/tblPiNAnalysis5[[#This Row],[2nd Highest Target]]),"")</f>
        <v>6.2573327272103185E-2</v>
      </c>
      <c r="AT222" s="39" t="str" cm="1">
        <f t="array" ref="AT22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2" s="332" cm="1">
        <f t="array" ref="AU22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5655.1617490371</v>
      </c>
      <c r="AV222" s="190" t="str" cm="1">
        <f t="array" ref="AV222">IF(tblPiNAnalysis5[[#This Row],[3rd Highest Target]]="", "", _xlfn.TEXTJOIN(CHAR(10), TRUE, IF(tblPiNAnalysis5[[#This Row],[3rd Highest Target]]=tblPiNAnalysis5[[#This Row],[CCCM]:[WASH]], tblPiNAnalysis5[[#Headers],[CCCM]:[WASH]], "")))</f>
        <v>Food Security</v>
      </c>
      <c r="AW222" s="190">
        <f>IFERROR(tblPiNAnalysis5[[#This Row],[3rd Highest Target]]/tblPiNAnalysis5[[#This Row],[Affected population projection 2026]], "")</f>
        <v>0.16165304522204677</v>
      </c>
      <c r="AX222" s="45">
        <f>IFERROR(tblPiNAnalysis5[[#This Row],[Highest Target]]-tblPiNAnalysis5[[#This Row],[3rd Highest Target]],"")</f>
        <v>605.64209296898571</v>
      </c>
      <c r="AY222" s="39">
        <f>IFERROR(tblPiNAnalysis5[[#This Row],[Difference of Target between Highest and 3rd Highest]]/tblPiNAnalysis5[[#This Row],[3rd Highest Target]], "")</f>
        <v>0.10709545011194559</v>
      </c>
      <c r="AZ222" s="330" t="str" cm="1">
        <f t="array" ref="AZ22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2" s="300" t="str" cm="1">
        <f t="array" ref="BA22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2" s="333" t="str" cm="1">
        <f t="array" ref="BB22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2" s="276" t="str" cm="1">
        <f t="array" ref="BC22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2" s="334" t="str" cm="1">
        <f t="array" ref="BD22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2" s="277" t="e">
        <f>INDEX(tblSeverityAnalysis[Final Severity], MATCH(tblPiNAnalysis5[[#This Row],[ID]],tblSeverityAnalysis[ID], 0))</f>
        <v>#N/A</v>
      </c>
      <c r="BF222" s="61" t="e">
        <f>IF(tblPiNAnalysis5[[#This Row],[Severity]]&gt;2,tblPiNAnalysis5[[#This Row],[Highest Target]],)</f>
        <v>#N/A</v>
      </c>
      <c r="BG222" s="191"/>
      <c r="BH222" s="192"/>
      <c r="BI222" s="193">
        <f>COUNTIFS(tblPiNAnalysis5[[#This Row],[Number of missing / zero PiNs greater than threshold - Data quality]:[Manual Flag]],"Flagged")</f>
        <v>1</v>
      </c>
      <c r="BJ222" s="96" t="str">
        <f>IF(tblPiNAnalysis5[[#This Row],['# Flags]]&gt;0, "Flagged", "")</f>
        <v>Flagged</v>
      </c>
      <c r="BK222" s="326" t="e">
        <f>tblPiNAnalysis5[[#This Row],[Preliminary Target]]</f>
        <v>#N/A</v>
      </c>
      <c r="BL222" s="331"/>
    </row>
    <row r="223" spans="1:64" x14ac:dyDescent="0.55000000000000004">
      <c r="A2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3" s="316" t="s">
        <v>368</v>
      </c>
      <c r="C223" s="317" t="s">
        <v>369</v>
      </c>
      <c r="D223" s="317" t="s">
        <v>372</v>
      </c>
      <c r="E223" s="105" t="s">
        <v>373</v>
      </c>
      <c r="F223" s="100"/>
      <c r="G223" s="34"/>
      <c r="H223" s="34"/>
      <c r="I223" s="97">
        <v>98408.747432231496</v>
      </c>
      <c r="J223" s="97" t="s">
        <v>414</v>
      </c>
      <c r="K223" s="318">
        <v>0</v>
      </c>
      <c r="L223" s="319">
        <v>5598.6926008826858</v>
      </c>
      <c r="M223" s="319">
        <v>17553.951326418319</v>
      </c>
      <c r="N223" s="319">
        <v>14648.385397148562</v>
      </c>
      <c r="O223" s="319">
        <v>17460.781015847377</v>
      </c>
      <c r="P223" s="319">
        <v>10599.503096170858</v>
      </c>
      <c r="Q223" s="320">
        <v>12932.253746377106</v>
      </c>
      <c r="R223" s="319">
        <v>9281.7341328127422</v>
      </c>
      <c r="S223" s="319"/>
      <c r="T223" s="319"/>
      <c r="U223" s="319"/>
      <c r="V223" s="319"/>
      <c r="W223" s="321">
        <f>IFERROR(IF(tblPiNAnalysis5[[#This Row],[CCCM]]="", "", MROUND(tblPiNAnalysis5[[#This Row],[CCCM]]/tblPiNAnalysis5[[#This Row],[Affected population projection 2026]], 0.05)), "")</f>
        <v>0</v>
      </c>
      <c r="X223" s="322">
        <f>IFERROR(IF(tblPiNAnalysis5[[#This Row],[Education]]="", "", MROUND(tblPiNAnalysis5[[#This Row],[Education]]/tblPiNAnalysis5[[#This Row],[Affected population projection 2026]], 0.05)), "")</f>
        <v>0.05</v>
      </c>
      <c r="Y223" s="322">
        <f>IFERROR(IF(tblPiNAnalysis5[[#This Row],[Nutrition]]="", "", MROUND(tblPiNAnalysis5[[#This Row],[Nutrition]]/tblPiNAnalysis5[[#This Row],[Affected population projection 2026]], 0.05)), "")</f>
        <v>0.2</v>
      </c>
      <c r="Z223" s="322">
        <f>IFERROR(IF(tblPiNAnalysis5[[#This Row],[Food Security]]="", "", MROUND(tblPiNAnalysis5[[#This Row],[Food Security]]/tblPiNAnalysis5[[#This Row],[Affected population projection 2026]], 0.05)), "")</f>
        <v>0.15000000000000002</v>
      </c>
      <c r="AA223" s="322">
        <f>IFERROR(IF(tblPiNAnalysis5[[#This Row],[Health]]="", "", MROUND(tblPiNAnalysis5[[#This Row],[Health]]/tblPiNAnalysis5[[#This Row],[Affected population projection 2026]], 0.05)), "")</f>
        <v>0.2</v>
      </c>
      <c r="AB223" s="323">
        <f>IFERROR(IF(tblPiNAnalysis5[[#This Row],[Overarching Protection]]="", "", MROUND(tblPiNAnalysis5[[#This Row],[Overarching Protection]]/tblPiNAnalysis5[[#This Row],[Affected population projection 2026]], 0.05)), "")</f>
        <v>0.1</v>
      </c>
      <c r="AC223" s="323">
        <f>IFERROR(IF(tblPiNAnalysis5[[#This Row],[Shelter]]="", "", MROUND(tblPiNAnalysis5[[#This Row],[Shelter]]/tblPiNAnalysis5[[#This Row],[Affected population projection 2026]], 0.05)), "")</f>
        <v>0.15000000000000002</v>
      </c>
      <c r="AD223" s="324">
        <f>IFERROR(IF(tblPiNAnalysis5[[#This Row],[WASH]]="", "", MROUND(tblPiNAnalysis5[[#This Row],[WASH]]/tblPiNAnalysis5[[#This Row],[Affected population projection 2026]], 0.05)), "")</f>
        <v>0.1</v>
      </c>
      <c r="AE223" s="322">
        <f>IFERROR(MROUND(tblPiNAnalysis5[[#This Row],[CP]]/tblPiNAnalysis5[[#This Row],[Affected population projection 2026]], 0.05), "")</f>
        <v>0</v>
      </c>
      <c r="AF223" s="322">
        <f>IFERROR(MROUND(tblPiNAnalysis5[[#This Row],[GBV]]/tblPiNAnalysis5[[#This Row],[Affected population projection 2026]], 0.05), "")</f>
        <v>0</v>
      </c>
      <c r="AG223" s="322">
        <f>IFERROR(MROUND(tblPiNAnalysis5[[#This Row],[Mine Action]]/tblPiNAnalysis5[[#This Row],[Affected population projection 2026]], 0.05), "")</f>
        <v>0</v>
      </c>
      <c r="AH223" s="322">
        <f>IFERROR(MROUND(tblPiNAnalysis5[[#This Row],[HLP]]/tblPiNAnalysis5[[#This Row],[Affected population projection 2026]], 0.05), "")</f>
        <v>0</v>
      </c>
      <c r="AI223" s="325">
        <f>IFERROR(LARGE(tblPiNAnalysis5[[#This Row],[CCCM]:[WASH]], 1), "")</f>
        <v>17553.951326418319</v>
      </c>
      <c r="AJ223" s="326" t="str" cm="1">
        <f t="array" ref="AJ223">IF(tblPiNAnalysis5[[#This Row],[Highest Target]]="", "", _xlfn.TEXTJOIN(CHAR(10), TRUE, IF(tblPiNAnalysis5[[#This Row],[Highest Target]]=tblPiNAnalysis5[[#This Row],[CCCM]:[WASH]], tblPiNAnalysis5[[#Headers],[CCCM]:[WASH]], "")))</f>
        <v>Nutrition</v>
      </c>
      <c r="AK223" s="327">
        <f>IF(tblPiNAnalysis5[[#This Row],[Highest Target]]="", "", tblPiNAnalysis5[[#This Row],[Highest Target]]/tblPiNAnalysis5[[#This Row],[Affected population projection 2026]])</f>
        <v>0.17837795708665763</v>
      </c>
      <c r="AL223" s="328" t="str">
        <f>IF(SUM(tblPiNAnalysis5[[#This Row],[CCCM]:[WASH]])=0, "",IF(COUNTIF(tblPiNAnalysis5[[#This Row],[CCCM]:[WASH]],"=0")+COUNTIF(tblPiNAnalysis5[[#This Row],[CCCM]:[WASH]],"")&gt;=zero_pin_thresh, "Flagged", ""))</f>
        <v/>
      </c>
      <c r="AM223" s="329" t="str">
        <f>IFERROR(IF(tblPiNAnalysis5[[#This Row],[Highest Target]]="", "", IF(tblPiNAnalysis5[[#This Row],[Highest sector(s'') Target %]]&gt;=flag_pin_perc, "Flagged", "")), "")</f>
        <v/>
      </c>
      <c r="AN223" s="330" t="str" cm="1">
        <f t="array" ref="AN223">IF(tblPiNAnalysis5[[#This Row],[Highest Target]]=0, "",  IF(OR(COUNTIF(tblPiNAnalysis5[[#This Row],[Highest sector(s)]],tblSubSectorPopulation[Sector])), "Flagged", ""))</f>
        <v/>
      </c>
      <c r="AO223" s="46" cm="1">
        <f t="array" ref="AO22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17460.781015847377</v>
      </c>
      <c r="AP223" s="331" t="str" cm="1">
        <f t="array" ref="AP223">IF(tblPiNAnalysis5[[#This Row],[2nd Highest Target]]="", "", _xlfn.TEXTJOIN(CHAR(10), TRUE, IF(tblPiNAnalysis5[[#This Row],[2nd Highest Target]]=tblPiNAnalysis5[[#This Row],[CCCM]:[WASH]], tblPiNAnalysis5[[#Headers],[CCCM]:[WASH]], "")))</f>
        <v>Health</v>
      </c>
      <c r="AQ223" s="36">
        <f>IFERROR(tblPiNAnalysis5[[#This Row],[2nd Highest Target]]/tblPiNAnalysis5[[#This Row],[Affected population projection 2026]], "")</f>
        <v>0.17743118850152648</v>
      </c>
      <c r="AR223" s="46">
        <f>IFERROR(tblPiNAnalysis5[[#This Row],[Highest Target]]-tblPiNAnalysis5[[#This Row],[2nd Highest Target]], "")</f>
        <v>93.170310570942092</v>
      </c>
      <c r="AS223" s="39">
        <f>IFERROR(((tblPiNAnalysis5[[#This Row],[Highest Target]]-tblPiNAnalysis5[[#This Row],[2nd Highest Target]])/tblPiNAnalysis5[[#This Row],[2nd Highest Target]]),"")</f>
        <v>5.3359761219375504E-3</v>
      </c>
      <c r="AT223" s="39" t="str" cm="1">
        <f t="array" ref="AT22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3" s="332" cm="1">
        <f t="array" ref="AU22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14648.385397148562</v>
      </c>
      <c r="AV223" s="190" t="str" cm="1">
        <f t="array" ref="AV223">IF(tblPiNAnalysis5[[#This Row],[3rd Highest Target]]="", "", _xlfn.TEXTJOIN(CHAR(10), TRUE, IF(tblPiNAnalysis5[[#This Row],[3rd Highest Target]]=tblPiNAnalysis5[[#This Row],[CCCM]:[WASH]], tblPiNAnalysis5[[#Headers],[CCCM]:[WASH]], "")))</f>
        <v>Food Security</v>
      </c>
      <c r="AW223" s="190">
        <f>IFERROR(tblPiNAnalysis5[[#This Row],[3rd Highest Target]]/tblPiNAnalysis5[[#This Row],[Affected population projection 2026]], "")</f>
        <v>0.1488524727665706</v>
      </c>
      <c r="AX223" s="45">
        <f>IFERROR(tblPiNAnalysis5[[#This Row],[Highest Target]]-tblPiNAnalysis5[[#This Row],[3rd Highest Target]],"")</f>
        <v>2905.5659292697565</v>
      </c>
      <c r="AY223" s="39">
        <f>IFERROR(tblPiNAnalysis5[[#This Row],[Difference of Target between Highest and 3rd Highest]]/tblPiNAnalysis5[[#This Row],[3rd Highest Target]], "")</f>
        <v>0.19835400629446509</v>
      </c>
      <c r="AZ223" s="330" t="str" cm="1">
        <f t="array" ref="AZ22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3" s="300" t="str" cm="1">
        <f t="array" ref="BA22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3" s="333" t="str" cm="1">
        <f t="array" ref="BB22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3" s="276" t="str" cm="1">
        <f t="array" ref="BC22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3" s="334" t="str" cm="1">
        <f t="array" ref="BD22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3" s="277" t="e">
        <f>INDEX(tblSeverityAnalysis[Final Severity], MATCH(tblPiNAnalysis5[[#This Row],[ID]],tblSeverityAnalysis[ID], 0))</f>
        <v>#N/A</v>
      </c>
      <c r="BF223" s="61" t="e">
        <f>IF(tblPiNAnalysis5[[#This Row],[Severity]]&gt;2,tblPiNAnalysis5[[#This Row],[Highest Target]],)</f>
        <v>#N/A</v>
      </c>
      <c r="BG223" s="191"/>
      <c r="BH223" s="192"/>
      <c r="BI223" s="193">
        <f>COUNTIFS(tblPiNAnalysis5[[#This Row],[Number of missing / zero PiNs greater than threshold - Data quality]:[Manual Flag]],"Flagged")</f>
        <v>1</v>
      </c>
      <c r="BJ223" s="96" t="str">
        <f>IF(tblPiNAnalysis5[[#This Row],['# Flags]]&gt;0, "Flagged", "")</f>
        <v>Flagged</v>
      </c>
      <c r="BK223" s="326" t="e">
        <f>tblPiNAnalysis5[[#This Row],[Preliminary Target]]</f>
        <v>#N/A</v>
      </c>
      <c r="BL223" s="331"/>
    </row>
    <row r="224" spans="1:64" ht="24.6" x14ac:dyDescent="0.55000000000000004">
      <c r="A2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4" s="316" t="s">
        <v>368</v>
      </c>
      <c r="C224" s="317" t="s">
        <v>369</v>
      </c>
      <c r="D224" s="317" t="s">
        <v>374</v>
      </c>
      <c r="E224" s="105" t="s">
        <v>375</v>
      </c>
      <c r="F224" s="100"/>
      <c r="G224" s="34"/>
      <c r="H224" s="34"/>
      <c r="I224" s="97">
        <v>17868.834713485074</v>
      </c>
      <c r="J224" s="97" t="s">
        <v>414</v>
      </c>
      <c r="K224" s="318">
        <v>0</v>
      </c>
      <c r="L224" s="319">
        <v>5845.6498996058772</v>
      </c>
      <c r="M224" s="319">
        <v>4472.1630515652214</v>
      </c>
      <c r="N224" s="319">
        <v>7378.8208715572273</v>
      </c>
      <c r="O224" s="319">
        <v>5350.4669219999969</v>
      </c>
      <c r="P224" s="319">
        <v>6490.8773525721463</v>
      </c>
      <c r="Q224" s="320">
        <v>5433.872025382826</v>
      </c>
      <c r="R224" s="319">
        <v>2679.4060282823557</v>
      </c>
      <c r="S224" s="319"/>
      <c r="T224" s="319"/>
      <c r="U224" s="319"/>
      <c r="V224" s="319"/>
      <c r="W224" s="321">
        <f>IFERROR(IF(tblPiNAnalysis5[[#This Row],[CCCM]]="", "", MROUND(tblPiNAnalysis5[[#This Row],[CCCM]]/tblPiNAnalysis5[[#This Row],[Affected population projection 2026]], 0.05)), "")</f>
        <v>0</v>
      </c>
      <c r="X224" s="322">
        <f>IFERROR(IF(tblPiNAnalysis5[[#This Row],[Education]]="", "", MROUND(tblPiNAnalysis5[[#This Row],[Education]]/tblPiNAnalysis5[[#This Row],[Affected population projection 2026]], 0.05)), "")</f>
        <v>0.35000000000000003</v>
      </c>
      <c r="Y224" s="322">
        <f>IFERROR(IF(tblPiNAnalysis5[[#This Row],[Nutrition]]="", "", MROUND(tblPiNAnalysis5[[#This Row],[Nutrition]]/tblPiNAnalysis5[[#This Row],[Affected population projection 2026]], 0.05)), "")</f>
        <v>0.25</v>
      </c>
      <c r="Z224" s="322">
        <f>IFERROR(IF(tblPiNAnalysis5[[#This Row],[Food Security]]="", "", MROUND(tblPiNAnalysis5[[#This Row],[Food Security]]/tblPiNAnalysis5[[#This Row],[Affected population projection 2026]], 0.05)), "")</f>
        <v>0.4</v>
      </c>
      <c r="AA224" s="322">
        <f>IFERROR(IF(tblPiNAnalysis5[[#This Row],[Health]]="", "", MROUND(tblPiNAnalysis5[[#This Row],[Health]]/tblPiNAnalysis5[[#This Row],[Affected population projection 2026]], 0.05)), "")</f>
        <v>0.30000000000000004</v>
      </c>
      <c r="AB224" s="323">
        <f>IFERROR(IF(tblPiNAnalysis5[[#This Row],[Overarching Protection]]="", "", MROUND(tblPiNAnalysis5[[#This Row],[Overarching Protection]]/tblPiNAnalysis5[[#This Row],[Affected population projection 2026]], 0.05)), "")</f>
        <v>0.35000000000000003</v>
      </c>
      <c r="AC224" s="323">
        <f>IFERROR(IF(tblPiNAnalysis5[[#This Row],[Shelter]]="", "", MROUND(tblPiNAnalysis5[[#This Row],[Shelter]]/tblPiNAnalysis5[[#This Row],[Affected population projection 2026]], 0.05)), "")</f>
        <v>0.30000000000000004</v>
      </c>
      <c r="AD224" s="324">
        <f>IFERROR(IF(tblPiNAnalysis5[[#This Row],[WASH]]="", "", MROUND(tblPiNAnalysis5[[#This Row],[WASH]]/tblPiNAnalysis5[[#This Row],[Affected population projection 2026]], 0.05)), "")</f>
        <v>0.15000000000000002</v>
      </c>
      <c r="AE224" s="322">
        <f>IFERROR(MROUND(tblPiNAnalysis5[[#This Row],[CP]]/tblPiNAnalysis5[[#This Row],[Affected population projection 2026]], 0.05), "")</f>
        <v>0</v>
      </c>
      <c r="AF224" s="322">
        <f>IFERROR(MROUND(tblPiNAnalysis5[[#This Row],[GBV]]/tblPiNAnalysis5[[#This Row],[Affected population projection 2026]], 0.05), "")</f>
        <v>0</v>
      </c>
      <c r="AG224" s="322">
        <f>IFERROR(MROUND(tblPiNAnalysis5[[#This Row],[Mine Action]]/tblPiNAnalysis5[[#This Row],[Affected population projection 2026]], 0.05), "")</f>
        <v>0</v>
      </c>
      <c r="AH224" s="322">
        <f>IFERROR(MROUND(tblPiNAnalysis5[[#This Row],[HLP]]/tblPiNAnalysis5[[#This Row],[Affected population projection 2026]], 0.05), "")</f>
        <v>0</v>
      </c>
      <c r="AI224" s="325">
        <f>IFERROR(LARGE(tblPiNAnalysis5[[#This Row],[CCCM]:[WASH]], 1), "")</f>
        <v>7378.8208715572273</v>
      </c>
      <c r="AJ224" s="326" t="str" cm="1">
        <f t="array" ref="AJ224">IF(tblPiNAnalysis5[[#This Row],[Highest Target]]="", "", _xlfn.TEXTJOIN(CHAR(10), TRUE, IF(tblPiNAnalysis5[[#This Row],[Highest Target]]=tblPiNAnalysis5[[#This Row],[CCCM]:[WASH]], tblPiNAnalysis5[[#Headers],[CCCM]:[WASH]], "")))</f>
        <v>Food Security</v>
      </c>
      <c r="AK224" s="327">
        <f>IF(tblPiNAnalysis5[[#This Row],[Highest Target]]="", "", tblPiNAnalysis5[[#This Row],[Highest Target]]/tblPiNAnalysis5[[#This Row],[Affected population projection 2026]])</f>
        <v>0.41294359648358336</v>
      </c>
      <c r="AL224" s="328" t="str">
        <f>IF(SUM(tblPiNAnalysis5[[#This Row],[CCCM]:[WASH]])=0, "",IF(COUNTIF(tblPiNAnalysis5[[#This Row],[CCCM]:[WASH]],"=0")+COUNTIF(tblPiNAnalysis5[[#This Row],[CCCM]:[WASH]],"")&gt;=zero_pin_thresh, "Flagged", ""))</f>
        <v/>
      </c>
      <c r="AM224" s="329" t="str">
        <f>IFERROR(IF(tblPiNAnalysis5[[#This Row],[Highest Target]]="", "", IF(tblPiNAnalysis5[[#This Row],[Highest sector(s'') Target %]]&gt;=flag_pin_perc, "Flagged", "")), "")</f>
        <v/>
      </c>
      <c r="AN224" s="330" t="str" cm="1">
        <f t="array" ref="AN224">IF(tblPiNAnalysis5[[#This Row],[Highest Target]]=0, "",  IF(OR(COUNTIF(tblPiNAnalysis5[[#This Row],[Highest sector(s)]],tblSubSectorPopulation[Sector])), "Flagged", ""))</f>
        <v/>
      </c>
      <c r="AO224" s="46" cm="1">
        <f t="array" ref="AO22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6490.8773525721463</v>
      </c>
      <c r="AP224" s="331" t="str" cm="1">
        <f t="array" ref="AP224">IF(tblPiNAnalysis5[[#This Row],[2nd Highest Target]]="", "", _xlfn.TEXTJOIN(CHAR(10), TRUE, IF(tblPiNAnalysis5[[#This Row],[2nd Highest Target]]=tblPiNAnalysis5[[#This Row],[CCCM]:[WASH]], tblPiNAnalysis5[[#Headers],[CCCM]:[WASH]], "")))</f>
        <v>Overarching Protection</v>
      </c>
      <c r="AQ224" s="36">
        <f>IFERROR(tblPiNAnalysis5[[#This Row],[2nd Highest Target]]/tblPiNAnalysis5[[#This Row],[Affected population projection 2026]], "")</f>
        <v>0.36325129515433235</v>
      </c>
      <c r="AR224" s="46">
        <f>IFERROR(tblPiNAnalysis5[[#This Row],[Highest Target]]-tblPiNAnalysis5[[#This Row],[2nd Highest Target]], "")</f>
        <v>887.94351898508103</v>
      </c>
      <c r="AS224" s="39">
        <f>IFERROR(((tblPiNAnalysis5[[#This Row],[Highest Target]]-tblPiNAnalysis5[[#This Row],[2nd Highest Target]])/tblPiNAnalysis5[[#This Row],[2nd Highest Target]]),"")</f>
        <v>0.13679869003120429</v>
      </c>
      <c r="AT224" s="39" t="str" cm="1">
        <f t="array" ref="AT22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4" s="332" cm="1">
        <f t="array" ref="AU22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5845.6498996058772</v>
      </c>
      <c r="AV224" s="190" t="str" cm="1">
        <f t="array" ref="AV224">IF(tblPiNAnalysis5[[#This Row],[3rd Highest Target]]="", "", _xlfn.TEXTJOIN(CHAR(10), TRUE, IF(tblPiNAnalysis5[[#This Row],[3rd Highest Target]]=tblPiNAnalysis5[[#This Row],[CCCM]:[WASH]], tblPiNAnalysis5[[#Headers],[CCCM]:[WASH]], "")))</f>
        <v>Education</v>
      </c>
      <c r="AW224" s="190">
        <f>IFERROR(tblPiNAnalysis5[[#This Row],[3rd Highest Target]]/tblPiNAnalysis5[[#This Row],[Affected population projection 2026]], "")</f>
        <v>0.32714220000000005</v>
      </c>
      <c r="AX224" s="45">
        <f>IFERROR(tblPiNAnalysis5[[#This Row],[Highest Target]]-tblPiNAnalysis5[[#This Row],[3rd Highest Target]],"")</f>
        <v>1533.1709719513501</v>
      </c>
      <c r="AY224" s="39">
        <f>IFERROR(tblPiNAnalysis5[[#This Row],[Difference of Target between Highest and 3rd Highest]]/tblPiNAnalysis5[[#This Row],[3rd Highest Target]], "")</f>
        <v>0.26227553792688113</v>
      </c>
      <c r="AZ224" s="330" t="str" cm="1">
        <f t="array" ref="AZ22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4" s="300" t="str" cm="1">
        <f t="array" ref="BA22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4" s="333" t="str" cm="1">
        <f t="array" ref="BB22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24" s="276" t="str" cm="1">
        <f t="array" ref="BC22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4" s="334" t="str" cm="1">
        <f t="array" ref="BD22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24" s="277" t="e">
        <f>INDEX(tblSeverityAnalysis[Final Severity], MATCH(tblPiNAnalysis5[[#This Row],[ID]],tblSeverityAnalysis[ID], 0))</f>
        <v>#N/A</v>
      </c>
      <c r="BF224" s="61" t="e">
        <f>IF(tblPiNAnalysis5[[#This Row],[Severity]]&gt;2,tblPiNAnalysis5[[#This Row],[Highest Target]],)</f>
        <v>#N/A</v>
      </c>
      <c r="BG224" s="191"/>
      <c r="BH224" s="192"/>
      <c r="BI224" s="193">
        <f>COUNTIFS(tblPiNAnalysis5[[#This Row],[Number of missing / zero PiNs greater than threshold - Data quality]:[Manual Flag]],"Flagged")</f>
        <v>0</v>
      </c>
      <c r="BJ224" s="96" t="str">
        <f>IF(tblPiNAnalysis5[[#This Row],['# Flags]]&gt;0, "Flagged", "")</f>
        <v/>
      </c>
      <c r="BK224" s="326" t="e">
        <f>tblPiNAnalysis5[[#This Row],[Preliminary Target]]</f>
        <v>#N/A</v>
      </c>
      <c r="BL224" s="331"/>
    </row>
    <row r="225" spans="1:64" x14ac:dyDescent="0.55000000000000004">
      <c r="A2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5" s="316" t="s">
        <v>368</v>
      </c>
      <c r="C225" s="317" t="s">
        <v>369</v>
      </c>
      <c r="D225" s="317" t="s">
        <v>376</v>
      </c>
      <c r="E225" s="105" t="s">
        <v>377</v>
      </c>
      <c r="F225" s="100"/>
      <c r="G225" s="34"/>
      <c r="H225" s="34"/>
      <c r="I225" s="97">
        <v>13129.238762438523</v>
      </c>
      <c r="J225" s="97" t="s">
        <v>414</v>
      </c>
      <c r="K225" s="318">
        <v>0</v>
      </c>
      <c r="L225" s="319">
        <v>870.29128522638109</v>
      </c>
      <c r="M225" s="319">
        <v>2474.8513856255672</v>
      </c>
      <c r="N225" s="319">
        <v>2348.180797209166</v>
      </c>
      <c r="O225" s="319">
        <v>2663.6198183164583</v>
      </c>
      <c r="P225" s="319">
        <v>1958.472788901151</v>
      </c>
      <c r="Q225" s="320">
        <v>2791.1679592522619</v>
      </c>
      <c r="R225" s="319">
        <v>1591.3461334359961</v>
      </c>
      <c r="S225" s="319"/>
      <c r="T225" s="319"/>
      <c r="U225" s="319"/>
      <c r="V225" s="319"/>
      <c r="W225" s="321">
        <f>IFERROR(IF(tblPiNAnalysis5[[#This Row],[CCCM]]="", "", MROUND(tblPiNAnalysis5[[#This Row],[CCCM]]/tblPiNAnalysis5[[#This Row],[Affected population projection 2026]], 0.05)), "")</f>
        <v>0</v>
      </c>
      <c r="X225" s="322">
        <f>IFERROR(IF(tblPiNAnalysis5[[#This Row],[Education]]="", "", MROUND(tblPiNAnalysis5[[#This Row],[Education]]/tblPiNAnalysis5[[#This Row],[Affected population projection 2026]], 0.05)), "")</f>
        <v>0.05</v>
      </c>
      <c r="Y225" s="322">
        <f>IFERROR(IF(tblPiNAnalysis5[[#This Row],[Nutrition]]="", "", MROUND(tblPiNAnalysis5[[#This Row],[Nutrition]]/tblPiNAnalysis5[[#This Row],[Affected population projection 2026]], 0.05)), "")</f>
        <v>0.2</v>
      </c>
      <c r="Z225" s="322">
        <f>IFERROR(IF(tblPiNAnalysis5[[#This Row],[Food Security]]="", "", MROUND(tblPiNAnalysis5[[#This Row],[Food Security]]/tblPiNAnalysis5[[#This Row],[Affected population projection 2026]], 0.05)), "")</f>
        <v>0.2</v>
      </c>
      <c r="AA225" s="322">
        <f>IFERROR(IF(tblPiNAnalysis5[[#This Row],[Health]]="", "", MROUND(tblPiNAnalysis5[[#This Row],[Health]]/tblPiNAnalysis5[[#This Row],[Affected population projection 2026]], 0.05)), "")</f>
        <v>0.2</v>
      </c>
      <c r="AB225" s="323">
        <f>IFERROR(IF(tblPiNAnalysis5[[#This Row],[Overarching Protection]]="", "", MROUND(tblPiNAnalysis5[[#This Row],[Overarching Protection]]/tblPiNAnalysis5[[#This Row],[Affected population projection 2026]], 0.05)), "")</f>
        <v>0.15000000000000002</v>
      </c>
      <c r="AC225" s="323">
        <f>IFERROR(IF(tblPiNAnalysis5[[#This Row],[Shelter]]="", "", MROUND(tblPiNAnalysis5[[#This Row],[Shelter]]/tblPiNAnalysis5[[#This Row],[Affected population projection 2026]], 0.05)), "")</f>
        <v>0.2</v>
      </c>
      <c r="AD225" s="324">
        <f>IFERROR(IF(tblPiNAnalysis5[[#This Row],[WASH]]="", "", MROUND(tblPiNAnalysis5[[#This Row],[WASH]]/tblPiNAnalysis5[[#This Row],[Affected population projection 2026]], 0.05)), "")</f>
        <v>0.1</v>
      </c>
      <c r="AE225" s="322">
        <f>IFERROR(MROUND(tblPiNAnalysis5[[#This Row],[CP]]/tblPiNAnalysis5[[#This Row],[Affected population projection 2026]], 0.05), "")</f>
        <v>0</v>
      </c>
      <c r="AF225" s="322">
        <f>IFERROR(MROUND(tblPiNAnalysis5[[#This Row],[GBV]]/tblPiNAnalysis5[[#This Row],[Affected population projection 2026]], 0.05), "")</f>
        <v>0</v>
      </c>
      <c r="AG225" s="322">
        <f>IFERROR(MROUND(tblPiNAnalysis5[[#This Row],[Mine Action]]/tblPiNAnalysis5[[#This Row],[Affected population projection 2026]], 0.05), "")</f>
        <v>0</v>
      </c>
      <c r="AH225" s="322">
        <f>IFERROR(MROUND(tblPiNAnalysis5[[#This Row],[HLP]]/tblPiNAnalysis5[[#This Row],[Affected population projection 2026]], 0.05), "")</f>
        <v>0</v>
      </c>
      <c r="AI225" s="325">
        <f>IFERROR(LARGE(tblPiNAnalysis5[[#This Row],[CCCM]:[WASH]], 1), "")</f>
        <v>2791.1679592522619</v>
      </c>
      <c r="AJ225" s="326" t="str" cm="1">
        <f t="array" ref="AJ225">IF(tblPiNAnalysis5[[#This Row],[Highest Target]]="", "", _xlfn.TEXTJOIN(CHAR(10), TRUE, IF(tblPiNAnalysis5[[#This Row],[Highest Target]]=tblPiNAnalysis5[[#This Row],[CCCM]:[WASH]], tblPiNAnalysis5[[#Headers],[CCCM]:[WASH]], "")))</f>
        <v>Shelter</v>
      </c>
      <c r="AK225" s="327">
        <f>IF(tblPiNAnalysis5[[#This Row],[Highest Target]]="", "", tblPiNAnalysis5[[#This Row],[Highest Target]]/tblPiNAnalysis5[[#This Row],[Affected population projection 2026]])</f>
        <v>0.21259175872690519</v>
      </c>
      <c r="AL225" s="328" t="str">
        <f>IF(SUM(tblPiNAnalysis5[[#This Row],[CCCM]:[WASH]])=0, "",IF(COUNTIF(tblPiNAnalysis5[[#This Row],[CCCM]:[WASH]],"=0")+COUNTIF(tblPiNAnalysis5[[#This Row],[CCCM]:[WASH]],"")&gt;=zero_pin_thresh, "Flagged", ""))</f>
        <v/>
      </c>
      <c r="AM225" s="329" t="str">
        <f>IFERROR(IF(tblPiNAnalysis5[[#This Row],[Highest Target]]="", "", IF(tblPiNAnalysis5[[#This Row],[Highest sector(s'') Target %]]&gt;=flag_pin_perc, "Flagged", "")), "")</f>
        <v/>
      </c>
      <c r="AN225" s="330" t="str" cm="1">
        <f t="array" ref="AN225">IF(tblPiNAnalysis5[[#This Row],[Highest Target]]=0, "",  IF(OR(COUNTIF(tblPiNAnalysis5[[#This Row],[Highest sector(s)]],tblSubSectorPopulation[Sector])), "Flagged", ""))</f>
        <v/>
      </c>
      <c r="AO225" s="46" cm="1">
        <f t="array" ref="AO22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2663.6198183164583</v>
      </c>
      <c r="AP225" s="331" t="str" cm="1">
        <f t="array" ref="AP225">IF(tblPiNAnalysis5[[#This Row],[2nd Highest Target]]="", "", _xlfn.TEXTJOIN(CHAR(10), TRUE, IF(tblPiNAnalysis5[[#This Row],[2nd Highest Target]]=tblPiNAnalysis5[[#This Row],[CCCM]:[WASH]], tblPiNAnalysis5[[#Headers],[CCCM]:[WASH]], "")))</f>
        <v>Health</v>
      </c>
      <c r="AQ225" s="36">
        <f>IFERROR(tblPiNAnalysis5[[#This Row],[2nd Highest Target]]/tblPiNAnalysis5[[#This Row],[Affected population projection 2026]], "")</f>
        <v>0.2028769425640134</v>
      </c>
      <c r="AR225" s="46">
        <f>IFERROR(tblPiNAnalysis5[[#This Row],[Highest Target]]-tblPiNAnalysis5[[#This Row],[2nd Highest Target]], "")</f>
        <v>127.54814093580353</v>
      </c>
      <c r="AS225" s="39">
        <f>IFERROR(((tblPiNAnalysis5[[#This Row],[Highest Target]]-tblPiNAnalysis5[[#This Row],[2nd Highest Target]])/tblPiNAnalysis5[[#This Row],[2nd Highest Target]]),"")</f>
        <v>4.7885265028708324E-2</v>
      </c>
      <c r="AT225" s="39" t="str" cm="1">
        <f t="array" ref="AT22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5" s="332" cm="1">
        <f t="array" ref="AU22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2474.8513856255672</v>
      </c>
      <c r="AV225" s="190" t="str" cm="1">
        <f t="array" ref="AV225">IF(tblPiNAnalysis5[[#This Row],[3rd Highest Target]]="", "", _xlfn.TEXTJOIN(CHAR(10), TRUE, IF(tblPiNAnalysis5[[#This Row],[3rd Highest Target]]=tblPiNAnalysis5[[#This Row],[CCCM]:[WASH]], tblPiNAnalysis5[[#Headers],[CCCM]:[WASH]], "")))</f>
        <v>Nutrition</v>
      </c>
      <c r="AW225" s="190">
        <f>IFERROR(tblPiNAnalysis5[[#This Row],[3rd Highest Target]]/tblPiNAnalysis5[[#This Row],[Affected population projection 2026]], "")</f>
        <v>0.18849922911798031</v>
      </c>
      <c r="AX225" s="45">
        <f>IFERROR(tblPiNAnalysis5[[#This Row],[Highest Target]]-tblPiNAnalysis5[[#This Row],[3rd Highest Target]],"")</f>
        <v>316.31657362669466</v>
      </c>
      <c r="AY225" s="39">
        <f>IFERROR(tblPiNAnalysis5[[#This Row],[Difference of Target between Highest and 3rd Highest]]/tblPiNAnalysis5[[#This Row],[3rd Highest Target]], "")</f>
        <v>0.12781235086030809</v>
      </c>
      <c r="AZ225" s="330" t="str" cm="1">
        <f t="array" ref="AZ22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5" s="300" t="str" cm="1">
        <f t="array" ref="BA22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5" s="333" t="str" cm="1">
        <f t="array" ref="BB22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25" s="276" t="str" cm="1">
        <f t="array" ref="BC22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5" s="334" t="str" cm="1">
        <f t="array" ref="BD22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5" s="277" t="e">
        <f>INDEX(tblSeverityAnalysis[Final Severity], MATCH(tblPiNAnalysis5[[#This Row],[ID]],tblSeverityAnalysis[ID], 0))</f>
        <v>#N/A</v>
      </c>
      <c r="BF225" s="61" t="e">
        <f>IF(tblPiNAnalysis5[[#This Row],[Severity]]&gt;2,tblPiNAnalysis5[[#This Row],[Highest Target]],)</f>
        <v>#N/A</v>
      </c>
      <c r="BG225" s="191"/>
      <c r="BH225" s="192"/>
      <c r="BI225" s="193">
        <f>COUNTIFS(tblPiNAnalysis5[[#This Row],[Number of missing / zero PiNs greater than threshold - Data quality]:[Manual Flag]],"Flagged")</f>
        <v>2</v>
      </c>
      <c r="BJ225" s="96" t="str">
        <f>IF(tblPiNAnalysis5[[#This Row],['# Flags]]&gt;0, "Flagged", "")</f>
        <v>Flagged</v>
      </c>
      <c r="BK225" s="326" t="e">
        <f>tblPiNAnalysis5[[#This Row],[Preliminary Target]]</f>
        <v>#N/A</v>
      </c>
      <c r="BL225" s="331"/>
    </row>
    <row r="226" spans="1:64" ht="110.7" x14ac:dyDescent="0.55000000000000004">
      <c r="A2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6" s="316" t="s">
        <v>368</v>
      </c>
      <c r="C226" s="317" t="s">
        <v>369</v>
      </c>
      <c r="D226" s="317" t="s">
        <v>378</v>
      </c>
      <c r="E226" s="105" t="s">
        <v>379</v>
      </c>
      <c r="F226" s="100"/>
      <c r="G226" s="34"/>
      <c r="H226" s="34"/>
      <c r="I226" s="97">
        <v>8647.438167676999</v>
      </c>
      <c r="J226" s="97" t="s">
        <v>414</v>
      </c>
      <c r="K226" s="318">
        <v>0</v>
      </c>
      <c r="L226" s="319">
        <v>0</v>
      </c>
      <c r="M226" s="319">
        <v>0</v>
      </c>
      <c r="N226" s="319">
        <v>0</v>
      </c>
      <c r="O226" s="319">
        <v>0</v>
      </c>
      <c r="P226" s="319">
        <v>0</v>
      </c>
      <c r="Q226" s="320">
        <v>0</v>
      </c>
      <c r="R226" s="319">
        <v>0</v>
      </c>
      <c r="S226" s="319"/>
      <c r="T226" s="319"/>
      <c r="U226" s="319"/>
      <c r="V226" s="319"/>
      <c r="W226" s="321">
        <f>IFERROR(IF(tblPiNAnalysis5[[#This Row],[CCCM]]="", "", MROUND(tblPiNAnalysis5[[#This Row],[CCCM]]/tblPiNAnalysis5[[#This Row],[Affected population projection 2026]], 0.05)), "")</f>
        <v>0</v>
      </c>
      <c r="X226" s="322">
        <f>IFERROR(IF(tblPiNAnalysis5[[#This Row],[Education]]="", "", MROUND(tblPiNAnalysis5[[#This Row],[Education]]/tblPiNAnalysis5[[#This Row],[Affected population projection 2026]], 0.05)), "")</f>
        <v>0</v>
      </c>
      <c r="Y226" s="322">
        <f>IFERROR(IF(tblPiNAnalysis5[[#This Row],[Nutrition]]="", "", MROUND(tblPiNAnalysis5[[#This Row],[Nutrition]]/tblPiNAnalysis5[[#This Row],[Affected population projection 2026]], 0.05)), "")</f>
        <v>0</v>
      </c>
      <c r="Z226" s="322">
        <f>IFERROR(IF(tblPiNAnalysis5[[#This Row],[Food Security]]="", "", MROUND(tblPiNAnalysis5[[#This Row],[Food Security]]/tblPiNAnalysis5[[#This Row],[Affected population projection 2026]], 0.05)), "")</f>
        <v>0</v>
      </c>
      <c r="AA226" s="322">
        <f>IFERROR(IF(tblPiNAnalysis5[[#This Row],[Health]]="", "", MROUND(tblPiNAnalysis5[[#This Row],[Health]]/tblPiNAnalysis5[[#This Row],[Affected population projection 2026]], 0.05)), "")</f>
        <v>0</v>
      </c>
      <c r="AB226" s="323">
        <f>IFERROR(IF(tblPiNAnalysis5[[#This Row],[Overarching Protection]]="", "", MROUND(tblPiNAnalysis5[[#This Row],[Overarching Protection]]/tblPiNAnalysis5[[#This Row],[Affected population projection 2026]], 0.05)), "")</f>
        <v>0</v>
      </c>
      <c r="AC226" s="323">
        <f>IFERROR(IF(tblPiNAnalysis5[[#This Row],[Shelter]]="", "", MROUND(tblPiNAnalysis5[[#This Row],[Shelter]]/tblPiNAnalysis5[[#This Row],[Affected population projection 2026]], 0.05)), "")</f>
        <v>0</v>
      </c>
      <c r="AD226" s="324">
        <f>IFERROR(IF(tblPiNAnalysis5[[#This Row],[WASH]]="", "", MROUND(tblPiNAnalysis5[[#This Row],[WASH]]/tblPiNAnalysis5[[#This Row],[Affected population projection 2026]], 0.05)), "")</f>
        <v>0</v>
      </c>
      <c r="AE226" s="322">
        <f>IFERROR(MROUND(tblPiNAnalysis5[[#This Row],[CP]]/tblPiNAnalysis5[[#This Row],[Affected population projection 2026]], 0.05), "")</f>
        <v>0</v>
      </c>
      <c r="AF226" s="322">
        <f>IFERROR(MROUND(tblPiNAnalysis5[[#This Row],[GBV]]/tblPiNAnalysis5[[#This Row],[Affected population projection 2026]], 0.05), "")</f>
        <v>0</v>
      </c>
      <c r="AG226" s="322">
        <f>IFERROR(MROUND(tblPiNAnalysis5[[#This Row],[Mine Action]]/tblPiNAnalysis5[[#This Row],[Affected population projection 2026]], 0.05), "")</f>
        <v>0</v>
      </c>
      <c r="AH226" s="322">
        <f>IFERROR(MROUND(tblPiNAnalysis5[[#This Row],[HLP]]/tblPiNAnalysis5[[#This Row],[Affected population projection 2026]], 0.05), "")</f>
        <v>0</v>
      </c>
      <c r="AI226" s="325">
        <f>IFERROR(LARGE(tblPiNAnalysis5[[#This Row],[CCCM]:[WASH]], 1), "")</f>
        <v>0</v>
      </c>
      <c r="AJ226" s="326" t="str" cm="1">
        <f t="array" ref="AJ226">IF(tblPiNAnalysis5[[#This Row],[Highest Target]]="", "", _xlfn.TEXTJOIN(CHAR(10), TRUE, IF(tblPiNAnalysis5[[#This Row],[Highest Target]]=tblPiNAnalysis5[[#This Row],[CCCM]:[WASH]], tblPiNAnalysis5[[#Headers],[CCCM]:[WASH]], "")))</f>
        <v>CCCM
Education
Nutrition
Food Security
Health
Overarching Protection
Shelter
WASH</v>
      </c>
      <c r="AK226" s="327">
        <f>IF(tblPiNAnalysis5[[#This Row],[Highest Target]]="", "", tblPiNAnalysis5[[#This Row],[Highest Target]]/tblPiNAnalysis5[[#This Row],[Affected population projection 2026]])</f>
        <v>0</v>
      </c>
      <c r="AL226" s="328" t="str">
        <f>IF(SUM(tblPiNAnalysis5[[#This Row],[CCCM]:[WASH]])=0, "",IF(COUNTIF(tblPiNAnalysis5[[#This Row],[CCCM]:[WASH]],"=0")+COUNTIF(tblPiNAnalysis5[[#This Row],[CCCM]:[WASH]],"")&gt;=zero_pin_thresh, "Flagged", ""))</f>
        <v/>
      </c>
      <c r="AM226" s="329" t="str">
        <f>IFERROR(IF(tblPiNAnalysis5[[#This Row],[Highest Target]]="", "", IF(tblPiNAnalysis5[[#This Row],[Highest sector(s'') Target %]]&gt;=flag_pin_perc, "Flagged", "")), "")</f>
        <v/>
      </c>
      <c r="AN226" s="330" t="str" cm="1">
        <f t="array" ref="AN226">IF(tblPiNAnalysis5[[#This Row],[Highest Target]]=0, "",  IF(OR(COUNTIF(tblPiNAnalysis5[[#This Row],[Highest sector(s)]],tblSubSectorPopulation[Sector])), "Flagged", ""))</f>
        <v/>
      </c>
      <c r="AO226" s="46" cm="1">
        <f t="array" ref="AO22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26" s="331" t="str" cm="1">
        <f t="array" ref="AP226">IF(tblPiNAnalysis5[[#This Row],[2nd Highest Target]]="", "", _xlfn.TEXTJOIN(CHAR(10), TRUE, IF(tblPiNAnalysis5[[#This Row],[2nd Highest Target]]=tblPiNAnalysis5[[#This Row],[CCCM]:[WASH]], tblPiNAnalysis5[[#Headers],[CCCM]:[WASH]], "")))</f>
        <v>CCCM
Education
Nutrition
Food Security
Health
Overarching Protection
Shelter
WASH</v>
      </c>
      <c r="AQ226" s="36">
        <f>IFERROR(tblPiNAnalysis5[[#This Row],[2nd Highest Target]]/tblPiNAnalysis5[[#This Row],[Affected population projection 2026]], "")</f>
        <v>0</v>
      </c>
      <c r="AR226" s="46">
        <f>IFERROR(tblPiNAnalysis5[[#This Row],[Highest Target]]-tblPiNAnalysis5[[#This Row],[2nd Highest Target]], "")</f>
        <v>0</v>
      </c>
      <c r="AS226" s="39" t="str">
        <f>IFERROR(((tblPiNAnalysis5[[#This Row],[Highest Target]]-tblPiNAnalysis5[[#This Row],[2nd Highest Target]])/tblPiNAnalysis5[[#This Row],[2nd Highest Target]]),"")</f>
        <v/>
      </c>
      <c r="AT226" s="39" t="str" cm="1">
        <f t="array" ref="AT22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6" s="332" cm="1">
        <f t="array" ref="AU22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26" s="190" t="str" cm="1">
        <f t="array" ref="AV226">IF(tblPiNAnalysis5[[#This Row],[3rd Highest Target]]="", "", _xlfn.TEXTJOIN(CHAR(10), TRUE, IF(tblPiNAnalysis5[[#This Row],[3rd Highest Target]]=tblPiNAnalysis5[[#This Row],[CCCM]:[WASH]], tblPiNAnalysis5[[#Headers],[CCCM]:[WASH]], "")))</f>
        <v>CCCM
Education
Nutrition
Food Security
Health
Overarching Protection
Shelter
WASH</v>
      </c>
      <c r="AW226" s="190">
        <f>IFERROR(tblPiNAnalysis5[[#This Row],[3rd Highest Target]]/tblPiNAnalysis5[[#This Row],[Affected population projection 2026]], "")</f>
        <v>0</v>
      </c>
      <c r="AX226" s="45">
        <f>IFERROR(tblPiNAnalysis5[[#This Row],[Highest Target]]-tblPiNAnalysis5[[#This Row],[3rd Highest Target]],"")</f>
        <v>0</v>
      </c>
      <c r="AY226" s="39" t="str">
        <f>IFERROR(tblPiNAnalysis5[[#This Row],[Difference of Target between Highest and 3rd Highest]]/tblPiNAnalysis5[[#This Row],[3rd Highest Target]], "")</f>
        <v/>
      </c>
      <c r="AZ226" s="330" t="str" cm="1">
        <f t="array" ref="AZ22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6" s="300" t="str" cm="1">
        <f t="array" ref="BA22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6" s="333" t="str" cm="1">
        <f t="array" ref="BB22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26" s="276" t="str" cm="1">
        <f t="array" ref="BC22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6" s="334" t="str" cm="1">
        <f t="array" ref="BD22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6" s="277" t="e">
        <f>INDEX(tblSeverityAnalysis[Final Severity], MATCH(tblPiNAnalysis5[[#This Row],[ID]],tblSeverityAnalysis[ID], 0))</f>
        <v>#N/A</v>
      </c>
      <c r="BF226" s="61" t="e">
        <f>IF(tblPiNAnalysis5[[#This Row],[Severity]]&gt;2,tblPiNAnalysis5[[#This Row],[Highest Target]],)</f>
        <v>#N/A</v>
      </c>
      <c r="BG226" s="191"/>
      <c r="BH226" s="192"/>
      <c r="BI226" s="193">
        <f>COUNTIFS(tblPiNAnalysis5[[#This Row],[Number of missing / zero PiNs greater than threshold - Data quality]:[Manual Flag]],"Flagged")</f>
        <v>2</v>
      </c>
      <c r="BJ226" s="96" t="str">
        <f>IF(tblPiNAnalysis5[[#This Row],['# Flags]]&gt;0, "Flagged", "")</f>
        <v>Flagged</v>
      </c>
      <c r="BK226" s="326" t="e">
        <f>tblPiNAnalysis5[[#This Row],[Preliminary Target]]</f>
        <v>#N/A</v>
      </c>
      <c r="BL226" s="331"/>
    </row>
    <row r="227" spans="1:64" x14ac:dyDescent="0.55000000000000004">
      <c r="A2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7" s="316" t="s">
        <v>368</v>
      </c>
      <c r="C227" s="317" t="s">
        <v>369</v>
      </c>
      <c r="D227" s="317" t="s">
        <v>380</v>
      </c>
      <c r="E227" s="105" t="s">
        <v>381</v>
      </c>
      <c r="F227" s="100"/>
      <c r="G227" s="34"/>
      <c r="H227" s="34"/>
      <c r="I227" s="97">
        <v>79307.299107857689</v>
      </c>
      <c r="J227" s="97" t="s">
        <v>414</v>
      </c>
      <c r="K227" s="318">
        <v>367</v>
      </c>
      <c r="L227" s="319">
        <v>9739.0949450431381</v>
      </c>
      <c r="M227" s="319">
        <v>18891.539292992871</v>
      </c>
      <c r="N227" s="319">
        <v>26250.134060617846</v>
      </c>
      <c r="O227" s="319">
        <v>43119.782325324537</v>
      </c>
      <c r="P227" s="319">
        <v>13771.527532556789</v>
      </c>
      <c r="Q227" s="320">
        <v>20125.362063416469</v>
      </c>
      <c r="R227" s="319">
        <v>10161.587664325563</v>
      </c>
      <c r="S227" s="319"/>
      <c r="T227" s="319"/>
      <c r="U227" s="319"/>
      <c r="V227" s="319"/>
      <c r="W227" s="321">
        <f>IFERROR(IF(tblPiNAnalysis5[[#This Row],[CCCM]]="", "", MROUND(tblPiNAnalysis5[[#This Row],[CCCM]]/tblPiNAnalysis5[[#This Row],[Affected population projection 2026]], 0.05)), "")</f>
        <v>0</v>
      </c>
      <c r="X227" s="322">
        <f>IFERROR(IF(tblPiNAnalysis5[[#This Row],[Education]]="", "", MROUND(tblPiNAnalysis5[[#This Row],[Education]]/tblPiNAnalysis5[[#This Row],[Affected population projection 2026]], 0.05)), "")</f>
        <v>0.1</v>
      </c>
      <c r="Y227" s="322">
        <f>IFERROR(IF(tblPiNAnalysis5[[#This Row],[Nutrition]]="", "", MROUND(tblPiNAnalysis5[[#This Row],[Nutrition]]/tblPiNAnalysis5[[#This Row],[Affected population projection 2026]], 0.05)), "")</f>
        <v>0.25</v>
      </c>
      <c r="Z227" s="322">
        <f>IFERROR(IF(tblPiNAnalysis5[[#This Row],[Food Security]]="", "", MROUND(tblPiNAnalysis5[[#This Row],[Food Security]]/tblPiNAnalysis5[[#This Row],[Affected population projection 2026]], 0.05)), "")</f>
        <v>0.35000000000000003</v>
      </c>
      <c r="AA227" s="322">
        <f>IFERROR(IF(tblPiNAnalysis5[[#This Row],[Health]]="", "", MROUND(tblPiNAnalysis5[[#This Row],[Health]]/tblPiNAnalysis5[[#This Row],[Affected population projection 2026]], 0.05)), "")</f>
        <v>0.55000000000000004</v>
      </c>
      <c r="AB227" s="323">
        <f>IFERROR(IF(tblPiNAnalysis5[[#This Row],[Overarching Protection]]="", "", MROUND(tblPiNAnalysis5[[#This Row],[Overarching Protection]]/tblPiNAnalysis5[[#This Row],[Affected population projection 2026]], 0.05)), "")</f>
        <v>0.15000000000000002</v>
      </c>
      <c r="AC227" s="323">
        <f>IFERROR(IF(tblPiNAnalysis5[[#This Row],[Shelter]]="", "", MROUND(tblPiNAnalysis5[[#This Row],[Shelter]]/tblPiNAnalysis5[[#This Row],[Affected population projection 2026]], 0.05)), "")</f>
        <v>0.25</v>
      </c>
      <c r="AD227" s="324">
        <f>IFERROR(IF(tblPiNAnalysis5[[#This Row],[WASH]]="", "", MROUND(tblPiNAnalysis5[[#This Row],[WASH]]/tblPiNAnalysis5[[#This Row],[Affected population projection 2026]], 0.05)), "")</f>
        <v>0.15000000000000002</v>
      </c>
      <c r="AE227" s="322">
        <f>IFERROR(MROUND(tblPiNAnalysis5[[#This Row],[CP]]/tblPiNAnalysis5[[#This Row],[Affected population projection 2026]], 0.05), "")</f>
        <v>0</v>
      </c>
      <c r="AF227" s="322">
        <f>IFERROR(MROUND(tblPiNAnalysis5[[#This Row],[GBV]]/tblPiNAnalysis5[[#This Row],[Affected population projection 2026]], 0.05), "")</f>
        <v>0</v>
      </c>
      <c r="AG227" s="322">
        <f>IFERROR(MROUND(tblPiNAnalysis5[[#This Row],[Mine Action]]/tblPiNAnalysis5[[#This Row],[Affected population projection 2026]], 0.05), "")</f>
        <v>0</v>
      </c>
      <c r="AH227" s="322">
        <f>IFERROR(MROUND(tblPiNAnalysis5[[#This Row],[HLP]]/tblPiNAnalysis5[[#This Row],[Affected population projection 2026]], 0.05), "")</f>
        <v>0</v>
      </c>
      <c r="AI227" s="325">
        <f>IFERROR(LARGE(tblPiNAnalysis5[[#This Row],[CCCM]:[WASH]], 1), "")</f>
        <v>43119.782325324537</v>
      </c>
      <c r="AJ227" s="326" t="str" cm="1">
        <f t="array" ref="AJ227">IF(tblPiNAnalysis5[[#This Row],[Highest Target]]="", "", _xlfn.TEXTJOIN(CHAR(10), TRUE, IF(tblPiNAnalysis5[[#This Row],[Highest Target]]=tblPiNAnalysis5[[#This Row],[CCCM]:[WASH]], tblPiNAnalysis5[[#Headers],[CCCM]:[WASH]], "")))</f>
        <v>Health</v>
      </c>
      <c r="AK227" s="327">
        <f>IF(tblPiNAnalysis5[[#This Row],[Highest Target]]="", "", tblPiNAnalysis5[[#This Row],[Highest Target]]/tblPiNAnalysis5[[#This Row],[Affected population projection 2026]])</f>
        <v>0.54370509159165492</v>
      </c>
      <c r="AL227" s="328" t="str">
        <f>IF(SUM(tblPiNAnalysis5[[#This Row],[CCCM]:[WASH]])=0, "",IF(COUNTIF(tblPiNAnalysis5[[#This Row],[CCCM]:[WASH]],"=0")+COUNTIF(tblPiNAnalysis5[[#This Row],[CCCM]:[WASH]],"")&gt;=zero_pin_thresh, "Flagged", ""))</f>
        <v/>
      </c>
      <c r="AM227" s="329" t="str">
        <f>IFERROR(IF(tblPiNAnalysis5[[#This Row],[Highest Target]]="", "", IF(tblPiNAnalysis5[[#This Row],[Highest sector(s'') Target %]]&gt;=flag_pin_perc, "Flagged", "")), "")</f>
        <v/>
      </c>
      <c r="AN227" s="330" t="str" cm="1">
        <f t="array" ref="AN227">IF(tblPiNAnalysis5[[#This Row],[Highest Target]]=0, "",  IF(OR(COUNTIF(tblPiNAnalysis5[[#This Row],[Highest sector(s)]],tblSubSectorPopulation[Sector])), "Flagged", ""))</f>
        <v/>
      </c>
      <c r="AO227" s="46" cm="1">
        <f t="array" ref="AO22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26250.134060617846</v>
      </c>
      <c r="AP227" s="331" t="str" cm="1">
        <f t="array" ref="AP227">IF(tblPiNAnalysis5[[#This Row],[2nd Highest Target]]="", "", _xlfn.TEXTJOIN(CHAR(10), TRUE, IF(tblPiNAnalysis5[[#This Row],[2nd Highest Target]]=tblPiNAnalysis5[[#This Row],[CCCM]:[WASH]], tblPiNAnalysis5[[#Headers],[CCCM]:[WASH]], "")))</f>
        <v>Food Security</v>
      </c>
      <c r="AQ227" s="36">
        <f>IFERROR(tblPiNAnalysis5[[#This Row],[2nd Highest Target]]/tblPiNAnalysis5[[#This Row],[Affected population projection 2026]], "")</f>
        <v>0.33099266216237855</v>
      </c>
      <c r="AR227" s="46">
        <f>IFERROR(tblPiNAnalysis5[[#This Row],[Highest Target]]-tblPiNAnalysis5[[#This Row],[2nd Highest Target]], "")</f>
        <v>16869.648264706691</v>
      </c>
      <c r="AS227" s="39">
        <f>IFERROR(((tblPiNAnalysis5[[#This Row],[Highest Target]]-tblPiNAnalysis5[[#This Row],[2nd Highest Target]])/tblPiNAnalysis5[[#This Row],[2nd Highest Target]]),"")</f>
        <v>0.64264998516771887</v>
      </c>
      <c r="AT227" s="39" t="str" cm="1">
        <f t="array" ref="AT22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27" s="332" cm="1">
        <f t="array" ref="AU22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20125.362063416469</v>
      </c>
      <c r="AV227" s="190" t="str" cm="1">
        <f t="array" ref="AV227">IF(tblPiNAnalysis5[[#This Row],[3rd Highest Target]]="", "", _xlfn.TEXTJOIN(CHAR(10), TRUE, IF(tblPiNAnalysis5[[#This Row],[3rd Highest Target]]=tblPiNAnalysis5[[#This Row],[CCCM]:[WASH]], tblPiNAnalysis5[[#Headers],[CCCM]:[WASH]], "")))</f>
        <v>Shelter</v>
      </c>
      <c r="AW227" s="190">
        <f>IFERROR(tblPiNAnalysis5[[#This Row],[3rd Highest Target]]/tblPiNAnalysis5[[#This Row],[Affected population projection 2026]], "")</f>
        <v>0.2537643103448276</v>
      </c>
      <c r="AX227" s="45">
        <f>IFERROR(tblPiNAnalysis5[[#This Row],[Highest Target]]-tblPiNAnalysis5[[#This Row],[3rd Highest Target]],"")</f>
        <v>22994.420261908068</v>
      </c>
      <c r="AY227" s="39">
        <f>IFERROR(tblPiNAnalysis5[[#This Row],[Difference of Target between Highest and 3rd Highest]]/tblPiNAnalysis5[[#This Row],[3rd Highest Target]], "")</f>
        <v>1.1425593333153952</v>
      </c>
      <c r="AZ227" s="330" t="str" cm="1">
        <f t="array" ref="AZ22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27" s="300" t="str" cm="1">
        <f t="array" ref="BA22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7" s="333" t="str" cm="1">
        <f t="array" ref="BB22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27" s="276" t="str" cm="1">
        <f t="array" ref="BC22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7" s="334" t="str" cm="1">
        <f t="array" ref="BD22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27" s="277" t="e">
        <f>INDEX(tblSeverityAnalysis[Final Severity], MATCH(tblPiNAnalysis5[[#This Row],[ID]],tblSeverityAnalysis[ID], 0))</f>
        <v>#N/A</v>
      </c>
      <c r="BF227" s="61" t="e">
        <f>IF(tblPiNAnalysis5[[#This Row],[Severity]]&gt;2,tblPiNAnalysis5[[#This Row],[Highest Target]],)</f>
        <v>#N/A</v>
      </c>
      <c r="BG227" s="191"/>
      <c r="BH227" s="192"/>
      <c r="BI227" s="193">
        <f>COUNTIFS(tblPiNAnalysis5[[#This Row],[Number of missing / zero PiNs greater than threshold - Data quality]:[Manual Flag]],"Flagged")</f>
        <v>3</v>
      </c>
      <c r="BJ227" s="96" t="str">
        <f>IF(tblPiNAnalysis5[[#This Row],['# Flags]]&gt;0, "Flagged", "")</f>
        <v>Flagged</v>
      </c>
      <c r="BK227" s="326" t="e">
        <f>tblPiNAnalysis5[[#This Row],[Preliminary Target]]</f>
        <v>#N/A</v>
      </c>
      <c r="BL227" s="331"/>
    </row>
    <row r="228" spans="1:64" ht="110.7" x14ac:dyDescent="0.55000000000000004">
      <c r="A2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8" s="316" t="s">
        <v>382</v>
      </c>
      <c r="C228" s="317" t="s">
        <v>383</v>
      </c>
      <c r="D228" s="317" t="s">
        <v>384</v>
      </c>
      <c r="E228" s="105" t="s">
        <v>385</v>
      </c>
      <c r="F228" s="100"/>
      <c r="G228" s="34"/>
      <c r="H228" s="34"/>
      <c r="I228" s="97">
        <v>20202.24984559073</v>
      </c>
      <c r="J228" s="97" t="s">
        <v>414</v>
      </c>
      <c r="K228" s="318">
        <v>0</v>
      </c>
      <c r="L228" s="319">
        <v>0</v>
      </c>
      <c r="M228" s="319">
        <v>0</v>
      </c>
      <c r="N228" s="319">
        <v>0</v>
      </c>
      <c r="O228" s="319">
        <v>0</v>
      </c>
      <c r="P228" s="319">
        <v>0</v>
      </c>
      <c r="Q228" s="320">
        <v>0</v>
      </c>
      <c r="R228" s="319">
        <v>0</v>
      </c>
      <c r="S228" s="319"/>
      <c r="T228" s="319"/>
      <c r="U228" s="319"/>
      <c r="V228" s="319"/>
      <c r="W228" s="321">
        <f>IFERROR(IF(tblPiNAnalysis5[[#This Row],[CCCM]]="", "", MROUND(tblPiNAnalysis5[[#This Row],[CCCM]]/tblPiNAnalysis5[[#This Row],[Affected population projection 2026]], 0.05)), "")</f>
        <v>0</v>
      </c>
      <c r="X228" s="322">
        <f>IFERROR(IF(tblPiNAnalysis5[[#This Row],[Education]]="", "", MROUND(tblPiNAnalysis5[[#This Row],[Education]]/tblPiNAnalysis5[[#This Row],[Affected population projection 2026]], 0.05)), "")</f>
        <v>0</v>
      </c>
      <c r="Y228" s="322">
        <f>IFERROR(IF(tblPiNAnalysis5[[#This Row],[Nutrition]]="", "", MROUND(tblPiNAnalysis5[[#This Row],[Nutrition]]/tblPiNAnalysis5[[#This Row],[Affected population projection 2026]], 0.05)), "")</f>
        <v>0</v>
      </c>
      <c r="Z228" s="322">
        <f>IFERROR(IF(tblPiNAnalysis5[[#This Row],[Food Security]]="", "", MROUND(tblPiNAnalysis5[[#This Row],[Food Security]]/tblPiNAnalysis5[[#This Row],[Affected population projection 2026]], 0.05)), "")</f>
        <v>0</v>
      </c>
      <c r="AA228" s="322">
        <f>IFERROR(IF(tblPiNAnalysis5[[#This Row],[Health]]="", "", MROUND(tblPiNAnalysis5[[#This Row],[Health]]/tblPiNAnalysis5[[#This Row],[Affected population projection 2026]], 0.05)), "")</f>
        <v>0</v>
      </c>
      <c r="AB228" s="323">
        <f>IFERROR(IF(tblPiNAnalysis5[[#This Row],[Overarching Protection]]="", "", MROUND(tblPiNAnalysis5[[#This Row],[Overarching Protection]]/tblPiNAnalysis5[[#This Row],[Affected population projection 2026]], 0.05)), "")</f>
        <v>0</v>
      </c>
      <c r="AC228" s="323">
        <f>IFERROR(IF(tblPiNAnalysis5[[#This Row],[Shelter]]="", "", MROUND(tblPiNAnalysis5[[#This Row],[Shelter]]/tblPiNAnalysis5[[#This Row],[Affected population projection 2026]], 0.05)), "")</f>
        <v>0</v>
      </c>
      <c r="AD228" s="324">
        <f>IFERROR(IF(tblPiNAnalysis5[[#This Row],[WASH]]="", "", MROUND(tblPiNAnalysis5[[#This Row],[WASH]]/tblPiNAnalysis5[[#This Row],[Affected population projection 2026]], 0.05)), "")</f>
        <v>0</v>
      </c>
      <c r="AE228" s="322">
        <f>IFERROR(MROUND(tblPiNAnalysis5[[#This Row],[CP]]/tblPiNAnalysis5[[#This Row],[Affected population projection 2026]], 0.05), "")</f>
        <v>0</v>
      </c>
      <c r="AF228" s="322">
        <f>IFERROR(MROUND(tblPiNAnalysis5[[#This Row],[GBV]]/tblPiNAnalysis5[[#This Row],[Affected population projection 2026]], 0.05), "")</f>
        <v>0</v>
      </c>
      <c r="AG228" s="322">
        <f>IFERROR(MROUND(tblPiNAnalysis5[[#This Row],[Mine Action]]/tblPiNAnalysis5[[#This Row],[Affected population projection 2026]], 0.05), "")</f>
        <v>0</v>
      </c>
      <c r="AH228" s="322">
        <f>IFERROR(MROUND(tblPiNAnalysis5[[#This Row],[HLP]]/tblPiNAnalysis5[[#This Row],[Affected population projection 2026]], 0.05), "")</f>
        <v>0</v>
      </c>
      <c r="AI228" s="325">
        <f>IFERROR(LARGE(tblPiNAnalysis5[[#This Row],[CCCM]:[WASH]], 1), "")</f>
        <v>0</v>
      </c>
      <c r="AJ228" s="326" t="str" cm="1">
        <f t="array" ref="AJ228">IF(tblPiNAnalysis5[[#This Row],[Highest Target]]="", "", _xlfn.TEXTJOIN(CHAR(10), TRUE, IF(tblPiNAnalysis5[[#This Row],[Highest Target]]=tblPiNAnalysis5[[#This Row],[CCCM]:[WASH]], tblPiNAnalysis5[[#Headers],[CCCM]:[WASH]], "")))</f>
        <v>CCCM
Education
Nutrition
Food Security
Health
Overarching Protection
Shelter
WASH</v>
      </c>
      <c r="AK228" s="327">
        <f>IF(tblPiNAnalysis5[[#This Row],[Highest Target]]="", "", tblPiNAnalysis5[[#This Row],[Highest Target]]/tblPiNAnalysis5[[#This Row],[Affected population projection 2026]])</f>
        <v>0</v>
      </c>
      <c r="AL228" s="328" t="str">
        <f>IF(SUM(tblPiNAnalysis5[[#This Row],[CCCM]:[WASH]])=0, "",IF(COUNTIF(tblPiNAnalysis5[[#This Row],[CCCM]:[WASH]],"=0")+COUNTIF(tblPiNAnalysis5[[#This Row],[CCCM]:[WASH]],"")&gt;=zero_pin_thresh, "Flagged", ""))</f>
        <v/>
      </c>
      <c r="AM228" s="329" t="str">
        <f>IFERROR(IF(tblPiNAnalysis5[[#This Row],[Highest Target]]="", "", IF(tblPiNAnalysis5[[#This Row],[Highest sector(s'') Target %]]&gt;=flag_pin_perc, "Flagged", "")), "")</f>
        <v/>
      </c>
      <c r="AN228" s="330" t="str" cm="1">
        <f t="array" ref="AN228">IF(tblPiNAnalysis5[[#This Row],[Highest Target]]=0, "",  IF(OR(COUNTIF(tblPiNAnalysis5[[#This Row],[Highest sector(s)]],tblSubSectorPopulation[Sector])), "Flagged", ""))</f>
        <v/>
      </c>
      <c r="AO228" s="46" cm="1">
        <f t="array" ref="AO22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28" s="331" t="str" cm="1">
        <f t="array" ref="AP228">IF(tblPiNAnalysis5[[#This Row],[2nd Highest Target]]="", "", _xlfn.TEXTJOIN(CHAR(10), TRUE, IF(tblPiNAnalysis5[[#This Row],[2nd Highest Target]]=tblPiNAnalysis5[[#This Row],[CCCM]:[WASH]], tblPiNAnalysis5[[#Headers],[CCCM]:[WASH]], "")))</f>
        <v>CCCM
Education
Nutrition
Food Security
Health
Overarching Protection
Shelter
WASH</v>
      </c>
      <c r="AQ228" s="36">
        <f>IFERROR(tblPiNAnalysis5[[#This Row],[2nd Highest Target]]/tblPiNAnalysis5[[#This Row],[Affected population projection 2026]], "")</f>
        <v>0</v>
      </c>
      <c r="AR228" s="46">
        <f>IFERROR(tblPiNAnalysis5[[#This Row],[Highest Target]]-tblPiNAnalysis5[[#This Row],[2nd Highest Target]], "")</f>
        <v>0</v>
      </c>
      <c r="AS228" s="39" t="str">
        <f>IFERROR(((tblPiNAnalysis5[[#This Row],[Highest Target]]-tblPiNAnalysis5[[#This Row],[2nd Highest Target]])/tblPiNAnalysis5[[#This Row],[2nd Highest Target]]),"")</f>
        <v/>
      </c>
      <c r="AT228" s="39" t="str" cm="1">
        <f t="array" ref="AT22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8" s="332" cm="1">
        <f t="array" ref="AU22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28" s="190" t="str" cm="1">
        <f t="array" ref="AV228">IF(tblPiNAnalysis5[[#This Row],[3rd Highest Target]]="", "", _xlfn.TEXTJOIN(CHAR(10), TRUE, IF(tblPiNAnalysis5[[#This Row],[3rd Highest Target]]=tblPiNAnalysis5[[#This Row],[CCCM]:[WASH]], tblPiNAnalysis5[[#Headers],[CCCM]:[WASH]], "")))</f>
        <v>CCCM
Education
Nutrition
Food Security
Health
Overarching Protection
Shelter
WASH</v>
      </c>
      <c r="AW228" s="190">
        <f>IFERROR(tblPiNAnalysis5[[#This Row],[3rd Highest Target]]/tblPiNAnalysis5[[#This Row],[Affected population projection 2026]], "")</f>
        <v>0</v>
      </c>
      <c r="AX228" s="45">
        <f>IFERROR(tblPiNAnalysis5[[#This Row],[Highest Target]]-tblPiNAnalysis5[[#This Row],[3rd Highest Target]],"")</f>
        <v>0</v>
      </c>
      <c r="AY228" s="39" t="str">
        <f>IFERROR(tblPiNAnalysis5[[#This Row],[Difference of Target between Highest and 3rd Highest]]/tblPiNAnalysis5[[#This Row],[3rd Highest Target]], "")</f>
        <v/>
      </c>
      <c r="AZ228" s="330" t="str" cm="1">
        <f t="array" ref="AZ22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8" s="300" t="str" cm="1">
        <f t="array" ref="BA22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8" s="333" t="str" cm="1">
        <f t="array" ref="BB22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28" s="276" t="str" cm="1">
        <f t="array" ref="BC22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8" s="334" t="str" cm="1">
        <f t="array" ref="BD22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28" s="277" t="e">
        <f>INDEX(tblSeverityAnalysis[Final Severity], MATCH(tblPiNAnalysis5[[#This Row],[ID]],tblSeverityAnalysis[ID], 0))</f>
        <v>#N/A</v>
      </c>
      <c r="BF228" s="61" t="e">
        <f>IF(tblPiNAnalysis5[[#This Row],[Severity]]&gt;2,tblPiNAnalysis5[[#This Row],[Highest Target]],)</f>
        <v>#N/A</v>
      </c>
      <c r="BG228" s="191"/>
      <c r="BH228" s="192"/>
      <c r="BI228" s="193">
        <f>COUNTIFS(tblPiNAnalysis5[[#This Row],[Number of missing / zero PiNs greater than threshold - Data quality]:[Manual Flag]],"Flagged")</f>
        <v>2</v>
      </c>
      <c r="BJ228" s="96" t="str">
        <f>IF(tblPiNAnalysis5[[#This Row],['# Flags]]&gt;0, "Flagged", "")</f>
        <v>Flagged</v>
      </c>
      <c r="BK228" s="326" t="e">
        <f>tblPiNAnalysis5[[#This Row],[Preliminary Target]]</f>
        <v>#N/A</v>
      </c>
      <c r="BL228" s="331"/>
    </row>
    <row r="229" spans="1:64" x14ac:dyDescent="0.55000000000000004">
      <c r="A2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9" s="316" t="s">
        <v>382</v>
      </c>
      <c r="C229" s="317" t="s">
        <v>383</v>
      </c>
      <c r="D229" s="317" t="s">
        <v>386</v>
      </c>
      <c r="E229" s="105" t="s">
        <v>387</v>
      </c>
      <c r="F229" s="100"/>
      <c r="G229" s="34"/>
      <c r="H229" s="34"/>
      <c r="I229" s="97">
        <v>28676.523493080207</v>
      </c>
      <c r="J229" s="97" t="s">
        <v>414</v>
      </c>
      <c r="K229" s="318">
        <v>1412.5</v>
      </c>
      <c r="L229" s="319">
        <v>1886.9618451953538</v>
      </c>
      <c r="M229" s="319">
        <v>4042.6721249541497</v>
      </c>
      <c r="N229" s="319">
        <v>3779.0334285371127</v>
      </c>
      <c r="O229" s="319">
        <v>5205.1873497692368</v>
      </c>
      <c r="P229" s="319">
        <v>4322.8493225806451</v>
      </c>
      <c r="Q229" s="320">
        <v>2791.1679592522619</v>
      </c>
      <c r="R229" s="319">
        <v>567.92497658620789</v>
      </c>
      <c r="S229" s="319"/>
      <c r="T229" s="319"/>
      <c r="U229" s="319"/>
      <c r="V229" s="319"/>
      <c r="W229" s="321">
        <f>IFERROR(IF(tblPiNAnalysis5[[#This Row],[CCCM]]="", "", MROUND(tblPiNAnalysis5[[#This Row],[CCCM]]/tblPiNAnalysis5[[#This Row],[Affected population projection 2026]], 0.05)), "")</f>
        <v>0.05</v>
      </c>
      <c r="X229" s="322">
        <f>IFERROR(IF(tblPiNAnalysis5[[#This Row],[Education]]="", "", MROUND(tblPiNAnalysis5[[#This Row],[Education]]/tblPiNAnalysis5[[#This Row],[Affected population projection 2026]], 0.05)), "")</f>
        <v>0.05</v>
      </c>
      <c r="Y229" s="322">
        <f>IFERROR(IF(tblPiNAnalysis5[[#This Row],[Nutrition]]="", "", MROUND(tblPiNAnalysis5[[#This Row],[Nutrition]]/tblPiNAnalysis5[[#This Row],[Affected population projection 2026]], 0.05)), "")</f>
        <v>0.15000000000000002</v>
      </c>
      <c r="Z229" s="322">
        <f>IFERROR(IF(tblPiNAnalysis5[[#This Row],[Food Security]]="", "", MROUND(tblPiNAnalysis5[[#This Row],[Food Security]]/tblPiNAnalysis5[[#This Row],[Affected population projection 2026]], 0.05)), "")</f>
        <v>0.15000000000000002</v>
      </c>
      <c r="AA229" s="322">
        <f>IFERROR(IF(tblPiNAnalysis5[[#This Row],[Health]]="", "", MROUND(tblPiNAnalysis5[[#This Row],[Health]]/tblPiNAnalysis5[[#This Row],[Affected population projection 2026]], 0.05)), "")</f>
        <v>0.2</v>
      </c>
      <c r="AB229" s="323">
        <f>IFERROR(IF(tblPiNAnalysis5[[#This Row],[Overarching Protection]]="", "", MROUND(tblPiNAnalysis5[[#This Row],[Overarching Protection]]/tblPiNAnalysis5[[#This Row],[Affected population projection 2026]], 0.05)), "")</f>
        <v>0.15000000000000002</v>
      </c>
      <c r="AC229" s="323">
        <f>IFERROR(IF(tblPiNAnalysis5[[#This Row],[Shelter]]="", "", MROUND(tblPiNAnalysis5[[#This Row],[Shelter]]/tblPiNAnalysis5[[#This Row],[Affected population projection 2026]], 0.05)), "")</f>
        <v>0.1</v>
      </c>
      <c r="AD229" s="324">
        <f>IFERROR(IF(tblPiNAnalysis5[[#This Row],[WASH]]="", "", MROUND(tblPiNAnalysis5[[#This Row],[WASH]]/tblPiNAnalysis5[[#This Row],[Affected population projection 2026]], 0.05)), "")</f>
        <v>0</v>
      </c>
      <c r="AE229" s="322">
        <f>IFERROR(MROUND(tblPiNAnalysis5[[#This Row],[CP]]/tblPiNAnalysis5[[#This Row],[Affected population projection 2026]], 0.05), "")</f>
        <v>0</v>
      </c>
      <c r="AF229" s="322">
        <f>IFERROR(MROUND(tblPiNAnalysis5[[#This Row],[GBV]]/tblPiNAnalysis5[[#This Row],[Affected population projection 2026]], 0.05), "")</f>
        <v>0</v>
      </c>
      <c r="AG229" s="322">
        <f>IFERROR(MROUND(tblPiNAnalysis5[[#This Row],[Mine Action]]/tblPiNAnalysis5[[#This Row],[Affected population projection 2026]], 0.05), "")</f>
        <v>0</v>
      </c>
      <c r="AH229" s="322">
        <f>IFERROR(MROUND(tblPiNAnalysis5[[#This Row],[HLP]]/tblPiNAnalysis5[[#This Row],[Affected population projection 2026]], 0.05), "")</f>
        <v>0</v>
      </c>
      <c r="AI229" s="325">
        <f>IFERROR(LARGE(tblPiNAnalysis5[[#This Row],[CCCM]:[WASH]], 1), "")</f>
        <v>5205.1873497692368</v>
      </c>
      <c r="AJ229" s="326" t="str" cm="1">
        <f t="array" ref="AJ229">IF(tblPiNAnalysis5[[#This Row],[Highest Target]]="", "", _xlfn.TEXTJOIN(CHAR(10), TRUE, IF(tblPiNAnalysis5[[#This Row],[Highest Target]]=tblPiNAnalysis5[[#This Row],[CCCM]:[WASH]], tblPiNAnalysis5[[#Headers],[CCCM]:[WASH]], "")))</f>
        <v>Health</v>
      </c>
      <c r="AK229" s="327">
        <f>IF(tblPiNAnalysis5[[#This Row],[Highest Target]]="", "", tblPiNAnalysis5[[#This Row],[Highest Target]]/tblPiNAnalysis5[[#This Row],[Affected population projection 2026]])</f>
        <v>0.18151389065781545</v>
      </c>
      <c r="AL229" s="328" t="str">
        <f>IF(SUM(tblPiNAnalysis5[[#This Row],[CCCM]:[WASH]])=0, "",IF(COUNTIF(tblPiNAnalysis5[[#This Row],[CCCM]:[WASH]],"=0")+COUNTIF(tblPiNAnalysis5[[#This Row],[CCCM]:[WASH]],"")&gt;=zero_pin_thresh, "Flagged", ""))</f>
        <v/>
      </c>
      <c r="AM229" s="329" t="str">
        <f>IFERROR(IF(tblPiNAnalysis5[[#This Row],[Highest Target]]="", "", IF(tblPiNAnalysis5[[#This Row],[Highest sector(s'') Target %]]&gt;=flag_pin_perc, "Flagged", "")), "")</f>
        <v/>
      </c>
      <c r="AN229" s="330" t="str" cm="1">
        <f t="array" ref="AN229">IF(tblPiNAnalysis5[[#This Row],[Highest Target]]=0, "",  IF(OR(COUNTIF(tblPiNAnalysis5[[#This Row],[Highest sector(s)]],tblSubSectorPopulation[Sector])), "Flagged", ""))</f>
        <v/>
      </c>
      <c r="AO229" s="46" cm="1">
        <f t="array" ref="AO22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4322.8493225806451</v>
      </c>
      <c r="AP229" s="331" t="str" cm="1">
        <f t="array" ref="AP229">IF(tblPiNAnalysis5[[#This Row],[2nd Highest Target]]="", "", _xlfn.TEXTJOIN(CHAR(10), TRUE, IF(tblPiNAnalysis5[[#This Row],[2nd Highest Target]]=tblPiNAnalysis5[[#This Row],[CCCM]:[WASH]], tblPiNAnalysis5[[#Headers],[CCCM]:[WASH]], "")))</f>
        <v>Overarching Protection</v>
      </c>
      <c r="AQ229" s="36">
        <f>IFERROR(tblPiNAnalysis5[[#This Row],[2nd Highest Target]]/tblPiNAnalysis5[[#This Row],[Affected population projection 2026]], "")</f>
        <v>0.15074523673079726</v>
      </c>
      <c r="AR229" s="46">
        <f>IFERROR(tblPiNAnalysis5[[#This Row],[Highest Target]]-tblPiNAnalysis5[[#This Row],[2nd Highest Target]], "")</f>
        <v>882.3380271885917</v>
      </c>
      <c r="AS229" s="39">
        <f>IFERROR(((tblPiNAnalysis5[[#This Row],[Highest Target]]-tblPiNAnalysis5[[#This Row],[2nd Highest Target]])/tblPiNAnalysis5[[#This Row],[2nd Highest Target]]),"")</f>
        <v>0.20411028961376232</v>
      </c>
      <c r="AT229" s="39" t="str" cm="1">
        <f t="array" ref="AT22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29" s="332" cm="1">
        <f t="array" ref="AU22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4042.6721249541497</v>
      </c>
      <c r="AV229" s="190" t="str" cm="1">
        <f t="array" ref="AV229">IF(tblPiNAnalysis5[[#This Row],[3rd Highest Target]]="", "", _xlfn.TEXTJOIN(CHAR(10), TRUE, IF(tblPiNAnalysis5[[#This Row],[3rd Highest Target]]=tblPiNAnalysis5[[#This Row],[CCCM]:[WASH]], tblPiNAnalysis5[[#Headers],[CCCM]:[WASH]], "")))</f>
        <v>Nutrition</v>
      </c>
      <c r="AW229" s="190">
        <f>IFERROR(tblPiNAnalysis5[[#This Row],[3rd Highest Target]]/tblPiNAnalysis5[[#This Row],[Affected population projection 2026]], "")</f>
        <v>0.14097497299244335</v>
      </c>
      <c r="AX229" s="45">
        <f>IFERROR(tblPiNAnalysis5[[#This Row],[Highest Target]]-tblPiNAnalysis5[[#This Row],[3rd Highest Target]],"")</f>
        <v>1162.5152248150871</v>
      </c>
      <c r="AY229" s="39">
        <f>IFERROR(tblPiNAnalysis5[[#This Row],[Difference of Target between Highest and 3rd Highest]]/tblPiNAnalysis5[[#This Row],[3rd Highest Target]], "")</f>
        <v>0.28756109545447539</v>
      </c>
      <c r="AZ229" s="330" t="str" cm="1">
        <f t="array" ref="AZ22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29" s="300" t="str" cm="1">
        <f t="array" ref="BA22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29" s="333" t="str" cm="1">
        <f t="array" ref="BB22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29" s="276" t="str" cm="1">
        <f t="array" ref="BC22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29" s="334" t="str" cm="1">
        <f t="array" ref="BD22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29" s="277" t="e">
        <f>INDEX(tblSeverityAnalysis[Final Severity], MATCH(tblPiNAnalysis5[[#This Row],[ID]],tblSeverityAnalysis[ID], 0))</f>
        <v>#N/A</v>
      </c>
      <c r="BF229" s="61" t="e">
        <f>IF(tblPiNAnalysis5[[#This Row],[Severity]]&gt;2,tblPiNAnalysis5[[#This Row],[Highest Target]],)</f>
        <v>#N/A</v>
      </c>
      <c r="BG229" s="191"/>
      <c r="BH229" s="192"/>
      <c r="BI229" s="193">
        <f>COUNTIFS(tblPiNAnalysis5[[#This Row],[Number of missing / zero PiNs greater than threshold - Data quality]:[Manual Flag]],"Flagged")</f>
        <v>1</v>
      </c>
      <c r="BJ229" s="96" t="str">
        <f>IF(tblPiNAnalysis5[[#This Row],['# Flags]]&gt;0, "Flagged", "")</f>
        <v>Flagged</v>
      </c>
      <c r="BK229" s="326" t="e">
        <f>tblPiNAnalysis5[[#This Row],[Preliminary Target]]</f>
        <v>#N/A</v>
      </c>
      <c r="BL229" s="331"/>
    </row>
    <row r="230" spans="1:64" ht="110.7" x14ac:dyDescent="0.55000000000000004">
      <c r="A2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0" s="316" t="s">
        <v>382</v>
      </c>
      <c r="C230" s="317" t="s">
        <v>383</v>
      </c>
      <c r="D230" s="317" t="s">
        <v>388</v>
      </c>
      <c r="E230" s="105" t="s">
        <v>389</v>
      </c>
      <c r="F230" s="100"/>
      <c r="G230" s="34"/>
      <c r="H230" s="34"/>
      <c r="I230" s="97">
        <v>47646.035148118463</v>
      </c>
      <c r="J230" s="97" t="s">
        <v>414</v>
      </c>
      <c r="K230" s="318">
        <v>0</v>
      </c>
      <c r="L230" s="319">
        <v>0</v>
      </c>
      <c r="M230" s="319">
        <v>0</v>
      </c>
      <c r="N230" s="319">
        <v>0</v>
      </c>
      <c r="O230" s="319">
        <v>0</v>
      </c>
      <c r="P230" s="319">
        <v>0</v>
      </c>
      <c r="Q230" s="320">
        <v>0</v>
      </c>
      <c r="R230" s="319">
        <v>0</v>
      </c>
      <c r="S230" s="319"/>
      <c r="T230" s="319"/>
      <c r="U230" s="319"/>
      <c r="V230" s="319"/>
      <c r="W230" s="321">
        <f>IFERROR(IF(tblPiNAnalysis5[[#This Row],[CCCM]]="", "", MROUND(tblPiNAnalysis5[[#This Row],[CCCM]]/tblPiNAnalysis5[[#This Row],[Affected population projection 2026]], 0.05)), "")</f>
        <v>0</v>
      </c>
      <c r="X230" s="322">
        <f>IFERROR(IF(tblPiNAnalysis5[[#This Row],[Education]]="", "", MROUND(tblPiNAnalysis5[[#This Row],[Education]]/tblPiNAnalysis5[[#This Row],[Affected population projection 2026]], 0.05)), "")</f>
        <v>0</v>
      </c>
      <c r="Y230" s="322">
        <f>IFERROR(IF(tblPiNAnalysis5[[#This Row],[Nutrition]]="", "", MROUND(tblPiNAnalysis5[[#This Row],[Nutrition]]/tblPiNAnalysis5[[#This Row],[Affected population projection 2026]], 0.05)), "")</f>
        <v>0</v>
      </c>
      <c r="Z230" s="322">
        <f>IFERROR(IF(tblPiNAnalysis5[[#This Row],[Food Security]]="", "", MROUND(tblPiNAnalysis5[[#This Row],[Food Security]]/tblPiNAnalysis5[[#This Row],[Affected population projection 2026]], 0.05)), "")</f>
        <v>0</v>
      </c>
      <c r="AA230" s="322">
        <f>IFERROR(IF(tblPiNAnalysis5[[#This Row],[Health]]="", "", MROUND(tblPiNAnalysis5[[#This Row],[Health]]/tblPiNAnalysis5[[#This Row],[Affected population projection 2026]], 0.05)), "")</f>
        <v>0</v>
      </c>
      <c r="AB230" s="323">
        <f>IFERROR(IF(tblPiNAnalysis5[[#This Row],[Overarching Protection]]="", "", MROUND(tblPiNAnalysis5[[#This Row],[Overarching Protection]]/tblPiNAnalysis5[[#This Row],[Affected population projection 2026]], 0.05)), "")</f>
        <v>0</v>
      </c>
      <c r="AC230" s="323">
        <f>IFERROR(IF(tblPiNAnalysis5[[#This Row],[Shelter]]="", "", MROUND(tblPiNAnalysis5[[#This Row],[Shelter]]/tblPiNAnalysis5[[#This Row],[Affected population projection 2026]], 0.05)), "")</f>
        <v>0</v>
      </c>
      <c r="AD230" s="324">
        <f>IFERROR(IF(tblPiNAnalysis5[[#This Row],[WASH]]="", "", MROUND(tblPiNAnalysis5[[#This Row],[WASH]]/tblPiNAnalysis5[[#This Row],[Affected population projection 2026]], 0.05)), "")</f>
        <v>0</v>
      </c>
      <c r="AE230" s="322">
        <f>IFERROR(MROUND(tblPiNAnalysis5[[#This Row],[CP]]/tblPiNAnalysis5[[#This Row],[Affected population projection 2026]], 0.05), "")</f>
        <v>0</v>
      </c>
      <c r="AF230" s="322">
        <f>IFERROR(MROUND(tblPiNAnalysis5[[#This Row],[GBV]]/tblPiNAnalysis5[[#This Row],[Affected population projection 2026]], 0.05), "")</f>
        <v>0</v>
      </c>
      <c r="AG230" s="322">
        <f>IFERROR(MROUND(tblPiNAnalysis5[[#This Row],[Mine Action]]/tblPiNAnalysis5[[#This Row],[Affected population projection 2026]], 0.05), "")</f>
        <v>0</v>
      </c>
      <c r="AH230" s="322">
        <f>IFERROR(MROUND(tblPiNAnalysis5[[#This Row],[HLP]]/tblPiNAnalysis5[[#This Row],[Affected population projection 2026]], 0.05), "")</f>
        <v>0</v>
      </c>
      <c r="AI230" s="325">
        <f>IFERROR(LARGE(tblPiNAnalysis5[[#This Row],[CCCM]:[WASH]], 1), "")</f>
        <v>0</v>
      </c>
      <c r="AJ230" s="326" t="str" cm="1">
        <f t="array" ref="AJ230">IF(tblPiNAnalysis5[[#This Row],[Highest Target]]="", "", _xlfn.TEXTJOIN(CHAR(10), TRUE, IF(tblPiNAnalysis5[[#This Row],[Highest Target]]=tblPiNAnalysis5[[#This Row],[CCCM]:[WASH]], tblPiNAnalysis5[[#Headers],[CCCM]:[WASH]], "")))</f>
        <v>CCCM
Education
Nutrition
Food Security
Health
Overarching Protection
Shelter
WASH</v>
      </c>
      <c r="AK230" s="327">
        <f>IF(tblPiNAnalysis5[[#This Row],[Highest Target]]="", "", tblPiNAnalysis5[[#This Row],[Highest Target]]/tblPiNAnalysis5[[#This Row],[Affected population projection 2026]])</f>
        <v>0</v>
      </c>
      <c r="AL230" s="328" t="str">
        <f>IF(SUM(tblPiNAnalysis5[[#This Row],[CCCM]:[WASH]])=0, "",IF(COUNTIF(tblPiNAnalysis5[[#This Row],[CCCM]:[WASH]],"=0")+COUNTIF(tblPiNAnalysis5[[#This Row],[CCCM]:[WASH]],"")&gt;=zero_pin_thresh, "Flagged", ""))</f>
        <v/>
      </c>
      <c r="AM230" s="329" t="str">
        <f>IFERROR(IF(tblPiNAnalysis5[[#This Row],[Highest Target]]="", "", IF(tblPiNAnalysis5[[#This Row],[Highest sector(s'') Target %]]&gt;=flag_pin_perc, "Flagged", "")), "")</f>
        <v/>
      </c>
      <c r="AN230" s="330" t="str" cm="1">
        <f t="array" ref="AN230">IF(tblPiNAnalysis5[[#This Row],[Highest Target]]=0, "",  IF(OR(COUNTIF(tblPiNAnalysis5[[#This Row],[Highest sector(s)]],tblSubSectorPopulation[Sector])), "Flagged", ""))</f>
        <v/>
      </c>
      <c r="AO230" s="46" cm="1">
        <f t="array" ref="AO23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0" s="331" t="str" cm="1">
        <f t="array" ref="AP230">IF(tblPiNAnalysis5[[#This Row],[2nd Highest Target]]="", "", _xlfn.TEXTJOIN(CHAR(10), TRUE, IF(tblPiNAnalysis5[[#This Row],[2nd Highest Target]]=tblPiNAnalysis5[[#This Row],[CCCM]:[WASH]], tblPiNAnalysis5[[#Headers],[CCCM]:[WASH]], "")))</f>
        <v>CCCM
Education
Nutrition
Food Security
Health
Overarching Protection
Shelter
WASH</v>
      </c>
      <c r="AQ230" s="36">
        <f>IFERROR(tblPiNAnalysis5[[#This Row],[2nd Highest Target]]/tblPiNAnalysis5[[#This Row],[Affected population projection 2026]], "")</f>
        <v>0</v>
      </c>
      <c r="AR230" s="46">
        <f>IFERROR(tblPiNAnalysis5[[#This Row],[Highest Target]]-tblPiNAnalysis5[[#This Row],[2nd Highest Target]], "")</f>
        <v>0</v>
      </c>
      <c r="AS230" s="39" t="str">
        <f>IFERROR(((tblPiNAnalysis5[[#This Row],[Highest Target]]-tblPiNAnalysis5[[#This Row],[2nd Highest Target]])/tblPiNAnalysis5[[#This Row],[2nd Highest Target]]),"")</f>
        <v/>
      </c>
      <c r="AT230" s="39" t="str" cm="1">
        <f t="array" ref="AT23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0" s="332" cm="1">
        <f t="array" ref="AU23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0" s="190" t="str" cm="1">
        <f t="array" ref="AV230">IF(tblPiNAnalysis5[[#This Row],[3rd Highest Target]]="", "", _xlfn.TEXTJOIN(CHAR(10), TRUE, IF(tblPiNAnalysis5[[#This Row],[3rd Highest Target]]=tblPiNAnalysis5[[#This Row],[CCCM]:[WASH]], tblPiNAnalysis5[[#Headers],[CCCM]:[WASH]], "")))</f>
        <v>CCCM
Education
Nutrition
Food Security
Health
Overarching Protection
Shelter
WASH</v>
      </c>
      <c r="AW230" s="190">
        <f>IFERROR(tblPiNAnalysis5[[#This Row],[3rd Highest Target]]/tblPiNAnalysis5[[#This Row],[Affected population projection 2026]], "")</f>
        <v>0</v>
      </c>
      <c r="AX230" s="45">
        <f>IFERROR(tblPiNAnalysis5[[#This Row],[Highest Target]]-tblPiNAnalysis5[[#This Row],[3rd Highest Target]],"")</f>
        <v>0</v>
      </c>
      <c r="AY230" s="39" t="str">
        <f>IFERROR(tblPiNAnalysis5[[#This Row],[Difference of Target between Highest and 3rd Highest]]/tblPiNAnalysis5[[#This Row],[3rd Highest Target]], "")</f>
        <v/>
      </c>
      <c r="AZ230" s="330" t="str" cm="1">
        <f t="array" ref="AZ23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0" s="300" t="str" cm="1">
        <f t="array" ref="BA23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0" s="333" t="str" cm="1">
        <f t="array" ref="BB23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0" s="276" t="str" cm="1">
        <f t="array" ref="BC23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0" s="334" t="str" cm="1">
        <f t="array" ref="BD23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0" s="277" t="e">
        <f>INDEX(tblSeverityAnalysis[Final Severity], MATCH(tblPiNAnalysis5[[#This Row],[ID]],tblSeverityAnalysis[ID], 0))</f>
        <v>#N/A</v>
      </c>
      <c r="BF230" s="61" t="e">
        <f>IF(tblPiNAnalysis5[[#This Row],[Severity]]&gt;2,tblPiNAnalysis5[[#This Row],[Highest Target]],)</f>
        <v>#N/A</v>
      </c>
      <c r="BG230" s="191"/>
      <c r="BH230" s="192"/>
      <c r="BI230" s="193">
        <f>COUNTIFS(tblPiNAnalysis5[[#This Row],[Number of missing / zero PiNs greater than threshold - Data quality]:[Manual Flag]],"Flagged")</f>
        <v>2</v>
      </c>
      <c r="BJ230" s="96" t="str">
        <f>IF(tblPiNAnalysis5[[#This Row],['# Flags]]&gt;0, "Flagged", "")</f>
        <v>Flagged</v>
      </c>
      <c r="BK230" s="326" t="e">
        <f>tblPiNAnalysis5[[#This Row],[Preliminary Target]]</f>
        <v>#N/A</v>
      </c>
      <c r="BL230" s="331"/>
    </row>
    <row r="231" spans="1:64" x14ac:dyDescent="0.55000000000000004">
      <c r="A2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1" s="316" t="s">
        <v>390</v>
      </c>
      <c r="C231" s="317" t="s">
        <v>391</v>
      </c>
      <c r="D231" s="317" t="s">
        <v>392</v>
      </c>
      <c r="E231" s="105" t="s">
        <v>393</v>
      </c>
      <c r="F231" s="100"/>
      <c r="G231" s="34"/>
      <c r="H231" s="34"/>
      <c r="I231" s="97">
        <v>3661</v>
      </c>
      <c r="J231" s="97" t="s">
        <v>414</v>
      </c>
      <c r="K231" s="318">
        <v>0</v>
      </c>
      <c r="L231" s="319">
        <v>201.31884762499996</v>
      </c>
      <c r="M231" s="319">
        <v>642.82112034112208</v>
      </c>
      <c r="N231" s="319">
        <v>183.25859985508271</v>
      </c>
      <c r="O231" s="319">
        <v>452.36201587247723</v>
      </c>
      <c r="P231" s="319">
        <v>349.97921670273229</v>
      </c>
      <c r="Q231" s="320">
        <v>2791.1679592522619</v>
      </c>
      <c r="R231" s="319">
        <v>803.51165980795611</v>
      </c>
      <c r="S231" s="319"/>
      <c r="T231" s="319"/>
      <c r="U231" s="319"/>
      <c r="V231" s="319"/>
      <c r="W231" s="321">
        <f>IFERROR(IF(tblPiNAnalysis5[[#This Row],[CCCM]]="", "", MROUND(tblPiNAnalysis5[[#This Row],[CCCM]]/tblPiNAnalysis5[[#This Row],[Affected population projection 2026]], 0.05)), "")</f>
        <v>0</v>
      </c>
      <c r="X231" s="322">
        <f>IFERROR(IF(tblPiNAnalysis5[[#This Row],[Education]]="", "", MROUND(tblPiNAnalysis5[[#This Row],[Education]]/tblPiNAnalysis5[[#This Row],[Affected population projection 2026]], 0.05)), "")</f>
        <v>0.05</v>
      </c>
      <c r="Y231" s="322">
        <f>IFERROR(IF(tblPiNAnalysis5[[#This Row],[Nutrition]]="", "", MROUND(tblPiNAnalysis5[[#This Row],[Nutrition]]/tblPiNAnalysis5[[#This Row],[Affected population projection 2026]], 0.05)), "")</f>
        <v>0.2</v>
      </c>
      <c r="Z231" s="322">
        <f>IFERROR(IF(tblPiNAnalysis5[[#This Row],[Food Security]]="", "", MROUND(tblPiNAnalysis5[[#This Row],[Food Security]]/tblPiNAnalysis5[[#This Row],[Affected population projection 2026]], 0.05)), "")</f>
        <v>0.05</v>
      </c>
      <c r="AA231" s="322">
        <f>IFERROR(IF(tblPiNAnalysis5[[#This Row],[Health]]="", "", MROUND(tblPiNAnalysis5[[#This Row],[Health]]/tblPiNAnalysis5[[#This Row],[Affected population projection 2026]], 0.05)), "")</f>
        <v>0.1</v>
      </c>
      <c r="AB231" s="323">
        <f>IFERROR(IF(tblPiNAnalysis5[[#This Row],[Overarching Protection]]="", "", MROUND(tblPiNAnalysis5[[#This Row],[Overarching Protection]]/tblPiNAnalysis5[[#This Row],[Affected population projection 2026]], 0.05)), "")</f>
        <v>0.1</v>
      </c>
      <c r="AC231" s="323">
        <f>IFERROR(IF(tblPiNAnalysis5[[#This Row],[Shelter]]="", "", MROUND(tblPiNAnalysis5[[#This Row],[Shelter]]/tblPiNAnalysis5[[#This Row],[Affected population projection 2026]], 0.05)), "")</f>
        <v>0.75</v>
      </c>
      <c r="AD231" s="324">
        <f>IFERROR(IF(tblPiNAnalysis5[[#This Row],[WASH]]="", "", MROUND(tblPiNAnalysis5[[#This Row],[WASH]]/tblPiNAnalysis5[[#This Row],[Affected population projection 2026]], 0.05)), "")</f>
        <v>0.2</v>
      </c>
      <c r="AE231" s="322">
        <f>IFERROR(MROUND(tblPiNAnalysis5[[#This Row],[CP]]/tblPiNAnalysis5[[#This Row],[Affected population projection 2026]], 0.05), "")</f>
        <v>0</v>
      </c>
      <c r="AF231" s="322">
        <f>IFERROR(MROUND(tblPiNAnalysis5[[#This Row],[GBV]]/tblPiNAnalysis5[[#This Row],[Affected population projection 2026]], 0.05), "")</f>
        <v>0</v>
      </c>
      <c r="AG231" s="322">
        <f>IFERROR(MROUND(tblPiNAnalysis5[[#This Row],[Mine Action]]/tblPiNAnalysis5[[#This Row],[Affected population projection 2026]], 0.05), "")</f>
        <v>0</v>
      </c>
      <c r="AH231" s="322">
        <f>IFERROR(MROUND(tblPiNAnalysis5[[#This Row],[HLP]]/tblPiNAnalysis5[[#This Row],[Affected population projection 2026]], 0.05), "")</f>
        <v>0</v>
      </c>
      <c r="AI231" s="325">
        <f>IFERROR(LARGE(tblPiNAnalysis5[[#This Row],[CCCM]:[WASH]], 1), "")</f>
        <v>2791.1679592522619</v>
      </c>
      <c r="AJ231" s="326" t="str" cm="1">
        <f t="array" ref="AJ231">IF(tblPiNAnalysis5[[#This Row],[Highest Target]]="", "", _xlfn.TEXTJOIN(CHAR(10), TRUE, IF(tblPiNAnalysis5[[#This Row],[Highest Target]]=tblPiNAnalysis5[[#This Row],[CCCM]:[WASH]], tblPiNAnalysis5[[#Headers],[CCCM]:[WASH]], "")))</f>
        <v>Shelter</v>
      </c>
      <c r="AK231" s="327">
        <f>IF(tblPiNAnalysis5[[#This Row],[Highest Target]]="", "", tblPiNAnalysis5[[#This Row],[Highest Target]]/tblPiNAnalysis5[[#This Row],[Affected population projection 2026]])</f>
        <v>0.76240588889709415</v>
      </c>
      <c r="AL231" s="328" t="str">
        <f>IF(SUM(tblPiNAnalysis5[[#This Row],[CCCM]:[WASH]])=0, "",IF(COUNTIF(tblPiNAnalysis5[[#This Row],[CCCM]:[WASH]],"=0")+COUNTIF(tblPiNAnalysis5[[#This Row],[CCCM]:[WASH]],"")&gt;=zero_pin_thresh, "Flagged", ""))</f>
        <v/>
      </c>
      <c r="AM231" s="329" t="str">
        <f>IFERROR(IF(tblPiNAnalysis5[[#This Row],[Highest Target]]="", "", IF(tblPiNAnalysis5[[#This Row],[Highest sector(s'') Target %]]&gt;=flag_pin_perc, "Flagged", "")), "")</f>
        <v/>
      </c>
      <c r="AN231" s="330" t="str" cm="1">
        <f t="array" ref="AN231">IF(tblPiNAnalysis5[[#This Row],[Highest Target]]=0, "",  IF(OR(COUNTIF(tblPiNAnalysis5[[#This Row],[Highest sector(s)]],tblSubSectorPopulation[Sector])), "Flagged", ""))</f>
        <v/>
      </c>
      <c r="AO231" s="46" cm="1">
        <f t="array" ref="AO231">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803.51165980795611</v>
      </c>
      <c r="AP231" s="331" t="str" cm="1">
        <f t="array" ref="AP231">IF(tblPiNAnalysis5[[#This Row],[2nd Highest Target]]="", "", _xlfn.TEXTJOIN(CHAR(10), TRUE, IF(tblPiNAnalysis5[[#This Row],[2nd Highest Target]]=tblPiNAnalysis5[[#This Row],[CCCM]:[WASH]], tblPiNAnalysis5[[#Headers],[CCCM]:[WASH]], "")))</f>
        <v>WASH</v>
      </c>
      <c r="AQ231" s="36">
        <f>IFERROR(tblPiNAnalysis5[[#This Row],[2nd Highest Target]]/tblPiNAnalysis5[[#This Row],[Affected population projection 2026]], "")</f>
        <v>0.21947873799725651</v>
      </c>
      <c r="AR231" s="46">
        <f>IFERROR(tblPiNAnalysis5[[#This Row],[Highest Target]]-tblPiNAnalysis5[[#This Row],[2nd Highest Target]], "")</f>
        <v>1987.6562994443057</v>
      </c>
      <c r="AS231" s="39">
        <f>IFERROR(((tblPiNAnalysis5[[#This Row],[Highest Target]]-tblPiNAnalysis5[[#This Row],[2nd Highest Target]])/tblPiNAnalysis5[[#This Row],[2nd Highest Target]]),"")</f>
        <v>2.4737118312873854</v>
      </c>
      <c r="AT231" s="39" t="str" cm="1">
        <f t="array" ref="AT231">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Flagged</v>
      </c>
      <c r="AU231" s="332" cm="1">
        <f t="array" ref="AU231">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642.82112034112208</v>
      </c>
      <c r="AV231" s="190" t="str" cm="1">
        <f t="array" ref="AV231">IF(tblPiNAnalysis5[[#This Row],[3rd Highest Target]]="", "", _xlfn.TEXTJOIN(CHAR(10), TRUE, IF(tblPiNAnalysis5[[#This Row],[3rd Highest Target]]=tblPiNAnalysis5[[#This Row],[CCCM]:[WASH]], tblPiNAnalysis5[[#Headers],[CCCM]:[WASH]], "")))</f>
        <v>Nutrition</v>
      </c>
      <c r="AW231" s="190">
        <f>IFERROR(tblPiNAnalysis5[[#This Row],[3rd Highest Target]]/tblPiNAnalysis5[[#This Row],[Affected population projection 2026]], "")</f>
        <v>0.17558621151082274</v>
      </c>
      <c r="AX231" s="45">
        <f>IFERROR(tblPiNAnalysis5[[#This Row],[Highest Target]]-tblPiNAnalysis5[[#This Row],[3rd Highest Target]],"")</f>
        <v>2148.3468389111399</v>
      </c>
      <c r="AY231" s="39">
        <f>IFERROR(tblPiNAnalysis5[[#This Row],[Difference of Target between Highest and 3rd Highest]]/tblPiNAnalysis5[[#This Row],[3rd Highest Target]], "")</f>
        <v>3.342060132951278</v>
      </c>
      <c r="AZ231" s="330" t="str" cm="1">
        <f t="array" ref="AZ231">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Flagged</v>
      </c>
      <c r="BA231" s="300" t="str" cm="1">
        <f t="array" ref="BA231">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1" s="333" t="str" cm="1">
        <f t="array" ref="BB231">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1" s="276" t="str" cm="1">
        <f t="array" ref="BC231">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1" s="334" t="str" cm="1">
        <f t="array" ref="BD231">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
      </c>
      <c r="BE231" s="277" t="e">
        <f>INDEX(tblSeverityAnalysis[Final Severity], MATCH(tblPiNAnalysis5[[#This Row],[ID]],tblSeverityAnalysis[ID], 0))</f>
        <v>#N/A</v>
      </c>
      <c r="BF231" s="61" t="e">
        <f>IF(tblPiNAnalysis5[[#This Row],[Severity]]&gt;2,tblPiNAnalysis5[[#This Row],[Highest Target]],)</f>
        <v>#N/A</v>
      </c>
      <c r="BG231" s="191"/>
      <c r="BH231" s="192"/>
      <c r="BI231" s="193">
        <f>COUNTIFS(tblPiNAnalysis5[[#This Row],[Number of missing / zero PiNs greater than threshold - Data quality]:[Manual Flag]],"Flagged")</f>
        <v>3</v>
      </c>
      <c r="BJ231" s="96" t="str">
        <f>IF(tblPiNAnalysis5[[#This Row],['# Flags]]&gt;0, "Flagged", "")</f>
        <v>Flagged</v>
      </c>
      <c r="BK231" s="326" t="e">
        <f>tblPiNAnalysis5[[#This Row],[Preliminary Target]]</f>
        <v>#N/A</v>
      </c>
      <c r="BL231" s="331"/>
    </row>
    <row r="232" spans="1:64" ht="110.7" x14ac:dyDescent="0.55000000000000004">
      <c r="A2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2" s="316" t="s">
        <v>390</v>
      </c>
      <c r="C232" s="317" t="s">
        <v>391</v>
      </c>
      <c r="D232" s="317" t="s">
        <v>394</v>
      </c>
      <c r="E232" s="105" t="s">
        <v>395</v>
      </c>
      <c r="F232" s="100"/>
      <c r="G232" s="34"/>
      <c r="H232" s="34"/>
      <c r="I232" s="97">
        <v>1463.1428571428601</v>
      </c>
      <c r="J232" s="97" t="s">
        <v>414</v>
      </c>
      <c r="K232" s="318">
        <v>0</v>
      </c>
      <c r="L232" s="319">
        <v>0</v>
      </c>
      <c r="M232" s="319">
        <v>0</v>
      </c>
      <c r="N232" s="319">
        <v>0</v>
      </c>
      <c r="O232" s="319">
        <v>0</v>
      </c>
      <c r="P232" s="319">
        <v>0</v>
      </c>
      <c r="Q232" s="320">
        <v>0</v>
      </c>
      <c r="R232" s="319">
        <v>0</v>
      </c>
      <c r="S232" s="319"/>
      <c r="T232" s="319"/>
      <c r="U232" s="319"/>
      <c r="V232" s="319"/>
      <c r="W232" s="321">
        <f>IFERROR(IF(tblPiNAnalysis5[[#This Row],[CCCM]]="", "", MROUND(tblPiNAnalysis5[[#This Row],[CCCM]]/tblPiNAnalysis5[[#This Row],[Affected population projection 2026]], 0.05)), "")</f>
        <v>0</v>
      </c>
      <c r="X232" s="322">
        <f>IFERROR(IF(tblPiNAnalysis5[[#This Row],[Education]]="", "", MROUND(tblPiNAnalysis5[[#This Row],[Education]]/tblPiNAnalysis5[[#This Row],[Affected population projection 2026]], 0.05)), "")</f>
        <v>0</v>
      </c>
      <c r="Y232" s="322">
        <f>IFERROR(IF(tblPiNAnalysis5[[#This Row],[Nutrition]]="", "", MROUND(tblPiNAnalysis5[[#This Row],[Nutrition]]/tblPiNAnalysis5[[#This Row],[Affected population projection 2026]], 0.05)), "")</f>
        <v>0</v>
      </c>
      <c r="Z232" s="322">
        <f>IFERROR(IF(tblPiNAnalysis5[[#This Row],[Food Security]]="", "", MROUND(tblPiNAnalysis5[[#This Row],[Food Security]]/tblPiNAnalysis5[[#This Row],[Affected population projection 2026]], 0.05)), "")</f>
        <v>0</v>
      </c>
      <c r="AA232" s="322">
        <f>IFERROR(IF(tblPiNAnalysis5[[#This Row],[Health]]="", "", MROUND(tblPiNAnalysis5[[#This Row],[Health]]/tblPiNAnalysis5[[#This Row],[Affected population projection 2026]], 0.05)), "")</f>
        <v>0</v>
      </c>
      <c r="AB232" s="323">
        <f>IFERROR(IF(tblPiNAnalysis5[[#This Row],[Overarching Protection]]="", "", MROUND(tblPiNAnalysis5[[#This Row],[Overarching Protection]]/tblPiNAnalysis5[[#This Row],[Affected population projection 2026]], 0.05)), "")</f>
        <v>0</v>
      </c>
      <c r="AC232" s="323">
        <f>IFERROR(IF(tblPiNAnalysis5[[#This Row],[Shelter]]="", "", MROUND(tblPiNAnalysis5[[#This Row],[Shelter]]/tblPiNAnalysis5[[#This Row],[Affected population projection 2026]], 0.05)), "")</f>
        <v>0</v>
      </c>
      <c r="AD232" s="324">
        <f>IFERROR(IF(tblPiNAnalysis5[[#This Row],[WASH]]="", "", MROUND(tblPiNAnalysis5[[#This Row],[WASH]]/tblPiNAnalysis5[[#This Row],[Affected population projection 2026]], 0.05)), "")</f>
        <v>0</v>
      </c>
      <c r="AE232" s="322">
        <f>IFERROR(MROUND(tblPiNAnalysis5[[#This Row],[CP]]/tblPiNAnalysis5[[#This Row],[Affected population projection 2026]], 0.05), "")</f>
        <v>0</v>
      </c>
      <c r="AF232" s="322">
        <f>IFERROR(MROUND(tblPiNAnalysis5[[#This Row],[GBV]]/tblPiNAnalysis5[[#This Row],[Affected population projection 2026]], 0.05), "")</f>
        <v>0</v>
      </c>
      <c r="AG232" s="322">
        <f>IFERROR(MROUND(tblPiNAnalysis5[[#This Row],[Mine Action]]/tblPiNAnalysis5[[#This Row],[Affected population projection 2026]], 0.05), "")</f>
        <v>0</v>
      </c>
      <c r="AH232" s="322">
        <f>IFERROR(MROUND(tblPiNAnalysis5[[#This Row],[HLP]]/tblPiNAnalysis5[[#This Row],[Affected population projection 2026]], 0.05), "")</f>
        <v>0</v>
      </c>
      <c r="AI232" s="325">
        <f>IFERROR(LARGE(tblPiNAnalysis5[[#This Row],[CCCM]:[WASH]], 1), "")</f>
        <v>0</v>
      </c>
      <c r="AJ232" s="326" t="str" cm="1">
        <f t="array" ref="AJ232">IF(tblPiNAnalysis5[[#This Row],[Highest Target]]="", "", _xlfn.TEXTJOIN(CHAR(10), TRUE, IF(tblPiNAnalysis5[[#This Row],[Highest Target]]=tblPiNAnalysis5[[#This Row],[CCCM]:[WASH]], tblPiNAnalysis5[[#Headers],[CCCM]:[WASH]], "")))</f>
        <v>CCCM
Education
Nutrition
Food Security
Health
Overarching Protection
Shelter
WASH</v>
      </c>
      <c r="AK232" s="327">
        <f>IF(tblPiNAnalysis5[[#This Row],[Highest Target]]="", "", tblPiNAnalysis5[[#This Row],[Highest Target]]/tblPiNAnalysis5[[#This Row],[Affected population projection 2026]])</f>
        <v>0</v>
      </c>
      <c r="AL232" s="328" t="str">
        <f>IF(SUM(tblPiNAnalysis5[[#This Row],[CCCM]:[WASH]])=0, "",IF(COUNTIF(tblPiNAnalysis5[[#This Row],[CCCM]:[WASH]],"=0")+COUNTIF(tblPiNAnalysis5[[#This Row],[CCCM]:[WASH]],"")&gt;=zero_pin_thresh, "Flagged", ""))</f>
        <v/>
      </c>
      <c r="AM232" s="329" t="str">
        <f>IFERROR(IF(tblPiNAnalysis5[[#This Row],[Highest Target]]="", "", IF(tblPiNAnalysis5[[#This Row],[Highest sector(s'') Target %]]&gt;=flag_pin_perc, "Flagged", "")), "")</f>
        <v/>
      </c>
      <c r="AN232" s="330" t="str" cm="1">
        <f t="array" ref="AN232">IF(tblPiNAnalysis5[[#This Row],[Highest Target]]=0, "",  IF(OR(COUNTIF(tblPiNAnalysis5[[#This Row],[Highest sector(s)]],tblSubSectorPopulation[Sector])), "Flagged", ""))</f>
        <v/>
      </c>
      <c r="AO232" s="46" cm="1">
        <f t="array" ref="AO232">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2" s="331" t="str" cm="1">
        <f t="array" ref="AP232">IF(tblPiNAnalysis5[[#This Row],[2nd Highest Target]]="", "", _xlfn.TEXTJOIN(CHAR(10), TRUE, IF(tblPiNAnalysis5[[#This Row],[2nd Highest Target]]=tblPiNAnalysis5[[#This Row],[CCCM]:[WASH]], tblPiNAnalysis5[[#Headers],[CCCM]:[WASH]], "")))</f>
        <v>CCCM
Education
Nutrition
Food Security
Health
Overarching Protection
Shelter
WASH</v>
      </c>
      <c r="AQ232" s="36">
        <f>IFERROR(tblPiNAnalysis5[[#This Row],[2nd Highest Target]]/tblPiNAnalysis5[[#This Row],[Affected population projection 2026]], "")</f>
        <v>0</v>
      </c>
      <c r="AR232" s="46">
        <f>IFERROR(tblPiNAnalysis5[[#This Row],[Highest Target]]-tblPiNAnalysis5[[#This Row],[2nd Highest Target]], "")</f>
        <v>0</v>
      </c>
      <c r="AS232" s="39" t="str">
        <f>IFERROR(((tblPiNAnalysis5[[#This Row],[Highest Target]]-tblPiNAnalysis5[[#This Row],[2nd Highest Target]])/tblPiNAnalysis5[[#This Row],[2nd Highest Target]]),"")</f>
        <v/>
      </c>
      <c r="AT232" s="39" t="str" cm="1">
        <f t="array" ref="AT232">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2" s="332" cm="1">
        <f t="array" ref="AU232">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2" s="190" t="str" cm="1">
        <f t="array" ref="AV232">IF(tblPiNAnalysis5[[#This Row],[3rd Highest Target]]="", "", _xlfn.TEXTJOIN(CHAR(10), TRUE, IF(tblPiNAnalysis5[[#This Row],[3rd Highest Target]]=tblPiNAnalysis5[[#This Row],[CCCM]:[WASH]], tblPiNAnalysis5[[#Headers],[CCCM]:[WASH]], "")))</f>
        <v>CCCM
Education
Nutrition
Food Security
Health
Overarching Protection
Shelter
WASH</v>
      </c>
      <c r="AW232" s="190">
        <f>IFERROR(tblPiNAnalysis5[[#This Row],[3rd Highest Target]]/tblPiNAnalysis5[[#This Row],[Affected population projection 2026]], "")</f>
        <v>0</v>
      </c>
      <c r="AX232" s="45">
        <f>IFERROR(tblPiNAnalysis5[[#This Row],[Highest Target]]-tblPiNAnalysis5[[#This Row],[3rd Highest Target]],"")</f>
        <v>0</v>
      </c>
      <c r="AY232" s="39" t="str">
        <f>IFERROR(tblPiNAnalysis5[[#This Row],[Difference of Target between Highest and 3rd Highest]]/tblPiNAnalysis5[[#This Row],[3rd Highest Target]], "")</f>
        <v/>
      </c>
      <c r="AZ232" s="330" t="str" cm="1">
        <f t="array" ref="AZ232">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2" s="300" t="str" cm="1">
        <f t="array" ref="BA232">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2" s="333" t="str" cm="1">
        <f t="array" ref="BB232">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2" s="276" t="str" cm="1">
        <f t="array" ref="BC232">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2" s="334" t="str" cm="1">
        <f t="array" ref="BD232">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2" s="277" t="e">
        <f>INDEX(tblSeverityAnalysis[Final Severity], MATCH(tblPiNAnalysis5[[#This Row],[ID]],tblSeverityAnalysis[ID], 0))</f>
        <v>#N/A</v>
      </c>
      <c r="BF232" s="61" t="e">
        <f>IF(tblPiNAnalysis5[[#This Row],[Severity]]&gt;2,tblPiNAnalysis5[[#This Row],[Highest Target]],)</f>
        <v>#N/A</v>
      </c>
      <c r="BG232" s="191"/>
      <c r="BH232" s="192"/>
      <c r="BI232" s="193">
        <f>COUNTIFS(tblPiNAnalysis5[[#This Row],[Number of missing / zero PiNs greater than threshold - Data quality]:[Manual Flag]],"Flagged")</f>
        <v>2</v>
      </c>
      <c r="BJ232" s="96" t="str">
        <f>IF(tblPiNAnalysis5[[#This Row],['# Flags]]&gt;0, "Flagged", "")</f>
        <v>Flagged</v>
      </c>
      <c r="BK232" s="326" t="e">
        <f>tblPiNAnalysis5[[#This Row],[Preliminary Target]]</f>
        <v>#N/A</v>
      </c>
      <c r="BL232" s="331"/>
    </row>
    <row r="233" spans="1:64" ht="110.7" x14ac:dyDescent="0.55000000000000004">
      <c r="A2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3" s="316" t="s">
        <v>390</v>
      </c>
      <c r="C233" s="317" t="s">
        <v>391</v>
      </c>
      <c r="D233" s="317" t="s">
        <v>396</v>
      </c>
      <c r="E233" s="105" t="s">
        <v>397</v>
      </c>
      <c r="F233" s="100"/>
      <c r="G233" s="34"/>
      <c r="H233" s="34"/>
      <c r="I233" s="97">
        <v>688</v>
      </c>
      <c r="J233" s="97" t="s">
        <v>414</v>
      </c>
      <c r="K233" s="318">
        <v>0</v>
      </c>
      <c r="L233" s="319">
        <v>0</v>
      </c>
      <c r="M233" s="319">
        <v>0</v>
      </c>
      <c r="N233" s="319">
        <v>0</v>
      </c>
      <c r="O233" s="319">
        <v>0</v>
      </c>
      <c r="P233" s="319">
        <v>0</v>
      </c>
      <c r="Q233" s="320">
        <v>0</v>
      </c>
      <c r="R233" s="319">
        <v>0</v>
      </c>
      <c r="S233" s="319"/>
      <c r="T233" s="319"/>
      <c r="U233" s="319"/>
      <c r="V233" s="319"/>
      <c r="W233" s="321">
        <f>IFERROR(IF(tblPiNAnalysis5[[#This Row],[CCCM]]="", "", MROUND(tblPiNAnalysis5[[#This Row],[CCCM]]/tblPiNAnalysis5[[#This Row],[Affected population projection 2026]], 0.05)), "")</f>
        <v>0</v>
      </c>
      <c r="X233" s="322">
        <f>IFERROR(IF(tblPiNAnalysis5[[#This Row],[Education]]="", "", MROUND(tblPiNAnalysis5[[#This Row],[Education]]/tblPiNAnalysis5[[#This Row],[Affected population projection 2026]], 0.05)), "")</f>
        <v>0</v>
      </c>
      <c r="Y233" s="322">
        <f>IFERROR(IF(tblPiNAnalysis5[[#This Row],[Nutrition]]="", "", MROUND(tblPiNAnalysis5[[#This Row],[Nutrition]]/tblPiNAnalysis5[[#This Row],[Affected population projection 2026]], 0.05)), "")</f>
        <v>0</v>
      </c>
      <c r="Z233" s="322">
        <f>IFERROR(IF(tblPiNAnalysis5[[#This Row],[Food Security]]="", "", MROUND(tblPiNAnalysis5[[#This Row],[Food Security]]/tblPiNAnalysis5[[#This Row],[Affected population projection 2026]], 0.05)), "")</f>
        <v>0</v>
      </c>
      <c r="AA233" s="322">
        <f>IFERROR(IF(tblPiNAnalysis5[[#This Row],[Health]]="", "", MROUND(tblPiNAnalysis5[[#This Row],[Health]]/tblPiNAnalysis5[[#This Row],[Affected population projection 2026]], 0.05)), "")</f>
        <v>0</v>
      </c>
      <c r="AB233" s="323">
        <f>IFERROR(IF(tblPiNAnalysis5[[#This Row],[Overarching Protection]]="", "", MROUND(tblPiNAnalysis5[[#This Row],[Overarching Protection]]/tblPiNAnalysis5[[#This Row],[Affected population projection 2026]], 0.05)), "")</f>
        <v>0</v>
      </c>
      <c r="AC233" s="323">
        <f>IFERROR(IF(tblPiNAnalysis5[[#This Row],[Shelter]]="", "", MROUND(tblPiNAnalysis5[[#This Row],[Shelter]]/tblPiNAnalysis5[[#This Row],[Affected population projection 2026]], 0.05)), "")</f>
        <v>0</v>
      </c>
      <c r="AD233" s="324">
        <f>IFERROR(IF(tblPiNAnalysis5[[#This Row],[WASH]]="", "", MROUND(tblPiNAnalysis5[[#This Row],[WASH]]/tblPiNAnalysis5[[#This Row],[Affected population projection 2026]], 0.05)), "")</f>
        <v>0</v>
      </c>
      <c r="AE233" s="322">
        <f>IFERROR(MROUND(tblPiNAnalysis5[[#This Row],[CP]]/tblPiNAnalysis5[[#This Row],[Affected population projection 2026]], 0.05), "")</f>
        <v>0</v>
      </c>
      <c r="AF233" s="322">
        <f>IFERROR(MROUND(tblPiNAnalysis5[[#This Row],[GBV]]/tblPiNAnalysis5[[#This Row],[Affected population projection 2026]], 0.05), "")</f>
        <v>0</v>
      </c>
      <c r="AG233" s="322">
        <f>IFERROR(MROUND(tblPiNAnalysis5[[#This Row],[Mine Action]]/tblPiNAnalysis5[[#This Row],[Affected population projection 2026]], 0.05), "")</f>
        <v>0</v>
      </c>
      <c r="AH233" s="322">
        <f>IFERROR(MROUND(tblPiNAnalysis5[[#This Row],[HLP]]/tblPiNAnalysis5[[#This Row],[Affected population projection 2026]], 0.05), "")</f>
        <v>0</v>
      </c>
      <c r="AI233" s="325">
        <f>IFERROR(LARGE(tblPiNAnalysis5[[#This Row],[CCCM]:[WASH]], 1), "")</f>
        <v>0</v>
      </c>
      <c r="AJ233" s="326" t="str" cm="1">
        <f t="array" ref="AJ233">IF(tblPiNAnalysis5[[#This Row],[Highest Target]]="", "", _xlfn.TEXTJOIN(CHAR(10), TRUE, IF(tblPiNAnalysis5[[#This Row],[Highest Target]]=tblPiNAnalysis5[[#This Row],[CCCM]:[WASH]], tblPiNAnalysis5[[#Headers],[CCCM]:[WASH]], "")))</f>
        <v>CCCM
Education
Nutrition
Food Security
Health
Overarching Protection
Shelter
WASH</v>
      </c>
      <c r="AK233" s="327">
        <f>IF(tblPiNAnalysis5[[#This Row],[Highest Target]]="", "", tblPiNAnalysis5[[#This Row],[Highest Target]]/tblPiNAnalysis5[[#This Row],[Affected population projection 2026]])</f>
        <v>0</v>
      </c>
      <c r="AL233" s="328" t="str">
        <f>IF(SUM(tblPiNAnalysis5[[#This Row],[CCCM]:[WASH]])=0, "",IF(COUNTIF(tblPiNAnalysis5[[#This Row],[CCCM]:[WASH]],"=0")+COUNTIF(tblPiNAnalysis5[[#This Row],[CCCM]:[WASH]],"")&gt;=zero_pin_thresh, "Flagged", ""))</f>
        <v/>
      </c>
      <c r="AM233" s="329" t="str">
        <f>IFERROR(IF(tblPiNAnalysis5[[#This Row],[Highest Target]]="", "", IF(tblPiNAnalysis5[[#This Row],[Highest sector(s'') Target %]]&gt;=flag_pin_perc, "Flagged", "")), "")</f>
        <v/>
      </c>
      <c r="AN233" s="330" t="str" cm="1">
        <f t="array" ref="AN233">IF(tblPiNAnalysis5[[#This Row],[Highest Target]]=0, "",  IF(OR(COUNTIF(tblPiNAnalysis5[[#This Row],[Highest sector(s)]],tblSubSectorPopulation[Sector])), "Flagged", ""))</f>
        <v/>
      </c>
      <c r="AO233" s="46" cm="1">
        <f t="array" ref="AO233">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3" s="331" t="str" cm="1">
        <f t="array" ref="AP233">IF(tblPiNAnalysis5[[#This Row],[2nd Highest Target]]="", "", _xlfn.TEXTJOIN(CHAR(10), TRUE, IF(tblPiNAnalysis5[[#This Row],[2nd Highest Target]]=tblPiNAnalysis5[[#This Row],[CCCM]:[WASH]], tblPiNAnalysis5[[#Headers],[CCCM]:[WASH]], "")))</f>
        <v>CCCM
Education
Nutrition
Food Security
Health
Overarching Protection
Shelter
WASH</v>
      </c>
      <c r="AQ233" s="36">
        <f>IFERROR(tblPiNAnalysis5[[#This Row],[2nd Highest Target]]/tblPiNAnalysis5[[#This Row],[Affected population projection 2026]], "")</f>
        <v>0</v>
      </c>
      <c r="AR233" s="46">
        <f>IFERROR(tblPiNAnalysis5[[#This Row],[Highest Target]]-tblPiNAnalysis5[[#This Row],[2nd Highest Target]], "")</f>
        <v>0</v>
      </c>
      <c r="AS233" s="39" t="str">
        <f>IFERROR(((tblPiNAnalysis5[[#This Row],[Highest Target]]-tblPiNAnalysis5[[#This Row],[2nd Highest Target]])/tblPiNAnalysis5[[#This Row],[2nd Highest Target]]),"")</f>
        <v/>
      </c>
      <c r="AT233" s="39" t="str" cm="1">
        <f t="array" ref="AT233">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3" s="332" cm="1">
        <f t="array" ref="AU233">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3" s="190" t="str" cm="1">
        <f t="array" ref="AV233">IF(tblPiNAnalysis5[[#This Row],[3rd Highest Target]]="", "", _xlfn.TEXTJOIN(CHAR(10), TRUE, IF(tblPiNAnalysis5[[#This Row],[3rd Highest Target]]=tblPiNAnalysis5[[#This Row],[CCCM]:[WASH]], tblPiNAnalysis5[[#Headers],[CCCM]:[WASH]], "")))</f>
        <v>CCCM
Education
Nutrition
Food Security
Health
Overarching Protection
Shelter
WASH</v>
      </c>
      <c r="AW233" s="190">
        <f>IFERROR(tblPiNAnalysis5[[#This Row],[3rd Highest Target]]/tblPiNAnalysis5[[#This Row],[Affected population projection 2026]], "")</f>
        <v>0</v>
      </c>
      <c r="AX233" s="45">
        <f>IFERROR(tblPiNAnalysis5[[#This Row],[Highest Target]]-tblPiNAnalysis5[[#This Row],[3rd Highest Target]],"")</f>
        <v>0</v>
      </c>
      <c r="AY233" s="39" t="str">
        <f>IFERROR(tblPiNAnalysis5[[#This Row],[Difference of Target between Highest and 3rd Highest]]/tblPiNAnalysis5[[#This Row],[3rd Highest Target]], "")</f>
        <v/>
      </c>
      <c r="AZ233" s="330" t="str" cm="1">
        <f t="array" ref="AZ233">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3" s="300" t="str" cm="1">
        <f t="array" ref="BA233">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3" s="333" t="str" cm="1">
        <f t="array" ref="BB233">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3" s="276" t="str" cm="1">
        <f t="array" ref="BC233">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3" s="334" t="str" cm="1">
        <f t="array" ref="BD233">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3" s="277" t="e">
        <f>INDEX(tblSeverityAnalysis[Final Severity], MATCH(tblPiNAnalysis5[[#This Row],[ID]],tblSeverityAnalysis[ID], 0))</f>
        <v>#N/A</v>
      </c>
      <c r="BF233" s="61" t="e">
        <f>IF(tblPiNAnalysis5[[#This Row],[Severity]]&gt;2,tblPiNAnalysis5[[#This Row],[Highest Target]],)</f>
        <v>#N/A</v>
      </c>
      <c r="BG233" s="191"/>
      <c r="BH233" s="192"/>
      <c r="BI233" s="193">
        <f>COUNTIFS(tblPiNAnalysis5[[#This Row],[Number of missing / zero PiNs greater than threshold - Data quality]:[Manual Flag]],"Flagged")</f>
        <v>2</v>
      </c>
      <c r="BJ233" s="96" t="str">
        <f>IF(tblPiNAnalysis5[[#This Row],['# Flags]]&gt;0, "Flagged", "")</f>
        <v>Flagged</v>
      </c>
      <c r="BK233" s="326" t="e">
        <f>tblPiNAnalysis5[[#This Row],[Preliminary Target]]</f>
        <v>#N/A</v>
      </c>
      <c r="BL233" s="331"/>
    </row>
    <row r="234" spans="1:64" ht="110.7" x14ac:dyDescent="0.55000000000000004">
      <c r="A2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4" s="316" t="s">
        <v>390</v>
      </c>
      <c r="C234" s="317" t="s">
        <v>391</v>
      </c>
      <c r="D234" s="317" t="s">
        <v>398</v>
      </c>
      <c r="E234" s="105" t="s">
        <v>399</v>
      </c>
      <c r="F234" s="100"/>
      <c r="G234" s="34"/>
      <c r="H234" s="34"/>
      <c r="I234" s="97">
        <v>5019</v>
      </c>
      <c r="J234" s="97" t="s">
        <v>414</v>
      </c>
      <c r="K234" s="318">
        <v>0</v>
      </c>
      <c r="L234" s="319">
        <v>0</v>
      </c>
      <c r="M234" s="319">
        <v>0</v>
      </c>
      <c r="N234" s="319">
        <v>0</v>
      </c>
      <c r="O234" s="319">
        <v>0</v>
      </c>
      <c r="P234" s="319">
        <v>0</v>
      </c>
      <c r="Q234" s="320">
        <v>0</v>
      </c>
      <c r="R234" s="319">
        <v>0</v>
      </c>
      <c r="S234" s="319"/>
      <c r="T234" s="319"/>
      <c r="U234" s="319"/>
      <c r="V234" s="319"/>
      <c r="W234" s="321">
        <f>IFERROR(IF(tblPiNAnalysis5[[#This Row],[CCCM]]="", "", MROUND(tblPiNAnalysis5[[#This Row],[CCCM]]/tblPiNAnalysis5[[#This Row],[Affected population projection 2026]], 0.05)), "")</f>
        <v>0</v>
      </c>
      <c r="X234" s="322">
        <f>IFERROR(IF(tblPiNAnalysis5[[#This Row],[Education]]="", "", MROUND(tblPiNAnalysis5[[#This Row],[Education]]/tblPiNAnalysis5[[#This Row],[Affected population projection 2026]], 0.05)), "")</f>
        <v>0</v>
      </c>
      <c r="Y234" s="322">
        <f>IFERROR(IF(tblPiNAnalysis5[[#This Row],[Nutrition]]="", "", MROUND(tblPiNAnalysis5[[#This Row],[Nutrition]]/tblPiNAnalysis5[[#This Row],[Affected population projection 2026]], 0.05)), "")</f>
        <v>0</v>
      </c>
      <c r="Z234" s="322">
        <f>IFERROR(IF(tblPiNAnalysis5[[#This Row],[Food Security]]="", "", MROUND(tblPiNAnalysis5[[#This Row],[Food Security]]/tblPiNAnalysis5[[#This Row],[Affected population projection 2026]], 0.05)), "")</f>
        <v>0</v>
      </c>
      <c r="AA234" s="322">
        <f>IFERROR(IF(tblPiNAnalysis5[[#This Row],[Health]]="", "", MROUND(tblPiNAnalysis5[[#This Row],[Health]]/tblPiNAnalysis5[[#This Row],[Affected population projection 2026]], 0.05)), "")</f>
        <v>0</v>
      </c>
      <c r="AB234" s="323">
        <f>IFERROR(IF(tblPiNAnalysis5[[#This Row],[Overarching Protection]]="", "", MROUND(tblPiNAnalysis5[[#This Row],[Overarching Protection]]/tblPiNAnalysis5[[#This Row],[Affected population projection 2026]], 0.05)), "")</f>
        <v>0</v>
      </c>
      <c r="AC234" s="323">
        <f>IFERROR(IF(tblPiNAnalysis5[[#This Row],[Shelter]]="", "", MROUND(tblPiNAnalysis5[[#This Row],[Shelter]]/tblPiNAnalysis5[[#This Row],[Affected population projection 2026]], 0.05)), "")</f>
        <v>0</v>
      </c>
      <c r="AD234" s="324">
        <f>IFERROR(IF(tblPiNAnalysis5[[#This Row],[WASH]]="", "", MROUND(tblPiNAnalysis5[[#This Row],[WASH]]/tblPiNAnalysis5[[#This Row],[Affected population projection 2026]], 0.05)), "")</f>
        <v>0</v>
      </c>
      <c r="AE234" s="322">
        <f>IFERROR(MROUND(tblPiNAnalysis5[[#This Row],[CP]]/tblPiNAnalysis5[[#This Row],[Affected population projection 2026]], 0.05), "")</f>
        <v>0</v>
      </c>
      <c r="AF234" s="322">
        <f>IFERROR(MROUND(tblPiNAnalysis5[[#This Row],[GBV]]/tblPiNAnalysis5[[#This Row],[Affected population projection 2026]], 0.05), "")</f>
        <v>0</v>
      </c>
      <c r="AG234" s="322">
        <f>IFERROR(MROUND(tblPiNAnalysis5[[#This Row],[Mine Action]]/tblPiNAnalysis5[[#This Row],[Affected population projection 2026]], 0.05), "")</f>
        <v>0</v>
      </c>
      <c r="AH234" s="322">
        <f>IFERROR(MROUND(tblPiNAnalysis5[[#This Row],[HLP]]/tblPiNAnalysis5[[#This Row],[Affected population projection 2026]], 0.05), "")</f>
        <v>0</v>
      </c>
      <c r="AI234" s="325">
        <f>IFERROR(LARGE(tblPiNAnalysis5[[#This Row],[CCCM]:[WASH]], 1), "")</f>
        <v>0</v>
      </c>
      <c r="AJ234" s="326" t="str" cm="1">
        <f t="array" ref="AJ234">IF(tblPiNAnalysis5[[#This Row],[Highest Target]]="", "", _xlfn.TEXTJOIN(CHAR(10), TRUE, IF(tblPiNAnalysis5[[#This Row],[Highest Target]]=tblPiNAnalysis5[[#This Row],[CCCM]:[WASH]], tblPiNAnalysis5[[#Headers],[CCCM]:[WASH]], "")))</f>
        <v>CCCM
Education
Nutrition
Food Security
Health
Overarching Protection
Shelter
WASH</v>
      </c>
      <c r="AK234" s="327">
        <f>IF(tblPiNAnalysis5[[#This Row],[Highest Target]]="", "", tblPiNAnalysis5[[#This Row],[Highest Target]]/tblPiNAnalysis5[[#This Row],[Affected population projection 2026]])</f>
        <v>0</v>
      </c>
      <c r="AL234" s="328" t="str">
        <f>IF(SUM(tblPiNAnalysis5[[#This Row],[CCCM]:[WASH]])=0, "",IF(COUNTIF(tblPiNAnalysis5[[#This Row],[CCCM]:[WASH]],"=0")+COUNTIF(tblPiNAnalysis5[[#This Row],[CCCM]:[WASH]],"")&gt;=zero_pin_thresh, "Flagged", ""))</f>
        <v/>
      </c>
      <c r="AM234" s="329" t="str">
        <f>IFERROR(IF(tblPiNAnalysis5[[#This Row],[Highest Target]]="", "", IF(tblPiNAnalysis5[[#This Row],[Highest sector(s'') Target %]]&gt;=flag_pin_perc, "Flagged", "")), "")</f>
        <v/>
      </c>
      <c r="AN234" s="330" t="str" cm="1">
        <f t="array" ref="AN234">IF(tblPiNAnalysis5[[#This Row],[Highest Target]]=0, "",  IF(OR(COUNTIF(tblPiNAnalysis5[[#This Row],[Highest sector(s)]],tblSubSectorPopulation[Sector])), "Flagged", ""))</f>
        <v/>
      </c>
      <c r="AO234" s="46" cm="1">
        <f t="array" ref="AO234">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4" s="331" t="str" cm="1">
        <f t="array" ref="AP234">IF(tblPiNAnalysis5[[#This Row],[2nd Highest Target]]="", "", _xlfn.TEXTJOIN(CHAR(10), TRUE, IF(tblPiNAnalysis5[[#This Row],[2nd Highest Target]]=tblPiNAnalysis5[[#This Row],[CCCM]:[WASH]], tblPiNAnalysis5[[#Headers],[CCCM]:[WASH]], "")))</f>
        <v>CCCM
Education
Nutrition
Food Security
Health
Overarching Protection
Shelter
WASH</v>
      </c>
      <c r="AQ234" s="36">
        <f>IFERROR(tblPiNAnalysis5[[#This Row],[2nd Highest Target]]/tblPiNAnalysis5[[#This Row],[Affected population projection 2026]], "")</f>
        <v>0</v>
      </c>
      <c r="AR234" s="46">
        <f>IFERROR(tblPiNAnalysis5[[#This Row],[Highest Target]]-tblPiNAnalysis5[[#This Row],[2nd Highest Target]], "")</f>
        <v>0</v>
      </c>
      <c r="AS234" s="39" t="str">
        <f>IFERROR(((tblPiNAnalysis5[[#This Row],[Highest Target]]-tblPiNAnalysis5[[#This Row],[2nd Highest Target]])/tblPiNAnalysis5[[#This Row],[2nd Highest Target]]),"")</f>
        <v/>
      </c>
      <c r="AT234" s="39" t="str" cm="1">
        <f t="array" ref="AT234">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4" s="332" cm="1">
        <f t="array" ref="AU234">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4" s="190" t="str" cm="1">
        <f t="array" ref="AV234">IF(tblPiNAnalysis5[[#This Row],[3rd Highest Target]]="", "", _xlfn.TEXTJOIN(CHAR(10), TRUE, IF(tblPiNAnalysis5[[#This Row],[3rd Highest Target]]=tblPiNAnalysis5[[#This Row],[CCCM]:[WASH]], tblPiNAnalysis5[[#Headers],[CCCM]:[WASH]], "")))</f>
        <v>CCCM
Education
Nutrition
Food Security
Health
Overarching Protection
Shelter
WASH</v>
      </c>
      <c r="AW234" s="190">
        <f>IFERROR(tblPiNAnalysis5[[#This Row],[3rd Highest Target]]/tblPiNAnalysis5[[#This Row],[Affected population projection 2026]], "")</f>
        <v>0</v>
      </c>
      <c r="AX234" s="45">
        <f>IFERROR(tblPiNAnalysis5[[#This Row],[Highest Target]]-tblPiNAnalysis5[[#This Row],[3rd Highest Target]],"")</f>
        <v>0</v>
      </c>
      <c r="AY234" s="39" t="str">
        <f>IFERROR(tblPiNAnalysis5[[#This Row],[Difference of Target between Highest and 3rd Highest]]/tblPiNAnalysis5[[#This Row],[3rd Highest Target]], "")</f>
        <v/>
      </c>
      <c r="AZ234" s="330" t="str" cm="1">
        <f t="array" ref="AZ234">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4" s="300" t="str" cm="1">
        <f t="array" ref="BA234">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4" s="333" t="str" cm="1">
        <f t="array" ref="BB234">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4" s="276" t="str" cm="1">
        <f t="array" ref="BC234">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4" s="334" t="str" cm="1">
        <f t="array" ref="BD234">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4" s="277" t="e">
        <f>INDEX(tblSeverityAnalysis[Final Severity], MATCH(tblPiNAnalysis5[[#This Row],[ID]],tblSeverityAnalysis[ID], 0))</f>
        <v>#N/A</v>
      </c>
      <c r="BF234" s="61" t="e">
        <f>IF(tblPiNAnalysis5[[#This Row],[Severity]]&gt;2,tblPiNAnalysis5[[#This Row],[Highest Target]],)</f>
        <v>#N/A</v>
      </c>
      <c r="BG234" s="191"/>
      <c r="BH234" s="192"/>
      <c r="BI234" s="193">
        <f>COUNTIFS(tblPiNAnalysis5[[#This Row],[Number of missing / zero PiNs greater than threshold - Data quality]:[Manual Flag]],"Flagged")</f>
        <v>2</v>
      </c>
      <c r="BJ234" s="96" t="str">
        <f>IF(tblPiNAnalysis5[[#This Row],['# Flags]]&gt;0, "Flagged", "")</f>
        <v>Flagged</v>
      </c>
      <c r="BK234" s="326" t="e">
        <f>tblPiNAnalysis5[[#This Row],[Preliminary Target]]</f>
        <v>#N/A</v>
      </c>
      <c r="BL234" s="331"/>
    </row>
    <row r="235" spans="1:64" ht="110.7" x14ac:dyDescent="0.55000000000000004">
      <c r="A2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5" s="316" t="s">
        <v>390</v>
      </c>
      <c r="C235" s="317" t="s">
        <v>391</v>
      </c>
      <c r="D235" s="317" t="s">
        <v>400</v>
      </c>
      <c r="E235" s="105" t="s">
        <v>401</v>
      </c>
      <c r="F235" s="100"/>
      <c r="G235" s="34"/>
      <c r="H235" s="34"/>
      <c r="I235" s="97">
        <v>2319</v>
      </c>
      <c r="J235" s="97" t="s">
        <v>414</v>
      </c>
      <c r="K235" s="318">
        <v>0</v>
      </c>
      <c r="L235" s="319">
        <v>0</v>
      </c>
      <c r="M235" s="319">
        <v>0</v>
      </c>
      <c r="N235" s="319">
        <v>0</v>
      </c>
      <c r="O235" s="319">
        <v>0</v>
      </c>
      <c r="P235" s="319">
        <v>0</v>
      </c>
      <c r="Q235" s="320">
        <v>0</v>
      </c>
      <c r="R235" s="319">
        <v>0</v>
      </c>
      <c r="S235" s="319"/>
      <c r="T235" s="319"/>
      <c r="U235" s="319"/>
      <c r="V235" s="319"/>
      <c r="W235" s="321">
        <f>IFERROR(IF(tblPiNAnalysis5[[#This Row],[CCCM]]="", "", MROUND(tblPiNAnalysis5[[#This Row],[CCCM]]/tblPiNAnalysis5[[#This Row],[Affected population projection 2026]], 0.05)), "")</f>
        <v>0</v>
      </c>
      <c r="X235" s="322">
        <f>IFERROR(IF(tblPiNAnalysis5[[#This Row],[Education]]="", "", MROUND(tblPiNAnalysis5[[#This Row],[Education]]/tblPiNAnalysis5[[#This Row],[Affected population projection 2026]], 0.05)), "")</f>
        <v>0</v>
      </c>
      <c r="Y235" s="322">
        <f>IFERROR(IF(tblPiNAnalysis5[[#This Row],[Nutrition]]="", "", MROUND(tblPiNAnalysis5[[#This Row],[Nutrition]]/tblPiNAnalysis5[[#This Row],[Affected population projection 2026]], 0.05)), "")</f>
        <v>0</v>
      </c>
      <c r="Z235" s="322">
        <f>IFERROR(IF(tblPiNAnalysis5[[#This Row],[Food Security]]="", "", MROUND(tblPiNAnalysis5[[#This Row],[Food Security]]/tblPiNAnalysis5[[#This Row],[Affected population projection 2026]], 0.05)), "")</f>
        <v>0</v>
      </c>
      <c r="AA235" s="322">
        <f>IFERROR(IF(tblPiNAnalysis5[[#This Row],[Health]]="", "", MROUND(tblPiNAnalysis5[[#This Row],[Health]]/tblPiNAnalysis5[[#This Row],[Affected population projection 2026]], 0.05)), "")</f>
        <v>0</v>
      </c>
      <c r="AB235" s="323">
        <f>IFERROR(IF(tblPiNAnalysis5[[#This Row],[Overarching Protection]]="", "", MROUND(tblPiNAnalysis5[[#This Row],[Overarching Protection]]/tblPiNAnalysis5[[#This Row],[Affected population projection 2026]], 0.05)), "")</f>
        <v>0</v>
      </c>
      <c r="AC235" s="323">
        <f>IFERROR(IF(tblPiNAnalysis5[[#This Row],[Shelter]]="", "", MROUND(tblPiNAnalysis5[[#This Row],[Shelter]]/tblPiNAnalysis5[[#This Row],[Affected population projection 2026]], 0.05)), "")</f>
        <v>0</v>
      </c>
      <c r="AD235" s="324">
        <f>IFERROR(IF(tblPiNAnalysis5[[#This Row],[WASH]]="", "", MROUND(tblPiNAnalysis5[[#This Row],[WASH]]/tblPiNAnalysis5[[#This Row],[Affected population projection 2026]], 0.05)), "")</f>
        <v>0</v>
      </c>
      <c r="AE235" s="322">
        <f>IFERROR(MROUND(tblPiNAnalysis5[[#This Row],[CP]]/tblPiNAnalysis5[[#This Row],[Affected population projection 2026]], 0.05), "")</f>
        <v>0</v>
      </c>
      <c r="AF235" s="322">
        <f>IFERROR(MROUND(tblPiNAnalysis5[[#This Row],[GBV]]/tblPiNAnalysis5[[#This Row],[Affected population projection 2026]], 0.05), "")</f>
        <v>0</v>
      </c>
      <c r="AG235" s="322">
        <f>IFERROR(MROUND(tblPiNAnalysis5[[#This Row],[Mine Action]]/tblPiNAnalysis5[[#This Row],[Affected population projection 2026]], 0.05), "")</f>
        <v>0</v>
      </c>
      <c r="AH235" s="322">
        <f>IFERROR(MROUND(tblPiNAnalysis5[[#This Row],[HLP]]/tblPiNAnalysis5[[#This Row],[Affected population projection 2026]], 0.05), "")</f>
        <v>0</v>
      </c>
      <c r="AI235" s="325">
        <f>IFERROR(LARGE(tblPiNAnalysis5[[#This Row],[CCCM]:[WASH]], 1), "")</f>
        <v>0</v>
      </c>
      <c r="AJ235" s="326" t="str" cm="1">
        <f t="array" ref="AJ235">IF(tblPiNAnalysis5[[#This Row],[Highest Target]]="", "", _xlfn.TEXTJOIN(CHAR(10), TRUE, IF(tblPiNAnalysis5[[#This Row],[Highest Target]]=tblPiNAnalysis5[[#This Row],[CCCM]:[WASH]], tblPiNAnalysis5[[#Headers],[CCCM]:[WASH]], "")))</f>
        <v>CCCM
Education
Nutrition
Food Security
Health
Overarching Protection
Shelter
WASH</v>
      </c>
      <c r="AK235" s="327">
        <f>IF(tblPiNAnalysis5[[#This Row],[Highest Target]]="", "", tblPiNAnalysis5[[#This Row],[Highest Target]]/tblPiNAnalysis5[[#This Row],[Affected population projection 2026]])</f>
        <v>0</v>
      </c>
      <c r="AL235" s="328" t="str">
        <f>IF(SUM(tblPiNAnalysis5[[#This Row],[CCCM]:[WASH]])=0, "",IF(COUNTIF(tblPiNAnalysis5[[#This Row],[CCCM]:[WASH]],"=0")+COUNTIF(tblPiNAnalysis5[[#This Row],[CCCM]:[WASH]],"")&gt;=zero_pin_thresh, "Flagged", ""))</f>
        <v/>
      </c>
      <c r="AM235" s="329" t="str">
        <f>IFERROR(IF(tblPiNAnalysis5[[#This Row],[Highest Target]]="", "", IF(tblPiNAnalysis5[[#This Row],[Highest sector(s'') Target %]]&gt;=flag_pin_perc, "Flagged", "")), "")</f>
        <v/>
      </c>
      <c r="AN235" s="330" t="str" cm="1">
        <f t="array" ref="AN235">IF(tblPiNAnalysis5[[#This Row],[Highest Target]]=0, "",  IF(OR(COUNTIF(tblPiNAnalysis5[[#This Row],[Highest sector(s)]],tblSubSectorPopulation[Sector])), "Flagged", ""))</f>
        <v/>
      </c>
      <c r="AO235" s="46" cm="1">
        <f t="array" ref="AO235">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5" s="331" t="str" cm="1">
        <f t="array" ref="AP235">IF(tblPiNAnalysis5[[#This Row],[2nd Highest Target]]="", "", _xlfn.TEXTJOIN(CHAR(10), TRUE, IF(tblPiNAnalysis5[[#This Row],[2nd Highest Target]]=tblPiNAnalysis5[[#This Row],[CCCM]:[WASH]], tblPiNAnalysis5[[#Headers],[CCCM]:[WASH]], "")))</f>
        <v>CCCM
Education
Nutrition
Food Security
Health
Overarching Protection
Shelter
WASH</v>
      </c>
      <c r="AQ235" s="36">
        <f>IFERROR(tblPiNAnalysis5[[#This Row],[2nd Highest Target]]/tblPiNAnalysis5[[#This Row],[Affected population projection 2026]], "")</f>
        <v>0</v>
      </c>
      <c r="AR235" s="46">
        <f>IFERROR(tblPiNAnalysis5[[#This Row],[Highest Target]]-tblPiNAnalysis5[[#This Row],[2nd Highest Target]], "")</f>
        <v>0</v>
      </c>
      <c r="AS235" s="39" t="str">
        <f>IFERROR(((tblPiNAnalysis5[[#This Row],[Highest Target]]-tblPiNAnalysis5[[#This Row],[2nd Highest Target]])/tblPiNAnalysis5[[#This Row],[2nd Highest Target]]),"")</f>
        <v/>
      </c>
      <c r="AT235" s="39" t="str" cm="1">
        <f t="array" ref="AT235">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5" s="332" cm="1">
        <f t="array" ref="AU235">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5" s="190" t="str" cm="1">
        <f t="array" ref="AV235">IF(tblPiNAnalysis5[[#This Row],[3rd Highest Target]]="", "", _xlfn.TEXTJOIN(CHAR(10), TRUE, IF(tblPiNAnalysis5[[#This Row],[3rd Highest Target]]=tblPiNAnalysis5[[#This Row],[CCCM]:[WASH]], tblPiNAnalysis5[[#Headers],[CCCM]:[WASH]], "")))</f>
        <v>CCCM
Education
Nutrition
Food Security
Health
Overarching Protection
Shelter
WASH</v>
      </c>
      <c r="AW235" s="190">
        <f>IFERROR(tblPiNAnalysis5[[#This Row],[3rd Highest Target]]/tblPiNAnalysis5[[#This Row],[Affected population projection 2026]], "")</f>
        <v>0</v>
      </c>
      <c r="AX235" s="45">
        <f>IFERROR(tblPiNAnalysis5[[#This Row],[Highest Target]]-tblPiNAnalysis5[[#This Row],[3rd Highest Target]],"")</f>
        <v>0</v>
      </c>
      <c r="AY235" s="39" t="str">
        <f>IFERROR(tblPiNAnalysis5[[#This Row],[Difference of Target between Highest and 3rd Highest]]/tblPiNAnalysis5[[#This Row],[3rd Highest Target]], "")</f>
        <v/>
      </c>
      <c r="AZ235" s="330" t="str" cm="1">
        <f t="array" ref="AZ235">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5" s="300" t="str" cm="1">
        <f t="array" ref="BA235">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5" s="333" t="str" cm="1">
        <f t="array" ref="BB235">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5" s="276" t="str" cm="1">
        <f t="array" ref="BC235">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5" s="334" t="str" cm="1">
        <f t="array" ref="BD235">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5" s="277" t="e">
        <f>INDEX(tblSeverityAnalysis[Final Severity], MATCH(tblPiNAnalysis5[[#This Row],[ID]],tblSeverityAnalysis[ID], 0))</f>
        <v>#N/A</v>
      </c>
      <c r="BF235" s="61" t="e">
        <f>IF(tblPiNAnalysis5[[#This Row],[Severity]]&gt;2,tblPiNAnalysis5[[#This Row],[Highest Target]],)</f>
        <v>#N/A</v>
      </c>
      <c r="BG235" s="191"/>
      <c r="BH235" s="192"/>
      <c r="BI235" s="193">
        <f>COUNTIFS(tblPiNAnalysis5[[#This Row],[Number of missing / zero PiNs greater than threshold - Data quality]:[Manual Flag]],"Flagged")</f>
        <v>2</v>
      </c>
      <c r="BJ235" s="96" t="str">
        <f>IF(tblPiNAnalysis5[[#This Row],['# Flags]]&gt;0, "Flagged", "")</f>
        <v>Flagged</v>
      </c>
      <c r="BK235" s="326" t="e">
        <f>tblPiNAnalysis5[[#This Row],[Preliminary Target]]</f>
        <v>#N/A</v>
      </c>
      <c r="BL235" s="331"/>
    </row>
    <row r="236" spans="1:64" ht="110.7" x14ac:dyDescent="0.55000000000000004">
      <c r="A2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6" s="316" t="s">
        <v>390</v>
      </c>
      <c r="C236" s="317" t="s">
        <v>391</v>
      </c>
      <c r="D236" s="317" t="s">
        <v>402</v>
      </c>
      <c r="E236" s="105" t="s">
        <v>403</v>
      </c>
      <c r="F236" s="100"/>
      <c r="G236" s="34"/>
      <c r="H236" s="34"/>
      <c r="I236" s="97">
        <v>4934</v>
      </c>
      <c r="J236" s="97" t="s">
        <v>414</v>
      </c>
      <c r="K236" s="318">
        <v>0</v>
      </c>
      <c r="L236" s="319">
        <v>0</v>
      </c>
      <c r="M236" s="319">
        <v>0</v>
      </c>
      <c r="N236" s="319">
        <v>0</v>
      </c>
      <c r="O236" s="319">
        <v>0</v>
      </c>
      <c r="P236" s="319">
        <v>0</v>
      </c>
      <c r="Q236" s="320">
        <v>0</v>
      </c>
      <c r="R236" s="319">
        <v>0</v>
      </c>
      <c r="S236" s="319"/>
      <c r="T236" s="319"/>
      <c r="U236" s="319"/>
      <c r="V236" s="319"/>
      <c r="W236" s="321">
        <f>IFERROR(IF(tblPiNAnalysis5[[#This Row],[CCCM]]="", "", MROUND(tblPiNAnalysis5[[#This Row],[CCCM]]/tblPiNAnalysis5[[#This Row],[Affected population projection 2026]], 0.05)), "")</f>
        <v>0</v>
      </c>
      <c r="X236" s="322">
        <f>IFERROR(IF(tblPiNAnalysis5[[#This Row],[Education]]="", "", MROUND(tblPiNAnalysis5[[#This Row],[Education]]/tblPiNAnalysis5[[#This Row],[Affected population projection 2026]], 0.05)), "")</f>
        <v>0</v>
      </c>
      <c r="Y236" s="322">
        <f>IFERROR(IF(tblPiNAnalysis5[[#This Row],[Nutrition]]="", "", MROUND(tblPiNAnalysis5[[#This Row],[Nutrition]]/tblPiNAnalysis5[[#This Row],[Affected population projection 2026]], 0.05)), "")</f>
        <v>0</v>
      </c>
      <c r="Z236" s="322">
        <f>IFERROR(IF(tblPiNAnalysis5[[#This Row],[Food Security]]="", "", MROUND(tblPiNAnalysis5[[#This Row],[Food Security]]/tblPiNAnalysis5[[#This Row],[Affected population projection 2026]], 0.05)), "")</f>
        <v>0</v>
      </c>
      <c r="AA236" s="322">
        <f>IFERROR(IF(tblPiNAnalysis5[[#This Row],[Health]]="", "", MROUND(tblPiNAnalysis5[[#This Row],[Health]]/tblPiNAnalysis5[[#This Row],[Affected population projection 2026]], 0.05)), "")</f>
        <v>0</v>
      </c>
      <c r="AB236" s="323">
        <f>IFERROR(IF(tblPiNAnalysis5[[#This Row],[Overarching Protection]]="", "", MROUND(tblPiNAnalysis5[[#This Row],[Overarching Protection]]/tblPiNAnalysis5[[#This Row],[Affected population projection 2026]], 0.05)), "")</f>
        <v>0</v>
      </c>
      <c r="AC236" s="323">
        <f>IFERROR(IF(tblPiNAnalysis5[[#This Row],[Shelter]]="", "", MROUND(tblPiNAnalysis5[[#This Row],[Shelter]]/tblPiNAnalysis5[[#This Row],[Affected population projection 2026]], 0.05)), "")</f>
        <v>0</v>
      </c>
      <c r="AD236" s="324">
        <f>IFERROR(IF(tblPiNAnalysis5[[#This Row],[WASH]]="", "", MROUND(tblPiNAnalysis5[[#This Row],[WASH]]/tblPiNAnalysis5[[#This Row],[Affected population projection 2026]], 0.05)), "")</f>
        <v>0</v>
      </c>
      <c r="AE236" s="322">
        <f>IFERROR(MROUND(tblPiNAnalysis5[[#This Row],[CP]]/tblPiNAnalysis5[[#This Row],[Affected population projection 2026]], 0.05), "")</f>
        <v>0</v>
      </c>
      <c r="AF236" s="322">
        <f>IFERROR(MROUND(tblPiNAnalysis5[[#This Row],[GBV]]/tblPiNAnalysis5[[#This Row],[Affected population projection 2026]], 0.05), "")</f>
        <v>0</v>
      </c>
      <c r="AG236" s="322">
        <f>IFERROR(MROUND(tblPiNAnalysis5[[#This Row],[Mine Action]]/tblPiNAnalysis5[[#This Row],[Affected population projection 2026]], 0.05), "")</f>
        <v>0</v>
      </c>
      <c r="AH236" s="322">
        <f>IFERROR(MROUND(tblPiNAnalysis5[[#This Row],[HLP]]/tblPiNAnalysis5[[#This Row],[Affected population projection 2026]], 0.05), "")</f>
        <v>0</v>
      </c>
      <c r="AI236" s="325">
        <f>IFERROR(LARGE(tblPiNAnalysis5[[#This Row],[CCCM]:[WASH]], 1), "")</f>
        <v>0</v>
      </c>
      <c r="AJ236" s="326" t="str" cm="1">
        <f t="array" ref="AJ236">IF(tblPiNAnalysis5[[#This Row],[Highest Target]]="", "", _xlfn.TEXTJOIN(CHAR(10), TRUE, IF(tblPiNAnalysis5[[#This Row],[Highest Target]]=tblPiNAnalysis5[[#This Row],[CCCM]:[WASH]], tblPiNAnalysis5[[#Headers],[CCCM]:[WASH]], "")))</f>
        <v>CCCM
Education
Nutrition
Food Security
Health
Overarching Protection
Shelter
WASH</v>
      </c>
      <c r="AK236" s="327">
        <f>IF(tblPiNAnalysis5[[#This Row],[Highest Target]]="", "", tblPiNAnalysis5[[#This Row],[Highest Target]]/tblPiNAnalysis5[[#This Row],[Affected population projection 2026]])</f>
        <v>0</v>
      </c>
      <c r="AL236" s="328" t="str">
        <f>IF(SUM(tblPiNAnalysis5[[#This Row],[CCCM]:[WASH]])=0, "",IF(COUNTIF(tblPiNAnalysis5[[#This Row],[CCCM]:[WASH]],"=0")+COUNTIF(tblPiNAnalysis5[[#This Row],[CCCM]:[WASH]],"")&gt;=zero_pin_thresh, "Flagged", ""))</f>
        <v/>
      </c>
      <c r="AM236" s="329" t="str">
        <f>IFERROR(IF(tblPiNAnalysis5[[#This Row],[Highest Target]]="", "", IF(tblPiNAnalysis5[[#This Row],[Highest sector(s'') Target %]]&gt;=flag_pin_perc, "Flagged", "")), "")</f>
        <v/>
      </c>
      <c r="AN236" s="330" t="str" cm="1">
        <f t="array" ref="AN236">IF(tblPiNAnalysis5[[#This Row],[Highest Target]]=0, "",  IF(OR(COUNTIF(tblPiNAnalysis5[[#This Row],[Highest sector(s)]],tblSubSectorPopulation[Sector])), "Flagged", ""))</f>
        <v/>
      </c>
      <c r="AO236" s="46" cm="1">
        <f t="array" ref="AO236">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6" s="331" t="str" cm="1">
        <f t="array" ref="AP236">IF(tblPiNAnalysis5[[#This Row],[2nd Highest Target]]="", "", _xlfn.TEXTJOIN(CHAR(10), TRUE, IF(tblPiNAnalysis5[[#This Row],[2nd Highest Target]]=tblPiNAnalysis5[[#This Row],[CCCM]:[WASH]], tblPiNAnalysis5[[#Headers],[CCCM]:[WASH]], "")))</f>
        <v>CCCM
Education
Nutrition
Food Security
Health
Overarching Protection
Shelter
WASH</v>
      </c>
      <c r="AQ236" s="36">
        <f>IFERROR(tblPiNAnalysis5[[#This Row],[2nd Highest Target]]/tblPiNAnalysis5[[#This Row],[Affected population projection 2026]], "")</f>
        <v>0</v>
      </c>
      <c r="AR236" s="46">
        <f>IFERROR(tblPiNAnalysis5[[#This Row],[Highest Target]]-tblPiNAnalysis5[[#This Row],[2nd Highest Target]], "")</f>
        <v>0</v>
      </c>
      <c r="AS236" s="39" t="str">
        <f>IFERROR(((tblPiNAnalysis5[[#This Row],[Highest Target]]-tblPiNAnalysis5[[#This Row],[2nd Highest Target]])/tblPiNAnalysis5[[#This Row],[2nd Highest Target]]),"")</f>
        <v/>
      </c>
      <c r="AT236" s="39" t="str" cm="1">
        <f t="array" ref="AT236">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6" s="332" cm="1">
        <f t="array" ref="AU236">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6" s="190" t="str" cm="1">
        <f t="array" ref="AV236">IF(tblPiNAnalysis5[[#This Row],[3rd Highest Target]]="", "", _xlfn.TEXTJOIN(CHAR(10), TRUE, IF(tblPiNAnalysis5[[#This Row],[3rd Highest Target]]=tblPiNAnalysis5[[#This Row],[CCCM]:[WASH]], tblPiNAnalysis5[[#Headers],[CCCM]:[WASH]], "")))</f>
        <v>CCCM
Education
Nutrition
Food Security
Health
Overarching Protection
Shelter
WASH</v>
      </c>
      <c r="AW236" s="190">
        <f>IFERROR(tblPiNAnalysis5[[#This Row],[3rd Highest Target]]/tblPiNAnalysis5[[#This Row],[Affected population projection 2026]], "")</f>
        <v>0</v>
      </c>
      <c r="AX236" s="45">
        <f>IFERROR(tblPiNAnalysis5[[#This Row],[Highest Target]]-tblPiNAnalysis5[[#This Row],[3rd Highest Target]],"")</f>
        <v>0</v>
      </c>
      <c r="AY236" s="39" t="str">
        <f>IFERROR(tblPiNAnalysis5[[#This Row],[Difference of Target between Highest and 3rd Highest]]/tblPiNAnalysis5[[#This Row],[3rd Highest Target]], "")</f>
        <v/>
      </c>
      <c r="AZ236" s="330" t="str" cm="1">
        <f t="array" ref="AZ236">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6" s="300" t="str" cm="1">
        <f t="array" ref="BA236">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6" s="333" t="str" cm="1">
        <f t="array" ref="BB236">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6" s="276" t="str" cm="1">
        <f t="array" ref="BC236">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6" s="334" t="str" cm="1">
        <f t="array" ref="BD236">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6" s="277" t="e">
        <f>INDEX(tblSeverityAnalysis[Final Severity], MATCH(tblPiNAnalysis5[[#This Row],[ID]],tblSeverityAnalysis[ID], 0))</f>
        <v>#N/A</v>
      </c>
      <c r="BF236" s="61" t="e">
        <f>IF(tblPiNAnalysis5[[#This Row],[Severity]]&gt;2,tblPiNAnalysis5[[#This Row],[Highest Target]],)</f>
        <v>#N/A</v>
      </c>
      <c r="BG236" s="191"/>
      <c r="BH236" s="192"/>
      <c r="BI236" s="193">
        <f>COUNTIFS(tblPiNAnalysis5[[#This Row],[Number of missing / zero PiNs greater than threshold - Data quality]:[Manual Flag]],"Flagged")</f>
        <v>2</v>
      </c>
      <c r="BJ236" s="96" t="str">
        <f>IF(tblPiNAnalysis5[[#This Row],['# Flags]]&gt;0, "Flagged", "")</f>
        <v>Flagged</v>
      </c>
      <c r="BK236" s="326" t="e">
        <f>tblPiNAnalysis5[[#This Row],[Preliminary Target]]</f>
        <v>#N/A</v>
      </c>
      <c r="BL236" s="331"/>
    </row>
    <row r="237" spans="1:64" ht="110.7" x14ac:dyDescent="0.55000000000000004">
      <c r="A2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7" s="316" t="s">
        <v>390</v>
      </c>
      <c r="C237" s="317" t="s">
        <v>391</v>
      </c>
      <c r="D237" s="317" t="s">
        <v>404</v>
      </c>
      <c r="E237" s="105" t="s">
        <v>405</v>
      </c>
      <c r="F237" s="100"/>
      <c r="G237" s="34"/>
      <c r="H237" s="34"/>
      <c r="I237" s="97">
        <v>0</v>
      </c>
      <c r="J237" s="97" t="s">
        <v>414</v>
      </c>
      <c r="K237" s="318">
        <v>0</v>
      </c>
      <c r="L237" s="319">
        <v>0</v>
      </c>
      <c r="M237" s="319">
        <v>0</v>
      </c>
      <c r="N237" s="319">
        <v>0</v>
      </c>
      <c r="O237" s="319">
        <v>0</v>
      </c>
      <c r="P237" s="319">
        <v>0</v>
      </c>
      <c r="Q237" s="320">
        <v>0</v>
      </c>
      <c r="R237" s="319">
        <v>0</v>
      </c>
      <c r="S237" s="319"/>
      <c r="T237" s="319"/>
      <c r="U237" s="319"/>
      <c r="V237" s="319"/>
      <c r="W237" s="321" t="str">
        <f>IFERROR(IF(tblPiNAnalysis5[[#This Row],[CCCM]]="", "", MROUND(tblPiNAnalysis5[[#This Row],[CCCM]]/tblPiNAnalysis5[[#This Row],[Affected population projection 2026]], 0.05)), "")</f>
        <v/>
      </c>
      <c r="X237" s="322" t="str">
        <f>IFERROR(IF(tblPiNAnalysis5[[#This Row],[Education]]="", "", MROUND(tblPiNAnalysis5[[#This Row],[Education]]/tblPiNAnalysis5[[#This Row],[Affected population projection 2026]], 0.05)), "")</f>
        <v/>
      </c>
      <c r="Y237" s="322" t="str">
        <f>IFERROR(IF(tblPiNAnalysis5[[#This Row],[Nutrition]]="", "", MROUND(tblPiNAnalysis5[[#This Row],[Nutrition]]/tblPiNAnalysis5[[#This Row],[Affected population projection 2026]], 0.05)), "")</f>
        <v/>
      </c>
      <c r="Z237" s="322" t="str">
        <f>IFERROR(IF(tblPiNAnalysis5[[#This Row],[Food Security]]="", "", MROUND(tblPiNAnalysis5[[#This Row],[Food Security]]/tblPiNAnalysis5[[#This Row],[Affected population projection 2026]], 0.05)), "")</f>
        <v/>
      </c>
      <c r="AA237" s="322" t="str">
        <f>IFERROR(IF(tblPiNAnalysis5[[#This Row],[Health]]="", "", MROUND(tblPiNAnalysis5[[#This Row],[Health]]/tblPiNAnalysis5[[#This Row],[Affected population projection 2026]], 0.05)), "")</f>
        <v/>
      </c>
      <c r="AB237" s="323" t="str">
        <f>IFERROR(IF(tblPiNAnalysis5[[#This Row],[Overarching Protection]]="", "", MROUND(tblPiNAnalysis5[[#This Row],[Overarching Protection]]/tblPiNAnalysis5[[#This Row],[Affected population projection 2026]], 0.05)), "")</f>
        <v/>
      </c>
      <c r="AC237" s="323" t="str">
        <f>IFERROR(IF(tblPiNAnalysis5[[#This Row],[Shelter]]="", "", MROUND(tblPiNAnalysis5[[#This Row],[Shelter]]/tblPiNAnalysis5[[#This Row],[Affected population projection 2026]], 0.05)), "")</f>
        <v/>
      </c>
      <c r="AD237" s="324" t="str">
        <f>IFERROR(IF(tblPiNAnalysis5[[#This Row],[WASH]]="", "", MROUND(tblPiNAnalysis5[[#This Row],[WASH]]/tblPiNAnalysis5[[#This Row],[Affected population projection 2026]], 0.05)), "")</f>
        <v/>
      </c>
      <c r="AE237" s="322" t="str">
        <f>IFERROR(MROUND(tblPiNAnalysis5[[#This Row],[CP]]/tblPiNAnalysis5[[#This Row],[Affected population projection 2026]], 0.05), "")</f>
        <v/>
      </c>
      <c r="AF237" s="322" t="str">
        <f>IFERROR(MROUND(tblPiNAnalysis5[[#This Row],[GBV]]/tblPiNAnalysis5[[#This Row],[Affected population projection 2026]], 0.05), "")</f>
        <v/>
      </c>
      <c r="AG237" s="322" t="str">
        <f>IFERROR(MROUND(tblPiNAnalysis5[[#This Row],[Mine Action]]/tblPiNAnalysis5[[#This Row],[Affected population projection 2026]], 0.05), "")</f>
        <v/>
      </c>
      <c r="AH237" s="322" t="str">
        <f>IFERROR(MROUND(tblPiNAnalysis5[[#This Row],[HLP]]/tblPiNAnalysis5[[#This Row],[Affected population projection 2026]], 0.05), "")</f>
        <v/>
      </c>
      <c r="AI237" s="325">
        <f>IFERROR(LARGE(tblPiNAnalysis5[[#This Row],[CCCM]:[WASH]], 1), "")</f>
        <v>0</v>
      </c>
      <c r="AJ237" s="326" t="str" cm="1">
        <f t="array" ref="AJ237">IF(tblPiNAnalysis5[[#This Row],[Highest Target]]="", "", _xlfn.TEXTJOIN(CHAR(10), TRUE, IF(tblPiNAnalysis5[[#This Row],[Highest Target]]=tblPiNAnalysis5[[#This Row],[CCCM]:[WASH]], tblPiNAnalysis5[[#Headers],[CCCM]:[WASH]], "")))</f>
        <v>CCCM
Education
Nutrition
Food Security
Health
Overarching Protection
Shelter
WASH</v>
      </c>
      <c r="AK237" s="327" t="e">
        <f>IF(tblPiNAnalysis5[[#This Row],[Highest Target]]="", "", tblPiNAnalysis5[[#This Row],[Highest Target]]/tblPiNAnalysis5[[#This Row],[Affected population projection 2026]])</f>
        <v>#DIV/0!</v>
      </c>
      <c r="AL237" s="328" t="str">
        <f>IF(SUM(tblPiNAnalysis5[[#This Row],[CCCM]:[WASH]])=0, "",IF(COUNTIF(tblPiNAnalysis5[[#This Row],[CCCM]:[WASH]],"=0")+COUNTIF(tblPiNAnalysis5[[#This Row],[CCCM]:[WASH]],"")&gt;=zero_pin_thresh, "Flagged", ""))</f>
        <v/>
      </c>
      <c r="AM237" s="329" t="str">
        <f>IFERROR(IF(tblPiNAnalysis5[[#This Row],[Highest Target]]="", "", IF(tblPiNAnalysis5[[#This Row],[Highest sector(s'') Target %]]&gt;=flag_pin_perc, "Flagged", "")), "")</f>
        <v/>
      </c>
      <c r="AN237" s="330" t="str" cm="1">
        <f t="array" ref="AN237">IF(tblPiNAnalysis5[[#This Row],[Highest Target]]=0, "",  IF(OR(COUNTIF(tblPiNAnalysis5[[#This Row],[Highest sector(s)]],tblSubSectorPopulation[Sector])), "Flagged", ""))</f>
        <v/>
      </c>
      <c r="AO237" s="46" cm="1">
        <f t="array" ref="AO237">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7" s="331" t="str" cm="1">
        <f t="array" ref="AP237">IF(tblPiNAnalysis5[[#This Row],[2nd Highest Target]]="", "", _xlfn.TEXTJOIN(CHAR(10), TRUE, IF(tblPiNAnalysis5[[#This Row],[2nd Highest Target]]=tblPiNAnalysis5[[#This Row],[CCCM]:[WASH]], tblPiNAnalysis5[[#Headers],[CCCM]:[WASH]], "")))</f>
        <v>CCCM
Education
Nutrition
Food Security
Health
Overarching Protection
Shelter
WASH</v>
      </c>
      <c r="AQ237" s="36" t="str">
        <f>IFERROR(tblPiNAnalysis5[[#This Row],[2nd Highest Target]]/tblPiNAnalysis5[[#This Row],[Affected population projection 2026]], "")</f>
        <v/>
      </c>
      <c r="AR237" s="46">
        <f>IFERROR(tblPiNAnalysis5[[#This Row],[Highest Target]]-tblPiNAnalysis5[[#This Row],[2nd Highest Target]], "")</f>
        <v>0</v>
      </c>
      <c r="AS237" s="39" t="str">
        <f>IFERROR(((tblPiNAnalysis5[[#This Row],[Highest Target]]-tblPiNAnalysis5[[#This Row],[2nd Highest Target]])/tblPiNAnalysis5[[#This Row],[2nd Highest Target]]),"")</f>
        <v/>
      </c>
      <c r="AT237" s="39" t="str" cm="1">
        <f t="array" ref="AT237">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7" s="332" cm="1">
        <f t="array" ref="AU237">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7" s="190" t="str" cm="1">
        <f t="array" ref="AV237">IF(tblPiNAnalysis5[[#This Row],[3rd Highest Target]]="", "", _xlfn.TEXTJOIN(CHAR(10), TRUE, IF(tblPiNAnalysis5[[#This Row],[3rd Highest Target]]=tblPiNAnalysis5[[#This Row],[CCCM]:[WASH]], tblPiNAnalysis5[[#Headers],[CCCM]:[WASH]], "")))</f>
        <v>CCCM
Education
Nutrition
Food Security
Health
Overarching Protection
Shelter
WASH</v>
      </c>
      <c r="AW237" s="190" t="str">
        <f>IFERROR(tblPiNAnalysis5[[#This Row],[3rd Highest Target]]/tblPiNAnalysis5[[#This Row],[Affected population projection 2026]], "")</f>
        <v/>
      </c>
      <c r="AX237" s="45">
        <f>IFERROR(tblPiNAnalysis5[[#This Row],[Highest Target]]-tblPiNAnalysis5[[#This Row],[3rd Highest Target]],"")</f>
        <v>0</v>
      </c>
      <c r="AY237" s="39" t="str">
        <f>IFERROR(tblPiNAnalysis5[[#This Row],[Difference of Target between Highest and 3rd Highest]]/tblPiNAnalysis5[[#This Row],[3rd Highest Target]], "")</f>
        <v/>
      </c>
      <c r="AZ237" s="330" t="str" cm="1">
        <f t="array" ref="AZ237">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7" s="300" t="str" cm="1">
        <f t="array" ref="BA237">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7" s="333" t="str" cm="1">
        <f t="array" ref="BB237">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7" s="276" t="str" cm="1">
        <f t="array" ref="BC237">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7" s="334" t="str" cm="1">
        <f t="array" ref="BD237">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7" s="277" t="e">
        <f>INDEX(tblSeverityAnalysis[Final Severity], MATCH(tblPiNAnalysis5[[#This Row],[ID]],tblSeverityAnalysis[ID], 0))</f>
        <v>#N/A</v>
      </c>
      <c r="BF237" s="61" t="e">
        <f>IF(tblPiNAnalysis5[[#This Row],[Severity]]&gt;2,tblPiNAnalysis5[[#This Row],[Highest Target]],)</f>
        <v>#N/A</v>
      </c>
      <c r="BG237" s="191"/>
      <c r="BH237" s="192"/>
      <c r="BI237" s="193">
        <f>COUNTIFS(tblPiNAnalysis5[[#This Row],[Number of missing / zero PiNs greater than threshold - Data quality]:[Manual Flag]],"Flagged")</f>
        <v>2</v>
      </c>
      <c r="BJ237" s="96" t="str">
        <f>IF(tblPiNAnalysis5[[#This Row],['# Flags]]&gt;0, "Flagged", "")</f>
        <v>Flagged</v>
      </c>
      <c r="BK237" s="326" t="e">
        <f>tblPiNAnalysis5[[#This Row],[Preliminary Target]]</f>
        <v>#N/A</v>
      </c>
      <c r="BL237" s="331"/>
    </row>
    <row r="238" spans="1:64" ht="110.7" x14ac:dyDescent="0.55000000000000004">
      <c r="A2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8" s="316" t="s">
        <v>390</v>
      </c>
      <c r="C238" s="317" t="s">
        <v>391</v>
      </c>
      <c r="D238" s="317" t="s">
        <v>406</v>
      </c>
      <c r="E238" s="105" t="s">
        <v>407</v>
      </c>
      <c r="F238" s="100"/>
      <c r="G238" s="34"/>
      <c r="H238" s="34"/>
      <c r="I238" s="97">
        <v>375</v>
      </c>
      <c r="J238" s="97" t="s">
        <v>414</v>
      </c>
      <c r="K238" s="318">
        <v>0</v>
      </c>
      <c r="L238" s="319">
        <v>0</v>
      </c>
      <c r="M238" s="319">
        <v>0</v>
      </c>
      <c r="N238" s="319">
        <v>0</v>
      </c>
      <c r="O238" s="319">
        <v>0</v>
      </c>
      <c r="P238" s="319">
        <v>0</v>
      </c>
      <c r="Q238" s="320">
        <v>0</v>
      </c>
      <c r="R238" s="319">
        <v>0</v>
      </c>
      <c r="S238" s="319"/>
      <c r="T238" s="319"/>
      <c r="U238" s="319"/>
      <c r="V238" s="319"/>
      <c r="W238" s="321">
        <f>IFERROR(IF(tblPiNAnalysis5[[#This Row],[CCCM]]="", "", MROUND(tblPiNAnalysis5[[#This Row],[CCCM]]/tblPiNAnalysis5[[#This Row],[Affected population projection 2026]], 0.05)), "")</f>
        <v>0</v>
      </c>
      <c r="X238" s="322">
        <f>IFERROR(IF(tblPiNAnalysis5[[#This Row],[Education]]="", "", MROUND(tblPiNAnalysis5[[#This Row],[Education]]/tblPiNAnalysis5[[#This Row],[Affected population projection 2026]], 0.05)), "")</f>
        <v>0</v>
      </c>
      <c r="Y238" s="322">
        <f>IFERROR(IF(tblPiNAnalysis5[[#This Row],[Nutrition]]="", "", MROUND(tblPiNAnalysis5[[#This Row],[Nutrition]]/tblPiNAnalysis5[[#This Row],[Affected population projection 2026]], 0.05)), "")</f>
        <v>0</v>
      </c>
      <c r="Z238" s="322">
        <f>IFERROR(IF(tblPiNAnalysis5[[#This Row],[Food Security]]="", "", MROUND(tblPiNAnalysis5[[#This Row],[Food Security]]/tblPiNAnalysis5[[#This Row],[Affected population projection 2026]], 0.05)), "")</f>
        <v>0</v>
      </c>
      <c r="AA238" s="322">
        <f>IFERROR(IF(tblPiNAnalysis5[[#This Row],[Health]]="", "", MROUND(tblPiNAnalysis5[[#This Row],[Health]]/tblPiNAnalysis5[[#This Row],[Affected population projection 2026]], 0.05)), "")</f>
        <v>0</v>
      </c>
      <c r="AB238" s="323">
        <f>IFERROR(IF(tblPiNAnalysis5[[#This Row],[Overarching Protection]]="", "", MROUND(tblPiNAnalysis5[[#This Row],[Overarching Protection]]/tblPiNAnalysis5[[#This Row],[Affected population projection 2026]], 0.05)), "")</f>
        <v>0</v>
      </c>
      <c r="AC238" s="323">
        <f>IFERROR(IF(tblPiNAnalysis5[[#This Row],[Shelter]]="", "", MROUND(tblPiNAnalysis5[[#This Row],[Shelter]]/tblPiNAnalysis5[[#This Row],[Affected population projection 2026]], 0.05)), "")</f>
        <v>0</v>
      </c>
      <c r="AD238" s="324">
        <f>IFERROR(IF(tblPiNAnalysis5[[#This Row],[WASH]]="", "", MROUND(tblPiNAnalysis5[[#This Row],[WASH]]/tblPiNAnalysis5[[#This Row],[Affected population projection 2026]], 0.05)), "")</f>
        <v>0</v>
      </c>
      <c r="AE238" s="322">
        <f>IFERROR(MROUND(tblPiNAnalysis5[[#This Row],[CP]]/tblPiNAnalysis5[[#This Row],[Affected population projection 2026]], 0.05), "")</f>
        <v>0</v>
      </c>
      <c r="AF238" s="322">
        <f>IFERROR(MROUND(tblPiNAnalysis5[[#This Row],[GBV]]/tblPiNAnalysis5[[#This Row],[Affected population projection 2026]], 0.05), "")</f>
        <v>0</v>
      </c>
      <c r="AG238" s="322">
        <f>IFERROR(MROUND(tblPiNAnalysis5[[#This Row],[Mine Action]]/tblPiNAnalysis5[[#This Row],[Affected population projection 2026]], 0.05), "")</f>
        <v>0</v>
      </c>
      <c r="AH238" s="322">
        <f>IFERROR(MROUND(tblPiNAnalysis5[[#This Row],[HLP]]/tblPiNAnalysis5[[#This Row],[Affected population projection 2026]], 0.05), "")</f>
        <v>0</v>
      </c>
      <c r="AI238" s="325">
        <f>IFERROR(LARGE(tblPiNAnalysis5[[#This Row],[CCCM]:[WASH]], 1), "")</f>
        <v>0</v>
      </c>
      <c r="AJ238" s="326" t="str" cm="1">
        <f t="array" ref="AJ238">IF(tblPiNAnalysis5[[#This Row],[Highest Target]]="", "", _xlfn.TEXTJOIN(CHAR(10), TRUE, IF(tblPiNAnalysis5[[#This Row],[Highest Target]]=tblPiNAnalysis5[[#This Row],[CCCM]:[WASH]], tblPiNAnalysis5[[#Headers],[CCCM]:[WASH]], "")))</f>
        <v>CCCM
Education
Nutrition
Food Security
Health
Overarching Protection
Shelter
WASH</v>
      </c>
      <c r="AK238" s="327">
        <f>IF(tblPiNAnalysis5[[#This Row],[Highest Target]]="", "", tblPiNAnalysis5[[#This Row],[Highest Target]]/tblPiNAnalysis5[[#This Row],[Affected population projection 2026]])</f>
        <v>0</v>
      </c>
      <c r="AL238" s="328" t="str">
        <f>IF(SUM(tblPiNAnalysis5[[#This Row],[CCCM]:[WASH]])=0, "",IF(COUNTIF(tblPiNAnalysis5[[#This Row],[CCCM]:[WASH]],"=0")+COUNTIF(tblPiNAnalysis5[[#This Row],[CCCM]:[WASH]],"")&gt;=zero_pin_thresh, "Flagged", ""))</f>
        <v/>
      </c>
      <c r="AM238" s="329" t="str">
        <f>IFERROR(IF(tblPiNAnalysis5[[#This Row],[Highest Target]]="", "", IF(tblPiNAnalysis5[[#This Row],[Highest sector(s'') Target %]]&gt;=flag_pin_perc, "Flagged", "")), "")</f>
        <v/>
      </c>
      <c r="AN238" s="330" t="str" cm="1">
        <f t="array" ref="AN238">IF(tblPiNAnalysis5[[#This Row],[Highest Target]]=0, "",  IF(OR(COUNTIF(tblPiNAnalysis5[[#This Row],[Highest sector(s)]],tblSubSectorPopulation[Sector])), "Flagged", ""))</f>
        <v/>
      </c>
      <c r="AO238" s="46" cm="1">
        <f t="array" ref="AO238">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38" s="331" t="str" cm="1">
        <f t="array" ref="AP238">IF(tblPiNAnalysis5[[#This Row],[2nd Highest Target]]="", "", _xlfn.TEXTJOIN(CHAR(10), TRUE, IF(tblPiNAnalysis5[[#This Row],[2nd Highest Target]]=tblPiNAnalysis5[[#This Row],[CCCM]:[WASH]], tblPiNAnalysis5[[#Headers],[CCCM]:[WASH]], "")))</f>
        <v>CCCM
Education
Nutrition
Food Security
Health
Overarching Protection
Shelter
WASH</v>
      </c>
      <c r="AQ238" s="36">
        <f>IFERROR(tblPiNAnalysis5[[#This Row],[2nd Highest Target]]/tblPiNAnalysis5[[#This Row],[Affected population projection 2026]], "")</f>
        <v>0</v>
      </c>
      <c r="AR238" s="46">
        <f>IFERROR(tblPiNAnalysis5[[#This Row],[Highest Target]]-tblPiNAnalysis5[[#This Row],[2nd Highest Target]], "")</f>
        <v>0</v>
      </c>
      <c r="AS238" s="39" t="str">
        <f>IFERROR(((tblPiNAnalysis5[[#This Row],[Highest Target]]-tblPiNAnalysis5[[#This Row],[2nd Highest Target]])/tblPiNAnalysis5[[#This Row],[2nd Highest Target]]),"")</f>
        <v/>
      </c>
      <c r="AT238" s="39" t="str" cm="1">
        <f t="array" ref="AT238">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8" s="332" cm="1">
        <f t="array" ref="AU238">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38" s="190" t="str" cm="1">
        <f t="array" ref="AV238">IF(tblPiNAnalysis5[[#This Row],[3rd Highest Target]]="", "", _xlfn.TEXTJOIN(CHAR(10), TRUE, IF(tblPiNAnalysis5[[#This Row],[3rd Highest Target]]=tblPiNAnalysis5[[#This Row],[CCCM]:[WASH]], tblPiNAnalysis5[[#Headers],[CCCM]:[WASH]], "")))</f>
        <v>CCCM
Education
Nutrition
Food Security
Health
Overarching Protection
Shelter
WASH</v>
      </c>
      <c r="AW238" s="190">
        <f>IFERROR(tblPiNAnalysis5[[#This Row],[3rd Highest Target]]/tblPiNAnalysis5[[#This Row],[Affected population projection 2026]], "")</f>
        <v>0</v>
      </c>
      <c r="AX238" s="45">
        <f>IFERROR(tblPiNAnalysis5[[#This Row],[Highest Target]]-tblPiNAnalysis5[[#This Row],[3rd Highest Target]],"")</f>
        <v>0</v>
      </c>
      <c r="AY238" s="39" t="str">
        <f>IFERROR(tblPiNAnalysis5[[#This Row],[Difference of Target between Highest and 3rd Highest]]/tblPiNAnalysis5[[#This Row],[3rd Highest Target]], "")</f>
        <v/>
      </c>
      <c r="AZ238" s="330" t="str" cm="1">
        <f t="array" ref="AZ238">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8" s="300" t="str" cm="1">
        <f t="array" ref="BA238">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8" s="333" t="str" cm="1">
        <f t="array" ref="BB238">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38" s="276" t="str" cm="1">
        <f t="array" ref="BC238">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8" s="334" t="str" cm="1">
        <f t="array" ref="BD238">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8" s="277" t="e">
        <f>INDEX(tblSeverityAnalysis[Final Severity], MATCH(tblPiNAnalysis5[[#This Row],[ID]],tblSeverityAnalysis[ID], 0))</f>
        <v>#N/A</v>
      </c>
      <c r="BF238" s="61" t="e">
        <f>IF(tblPiNAnalysis5[[#This Row],[Severity]]&gt;2,tblPiNAnalysis5[[#This Row],[Highest Target]],)</f>
        <v>#N/A</v>
      </c>
      <c r="BG238" s="191"/>
      <c r="BH238" s="192"/>
      <c r="BI238" s="193">
        <f>COUNTIFS(tblPiNAnalysis5[[#This Row],[Number of missing / zero PiNs greater than threshold - Data quality]:[Manual Flag]],"Flagged")</f>
        <v>2</v>
      </c>
      <c r="BJ238" s="96" t="str">
        <f>IF(tblPiNAnalysis5[[#This Row],['# Flags]]&gt;0, "Flagged", "")</f>
        <v>Flagged</v>
      </c>
      <c r="BK238" s="326" t="e">
        <f>tblPiNAnalysis5[[#This Row],[Preliminary Target]]</f>
        <v>#N/A</v>
      </c>
      <c r="BL238" s="331"/>
    </row>
    <row r="239" spans="1:64" x14ac:dyDescent="0.55000000000000004">
      <c r="A2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9" s="316" t="s">
        <v>390</v>
      </c>
      <c r="C239" s="317" t="s">
        <v>391</v>
      </c>
      <c r="D239" s="317" t="s">
        <v>408</v>
      </c>
      <c r="E239" s="105" t="s">
        <v>409</v>
      </c>
      <c r="F239" s="100"/>
      <c r="G239" s="34"/>
      <c r="H239" s="34"/>
      <c r="I239" s="97">
        <v>2118.1428571428601</v>
      </c>
      <c r="J239" s="97" t="s">
        <v>414</v>
      </c>
      <c r="K239" s="318">
        <v>0</v>
      </c>
      <c r="L239" s="319">
        <v>426.52830900000049</v>
      </c>
      <c r="M239" s="319">
        <v>388.53223929904436</v>
      </c>
      <c r="N239" s="319">
        <v>499.4388413174093</v>
      </c>
      <c r="O239" s="319">
        <v>901.96419394124655</v>
      </c>
      <c r="P239" s="319">
        <v>743.98476052249646</v>
      </c>
      <c r="Q239" s="320">
        <v>944.71289571428701</v>
      </c>
      <c r="R239" s="319">
        <v>1153.047674162259</v>
      </c>
      <c r="S239" s="319"/>
      <c r="T239" s="319"/>
      <c r="U239" s="319"/>
      <c r="V239" s="319"/>
      <c r="W239" s="321">
        <f>IFERROR(IF(tblPiNAnalysis5[[#This Row],[CCCM]]="", "", MROUND(tblPiNAnalysis5[[#This Row],[CCCM]]/tblPiNAnalysis5[[#This Row],[Affected population projection 2026]], 0.05)), "")</f>
        <v>0</v>
      </c>
      <c r="X239" s="322">
        <f>IFERROR(IF(tblPiNAnalysis5[[#This Row],[Education]]="", "", MROUND(tblPiNAnalysis5[[#This Row],[Education]]/tblPiNAnalysis5[[#This Row],[Affected population projection 2026]], 0.05)), "")</f>
        <v>0.2</v>
      </c>
      <c r="Y239" s="322">
        <f>IFERROR(IF(tblPiNAnalysis5[[#This Row],[Nutrition]]="", "", MROUND(tblPiNAnalysis5[[#This Row],[Nutrition]]/tblPiNAnalysis5[[#This Row],[Affected population projection 2026]], 0.05)), "")</f>
        <v>0.2</v>
      </c>
      <c r="Z239" s="322">
        <f>IFERROR(IF(tblPiNAnalysis5[[#This Row],[Food Security]]="", "", MROUND(tblPiNAnalysis5[[#This Row],[Food Security]]/tblPiNAnalysis5[[#This Row],[Affected population projection 2026]], 0.05)), "")</f>
        <v>0.25</v>
      </c>
      <c r="AA239" s="322">
        <f>IFERROR(IF(tblPiNAnalysis5[[#This Row],[Health]]="", "", MROUND(tblPiNAnalysis5[[#This Row],[Health]]/tblPiNAnalysis5[[#This Row],[Affected population projection 2026]], 0.05)), "")</f>
        <v>0.45</v>
      </c>
      <c r="AB239" s="323">
        <f>IFERROR(IF(tblPiNAnalysis5[[#This Row],[Overarching Protection]]="", "", MROUND(tblPiNAnalysis5[[#This Row],[Overarching Protection]]/tblPiNAnalysis5[[#This Row],[Affected population projection 2026]], 0.05)), "")</f>
        <v>0.35000000000000003</v>
      </c>
      <c r="AC239" s="323">
        <f>IFERROR(IF(tblPiNAnalysis5[[#This Row],[Shelter]]="", "", MROUND(tblPiNAnalysis5[[#This Row],[Shelter]]/tblPiNAnalysis5[[#This Row],[Affected population projection 2026]], 0.05)), "")</f>
        <v>0.45</v>
      </c>
      <c r="AD239" s="324">
        <f>IFERROR(IF(tblPiNAnalysis5[[#This Row],[WASH]]="", "", MROUND(tblPiNAnalysis5[[#This Row],[WASH]]/tblPiNAnalysis5[[#This Row],[Affected population projection 2026]], 0.05)), "")</f>
        <v>0.55000000000000004</v>
      </c>
      <c r="AE239" s="322">
        <f>IFERROR(MROUND(tblPiNAnalysis5[[#This Row],[CP]]/tblPiNAnalysis5[[#This Row],[Affected population projection 2026]], 0.05), "")</f>
        <v>0</v>
      </c>
      <c r="AF239" s="322">
        <f>IFERROR(MROUND(tblPiNAnalysis5[[#This Row],[GBV]]/tblPiNAnalysis5[[#This Row],[Affected population projection 2026]], 0.05), "")</f>
        <v>0</v>
      </c>
      <c r="AG239" s="322">
        <f>IFERROR(MROUND(tblPiNAnalysis5[[#This Row],[Mine Action]]/tblPiNAnalysis5[[#This Row],[Affected population projection 2026]], 0.05), "")</f>
        <v>0</v>
      </c>
      <c r="AH239" s="322">
        <f>IFERROR(MROUND(tblPiNAnalysis5[[#This Row],[HLP]]/tblPiNAnalysis5[[#This Row],[Affected population projection 2026]], 0.05), "")</f>
        <v>0</v>
      </c>
      <c r="AI239" s="325">
        <f>IFERROR(LARGE(tblPiNAnalysis5[[#This Row],[CCCM]:[WASH]], 1), "")</f>
        <v>1153.047674162259</v>
      </c>
      <c r="AJ239" s="326" t="str" cm="1">
        <f t="array" ref="AJ239">IF(tblPiNAnalysis5[[#This Row],[Highest Target]]="", "", _xlfn.TEXTJOIN(CHAR(10), TRUE, IF(tblPiNAnalysis5[[#This Row],[Highest Target]]=tblPiNAnalysis5[[#This Row],[CCCM]:[WASH]], tblPiNAnalysis5[[#Headers],[CCCM]:[WASH]], "")))</f>
        <v>WASH</v>
      </c>
      <c r="AK239" s="327">
        <f>IF(tblPiNAnalysis5[[#This Row],[Highest Target]]="", "", tblPiNAnalysis5[[#This Row],[Highest Target]]/tblPiNAnalysis5[[#This Row],[Affected population projection 2026]])</f>
        <v>0.54436728395061729</v>
      </c>
      <c r="AL239" s="328" t="str">
        <f>IF(SUM(tblPiNAnalysis5[[#This Row],[CCCM]:[WASH]])=0, "",IF(COUNTIF(tblPiNAnalysis5[[#This Row],[CCCM]:[WASH]],"=0")+COUNTIF(tblPiNAnalysis5[[#This Row],[CCCM]:[WASH]],"")&gt;=zero_pin_thresh, "Flagged", ""))</f>
        <v/>
      </c>
      <c r="AM239" s="329" t="str">
        <f>IFERROR(IF(tblPiNAnalysis5[[#This Row],[Highest Target]]="", "", IF(tblPiNAnalysis5[[#This Row],[Highest sector(s'') Target %]]&gt;=flag_pin_perc, "Flagged", "")), "")</f>
        <v/>
      </c>
      <c r="AN239" s="330" t="str" cm="1">
        <f t="array" ref="AN239">IF(tblPiNAnalysis5[[#This Row],[Highest Target]]=0, "",  IF(OR(COUNTIF(tblPiNAnalysis5[[#This Row],[Highest sector(s)]],tblSubSectorPopulation[Sector])), "Flagged", ""))</f>
        <v/>
      </c>
      <c r="AO239" s="46" cm="1">
        <f t="array" ref="AO239">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944.71289571428701</v>
      </c>
      <c r="AP239" s="331" t="str" cm="1">
        <f t="array" ref="AP239">IF(tblPiNAnalysis5[[#This Row],[2nd Highest Target]]="", "", _xlfn.TEXTJOIN(CHAR(10), TRUE, IF(tblPiNAnalysis5[[#This Row],[2nd Highest Target]]=tblPiNAnalysis5[[#This Row],[CCCM]:[WASH]], tblPiNAnalysis5[[#Headers],[CCCM]:[WASH]], "")))</f>
        <v>Shelter</v>
      </c>
      <c r="AQ239" s="36">
        <f>IFERROR(tblPiNAnalysis5[[#This Row],[2nd Highest Target]]/tblPiNAnalysis5[[#This Row],[Affected population projection 2026]], "")</f>
        <v>0.44601000000000002</v>
      </c>
      <c r="AR239" s="46">
        <f>IFERROR(tblPiNAnalysis5[[#This Row],[Highest Target]]-tblPiNAnalysis5[[#This Row],[2nd Highest Target]], "")</f>
        <v>208.33477844797198</v>
      </c>
      <c r="AS239" s="39">
        <f>IFERROR(((tblPiNAnalysis5[[#This Row],[Highest Target]]-tblPiNAnalysis5[[#This Row],[2nd Highest Target]])/tblPiNAnalysis5[[#This Row],[2nd Highest Target]]),"")</f>
        <v>0.22052708224169243</v>
      </c>
      <c r="AT239" s="39" t="str" cm="1">
        <f t="array" ref="AT239">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39" s="332" cm="1">
        <f t="array" ref="AU239">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901.96419394124655</v>
      </c>
      <c r="AV239" s="190" t="str" cm="1">
        <f t="array" ref="AV239">IF(tblPiNAnalysis5[[#This Row],[3rd Highest Target]]="", "", _xlfn.TEXTJOIN(CHAR(10), TRUE, IF(tblPiNAnalysis5[[#This Row],[3rd Highest Target]]=tblPiNAnalysis5[[#This Row],[CCCM]:[WASH]], tblPiNAnalysis5[[#Headers],[CCCM]:[WASH]], "")))</f>
        <v>Health</v>
      </c>
      <c r="AW239" s="190">
        <f>IFERROR(tblPiNAnalysis5[[#This Row],[3rd Highest Target]]/tblPiNAnalysis5[[#This Row],[Affected population projection 2026]], "")</f>
        <v>0.42582783824028575</v>
      </c>
      <c r="AX239" s="45">
        <f>IFERROR(tblPiNAnalysis5[[#This Row],[Highest Target]]-tblPiNAnalysis5[[#This Row],[3rd Highest Target]],"")</f>
        <v>251.08348022101245</v>
      </c>
      <c r="AY239" s="39">
        <f>IFERROR(tblPiNAnalysis5[[#This Row],[Difference of Target between Highest and 3rd Highest]]/tblPiNAnalysis5[[#This Row],[3rd Highest Target]], "")</f>
        <v>0.27837411053300404</v>
      </c>
      <c r="AZ239" s="330" t="str" cm="1">
        <f t="array" ref="AZ239">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39" s="300" t="str" cm="1">
        <f t="array" ref="BA239">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39" s="333" t="str" cm="1">
        <f t="array" ref="BB239">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
      </c>
      <c r="BC239" s="276" t="str" cm="1">
        <f t="array" ref="BC239">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39" s="334" t="str" cm="1">
        <f t="array" ref="BD239">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39" s="277" t="e">
        <f>INDEX(tblSeverityAnalysis[Final Severity], MATCH(tblPiNAnalysis5[[#This Row],[ID]],tblSeverityAnalysis[ID], 0))</f>
        <v>#N/A</v>
      </c>
      <c r="BF239" s="61" t="e">
        <f>IF(tblPiNAnalysis5[[#This Row],[Severity]]&gt;2,tblPiNAnalysis5[[#This Row],[Highest Target]],)</f>
        <v>#N/A</v>
      </c>
      <c r="BG239" s="191"/>
      <c r="BH239" s="192"/>
      <c r="BI239" s="193">
        <f>COUNTIFS(tblPiNAnalysis5[[#This Row],[Number of missing / zero PiNs greater than threshold - Data quality]:[Manual Flag]],"Flagged")</f>
        <v>1</v>
      </c>
      <c r="BJ239" s="96" t="str">
        <f>IF(tblPiNAnalysis5[[#This Row],['# Flags]]&gt;0, "Flagged", "")</f>
        <v>Flagged</v>
      </c>
      <c r="BK239" s="326" t="e">
        <f>tblPiNAnalysis5[[#This Row],[Preliminary Target]]</f>
        <v>#N/A</v>
      </c>
      <c r="BL239" s="331"/>
    </row>
    <row r="240" spans="1:64" ht="110.7" x14ac:dyDescent="0.55000000000000004">
      <c r="A2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0" s="316" t="s">
        <v>390</v>
      </c>
      <c r="C240" s="317" t="s">
        <v>391</v>
      </c>
      <c r="D240" s="317" t="s">
        <v>410</v>
      </c>
      <c r="E240" s="105" t="s">
        <v>411</v>
      </c>
      <c r="F240" s="100"/>
      <c r="G240" s="34"/>
      <c r="H240" s="34"/>
      <c r="I240" s="97">
        <v>7750</v>
      </c>
      <c r="J240" s="97" t="s">
        <v>414</v>
      </c>
      <c r="K240" s="318">
        <v>0</v>
      </c>
      <c r="L240" s="319">
        <v>0</v>
      </c>
      <c r="M240" s="319">
        <v>0</v>
      </c>
      <c r="N240" s="319">
        <v>0</v>
      </c>
      <c r="O240" s="319">
        <v>0</v>
      </c>
      <c r="P240" s="319">
        <v>0</v>
      </c>
      <c r="Q240" s="320">
        <v>0</v>
      </c>
      <c r="R240" s="319">
        <v>0</v>
      </c>
      <c r="S240" s="319"/>
      <c r="T240" s="319"/>
      <c r="U240" s="319"/>
      <c r="V240" s="319"/>
      <c r="W240" s="321">
        <f>IFERROR(IF(tblPiNAnalysis5[[#This Row],[CCCM]]="", "", MROUND(tblPiNAnalysis5[[#This Row],[CCCM]]/tblPiNAnalysis5[[#This Row],[Affected population projection 2026]], 0.05)), "")</f>
        <v>0</v>
      </c>
      <c r="X240" s="322">
        <f>IFERROR(IF(tblPiNAnalysis5[[#This Row],[Education]]="", "", MROUND(tblPiNAnalysis5[[#This Row],[Education]]/tblPiNAnalysis5[[#This Row],[Affected population projection 2026]], 0.05)), "")</f>
        <v>0</v>
      </c>
      <c r="Y240" s="322">
        <f>IFERROR(IF(tblPiNAnalysis5[[#This Row],[Nutrition]]="", "", MROUND(tblPiNAnalysis5[[#This Row],[Nutrition]]/tblPiNAnalysis5[[#This Row],[Affected population projection 2026]], 0.05)), "")</f>
        <v>0</v>
      </c>
      <c r="Z240" s="322">
        <f>IFERROR(IF(tblPiNAnalysis5[[#This Row],[Food Security]]="", "", MROUND(tblPiNAnalysis5[[#This Row],[Food Security]]/tblPiNAnalysis5[[#This Row],[Affected population projection 2026]], 0.05)), "")</f>
        <v>0</v>
      </c>
      <c r="AA240" s="322">
        <f>IFERROR(IF(tblPiNAnalysis5[[#This Row],[Health]]="", "", MROUND(tblPiNAnalysis5[[#This Row],[Health]]/tblPiNAnalysis5[[#This Row],[Affected population projection 2026]], 0.05)), "")</f>
        <v>0</v>
      </c>
      <c r="AB240" s="323">
        <f>IFERROR(IF(tblPiNAnalysis5[[#This Row],[Overarching Protection]]="", "", MROUND(tblPiNAnalysis5[[#This Row],[Overarching Protection]]/tblPiNAnalysis5[[#This Row],[Affected population projection 2026]], 0.05)), "")</f>
        <v>0</v>
      </c>
      <c r="AC240" s="323">
        <f>IFERROR(IF(tblPiNAnalysis5[[#This Row],[Shelter]]="", "", MROUND(tblPiNAnalysis5[[#This Row],[Shelter]]/tblPiNAnalysis5[[#This Row],[Affected population projection 2026]], 0.05)), "")</f>
        <v>0</v>
      </c>
      <c r="AD240" s="324">
        <f>IFERROR(IF(tblPiNAnalysis5[[#This Row],[WASH]]="", "", MROUND(tblPiNAnalysis5[[#This Row],[WASH]]/tblPiNAnalysis5[[#This Row],[Affected population projection 2026]], 0.05)), "")</f>
        <v>0</v>
      </c>
      <c r="AE240" s="322">
        <f>IFERROR(MROUND(tblPiNAnalysis5[[#This Row],[CP]]/tblPiNAnalysis5[[#This Row],[Affected population projection 2026]], 0.05), "")</f>
        <v>0</v>
      </c>
      <c r="AF240" s="322">
        <f>IFERROR(MROUND(tblPiNAnalysis5[[#This Row],[GBV]]/tblPiNAnalysis5[[#This Row],[Affected population projection 2026]], 0.05), "")</f>
        <v>0</v>
      </c>
      <c r="AG240" s="322">
        <f>IFERROR(MROUND(tblPiNAnalysis5[[#This Row],[Mine Action]]/tblPiNAnalysis5[[#This Row],[Affected population projection 2026]], 0.05), "")</f>
        <v>0</v>
      </c>
      <c r="AH240" s="322">
        <f>IFERROR(MROUND(tblPiNAnalysis5[[#This Row],[HLP]]/tblPiNAnalysis5[[#This Row],[Affected population projection 2026]], 0.05), "")</f>
        <v>0</v>
      </c>
      <c r="AI240" s="325">
        <f>IFERROR(LARGE(tblPiNAnalysis5[[#This Row],[CCCM]:[WASH]], 1), "")</f>
        <v>0</v>
      </c>
      <c r="AJ240" s="326" t="str" cm="1">
        <f t="array" ref="AJ240">IF(tblPiNAnalysis5[[#This Row],[Highest Target]]="", "", _xlfn.TEXTJOIN(CHAR(10), TRUE, IF(tblPiNAnalysis5[[#This Row],[Highest Target]]=tblPiNAnalysis5[[#This Row],[CCCM]:[WASH]], tblPiNAnalysis5[[#Headers],[CCCM]:[WASH]], "")))</f>
        <v>CCCM
Education
Nutrition
Food Security
Health
Overarching Protection
Shelter
WASH</v>
      </c>
      <c r="AK240" s="327">
        <f>IF(tblPiNAnalysis5[[#This Row],[Highest Target]]="", "", tblPiNAnalysis5[[#This Row],[Highest Target]]/tblPiNAnalysis5[[#This Row],[Affected population projection 2026]])</f>
        <v>0</v>
      </c>
      <c r="AL240" s="328" t="str">
        <f>IF(SUM(tblPiNAnalysis5[[#This Row],[CCCM]:[WASH]])=0, "",IF(COUNTIF(tblPiNAnalysis5[[#This Row],[CCCM]:[WASH]],"=0")+COUNTIF(tblPiNAnalysis5[[#This Row],[CCCM]:[WASH]],"")&gt;=zero_pin_thresh, "Flagged", ""))</f>
        <v/>
      </c>
      <c r="AM240" s="329" t="str">
        <f>IFERROR(IF(tblPiNAnalysis5[[#This Row],[Highest Target]]="", "", IF(tblPiNAnalysis5[[#This Row],[Highest sector(s'') Target %]]&gt;=flag_pin_perc, "Flagged", "")), "")</f>
        <v/>
      </c>
      <c r="AN240" s="330" t="str" cm="1">
        <f t="array" ref="AN240">IF(tblPiNAnalysis5[[#This Row],[Highest Target]]=0, "",  IF(OR(COUNTIF(tblPiNAnalysis5[[#This Row],[Highest sector(s)]],tblSubSectorPopulation[Sector])), "Flagged", ""))</f>
        <v/>
      </c>
      <c r="AO240" s="46" cm="1">
        <f t="array" ref="AO240">IFERROR(_xlfn.IFS(tblPiNAnalysis5[[#This Row],[Highest Target]]="", "", LARGE(tblPiNAnalysis5[[#This Row],[CCCM]:[WASH]], 2) &lt; tblPiNAnalysis5[[#This Row],[Highest Target]], LARGE(tblPiNAnalysis5[[#This Row],[CCCM]:[WASH]], 2), LARGE(tblPiNAnalysis5[[#This Row],[CCCM]:[WASH]], 3) &lt; tblPiNAnalysis5[[#This Row],[Highest Target]], LARGE(tblPiNAnalysis5[[#This Row],[CCCM]:[WASH]], 3), LARGE(tblPiNAnalysis5[[#This Row],[CCCM]:[WASH]], 4) &lt; tblPiNAnalysis5[[#This Row],[Highest Target]], LARGE(tblPiNAnalysis5[[#This Row],[CCCM]:[WASH]], 4), LARGE(tblPiNAnalysis5[[#This Row],[CCCM]:[WASH]], 5) &lt; tblPiNAnalysis5[[#This Row],[Highest Target]], LARGE(tblPiNAnalysis5[[#This Row],[CCCM]:[WASH]], 5), LARGE(tblPiNAnalysis5[[#This Row],[CCCM]:[WASH]], 6) &lt; tblPiNAnalysis5[[#This Row],[Highest Target]], LARGE(tblPiNAnalysis5[[#This Row],[CCCM]:[WASH]], 6), LARGE(tblPiNAnalysis5[[#This Row],[CCCM]:[WASH]], 7) &lt;tblPiNAnalysis5[[#This Row],[Highest Target]], LARGE(tblPiNAnalysis5[[#This Row],[CCCM]:[WASH]], 7), LARGE(tblPiNAnalysis5[[#This Row],[CCCM]:[WASH]], 8) &lt;= tblPiNAnalysis5[[#This Row],[Highest Target]], LARGE(tblPiNAnalysis5[[#This Row],[CCCM]:[WASH]], 8)), "NA")</f>
        <v>0</v>
      </c>
      <c r="AP240" s="331" t="str" cm="1">
        <f t="array" ref="AP240">IF(tblPiNAnalysis5[[#This Row],[2nd Highest Target]]="", "", _xlfn.TEXTJOIN(CHAR(10), TRUE, IF(tblPiNAnalysis5[[#This Row],[2nd Highest Target]]=tblPiNAnalysis5[[#This Row],[CCCM]:[WASH]], tblPiNAnalysis5[[#Headers],[CCCM]:[WASH]], "")))</f>
        <v>CCCM
Education
Nutrition
Food Security
Health
Overarching Protection
Shelter
WASH</v>
      </c>
      <c r="AQ240" s="36">
        <f>IFERROR(tblPiNAnalysis5[[#This Row],[2nd Highest Target]]/tblPiNAnalysis5[[#This Row],[Affected population projection 2026]], "")</f>
        <v>0</v>
      </c>
      <c r="AR240" s="46">
        <f>IFERROR(tblPiNAnalysis5[[#This Row],[Highest Target]]-tblPiNAnalysis5[[#This Row],[2nd Highest Target]], "")</f>
        <v>0</v>
      </c>
      <c r="AS240" s="39" t="str">
        <f>IFERROR(((tblPiNAnalysis5[[#This Row],[Highest Target]]-tblPiNAnalysis5[[#This Row],[2nd Highest Target]])/tblPiNAnalysis5[[#This Row],[2nd Highest Target]]),"")</f>
        <v/>
      </c>
      <c r="AT240" s="39" t="str" cm="1">
        <f t="array" ref="AT240">_xlfn.IFS(tblPiNAnalysis5[[#This Row],[% Difference between Highest and 2nd Highest]]="", "", SUM(IF(IF(tblPiNAnalysis5[[#This Row],[Highest Target]]=tblPiNAnalysis5[[#This Row],[CCCM]:[WASH]], tblPiNAnalysis5[[#Headers],[CCCM]:[WASH]], "")&lt;&gt;"", 1, 0))&gt;1, "",tblPiNAnalysis5[[#This Row],[% Difference between Highest and 2nd Highest]]&gt;=perc_1st_2nd, "Flagged", TRUE(), "")</f>
        <v/>
      </c>
      <c r="AU240" s="332" cm="1">
        <f t="array" ref="AU240">IFERROR(_xlfn.IFS(tblPiNAnalysis5[[#This Row],[2nd Highest Target]]="", "", LARGE(tblPiNAnalysis5[[#This Row],[CCCM]:[WASH]], 3) &lt; tblPiNAnalysis5[[#This Row],[2nd Highest Target]], LARGE(tblPiNAnalysis5[[#This Row],[CCCM]:[WASH]], 3), LARGE(tblPiNAnalysis5[[#This Row],[CCCM]:[WASH]], 4) &lt; tblPiNAnalysis5[[#This Row],[2nd Highest Target]], LARGE(tblPiNAnalysis5[[#This Row],[CCCM]:[WASH]], 4), LARGE(tblPiNAnalysis5[[#This Row],[CCCM]:[WASH]], 5) &lt; tblPiNAnalysis5[[#This Row],[2nd Highest Target]], LARGE(tblPiNAnalysis5[[#This Row],[CCCM]:[WASH]], 5), LARGE(tblPiNAnalysis5[[#This Row],[CCCM]:[WASH]], 6) &lt; tblPiNAnalysis5[[#This Row],[2nd Highest Target]], LARGE(tblPiNAnalysis5[[#This Row],[CCCM]:[WASH]], 6), LARGE(tblPiNAnalysis5[[#This Row],[CCCM]:[WASH]], 7) &lt;tblPiNAnalysis5[[#This Row],[2nd Highest Target]], LARGE(tblPiNAnalysis5[[#This Row],[CCCM]:[WASH]], 7), LARGE(tblPiNAnalysis5[[#This Row],[CCCM]:[WASH]], 8) &lt;= tblPiNAnalysis5[[#This Row],[2nd Highest Target]], LARGE(tblPiNAnalysis5[[#This Row],[CCCM]:[WASH]], 8)), "NA")</f>
        <v>0</v>
      </c>
      <c r="AV240" s="190" t="str" cm="1">
        <f t="array" ref="AV240">IF(tblPiNAnalysis5[[#This Row],[3rd Highest Target]]="", "", _xlfn.TEXTJOIN(CHAR(10), TRUE, IF(tblPiNAnalysis5[[#This Row],[3rd Highest Target]]=tblPiNAnalysis5[[#This Row],[CCCM]:[WASH]], tblPiNAnalysis5[[#Headers],[CCCM]:[WASH]], "")))</f>
        <v>CCCM
Education
Nutrition
Food Security
Health
Overarching Protection
Shelter
WASH</v>
      </c>
      <c r="AW240" s="190">
        <f>IFERROR(tblPiNAnalysis5[[#This Row],[3rd Highest Target]]/tblPiNAnalysis5[[#This Row],[Affected population projection 2026]], "")</f>
        <v>0</v>
      </c>
      <c r="AX240" s="45">
        <f>IFERROR(tblPiNAnalysis5[[#This Row],[Highest Target]]-tblPiNAnalysis5[[#This Row],[3rd Highest Target]],"")</f>
        <v>0</v>
      </c>
      <c r="AY240" s="39" t="str">
        <f>IFERROR(tblPiNAnalysis5[[#This Row],[Difference of Target between Highest and 3rd Highest]]/tblPiNAnalysis5[[#This Row],[3rd Highest Target]], "")</f>
        <v/>
      </c>
      <c r="AZ240" s="330" t="str" cm="1">
        <f t="array" ref="AZ240">_xlfn.IFS(tblPiNAnalysis5[[#This Row],[Difference of Target between Highest and 3rd Highest]]="", "", SUM(IF(IF(tblPiNAnalysis5[[#This Row],[Highest Target]]=tblPiNAnalysis5[[#This Row],[CCCM]:[WASH]], tblPiNAnalysis5[[#Headers],[CCCM]:[WASH]], "")&lt;&gt;"", 1, 0))&gt;1, "",tblPiNAnalysis5[[#This Row],[% Difference between Highest and 3rd Highest]]&gt;=perc_1st_3rd, "Flagged", 1=1, "")</f>
        <v/>
      </c>
      <c r="BA240" s="300" t="str" cm="1">
        <f t="array" ref="BA240">IFERROR(IF(tblPiNAnalysis5[[#This Row],[ID]]="", "", INDEX(tblPiNHistorical[[CCCM]:[WASH]], MATCH(tblPiNAnalysis5[[#This Row],[ID]],tblPiNHistorical[ID], 0),MATCH(_xlfn._xlws.FILTER(tblPiNAnalysis5[[#Headers],[CCCM]:[WASH]], tblPiNAnalysis5[[#This Row],[Highest Target]]=tblPiNAnalysis5[[#This Row],[CCCM]:[WASH]]), tblPiNHistorical[[#Headers],[CCCM]:[WASH]], 0))), "")</f>
        <v/>
      </c>
      <c r="BB240" s="333" t="str" cm="1">
        <f t="array" ref="BB240">IFERROR(IF(SUM(IF(ABS(INDEX(tblPiNHistorical[[CCCM]:[WASH]], MATCH(tblPiNAnalysis5[[#This Row],[ID]],tblPiNHistorical[ID], 0),MATCH(_xlfn._xlws.FILTER(tblPiNAnalysis5[[#Headers],[CCCM]:[WASH]], tblPiNAnalysis5[[#This Row],[Highest Target]]=tblPiNAnalysis5[[#This Row],[CCCM]:[WASH]]), tblPiNHistorical[[#Headers],[CCCM]:[WASH]], 0)))&gt;=flag_pin_historical, 1, 0))&gt;0, "Flagged", ""), "")</f>
        <v>Flagged</v>
      </c>
      <c r="BC240" s="276" t="str" cm="1">
        <f t="array" ref="BC240">IFERROR(IF(tblPiNAnalysis5[[#This Row],[ID]]="", "", INDEX(tblPiNHistorical[[CCCM]:[WASH]], MATCH(tblPiNAnalysis5[[#This Row],[ID]],tblPiNHistorical[ID], 0),MATCH(_xlfn._xlws.FILTER(tblPiNAnalysis5[[#Headers],[CCCM]:[WASH]], tblPiNAnalysis5[[#This Row],[2nd Highest Target]]=tblPiNAnalysis5[[#This Row],[CCCM]:[WASH]]), tblPiNHistorical[[#Headers],[CCCM]:[WASH]], 0))), "")</f>
        <v/>
      </c>
      <c r="BD240" s="334" t="str" cm="1">
        <f t="array" ref="BD240">IFERROR(IF(SUM(IF(ABS(INDEX(tblPiNHistorical[[CCCM]:[WASH]], MATCH(tblPiNAnalysis5[[#This Row],[ID]],tblPiNHistorical[ID], 0),MATCH(_xlfn._xlws.FILTER(tblPiNAnalysis5[[#Headers],[CCCM]:[WASH]], tblPiNAnalysis5[[#This Row],[2nd Highest Target]]=tblPiNAnalysis5[[#This Row],[CCCM]:[WASH]]), tblPiNHistorical[[#Headers],[CCCM]:[WASH]], 0)))&gt;=flag_pin_historical, 1, 0))&gt;0, "Flagged", ""), "")</f>
        <v>Flagged</v>
      </c>
      <c r="BE240" s="277" t="e">
        <f>INDEX(tblSeverityAnalysis[Final Severity], MATCH(tblPiNAnalysis5[[#This Row],[ID]],tblSeverityAnalysis[ID], 0))</f>
        <v>#N/A</v>
      </c>
      <c r="BF240" s="61" t="e">
        <f>IF(tblPiNAnalysis5[[#This Row],[Severity]]&gt;2,tblPiNAnalysis5[[#This Row],[Highest Target]],)</f>
        <v>#N/A</v>
      </c>
      <c r="BG240" s="191"/>
      <c r="BH240" s="192"/>
      <c r="BI240" s="193">
        <f>COUNTIFS(tblPiNAnalysis5[[#This Row],[Number of missing / zero PiNs greater than threshold - Data quality]:[Manual Flag]],"Flagged")</f>
        <v>2</v>
      </c>
      <c r="BJ240" s="96" t="str">
        <f>IF(tblPiNAnalysis5[[#This Row],['# Flags]]&gt;0, "Flagged", "")</f>
        <v>Flagged</v>
      </c>
      <c r="BK240" s="326" t="e">
        <f>tblPiNAnalysis5[[#This Row],[Preliminary Target]]</f>
        <v>#N/A</v>
      </c>
      <c r="BL240" s="331"/>
    </row>
    <row r="241" spans="1:64" x14ac:dyDescent="0.55000000000000004">
      <c r="A241" s="388"/>
      <c r="B241" s="356"/>
      <c r="C241" s="357"/>
      <c r="D241" s="357"/>
      <c r="E241" s="358"/>
      <c r="F241" s="359"/>
      <c r="G241" s="360"/>
      <c r="H241" s="360"/>
      <c r="I241" s="362"/>
      <c r="J241" s="362"/>
      <c r="K241" s="401">
        <f>SUBTOTAL(109,tblPiNAnalysis5[CCCM])</f>
        <v>735986</v>
      </c>
      <c r="L241" s="401">
        <f>SUBTOTAL(109,tblPiNAnalysis5[Education])</f>
        <v>795532.30192307651</v>
      </c>
      <c r="M241" s="401">
        <f>SUBTOTAL(109,tblPiNAnalysis5[Nutrition])</f>
        <v>1833612.4122859854</v>
      </c>
      <c r="N241" s="401">
        <f>SUBTOTAL(109,tblPiNAnalysis5[Food Security])</f>
        <v>2664031.8583353767</v>
      </c>
      <c r="O241" s="401">
        <f>SUBTOTAL(109,tblPiNAnalysis5[Health])</f>
        <v>2884600.2048612507</v>
      </c>
      <c r="P241" s="401">
        <f>SUBTOTAL(109,tblPiNAnalysis5[Overarching Protection])</f>
        <v>1451619.9999999998</v>
      </c>
      <c r="Q241" s="401">
        <f>SUBTOTAL(109,tblPiNAnalysis5[Shelter])</f>
        <v>882352.94733366952</v>
      </c>
      <c r="R241" s="401">
        <f>SUBTOTAL(109,tblPiNAnalysis5[WASH])</f>
        <v>2167688.6550570074</v>
      </c>
      <c r="S241" s="401">
        <f>SUBTOTAL(109,tblPiNAnalysis5[CP])</f>
        <v>0</v>
      </c>
      <c r="T241" s="401">
        <f>SUBTOTAL(109,tblPiNAnalysis5[GBV])</f>
        <v>0</v>
      </c>
      <c r="U241" s="401">
        <f>SUBTOTAL(109,tblPiNAnalysis5[Mine Action])</f>
        <v>0</v>
      </c>
      <c r="V241" s="401">
        <f>SUBTOTAL(109,tblPiNAnalysis5[HLP])</f>
        <v>0</v>
      </c>
      <c r="W241" s="390"/>
      <c r="X241" s="379"/>
      <c r="Y241" s="379"/>
      <c r="Z241" s="379"/>
      <c r="AA241" s="379"/>
      <c r="AB241" s="379"/>
      <c r="AC241" s="379"/>
      <c r="AD241" s="380"/>
      <c r="AE241" s="379"/>
      <c r="AF241" s="379"/>
      <c r="AG241" s="379"/>
      <c r="AH241" s="379"/>
      <c r="AI241" s="391"/>
      <c r="AJ241" s="382"/>
      <c r="AK241" s="369"/>
      <c r="AL241" s="392"/>
      <c r="AM241" s="369"/>
      <c r="AN241" s="381"/>
      <c r="AO241" s="393"/>
      <c r="AP241" s="382"/>
      <c r="AQ241" s="369"/>
      <c r="AR241" s="393"/>
      <c r="AS241" s="369"/>
      <c r="AT241" s="369"/>
      <c r="AU241" s="394"/>
      <c r="AV241" s="383"/>
      <c r="AW241" s="383"/>
      <c r="AX241" s="393"/>
      <c r="AY241" s="369"/>
      <c r="AZ241" s="381"/>
      <c r="BA241" s="384"/>
      <c r="BB241" s="395"/>
      <c r="BC241" s="396"/>
      <c r="BD241" s="397"/>
      <c r="BE241" s="384"/>
      <c r="BF241" s="398"/>
      <c r="BG241" s="385"/>
      <c r="BH241" s="386"/>
      <c r="BI241" s="399"/>
      <c r="BJ241" s="387"/>
      <c r="BK241" s="382"/>
      <c r="BL241" s="382"/>
    </row>
    <row r="243" spans="1:64" x14ac:dyDescent="0.55000000000000004">
      <c r="K243" s="701">
        <f>SUBTOTAL(109,[3]!tblPiNAnalysis5[CCCM])</f>
        <v>735986</v>
      </c>
      <c r="L243" s="701">
        <f>SUBTOTAL(109,[3]!tblPiNAnalysis5[Education])</f>
        <v>795532.30192307651</v>
      </c>
      <c r="M243" s="701">
        <f>SUBTOTAL(109,[3]!tblPiNAnalysis5[Nutrition])</f>
        <v>1833612.4122859854</v>
      </c>
      <c r="N243" s="701">
        <f>SUBTOTAL(109,[3]!tblPiNAnalysis5[Food Security])</f>
        <v>2664031.8583353767</v>
      </c>
      <c r="O243" s="701">
        <f>SUBTOTAL(109,[3]!tblPiNAnalysis5[Health])</f>
        <v>2884600.2048612507</v>
      </c>
      <c r="P243" s="701">
        <f>SUBTOTAL(109,[3]!tblPiNAnalysis5[Overarching Protection])</f>
        <v>1548354.9999999995</v>
      </c>
      <c r="Q243" s="701">
        <f>SUBTOTAL(109,[3]!tblPiNAnalysis5[Shelter])</f>
        <v>1511270.4169513336</v>
      </c>
      <c r="R243" s="701">
        <f>SUBTOTAL(109,[3]!tblPiNAnalysis5[WASH])</f>
        <v>2167688.6550570074</v>
      </c>
    </row>
    <row r="244" spans="1:64" x14ac:dyDescent="0.55000000000000004">
      <c r="K244" s="22" t="b">
        <f>tblPiNAnalysis5[[#Totals],[CCCM]]=K243</f>
        <v>1</v>
      </c>
      <c r="L244" s="22" t="b">
        <f>tblPiNAnalysis5[[#Totals],[Education]]=L243</f>
        <v>1</v>
      </c>
      <c r="M244" s="22" t="b">
        <f>tblPiNAnalysis5[[#Totals],[Nutrition]]=M243</f>
        <v>1</v>
      </c>
      <c r="N244" s="22" t="b">
        <f>tblPiNAnalysis5[[#Totals],[Food Security]]=N243</f>
        <v>1</v>
      </c>
      <c r="O244" s="22" t="b">
        <f>tblPiNAnalysis5[[#Totals],[Health]]=O243</f>
        <v>1</v>
      </c>
      <c r="P244" s="22" t="b">
        <f>tblPiNAnalysis5[[#Totals],[Overarching Protection]]=P243</f>
        <v>0</v>
      </c>
      <c r="Q244" s="22" t="b">
        <f>tblPiNAnalysis5[[#Totals],[Shelter]]=Q243</f>
        <v>0</v>
      </c>
      <c r="R244" s="22" t="b">
        <f>tblPiNAnalysis5[[#Totals],[WASH]]=R243</f>
        <v>1</v>
      </c>
    </row>
  </sheetData>
  <mergeCells count="17">
    <mergeCell ref="BK2:BL2"/>
    <mergeCell ref="AU2:AW2"/>
    <mergeCell ref="AX2:AZ2"/>
    <mergeCell ref="BA2:BD2"/>
    <mergeCell ref="BE2:BF2"/>
    <mergeCell ref="BG2:BH2"/>
    <mergeCell ref="BI2:BJ2"/>
    <mergeCell ref="BI1:BJ1"/>
    <mergeCell ref="B2:G2"/>
    <mergeCell ref="I2:J2"/>
    <mergeCell ref="K2:R2"/>
    <mergeCell ref="S2:V2"/>
    <mergeCell ref="W2:AD2"/>
    <mergeCell ref="AE2:AH2"/>
    <mergeCell ref="AI2:AN2"/>
    <mergeCell ref="AO2:AQ2"/>
    <mergeCell ref="AR2:AT2"/>
  </mergeCells>
  <conditionalFormatting sqref="AL4:BJ240">
    <cfRule type="containsText" dxfId="22" priority="1" operator="containsText" text="Flagged">
      <formula>NOT(ISERROR(SEARCH("Flagged",AL4)))</formula>
    </cfRule>
  </conditionalFormatting>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313E8-772B-42FE-A1D1-6363F940A1B0}">
  <sheetPr>
    <tabColor theme="7" tint="0.59999389629810485"/>
  </sheetPr>
  <dimension ref="A1:CF241"/>
  <sheetViews>
    <sheetView topLeftCell="BH1" workbookViewId="0">
      <selection activeCell="A3" sqref="A3:BL240"/>
    </sheetView>
  </sheetViews>
  <sheetFormatPr defaultColWidth="8.578125" defaultRowHeight="14.4" x14ac:dyDescent="0.55000000000000004"/>
  <cols>
    <col min="1" max="1" width="2.83984375" style="68" bestFit="1" customWidth="1"/>
    <col min="2" max="2" width="20" style="107" bestFit="1" customWidth="1"/>
    <col min="3" max="3" width="13.83984375" style="107" customWidth="1"/>
    <col min="4" max="4" width="22.68359375" style="107" bestFit="1" customWidth="1"/>
    <col min="5" max="5" width="14.578125" style="107" customWidth="1"/>
    <col min="6" max="8" width="18.26171875" style="14" hidden="1" customWidth="1"/>
    <col min="9" max="9" width="12.15625" style="15" bestFit="1" customWidth="1"/>
    <col min="10" max="10" width="18" style="15" customWidth="1"/>
    <col min="11" max="11" width="10.26171875" style="22" bestFit="1" customWidth="1"/>
    <col min="12" max="12" width="13.15625" style="15" bestFit="1" customWidth="1"/>
    <col min="13" max="13" width="12" style="15" bestFit="1" customWidth="1"/>
    <col min="14" max="14" width="16" style="15" bestFit="1" customWidth="1"/>
    <col min="15" max="15" width="10.41796875" style="15" bestFit="1" customWidth="1"/>
    <col min="16" max="16" width="14.83984375" style="15" bestFit="1" customWidth="1"/>
    <col min="17" max="17" width="10.83984375" style="15" bestFit="1" customWidth="1"/>
    <col min="18" max="18" width="10.41796875" style="15" bestFit="1" customWidth="1"/>
    <col min="19" max="19" width="7.68359375" style="15" bestFit="1" customWidth="1"/>
    <col min="20" max="20" width="8.83984375" style="15" bestFit="1" customWidth="1"/>
    <col min="21" max="21" width="14.41796875" style="15" bestFit="1" customWidth="1"/>
    <col min="22" max="22" width="8.68359375" style="15" bestFit="1" customWidth="1"/>
    <col min="23" max="23" width="12.26171875" style="15" bestFit="1" customWidth="1"/>
    <col min="24" max="24" width="14.41796875" style="15" bestFit="1" customWidth="1"/>
    <col min="25" max="25" width="13.41796875" style="15" bestFit="1" customWidth="1"/>
    <col min="26" max="26" width="13.26171875" style="15" bestFit="1" customWidth="1"/>
    <col min="27" max="27" width="12.15625" style="15" bestFit="1" customWidth="1"/>
    <col min="28" max="28" width="15.68359375" bestFit="1" customWidth="1"/>
    <col min="29" max="29" width="12.83984375" bestFit="1" customWidth="1"/>
    <col min="30" max="30" width="12.15625" bestFit="1" customWidth="1"/>
    <col min="31" max="31" width="17.68359375" bestFit="1" customWidth="1"/>
    <col min="32" max="32" width="17.83984375" style="15" bestFit="1" customWidth="1"/>
    <col min="33" max="33" width="15.68359375" style="15" bestFit="1" customWidth="1"/>
    <col min="34" max="34" width="10" style="15" bestFit="1" customWidth="1"/>
    <col min="35" max="35" width="14.41796875" style="15" bestFit="1" customWidth="1"/>
    <col min="36" max="36" width="11.83984375" style="15" bestFit="1" customWidth="1"/>
    <col min="37" max="37" width="23.83984375" style="15" bestFit="1" customWidth="1"/>
    <col min="38" max="38" width="22" style="13" bestFit="1" customWidth="1"/>
    <col min="39" max="39" width="20.26171875" style="15" bestFit="1" customWidth="1"/>
    <col min="40" max="40" width="26.15625" bestFit="1" customWidth="1"/>
    <col min="41" max="41" width="17.578125" style="22" bestFit="1" customWidth="1"/>
    <col min="42" max="42" width="21.83984375" style="13" bestFit="1" customWidth="1"/>
    <col min="43" max="43" width="24.26171875" style="19" bestFit="1" customWidth="1"/>
    <col min="44" max="44" width="25.26171875" style="13" bestFit="1" customWidth="1"/>
    <col min="45" max="45" width="23.578125" style="13" bestFit="1" customWidth="1"/>
    <col min="46" max="46" width="32" bestFit="1" customWidth="1"/>
    <col min="47" max="47" width="17.26171875" style="32" bestFit="1" customWidth="1"/>
    <col min="48" max="48" width="21.41796875" style="13" bestFit="1" customWidth="1"/>
    <col min="49" max="49" width="24.41796875" style="2" bestFit="1" customWidth="1"/>
    <col min="50" max="50" width="25.26171875" style="13" bestFit="1" customWidth="1"/>
    <col min="51" max="51" width="28.26171875" bestFit="1" customWidth="1"/>
    <col min="52" max="52" width="26.578125" bestFit="1" customWidth="1"/>
    <col min="53" max="53" width="27.578125" bestFit="1" customWidth="1"/>
    <col min="54" max="54" width="27.578125" style="22" bestFit="1" customWidth="1"/>
    <col min="55" max="55" width="24.68359375" style="22" bestFit="1" customWidth="1"/>
    <col min="56" max="56" width="27.578125" bestFit="1" customWidth="1"/>
    <col min="57" max="57" width="11.68359375" bestFit="1" customWidth="1"/>
    <col min="58" max="58" width="17.15625" style="22" bestFit="1" customWidth="1"/>
    <col min="59" max="59" width="14.578125" bestFit="1" customWidth="1"/>
    <col min="60" max="60" width="26.578125" bestFit="1" customWidth="1"/>
    <col min="61" max="61" width="11" style="22" bestFit="1" customWidth="1"/>
    <col min="62" max="62" width="11.578125" style="13" bestFit="1" customWidth="1"/>
    <col min="63" max="63" width="16.578125" style="15" bestFit="1" customWidth="1"/>
    <col min="64" max="64" width="27.15625" bestFit="1" customWidth="1"/>
    <col min="65" max="65" width="23.41796875" style="22" customWidth="1"/>
    <col min="66" max="68" width="25.15625" style="13" customWidth="1"/>
    <col min="69" max="69" width="27.578125" style="13" customWidth="1"/>
    <col min="70" max="70" width="25.41796875" customWidth="1"/>
    <col min="71" max="71" width="24.26171875" customWidth="1"/>
    <col min="72" max="72" width="25.83984375" style="86" customWidth="1"/>
    <col min="73" max="74" width="25.83984375" style="13" customWidth="1"/>
    <col min="75" max="75" width="38.578125" style="13" customWidth="1"/>
    <col min="76" max="76" width="57.26171875" style="13" customWidth="1"/>
    <col min="77" max="77" width="25.41796875" style="13" customWidth="1"/>
    <col min="78" max="78" width="27.26171875" customWidth="1"/>
    <col min="79" max="79" width="22.15625" customWidth="1"/>
    <col min="80" max="80" width="16" style="13" customWidth="1"/>
    <col min="81" max="81" width="11.15625" customWidth="1"/>
    <col min="82" max="82" width="12.578125" style="16" customWidth="1"/>
    <col min="83" max="83" width="20" style="15" bestFit="1" customWidth="1"/>
    <col min="84" max="84" width="46.15625" style="13" customWidth="1"/>
  </cols>
  <sheetData>
    <row r="1" spans="1:84" ht="15.6" thickBot="1" x14ac:dyDescent="0.6">
      <c r="A1" s="66"/>
      <c r="B1" s="103"/>
      <c r="C1" s="103"/>
      <c r="D1" s="103"/>
      <c r="E1" s="103"/>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1"/>
      <c r="AI1" s="17"/>
      <c r="AJ1" s="17"/>
      <c r="AK1" s="17"/>
      <c r="AL1" s="141" t="str">
        <f>_xlfn.CONCAT(COUNTIF(tblPiNAnalysis512[Number of missing / zero PiNs greater than threshold - Data quality],"Flagged"), "/", COUNTA(tblPiNAnalysis512[Number of missing / zero PiNs greater than threshold - Data quality]), " (", ROUND((COUNTIF(tblPiNAnalysis512[Number of missing / zero PiNs greater than threshold - Data quality],"Flagged")/(COUNTA(tblPiNAnalysis512[Number of missing / zero PiNs greater than threshold - Data quality]) + COUNTBLANK(tblPiNAnalysis512[Number of missing / zero PiNs greater than threshold - Data quality])))*100, 0), "%) flagged")</f>
        <v>3/237 (1%) flagged</v>
      </c>
      <c r="AM1" s="141" t="str">
        <f>_xlfn.CONCAT(COUNTIF(tblPiNAnalysis512[Highest Target greater than 90% of total affected population],"Flagged"), "/", COUNTA(tblPiNAnalysis512[Admin 1]), " (", ROUND((COUNTIF(tblPiNAnalysis512[Highest Target greater than 90% of total affected population],"Flagged")/(COUNTA(tblPiNAnalysis512[Highest Target greater than 90% of total affected population]) + COUNTBLANK(tblPiNAnalysis512[Highest Target greater than 90% of total affected population])))*100, 0), "%) flagged")</f>
        <v>13/237 (3%) flagged</v>
      </c>
      <c r="AN1" s="133" t="str">
        <f>_xlfn.CONCAT(COUNTIF(tblPiNAnalysis512[Highest sector targets sub-population group(s)],"Flagged"), "/", COUNTA(tblPiNAnalysis512[Admin 1]), " (", ROUND((COUNTIF(tblPiNAnalysis512[Highest sector targets sub-population group(s)],"Flagged")/(COUNTA(tblPiNAnalysis512[Highest sector targets sub-population group(s)]) + COUNTBLANK(tblPiNAnalysis512[Highest sector targets sub-population group(s)])))*100, 0), "%) flagged")</f>
        <v>0/237 (0%) flagged</v>
      </c>
      <c r="AO1" s="21"/>
      <c r="AP1" s="17"/>
      <c r="AQ1" s="74"/>
      <c r="AR1" s="23"/>
      <c r="AS1" s="17"/>
      <c r="AT1" s="133" t="str">
        <f>_xlfn.CONCAT(COUNTIF(tblPiNAnalysis512[% difference is over a specified threshold between Highest and 2nd Highest],"Flagged"), "/", COUNTA(tblPiNAnalysis512[Admin 1]), " (", ROUND((COUNTIF(tblPiNAnalysis512[% difference is over a specified threshold between Highest and 2nd Highest],"Flagged")/(COUNTA(tblPiNAnalysis512[% difference is over a specified threshold between Highest and 2nd Highest]) + COUNTBLANK(tblPiNAnalysis512[% difference is over a specified threshold between Highest and 2nd Highest])))*100, 0), "%) flagged")</f>
        <v>44/237 (10%) flagged</v>
      </c>
      <c r="AU1" s="21"/>
      <c r="AV1" s="17"/>
      <c r="AW1" s="17"/>
      <c r="AX1" s="21"/>
      <c r="AY1" s="17"/>
      <c r="AZ1" s="133" t="str">
        <f>_xlfn.CONCAT(COUNTIF(tblPiNAnalysis512[% difference is over a specified threshold between Highest and 3rd Highest],"Flagged"), "/", COUNTA(tblPiNAnalysis512[Admin 1]), " (", ROUND((COUNTIF(tblPiNAnalysis512[% difference is over a specified threshold between Highest and 3rd Highest],"Flagged")/(COUNTA(tblPiNAnalysis512[% difference is over a specified threshold between Highest and 3rd Highest]) + COUNTBLANK(tblPiNAnalysis512[% difference is over a specified threshold between Highest and 3rd Highest])))*100, 0), "%) flagged")</f>
        <v>51/237 (12%) flagged</v>
      </c>
      <c r="BA1" s="133"/>
      <c r="BB1" s="133" t="str">
        <f>_xlfn.CONCAT(COUNTIF(tblPiNAnalysis512[Change from last year for the highest sector(s) has significantly increased or decreased],"Flagged"), "/", COUNTA(tblPiNAnalysis512[Admin 1]), " (", ROUND((COUNTIF(tblPiNAnalysis512[Change from last year for the highest sector(s) has significantly increased or decreased],"Flagged")/(COUNTA(tblPiNAnalysis512[Change from last year for the highest sector(s) has significantly increased or decreased]) + COUNTBLANK(tblPiNAnalysis512[Change from last year for the highest sector(s) has significantly increased or decreased])))*100, 0), "%) flagged")</f>
        <v>189/237 (66%) flagged</v>
      </c>
      <c r="BC1" s="133"/>
      <c r="BD1" s="133" t="str">
        <f>_xlfn.CONCAT(COUNTIF(tblPiNAnalysis512[Change from last year for the 2nd highest sector(s) has significantly increased or decreased],"Flagged"), "/", COUNTA(tblPiNAnalysis512[Admin 1]), " (", ROUND((COUNTIF(tblPiNAnalysis512[Change from last year for the 2nd highest sector(s) has significantly increased or decreased],"Flagged")/(COUNTA(tblPiNAnalysis512[Change from last year for the 2nd highest sector(s) has significantly increased or decreased]) + COUNTBLANK(tblPiNAnalysis512[Change from last year for the 2nd highest sector(s) has significantly increased or decreased])))*100, 0), "%) flagged")</f>
        <v>185/237 (64%) flagged</v>
      </c>
      <c r="BE1" s="308"/>
      <c r="BF1" s="177"/>
      <c r="BG1" s="133" t="str">
        <f>_xlfn.CONCAT(COUNTIF(tblPiNAnalysis512[Manual Flag],"Flagged"), "/", COUNTA(tblPiNAnalysis512[Admin 1]), " (", ROUND((COUNTIF(tblPiNAnalysis512[Manual Flag],"Flagged")/(COUNTA(tblPiNAnalysis512[Manual Flag]) + COUNTBLANK(tblPiNAnalysis512[Manual Flag])))*100, 0), "%) flagged")</f>
        <v>0/237 (0%) flagged</v>
      </c>
      <c r="BH1" s="178"/>
      <c r="BI1" s="782" t="str">
        <f>_xlfn.CONCAT(COUNTIF(tblPiNAnalysis512[Flagged],"Flagged"), "/", COUNTA(tblPiNAnalysis512[Admin 1]), " (", ROUND((COUNTIF(tblPiNAnalysis512[Flagged],"Flagged")/(COUNTA(tblPiNAnalysis512[Flagged]) + COUNTBLANK(tblPiNAnalysis512[Flagged])))*100, 0), "%) flagged")</f>
        <v>233/237 (97%) flagged</v>
      </c>
      <c r="BJ1" s="783"/>
      <c r="BK1" s="285" t="e">
        <f>SUM(tblPiNAnalysis512[Final Target])</f>
        <v>#N/A</v>
      </c>
      <c r="BL1" s="285"/>
      <c r="BM1"/>
      <c r="BN1"/>
      <c r="BO1"/>
      <c r="BP1"/>
      <c r="BQ1"/>
      <c r="BT1"/>
      <c r="BU1"/>
      <c r="BV1"/>
      <c r="BW1"/>
      <c r="BX1"/>
      <c r="BY1"/>
      <c r="CB1"/>
      <c r="CD1"/>
      <c r="CE1"/>
      <c r="CF1"/>
    </row>
    <row r="2" spans="1:84" ht="18.3" thickTop="1" thickBot="1" x14ac:dyDescent="0.6">
      <c r="A2" s="130"/>
      <c r="B2" s="784" t="s">
        <v>61</v>
      </c>
      <c r="C2" s="784"/>
      <c r="D2" s="784"/>
      <c r="E2" s="784"/>
      <c r="F2" s="784"/>
      <c r="G2" s="784"/>
      <c r="H2" s="310"/>
      <c r="I2" s="785" t="s">
        <v>62</v>
      </c>
      <c r="J2" s="785"/>
      <c r="K2" s="787" t="s">
        <v>415</v>
      </c>
      <c r="L2" s="787"/>
      <c r="M2" s="787"/>
      <c r="N2" s="787"/>
      <c r="O2" s="787"/>
      <c r="P2" s="787"/>
      <c r="Q2" s="787"/>
      <c r="R2" s="787"/>
      <c r="S2" s="796" t="s">
        <v>64</v>
      </c>
      <c r="T2" s="796"/>
      <c r="U2" s="796"/>
      <c r="V2" s="797"/>
      <c r="W2" s="798" t="s">
        <v>416</v>
      </c>
      <c r="X2" s="799"/>
      <c r="Y2" s="799"/>
      <c r="Z2" s="799"/>
      <c r="AA2" s="799"/>
      <c r="AB2" s="799"/>
      <c r="AC2" s="799"/>
      <c r="AD2" s="800"/>
      <c r="AE2" s="799" t="s">
        <v>66</v>
      </c>
      <c r="AF2" s="799"/>
      <c r="AG2" s="799"/>
      <c r="AH2" s="800"/>
      <c r="AI2" s="793" t="s">
        <v>67</v>
      </c>
      <c r="AJ2" s="794"/>
      <c r="AK2" s="794"/>
      <c r="AL2" s="794"/>
      <c r="AM2" s="794"/>
      <c r="AN2" s="795"/>
      <c r="AO2" s="788" t="s">
        <v>68</v>
      </c>
      <c r="AP2" s="788"/>
      <c r="AQ2" s="788"/>
      <c r="AR2" s="790" t="s">
        <v>422</v>
      </c>
      <c r="AS2" s="790"/>
      <c r="AT2" s="790"/>
      <c r="AU2" s="788" t="s">
        <v>70</v>
      </c>
      <c r="AV2" s="788"/>
      <c r="AW2" s="788"/>
      <c r="AX2" s="790" t="s">
        <v>425</v>
      </c>
      <c r="AY2" s="790"/>
      <c r="AZ2" s="790"/>
      <c r="BA2" s="779" t="s">
        <v>427</v>
      </c>
      <c r="BB2" s="780"/>
      <c r="BC2" s="780"/>
      <c r="BD2" s="781"/>
      <c r="BE2" s="777"/>
      <c r="BF2" s="778"/>
      <c r="BG2" s="789" t="s">
        <v>47</v>
      </c>
      <c r="BH2" s="789"/>
      <c r="BI2" s="791" t="s">
        <v>73</v>
      </c>
      <c r="BJ2" s="792"/>
      <c r="BK2" s="786"/>
      <c r="BL2" s="786"/>
      <c r="BM2"/>
      <c r="BN2"/>
      <c r="BO2"/>
      <c r="BP2"/>
      <c r="BQ2"/>
      <c r="BT2"/>
      <c r="BU2"/>
      <c r="BV2"/>
      <c r="BW2"/>
      <c r="BX2"/>
      <c r="BY2"/>
      <c r="CB2"/>
      <c r="CD2"/>
      <c r="CE2"/>
      <c r="CF2"/>
    </row>
    <row r="3" spans="1:84" ht="49.8" thickTop="1" thickBot="1" x14ac:dyDescent="0.6">
      <c r="A3" s="49" t="s">
        <v>74</v>
      </c>
      <c r="B3" s="128" t="s">
        <v>75</v>
      </c>
      <c r="C3" s="104" t="s">
        <v>76</v>
      </c>
      <c r="D3" s="104" t="s">
        <v>77</v>
      </c>
      <c r="E3" s="104" t="s">
        <v>78</v>
      </c>
      <c r="F3" s="48" t="s">
        <v>79</v>
      </c>
      <c r="G3" s="48" t="s">
        <v>80</v>
      </c>
      <c r="H3" s="48" t="s">
        <v>228</v>
      </c>
      <c r="I3" s="101" t="s">
        <v>431</v>
      </c>
      <c r="J3" s="49" t="s">
        <v>82</v>
      </c>
      <c r="K3" s="73" t="s">
        <v>83</v>
      </c>
      <c r="L3" s="81" t="s">
        <v>56</v>
      </c>
      <c r="M3" s="81" t="s">
        <v>84</v>
      </c>
      <c r="N3" s="81" t="s">
        <v>85</v>
      </c>
      <c r="O3" s="81" t="s">
        <v>86</v>
      </c>
      <c r="P3" s="81" t="s">
        <v>87</v>
      </c>
      <c r="Q3" s="81" t="s">
        <v>88</v>
      </c>
      <c r="R3" s="116" t="s">
        <v>89</v>
      </c>
      <c r="S3" s="147" t="s">
        <v>90</v>
      </c>
      <c r="T3" s="147" t="s">
        <v>91</v>
      </c>
      <c r="U3" s="147" t="s">
        <v>92</v>
      </c>
      <c r="V3" s="173" t="s">
        <v>93</v>
      </c>
      <c r="W3" s="174" t="s">
        <v>94</v>
      </c>
      <c r="X3" s="175" t="s">
        <v>95</v>
      </c>
      <c r="Y3" s="175" t="s">
        <v>96</v>
      </c>
      <c r="Z3" s="64" t="s">
        <v>97</v>
      </c>
      <c r="AA3" s="64" t="s">
        <v>98</v>
      </c>
      <c r="AB3" s="64" t="s">
        <v>99</v>
      </c>
      <c r="AC3" s="64" t="s">
        <v>100</v>
      </c>
      <c r="AD3" s="65" t="s">
        <v>101</v>
      </c>
      <c r="AE3" s="147" t="s">
        <v>102</v>
      </c>
      <c r="AF3" s="147" t="s">
        <v>103</v>
      </c>
      <c r="AG3" s="147" t="s">
        <v>104</v>
      </c>
      <c r="AH3" s="148" t="s">
        <v>105</v>
      </c>
      <c r="AI3" s="52" t="s">
        <v>417</v>
      </c>
      <c r="AJ3" s="53" t="s">
        <v>107</v>
      </c>
      <c r="AK3" s="53" t="s">
        <v>418</v>
      </c>
      <c r="AL3" s="54" t="s">
        <v>109</v>
      </c>
      <c r="AM3" s="54" t="s">
        <v>430</v>
      </c>
      <c r="AN3" s="54" t="s">
        <v>111</v>
      </c>
      <c r="AO3" s="176" t="s">
        <v>419</v>
      </c>
      <c r="AP3" s="56" t="s">
        <v>113</v>
      </c>
      <c r="AQ3" s="221" t="s">
        <v>420</v>
      </c>
      <c r="AR3" s="57" t="s">
        <v>421</v>
      </c>
      <c r="AS3" s="58" t="s">
        <v>116</v>
      </c>
      <c r="AT3" s="59" t="s">
        <v>117</v>
      </c>
      <c r="AU3" s="109" t="s">
        <v>423</v>
      </c>
      <c r="AV3" s="108" t="s">
        <v>119</v>
      </c>
      <c r="AW3" s="108" t="s">
        <v>424</v>
      </c>
      <c r="AX3" s="57" t="s">
        <v>429</v>
      </c>
      <c r="AY3" s="58" t="s">
        <v>122</v>
      </c>
      <c r="AZ3" s="59" t="s">
        <v>123</v>
      </c>
      <c r="BA3" s="57" t="s">
        <v>124</v>
      </c>
      <c r="BB3" s="166" t="s">
        <v>125</v>
      </c>
      <c r="BC3" s="57" t="s">
        <v>126</v>
      </c>
      <c r="BD3" s="165" t="s">
        <v>127</v>
      </c>
      <c r="BE3" s="309" t="s">
        <v>223</v>
      </c>
      <c r="BF3" s="84" t="s">
        <v>426</v>
      </c>
      <c r="BG3" s="62" t="s">
        <v>47</v>
      </c>
      <c r="BH3" s="55" t="s">
        <v>129</v>
      </c>
      <c r="BI3" s="117" t="s">
        <v>130</v>
      </c>
      <c r="BJ3" s="283" t="s">
        <v>131</v>
      </c>
      <c r="BK3" s="286" t="s">
        <v>428</v>
      </c>
      <c r="BL3" s="287" t="s">
        <v>475</v>
      </c>
      <c r="BM3"/>
      <c r="BN3"/>
      <c r="BO3"/>
      <c r="BP3"/>
      <c r="BQ3"/>
      <c r="BT3"/>
      <c r="BU3"/>
      <c r="BV3"/>
      <c r="BW3"/>
      <c r="BX3"/>
      <c r="BY3"/>
      <c r="CB3"/>
      <c r="CD3"/>
      <c r="CE3"/>
      <c r="CF3"/>
    </row>
    <row r="4" spans="1:84" s="244" customFormat="1" ht="27.9" thickTop="1" x14ac:dyDescent="0.55000000000000004">
      <c r="A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 s="259" t="s">
        <v>233</v>
      </c>
      <c r="C4" s="218" t="s">
        <v>234</v>
      </c>
      <c r="D4" s="260" t="s">
        <v>233</v>
      </c>
      <c r="E4" s="260" t="s">
        <v>235</v>
      </c>
      <c r="F4" s="100"/>
      <c r="G4" s="34"/>
      <c r="H4" s="34"/>
      <c r="I4" s="97">
        <v>122221.68957757292</v>
      </c>
      <c r="J4" s="226" t="s">
        <v>412</v>
      </c>
      <c r="K4" s="261">
        <v>20000</v>
      </c>
      <c r="L4" s="219">
        <v>26008.775542107513</v>
      </c>
      <c r="M4" s="219">
        <v>25054.493905922202</v>
      </c>
      <c r="N4" s="219">
        <v>42248.116222548866</v>
      </c>
      <c r="O4" s="219">
        <v>59893.189280265571</v>
      </c>
      <c r="P4" s="219">
        <v>39676.460682011078</v>
      </c>
      <c r="Q4" s="229">
        <v>53247.631193585963</v>
      </c>
      <c r="R4" s="219">
        <v>13202.960293873615</v>
      </c>
      <c r="S4" s="219"/>
      <c r="T4" s="219"/>
      <c r="U4" s="219"/>
      <c r="V4" s="219"/>
      <c r="W4" s="262">
        <f>IFERROR(IF(tblPiNAnalysis512[[#This Row],[CCCM]]="", "", MROUND(tblPiNAnalysis512[[#This Row],[CCCM]]/tblPiNAnalysis512[[#This Row],[Affected population projection 2026]], 0.05)), "")</f>
        <v>0.15000000000000002</v>
      </c>
      <c r="X4" s="263">
        <f>IFERROR(IF(tblPiNAnalysis512[[#This Row],[Education]]="", "", MROUND(tblPiNAnalysis512[[#This Row],[Education]]/tblPiNAnalysis512[[#This Row],[Affected population projection 2026]], 0.05)), "")</f>
        <v>0.2</v>
      </c>
      <c r="Y4" s="263">
        <f>IFERROR(IF(tblPiNAnalysis512[[#This Row],[Nutrition]]="", "", MROUND(tblPiNAnalysis512[[#This Row],[Nutrition]]/tblPiNAnalysis512[[#This Row],[Affected population projection 2026]], 0.05)), "")</f>
        <v>0.2</v>
      </c>
      <c r="Z4" s="263">
        <f>IFERROR(IF(tblPiNAnalysis512[[#This Row],[Food Security]]="", "", MROUND(tblPiNAnalysis512[[#This Row],[Food Security]]/tblPiNAnalysis512[[#This Row],[Affected population projection 2026]], 0.05)), "")</f>
        <v>0.35000000000000003</v>
      </c>
      <c r="AA4" s="263">
        <f>IFERROR(IF(tblPiNAnalysis512[[#This Row],[Health]]="", "", MROUND(tblPiNAnalysis512[[#This Row],[Health]]/tblPiNAnalysis512[[#This Row],[Affected population projection 2026]], 0.05)), "")</f>
        <v>0.5</v>
      </c>
      <c r="AB4" s="264">
        <f>IFERROR(IF(tblPiNAnalysis512[[#This Row],[Overarching Protection]]="", "", MROUND(tblPiNAnalysis512[[#This Row],[Overarching Protection]]/tblPiNAnalysis512[[#This Row],[Affected population projection 2026]], 0.05)), "")</f>
        <v>0.30000000000000004</v>
      </c>
      <c r="AC4" s="264">
        <f>IFERROR(IF(tblPiNAnalysis512[[#This Row],[Shelter]]="", "", MROUND(tblPiNAnalysis512[[#This Row],[Shelter]]/tblPiNAnalysis512[[#This Row],[Affected population projection 2026]], 0.05)), "")</f>
        <v>0.45</v>
      </c>
      <c r="AD4" s="265">
        <f>IFERROR(IF(tblPiNAnalysis512[[#This Row],[WASH]]="", "", MROUND(tblPiNAnalysis512[[#This Row],[WASH]]/tblPiNAnalysis512[[#This Row],[Affected population projection 2026]], 0.05)), "")</f>
        <v>0.1</v>
      </c>
      <c r="AE4" s="263">
        <f>IFERROR(MROUND(tblPiNAnalysis512[[#This Row],[CP]]/tblPiNAnalysis512[[#This Row],[Affected population projection 2026]], 0.05), "")</f>
        <v>0</v>
      </c>
      <c r="AF4" s="263">
        <f>IFERROR(MROUND(tblPiNAnalysis512[[#This Row],[GBV]]/tblPiNAnalysis512[[#This Row],[Affected population projection 2026]], 0.05), "")</f>
        <v>0</v>
      </c>
      <c r="AG4" s="263">
        <f>IFERROR(MROUND(tblPiNAnalysis512[[#This Row],[Mine Action]]/tblPiNAnalysis512[[#This Row],[Affected population projection 2026]], 0.05), "")</f>
        <v>0</v>
      </c>
      <c r="AH4" s="263">
        <f>IFERROR(MROUND(tblPiNAnalysis512[[#This Row],[HLP]]/tblPiNAnalysis512[[#This Row],[Affected population projection 2026]], 0.05), "")</f>
        <v>0</v>
      </c>
      <c r="AI4" s="266">
        <f>IFERROR(LARGE(tblPiNAnalysis512[[#This Row],[CCCM]:[WASH]], 1), "")</f>
        <v>59893.189280265571</v>
      </c>
      <c r="AJ4" s="267" t="str" cm="1">
        <f t="array" ref="AJ4">IF(tblPiNAnalysis512[[#This Row],[Highest Target]]="", "", _xlfn.TEXTJOIN(CHAR(10), TRUE, IF(tblPiNAnalysis512[[#This Row],[Highest Target]]=tblPiNAnalysis512[[#This Row],[CCCM]:[WASH]], tblPiNAnalysis512[[#Headers],[CCCM]:[WASH]], "")))</f>
        <v>Health</v>
      </c>
      <c r="AK4" s="268">
        <f>IF(tblPiNAnalysis512[[#This Row],[Highest Target]]="", "", tblPiNAnalysis512[[#This Row],[Highest Target]]/tblPiNAnalysis512[[#This Row],[Affected population projection 2026]])</f>
        <v>0.49003732060381922</v>
      </c>
      <c r="AL4" s="269" t="str">
        <f>IF(SUM(tblPiNAnalysis512[[#This Row],[CCCM]:[WASH]])=0, "",IF(COUNTIF(tblPiNAnalysis512[[#This Row],[CCCM]:[WASH]],"=0")+COUNTIF(tblPiNAnalysis512[[#This Row],[CCCM]:[WASH]],"")&gt;=zero_pin_thresh, "Flagged", ""))</f>
        <v/>
      </c>
      <c r="AM4" s="268" t="str">
        <f>IFERROR(IF(tblPiNAnalysis512[[#This Row],[Highest Target]]="", "", IF(tblPiNAnalysis512[[#This Row],[Highest sector(s'') Target %]]&gt;=flag_pin_perc, "Flagged", "")), "")</f>
        <v/>
      </c>
      <c r="AN4" s="270" t="str" cm="1">
        <f t="array" ref="AN4">IF(tblPiNAnalysis512[[#This Row],[Highest Target]]=0, "",  IF(OR(COUNTIF(tblPiNAnalysis512[[#This Row],[Highest sector(s)]],tblSubSectorPopulation[Sector])), "Flagged", ""))</f>
        <v/>
      </c>
      <c r="AO4" s="271" cm="1">
        <f t="array" ref="AO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53247.631193585963</v>
      </c>
      <c r="AP4" s="272" t="str" cm="1">
        <f t="array" ref="AP4">IF(tblPiNAnalysis512[[#This Row],[2nd Highest Target]]="", "", _xlfn.TEXTJOIN(CHAR(10), TRUE, IF(tblPiNAnalysis512[[#This Row],[2nd Highest Target]]=tblPiNAnalysis512[[#This Row],[CCCM]:[WASH]], tblPiNAnalysis512[[#Headers],[CCCM]:[WASH]], "")))</f>
        <v>Shelter</v>
      </c>
      <c r="AQ4" s="38">
        <f>IFERROR(tblPiNAnalysis512[[#This Row],[2nd Highest Target]]/tblPiNAnalysis512[[#This Row],[Affected population projection 2026]], "")</f>
        <v>0.43566433566433566</v>
      </c>
      <c r="AR4" s="46">
        <f>IFERROR(tblPiNAnalysis512[[#This Row],[Highest Target]]-tblPiNAnalysis512[[#This Row],[2nd Highest Target]], "")</f>
        <v>6645.5580866796081</v>
      </c>
      <c r="AS4" s="39">
        <f>IFERROR(((tblPiNAnalysis512[[#This Row],[Highest Target]]-tblPiNAnalysis512[[#This Row],[2nd Highest Target]])/tblPiNAnalysis512[[#This Row],[2nd Highest Target]]),"")</f>
        <v>0.12480476478886277</v>
      </c>
      <c r="AT4" s="273" t="str" cm="1">
        <f t="array" ref="AT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 s="274" cm="1">
        <f t="array" ref="AU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42248.116222548866</v>
      </c>
      <c r="AV4" s="275" t="str" cm="1">
        <f t="array" ref="AV4">IF(tblPiNAnalysis512[[#This Row],[3rd Highest Target]]="", "", _xlfn.TEXTJOIN(CHAR(10), TRUE, IF(tblPiNAnalysis512[[#This Row],[3rd Highest Target]]=tblPiNAnalysis512[[#This Row],[CCCM]:[WASH]], tblPiNAnalysis512[[#Headers],[CCCM]:[WASH]], "")))</f>
        <v>Food Security</v>
      </c>
      <c r="AW4" s="190">
        <f>IFERROR(tblPiNAnalysis512[[#This Row],[3rd Highest Target]]/tblPiNAnalysis512[[#This Row],[Affected population projection 2026]], "")</f>
        <v>0.34566791187855733</v>
      </c>
      <c r="AX4" s="46">
        <f>IFERROR(tblPiNAnalysis512[[#This Row],[Highest Target]]-tblPiNAnalysis512[[#This Row],[3rd Highest Target]],"")</f>
        <v>17645.073057716705</v>
      </c>
      <c r="AY4" s="39">
        <f>IFERROR(tblPiNAnalysis512[[#This Row],[Difference of Target between Highest and 3rd Highest]]/tblPiNAnalysis512[[#This Row],[3rd Highest Target]], "")</f>
        <v>0.41765348695710824</v>
      </c>
      <c r="AZ4" s="270" t="str" cm="1">
        <f t="array" ref="AZ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 s="300" t="str" cm="1">
        <f t="array" ref="BA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 s="276" t="str" cm="1">
        <f t="array" ref="BB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 s="276" t="str" cm="1">
        <f t="array" ref="BC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 s="277" t="str" cm="1">
        <f t="array" ref="BD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 s="277" t="e">
        <f>INDEX(tblSeverityAnalysis[Final Severity], MATCH(tblPiNAnalysis512[[#This Row],[ID]],tblSeverityAnalysis[ID], 0))</f>
        <v>#N/A</v>
      </c>
      <c r="BF4" s="220" t="e">
        <f>IF(tblPiNAnalysis512[[#This Row],[Severity]]&gt;2,tblPiNAnalysis512[[#This Row],[Highest Target]],)</f>
        <v>#N/A</v>
      </c>
      <c r="BG4" s="191"/>
      <c r="BH4" s="192"/>
      <c r="BI4" s="193">
        <f>COUNTIFS(tblPiNAnalysis512[[#This Row],[Number of missing / zero PiNs greater than threshold - Data quality]:[Manual Flag]],"Flagged")</f>
        <v>2</v>
      </c>
      <c r="BJ4" s="284" t="str">
        <f>IF(tblPiNAnalysis512[[#This Row],['# Flags]]&gt;0, "Flagged", "")</f>
        <v>Flagged</v>
      </c>
      <c r="BK4" s="267" t="e">
        <f>tblPiNAnalysis512[[#This Row],[Preliminary Target]]</f>
        <v>#N/A</v>
      </c>
      <c r="BL4" s="272">
        <v>1</v>
      </c>
      <c r="BM4" s="278"/>
      <c r="BN4" s="279"/>
      <c r="BO4" s="279"/>
      <c r="BP4" s="279"/>
      <c r="BQ4" s="279"/>
      <c r="BT4" s="280"/>
      <c r="BU4" s="279"/>
      <c r="BV4" s="279"/>
      <c r="BW4" s="279"/>
      <c r="BX4" s="279"/>
      <c r="BY4" s="279"/>
      <c r="CB4" s="279"/>
      <c r="CD4" s="281"/>
      <c r="CE4" s="282"/>
      <c r="CF4" s="279"/>
    </row>
    <row r="5" spans="1:84" s="244" customFormat="1" ht="110.7" x14ac:dyDescent="0.55000000000000004">
      <c r="A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 s="259" t="s">
        <v>236</v>
      </c>
      <c r="C5" s="218" t="s">
        <v>237</v>
      </c>
      <c r="D5" s="260" t="s">
        <v>238</v>
      </c>
      <c r="E5" s="260" t="s">
        <v>239</v>
      </c>
      <c r="F5" s="100"/>
      <c r="G5" s="34"/>
      <c r="H5" s="34"/>
      <c r="I5" s="97">
        <v>185655.53028576757</v>
      </c>
      <c r="J5" s="226" t="s">
        <v>412</v>
      </c>
      <c r="K5" s="261">
        <v>0</v>
      </c>
      <c r="L5" s="219">
        <v>0</v>
      </c>
      <c r="M5" s="219">
        <v>0</v>
      </c>
      <c r="N5" s="219">
        <v>0</v>
      </c>
      <c r="O5" s="219">
        <v>0</v>
      </c>
      <c r="P5" s="219">
        <v>0</v>
      </c>
      <c r="Q5" s="229">
        <v>0</v>
      </c>
      <c r="R5" s="219">
        <v>0</v>
      </c>
      <c r="S5" s="219"/>
      <c r="T5" s="219"/>
      <c r="U5" s="219"/>
      <c r="V5" s="219"/>
      <c r="W5" s="262">
        <f>IFERROR(IF(tblPiNAnalysis512[[#This Row],[CCCM]]="", "", MROUND(tblPiNAnalysis512[[#This Row],[CCCM]]/tblPiNAnalysis512[[#This Row],[Affected population projection 2026]], 0.05)), "")</f>
        <v>0</v>
      </c>
      <c r="X5" s="263">
        <f>IFERROR(IF(tblPiNAnalysis512[[#This Row],[Education]]="", "", MROUND(tblPiNAnalysis512[[#This Row],[Education]]/tblPiNAnalysis512[[#This Row],[Affected population projection 2026]], 0.05)), "")</f>
        <v>0</v>
      </c>
      <c r="Y5" s="263">
        <f>IFERROR(IF(tblPiNAnalysis512[[#This Row],[Nutrition]]="", "", MROUND(tblPiNAnalysis512[[#This Row],[Nutrition]]/tblPiNAnalysis512[[#This Row],[Affected population projection 2026]], 0.05)), "")</f>
        <v>0</v>
      </c>
      <c r="Z5" s="263">
        <f>IFERROR(IF(tblPiNAnalysis512[[#This Row],[Food Security]]="", "", MROUND(tblPiNAnalysis512[[#This Row],[Food Security]]/tblPiNAnalysis512[[#This Row],[Affected population projection 2026]], 0.05)), "")</f>
        <v>0</v>
      </c>
      <c r="AA5" s="263">
        <f>IFERROR(IF(tblPiNAnalysis512[[#This Row],[Health]]="", "", MROUND(tblPiNAnalysis512[[#This Row],[Health]]/tblPiNAnalysis512[[#This Row],[Affected population projection 2026]], 0.05)), "")</f>
        <v>0</v>
      </c>
      <c r="AB5" s="264">
        <f>IFERROR(IF(tblPiNAnalysis512[[#This Row],[Overarching Protection]]="", "", MROUND(tblPiNAnalysis512[[#This Row],[Overarching Protection]]/tblPiNAnalysis512[[#This Row],[Affected population projection 2026]], 0.05)), "")</f>
        <v>0</v>
      </c>
      <c r="AC5" s="264">
        <f>IFERROR(IF(tblPiNAnalysis512[[#This Row],[Shelter]]="", "", MROUND(tblPiNAnalysis512[[#This Row],[Shelter]]/tblPiNAnalysis512[[#This Row],[Affected population projection 2026]], 0.05)), "")</f>
        <v>0</v>
      </c>
      <c r="AD5" s="265">
        <f>IFERROR(IF(tblPiNAnalysis512[[#This Row],[WASH]]="", "", MROUND(tblPiNAnalysis512[[#This Row],[WASH]]/tblPiNAnalysis512[[#This Row],[Affected population projection 2026]], 0.05)), "")</f>
        <v>0</v>
      </c>
      <c r="AE5" s="263">
        <f>IFERROR(MROUND(tblPiNAnalysis512[[#This Row],[CP]]/tblPiNAnalysis512[[#This Row],[Affected population projection 2026]], 0.05), "")</f>
        <v>0</v>
      </c>
      <c r="AF5" s="263">
        <f>IFERROR(MROUND(tblPiNAnalysis512[[#This Row],[GBV]]/tblPiNAnalysis512[[#This Row],[Affected population projection 2026]], 0.05), "")</f>
        <v>0</v>
      </c>
      <c r="AG5" s="263">
        <f>IFERROR(MROUND(tblPiNAnalysis512[[#This Row],[Mine Action]]/tblPiNAnalysis512[[#This Row],[Affected population projection 2026]], 0.05), "")</f>
        <v>0</v>
      </c>
      <c r="AH5" s="263">
        <f>IFERROR(MROUND(tblPiNAnalysis512[[#This Row],[HLP]]/tblPiNAnalysis512[[#This Row],[Affected population projection 2026]], 0.05), "")</f>
        <v>0</v>
      </c>
      <c r="AI5" s="266">
        <f>IFERROR(LARGE(tblPiNAnalysis512[[#This Row],[CCCM]:[WASH]], 1), "")</f>
        <v>0</v>
      </c>
      <c r="AJ5" s="267" t="str" cm="1">
        <f t="array" ref="AJ5">IF(tblPiNAnalysis512[[#This Row],[Highest Target]]="", "", _xlfn.TEXTJOIN(CHAR(10), TRUE, IF(tblPiNAnalysis512[[#This Row],[Highest Target]]=tblPiNAnalysis512[[#This Row],[CCCM]:[WASH]], tblPiNAnalysis512[[#Headers],[CCCM]:[WASH]], "")))</f>
        <v>CCCM
Education
Nutrition
Food Security
Health
Overarching Protection
Shelter
WASH</v>
      </c>
      <c r="AK5" s="268">
        <f>IF(tblPiNAnalysis512[[#This Row],[Highest Target]]="", "", tblPiNAnalysis512[[#This Row],[Highest Target]]/tblPiNAnalysis512[[#This Row],[Affected population projection 2026]])</f>
        <v>0</v>
      </c>
      <c r="AL5" s="269" t="str">
        <f>IF(SUM(tblPiNAnalysis512[[#This Row],[CCCM]:[WASH]])=0, "",IF(COUNTIF(tblPiNAnalysis512[[#This Row],[CCCM]:[WASH]],"=0")+COUNTIF(tblPiNAnalysis512[[#This Row],[CCCM]:[WASH]],"")&gt;=zero_pin_thresh, "Flagged", ""))</f>
        <v/>
      </c>
      <c r="AM5" s="268" t="str">
        <f>IFERROR(IF(tblPiNAnalysis512[[#This Row],[Highest Target]]="", "", IF(tblPiNAnalysis512[[#This Row],[Highest sector(s'') Target %]]&gt;=flag_pin_perc, "Flagged", "")), "")</f>
        <v/>
      </c>
      <c r="AN5" s="270" t="str" cm="1">
        <f t="array" ref="AN5">IF(tblPiNAnalysis512[[#This Row],[Highest Target]]=0, "",  IF(OR(COUNTIF(tblPiNAnalysis512[[#This Row],[Highest sector(s)]],tblSubSectorPopulation[Sector])), "Flagged", ""))</f>
        <v/>
      </c>
      <c r="AO5" s="271" cm="1">
        <f t="array" ref="AO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5" s="272" t="str" cm="1">
        <f t="array" ref="AP5">IF(tblPiNAnalysis512[[#This Row],[2nd Highest Target]]="", "", _xlfn.TEXTJOIN(CHAR(10), TRUE, IF(tblPiNAnalysis512[[#This Row],[2nd Highest Target]]=tblPiNAnalysis512[[#This Row],[CCCM]:[WASH]], tblPiNAnalysis512[[#Headers],[CCCM]:[WASH]], "")))</f>
        <v>CCCM
Education
Nutrition
Food Security
Health
Overarching Protection
Shelter
WASH</v>
      </c>
      <c r="AQ5" s="38">
        <f>IFERROR(tblPiNAnalysis512[[#This Row],[2nd Highest Target]]/tblPiNAnalysis512[[#This Row],[Affected population projection 2026]], "")</f>
        <v>0</v>
      </c>
      <c r="AR5" s="46">
        <f>IFERROR(tblPiNAnalysis512[[#This Row],[Highest Target]]-tblPiNAnalysis512[[#This Row],[2nd Highest Target]], "")</f>
        <v>0</v>
      </c>
      <c r="AS5" s="39" t="str">
        <f>IFERROR(((tblPiNAnalysis512[[#This Row],[Highest Target]]-tblPiNAnalysis512[[#This Row],[2nd Highest Target]])/tblPiNAnalysis512[[#This Row],[2nd Highest Target]]),"")</f>
        <v/>
      </c>
      <c r="AT5" s="273" t="str" cm="1">
        <f t="array" ref="AT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5" s="274" cm="1">
        <f t="array" ref="AU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5" s="275" t="str" cm="1">
        <f t="array" ref="AV5">IF(tblPiNAnalysis512[[#This Row],[3rd Highest Target]]="", "", _xlfn.TEXTJOIN(CHAR(10), TRUE, IF(tblPiNAnalysis512[[#This Row],[3rd Highest Target]]=tblPiNAnalysis512[[#This Row],[CCCM]:[WASH]], tblPiNAnalysis512[[#Headers],[CCCM]:[WASH]], "")))</f>
        <v>CCCM
Education
Nutrition
Food Security
Health
Overarching Protection
Shelter
WASH</v>
      </c>
      <c r="AW5" s="190">
        <f>IFERROR(tblPiNAnalysis512[[#This Row],[3rd Highest Target]]/tblPiNAnalysis512[[#This Row],[Affected population projection 2026]], "")</f>
        <v>0</v>
      </c>
      <c r="AX5" s="45">
        <f>IFERROR(tblPiNAnalysis512[[#This Row],[Highest Target]]-tblPiNAnalysis512[[#This Row],[3rd Highest Target]],"")</f>
        <v>0</v>
      </c>
      <c r="AY5" s="39" t="str">
        <f>IFERROR(tblPiNAnalysis512[[#This Row],[Difference of Target between Highest and 3rd Highest]]/tblPiNAnalysis512[[#This Row],[3rd Highest Target]], "")</f>
        <v/>
      </c>
      <c r="AZ5" s="270" t="str" cm="1">
        <f t="array" ref="AZ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 s="300" t="str" cm="1">
        <f t="array" ref="BA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 s="276" t="str" cm="1">
        <f t="array" ref="BB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 s="276" t="str" cm="1">
        <f t="array" ref="BC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 s="277" t="str" cm="1">
        <f t="array" ref="BD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 s="277" t="e">
        <f>INDEX(tblSeverityAnalysis[Final Severity], MATCH(tblPiNAnalysis512[[#This Row],[ID]],tblSeverityAnalysis[ID], 0))</f>
        <v>#N/A</v>
      </c>
      <c r="BF5" s="61" t="e">
        <f>IF(tblPiNAnalysis512[[#This Row],[Severity]]&gt;2,tblPiNAnalysis512[[#This Row],[Highest Target]],)</f>
        <v>#N/A</v>
      </c>
      <c r="BG5" s="191"/>
      <c r="BH5" s="192"/>
      <c r="BI5" s="193">
        <f>COUNTIFS(tblPiNAnalysis512[[#This Row],[Number of missing / zero PiNs greater than threshold - Data quality]:[Manual Flag]],"Flagged")</f>
        <v>2</v>
      </c>
      <c r="BJ5" s="284" t="str">
        <f>IF(tblPiNAnalysis512[[#This Row],['# Flags]]&gt;0, "Flagged", "")</f>
        <v>Flagged</v>
      </c>
      <c r="BK5" s="267" t="e">
        <f>tblPiNAnalysis512[[#This Row],[Preliminary Target]]</f>
        <v>#N/A</v>
      </c>
      <c r="BL5" s="272">
        <v>4</v>
      </c>
      <c r="BM5" s="278"/>
      <c r="BN5" s="279"/>
      <c r="BO5" s="279"/>
      <c r="BP5" s="279"/>
      <c r="BQ5" s="279"/>
      <c r="BT5" s="280"/>
      <c r="BU5" s="279"/>
      <c r="BV5" s="279"/>
      <c r="BW5" s="279"/>
      <c r="BX5" s="279"/>
      <c r="BY5" s="279"/>
      <c r="CB5" s="279"/>
      <c r="CD5" s="281"/>
      <c r="CE5" s="282"/>
      <c r="CF5" s="279"/>
    </row>
    <row r="6" spans="1:84" s="244" customFormat="1" ht="110.7" x14ac:dyDescent="0.55000000000000004">
      <c r="A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 s="259" t="s">
        <v>236</v>
      </c>
      <c r="C6" s="218" t="s">
        <v>237</v>
      </c>
      <c r="D6" s="260" t="s">
        <v>240</v>
      </c>
      <c r="E6" s="105" t="s">
        <v>241</v>
      </c>
      <c r="F6" s="100"/>
      <c r="G6" s="34"/>
      <c r="H6" s="34"/>
      <c r="I6" s="97">
        <v>16311.747528959717</v>
      </c>
      <c r="J6" s="226" t="s">
        <v>412</v>
      </c>
      <c r="K6" s="261">
        <v>0</v>
      </c>
      <c r="L6" s="219">
        <v>0</v>
      </c>
      <c r="M6" s="219">
        <v>0</v>
      </c>
      <c r="N6" s="219">
        <v>0</v>
      </c>
      <c r="O6" s="219">
        <v>0</v>
      </c>
      <c r="P6" s="219">
        <v>0</v>
      </c>
      <c r="Q6" s="229">
        <v>0</v>
      </c>
      <c r="R6" s="219">
        <v>0</v>
      </c>
      <c r="S6" s="219"/>
      <c r="T6" s="219"/>
      <c r="U6" s="219"/>
      <c r="V6" s="219"/>
      <c r="W6" s="262">
        <f>IFERROR(IF(tblPiNAnalysis512[[#This Row],[CCCM]]="", "", MROUND(tblPiNAnalysis512[[#This Row],[CCCM]]/tblPiNAnalysis512[[#This Row],[Affected population projection 2026]], 0.05)), "")</f>
        <v>0</v>
      </c>
      <c r="X6" s="263">
        <f>IFERROR(IF(tblPiNAnalysis512[[#This Row],[Education]]="", "", MROUND(tblPiNAnalysis512[[#This Row],[Education]]/tblPiNAnalysis512[[#This Row],[Affected population projection 2026]], 0.05)), "")</f>
        <v>0</v>
      </c>
      <c r="Y6" s="263">
        <f>IFERROR(IF(tblPiNAnalysis512[[#This Row],[Nutrition]]="", "", MROUND(tblPiNAnalysis512[[#This Row],[Nutrition]]/tblPiNAnalysis512[[#This Row],[Affected population projection 2026]], 0.05)), "")</f>
        <v>0</v>
      </c>
      <c r="Z6" s="263">
        <f>IFERROR(IF(tblPiNAnalysis512[[#This Row],[Food Security]]="", "", MROUND(tblPiNAnalysis512[[#This Row],[Food Security]]/tblPiNAnalysis512[[#This Row],[Affected population projection 2026]], 0.05)), "")</f>
        <v>0</v>
      </c>
      <c r="AA6" s="263">
        <f>IFERROR(IF(tblPiNAnalysis512[[#This Row],[Health]]="", "", MROUND(tblPiNAnalysis512[[#This Row],[Health]]/tblPiNAnalysis512[[#This Row],[Affected population projection 2026]], 0.05)), "")</f>
        <v>0</v>
      </c>
      <c r="AB6" s="264">
        <f>IFERROR(IF(tblPiNAnalysis512[[#This Row],[Overarching Protection]]="", "", MROUND(tblPiNAnalysis512[[#This Row],[Overarching Protection]]/tblPiNAnalysis512[[#This Row],[Affected population projection 2026]], 0.05)), "")</f>
        <v>0</v>
      </c>
      <c r="AC6" s="264">
        <f>IFERROR(IF(tblPiNAnalysis512[[#This Row],[Shelter]]="", "", MROUND(tblPiNAnalysis512[[#This Row],[Shelter]]/tblPiNAnalysis512[[#This Row],[Affected population projection 2026]], 0.05)), "")</f>
        <v>0</v>
      </c>
      <c r="AD6" s="265">
        <f>IFERROR(IF(tblPiNAnalysis512[[#This Row],[WASH]]="", "", MROUND(tblPiNAnalysis512[[#This Row],[WASH]]/tblPiNAnalysis512[[#This Row],[Affected population projection 2026]], 0.05)), "")</f>
        <v>0</v>
      </c>
      <c r="AE6" s="263">
        <f>IFERROR(MROUND(tblPiNAnalysis512[[#This Row],[CP]]/tblPiNAnalysis512[[#This Row],[Affected population projection 2026]], 0.05), "")</f>
        <v>0</v>
      </c>
      <c r="AF6" s="263">
        <f>IFERROR(MROUND(tblPiNAnalysis512[[#This Row],[GBV]]/tblPiNAnalysis512[[#This Row],[Affected population projection 2026]], 0.05), "")</f>
        <v>0</v>
      </c>
      <c r="AG6" s="263">
        <f>IFERROR(MROUND(tblPiNAnalysis512[[#This Row],[Mine Action]]/tblPiNAnalysis512[[#This Row],[Affected population projection 2026]], 0.05), "")</f>
        <v>0</v>
      </c>
      <c r="AH6" s="263">
        <f>IFERROR(MROUND(tblPiNAnalysis512[[#This Row],[HLP]]/tblPiNAnalysis512[[#This Row],[Affected population projection 2026]], 0.05), "")</f>
        <v>0</v>
      </c>
      <c r="AI6" s="266">
        <f>IFERROR(LARGE(tblPiNAnalysis512[[#This Row],[CCCM]:[WASH]], 1), "")</f>
        <v>0</v>
      </c>
      <c r="AJ6" s="267" t="str" cm="1">
        <f t="array" ref="AJ6">IF(tblPiNAnalysis512[[#This Row],[Highest Target]]="", "", _xlfn.TEXTJOIN(CHAR(10), TRUE, IF(tblPiNAnalysis512[[#This Row],[Highest Target]]=tblPiNAnalysis512[[#This Row],[CCCM]:[WASH]], tblPiNAnalysis512[[#Headers],[CCCM]:[WASH]], "")))</f>
        <v>CCCM
Education
Nutrition
Food Security
Health
Overarching Protection
Shelter
WASH</v>
      </c>
      <c r="AK6" s="268">
        <f>IF(tblPiNAnalysis512[[#This Row],[Highest Target]]="", "", tblPiNAnalysis512[[#This Row],[Highest Target]]/tblPiNAnalysis512[[#This Row],[Affected population projection 2026]])</f>
        <v>0</v>
      </c>
      <c r="AL6" s="269" t="str">
        <f>IF(SUM(tblPiNAnalysis512[[#This Row],[CCCM]:[WASH]])=0, "",IF(COUNTIF(tblPiNAnalysis512[[#This Row],[CCCM]:[WASH]],"=0")+COUNTIF(tblPiNAnalysis512[[#This Row],[CCCM]:[WASH]],"")&gt;=zero_pin_thresh, "Flagged", ""))</f>
        <v/>
      </c>
      <c r="AM6" s="268" t="str">
        <f>IFERROR(IF(tblPiNAnalysis512[[#This Row],[Highest Target]]="", "", IF(tblPiNAnalysis512[[#This Row],[Highest sector(s'') Target %]]&gt;=flag_pin_perc, "Flagged", "")), "")</f>
        <v/>
      </c>
      <c r="AN6" s="270" t="str" cm="1">
        <f t="array" ref="AN6">IF(tblPiNAnalysis512[[#This Row],[Highest Target]]=0, "",  IF(OR(COUNTIF(tblPiNAnalysis512[[#This Row],[Highest sector(s)]],tblSubSectorPopulation[Sector])), "Flagged", ""))</f>
        <v/>
      </c>
      <c r="AO6" s="271" cm="1">
        <f t="array" ref="AO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6" s="272" t="str" cm="1">
        <f t="array" ref="AP6">IF(tblPiNAnalysis512[[#This Row],[2nd Highest Target]]="", "", _xlfn.TEXTJOIN(CHAR(10), TRUE, IF(tblPiNAnalysis512[[#This Row],[2nd Highest Target]]=tblPiNAnalysis512[[#This Row],[CCCM]:[WASH]], tblPiNAnalysis512[[#Headers],[CCCM]:[WASH]], "")))</f>
        <v>CCCM
Education
Nutrition
Food Security
Health
Overarching Protection
Shelter
WASH</v>
      </c>
      <c r="AQ6" s="38">
        <f>IFERROR(tblPiNAnalysis512[[#This Row],[2nd Highest Target]]/tblPiNAnalysis512[[#This Row],[Affected population projection 2026]], "")</f>
        <v>0</v>
      </c>
      <c r="AR6" s="46">
        <f>IFERROR(tblPiNAnalysis512[[#This Row],[Highest Target]]-tblPiNAnalysis512[[#This Row],[2nd Highest Target]], "")</f>
        <v>0</v>
      </c>
      <c r="AS6" s="39" t="str">
        <f>IFERROR(((tblPiNAnalysis512[[#This Row],[Highest Target]]-tblPiNAnalysis512[[#This Row],[2nd Highest Target]])/tblPiNAnalysis512[[#This Row],[2nd Highest Target]]),"")</f>
        <v/>
      </c>
      <c r="AT6" s="273" t="str" cm="1">
        <f t="array" ref="AT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 s="274" cm="1">
        <f t="array" ref="AU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6" s="275" t="str" cm="1">
        <f t="array" ref="AV6">IF(tblPiNAnalysis512[[#This Row],[3rd Highest Target]]="", "", _xlfn.TEXTJOIN(CHAR(10), TRUE, IF(tblPiNAnalysis512[[#This Row],[3rd Highest Target]]=tblPiNAnalysis512[[#This Row],[CCCM]:[WASH]], tblPiNAnalysis512[[#Headers],[CCCM]:[WASH]], "")))</f>
        <v>CCCM
Education
Nutrition
Food Security
Health
Overarching Protection
Shelter
WASH</v>
      </c>
      <c r="AW6" s="190">
        <f>IFERROR(tblPiNAnalysis512[[#This Row],[3rd Highest Target]]/tblPiNAnalysis512[[#This Row],[Affected population projection 2026]], "")</f>
        <v>0</v>
      </c>
      <c r="AX6" s="45">
        <f>IFERROR(tblPiNAnalysis512[[#This Row],[Highest Target]]-tblPiNAnalysis512[[#This Row],[3rd Highest Target]],"")</f>
        <v>0</v>
      </c>
      <c r="AY6" s="39" t="str">
        <f>IFERROR(tblPiNAnalysis512[[#This Row],[Difference of Target between Highest and 3rd Highest]]/tblPiNAnalysis512[[#This Row],[3rd Highest Target]], "")</f>
        <v/>
      </c>
      <c r="AZ6" s="270" t="str" cm="1">
        <f t="array" ref="AZ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 s="300" t="str" cm="1">
        <f t="array" ref="BA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 s="276" t="str" cm="1">
        <f t="array" ref="BB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 s="276" t="str" cm="1">
        <f t="array" ref="BC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 s="277" t="str" cm="1">
        <f t="array" ref="BD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 s="277" t="e">
        <f>INDEX(tblSeverityAnalysis[Final Severity], MATCH(tblPiNAnalysis512[[#This Row],[ID]],tblSeverityAnalysis[ID], 0))</f>
        <v>#N/A</v>
      </c>
      <c r="BF6" s="61" t="e">
        <f>IF(tblPiNAnalysis512[[#This Row],[Severity]]&gt;2,tblPiNAnalysis512[[#This Row],[Highest Target]],)</f>
        <v>#N/A</v>
      </c>
      <c r="BG6" s="191"/>
      <c r="BH6" s="192"/>
      <c r="BI6" s="193">
        <f>COUNTIFS(tblPiNAnalysis512[[#This Row],[Number of missing / zero PiNs greater than threshold - Data quality]:[Manual Flag]],"Flagged")</f>
        <v>2</v>
      </c>
      <c r="BJ6" s="284" t="str">
        <f>IF(tblPiNAnalysis512[[#This Row],['# Flags]]&gt;0, "Flagged", "")</f>
        <v>Flagged</v>
      </c>
      <c r="BK6" s="267" t="e">
        <f>tblPiNAnalysis512[[#This Row],[Preliminary Target]]</f>
        <v>#N/A</v>
      </c>
      <c r="BL6" s="272">
        <v>5</v>
      </c>
      <c r="BM6" s="278"/>
      <c r="BN6" s="279"/>
      <c r="BO6" s="279"/>
      <c r="BP6" s="279"/>
      <c r="BQ6" s="279"/>
      <c r="BT6" s="280"/>
      <c r="BU6" s="279"/>
      <c r="BV6" s="279"/>
      <c r="BW6" s="279"/>
      <c r="BX6" s="279"/>
      <c r="BY6" s="279"/>
      <c r="CB6" s="279"/>
      <c r="CD6" s="281"/>
      <c r="CE6" s="282"/>
      <c r="CF6" s="279"/>
    </row>
    <row r="7" spans="1:84" s="244" customFormat="1" ht="110.7" x14ac:dyDescent="0.55000000000000004">
      <c r="A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 s="259" t="s">
        <v>236</v>
      </c>
      <c r="C7" s="218" t="s">
        <v>237</v>
      </c>
      <c r="D7" s="260" t="s">
        <v>242</v>
      </c>
      <c r="E7" s="105" t="s">
        <v>243</v>
      </c>
      <c r="F7" s="100"/>
      <c r="G7" s="34"/>
      <c r="H7" s="34"/>
      <c r="I7" s="97">
        <v>7434.8763775539119</v>
      </c>
      <c r="J7" s="226" t="s">
        <v>412</v>
      </c>
      <c r="K7" s="261">
        <v>0</v>
      </c>
      <c r="L7" s="219">
        <v>0</v>
      </c>
      <c r="M7" s="219">
        <v>0</v>
      </c>
      <c r="N7" s="219">
        <v>0</v>
      </c>
      <c r="O7" s="219">
        <v>0</v>
      </c>
      <c r="P7" s="219">
        <v>0</v>
      </c>
      <c r="Q7" s="229">
        <v>0</v>
      </c>
      <c r="R7" s="219">
        <v>0</v>
      </c>
      <c r="S7" s="219"/>
      <c r="T7" s="219"/>
      <c r="U7" s="219"/>
      <c r="V7" s="219"/>
      <c r="W7" s="262">
        <f>IFERROR(IF(tblPiNAnalysis512[[#This Row],[CCCM]]="", "", MROUND(tblPiNAnalysis512[[#This Row],[CCCM]]/tblPiNAnalysis512[[#This Row],[Affected population projection 2026]], 0.05)), "")</f>
        <v>0</v>
      </c>
      <c r="X7" s="263">
        <f>IFERROR(IF(tblPiNAnalysis512[[#This Row],[Education]]="", "", MROUND(tblPiNAnalysis512[[#This Row],[Education]]/tblPiNAnalysis512[[#This Row],[Affected population projection 2026]], 0.05)), "")</f>
        <v>0</v>
      </c>
      <c r="Y7" s="263">
        <f>IFERROR(IF(tblPiNAnalysis512[[#This Row],[Nutrition]]="", "", MROUND(tblPiNAnalysis512[[#This Row],[Nutrition]]/tblPiNAnalysis512[[#This Row],[Affected population projection 2026]], 0.05)), "")</f>
        <v>0</v>
      </c>
      <c r="Z7" s="263">
        <f>IFERROR(IF(tblPiNAnalysis512[[#This Row],[Food Security]]="", "", MROUND(tblPiNAnalysis512[[#This Row],[Food Security]]/tblPiNAnalysis512[[#This Row],[Affected population projection 2026]], 0.05)), "")</f>
        <v>0</v>
      </c>
      <c r="AA7" s="263">
        <f>IFERROR(IF(tblPiNAnalysis512[[#This Row],[Health]]="", "", MROUND(tblPiNAnalysis512[[#This Row],[Health]]/tblPiNAnalysis512[[#This Row],[Affected population projection 2026]], 0.05)), "")</f>
        <v>0</v>
      </c>
      <c r="AB7" s="264">
        <f>IFERROR(IF(tblPiNAnalysis512[[#This Row],[Overarching Protection]]="", "", MROUND(tblPiNAnalysis512[[#This Row],[Overarching Protection]]/tblPiNAnalysis512[[#This Row],[Affected population projection 2026]], 0.05)), "")</f>
        <v>0</v>
      </c>
      <c r="AC7" s="264">
        <f>IFERROR(IF(tblPiNAnalysis512[[#This Row],[Shelter]]="", "", MROUND(tblPiNAnalysis512[[#This Row],[Shelter]]/tblPiNAnalysis512[[#This Row],[Affected population projection 2026]], 0.05)), "")</f>
        <v>0</v>
      </c>
      <c r="AD7" s="265">
        <f>IFERROR(IF(tblPiNAnalysis512[[#This Row],[WASH]]="", "", MROUND(tblPiNAnalysis512[[#This Row],[WASH]]/tblPiNAnalysis512[[#This Row],[Affected population projection 2026]], 0.05)), "")</f>
        <v>0</v>
      </c>
      <c r="AE7" s="263">
        <f>IFERROR(MROUND(tblPiNAnalysis512[[#This Row],[CP]]/tblPiNAnalysis512[[#This Row],[Affected population projection 2026]], 0.05), "")</f>
        <v>0</v>
      </c>
      <c r="AF7" s="263">
        <f>IFERROR(MROUND(tblPiNAnalysis512[[#This Row],[GBV]]/tblPiNAnalysis512[[#This Row],[Affected population projection 2026]], 0.05), "")</f>
        <v>0</v>
      </c>
      <c r="AG7" s="263">
        <f>IFERROR(MROUND(tblPiNAnalysis512[[#This Row],[Mine Action]]/tblPiNAnalysis512[[#This Row],[Affected population projection 2026]], 0.05), "")</f>
        <v>0</v>
      </c>
      <c r="AH7" s="263">
        <f>IFERROR(MROUND(tblPiNAnalysis512[[#This Row],[HLP]]/tblPiNAnalysis512[[#This Row],[Affected population projection 2026]], 0.05), "")</f>
        <v>0</v>
      </c>
      <c r="AI7" s="266">
        <f>IFERROR(LARGE(tblPiNAnalysis512[[#This Row],[CCCM]:[WASH]], 1), "")</f>
        <v>0</v>
      </c>
      <c r="AJ7" s="267" t="str" cm="1">
        <f t="array" ref="AJ7">IF(tblPiNAnalysis512[[#This Row],[Highest Target]]="", "", _xlfn.TEXTJOIN(CHAR(10), TRUE, IF(tblPiNAnalysis512[[#This Row],[Highest Target]]=tblPiNAnalysis512[[#This Row],[CCCM]:[WASH]], tblPiNAnalysis512[[#Headers],[CCCM]:[WASH]], "")))</f>
        <v>CCCM
Education
Nutrition
Food Security
Health
Overarching Protection
Shelter
WASH</v>
      </c>
      <c r="AK7" s="268">
        <f>IF(tblPiNAnalysis512[[#This Row],[Highest Target]]="", "", tblPiNAnalysis512[[#This Row],[Highest Target]]/tblPiNAnalysis512[[#This Row],[Affected population projection 2026]])</f>
        <v>0</v>
      </c>
      <c r="AL7" s="269" t="str">
        <f>IF(SUM(tblPiNAnalysis512[[#This Row],[CCCM]:[WASH]])=0, "",IF(COUNTIF(tblPiNAnalysis512[[#This Row],[CCCM]:[WASH]],"=0")+COUNTIF(tblPiNAnalysis512[[#This Row],[CCCM]:[WASH]],"")&gt;=zero_pin_thresh, "Flagged", ""))</f>
        <v/>
      </c>
      <c r="AM7" s="268" t="str">
        <f>IFERROR(IF(tblPiNAnalysis512[[#This Row],[Highest Target]]="", "", IF(tblPiNAnalysis512[[#This Row],[Highest sector(s'') Target %]]&gt;=flag_pin_perc, "Flagged", "")), "")</f>
        <v/>
      </c>
      <c r="AN7" s="270" t="str" cm="1">
        <f t="array" ref="AN7">IF(tblPiNAnalysis512[[#This Row],[Highest Target]]=0, "",  IF(OR(COUNTIF(tblPiNAnalysis512[[#This Row],[Highest sector(s)]],tblSubSectorPopulation[Sector])), "Flagged", ""))</f>
        <v/>
      </c>
      <c r="AO7" s="271" cm="1">
        <f t="array" ref="AO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 s="272" t="str" cm="1">
        <f t="array" ref="AP7">IF(tblPiNAnalysis512[[#This Row],[2nd Highest Target]]="", "", _xlfn.TEXTJOIN(CHAR(10), TRUE, IF(tblPiNAnalysis512[[#This Row],[2nd Highest Target]]=tblPiNAnalysis512[[#This Row],[CCCM]:[WASH]], tblPiNAnalysis512[[#Headers],[CCCM]:[WASH]], "")))</f>
        <v>CCCM
Education
Nutrition
Food Security
Health
Overarching Protection
Shelter
WASH</v>
      </c>
      <c r="AQ7" s="38">
        <f>IFERROR(tblPiNAnalysis512[[#This Row],[2nd Highest Target]]/tblPiNAnalysis512[[#This Row],[Affected population projection 2026]], "")</f>
        <v>0</v>
      </c>
      <c r="AR7" s="46">
        <f>IFERROR(tblPiNAnalysis512[[#This Row],[Highest Target]]-tblPiNAnalysis512[[#This Row],[2nd Highest Target]], "")</f>
        <v>0</v>
      </c>
      <c r="AS7" s="39" t="str">
        <f>IFERROR(((tblPiNAnalysis512[[#This Row],[Highest Target]]-tblPiNAnalysis512[[#This Row],[2nd Highest Target]])/tblPiNAnalysis512[[#This Row],[2nd Highest Target]]),"")</f>
        <v/>
      </c>
      <c r="AT7" s="273" t="str" cm="1">
        <f t="array" ref="AT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 s="274" cm="1">
        <f t="array" ref="AU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 s="275" t="str" cm="1">
        <f t="array" ref="AV7">IF(tblPiNAnalysis512[[#This Row],[3rd Highest Target]]="", "", _xlfn.TEXTJOIN(CHAR(10), TRUE, IF(tblPiNAnalysis512[[#This Row],[3rd Highest Target]]=tblPiNAnalysis512[[#This Row],[CCCM]:[WASH]], tblPiNAnalysis512[[#Headers],[CCCM]:[WASH]], "")))</f>
        <v>CCCM
Education
Nutrition
Food Security
Health
Overarching Protection
Shelter
WASH</v>
      </c>
      <c r="AW7" s="190">
        <f>IFERROR(tblPiNAnalysis512[[#This Row],[3rd Highest Target]]/tblPiNAnalysis512[[#This Row],[Affected population projection 2026]], "")</f>
        <v>0</v>
      </c>
      <c r="AX7" s="45">
        <f>IFERROR(tblPiNAnalysis512[[#This Row],[Highest Target]]-tblPiNAnalysis512[[#This Row],[3rd Highest Target]],"")</f>
        <v>0</v>
      </c>
      <c r="AY7" s="39" t="str">
        <f>IFERROR(tblPiNAnalysis512[[#This Row],[Difference of Target between Highest and 3rd Highest]]/tblPiNAnalysis512[[#This Row],[3rd Highest Target]], "")</f>
        <v/>
      </c>
      <c r="AZ7" s="270" t="str" cm="1">
        <f t="array" ref="AZ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 s="300" t="str" cm="1">
        <f t="array" ref="BA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 s="276" t="str" cm="1">
        <f t="array" ref="BB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 s="276" t="str" cm="1">
        <f t="array" ref="BC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 s="277" t="str" cm="1">
        <f t="array" ref="BD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 s="277" t="e">
        <f>INDEX(tblSeverityAnalysis[Final Severity], MATCH(tblPiNAnalysis512[[#This Row],[ID]],tblSeverityAnalysis[ID], 0))</f>
        <v>#N/A</v>
      </c>
      <c r="BF7" s="61" t="e">
        <f>IF(tblPiNAnalysis512[[#This Row],[Severity]]&gt;2,tblPiNAnalysis512[[#This Row],[Highest Target]],)</f>
        <v>#N/A</v>
      </c>
      <c r="BG7" s="191"/>
      <c r="BH7" s="192"/>
      <c r="BI7" s="193">
        <f>COUNTIFS(tblPiNAnalysis512[[#This Row],[Number of missing / zero PiNs greater than threshold - Data quality]:[Manual Flag]],"Flagged")</f>
        <v>2</v>
      </c>
      <c r="BJ7" s="284" t="str">
        <f>IF(tblPiNAnalysis512[[#This Row],['# Flags]]&gt;0, "Flagged", "")</f>
        <v>Flagged</v>
      </c>
      <c r="BK7" s="267" t="e">
        <f>tblPiNAnalysis512[[#This Row],[Preliminary Target]]</f>
        <v>#N/A</v>
      </c>
      <c r="BL7" s="272">
        <v>5</v>
      </c>
      <c r="BM7" s="278"/>
      <c r="BN7" s="279"/>
      <c r="BO7" s="279"/>
      <c r="BP7" s="279"/>
      <c r="BQ7" s="279"/>
      <c r="BT7" s="280"/>
      <c r="BU7" s="279"/>
      <c r="BV7" s="279"/>
      <c r="BW7" s="279"/>
      <c r="BX7" s="279"/>
      <c r="BY7" s="279"/>
      <c r="CB7" s="279"/>
      <c r="CD7" s="281"/>
      <c r="CE7" s="282"/>
      <c r="CF7" s="279"/>
    </row>
    <row r="8" spans="1:84" ht="110.7" x14ac:dyDescent="0.55000000000000004">
      <c r="A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 s="316" t="s">
        <v>236</v>
      </c>
      <c r="C8" s="317" t="s">
        <v>237</v>
      </c>
      <c r="D8" s="317" t="s">
        <v>244</v>
      </c>
      <c r="E8" s="105" t="s">
        <v>245</v>
      </c>
      <c r="F8" s="100"/>
      <c r="G8" s="34"/>
      <c r="H8" s="34"/>
      <c r="I8" s="97">
        <v>10995.852324765609</v>
      </c>
      <c r="J8" s="97" t="s">
        <v>412</v>
      </c>
      <c r="K8" s="261">
        <v>0</v>
      </c>
      <c r="L8" s="319">
        <v>0</v>
      </c>
      <c r="M8" s="319">
        <v>0</v>
      </c>
      <c r="N8" s="319">
        <v>0</v>
      </c>
      <c r="O8" s="319">
        <v>0</v>
      </c>
      <c r="P8" s="319">
        <v>0</v>
      </c>
      <c r="Q8" s="320">
        <v>0</v>
      </c>
      <c r="R8" s="319">
        <v>0</v>
      </c>
      <c r="S8" s="319"/>
      <c r="T8" s="319"/>
      <c r="U8" s="319"/>
      <c r="V8" s="319"/>
      <c r="W8" s="321">
        <f>IFERROR(IF(tblPiNAnalysis512[[#This Row],[CCCM]]="", "", MROUND(tblPiNAnalysis512[[#This Row],[CCCM]]/tblPiNAnalysis512[[#This Row],[Affected population projection 2026]], 0.05)), "")</f>
        <v>0</v>
      </c>
      <c r="X8" s="322">
        <f>IFERROR(IF(tblPiNAnalysis512[[#This Row],[Education]]="", "", MROUND(tblPiNAnalysis512[[#This Row],[Education]]/tblPiNAnalysis512[[#This Row],[Affected population projection 2026]], 0.05)), "")</f>
        <v>0</v>
      </c>
      <c r="Y8" s="322">
        <f>IFERROR(IF(tblPiNAnalysis512[[#This Row],[Nutrition]]="", "", MROUND(tblPiNAnalysis512[[#This Row],[Nutrition]]/tblPiNAnalysis512[[#This Row],[Affected population projection 2026]], 0.05)), "")</f>
        <v>0</v>
      </c>
      <c r="Z8" s="322">
        <f>IFERROR(IF(tblPiNAnalysis512[[#This Row],[Food Security]]="", "", MROUND(tblPiNAnalysis512[[#This Row],[Food Security]]/tblPiNAnalysis512[[#This Row],[Affected population projection 2026]], 0.05)), "")</f>
        <v>0</v>
      </c>
      <c r="AA8" s="322">
        <f>IFERROR(IF(tblPiNAnalysis512[[#This Row],[Health]]="", "", MROUND(tblPiNAnalysis512[[#This Row],[Health]]/tblPiNAnalysis512[[#This Row],[Affected population projection 2026]], 0.05)), "")</f>
        <v>0</v>
      </c>
      <c r="AB8" s="323">
        <f>IFERROR(IF(tblPiNAnalysis512[[#This Row],[Overarching Protection]]="", "", MROUND(tblPiNAnalysis512[[#This Row],[Overarching Protection]]/tblPiNAnalysis512[[#This Row],[Affected population projection 2026]], 0.05)), "")</f>
        <v>0</v>
      </c>
      <c r="AC8" s="323">
        <f>IFERROR(IF(tblPiNAnalysis512[[#This Row],[Shelter]]="", "", MROUND(tblPiNAnalysis512[[#This Row],[Shelter]]/tblPiNAnalysis512[[#This Row],[Affected population projection 2026]], 0.05)), "")</f>
        <v>0</v>
      </c>
      <c r="AD8" s="324">
        <f>IFERROR(IF(tblPiNAnalysis512[[#This Row],[WASH]]="", "", MROUND(tblPiNAnalysis512[[#This Row],[WASH]]/tblPiNAnalysis512[[#This Row],[Affected population projection 2026]], 0.05)), "")</f>
        <v>0</v>
      </c>
      <c r="AE8" s="322">
        <f>IFERROR(MROUND(tblPiNAnalysis512[[#This Row],[CP]]/tblPiNAnalysis512[[#This Row],[Affected population projection 2026]], 0.05), "")</f>
        <v>0</v>
      </c>
      <c r="AF8" s="322">
        <f>IFERROR(MROUND(tblPiNAnalysis512[[#This Row],[GBV]]/tblPiNAnalysis512[[#This Row],[Affected population projection 2026]], 0.05), "")</f>
        <v>0</v>
      </c>
      <c r="AG8" s="322">
        <f>IFERROR(MROUND(tblPiNAnalysis512[[#This Row],[Mine Action]]/tblPiNAnalysis512[[#This Row],[Affected population projection 2026]], 0.05), "")</f>
        <v>0</v>
      </c>
      <c r="AH8" s="322">
        <f>IFERROR(MROUND(tblPiNAnalysis512[[#This Row],[HLP]]/tblPiNAnalysis512[[#This Row],[Affected population projection 2026]], 0.05), "")</f>
        <v>0</v>
      </c>
      <c r="AI8" s="325">
        <f>IFERROR(LARGE(tblPiNAnalysis512[[#This Row],[CCCM]:[WASH]], 1), "")</f>
        <v>0</v>
      </c>
      <c r="AJ8" s="326" t="str" cm="1">
        <f t="array" ref="AJ8">IF(tblPiNAnalysis512[[#This Row],[Highest Target]]="", "", _xlfn.TEXTJOIN(CHAR(10), TRUE, IF(tblPiNAnalysis512[[#This Row],[Highest Target]]=tblPiNAnalysis512[[#This Row],[CCCM]:[WASH]], tblPiNAnalysis512[[#Headers],[CCCM]:[WASH]], "")))</f>
        <v>CCCM
Education
Nutrition
Food Security
Health
Overarching Protection
Shelter
WASH</v>
      </c>
      <c r="AK8" s="327">
        <f>IF(tblPiNAnalysis512[[#This Row],[Highest Target]]="", "", tblPiNAnalysis512[[#This Row],[Highest Target]]/tblPiNAnalysis512[[#This Row],[Affected population projection 2026]])</f>
        <v>0</v>
      </c>
      <c r="AL8" s="328" t="str">
        <f>IF(SUM(tblPiNAnalysis512[[#This Row],[CCCM]:[WASH]])=0, "",IF(COUNTIF(tblPiNAnalysis512[[#This Row],[CCCM]:[WASH]],"=0")+COUNTIF(tblPiNAnalysis512[[#This Row],[CCCM]:[WASH]],"")&gt;=zero_pin_thresh, "Flagged", ""))</f>
        <v/>
      </c>
      <c r="AM8" s="329" t="str">
        <f>IFERROR(IF(tblPiNAnalysis512[[#This Row],[Highest Target]]="", "", IF(tblPiNAnalysis512[[#This Row],[Highest sector(s'') Target %]]&gt;=flag_pin_perc, "Flagged", "")), "")</f>
        <v/>
      </c>
      <c r="AN8" s="330" t="str" cm="1">
        <f t="array" ref="AN8">IF(tblPiNAnalysis512[[#This Row],[Highest Target]]=0, "",  IF(OR(COUNTIF(tblPiNAnalysis512[[#This Row],[Highest sector(s)]],tblSubSectorPopulation[Sector])), "Flagged", ""))</f>
        <v/>
      </c>
      <c r="AO8" s="46" cm="1">
        <f t="array" ref="AO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 s="331" t="str" cm="1">
        <f t="array" ref="AP8">IF(tblPiNAnalysis512[[#This Row],[2nd Highest Target]]="", "", _xlfn.TEXTJOIN(CHAR(10), TRUE, IF(tblPiNAnalysis512[[#This Row],[2nd Highest Target]]=tblPiNAnalysis512[[#This Row],[CCCM]:[WASH]], tblPiNAnalysis512[[#Headers],[CCCM]:[WASH]], "")))</f>
        <v>CCCM
Education
Nutrition
Food Security
Health
Overarching Protection
Shelter
WASH</v>
      </c>
      <c r="AQ8" s="36">
        <f>IFERROR(tblPiNAnalysis512[[#This Row],[2nd Highest Target]]/tblPiNAnalysis512[[#This Row],[Affected population projection 2026]], "")</f>
        <v>0</v>
      </c>
      <c r="AR8" s="46">
        <f>IFERROR(tblPiNAnalysis512[[#This Row],[Highest Target]]-tblPiNAnalysis512[[#This Row],[2nd Highest Target]], "")</f>
        <v>0</v>
      </c>
      <c r="AS8" s="39" t="str">
        <f>IFERROR(((tblPiNAnalysis512[[#This Row],[Highest Target]]-tblPiNAnalysis512[[#This Row],[2nd Highest Target]])/tblPiNAnalysis512[[#This Row],[2nd Highest Target]]),"")</f>
        <v/>
      </c>
      <c r="AT8" s="39" t="str" cm="1">
        <f t="array" ref="AT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 s="332" cm="1">
        <f t="array" ref="AU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 s="190" t="str" cm="1">
        <f t="array" ref="AV8">IF(tblPiNAnalysis512[[#This Row],[3rd Highest Target]]="", "", _xlfn.TEXTJOIN(CHAR(10), TRUE, IF(tblPiNAnalysis512[[#This Row],[3rd Highest Target]]=tblPiNAnalysis512[[#This Row],[CCCM]:[WASH]], tblPiNAnalysis512[[#Headers],[CCCM]:[WASH]], "")))</f>
        <v>CCCM
Education
Nutrition
Food Security
Health
Overarching Protection
Shelter
WASH</v>
      </c>
      <c r="AW8" s="190">
        <f>IFERROR(tblPiNAnalysis512[[#This Row],[3rd Highest Target]]/tblPiNAnalysis512[[#This Row],[Affected population projection 2026]], "")</f>
        <v>0</v>
      </c>
      <c r="AX8" s="45">
        <f>IFERROR(tblPiNAnalysis512[[#This Row],[Highest Target]]-tblPiNAnalysis512[[#This Row],[3rd Highest Target]],"")</f>
        <v>0</v>
      </c>
      <c r="AY8" s="39" t="str">
        <f>IFERROR(tblPiNAnalysis512[[#This Row],[Difference of Target between Highest and 3rd Highest]]/tblPiNAnalysis512[[#This Row],[3rd Highest Target]], "")</f>
        <v/>
      </c>
      <c r="AZ8" s="330" t="str" cm="1">
        <f t="array" ref="AZ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 s="300" t="str" cm="1">
        <f t="array" ref="BA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 s="333" t="str" cm="1">
        <f t="array" ref="BB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 s="276" t="str" cm="1">
        <f t="array" ref="BC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 s="334" t="str" cm="1">
        <f t="array" ref="BD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 s="277" t="e">
        <f>INDEX(tblSeverityAnalysis[Final Severity], MATCH(tblPiNAnalysis512[[#This Row],[ID]],tblSeverityAnalysis[ID], 0))</f>
        <v>#N/A</v>
      </c>
      <c r="BF8" s="61" t="e">
        <f>IF(tblPiNAnalysis512[[#This Row],[Severity]]&gt;2,tblPiNAnalysis512[[#This Row],[Highest Target]],)</f>
        <v>#N/A</v>
      </c>
      <c r="BG8" s="191"/>
      <c r="BH8" s="192"/>
      <c r="BI8" s="193">
        <f>COUNTIFS(tblPiNAnalysis512[[#This Row],[Number of missing / zero PiNs greater than threshold - Data quality]:[Manual Flag]],"Flagged")</f>
        <v>2</v>
      </c>
      <c r="BJ8" s="96" t="str">
        <f>IF(tblPiNAnalysis512[[#This Row],['# Flags]]&gt;0, "Flagged", "")</f>
        <v>Flagged</v>
      </c>
      <c r="BK8" s="326" t="e">
        <f>tblPiNAnalysis512[[#This Row],[Preliminary Target]]</f>
        <v>#N/A</v>
      </c>
      <c r="BL8" s="331">
        <v>5</v>
      </c>
    </row>
    <row r="9" spans="1:84" ht="110.7" x14ac:dyDescent="0.55000000000000004">
      <c r="A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 s="316" t="s">
        <v>236</v>
      </c>
      <c r="C9" s="317" t="s">
        <v>237</v>
      </c>
      <c r="D9" s="317" t="s">
        <v>246</v>
      </c>
      <c r="E9" s="105" t="s">
        <v>247</v>
      </c>
      <c r="F9" s="100"/>
      <c r="G9" s="34"/>
      <c r="H9" s="34"/>
      <c r="I9" s="97">
        <v>13333.613326350463</v>
      </c>
      <c r="J9" s="97" t="s">
        <v>412</v>
      </c>
      <c r="K9" s="261">
        <v>0</v>
      </c>
      <c r="L9" s="319">
        <v>0</v>
      </c>
      <c r="M9" s="319">
        <v>0</v>
      </c>
      <c r="N9" s="319">
        <v>0</v>
      </c>
      <c r="O9" s="319">
        <v>0</v>
      </c>
      <c r="P9" s="319">
        <v>0</v>
      </c>
      <c r="Q9" s="320">
        <v>0</v>
      </c>
      <c r="R9" s="319">
        <v>0</v>
      </c>
      <c r="S9" s="319"/>
      <c r="T9" s="319"/>
      <c r="U9" s="319"/>
      <c r="V9" s="319"/>
      <c r="W9" s="321">
        <f>IFERROR(IF(tblPiNAnalysis512[[#This Row],[CCCM]]="", "", MROUND(tblPiNAnalysis512[[#This Row],[CCCM]]/tblPiNAnalysis512[[#This Row],[Affected population projection 2026]], 0.05)), "")</f>
        <v>0</v>
      </c>
      <c r="X9" s="322">
        <f>IFERROR(IF(tblPiNAnalysis512[[#This Row],[Education]]="", "", MROUND(tblPiNAnalysis512[[#This Row],[Education]]/tblPiNAnalysis512[[#This Row],[Affected population projection 2026]], 0.05)), "")</f>
        <v>0</v>
      </c>
      <c r="Y9" s="322">
        <f>IFERROR(IF(tblPiNAnalysis512[[#This Row],[Nutrition]]="", "", MROUND(tblPiNAnalysis512[[#This Row],[Nutrition]]/tblPiNAnalysis512[[#This Row],[Affected population projection 2026]], 0.05)), "")</f>
        <v>0</v>
      </c>
      <c r="Z9" s="322">
        <f>IFERROR(IF(tblPiNAnalysis512[[#This Row],[Food Security]]="", "", MROUND(tblPiNAnalysis512[[#This Row],[Food Security]]/tblPiNAnalysis512[[#This Row],[Affected population projection 2026]], 0.05)), "")</f>
        <v>0</v>
      </c>
      <c r="AA9" s="322">
        <f>IFERROR(IF(tblPiNAnalysis512[[#This Row],[Health]]="", "", MROUND(tblPiNAnalysis512[[#This Row],[Health]]/tblPiNAnalysis512[[#This Row],[Affected population projection 2026]], 0.05)), "")</f>
        <v>0</v>
      </c>
      <c r="AB9" s="323">
        <f>IFERROR(IF(tblPiNAnalysis512[[#This Row],[Overarching Protection]]="", "", MROUND(tblPiNAnalysis512[[#This Row],[Overarching Protection]]/tblPiNAnalysis512[[#This Row],[Affected population projection 2026]], 0.05)), "")</f>
        <v>0</v>
      </c>
      <c r="AC9" s="323">
        <f>IFERROR(IF(tblPiNAnalysis512[[#This Row],[Shelter]]="", "", MROUND(tblPiNAnalysis512[[#This Row],[Shelter]]/tblPiNAnalysis512[[#This Row],[Affected population projection 2026]], 0.05)), "")</f>
        <v>0</v>
      </c>
      <c r="AD9" s="324">
        <f>IFERROR(IF(tblPiNAnalysis512[[#This Row],[WASH]]="", "", MROUND(tblPiNAnalysis512[[#This Row],[WASH]]/tblPiNAnalysis512[[#This Row],[Affected population projection 2026]], 0.05)), "")</f>
        <v>0</v>
      </c>
      <c r="AE9" s="322">
        <f>IFERROR(MROUND(tblPiNAnalysis512[[#This Row],[CP]]/tblPiNAnalysis512[[#This Row],[Affected population projection 2026]], 0.05), "")</f>
        <v>0</v>
      </c>
      <c r="AF9" s="322">
        <f>IFERROR(MROUND(tblPiNAnalysis512[[#This Row],[GBV]]/tblPiNAnalysis512[[#This Row],[Affected population projection 2026]], 0.05), "")</f>
        <v>0</v>
      </c>
      <c r="AG9" s="322">
        <f>IFERROR(MROUND(tblPiNAnalysis512[[#This Row],[Mine Action]]/tblPiNAnalysis512[[#This Row],[Affected population projection 2026]], 0.05), "")</f>
        <v>0</v>
      </c>
      <c r="AH9" s="322">
        <f>IFERROR(MROUND(tblPiNAnalysis512[[#This Row],[HLP]]/tblPiNAnalysis512[[#This Row],[Affected population projection 2026]], 0.05), "")</f>
        <v>0</v>
      </c>
      <c r="AI9" s="325">
        <f>IFERROR(LARGE(tblPiNAnalysis512[[#This Row],[CCCM]:[WASH]], 1), "")</f>
        <v>0</v>
      </c>
      <c r="AJ9" s="326" t="str" cm="1">
        <f t="array" ref="AJ9">IF(tblPiNAnalysis512[[#This Row],[Highest Target]]="", "", _xlfn.TEXTJOIN(CHAR(10), TRUE, IF(tblPiNAnalysis512[[#This Row],[Highest Target]]=tblPiNAnalysis512[[#This Row],[CCCM]:[WASH]], tblPiNAnalysis512[[#Headers],[CCCM]:[WASH]], "")))</f>
        <v>CCCM
Education
Nutrition
Food Security
Health
Overarching Protection
Shelter
WASH</v>
      </c>
      <c r="AK9" s="327">
        <f>IF(tblPiNAnalysis512[[#This Row],[Highest Target]]="", "", tblPiNAnalysis512[[#This Row],[Highest Target]]/tblPiNAnalysis512[[#This Row],[Affected population projection 2026]])</f>
        <v>0</v>
      </c>
      <c r="AL9" s="328" t="str">
        <f>IF(SUM(tblPiNAnalysis512[[#This Row],[CCCM]:[WASH]])=0, "",IF(COUNTIF(tblPiNAnalysis512[[#This Row],[CCCM]:[WASH]],"=0")+COUNTIF(tblPiNAnalysis512[[#This Row],[CCCM]:[WASH]],"")&gt;=zero_pin_thresh, "Flagged", ""))</f>
        <v/>
      </c>
      <c r="AM9" s="329" t="str">
        <f>IFERROR(IF(tblPiNAnalysis512[[#This Row],[Highest Target]]="", "", IF(tblPiNAnalysis512[[#This Row],[Highest sector(s'') Target %]]&gt;=flag_pin_perc, "Flagged", "")), "")</f>
        <v/>
      </c>
      <c r="AN9" s="330" t="str" cm="1">
        <f t="array" ref="AN9">IF(tblPiNAnalysis512[[#This Row],[Highest Target]]=0, "",  IF(OR(COUNTIF(tblPiNAnalysis512[[#This Row],[Highest sector(s)]],tblSubSectorPopulation[Sector])), "Flagged", ""))</f>
        <v/>
      </c>
      <c r="AO9" s="46" cm="1">
        <f t="array" ref="AO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9" s="331" t="str" cm="1">
        <f t="array" ref="AP9">IF(tblPiNAnalysis512[[#This Row],[2nd Highest Target]]="", "", _xlfn.TEXTJOIN(CHAR(10), TRUE, IF(tblPiNAnalysis512[[#This Row],[2nd Highest Target]]=tblPiNAnalysis512[[#This Row],[CCCM]:[WASH]], tblPiNAnalysis512[[#Headers],[CCCM]:[WASH]], "")))</f>
        <v>CCCM
Education
Nutrition
Food Security
Health
Overarching Protection
Shelter
WASH</v>
      </c>
      <c r="AQ9" s="36">
        <f>IFERROR(tblPiNAnalysis512[[#This Row],[2nd Highest Target]]/tblPiNAnalysis512[[#This Row],[Affected population projection 2026]], "")</f>
        <v>0</v>
      </c>
      <c r="AR9" s="46">
        <f>IFERROR(tblPiNAnalysis512[[#This Row],[Highest Target]]-tblPiNAnalysis512[[#This Row],[2nd Highest Target]], "")</f>
        <v>0</v>
      </c>
      <c r="AS9" s="39" t="str">
        <f>IFERROR(((tblPiNAnalysis512[[#This Row],[Highest Target]]-tblPiNAnalysis512[[#This Row],[2nd Highest Target]])/tblPiNAnalysis512[[#This Row],[2nd Highest Target]]),"")</f>
        <v/>
      </c>
      <c r="AT9" s="39" t="str" cm="1">
        <f t="array" ref="AT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 s="332" cm="1">
        <f t="array" ref="AU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9" s="190" t="str" cm="1">
        <f t="array" ref="AV9">IF(tblPiNAnalysis512[[#This Row],[3rd Highest Target]]="", "", _xlfn.TEXTJOIN(CHAR(10), TRUE, IF(tblPiNAnalysis512[[#This Row],[3rd Highest Target]]=tblPiNAnalysis512[[#This Row],[CCCM]:[WASH]], tblPiNAnalysis512[[#Headers],[CCCM]:[WASH]], "")))</f>
        <v>CCCM
Education
Nutrition
Food Security
Health
Overarching Protection
Shelter
WASH</v>
      </c>
      <c r="AW9" s="190">
        <f>IFERROR(tblPiNAnalysis512[[#This Row],[3rd Highest Target]]/tblPiNAnalysis512[[#This Row],[Affected population projection 2026]], "")</f>
        <v>0</v>
      </c>
      <c r="AX9" s="45">
        <f>IFERROR(tblPiNAnalysis512[[#This Row],[Highest Target]]-tblPiNAnalysis512[[#This Row],[3rd Highest Target]],"")</f>
        <v>0</v>
      </c>
      <c r="AY9" s="39" t="str">
        <f>IFERROR(tblPiNAnalysis512[[#This Row],[Difference of Target between Highest and 3rd Highest]]/tblPiNAnalysis512[[#This Row],[3rd Highest Target]], "")</f>
        <v/>
      </c>
      <c r="AZ9" s="330" t="str" cm="1">
        <f t="array" ref="AZ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 s="300" t="str" cm="1">
        <f t="array" ref="BA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 s="333" t="str" cm="1">
        <f t="array" ref="BB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 s="276" t="str" cm="1">
        <f t="array" ref="BC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 s="334" t="str" cm="1">
        <f t="array" ref="BD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 s="277" t="e">
        <f>INDEX(tblSeverityAnalysis[Final Severity], MATCH(tblPiNAnalysis512[[#This Row],[ID]],tblSeverityAnalysis[ID], 0))</f>
        <v>#N/A</v>
      </c>
      <c r="BF9" s="61" t="e">
        <f>IF(tblPiNAnalysis512[[#This Row],[Severity]]&gt;2,tblPiNAnalysis512[[#This Row],[Highest Target]],)</f>
        <v>#N/A</v>
      </c>
      <c r="BG9" s="191"/>
      <c r="BH9" s="192"/>
      <c r="BI9" s="193">
        <f>COUNTIFS(tblPiNAnalysis512[[#This Row],[Number of missing / zero PiNs greater than threshold - Data quality]:[Manual Flag]],"Flagged")</f>
        <v>2</v>
      </c>
      <c r="BJ9" s="96" t="str">
        <f>IF(tblPiNAnalysis512[[#This Row],['# Flags]]&gt;0, "Flagged", "")</f>
        <v>Flagged</v>
      </c>
      <c r="BK9" s="326" t="e">
        <f>tblPiNAnalysis512[[#This Row],[Preliminary Target]]</f>
        <v>#N/A</v>
      </c>
      <c r="BL9" s="331">
        <v>4</v>
      </c>
    </row>
    <row r="10" spans="1:84" ht="110.7" x14ac:dyDescent="0.55000000000000004">
      <c r="A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 s="316" t="s">
        <v>236</v>
      </c>
      <c r="C10" s="317" t="s">
        <v>237</v>
      </c>
      <c r="D10" s="317" t="s">
        <v>248</v>
      </c>
      <c r="E10" s="105" t="s">
        <v>249</v>
      </c>
      <c r="F10" s="100"/>
      <c r="G10" s="34"/>
      <c r="H10" s="34"/>
      <c r="I10" s="97">
        <v>38535.006634969555</v>
      </c>
      <c r="J10" s="97" t="s">
        <v>412</v>
      </c>
      <c r="K10" s="261">
        <v>0</v>
      </c>
      <c r="L10" s="319">
        <v>0</v>
      </c>
      <c r="M10" s="319">
        <v>0</v>
      </c>
      <c r="N10" s="319">
        <v>0</v>
      </c>
      <c r="O10" s="319">
        <v>0</v>
      </c>
      <c r="P10" s="319">
        <v>0</v>
      </c>
      <c r="Q10" s="320">
        <v>0</v>
      </c>
      <c r="R10" s="319">
        <v>0</v>
      </c>
      <c r="S10" s="319"/>
      <c r="T10" s="319"/>
      <c r="U10" s="319"/>
      <c r="V10" s="319"/>
      <c r="W10" s="321">
        <f>IFERROR(IF(tblPiNAnalysis512[[#This Row],[CCCM]]="", "", MROUND(tblPiNAnalysis512[[#This Row],[CCCM]]/tblPiNAnalysis512[[#This Row],[Affected population projection 2026]], 0.05)), "")</f>
        <v>0</v>
      </c>
      <c r="X10" s="322">
        <f>IFERROR(IF(tblPiNAnalysis512[[#This Row],[Education]]="", "", MROUND(tblPiNAnalysis512[[#This Row],[Education]]/tblPiNAnalysis512[[#This Row],[Affected population projection 2026]], 0.05)), "")</f>
        <v>0</v>
      </c>
      <c r="Y10" s="322">
        <f>IFERROR(IF(tblPiNAnalysis512[[#This Row],[Nutrition]]="", "", MROUND(tblPiNAnalysis512[[#This Row],[Nutrition]]/tblPiNAnalysis512[[#This Row],[Affected population projection 2026]], 0.05)), "")</f>
        <v>0</v>
      </c>
      <c r="Z10" s="322">
        <f>IFERROR(IF(tblPiNAnalysis512[[#This Row],[Food Security]]="", "", MROUND(tblPiNAnalysis512[[#This Row],[Food Security]]/tblPiNAnalysis512[[#This Row],[Affected population projection 2026]], 0.05)), "")</f>
        <v>0</v>
      </c>
      <c r="AA10" s="322">
        <f>IFERROR(IF(tblPiNAnalysis512[[#This Row],[Health]]="", "", MROUND(tblPiNAnalysis512[[#This Row],[Health]]/tblPiNAnalysis512[[#This Row],[Affected population projection 2026]], 0.05)), "")</f>
        <v>0</v>
      </c>
      <c r="AB10" s="323">
        <f>IFERROR(IF(tblPiNAnalysis512[[#This Row],[Overarching Protection]]="", "", MROUND(tblPiNAnalysis512[[#This Row],[Overarching Protection]]/tblPiNAnalysis512[[#This Row],[Affected population projection 2026]], 0.05)), "")</f>
        <v>0</v>
      </c>
      <c r="AC10" s="323">
        <f>IFERROR(IF(tblPiNAnalysis512[[#This Row],[Shelter]]="", "", MROUND(tblPiNAnalysis512[[#This Row],[Shelter]]/tblPiNAnalysis512[[#This Row],[Affected population projection 2026]], 0.05)), "")</f>
        <v>0</v>
      </c>
      <c r="AD10" s="324">
        <f>IFERROR(IF(tblPiNAnalysis512[[#This Row],[WASH]]="", "", MROUND(tblPiNAnalysis512[[#This Row],[WASH]]/tblPiNAnalysis512[[#This Row],[Affected population projection 2026]], 0.05)), "")</f>
        <v>0</v>
      </c>
      <c r="AE10" s="322">
        <f>IFERROR(MROUND(tblPiNAnalysis512[[#This Row],[CP]]/tblPiNAnalysis512[[#This Row],[Affected population projection 2026]], 0.05), "")</f>
        <v>0</v>
      </c>
      <c r="AF10" s="322">
        <f>IFERROR(MROUND(tblPiNAnalysis512[[#This Row],[GBV]]/tblPiNAnalysis512[[#This Row],[Affected population projection 2026]], 0.05), "")</f>
        <v>0</v>
      </c>
      <c r="AG10" s="322">
        <f>IFERROR(MROUND(tblPiNAnalysis512[[#This Row],[Mine Action]]/tblPiNAnalysis512[[#This Row],[Affected population projection 2026]], 0.05), "")</f>
        <v>0</v>
      </c>
      <c r="AH10" s="322">
        <f>IFERROR(MROUND(tblPiNAnalysis512[[#This Row],[HLP]]/tblPiNAnalysis512[[#This Row],[Affected population projection 2026]], 0.05), "")</f>
        <v>0</v>
      </c>
      <c r="AI10" s="325">
        <f>IFERROR(LARGE(tblPiNAnalysis512[[#This Row],[CCCM]:[WASH]], 1), "")</f>
        <v>0</v>
      </c>
      <c r="AJ10" s="326" t="str" cm="1">
        <f t="array" ref="AJ10">IF(tblPiNAnalysis512[[#This Row],[Highest Target]]="", "", _xlfn.TEXTJOIN(CHAR(10), TRUE, IF(tblPiNAnalysis512[[#This Row],[Highest Target]]=tblPiNAnalysis512[[#This Row],[CCCM]:[WASH]], tblPiNAnalysis512[[#Headers],[CCCM]:[WASH]], "")))</f>
        <v>CCCM
Education
Nutrition
Food Security
Health
Overarching Protection
Shelter
WASH</v>
      </c>
      <c r="AK10" s="327">
        <f>IF(tblPiNAnalysis512[[#This Row],[Highest Target]]="", "", tblPiNAnalysis512[[#This Row],[Highest Target]]/tblPiNAnalysis512[[#This Row],[Affected population projection 2026]])</f>
        <v>0</v>
      </c>
      <c r="AL10" s="328" t="str">
        <f>IF(SUM(tblPiNAnalysis512[[#This Row],[CCCM]:[WASH]])=0, "",IF(COUNTIF(tblPiNAnalysis512[[#This Row],[CCCM]:[WASH]],"=0")+COUNTIF(tblPiNAnalysis512[[#This Row],[CCCM]:[WASH]],"")&gt;=zero_pin_thresh, "Flagged", ""))</f>
        <v/>
      </c>
      <c r="AM10" s="329" t="str">
        <f>IFERROR(IF(tblPiNAnalysis512[[#This Row],[Highest Target]]="", "", IF(tblPiNAnalysis512[[#This Row],[Highest sector(s'') Target %]]&gt;=flag_pin_perc, "Flagged", "")), "")</f>
        <v/>
      </c>
      <c r="AN10" s="330" t="str" cm="1">
        <f t="array" ref="AN10">IF(tblPiNAnalysis512[[#This Row],[Highest Target]]=0, "",  IF(OR(COUNTIF(tblPiNAnalysis512[[#This Row],[Highest sector(s)]],tblSubSectorPopulation[Sector])), "Flagged", ""))</f>
        <v/>
      </c>
      <c r="AO10" s="46" cm="1">
        <f t="array" ref="AO1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0" s="331" t="str" cm="1">
        <f t="array" ref="AP10">IF(tblPiNAnalysis512[[#This Row],[2nd Highest Target]]="", "", _xlfn.TEXTJOIN(CHAR(10), TRUE, IF(tblPiNAnalysis512[[#This Row],[2nd Highest Target]]=tblPiNAnalysis512[[#This Row],[CCCM]:[WASH]], tblPiNAnalysis512[[#Headers],[CCCM]:[WASH]], "")))</f>
        <v>CCCM
Education
Nutrition
Food Security
Health
Overarching Protection
Shelter
WASH</v>
      </c>
      <c r="AQ10" s="36">
        <f>IFERROR(tblPiNAnalysis512[[#This Row],[2nd Highest Target]]/tblPiNAnalysis512[[#This Row],[Affected population projection 2026]], "")</f>
        <v>0</v>
      </c>
      <c r="AR10" s="46">
        <f>IFERROR(tblPiNAnalysis512[[#This Row],[Highest Target]]-tblPiNAnalysis512[[#This Row],[2nd Highest Target]], "")</f>
        <v>0</v>
      </c>
      <c r="AS10" s="39" t="str">
        <f>IFERROR(((tblPiNAnalysis512[[#This Row],[Highest Target]]-tblPiNAnalysis512[[#This Row],[2nd Highest Target]])/tblPiNAnalysis512[[#This Row],[2nd Highest Target]]),"")</f>
        <v/>
      </c>
      <c r="AT10" s="39" t="str" cm="1">
        <f t="array" ref="AT1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 s="332" cm="1">
        <f t="array" ref="AU1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0" s="190" t="str" cm="1">
        <f t="array" ref="AV10">IF(tblPiNAnalysis512[[#This Row],[3rd Highest Target]]="", "", _xlfn.TEXTJOIN(CHAR(10), TRUE, IF(tblPiNAnalysis512[[#This Row],[3rd Highest Target]]=tblPiNAnalysis512[[#This Row],[CCCM]:[WASH]], tblPiNAnalysis512[[#Headers],[CCCM]:[WASH]], "")))</f>
        <v>CCCM
Education
Nutrition
Food Security
Health
Overarching Protection
Shelter
WASH</v>
      </c>
      <c r="AW10" s="190">
        <f>IFERROR(tblPiNAnalysis512[[#This Row],[3rd Highest Target]]/tblPiNAnalysis512[[#This Row],[Affected population projection 2026]], "")</f>
        <v>0</v>
      </c>
      <c r="AX10" s="45">
        <f>IFERROR(tblPiNAnalysis512[[#This Row],[Highest Target]]-tblPiNAnalysis512[[#This Row],[3rd Highest Target]],"")</f>
        <v>0</v>
      </c>
      <c r="AY10" s="39" t="str">
        <f>IFERROR(tblPiNAnalysis512[[#This Row],[Difference of Target between Highest and 3rd Highest]]/tblPiNAnalysis512[[#This Row],[3rd Highest Target]], "")</f>
        <v/>
      </c>
      <c r="AZ10" s="330" t="str" cm="1">
        <f t="array" ref="AZ1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 s="300" t="str" cm="1">
        <f t="array" ref="BA1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 s="333" t="str" cm="1">
        <f t="array" ref="BB1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 s="276" t="str" cm="1">
        <f t="array" ref="BC1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 s="334" t="str" cm="1">
        <f t="array" ref="BD1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 s="277" t="e">
        <f>INDEX(tblSeverityAnalysis[Final Severity], MATCH(tblPiNAnalysis512[[#This Row],[ID]],tblSeverityAnalysis[ID], 0))</f>
        <v>#N/A</v>
      </c>
      <c r="BF10" s="61" t="e">
        <f>IF(tblPiNAnalysis512[[#This Row],[Severity]]&gt;2,tblPiNAnalysis512[[#This Row],[Highest Target]],)</f>
        <v>#N/A</v>
      </c>
      <c r="BG10" s="191"/>
      <c r="BH10" s="192"/>
      <c r="BI10" s="193">
        <f>COUNTIFS(tblPiNAnalysis512[[#This Row],[Number of missing / zero PiNs greater than threshold - Data quality]:[Manual Flag]],"Flagged")</f>
        <v>2</v>
      </c>
      <c r="BJ10" s="96" t="str">
        <f>IF(tblPiNAnalysis512[[#This Row],['# Flags]]&gt;0, "Flagged", "")</f>
        <v>Flagged</v>
      </c>
      <c r="BK10" s="326" t="e">
        <f>tblPiNAnalysis512[[#This Row],[Preliminary Target]]</f>
        <v>#N/A</v>
      </c>
      <c r="BL10" s="331">
        <v>5</v>
      </c>
    </row>
    <row r="11" spans="1:84" ht="110.7" x14ac:dyDescent="0.55000000000000004">
      <c r="A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 s="316" t="s">
        <v>250</v>
      </c>
      <c r="C11" s="317" t="s">
        <v>251</v>
      </c>
      <c r="D11" s="317" t="s">
        <v>252</v>
      </c>
      <c r="E11" s="105" t="s">
        <v>253</v>
      </c>
      <c r="F11" s="100"/>
      <c r="G11" s="34"/>
      <c r="H11" s="34"/>
      <c r="I11" s="97">
        <v>4566.5835894145539</v>
      </c>
      <c r="J11" s="97" t="s">
        <v>412</v>
      </c>
      <c r="K11" s="261">
        <v>0</v>
      </c>
      <c r="L11" s="319">
        <v>0</v>
      </c>
      <c r="M11" s="319">
        <v>0</v>
      </c>
      <c r="N11" s="319">
        <v>0</v>
      </c>
      <c r="O11" s="319">
        <v>0</v>
      </c>
      <c r="P11" s="319">
        <v>0</v>
      </c>
      <c r="Q11" s="320">
        <v>0</v>
      </c>
      <c r="R11" s="319">
        <v>0</v>
      </c>
      <c r="S11" s="319"/>
      <c r="T11" s="319"/>
      <c r="U11" s="319"/>
      <c r="V11" s="319"/>
      <c r="W11" s="321">
        <f>IFERROR(IF(tblPiNAnalysis512[[#This Row],[CCCM]]="", "", MROUND(tblPiNAnalysis512[[#This Row],[CCCM]]/tblPiNAnalysis512[[#This Row],[Affected population projection 2026]], 0.05)), "")</f>
        <v>0</v>
      </c>
      <c r="X11" s="322">
        <f>IFERROR(IF(tblPiNAnalysis512[[#This Row],[Education]]="", "", MROUND(tblPiNAnalysis512[[#This Row],[Education]]/tblPiNAnalysis512[[#This Row],[Affected population projection 2026]], 0.05)), "")</f>
        <v>0</v>
      </c>
      <c r="Y11" s="322">
        <f>IFERROR(IF(tblPiNAnalysis512[[#This Row],[Nutrition]]="", "", MROUND(tblPiNAnalysis512[[#This Row],[Nutrition]]/tblPiNAnalysis512[[#This Row],[Affected population projection 2026]], 0.05)), "")</f>
        <v>0</v>
      </c>
      <c r="Z11" s="322">
        <f>IFERROR(IF(tblPiNAnalysis512[[#This Row],[Food Security]]="", "", MROUND(tblPiNAnalysis512[[#This Row],[Food Security]]/tblPiNAnalysis512[[#This Row],[Affected population projection 2026]], 0.05)), "")</f>
        <v>0</v>
      </c>
      <c r="AA11" s="322">
        <f>IFERROR(IF(tblPiNAnalysis512[[#This Row],[Health]]="", "", MROUND(tblPiNAnalysis512[[#This Row],[Health]]/tblPiNAnalysis512[[#This Row],[Affected population projection 2026]], 0.05)), "")</f>
        <v>0</v>
      </c>
      <c r="AB11" s="323">
        <f>IFERROR(IF(tblPiNAnalysis512[[#This Row],[Overarching Protection]]="", "", MROUND(tblPiNAnalysis512[[#This Row],[Overarching Protection]]/tblPiNAnalysis512[[#This Row],[Affected population projection 2026]], 0.05)), "")</f>
        <v>0</v>
      </c>
      <c r="AC11" s="323">
        <f>IFERROR(IF(tblPiNAnalysis512[[#This Row],[Shelter]]="", "", MROUND(tblPiNAnalysis512[[#This Row],[Shelter]]/tblPiNAnalysis512[[#This Row],[Affected population projection 2026]], 0.05)), "")</f>
        <v>0</v>
      </c>
      <c r="AD11" s="324">
        <f>IFERROR(IF(tblPiNAnalysis512[[#This Row],[WASH]]="", "", MROUND(tblPiNAnalysis512[[#This Row],[WASH]]/tblPiNAnalysis512[[#This Row],[Affected population projection 2026]], 0.05)), "")</f>
        <v>0</v>
      </c>
      <c r="AE11" s="322">
        <f>IFERROR(MROUND(tblPiNAnalysis512[[#This Row],[CP]]/tblPiNAnalysis512[[#This Row],[Affected population projection 2026]], 0.05), "")</f>
        <v>0</v>
      </c>
      <c r="AF11" s="322">
        <f>IFERROR(MROUND(tblPiNAnalysis512[[#This Row],[GBV]]/tblPiNAnalysis512[[#This Row],[Affected population projection 2026]], 0.05), "")</f>
        <v>0</v>
      </c>
      <c r="AG11" s="322">
        <f>IFERROR(MROUND(tblPiNAnalysis512[[#This Row],[Mine Action]]/tblPiNAnalysis512[[#This Row],[Affected population projection 2026]], 0.05), "")</f>
        <v>0</v>
      </c>
      <c r="AH11" s="322">
        <f>IFERROR(MROUND(tblPiNAnalysis512[[#This Row],[HLP]]/tblPiNAnalysis512[[#This Row],[Affected population projection 2026]], 0.05), "")</f>
        <v>0</v>
      </c>
      <c r="AI11" s="325">
        <f>IFERROR(LARGE(tblPiNAnalysis512[[#This Row],[CCCM]:[WASH]], 1), "")</f>
        <v>0</v>
      </c>
      <c r="AJ11" s="326" t="str" cm="1">
        <f t="array" ref="AJ11">IF(tblPiNAnalysis512[[#This Row],[Highest Target]]="", "", _xlfn.TEXTJOIN(CHAR(10), TRUE, IF(tblPiNAnalysis512[[#This Row],[Highest Target]]=tblPiNAnalysis512[[#This Row],[CCCM]:[WASH]], tblPiNAnalysis512[[#Headers],[CCCM]:[WASH]], "")))</f>
        <v>CCCM
Education
Nutrition
Food Security
Health
Overarching Protection
Shelter
WASH</v>
      </c>
      <c r="AK11" s="327">
        <f>IF(tblPiNAnalysis512[[#This Row],[Highest Target]]="", "", tblPiNAnalysis512[[#This Row],[Highest Target]]/tblPiNAnalysis512[[#This Row],[Affected population projection 2026]])</f>
        <v>0</v>
      </c>
      <c r="AL11" s="328" t="str">
        <f>IF(SUM(tblPiNAnalysis512[[#This Row],[CCCM]:[WASH]])=0, "",IF(COUNTIF(tblPiNAnalysis512[[#This Row],[CCCM]:[WASH]],"=0")+COUNTIF(tblPiNAnalysis512[[#This Row],[CCCM]:[WASH]],"")&gt;=zero_pin_thresh, "Flagged", ""))</f>
        <v/>
      </c>
      <c r="AM11" s="329" t="str">
        <f>IFERROR(IF(tblPiNAnalysis512[[#This Row],[Highest Target]]="", "", IF(tblPiNAnalysis512[[#This Row],[Highest sector(s'') Target %]]&gt;=flag_pin_perc, "Flagged", "")), "")</f>
        <v/>
      </c>
      <c r="AN11" s="330" t="str" cm="1">
        <f t="array" ref="AN11">IF(tblPiNAnalysis512[[#This Row],[Highest Target]]=0, "",  IF(OR(COUNTIF(tblPiNAnalysis512[[#This Row],[Highest sector(s)]],tblSubSectorPopulation[Sector])), "Flagged", ""))</f>
        <v/>
      </c>
      <c r="AO11" s="46" cm="1">
        <f t="array" ref="AO1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 s="331" t="str" cm="1">
        <f t="array" ref="AP11">IF(tblPiNAnalysis512[[#This Row],[2nd Highest Target]]="", "", _xlfn.TEXTJOIN(CHAR(10), TRUE, IF(tblPiNAnalysis512[[#This Row],[2nd Highest Target]]=tblPiNAnalysis512[[#This Row],[CCCM]:[WASH]], tblPiNAnalysis512[[#Headers],[CCCM]:[WASH]], "")))</f>
        <v>CCCM
Education
Nutrition
Food Security
Health
Overarching Protection
Shelter
WASH</v>
      </c>
      <c r="AQ11" s="36">
        <f>IFERROR(tblPiNAnalysis512[[#This Row],[2nd Highest Target]]/tblPiNAnalysis512[[#This Row],[Affected population projection 2026]], "")</f>
        <v>0</v>
      </c>
      <c r="AR11" s="46">
        <f>IFERROR(tblPiNAnalysis512[[#This Row],[Highest Target]]-tblPiNAnalysis512[[#This Row],[2nd Highest Target]], "")</f>
        <v>0</v>
      </c>
      <c r="AS11" s="39" t="str">
        <f>IFERROR(((tblPiNAnalysis512[[#This Row],[Highest Target]]-tblPiNAnalysis512[[#This Row],[2nd Highest Target]])/tblPiNAnalysis512[[#This Row],[2nd Highest Target]]),"")</f>
        <v/>
      </c>
      <c r="AT11" s="39" t="str" cm="1">
        <f t="array" ref="AT1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 s="332" cm="1">
        <f t="array" ref="AU1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 s="190" t="str" cm="1">
        <f t="array" ref="AV11">IF(tblPiNAnalysis512[[#This Row],[3rd Highest Target]]="", "", _xlfn.TEXTJOIN(CHAR(10), TRUE, IF(tblPiNAnalysis512[[#This Row],[3rd Highest Target]]=tblPiNAnalysis512[[#This Row],[CCCM]:[WASH]], tblPiNAnalysis512[[#Headers],[CCCM]:[WASH]], "")))</f>
        <v>CCCM
Education
Nutrition
Food Security
Health
Overarching Protection
Shelter
WASH</v>
      </c>
      <c r="AW11" s="190">
        <f>IFERROR(tblPiNAnalysis512[[#This Row],[3rd Highest Target]]/tblPiNAnalysis512[[#This Row],[Affected population projection 2026]], "")</f>
        <v>0</v>
      </c>
      <c r="AX11" s="45">
        <f>IFERROR(tblPiNAnalysis512[[#This Row],[Highest Target]]-tblPiNAnalysis512[[#This Row],[3rd Highest Target]],"")</f>
        <v>0</v>
      </c>
      <c r="AY11" s="39" t="str">
        <f>IFERROR(tblPiNAnalysis512[[#This Row],[Difference of Target between Highest and 3rd Highest]]/tblPiNAnalysis512[[#This Row],[3rd Highest Target]], "")</f>
        <v/>
      </c>
      <c r="AZ11" s="330" t="str" cm="1">
        <f t="array" ref="AZ1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 s="300" t="str" cm="1">
        <f t="array" ref="BA1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 s="333" t="str" cm="1">
        <f t="array" ref="BB1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 s="276" t="str" cm="1">
        <f t="array" ref="BC1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 s="334" t="str" cm="1">
        <f t="array" ref="BD1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 s="277" t="e">
        <f>INDEX(tblSeverityAnalysis[Final Severity], MATCH(tblPiNAnalysis512[[#This Row],[ID]],tblSeverityAnalysis[ID], 0))</f>
        <v>#N/A</v>
      </c>
      <c r="BF11" s="61" t="e">
        <f>IF(tblPiNAnalysis512[[#This Row],[Severity]]&gt;2,tblPiNAnalysis512[[#This Row],[Highest Target]],)</f>
        <v>#N/A</v>
      </c>
      <c r="BG11" s="191"/>
      <c r="BH11" s="192"/>
      <c r="BI11" s="193">
        <f>COUNTIFS(tblPiNAnalysis512[[#This Row],[Number of missing / zero PiNs greater than threshold - Data quality]:[Manual Flag]],"Flagged")</f>
        <v>2</v>
      </c>
      <c r="BJ11" s="96" t="str">
        <f>IF(tblPiNAnalysis512[[#This Row],['# Flags]]&gt;0, "Flagged", "")</f>
        <v>Flagged</v>
      </c>
      <c r="BK11" s="326" t="e">
        <f>tblPiNAnalysis512[[#This Row],[Preliminary Target]]</f>
        <v>#N/A</v>
      </c>
      <c r="BL11" s="331">
        <v>4</v>
      </c>
    </row>
    <row r="12" spans="1:84" ht="110.7" x14ac:dyDescent="0.55000000000000004">
      <c r="A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 s="316" t="s">
        <v>250</v>
      </c>
      <c r="C12" s="317" t="s">
        <v>251</v>
      </c>
      <c r="D12" s="317" t="s">
        <v>254</v>
      </c>
      <c r="E12" s="105" t="s">
        <v>255</v>
      </c>
      <c r="F12" s="100"/>
      <c r="G12" s="34"/>
      <c r="H12" s="34"/>
      <c r="I12" s="97">
        <v>6185.6711628854973</v>
      </c>
      <c r="J12" s="97" t="s">
        <v>412</v>
      </c>
      <c r="K12" s="261">
        <v>0</v>
      </c>
      <c r="L12" s="319">
        <v>0</v>
      </c>
      <c r="M12" s="319">
        <v>0</v>
      </c>
      <c r="N12" s="319">
        <v>0</v>
      </c>
      <c r="O12" s="319">
        <v>0</v>
      </c>
      <c r="P12" s="319">
        <v>0</v>
      </c>
      <c r="Q12" s="320">
        <v>0</v>
      </c>
      <c r="R12" s="319">
        <v>0</v>
      </c>
      <c r="S12" s="319"/>
      <c r="T12" s="319"/>
      <c r="U12" s="319"/>
      <c r="V12" s="319"/>
      <c r="W12" s="321">
        <f>IFERROR(IF(tblPiNAnalysis512[[#This Row],[CCCM]]="", "", MROUND(tblPiNAnalysis512[[#This Row],[CCCM]]/tblPiNAnalysis512[[#This Row],[Affected population projection 2026]], 0.05)), "")</f>
        <v>0</v>
      </c>
      <c r="X12" s="322">
        <f>IFERROR(IF(tblPiNAnalysis512[[#This Row],[Education]]="", "", MROUND(tblPiNAnalysis512[[#This Row],[Education]]/tblPiNAnalysis512[[#This Row],[Affected population projection 2026]], 0.05)), "")</f>
        <v>0</v>
      </c>
      <c r="Y12" s="322">
        <f>IFERROR(IF(tblPiNAnalysis512[[#This Row],[Nutrition]]="", "", MROUND(tblPiNAnalysis512[[#This Row],[Nutrition]]/tblPiNAnalysis512[[#This Row],[Affected population projection 2026]], 0.05)), "")</f>
        <v>0</v>
      </c>
      <c r="Z12" s="322">
        <f>IFERROR(IF(tblPiNAnalysis512[[#This Row],[Food Security]]="", "", MROUND(tblPiNAnalysis512[[#This Row],[Food Security]]/tblPiNAnalysis512[[#This Row],[Affected population projection 2026]], 0.05)), "")</f>
        <v>0</v>
      </c>
      <c r="AA12" s="322">
        <f>IFERROR(IF(tblPiNAnalysis512[[#This Row],[Health]]="", "", MROUND(tblPiNAnalysis512[[#This Row],[Health]]/tblPiNAnalysis512[[#This Row],[Affected population projection 2026]], 0.05)), "")</f>
        <v>0</v>
      </c>
      <c r="AB12" s="323">
        <f>IFERROR(IF(tblPiNAnalysis512[[#This Row],[Overarching Protection]]="", "", MROUND(tblPiNAnalysis512[[#This Row],[Overarching Protection]]/tblPiNAnalysis512[[#This Row],[Affected population projection 2026]], 0.05)), "")</f>
        <v>0</v>
      </c>
      <c r="AC12" s="323">
        <f>IFERROR(IF(tblPiNAnalysis512[[#This Row],[Shelter]]="", "", MROUND(tblPiNAnalysis512[[#This Row],[Shelter]]/tblPiNAnalysis512[[#This Row],[Affected population projection 2026]], 0.05)), "")</f>
        <v>0</v>
      </c>
      <c r="AD12" s="324">
        <f>IFERROR(IF(tblPiNAnalysis512[[#This Row],[WASH]]="", "", MROUND(tblPiNAnalysis512[[#This Row],[WASH]]/tblPiNAnalysis512[[#This Row],[Affected population projection 2026]], 0.05)), "")</f>
        <v>0</v>
      </c>
      <c r="AE12" s="322">
        <f>IFERROR(MROUND(tblPiNAnalysis512[[#This Row],[CP]]/tblPiNAnalysis512[[#This Row],[Affected population projection 2026]], 0.05), "")</f>
        <v>0</v>
      </c>
      <c r="AF12" s="322">
        <f>IFERROR(MROUND(tblPiNAnalysis512[[#This Row],[GBV]]/tblPiNAnalysis512[[#This Row],[Affected population projection 2026]], 0.05), "")</f>
        <v>0</v>
      </c>
      <c r="AG12" s="322">
        <f>IFERROR(MROUND(tblPiNAnalysis512[[#This Row],[Mine Action]]/tblPiNAnalysis512[[#This Row],[Affected population projection 2026]], 0.05), "")</f>
        <v>0</v>
      </c>
      <c r="AH12" s="322">
        <f>IFERROR(MROUND(tblPiNAnalysis512[[#This Row],[HLP]]/tblPiNAnalysis512[[#This Row],[Affected population projection 2026]], 0.05), "")</f>
        <v>0</v>
      </c>
      <c r="AI12" s="325">
        <f>IFERROR(LARGE(tblPiNAnalysis512[[#This Row],[CCCM]:[WASH]], 1), "")</f>
        <v>0</v>
      </c>
      <c r="AJ12" s="326" t="str" cm="1">
        <f t="array" ref="AJ12">IF(tblPiNAnalysis512[[#This Row],[Highest Target]]="", "", _xlfn.TEXTJOIN(CHAR(10), TRUE, IF(tblPiNAnalysis512[[#This Row],[Highest Target]]=tblPiNAnalysis512[[#This Row],[CCCM]:[WASH]], tblPiNAnalysis512[[#Headers],[CCCM]:[WASH]], "")))</f>
        <v>CCCM
Education
Nutrition
Food Security
Health
Overarching Protection
Shelter
WASH</v>
      </c>
      <c r="AK12" s="327">
        <f>IF(tblPiNAnalysis512[[#This Row],[Highest Target]]="", "", tblPiNAnalysis512[[#This Row],[Highest Target]]/tblPiNAnalysis512[[#This Row],[Affected population projection 2026]])</f>
        <v>0</v>
      </c>
      <c r="AL12" s="328" t="str">
        <f>IF(SUM(tblPiNAnalysis512[[#This Row],[CCCM]:[WASH]])=0, "",IF(COUNTIF(tblPiNAnalysis512[[#This Row],[CCCM]:[WASH]],"=0")+COUNTIF(tblPiNAnalysis512[[#This Row],[CCCM]:[WASH]],"")&gt;=zero_pin_thresh, "Flagged", ""))</f>
        <v/>
      </c>
      <c r="AM12" s="329" t="str">
        <f>IFERROR(IF(tblPiNAnalysis512[[#This Row],[Highest Target]]="", "", IF(tblPiNAnalysis512[[#This Row],[Highest sector(s'') Target %]]&gt;=flag_pin_perc, "Flagged", "")), "")</f>
        <v/>
      </c>
      <c r="AN12" s="330" t="str" cm="1">
        <f t="array" ref="AN12">IF(tblPiNAnalysis512[[#This Row],[Highest Target]]=0, "",  IF(OR(COUNTIF(tblPiNAnalysis512[[#This Row],[Highest sector(s)]],tblSubSectorPopulation[Sector])), "Flagged", ""))</f>
        <v/>
      </c>
      <c r="AO12" s="46" cm="1">
        <f t="array" ref="AO1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2" s="331" t="str" cm="1">
        <f t="array" ref="AP12">IF(tblPiNAnalysis512[[#This Row],[2nd Highest Target]]="", "", _xlfn.TEXTJOIN(CHAR(10), TRUE, IF(tblPiNAnalysis512[[#This Row],[2nd Highest Target]]=tblPiNAnalysis512[[#This Row],[CCCM]:[WASH]], tblPiNAnalysis512[[#Headers],[CCCM]:[WASH]], "")))</f>
        <v>CCCM
Education
Nutrition
Food Security
Health
Overarching Protection
Shelter
WASH</v>
      </c>
      <c r="AQ12" s="36">
        <f>IFERROR(tblPiNAnalysis512[[#This Row],[2nd Highest Target]]/tblPiNAnalysis512[[#This Row],[Affected population projection 2026]], "")</f>
        <v>0</v>
      </c>
      <c r="AR12" s="46">
        <f>IFERROR(tblPiNAnalysis512[[#This Row],[Highest Target]]-tblPiNAnalysis512[[#This Row],[2nd Highest Target]], "")</f>
        <v>0</v>
      </c>
      <c r="AS12" s="39" t="str">
        <f>IFERROR(((tblPiNAnalysis512[[#This Row],[Highest Target]]-tblPiNAnalysis512[[#This Row],[2nd Highest Target]])/tblPiNAnalysis512[[#This Row],[2nd Highest Target]]),"")</f>
        <v/>
      </c>
      <c r="AT12" s="39" t="str" cm="1">
        <f t="array" ref="AT1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 s="332" cm="1">
        <f t="array" ref="AU1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2" s="190" t="str" cm="1">
        <f t="array" ref="AV12">IF(tblPiNAnalysis512[[#This Row],[3rd Highest Target]]="", "", _xlfn.TEXTJOIN(CHAR(10), TRUE, IF(tblPiNAnalysis512[[#This Row],[3rd Highest Target]]=tblPiNAnalysis512[[#This Row],[CCCM]:[WASH]], tblPiNAnalysis512[[#Headers],[CCCM]:[WASH]], "")))</f>
        <v>CCCM
Education
Nutrition
Food Security
Health
Overarching Protection
Shelter
WASH</v>
      </c>
      <c r="AW12" s="190">
        <f>IFERROR(tblPiNAnalysis512[[#This Row],[3rd Highest Target]]/tblPiNAnalysis512[[#This Row],[Affected population projection 2026]], "")</f>
        <v>0</v>
      </c>
      <c r="AX12" s="45">
        <f>IFERROR(tblPiNAnalysis512[[#This Row],[Highest Target]]-tblPiNAnalysis512[[#This Row],[3rd Highest Target]],"")</f>
        <v>0</v>
      </c>
      <c r="AY12" s="39" t="str">
        <f>IFERROR(tblPiNAnalysis512[[#This Row],[Difference of Target between Highest and 3rd Highest]]/tblPiNAnalysis512[[#This Row],[3rd Highest Target]], "")</f>
        <v/>
      </c>
      <c r="AZ12" s="330" t="str" cm="1">
        <f t="array" ref="AZ1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 s="300" t="str" cm="1">
        <f t="array" ref="BA1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 s="333" t="str" cm="1">
        <f t="array" ref="BB1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 s="276" t="str" cm="1">
        <f t="array" ref="BC1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 s="334" t="str" cm="1">
        <f t="array" ref="BD1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 s="277" t="e">
        <f>INDEX(tblSeverityAnalysis[Final Severity], MATCH(tblPiNAnalysis512[[#This Row],[ID]],tblSeverityAnalysis[ID], 0))</f>
        <v>#N/A</v>
      </c>
      <c r="BF12" s="61" t="e">
        <f>IF(tblPiNAnalysis512[[#This Row],[Severity]]&gt;2,tblPiNAnalysis512[[#This Row],[Highest Target]],)</f>
        <v>#N/A</v>
      </c>
      <c r="BG12" s="191"/>
      <c r="BH12" s="192"/>
      <c r="BI12" s="193">
        <f>COUNTIFS(tblPiNAnalysis512[[#This Row],[Number of missing / zero PiNs greater than threshold - Data quality]:[Manual Flag]],"Flagged")</f>
        <v>2</v>
      </c>
      <c r="BJ12" s="96" t="str">
        <f>IF(tblPiNAnalysis512[[#This Row],['# Flags]]&gt;0, "Flagged", "")</f>
        <v>Flagged</v>
      </c>
      <c r="BK12" s="326" t="e">
        <f>tblPiNAnalysis512[[#This Row],[Preliminary Target]]</f>
        <v>#N/A</v>
      </c>
      <c r="BL12" s="331">
        <v>4</v>
      </c>
    </row>
    <row r="13" spans="1:84" x14ac:dyDescent="0.55000000000000004">
      <c r="A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 s="316" t="s">
        <v>250</v>
      </c>
      <c r="C13" s="317" t="s">
        <v>251</v>
      </c>
      <c r="D13" s="317" t="s">
        <v>256</v>
      </c>
      <c r="E13" s="105" t="s">
        <v>257</v>
      </c>
      <c r="F13" s="100"/>
      <c r="G13" s="34"/>
      <c r="H13" s="34"/>
      <c r="I13" s="97">
        <v>2159.7729564411493</v>
      </c>
      <c r="J13" s="97" t="s">
        <v>412</v>
      </c>
      <c r="K13" s="261">
        <v>0</v>
      </c>
      <c r="L13" s="319">
        <v>368.88922096014835</v>
      </c>
      <c r="M13" s="319">
        <v>478.28693723217754</v>
      </c>
      <c r="N13" s="319">
        <v>873.61167017554192</v>
      </c>
      <c r="O13" s="319">
        <v>586.43658534256826</v>
      </c>
      <c r="P13" s="319">
        <v>922.90587367903663</v>
      </c>
      <c r="Q13" s="320">
        <v>0</v>
      </c>
      <c r="R13" s="319">
        <v>1210.2431450016591</v>
      </c>
      <c r="S13" s="319"/>
      <c r="T13" s="319"/>
      <c r="U13" s="319"/>
      <c r="V13" s="319"/>
      <c r="W13" s="321">
        <f>IFERROR(IF(tblPiNAnalysis512[[#This Row],[CCCM]]="", "", MROUND(tblPiNAnalysis512[[#This Row],[CCCM]]/tblPiNAnalysis512[[#This Row],[Affected population projection 2026]], 0.05)), "")</f>
        <v>0</v>
      </c>
      <c r="X13" s="322">
        <f>IFERROR(IF(tblPiNAnalysis512[[#This Row],[Education]]="", "", MROUND(tblPiNAnalysis512[[#This Row],[Education]]/tblPiNAnalysis512[[#This Row],[Affected population projection 2026]], 0.05)), "")</f>
        <v>0.15000000000000002</v>
      </c>
      <c r="Y13" s="322">
        <f>IFERROR(IF(tblPiNAnalysis512[[#This Row],[Nutrition]]="", "", MROUND(tblPiNAnalysis512[[#This Row],[Nutrition]]/tblPiNAnalysis512[[#This Row],[Affected population projection 2026]], 0.05)), "")</f>
        <v>0.2</v>
      </c>
      <c r="Z13" s="322">
        <f>IFERROR(IF(tblPiNAnalysis512[[#This Row],[Food Security]]="", "", MROUND(tblPiNAnalysis512[[#This Row],[Food Security]]/tblPiNAnalysis512[[#This Row],[Affected population projection 2026]], 0.05)), "")</f>
        <v>0.4</v>
      </c>
      <c r="AA13" s="322">
        <f>IFERROR(IF(tblPiNAnalysis512[[#This Row],[Health]]="", "", MROUND(tblPiNAnalysis512[[#This Row],[Health]]/tblPiNAnalysis512[[#This Row],[Affected population projection 2026]], 0.05)), "")</f>
        <v>0.25</v>
      </c>
      <c r="AB13" s="323">
        <f>IFERROR(IF(tblPiNAnalysis512[[#This Row],[Overarching Protection]]="", "", MROUND(tblPiNAnalysis512[[#This Row],[Overarching Protection]]/tblPiNAnalysis512[[#This Row],[Affected population projection 2026]], 0.05)), "")</f>
        <v>0.45</v>
      </c>
      <c r="AC13" s="323">
        <f>IFERROR(IF(tblPiNAnalysis512[[#This Row],[Shelter]]="", "", MROUND(tblPiNAnalysis512[[#This Row],[Shelter]]/tblPiNAnalysis512[[#This Row],[Affected population projection 2026]], 0.05)), "")</f>
        <v>0</v>
      </c>
      <c r="AD13" s="324">
        <f>IFERROR(IF(tblPiNAnalysis512[[#This Row],[WASH]]="", "", MROUND(tblPiNAnalysis512[[#This Row],[WASH]]/tblPiNAnalysis512[[#This Row],[Affected population projection 2026]], 0.05)), "")</f>
        <v>0.55000000000000004</v>
      </c>
      <c r="AE13" s="322">
        <f>IFERROR(MROUND(tblPiNAnalysis512[[#This Row],[CP]]/tblPiNAnalysis512[[#This Row],[Affected population projection 2026]], 0.05), "")</f>
        <v>0</v>
      </c>
      <c r="AF13" s="322">
        <f>IFERROR(MROUND(tblPiNAnalysis512[[#This Row],[GBV]]/tblPiNAnalysis512[[#This Row],[Affected population projection 2026]], 0.05), "")</f>
        <v>0</v>
      </c>
      <c r="AG13" s="322">
        <f>IFERROR(MROUND(tblPiNAnalysis512[[#This Row],[Mine Action]]/tblPiNAnalysis512[[#This Row],[Affected population projection 2026]], 0.05), "")</f>
        <v>0</v>
      </c>
      <c r="AH13" s="322">
        <f>IFERROR(MROUND(tblPiNAnalysis512[[#This Row],[HLP]]/tblPiNAnalysis512[[#This Row],[Affected population projection 2026]], 0.05), "")</f>
        <v>0</v>
      </c>
      <c r="AI13" s="325">
        <f>IFERROR(LARGE(tblPiNAnalysis512[[#This Row],[CCCM]:[WASH]], 1), "")</f>
        <v>1210.2431450016591</v>
      </c>
      <c r="AJ13" s="326" t="str" cm="1">
        <f t="array" ref="AJ13">IF(tblPiNAnalysis512[[#This Row],[Highest Target]]="", "", _xlfn.TEXTJOIN(CHAR(10), TRUE, IF(tblPiNAnalysis512[[#This Row],[Highest Target]]=tblPiNAnalysis512[[#This Row],[CCCM]:[WASH]], tblPiNAnalysis512[[#Headers],[CCCM]:[WASH]], "")))</f>
        <v>WASH</v>
      </c>
      <c r="AK13" s="327">
        <f>IF(tblPiNAnalysis512[[#This Row],[Highest Target]]="", "", tblPiNAnalysis512[[#This Row],[Highest Target]]/tblPiNAnalysis512[[#This Row],[Affected population projection 2026]])</f>
        <v>0.56035665294924553</v>
      </c>
      <c r="AL13" s="328" t="str">
        <f>IF(SUM(tblPiNAnalysis512[[#This Row],[CCCM]:[WASH]])=0, "",IF(COUNTIF(tblPiNAnalysis512[[#This Row],[CCCM]:[WASH]],"=0")+COUNTIF(tblPiNAnalysis512[[#This Row],[CCCM]:[WASH]],"")&gt;=zero_pin_thresh, "Flagged", ""))</f>
        <v>Flagged</v>
      </c>
      <c r="AM13" s="329" t="str">
        <f>IFERROR(IF(tblPiNAnalysis512[[#This Row],[Highest Target]]="", "", IF(tblPiNAnalysis512[[#This Row],[Highest sector(s'') Target %]]&gt;=flag_pin_perc, "Flagged", "")), "")</f>
        <v/>
      </c>
      <c r="AN13" s="330" t="str" cm="1">
        <f t="array" ref="AN13">IF(tblPiNAnalysis512[[#This Row],[Highest Target]]=0, "",  IF(OR(COUNTIF(tblPiNAnalysis512[[#This Row],[Highest sector(s)]],tblSubSectorPopulation[Sector])), "Flagged", ""))</f>
        <v/>
      </c>
      <c r="AO13" s="46" cm="1">
        <f t="array" ref="AO1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922.90587367903663</v>
      </c>
      <c r="AP13" s="331" t="str" cm="1">
        <f t="array" ref="AP13">IF(tblPiNAnalysis512[[#This Row],[2nd Highest Target]]="", "", _xlfn.TEXTJOIN(CHAR(10), TRUE, IF(tblPiNAnalysis512[[#This Row],[2nd Highest Target]]=tblPiNAnalysis512[[#This Row],[CCCM]:[WASH]], tblPiNAnalysis512[[#Headers],[CCCM]:[WASH]], "")))</f>
        <v>Overarching Protection</v>
      </c>
      <c r="AQ13" s="36">
        <f>IFERROR(tblPiNAnalysis512[[#This Row],[2nd Highest Target]]/tblPiNAnalysis512[[#This Row],[Affected population projection 2026]], "")</f>
        <v>0.42731615419418484</v>
      </c>
      <c r="AR13" s="46">
        <f>IFERROR(tblPiNAnalysis512[[#This Row],[Highest Target]]-tblPiNAnalysis512[[#This Row],[2nd Highest Target]], "")</f>
        <v>287.33727132262243</v>
      </c>
      <c r="AS13" s="39">
        <f>IFERROR(((tblPiNAnalysis512[[#This Row],[Highest Target]]-tblPiNAnalysis512[[#This Row],[2nd Highest Target]])/tblPiNAnalysis512[[#This Row],[2nd Highest Target]]),"")</f>
        <v>0.31133973628013889</v>
      </c>
      <c r="AT13" s="39" t="str" cm="1">
        <f t="array" ref="AT1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3" s="332" cm="1">
        <f t="array" ref="AU1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873.61167017554192</v>
      </c>
      <c r="AV13" s="190" t="str" cm="1">
        <f t="array" ref="AV13">IF(tblPiNAnalysis512[[#This Row],[3rd Highest Target]]="", "", _xlfn.TEXTJOIN(CHAR(10), TRUE, IF(tblPiNAnalysis512[[#This Row],[3rd Highest Target]]=tblPiNAnalysis512[[#This Row],[CCCM]:[WASH]], tblPiNAnalysis512[[#Headers],[CCCM]:[WASH]], "")))</f>
        <v>Food Security</v>
      </c>
      <c r="AW13" s="190">
        <f>IFERROR(tblPiNAnalysis512[[#This Row],[3rd Highest Target]]/tblPiNAnalysis512[[#This Row],[Affected population projection 2026]], "")</f>
        <v>0.40449236461182003</v>
      </c>
      <c r="AX13" s="45">
        <f>IFERROR(tblPiNAnalysis512[[#This Row],[Highest Target]]-tblPiNAnalysis512[[#This Row],[3rd Highest Target]],"")</f>
        <v>336.63147482611714</v>
      </c>
      <c r="AY13" s="39">
        <f>IFERROR(tblPiNAnalysis512[[#This Row],[Difference of Target between Highest and 3rd Highest]]/tblPiNAnalysis512[[#This Row],[3rd Highest Target]], "")</f>
        <v>0.3853330791225294</v>
      </c>
      <c r="AZ13" s="330" t="str" cm="1">
        <f t="array" ref="AZ1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 s="300" t="str" cm="1">
        <f t="array" ref="BA1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 s="333" t="str" cm="1">
        <f t="array" ref="BB1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 s="276" t="str" cm="1">
        <f t="array" ref="BC1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 s="334" t="str" cm="1">
        <f t="array" ref="BD1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3" s="277" t="e">
        <f>INDEX(tblSeverityAnalysis[Final Severity], MATCH(tblPiNAnalysis512[[#This Row],[ID]],tblSeverityAnalysis[ID], 0))</f>
        <v>#N/A</v>
      </c>
      <c r="BF13" s="61" t="e">
        <f>IF(tblPiNAnalysis512[[#This Row],[Severity]]&gt;2,tblPiNAnalysis512[[#This Row],[Highest Target]],)</f>
        <v>#N/A</v>
      </c>
      <c r="BG13" s="191"/>
      <c r="BH13" s="192"/>
      <c r="BI13" s="193">
        <f>COUNTIFS(tblPiNAnalysis512[[#This Row],[Number of missing / zero PiNs greater than threshold - Data quality]:[Manual Flag]],"Flagged")</f>
        <v>2</v>
      </c>
      <c r="BJ13" s="96" t="str">
        <f>IF(tblPiNAnalysis512[[#This Row],['# Flags]]&gt;0, "Flagged", "")</f>
        <v>Flagged</v>
      </c>
      <c r="BK13" s="326" t="e">
        <f>tblPiNAnalysis512[[#This Row],[Preliminary Target]]</f>
        <v>#N/A</v>
      </c>
      <c r="BL13" s="331">
        <v>2</v>
      </c>
    </row>
    <row r="14" spans="1:84" x14ac:dyDescent="0.55000000000000004">
      <c r="A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 s="316" t="s">
        <v>250</v>
      </c>
      <c r="C14" s="317" t="s">
        <v>251</v>
      </c>
      <c r="D14" s="317" t="s">
        <v>258</v>
      </c>
      <c r="E14" s="105" t="s">
        <v>259</v>
      </c>
      <c r="F14" s="100"/>
      <c r="G14" s="34"/>
      <c r="H14" s="34"/>
      <c r="I14" s="97">
        <v>8023.4115031633137</v>
      </c>
      <c r="J14" s="97" t="s">
        <v>412</v>
      </c>
      <c r="K14" s="261"/>
      <c r="L14" s="319"/>
      <c r="M14" s="319"/>
      <c r="N14" s="319"/>
      <c r="O14" s="319"/>
      <c r="P14" s="319"/>
      <c r="Q14" s="320"/>
      <c r="R14" s="319"/>
      <c r="S14" s="319"/>
      <c r="T14" s="319"/>
      <c r="U14" s="319"/>
      <c r="V14" s="319"/>
      <c r="W14" s="321" t="str">
        <f>IFERROR(IF(tblPiNAnalysis512[[#This Row],[CCCM]]="", "", MROUND(tblPiNAnalysis512[[#This Row],[CCCM]]/tblPiNAnalysis512[[#This Row],[Affected population projection 2026]], 0.05)), "")</f>
        <v/>
      </c>
      <c r="X14" s="322" t="str">
        <f>IFERROR(IF(tblPiNAnalysis512[[#This Row],[Education]]="", "", MROUND(tblPiNAnalysis512[[#This Row],[Education]]/tblPiNAnalysis512[[#This Row],[Affected population projection 2026]], 0.05)), "")</f>
        <v/>
      </c>
      <c r="Y14" s="322" t="str">
        <f>IFERROR(IF(tblPiNAnalysis512[[#This Row],[Nutrition]]="", "", MROUND(tblPiNAnalysis512[[#This Row],[Nutrition]]/tblPiNAnalysis512[[#This Row],[Affected population projection 2026]], 0.05)), "")</f>
        <v/>
      </c>
      <c r="Z14" s="322" t="str">
        <f>IFERROR(IF(tblPiNAnalysis512[[#This Row],[Food Security]]="", "", MROUND(tblPiNAnalysis512[[#This Row],[Food Security]]/tblPiNAnalysis512[[#This Row],[Affected population projection 2026]], 0.05)), "")</f>
        <v/>
      </c>
      <c r="AA14" s="322" t="str">
        <f>IFERROR(IF(tblPiNAnalysis512[[#This Row],[Health]]="", "", MROUND(tblPiNAnalysis512[[#This Row],[Health]]/tblPiNAnalysis512[[#This Row],[Affected population projection 2026]], 0.05)), "")</f>
        <v/>
      </c>
      <c r="AB14" s="323" t="str">
        <f>IFERROR(IF(tblPiNAnalysis512[[#This Row],[Overarching Protection]]="", "", MROUND(tblPiNAnalysis512[[#This Row],[Overarching Protection]]/tblPiNAnalysis512[[#This Row],[Affected population projection 2026]], 0.05)), "")</f>
        <v/>
      </c>
      <c r="AC14" s="323" t="str">
        <f>IFERROR(IF(tblPiNAnalysis512[[#This Row],[Shelter]]="", "", MROUND(tblPiNAnalysis512[[#This Row],[Shelter]]/tblPiNAnalysis512[[#This Row],[Affected population projection 2026]], 0.05)), "")</f>
        <v/>
      </c>
      <c r="AD14" s="324" t="str">
        <f>IFERROR(IF(tblPiNAnalysis512[[#This Row],[WASH]]="", "", MROUND(tblPiNAnalysis512[[#This Row],[WASH]]/tblPiNAnalysis512[[#This Row],[Affected population projection 2026]], 0.05)), "")</f>
        <v/>
      </c>
      <c r="AE14" s="322">
        <f>IFERROR(MROUND(tblPiNAnalysis512[[#This Row],[CP]]/tblPiNAnalysis512[[#This Row],[Affected population projection 2026]], 0.05), "")</f>
        <v>0</v>
      </c>
      <c r="AF14" s="322">
        <f>IFERROR(MROUND(tblPiNAnalysis512[[#This Row],[GBV]]/tblPiNAnalysis512[[#This Row],[Affected population projection 2026]], 0.05), "")</f>
        <v>0</v>
      </c>
      <c r="AG14" s="322">
        <f>IFERROR(MROUND(tblPiNAnalysis512[[#This Row],[Mine Action]]/tblPiNAnalysis512[[#This Row],[Affected population projection 2026]], 0.05), "")</f>
        <v>0</v>
      </c>
      <c r="AH14" s="322">
        <f>IFERROR(MROUND(tblPiNAnalysis512[[#This Row],[HLP]]/tblPiNAnalysis512[[#This Row],[Affected population projection 2026]], 0.05), "")</f>
        <v>0</v>
      </c>
      <c r="AI14" s="325" t="str">
        <f>IFERROR(LARGE(tblPiNAnalysis512[[#This Row],[CCCM]:[WASH]], 1), "")</f>
        <v/>
      </c>
      <c r="AJ14" s="326" t="str" cm="1">
        <f t="array" ref="AJ14">IF(tblPiNAnalysis512[[#This Row],[Highest Target]]="", "", _xlfn.TEXTJOIN(CHAR(10), TRUE, IF(tblPiNAnalysis512[[#This Row],[Highest Target]]=tblPiNAnalysis512[[#This Row],[CCCM]:[WASH]], tblPiNAnalysis512[[#Headers],[CCCM]:[WASH]], "")))</f>
        <v/>
      </c>
      <c r="AK14" s="327" t="str">
        <f>IF(tblPiNAnalysis512[[#This Row],[Highest Target]]="", "", tblPiNAnalysis512[[#This Row],[Highest Target]]/tblPiNAnalysis512[[#This Row],[Affected population projection 2026]])</f>
        <v/>
      </c>
      <c r="AL14" s="328" t="str">
        <f>IF(SUM(tblPiNAnalysis512[[#This Row],[CCCM]:[WASH]])=0, "",IF(COUNTIF(tblPiNAnalysis512[[#This Row],[CCCM]:[WASH]],"=0")+COUNTIF(tblPiNAnalysis512[[#This Row],[CCCM]:[WASH]],"")&gt;=zero_pin_thresh, "Flagged", ""))</f>
        <v/>
      </c>
      <c r="AM14" s="329" t="str">
        <f>IFERROR(IF(tblPiNAnalysis512[[#This Row],[Highest Target]]="", "", IF(tblPiNAnalysis512[[#This Row],[Highest sector(s'') Target %]]&gt;=flag_pin_perc, "Flagged", "")), "")</f>
        <v/>
      </c>
      <c r="AN14" s="330" t="str" cm="1">
        <f t="array" ref="AN14">IF(tblPiNAnalysis512[[#This Row],[Highest Target]]=0, "",  IF(OR(COUNTIF(tblPiNAnalysis512[[#This Row],[Highest sector(s)]],tblSubSectorPopulation[Sector])), "Flagged", ""))</f>
        <v/>
      </c>
      <c r="AO14" s="46" t="str" cm="1">
        <f t="array" ref="AO1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4" s="331" t="str" cm="1">
        <f t="array" ref="AP14">IF(tblPiNAnalysis512[[#This Row],[2nd Highest Target]]="", "", _xlfn.TEXTJOIN(CHAR(10), TRUE, IF(tblPiNAnalysis512[[#This Row],[2nd Highest Target]]=tblPiNAnalysis512[[#This Row],[CCCM]:[WASH]], tblPiNAnalysis512[[#Headers],[CCCM]:[WASH]], "")))</f>
        <v/>
      </c>
      <c r="AQ14" s="36" t="str">
        <f>IFERROR(tblPiNAnalysis512[[#This Row],[2nd Highest Target]]/tblPiNAnalysis512[[#This Row],[Affected population projection 2026]], "")</f>
        <v/>
      </c>
      <c r="AR14" s="46" t="str">
        <f>IFERROR(tblPiNAnalysis512[[#This Row],[Highest Target]]-tblPiNAnalysis512[[#This Row],[2nd Highest Target]], "")</f>
        <v/>
      </c>
      <c r="AS14" s="39" t="str">
        <f>IFERROR(((tblPiNAnalysis512[[#This Row],[Highest Target]]-tblPiNAnalysis512[[#This Row],[2nd Highest Target]])/tblPiNAnalysis512[[#This Row],[2nd Highest Target]]),"")</f>
        <v/>
      </c>
      <c r="AT14" s="39" t="str" cm="1">
        <f t="array" ref="AT1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 s="332" t="str" cm="1">
        <f t="array" ref="AU1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4" s="190" t="str" cm="1">
        <f t="array" ref="AV14">IF(tblPiNAnalysis512[[#This Row],[3rd Highest Target]]="", "", _xlfn.TEXTJOIN(CHAR(10), TRUE, IF(tblPiNAnalysis512[[#This Row],[3rd Highest Target]]=tblPiNAnalysis512[[#This Row],[CCCM]:[WASH]], tblPiNAnalysis512[[#Headers],[CCCM]:[WASH]], "")))</f>
        <v/>
      </c>
      <c r="AW14" s="190" t="str">
        <f>IFERROR(tblPiNAnalysis512[[#This Row],[3rd Highest Target]]/tblPiNAnalysis512[[#This Row],[Affected population projection 2026]], "")</f>
        <v/>
      </c>
      <c r="AX14" s="45" t="str">
        <f>IFERROR(tblPiNAnalysis512[[#This Row],[Highest Target]]-tblPiNAnalysis512[[#This Row],[3rd Highest Target]],"")</f>
        <v/>
      </c>
      <c r="AY14" s="39" t="str">
        <f>IFERROR(tblPiNAnalysis512[[#This Row],[Difference of Target between Highest and 3rd Highest]]/tblPiNAnalysis512[[#This Row],[3rd Highest Target]], "")</f>
        <v/>
      </c>
      <c r="AZ14" s="330" t="str" cm="1">
        <f t="array" ref="AZ1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 s="300" t="str" cm="1">
        <f t="array" ref="BA1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 s="333" t="str" cm="1">
        <f t="array" ref="BB1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 s="276" t="str" cm="1">
        <f t="array" ref="BC1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 s="334" t="str" cm="1">
        <f t="array" ref="BD1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 s="277" t="e">
        <f>INDEX(tblSeverityAnalysis[Final Severity], MATCH(tblPiNAnalysis512[[#This Row],[ID]],tblSeverityAnalysis[ID], 0))</f>
        <v>#N/A</v>
      </c>
      <c r="BF14" s="61" t="e">
        <f>IF(tblPiNAnalysis512[[#This Row],[Severity]]&gt;2,tblPiNAnalysis512[[#This Row],[Highest Target]],)</f>
        <v>#N/A</v>
      </c>
      <c r="BG14" s="191"/>
      <c r="BH14" s="192"/>
      <c r="BI14" s="193">
        <f>COUNTIFS(tblPiNAnalysis512[[#This Row],[Number of missing / zero PiNs greater than threshold - Data quality]:[Manual Flag]],"Flagged")</f>
        <v>2</v>
      </c>
      <c r="BJ14" s="96" t="str">
        <f>IF(tblPiNAnalysis512[[#This Row],['# Flags]]&gt;0, "Flagged", "")</f>
        <v>Flagged</v>
      </c>
      <c r="BK14" s="326" t="e">
        <f>tblPiNAnalysis512[[#This Row],[Preliminary Target]]</f>
        <v>#N/A</v>
      </c>
      <c r="BL14" s="331">
        <v>3</v>
      </c>
    </row>
    <row r="15" spans="1:84" x14ac:dyDescent="0.55000000000000004">
      <c r="A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 s="316" t="s">
        <v>250</v>
      </c>
      <c r="C15" s="317" t="s">
        <v>251</v>
      </c>
      <c r="D15" s="317" t="s">
        <v>260</v>
      </c>
      <c r="E15" s="105" t="s">
        <v>261</v>
      </c>
      <c r="F15" s="100"/>
      <c r="G15" s="34"/>
      <c r="H15" s="34"/>
      <c r="I15" s="97">
        <v>4829.7886557975189</v>
      </c>
      <c r="J15" s="97" t="s">
        <v>412</v>
      </c>
      <c r="K15" s="261"/>
      <c r="L15" s="319"/>
      <c r="M15" s="319"/>
      <c r="N15" s="319"/>
      <c r="O15" s="319"/>
      <c r="P15" s="319"/>
      <c r="Q15" s="320"/>
      <c r="R15" s="319"/>
      <c r="S15" s="319"/>
      <c r="T15" s="319"/>
      <c r="U15" s="319"/>
      <c r="V15" s="319"/>
      <c r="W15" s="321" t="str">
        <f>IFERROR(IF(tblPiNAnalysis512[[#This Row],[CCCM]]="", "", MROUND(tblPiNAnalysis512[[#This Row],[CCCM]]/tblPiNAnalysis512[[#This Row],[Affected population projection 2026]], 0.05)), "")</f>
        <v/>
      </c>
      <c r="X15" s="322" t="str">
        <f>IFERROR(IF(tblPiNAnalysis512[[#This Row],[Education]]="", "", MROUND(tblPiNAnalysis512[[#This Row],[Education]]/tblPiNAnalysis512[[#This Row],[Affected population projection 2026]], 0.05)), "")</f>
        <v/>
      </c>
      <c r="Y15" s="322" t="str">
        <f>IFERROR(IF(tblPiNAnalysis512[[#This Row],[Nutrition]]="", "", MROUND(tblPiNAnalysis512[[#This Row],[Nutrition]]/tblPiNAnalysis512[[#This Row],[Affected population projection 2026]], 0.05)), "")</f>
        <v/>
      </c>
      <c r="Z15" s="322" t="str">
        <f>IFERROR(IF(tblPiNAnalysis512[[#This Row],[Food Security]]="", "", MROUND(tblPiNAnalysis512[[#This Row],[Food Security]]/tblPiNAnalysis512[[#This Row],[Affected population projection 2026]], 0.05)), "")</f>
        <v/>
      </c>
      <c r="AA15" s="322" t="str">
        <f>IFERROR(IF(tblPiNAnalysis512[[#This Row],[Health]]="", "", MROUND(tblPiNAnalysis512[[#This Row],[Health]]/tblPiNAnalysis512[[#This Row],[Affected population projection 2026]], 0.05)), "")</f>
        <v/>
      </c>
      <c r="AB15" s="323" t="str">
        <f>IFERROR(IF(tblPiNAnalysis512[[#This Row],[Overarching Protection]]="", "", MROUND(tblPiNAnalysis512[[#This Row],[Overarching Protection]]/tblPiNAnalysis512[[#This Row],[Affected population projection 2026]], 0.05)), "")</f>
        <v/>
      </c>
      <c r="AC15" s="323" t="str">
        <f>IFERROR(IF(tblPiNAnalysis512[[#This Row],[Shelter]]="", "", MROUND(tblPiNAnalysis512[[#This Row],[Shelter]]/tblPiNAnalysis512[[#This Row],[Affected population projection 2026]], 0.05)), "")</f>
        <v/>
      </c>
      <c r="AD15" s="324" t="str">
        <f>IFERROR(IF(tblPiNAnalysis512[[#This Row],[WASH]]="", "", MROUND(tblPiNAnalysis512[[#This Row],[WASH]]/tblPiNAnalysis512[[#This Row],[Affected population projection 2026]], 0.05)), "")</f>
        <v/>
      </c>
      <c r="AE15" s="322">
        <f>IFERROR(MROUND(tblPiNAnalysis512[[#This Row],[CP]]/tblPiNAnalysis512[[#This Row],[Affected population projection 2026]], 0.05), "")</f>
        <v>0</v>
      </c>
      <c r="AF15" s="322">
        <f>IFERROR(MROUND(tblPiNAnalysis512[[#This Row],[GBV]]/tblPiNAnalysis512[[#This Row],[Affected population projection 2026]], 0.05), "")</f>
        <v>0</v>
      </c>
      <c r="AG15" s="322">
        <f>IFERROR(MROUND(tblPiNAnalysis512[[#This Row],[Mine Action]]/tblPiNAnalysis512[[#This Row],[Affected population projection 2026]], 0.05), "")</f>
        <v>0</v>
      </c>
      <c r="AH15" s="322">
        <f>IFERROR(MROUND(tblPiNAnalysis512[[#This Row],[HLP]]/tblPiNAnalysis512[[#This Row],[Affected population projection 2026]], 0.05), "")</f>
        <v>0</v>
      </c>
      <c r="AI15" s="325" t="str">
        <f>IFERROR(LARGE(tblPiNAnalysis512[[#This Row],[CCCM]:[WASH]], 1), "")</f>
        <v/>
      </c>
      <c r="AJ15" s="326" t="str" cm="1">
        <f t="array" ref="AJ15">IF(tblPiNAnalysis512[[#This Row],[Highest Target]]="", "", _xlfn.TEXTJOIN(CHAR(10), TRUE, IF(tblPiNAnalysis512[[#This Row],[Highest Target]]=tblPiNAnalysis512[[#This Row],[CCCM]:[WASH]], tblPiNAnalysis512[[#Headers],[CCCM]:[WASH]], "")))</f>
        <v/>
      </c>
      <c r="AK15" s="327" t="str">
        <f>IF(tblPiNAnalysis512[[#This Row],[Highest Target]]="", "", tblPiNAnalysis512[[#This Row],[Highest Target]]/tblPiNAnalysis512[[#This Row],[Affected population projection 2026]])</f>
        <v/>
      </c>
      <c r="AL15" s="328" t="str">
        <f>IF(SUM(tblPiNAnalysis512[[#This Row],[CCCM]:[WASH]])=0, "",IF(COUNTIF(tblPiNAnalysis512[[#This Row],[CCCM]:[WASH]],"=0")+COUNTIF(tblPiNAnalysis512[[#This Row],[CCCM]:[WASH]],"")&gt;=zero_pin_thresh, "Flagged", ""))</f>
        <v/>
      </c>
      <c r="AM15" s="329" t="str">
        <f>IFERROR(IF(tblPiNAnalysis512[[#This Row],[Highest Target]]="", "", IF(tblPiNAnalysis512[[#This Row],[Highest sector(s'') Target %]]&gt;=flag_pin_perc, "Flagged", "")), "")</f>
        <v/>
      </c>
      <c r="AN15" s="330" t="str" cm="1">
        <f t="array" ref="AN15">IF(tblPiNAnalysis512[[#This Row],[Highest Target]]=0, "",  IF(OR(COUNTIF(tblPiNAnalysis512[[#This Row],[Highest sector(s)]],tblSubSectorPopulation[Sector])), "Flagged", ""))</f>
        <v/>
      </c>
      <c r="AO15" s="46" t="str" cm="1">
        <f t="array" ref="AO1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5" s="331" t="str" cm="1">
        <f t="array" ref="AP15">IF(tblPiNAnalysis512[[#This Row],[2nd Highest Target]]="", "", _xlfn.TEXTJOIN(CHAR(10), TRUE, IF(tblPiNAnalysis512[[#This Row],[2nd Highest Target]]=tblPiNAnalysis512[[#This Row],[CCCM]:[WASH]], tblPiNAnalysis512[[#Headers],[CCCM]:[WASH]], "")))</f>
        <v/>
      </c>
      <c r="AQ15" s="36" t="str">
        <f>IFERROR(tblPiNAnalysis512[[#This Row],[2nd Highest Target]]/tblPiNAnalysis512[[#This Row],[Affected population projection 2026]], "")</f>
        <v/>
      </c>
      <c r="AR15" s="46" t="str">
        <f>IFERROR(tblPiNAnalysis512[[#This Row],[Highest Target]]-tblPiNAnalysis512[[#This Row],[2nd Highest Target]], "")</f>
        <v/>
      </c>
      <c r="AS15" s="39" t="str">
        <f>IFERROR(((tblPiNAnalysis512[[#This Row],[Highest Target]]-tblPiNAnalysis512[[#This Row],[2nd Highest Target]])/tblPiNAnalysis512[[#This Row],[2nd Highest Target]]),"")</f>
        <v/>
      </c>
      <c r="AT15" s="39" t="str" cm="1">
        <f t="array" ref="AT1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 s="332" t="str" cm="1">
        <f t="array" ref="AU1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5" s="190" t="str" cm="1">
        <f t="array" ref="AV15">IF(tblPiNAnalysis512[[#This Row],[3rd Highest Target]]="", "", _xlfn.TEXTJOIN(CHAR(10), TRUE, IF(tblPiNAnalysis512[[#This Row],[3rd Highest Target]]=tblPiNAnalysis512[[#This Row],[CCCM]:[WASH]], tblPiNAnalysis512[[#Headers],[CCCM]:[WASH]], "")))</f>
        <v/>
      </c>
      <c r="AW15" s="190" t="str">
        <f>IFERROR(tblPiNAnalysis512[[#This Row],[3rd Highest Target]]/tblPiNAnalysis512[[#This Row],[Affected population projection 2026]], "")</f>
        <v/>
      </c>
      <c r="AX15" s="45" t="str">
        <f>IFERROR(tblPiNAnalysis512[[#This Row],[Highest Target]]-tblPiNAnalysis512[[#This Row],[3rd Highest Target]],"")</f>
        <v/>
      </c>
      <c r="AY15" s="39" t="str">
        <f>IFERROR(tblPiNAnalysis512[[#This Row],[Difference of Target between Highest and 3rd Highest]]/tblPiNAnalysis512[[#This Row],[3rd Highest Target]], "")</f>
        <v/>
      </c>
      <c r="AZ15" s="330" t="str" cm="1">
        <f t="array" ref="AZ1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 s="300" t="str" cm="1">
        <f t="array" ref="BA1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 s="333" t="str" cm="1">
        <f t="array" ref="BB1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 s="276" t="str" cm="1">
        <f t="array" ref="BC1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 s="334" t="str" cm="1">
        <f t="array" ref="BD1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 s="277" t="e">
        <f>INDEX(tblSeverityAnalysis[Final Severity], MATCH(tblPiNAnalysis512[[#This Row],[ID]],tblSeverityAnalysis[ID], 0))</f>
        <v>#N/A</v>
      </c>
      <c r="BF15" s="61" t="e">
        <f>IF(tblPiNAnalysis512[[#This Row],[Severity]]&gt;2,tblPiNAnalysis512[[#This Row],[Highest Target]],)</f>
        <v>#N/A</v>
      </c>
      <c r="BG15" s="191"/>
      <c r="BH15" s="192"/>
      <c r="BI15" s="193">
        <f>COUNTIFS(tblPiNAnalysis512[[#This Row],[Number of missing / zero PiNs greater than threshold - Data quality]:[Manual Flag]],"Flagged")</f>
        <v>2</v>
      </c>
      <c r="BJ15" s="96" t="str">
        <f>IF(tblPiNAnalysis512[[#This Row],['# Flags]]&gt;0, "Flagged", "")</f>
        <v>Flagged</v>
      </c>
      <c r="BK15" s="326" t="e">
        <f>tblPiNAnalysis512[[#This Row],[Preliminary Target]]</f>
        <v>#N/A</v>
      </c>
      <c r="BL15" s="331">
        <v>3</v>
      </c>
    </row>
    <row r="16" spans="1:84" x14ac:dyDescent="0.55000000000000004">
      <c r="A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 s="316" t="s">
        <v>250</v>
      </c>
      <c r="C16" s="317" t="s">
        <v>251</v>
      </c>
      <c r="D16" s="317" t="s">
        <v>262</v>
      </c>
      <c r="E16" s="105" t="s">
        <v>263</v>
      </c>
      <c r="F16" s="100"/>
      <c r="G16" s="34"/>
      <c r="H16" s="34"/>
      <c r="I16" s="97">
        <v>21293.088674698796</v>
      </c>
      <c r="J16" s="97" t="s">
        <v>412</v>
      </c>
      <c r="K16" s="261"/>
      <c r="L16" s="319"/>
      <c r="M16" s="319"/>
      <c r="N16" s="319"/>
      <c r="O16" s="319"/>
      <c r="P16" s="319"/>
      <c r="Q16" s="320"/>
      <c r="R16" s="319"/>
      <c r="S16" s="319"/>
      <c r="T16" s="319"/>
      <c r="U16" s="319"/>
      <c r="V16" s="319"/>
      <c r="W16" s="321" t="str">
        <f>IFERROR(IF(tblPiNAnalysis512[[#This Row],[CCCM]]="", "", MROUND(tblPiNAnalysis512[[#This Row],[CCCM]]/tblPiNAnalysis512[[#This Row],[Affected population projection 2026]], 0.05)), "")</f>
        <v/>
      </c>
      <c r="X16" s="322" t="str">
        <f>IFERROR(IF(tblPiNAnalysis512[[#This Row],[Education]]="", "", MROUND(tblPiNAnalysis512[[#This Row],[Education]]/tblPiNAnalysis512[[#This Row],[Affected population projection 2026]], 0.05)), "")</f>
        <v/>
      </c>
      <c r="Y16" s="322" t="str">
        <f>IFERROR(IF(tblPiNAnalysis512[[#This Row],[Nutrition]]="", "", MROUND(tblPiNAnalysis512[[#This Row],[Nutrition]]/tblPiNAnalysis512[[#This Row],[Affected population projection 2026]], 0.05)), "")</f>
        <v/>
      </c>
      <c r="Z16" s="322" t="str">
        <f>IFERROR(IF(tblPiNAnalysis512[[#This Row],[Food Security]]="", "", MROUND(tblPiNAnalysis512[[#This Row],[Food Security]]/tblPiNAnalysis512[[#This Row],[Affected population projection 2026]], 0.05)), "")</f>
        <v/>
      </c>
      <c r="AA16" s="322" t="str">
        <f>IFERROR(IF(tblPiNAnalysis512[[#This Row],[Health]]="", "", MROUND(tblPiNAnalysis512[[#This Row],[Health]]/tblPiNAnalysis512[[#This Row],[Affected population projection 2026]], 0.05)), "")</f>
        <v/>
      </c>
      <c r="AB16" s="323" t="str">
        <f>IFERROR(IF(tblPiNAnalysis512[[#This Row],[Overarching Protection]]="", "", MROUND(tblPiNAnalysis512[[#This Row],[Overarching Protection]]/tblPiNAnalysis512[[#This Row],[Affected population projection 2026]], 0.05)), "")</f>
        <v/>
      </c>
      <c r="AC16" s="323" t="str">
        <f>IFERROR(IF(tblPiNAnalysis512[[#This Row],[Shelter]]="", "", MROUND(tblPiNAnalysis512[[#This Row],[Shelter]]/tblPiNAnalysis512[[#This Row],[Affected population projection 2026]], 0.05)), "")</f>
        <v/>
      </c>
      <c r="AD16" s="324" t="str">
        <f>IFERROR(IF(tblPiNAnalysis512[[#This Row],[WASH]]="", "", MROUND(tblPiNAnalysis512[[#This Row],[WASH]]/tblPiNAnalysis512[[#This Row],[Affected population projection 2026]], 0.05)), "")</f>
        <v/>
      </c>
      <c r="AE16" s="322">
        <f>IFERROR(MROUND(tblPiNAnalysis512[[#This Row],[CP]]/tblPiNAnalysis512[[#This Row],[Affected population projection 2026]], 0.05), "")</f>
        <v>0</v>
      </c>
      <c r="AF16" s="322">
        <f>IFERROR(MROUND(tblPiNAnalysis512[[#This Row],[GBV]]/tblPiNAnalysis512[[#This Row],[Affected population projection 2026]], 0.05), "")</f>
        <v>0</v>
      </c>
      <c r="AG16" s="322">
        <f>IFERROR(MROUND(tblPiNAnalysis512[[#This Row],[Mine Action]]/tblPiNAnalysis512[[#This Row],[Affected population projection 2026]], 0.05), "")</f>
        <v>0</v>
      </c>
      <c r="AH16" s="322">
        <f>IFERROR(MROUND(tblPiNAnalysis512[[#This Row],[HLP]]/tblPiNAnalysis512[[#This Row],[Affected population projection 2026]], 0.05), "")</f>
        <v>0</v>
      </c>
      <c r="AI16" s="325" t="str">
        <f>IFERROR(LARGE(tblPiNAnalysis512[[#This Row],[CCCM]:[WASH]], 1), "")</f>
        <v/>
      </c>
      <c r="AJ16" s="326" t="str" cm="1">
        <f t="array" ref="AJ16">IF(tblPiNAnalysis512[[#This Row],[Highest Target]]="", "", _xlfn.TEXTJOIN(CHAR(10), TRUE, IF(tblPiNAnalysis512[[#This Row],[Highest Target]]=tblPiNAnalysis512[[#This Row],[CCCM]:[WASH]], tblPiNAnalysis512[[#Headers],[CCCM]:[WASH]], "")))</f>
        <v/>
      </c>
      <c r="AK16" s="327" t="str">
        <f>IF(tblPiNAnalysis512[[#This Row],[Highest Target]]="", "", tblPiNAnalysis512[[#This Row],[Highest Target]]/tblPiNAnalysis512[[#This Row],[Affected population projection 2026]])</f>
        <v/>
      </c>
      <c r="AL16" s="328" t="str">
        <f>IF(SUM(tblPiNAnalysis512[[#This Row],[CCCM]:[WASH]])=0, "",IF(COUNTIF(tblPiNAnalysis512[[#This Row],[CCCM]:[WASH]],"=0")+COUNTIF(tblPiNAnalysis512[[#This Row],[CCCM]:[WASH]],"")&gt;=zero_pin_thresh, "Flagged", ""))</f>
        <v/>
      </c>
      <c r="AM16" s="329" t="str">
        <f>IFERROR(IF(tblPiNAnalysis512[[#This Row],[Highest Target]]="", "", IF(tblPiNAnalysis512[[#This Row],[Highest sector(s'') Target %]]&gt;=flag_pin_perc, "Flagged", "")), "")</f>
        <v/>
      </c>
      <c r="AN16" s="330" t="str" cm="1">
        <f t="array" ref="AN16">IF(tblPiNAnalysis512[[#This Row],[Highest Target]]=0, "",  IF(OR(COUNTIF(tblPiNAnalysis512[[#This Row],[Highest sector(s)]],tblSubSectorPopulation[Sector])), "Flagged", ""))</f>
        <v/>
      </c>
      <c r="AO16" s="46" t="str" cm="1">
        <f t="array" ref="AO1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6" s="331" t="str" cm="1">
        <f t="array" ref="AP16">IF(tblPiNAnalysis512[[#This Row],[2nd Highest Target]]="", "", _xlfn.TEXTJOIN(CHAR(10), TRUE, IF(tblPiNAnalysis512[[#This Row],[2nd Highest Target]]=tblPiNAnalysis512[[#This Row],[CCCM]:[WASH]], tblPiNAnalysis512[[#Headers],[CCCM]:[WASH]], "")))</f>
        <v/>
      </c>
      <c r="AQ16" s="36" t="str">
        <f>IFERROR(tblPiNAnalysis512[[#This Row],[2nd Highest Target]]/tblPiNAnalysis512[[#This Row],[Affected population projection 2026]], "")</f>
        <v/>
      </c>
      <c r="AR16" s="46" t="str">
        <f>IFERROR(tblPiNAnalysis512[[#This Row],[Highest Target]]-tblPiNAnalysis512[[#This Row],[2nd Highest Target]], "")</f>
        <v/>
      </c>
      <c r="AS16" s="39" t="str">
        <f>IFERROR(((tblPiNAnalysis512[[#This Row],[Highest Target]]-tblPiNAnalysis512[[#This Row],[2nd Highest Target]])/tblPiNAnalysis512[[#This Row],[2nd Highest Target]]),"")</f>
        <v/>
      </c>
      <c r="AT16" s="39" t="str" cm="1">
        <f t="array" ref="AT1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 s="332" t="str" cm="1">
        <f t="array" ref="AU1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6" s="190" t="str" cm="1">
        <f t="array" ref="AV16">IF(tblPiNAnalysis512[[#This Row],[3rd Highest Target]]="", "", _xlfn.TEXTJOIN(CHAR(10), TRUE, IF(tblPiNAnalysis512[[#This Row],[3rd Highest Target]]=tblPiNAnalysis512[[#This Row],[CCCM]:[WASH]], tblPiNAnalysis512[[#Headers],[CCCM]:[WASH]], "")))</f>
        <v/>
      </c>
      <c r="AW16" s="190" t="str">
        <f>IFERROR(tblPiNAnalysis512[[#This Row],[3rd Highest Target]]/tblPiNAnalysis512[[#This Row],[Affected population projection 2026]], "")</f>
        <v/>
      </c>
      <c r="AX16" s="45" t="str">
        <f>IFERROR(tblPiNAnalysis512[[#This Row],[Highest Target]]-tblPiNAnalysis512[[#This Row],[3rd Highest Target]],"")</f>
        <v/>
      </c>
      <c r="AY16" s="39" t="str">
        <f>IFERROR(tblPiNAnalysis512[[#This Row],[Difference of Target between Highest and 3rd Highest]]/tblPiNAnalysis512[[#This Row],[3rd Highest Target]], "")</f>
        <v/>
      </c>
      <c r="AZ16" s="330" t="str" cm="1">
        <f t="array" ref="AZ1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 s="300" t="str" cm="1">
        <f t="array" ref="BA1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 s="333" t="str" cm="1">
        <f t="array" ref="BB1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 s="276" t="str" cm="1">
        <f t="array" ref="BC1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 s="334" t="str" cm="1">
        <f t="array" ref="BD1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 s="277" t="e">
        <f>INDEX(tblSeverityAnalysis[Final Severity], MATCH(tblPiNAnalysis512[[#This Row],[ID]],tblSeverityAnalysis[ID], 0))</f>
        <v>#N/A</v>
      </c>
      <c r="BF16" s="61" t="e">
        <f>IF(tblPiNAnalysis512[[#This Row],[Severity]]&gt;2,tblPiNAnalysis512[[#This Row],[Highest Target]],)</f>
        <v>#N/A</v>
      </c>
      <c r="BG16" s="191"/>
      <c r="BH16" s="192"/>
      <c r="BI16" s="193">
        <f>COUNTIFS(tblPiNAnalysis512[[#This Row],[Number of missing / zero PiNs greater than threshold - Data quality]:[Manual Flag]],"Flagged")</f>
        <v>2</v>
      </c>
      <c r="BJ16" s="96" t="str">
        <f>IF(tblPiNAnalysis512[[#This Row],['# Flags]]&gt;0, "Flagged", "")</f>
        <v>Flagged</v>
      </c>
      <c r="BK16" s="326" t="e">
        <f>tblPiNAnalysis512[[#This Row],[Preliminary Target]]</f>
        <v>#N/A</v>
      </c>
      <c r="BL16" s="331">
        <v>3</v>
      </c>
    </row>
    <row r="17" spans="1:64" ht="110.7" x14ac:dyDescent="0.55000000000000004">
      <c r="A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 s="316" t="s">
        <v>250</v>
      </c>
      <c r="C17" s="317" t="s">
        <v>251</v>
      </c>
      <c r="D17" s="317" t="s">
        <v>264</v>
      </c>
      <c r="E17" s="105" t="s">
        <v>265</v>
      </c>
      <c r="F17" s="100"/>
      <c r="G17" s="34"/>
      <c r="H17" s="34"/>
      <c r="I17" s="97">
        <v>40940.594481869215</v>
      </c>
      <c r="J17" s="97" t="s">
        <v>412</v>
      </c>
      <c r="K17" s="261">
        <v>0</v>
      </c>
      <c r="L17" s="319">
        <v>0</v>
      </c>
      <c r="M17" s="319">
        <v>0</v>
      </c>
      <c r="N17" s="319">
        <v>0</v>
      </c>
      <c r="O17" s="319">
        <v>0</v>
      </c>
      <c r="P17" s="319">
        <v>0</v>
      </c>
      <c r="Q17" s="320">
        <v>0</v>
      </c>
      <c r="R17" s="319">
        <v>0</v>
      </c>
      <c r="S17" s="319"/>
      <c r="T17" s="319"/>
      <c r="U17" s="319"/>
      <c r="V17" s="319"/>
      <c r="W17" s="321">
        <f>IFERROR(IF(tblPiNAnalysis512[[#This Row],[CCCM]]="", "", MROUND(tblPiNAnalysis512[[#This Row],[CCCM]]/tblPiNAnalysis512[[#This Row],[Affected population projection 2026]], 0.05)), "")</f>
        <v>0</v>
      </c>
      <c r="X17" s="322">
        <f>IFERROR(IF(tblPiNAnalysis512[[#This Row],[Education]]="", "", MROUND(tblPiNAnalysis512[[#This Row],[Education]]/tblPiNAnalysis512[[#This Row],[Affected population projection 2026]], 0.05)), "")</f>
        <v>0</v>
      </c>
      <c r="Y17" s="322">
        <f>IFERROR(IF(tblPiNAnalysis512[[#This Row],[Nutrition]]="", "", MROUND(tblPiNAnalysis512[[#This Row],[Nutrition]]/tblPiNAnalysis512[[#This Row],[Affected population projection 2026]], 0.05)), "")</f>
        <v>0</v>
      </c>
      <c r="Z17" s="322">
        <f>IFERROR(IF(tblPiNAnalysis512[[#This Row],[Food Security]]="", "", MROUND(tblPiNAnalysis512[[#This Row],[Food Security]]/tblPiNAnalysis512[[#This Row],[Affected population projection 2026]], 0.05)), "")</f>
        <v>0</v>
      </c>
      <c r="AA17" s="322">
        <f>IFERROR(IF(tblPiNAnalysis512[[#This Row],[Health]]="", "", MROUND(tblPiNAnalysis512[[#This Row],[Health]]/tblPiNAnalysis512[[#This Row],[Affected population projection 2026]], 0.05)), "")</f>
        <v>0</v>
      </c>
      <c r="AB17" s="323">
        <f>IFERROR(IF(tblPiNAnalysis512[[#This Row],[Overarching Protection]]="", "", MROUND(tblPiNAnalysis512[[#This Row],[Overarching Protection]]/tblPiNAnalysis512[[#This Row],[Affected population projection 2026]], 0.05)), "")</f>
        <v>0</v>
      </c>
      <c r="AC17" s="323">
        <f>IFERROR(IF(tblPiNAnalysis512[[#This Row],[Shelter]]="", "", MROUND(tblPiNAnalysis512[[#This Row],[Shelter]]/tblPiNAnalysis512[[#This Row],[Affected population projection 2026]], 0.05)), "")</f>
        <v>0</v>
      </c>
      <c r="AD17" s="324">
        <f>IFERROR(IF(tblPiNAnalysis512[[#This Row],[WASH]]="", "", MROUND(tblPiNAnalysis512[[#This Row],[WASH]]/tblPiNAnalysis512[[#This Row],[Affected population projection 2026]], 0.05)), "")</f>
        <v>0</v>
      </c>
      <c r="AE17" s="322">
        <f>IFERROR(MROUND(tblPiNAnalysis512[[#This Row],[CP]]/tblPiNAnalysis512[[#This Row],[Affected population projection 2026]], 0.05), "")</f>
        <v>0</v>
      </c>
      <c r="AF17" s="322">
        <f>IFERROR(MROUND(tblPiNAnalysis512[[#This Row],[GBV]]/tblPiNAnalysis512[[#This Row],[Affected population projection 2026]], 0.05), "")</f>
        <v>0</v>
      </c>
      <c r="AG17" s="322">
        <f>IFERROR(MROUND(tblPiNAnalysis512[[#This Row],[Mine Action]]/tblPiNAnalysis512[[#This Row],[Affected population projection 2026]], 0.05), "")</f>
        <v>0</v>
      </c>
      <c r="AH17" s="322">
        <f>IFERROR(MROUND(tblPiNAnalysis512[[#This Row],[HLP]]/tblPiNAnalysis512[[#This Row],[Affected population projection 2026]], 0.05), "")</f>
        <v>0</v>
      </c>
      <c r="AI17" s="325">
        <f>IFERROR(LARGE(tblPiNAnalysis512[[#This Row],[CCCM]:[WASH]], 1), "")</f>
        <v>0</v>
      </c>
      <c r="AJ17" s="326" t="str" cm="1">
        <f t="array" ref="AJ17">IF(tblPiNAnalysis512[[#This Row],[Highest Target]]="", "", _xlfn.TEXTJOIN(CHAR(10), TRUE, IF(tblPiNAnalysis512[[#This Row],[Highest Target]]=tblPiNAnalysis512[[#This Row],[CCCM]:[WASH]], tblPiNAnalysis512[[#Headers],[CCCM]:[WASH]], "")))</f>
        <v>CCCM
Education
Nutrition
Food Security
Health
Overarching Protection
Shelter
WASH</v>
      </c>
      <c r="AK17" s="327">
        <f>IF(tblPiNAnalysis512[[#This Row],[Highest Target]]="", "", tblPiNAnalysis512[[#This Row],[Highest Target]]/tblPiNAnalysis512[[#This Row],[Affected population projection 2026]])</f>
        <v>0</v>
      </c>
      <c r="AL17" s="328" t="str">
        <f>IF(SUM(tblPiNAnalysis512[[#This Row],[CCCM]:[WASH]])=0, "",IF(COUNTIF(tblPiNAnalysis512[[#This Row],[CCCM]:[WASH]],"=0")+COUNTIF(tblPiNAnalysis512[[#This Row],[CCCM]:[WASH]],"")&gt;=zero_pin_thresh, "Flagged", ""))</f>
        <v/>
      </c>
      <c r="AM17" s="329" t="str">
        <f>IFERROR(IF(tblPiNAnalysis512[[#This Row],[Highest Target]]="", "", IF(tblPiNAnalysis512[[#This Row],[Highest sector(s'') Target %]]&gt;=flag_pin_perc, "Flagged", "")), "")</f>
        <v/>
      </c>
      <c r="AN17" s="330" t="str" cm="1">
        <f t="array" ref="AN17">IF(tblPiNAnalysis512[[#This Row],[Highest Target]]=0, "",  IF(OR(COUNTIF(tblPiNAnalysis512[[#This Row],[Highest sector(s)]],tblSubSectorPopulation[Sector])), "Flagged", ""))</f>
        <v/>
      </c>
      <c r="AO17" s="46" cm="1">
        <f t="array" ref="AO1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7" s="331" t="str" cm="1">
        <f t="array" ref="AP17">IF(tblPiNAnalysis512[[#This Row],[2nd Highest Target]]="", "", _xlfn.TEXTJOIN(CHAR(10), TRUE, IF(tblPiNAnalysis512[[#This Row],[2nd Highest Target]]=tblPiNAnalysis512[[#This Row],[CCCM]:[WASH]], tblPiNAnalysis512[[#Headers],[CCCM]:[WASH]], "")))</f>
        <v>CCCM
Education
Nutrition
Food Security
Health
Overarching Protection
Shelter
WASH</v>
      </c>
      <c r="AQ17" s="36">
        <f>IFERROR(tblPiNAnalysis512[[#This Row],[2nd Highest Target]]/tblPiNAnalysis512[[#This Row],[Affected population projection 2026]], "")</f>
        <v>0</v>
      </c>
      <c r="AR17" s="46">
        <f>IFERROR(tblPiNAnalysis512[[#This Row],[Highest Target]]-tblPiNAnalysis512[[#This Row],[2nd Highest Target]], "")</f>
        <v>0</v>
      </c>
      <c r="AS17" s="39" t="str">
        <f>IFERROR(((tblPiNAnalysis512[[#This Row],[Highest Target]]-tblPiNAnalysis512[[#This Row],[2nd Highest Target]])/tblPiNAnalysis512[[#This Row],[2nd Highest Target]]),"")</f>
        <v/>
      </c>
      <c r="AT17" s="39" t="str" cm="1">
        <f t="array" ref="AT1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 s="332" cm="1">
        <f t="array" ref="AU1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7" s="190" t="str" cm="1">
        <f t="array" ref="AV17">IF(tblPiNAnalysis512[[#This Row],[3rd Highest Target]]="", "", _xlfn.TEXTJOIN(CHAR(10), TRUE, IF(tblPiNAnalysis512[[#This Row],[3rd Highest Target]]=tblPiNAnalysis512[[#This Row],[CCCM]:[WASH]], tblPiNAnalysis512[[#Headers],[CCCM]:[WASH]], "")))</f>
        <v>CCCM
Education
Nutrition
Food Security
Health
Overarching Protection
Shelter
WASH</v>
      </c>
      <c r="AW17" s="190">
        <f>IFERROR(tblPiNAnalysis512[[#This Row],[3rd Highest Target]]/tblPiNAnalysis512[[#This Row],[Affected population projection 2026]], "")</f>
        <v>0</v>
      </c>
      <c r="AX17" s="45">
        <f>IFERROR(tblPiNAnalysis512[[#This Row],[Highest Target]]-tblPiNAnalysis512[[#This Row],[3rd Highest Target]],"")</f>
        <v>0</v>
      </c>
      <c r="AY17" s="39" t="str">
        <f>IFERROR(tblPiNAnalysis512[[#This Row],[Difference of Target between Highest and 3rd Highest]]/tblPiNAnalysis512[[#This Row],[3rd Highest Target]], "")</f>
        <v/>
      </c>
      <c r="AZ17" s="330" t="str" cm="1">
        <f t="array" ref="AZ1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 s="300" t="str" cm="1">
        <f t="array" ref="BA1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 s="333" t="str" cm="1">
        <f t="array" ref="BB1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 s="276" t="str" cm="1">
        <f t="array" ref="BC1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 s="334" t="str" cm="1">
        <f t="array" ref="BD1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 s="277" t="e">
        <f>INDEX(tblSeverityAnalysis[Final Severity], MATCH(tblPiNAnalysis512[[#This Row],[ID]],tblSeverityAnalysis[ID], 0))</f>
        <v>#N/A</v>
      </c>
      <c r="BF17" s="61" t="e">
        <f>IF(tblPiNAnalysis512[[#This Row],[Severity]]&gt;2,tblPiNAnalysis512[[#This Row],[Highest Target]],)</f>
        <v>#N/A</v>
      </c>
      <c r="BG17" s="191"/>
      <c r="BH17" s="192"/>
      <c r="BI17" s="193">
        <f>COUNTIFS(tblPiNAnalysis512[[#This Row],[Number of missing / zero PiNs greater than threshold - Data quality]:[Manual Flag]],"Flagged")</f>
        <v>2</v>
      </c>
      <c r="BJ17" s="96" t="str">
        <f>IF(tblPiNAnalysis512[[#This Row],['# Flags]]&gt;0, "Flagged", "")</f>
        <v>Flagged</v>
      </c>
      <c r="BK17" s="326" t="e">
        <f>tblPiNAnalysis512[[#This Row],[Preliminary Target]]</f>
        <v>#N/A</v>
      </c>
      <c r="BL17" s="331">
        <v>4</v>
      </c>
    </row>
    <row r="18" spans="1:64" ht="110.7" x14ac:dyDescent="0.55000000000000004">
      <c r="A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 s="316" t="s">
        <v>250</v>
      </c>
      <c r="C18" s="317" t="s">
        <v>251</v>
      </c>
      <c r="D18" s="317" t="s">
        <v>266</v>
      </c>
      <c r="E18" s="105" t="s">
        <v>267</v>
      </c>
      <c r="F18" s="100"/>
      <c r="G18" s="34"/>
      <c r="H18" s="34"/>
      <c r="I18" s="97">
        <v>2501.5236312386551</v>
      </c>
      <c r="J18" s="97" t="s">
        <v>412</v>
      </c>
      <c r="K18" s="261">
        <v>0</v>
      </c>
      <c r="L18" s="319">
        <v>0</v>
      </c>
      <c r="M18" s="319">
        <v>0</v>
      </c>
      <c r="N18" s="319">
        <v>0</v>
      </c>
      <c r="O18" s="319">
        <v>0</v>
      </c>
      <c r="P18" s="319">
        <v>0</v>
      </c>
      <c r="Q18" s="320">
        <v>0</v>
      </c>
      <c r="R18" s="319">
        <v>0</v>
      </c>
      <c r="S18" s="319"/>
      <c r="T18" s="319"/>
      <c r="U18" s="319"/>
      <c r="V18" s="319"/>
      <c r="W18" s="321">
        <f>IFERROR(IF(tblPiNAnalysis512[[#This Row],[CCCM]]="", "", MROUND(tblPiNAnalysis512[[#This Row],[CCCM]]/tblPiNAnalysis512[[#This Row],[Affected population projection 2026]], 0.05)), "")</f>
        <v>0</v>
      </c>
      <c r="X18" s="322">
        <f>IFERROR(IF(tblPiNAnalysis512[[#This Row],[Education]]="", "", MROUND(tblPiNAnalysis512[[#This Row],[Education]]/tblPiNAnalysis512[[#This Row],[Affected population projection 2026]], 0.05)), "")</f>
        <v>0</v>
      </c>
      <c r="Y18" s="322">
        <f>IFERROR(IF(tblPiNAnalysis512[[#This Row],[Nutrition]]="", "", MROUND(tblPiNAnalysis512[[#This Row],[Nutrition]]/tblPiNAnalysis512[[#This Row],[Affected population projection 2026]], 0.05)), "")</f>
        <v>0</v>
      </c>
      <c r="Z18" s="322">
        <f>IFERROR(IF(tblPiNAnalysis512[[#This Row],[Food Security]]="", "", MROUND(tblPiNAnalysis512[[#This Row],[Food Security]]/tblPiNAnalysis512[[#This Row],[Affected population projection 2026]], 0.05)), "")</f>
        <v>0</v>
      </c>
      <c r="AA18" s="322">
        <f>IFERROR(IF(tblPiNAnalysis512[[#This Row],[Health]]="", "", MROUND(tblPiNAnalysis512[[#This Row],[Health]]/tblPiNAnalysis512[[#This Row],[Affected population projection 2026]], 0.05)), "")</f>
        <v>0</v>
      </c>
      <c r="AB18" s="323">
        <f>IFERROR(IF(tblPiNAnalysis512[[#This Row],[Overarching Protection]]="", "", MROUND(tblPiNAnalysis512[[#This Row],[Overarching Protection]]/tblPiNAnalysis512[[#This Row],[Affected population projection 2026]], 0.05)), "")</f>
        <v>0</v>
      </c>
      <c r="AC18" s="323">
        <f>IFERROR(IF(tblPiNAnalysis512[[#This Row],[Shelter]]="", "", MROUND(tblPiNAnalysis512[[#This Row],[Shelter]]/tblPiNAnalysis512[[#This Row],[Affected population projection 2026]], 0.05)), "")</f>
        <v>0</v>
      </c>
      <c r="AD18" s="324">
        <f>IFERROR(IF(tblPiNAnalysis512[[#This Row],[WASH]]="", "", MROUND(tblPiNAnalysis512[[#This Row],[WASH]]/tblPiNAnalysis512[[#This Row],[Affected population projection 2026]], 0.05)), "")</f>
        <v>0</v>
      </c>
      <c r="AE18" s="322">
        <f>IFERROR(MROUND(tblPiNAnalysis512[[#This Row],[CP]]/tblPiNAnalysis512[[#This Row],[Affected population projection 2026]], 0.05), "")</f>
        <v>0</v>
      </c>
      <c r="AF18" s="322">
        <f>IFERROR(MROUND(tblPiNAnalysis512[[#This Row],[GBV]]/tblPiNAnalysis512[[#This Row],[Affected population projection 2026]], 0.05), "")</f>
        <v>0</v>
      </c>
      <c r="AG18" s="322">
        <f>IFERROR(MROUND(tblPiNAnalysis512[[#This Row],[Mine Action]]/tblPiNAnalysis512[[#This Row],[Affected population projection 2026]], 0.05), "")</f>
        <v>0</v>
      </c>
      <c r="AH18" s="322">
        <f>IFERROR(MROUND(tblPiNAnalysis512[[#This Row],[HLP]]/tblPiNAnalysis512[[#This Row],[Affected population projection 2026]], 0.05), "")</f>
        <v>0</v>
      </c>
      <c r="AI18" s="325">
        <f>IFERROR(LARGE(tblPiNAnalysis512[[#This Row],[CCCM]:[WASH]], 1), "")</f>
        <v>0</v>
      </c>
      <c r="AJ18" s="326" t="str" cm="1">
        <f t="array" ref="AJ18">IF(tblPiNAnalysis512[[#This Row],[Highest Target]]="", "", _xlfn.TEXTJOIN(CHAR(10), TRUE, IF(tblPiNAnalysis512[[#This Row],[Highest Target]]=tblPiNAnalysis512[[#This Row],[CCCM]:[WASH]], tblPiNAnalysis512[[#Headers],[CCCM]:[WASH]], "")))</f>
        <v>CCCM
Education
Nutrition
Food Security
Health
Overarching Protection
Shelter
WASH</v>
      </c>
      <c r="AK18" s="327">
        <f>IF(tblPiNAnalysis512[[#This Row],[Highest Target]]="", "", tblPiNAnalysis512[[#This Row],[Highest Target]]/tblPiNAnalysis512[[#This Row],[Affected population projection 2026]])</f>
        <v>0</v>
      </c>
      <c r="AL18" s="328" t="str">
        <f>IF(SUM(tblPiNAnalysis512[[#This Row],[CCCM]:[WASH]])=0, "",IF(COUNTIF(tblPiNAnalysis512[[#This Row],[CCCM]:[WASH]],"=0")+COUNTIF(tblPiNAnalysis512[[#This Row],[CCCM]:[WASH]],"")&gt;=zero_pin_thresh, "Flagged", ""))</f>
        <v/>
      </c>
      <c r="AM18" s="329" t="str">
        <f>IFERROR(IF(tblPiNAnalysis512[[#This Row],[Highest Target]]="", "", IF(tblPiNAnalysis512[[#This Row],[Highest sector(s'') Target %]]&gt;=flag_pin_perc, "Flagged", "")), "")</f>
        <v/>
      </c>
      <c r="AN18" s="330" t="str" cm="1">
        <f t="array" ref="AN18">IF(tblPiNAnalysis512[[#This Row],[Highest Target]]=0, "",  IF(OR(COUNTIF(tblPiNAnalysis512[[#This Row],[Highest sector(s)]],tblSubSectorPopulation[Sector])), "Flagged", ""))</f>
        <v/>
      </c>
      <c r="AO18" s="46" cm="1">
        <f t="array" ref="AO1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8" s="331" t="str" cm="1">
        <f t="array" ref="AP18">IF(tblPiNAnalysis512[[#This Row],[2nd Highest Target]]="", "", _xlfn.TEXTJOIN(CHAR(10), TRUE, IF(tblPiNAnalysis512[[#This Row],[2nd Highest Target]]=tblPiNAnalysis512[[#This Row],[CCCM]:[WASH]], tblPiNAnalysis512[[#Headers],[CCCM]:[WASH]], "")))</f>
        <v>CCCM
Education
Nutrition
Food Security
Health
Overarching Protection
Shelter
WASH</v>
      </c>
      <c r="AQ18" s="36">
        <f>IFERROR(tblPiNAnalysis512[[#This Row],[2nd Highest Target]]/tblPiNAnalysis512[[#This Row],[Affected population projection 2026]], "")</f>
        <v>0</v>
      </c>
      <c r="AR18" s="46">
        <f>IFERROR(tblPiNAnalysis512[[#This Row],[Highest Target]]-tblPiNAnalysis512[[#This Row],[2nd Highest Target]], "")</f>
        <v>0</v>
      </c>
      <c r="AS18" s="39" t="str">
        <f>IFERROR(((tblPiNAnalysis512[[#This Row],[Highest Target]]-tblPiNAnalysis512[[#This Row],[2nd Highest Target]])/tblPiNAnalysis512[[#This Row],[2nd Highest Target]]),"")</f>
        <v/>
      </c>
      <c r="AT18" s="39" t="str" cm="1">
        <f t="array" ref="AT1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 s="332" cm="1">
        <f t="array" ref="AU1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8" s="190" t="str" cm="1">
        <f t="array" ref="AV18">IF(tblPiNAnalysis512[[#This Row],[3rd Highest Target]]="", "", _xlfn.TEXTJOIN(CHAR(10), TRUE, IF(tblPiNAnalysis512[[#This Row],[3rd Highest Target]]=tblPiNAnalysis512[[#This Row],[CCCM]:[WASH]], tblPiNAnalysis512[[#Headers],[CCCM]:[WASH]], "")))</f>
        <v>CCCM
Education
Nutrition
Food Security
Health
Overarching Protection
Shelter
WASH</v>
      </c>
      <c r="AW18" s="190">
        <f>IFERROR(tblPiNAnalysis512[[#This Row],[3rd Highest Target]]/tblPiNAnalysis512[[#This Row],[Affected population projection 2026]], "")</f>
        <v>0</v>
      </c>
      <c r="AX18" s="45">
        <f>IFERROR(tblPiNAnalysis512[[#This Row],[Highest Target]]-tblPiNAnalysis512[[#This Row],[3rd Highest Target]],"")</f>
        <v>0</v>
      </c>
      <c r="AY18" s="39" t="str">
        <f>IFERROR(tblPiNAnalysis512[[#This Row],[Difference of Target between Highest and 3rd Highest]]/tblPiNAnalysis512[[#This Row],[3rd Highest Target]], "")</f>
        <v/>
      </c>
      <c r="AZ18" s="330" t="str" cm="1">
        <f t="array" ref="AZ1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 s="300" t="str" cm="1">
        <f t="array" ref="BA1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 s="333" t="str" cm="1">
        <f t="array" ref="BB1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 s="276" t="str" cm="1">
        <f t="array" ref="BC1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 s="334" t="str" cm="1">
        <f t="array" ref="BD1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 s="277" t="e">
        <f>INDEX(tblSeverityAnalysis[Final Severity], MATCH(tblPiNAnalysis512[[#This Row],[ID]],tblSeverityAnalysis[ID], 0))</f>
        <v>#N/A</v>
      </c>
      <c r="BF18" s="61" t="e">
        <f>IF(tblPiNAnalysis512[[#This Row],[Severity]]&gt;2,tblPiNAnalysis512[[#This Row],[Highest Target]],)</f>
        <v>#N/A</v>
      </c>
      <c r="BG18" s="191"/>
      <c r="BH18" s="192"/>
      <c r="BI18" s="193">
        <f>COUNTIFS(tblPiNAnalysis512[[#This Row],[Number of missing / zero PiNs greater than threshold - Data quality]:[Manual Flag]],"Flagged")</f>
        <v>2</v>
      </c>
      <c r="BJ18" s="96" t="str">
        <f>IF(tblPiNAnalysis512[[#This Row],['# Flags]]&gt;0, "Flagged", "")</f>
        <v>Flagged</v>
      </c>
      <c r="BK18" s="326" t="e">
        <f>tblPiNAnalysis512[[#This Row],[Preliminary Target]]</f>
        <v>#N/A</v>
      </c>
      <c r="BL18" s="331">
        <v>4</v>
      </c>
    </row>
    <row r="19" spans="1:64" x14ac:dyDescent="0.55000000000000004">
      <c r="A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 s="316" t="s">
        <v>268</v>
      </c>
      <c r="C19" s="317" t="s">
        <v>269</v>
      </c>
      <c r="D19" s="317" t="s">
        <v>270</v>
      </c>
      <c r="E19" s="105" t="s">
        <v>271</v>
      </c>
      <c r="F19" s="100"/>
      <c r="G19" s="34"/>
      <c r="H19" s="34"/>
      <c r="I19" s="97">
        <v>45687.987079478589</v>
      </c>
      <c r="J19" s="97" t="s">
        <v>412</v>
      </c>
      <c r="K19" s="261">
        <v>24153</v>
      </c>
      <c r="L19" s="319">
        <v>9011.1330676597208</v>
      </c>
      <c r="M19" s="319">
        <v>11920.360453089319</v>
      </c>
      <c r="N19" s="319">
        <v>22207.155096992403</v>
      </c>
      <c r="O19" s="319">
        <v>22011.499596320162</v>
      </c>
      <c r="P19" s="319">
        <v>23198.824955641583</v>
      </c>
      <c r="Q19" s="320">
        <v>28428.080849453345</v>
      </c>
      <c r="R19" s="319">
        <v>7826.1829719477209</v>
      </c>
      <c r="S19" s="319"/>
      <c r="T19" s="319"/>
      <c r="U19" s="319"/>
      <c r="V19" s="319"/>
      <c r="W19" s="321">
        <f>IFERROR(IF(tblPiNAnalysis512[[#This Row],[CCCM]]="", "", MROUND(tblPiNAnalysis512[[#This Row],[CCCM]]/tblPiNAnalysis512[[#This Row],[Affected population projection 2026]], 0.05)), "")</f>
        <v>0.55000000000000004</v>
      </c>
      <c r="X19" s="322">
        <f>IFERROR(IF(tblPiNAnalysis512[[#This Row],[Education]]="", "", MROUND(tblPiNAnalysis512[[#This Row],[Education]]/tblPiNAnalysis512[[#This Row],[Affected population projection 2026]], 0.05)), "")</f>
        <v>0.2</v>
      </c>
      <c r="Y19" s="322">
        <f>IFERROR(IF(tblPiNAnalysis512[[#This Row],[Nutrition]]="", "", MROUND(tblPiNAnalysis512[[#This Row],[Nutrition]]/tblPiNAnalysis512[[#This Row],[Affected population projection 2026]], 0.05)), "")</f>
        <v>0.25</v>
      </c>
      <c r="Z19" s="322">
        <f>IFERROR(IF(tblPiNAnalysis512[[#This Row],[Food Security]]="", "", MROUND(tblPiNAnalysis512[[#This Row],[Food Security]]/tblPiNAnalysis512[[#This Row],[Affected population projection 2026]], 0.05)), "")</f>
        <v>0.5</v>
      </c>
      <c r="AA19" s="322">
        <f>IFERROR(IF(tblPiNAnalysis512[[#This Row],[Health]]="", "", MROUND(tblPiNAnalysis512[[#This Row],[Health]]/tblPiNAnalysis512[[#This Row],[Affected population projection 2026]], 0.05)), "")</f>
        <v>0.5</v>
      </c>
      <c r="AB19" s="323">
        <f>IFERROR(IF(tblPiNAnalysis512[[#This Row],[Overarching Protection]]="", "", MROUND(tblPiNAnalysis512[[#This Row],[Overarching Protection]]/tblPiNAnalysis512[[#This Row],[Affected population projection 2026]], 0.05)), "")</f>
        <v>0.5</v>
      </c>
      <c r="AC19" s="323">
        <f>IFERROR(IF(tblPiNAnalysis512[[#This Row],[Shelter]]="", "", MROUND(tblPiNAnalysis512[[#This Row],[Shelter]]/tblPiNAnalysis512[[#This Row],[Affected population projection 2026]], 0.05)), "")</f>
        <v>0.60000000000000009</v>
      </c>
      <c r="AD19" s="324">
        <f>IFERROR(IF(tblPiNAnalysis512[[#This Row],[WASH]]="", "", MROUND(tblPiNAnalysis512[[#This Row],[WASH]]/tblPiNAnalysis512[[#This Row],[Affected population projection 2026]], 0.05)), "")</f>
        <v>0.15000000000000002</v>
      </c>
      <c r="AE19" s="322">
        <f>IFERROR(MROUND(tblPiNAnalysis512[[#This Row],[CP]]/tblPiNAnalysis512[[#This Row],[Affected population projection 2026]], 0.05), "")</f>
        <v>0</v>
      </c>
      <c r="AF19" s="322">
        <f>IFERROR(MROUND(tblPiNAnalysis512[[#This Row],[GBV]]/tblPiNAnalysis512[[#This Row],[Affected population projection 2026]], 0.05), "")</f>
        <v>0</v>
      </c>
      <c r="AG19" s="322">
        <f>IFERROR(MROUND(tblPiNAnalysis512[[#This Row],[Mine Action]]/tblPiNAnalysis512[[#This Row],[Affected population projection 2026]], 0.05), "")</f>
        <v>0</v>
      </c>
      <c r="AH19" s="322">
        <f>IFERROR(MROUND(tblPiNAnalysis512[[#This Row],[HLP]]/tblPiNAnalysis512[[#This Row],[Affected population projection 2026]], 0.05), "")</f>
        <v>0</v>
      </c>
      <c r="AI19" s="325">
        <f>IFERROR(LARGE(tblPiNAnalysis512[[#This Row],[CCCM]:[WASH]], 1), "")</f>
        <v>28428.080849453345</v>
      </c>
      <c r="AJ19" s="326" t="str" cm="1">
        <f t="array" ref="AJ19">IF(tblPiNAnalysis512[[#This Row],[Highest Target]]="", "", _xlfn.TEXTJOIN(CHAR(10), TRUE, IF(tblPiNAnalysis512[[#This Row],[Highest Target]]=tblPiNAnalysis512[[#This Row],[CCCM]:[WASH]], tblPiNAnalysis512[[#Headers],[CCCM]:[WASH]], "")))</f>
        <v>Shelter</v>
      </c>
      <c r="AK19" s="327">
        <f>IF(tblPiNAnalysis512[[#This Row],[Highest Target]]="", "", tblPiNAnalysis512[[#This Row],[Highest Target]]/tblPiNAnalysis512[[#This Row],[Affected population projection 2026]])</f>
        <v>0.62222222222222223</v>
      </c>
      <c r="AL19" s="328" t="str">
        <f>IF(SUM(tblPiNAnalysis512[[#This Row],[CCCM]:[WASH]])=0, "",IF(COUNTIF(tblPiNAnalysis512[[#This Row],[CCCM]:[WASH]],"=0")+COUNTIF(tblPiNAnalysis512[[#This Row],[CCCM]:[WASH]],"")&gt;=zero_pin_thresh, "Flagged", ""))</f>
        <v/>
      </c>
      <c r="AM19" s="329" t="str">
        <f>IFERROR(IF(tblPiNAnalysis512[[#This Row],[Highest Target]]="", "", IF(tblPiNAnalysis512[[#This Row],[Highest sector(s'') Target %]]&gt;=flag_pin_perc, "Flagged", "")), "")</f>
        <v/>
      </c>
      <c r="AN19" s="330" t="str" cm="1">
        <f t="array" ref="AN19">IF(tblPiNAnalysis512[[#This Row],[Highest Target]]=0, "",  IF(OR(COUNTIF(tblPiNAnalysis512[[#This Row],[Highest sector(s)]],tblSubSectorPopulation[Sector])), "Flagged", ""))</f>
        <v/>
      </c>
      <c r="AO19" s="46" cm="1">
        <f t="array" ref="AO1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24153</v>
      </c>
      <c r="AP19" s="331" t="str" cm="1">
        <f t="array" ref="AP19">IF(tblPiNAnalysis512[[#This Row],[2nd Highest Target]]="", "", _xlfn.TEXTJOIN(CHAR(10), TRUE, IF(tblPiNAnalysis512[[#This Row],[2nd Highest Target]]=tblPiNAnalysis512[[#This Row],[CCCM]:[WASH]], tblPiNAnalysis512[[#Headers],[CCCM]:[WASH]], "")))</f>
        <v>CCCM</v>
      </c>
      <c r="AQ19" s="36">
        <f>IFERROR(tblPiNAnalysis512[[#This Row],[2nd Highest Target]]/tblPiNAnalysis512[[#This Row],[Affected population projection 2026]], "")</f>
        <v>0.52865099874029386</v>
      </c>
      <c r="AR19" s="46">
        <f>IFERROR(tblPiNAnalysis512[[#This Row],[Highest Target]]-tblPiNAnalysis512[[#This Row],[2nd Highest Target]], "")</f>
        <v>4275.0808494533449</v>
      </c>
      <c r="AS19" s="39">
        <f>IFERROR(((tblPiNAnalysis512[[#This Row],[Highest Target]]-tblPiNAnalysis512[[#This Row],[2nd Highest Target]])/tblPiNAnalysis512[[#This Row],[2nd Highest Target]]),"")</f>
        <v>0.17699999376695835</v>
      </c>
      <c r="AT19" s="39" t="str" cm="1">
        <f t="array" ref="AT1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 s="332" cm="1">
        <f t="array" ref="AU1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23198.824955641583</v>
      </c>
      <c r="AV19" s="190" t="str" cm="1">
        <f t="array" ref="AV19">IF(tblPiNAnalysis512[[#This Row],[3rd Highest Target]]="", "", _xlfn.TEXTJOIN(CHAR(10), TRUE, IF(tblPiNAnalysis512[[#This Row],[3rd Highest Target]]=tblPiNAnalysis512[[#This Row],[CCCM]:[WASH]], tblPiNAnalysis512[[#Headers],[CCCM]:[WASH]], "")))</f>
        <v>Overarching Protection</v>
      </c>
      <c r="AW19" s="190">
        <f>IFERROR(tblPiNAnalysis512[[#This Row],[3rd Highest Target]]/tblPiNAnalysis512[[#This Row],[Affected population projection 2026]], "")</f>
        <v>0.50776640510086435</v>
      </c>
      <c r="AX19" s="45">
        <f>IFERROR(tblPiNAnalysis512[[#This Row],[Highest Target]]-tblPiNAnalysis512[[#This Row],[3rd Highest Target]],"")</f>
        <v>5229.2558938117618</v>
      </c>
      <c r="AY19" s="39">
        <f>IFERROR(tblPiNAnalysis512[[#This Row],[Difference of Target between Highest and 3rd Highest]]/tblPiNAnalysis512[[#This Row],[3rd Highest Target]], "")</f>
        <v>0.22541037762949673</v>
      </c>
      <c r="AZ19" s="330" t="str" cm="1">
        <f t="array" ref="AZ1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 s="300" t="str" cm="1">
        <f t="array" ref="BA1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 s="333" t="str" cm="1">
        <f t="array" ref="BB1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 s="276" t="str" cm="1">
        <f t="array" ref="BC1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 s="334" t="str" cm="1">
        <f t="array" ref="BD1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9" s="277" t="e">
        <f>INDEX(tblSeverityAnalysis[Final Severity], MATCH(tblPiNAnalysis512[[#This Row],[ID]],tblSeverityAnalysis[ID], 0))</f>
        <v>#N/A</v>
      </c>
      <c r="BF19" s="61" t="e">
        <f>IF(tblPiNAnalysis512[[#This Row],[Severity]]&gt;2,tblPiNAnalysis512[[#This Row],[Highest Target]],)</f>
        <v>#N/A</v>
      </c>
      <c r="BG19" s="191"/>
      <c r="BH19" s="192"/>
      <c r="BI19" s="193">
        <f>COUNTIFS(tblPiNAnalysis512[[#This Row],[Number of missing / zero PiNs greater than threshold - Data quality]:[Manual Flag]],"Flagged")</f>
        <v>1</v>
      </c>
      <c r="BJ19" s="96" t="str">
        <f>IF(tblPiNAnalysis512[[#This Row],['# Flags]]&gt;0, "Flagged", "")</f>
        <v>Flagged</v>
      </c>
      <c r="BK19" s="326" t="e">
        <f>tblPiNAnalysis512[[#This Row],[Preliminary Target]]</f>
        <v>#N/A</v>
      </c>
      <c r="BL19" s="331">
        <v>1</v>
      </c>
    </row>
    <row r="20" spans="1:64" x14ac:dyDescent="0.55000000000000004">
      <c r="A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 s="316" t="s">
        <v>268</v>
      </c>
      <c r="C20" s="317" t="s">
        <v>269</v>
      </c>
      <c r="D20" s="317" t="s">
        <v>272</v>
      </c>
      <c r="E20" s="105" t="s">
        <v>273</v>
      </c>
      <c r="F20" s="100"/>
      <c r="G20" s="34"/>
      <c r="H20" s="34"/>
      <c r="I20" s="97">
        <v>21857.689382345037</v>
      </c>
      <c r="J20" s="97" t="s">
        <v>412</v>
      </c>
      <c r="K20" s="261">
        <v>0</v>
      </c>
      <c r="L20" s="319">
        <v>3012.1644584022056</v>
      </c>
      <c r="M20" s="319">
        <v>3864.8899374194034</v>
      </c>
      <c r="N20" s="319">
        <v>9379.209789665756</v>
      </c>
      <c r="O20" s="319">
        <v>8832.762200943982</v>
      </c>
      <c r="P20" s="319">
        <v>8756.0836161844727</v>
      </c>
      <c r="Q20" s="320">
        <v>9709.8581679263516</v>
      </c>
      <c r="R20" s="319">
        <v>15131.99644182275</v>
      </c>
      <c r="S20" s="319"/>
      <c r="T20" s="319"/>
      <c r="U20" s="319"/>
      <c r="V20" s="319"/>
      <c r="W20" s="321">
        <f>IFERROR(IF(tblPiNAnalysis512[[#This Row],[CCCM]]="", "", MROUND(tblPiNAnalysis512[[#This Row],[CCCM]]/tblPiNAnalysis512[[#This Row],[Affected population projection 2026]], 0.05)), "")</f>
        <v>0</v>
      </c>
      <c r="X20" s="322">
        <f>IFERROR(IF(tblPiNAnalysis512[[#This Row],[Education]]="", "", MROUND(tblPiNAnalysis512[[#This Row],[Education]]/tblPiNAnalysis512[[#This Row],[Affected population projection 2026]], 0.05)), "")</f>
        <v>0.15000000000000002</v>
      </c>
      <c r="Y20" s="322">
        <f>IFERROR(IF(tblPiNAnalysis512[[#This Row],[Nutrition]]="", "", MROUND(tblPiNAnalysis512[[#This Row],[Nutrition]]/tblPiNAnalysis512[[#This Row],[Affected population projection 2026]], 0.05)), "")</f>
        <v>0.2</v>
      </c>
      <c r="Z20" s="322">
        <f>IFERROR(IF(tblPiNAnalysis512[[#This Row],[Food Security]]="", "", MROUND(tblPiNAnalysis512[[#This Row],[Food Security]]/tblPiNAnalysis512[[#This Row],[Affected population projection 2026]], 0.05)), "")</f>
        <v>0.45</v>
      </c>
      <c r="AA20" s="322">
        <f>IFERROR(IF(tblPiNAnalysis512[[#This Row],[Health]]="", "", MROUND(tblPiNAnalysis512[[#This Row],[Health]]/tblPiNAnalysis512[[#This Row],[Affected population projection 2026]], 0.05)), "")</f>
        <v>0.4</v>
      </c>
      <c r="AB20" s="323">
        <f>IFERROR(IF(tblPiNAnalysis512[[#This Row],[Overarching Protection]]="", "", MROUND(tblPiNAnalysis512[[#This Row],[Overarching Protection]]/tblPiNAnalysis512[[#This Row],[Affected population projection 2026]], 0.05)), "")</f>
        <v>0.4</v>
      </c>
      <c r="AC20" s="323">
        <f>IFERROR(IF(tblPiNAnalysis512[[#This Row],[Shelter]]="", "", MROUND(tblPiNAnalysis512[[#This Row],[Shelter]]/tblPiNAnalysis512[[#This Row],[Affected population projection 2026]], 0.05)), "")</f>
        <v>0.45</v>
      </c>
      <c r="AD20" s="324">
        <f>IFERROR(IF(tblPiNAnalysis512[[#This Row],[WASH]]="", "", MROUND(tblPiNAnalysis512[[#This Row],[WASH]]/tblPiNAnalysis512[[#This Row],[Affected population projection 2026]], 0.05)), "")</f>
        <v>0.70000000000000007</v>
      </c>
      <c r="AE20" s="322">
        <f>IFERROR(MROUND(tblPiNAnalysis512[[#This Row],[CP]]/tblPiNAnalysis512[[#This Row],[Affected population projection 2026]], 0.05), "")</f>
        <v>0</v>
      </c>
      <c r="AF20" s="322">
        <f>IFERROR(MROUND(tblPiNAnalysis512[[#This Row],[GBV]]/tblPiNAnalysis512[[#This Row],[Affected population projection 2026]], 0.05), "")</f>
        <v>0</v>
      </c>
      <c r="AG20" s="322">
        <f>IFERROR(MROUND(tblPiNAnalysis512[[#This Row],[Mine Action]]/tblPiNAnalysis512[[#This Row],[Affected population projection 2026]], 0.05), "")</f>
        <v>0</v>
      </c>
      <c r="AH20" s="322">
        <f>IFERROR(MROUND(tblPiNAnalysis512[[#This Row],[HLP]]/tblPiNAnalysis512[[#This Row],[Affected population projection 2026]], 0.05), "")</f>
        <v>0</v>
      </c>
      <c r="AI20" s="325">
        <f>IFERROR(LARGE(tblPiNAnalysis512[[#This Row],[CCCM]:[WASH]], 1), "")</f>
        <v>15131.99644182275</v>
      </c>
      <c r="AJ20" s="326" t="str" cm="1">
        <f t="array" ref="AJ20">IF(tblPiNAnalysis512[[#This Row],[Highest Target]]="", "", _xlfn.TEXTJOIN(CHAR(10), TRUE, IF(tblPiNAnalysis512[[#This Row],[Highest Target]]=tblPiNAnalysis512[[#This Row],[CCCM]:[WASH]], tblPiNAnalysis512[[#Headers],[CCCM]:[WASH]], "")))</f>
        <v>WASH</v>
      </c>
      <c r="AK20" s="327">
        <f>IF(tblPiNAnalysis512[[#This Row],[Highest Target]]="", "", tblPiNAnalysis512[[#This Row],[Highest Target]]/tblPiNAnalysis512[[#This Row],[Affected population projection 2026]])</f>
        <v>0.69229625223081515</v>
      </c>
      <c r="AL20" s="328" t="str">
        <f>IF(SUM(tblPiNAnalysis512[[#This Row],[CCCM]:[WASH]])=0, "",IF(COUNTIF(tblPiNAnalysis512[[#This Row],[CCCM]:[WASH]],"=0")+COUNTIF(tblPiNAnalysis512[[#This Row],[CCCM]:[WASH]],"")&gt;=zero_pin_thresh, "Flagged", ""))</f>
        <v/>
      </c>
      <c r="AM20" s="329" t="str">
        <f>IFERROR(IF(tblPiNAnalysis512[[#This Row],[Highest Target]]="", "", IF(tblPiNAnalysis512[[#This Row],[Highest sector(s'') Target %]]&gt;=flag_pin_perc, "Flagged", "")), "")</f>
        <v/>
      </c>
      <c r="AN20" s="330" t="str" cm="1">
        <f t="array" ref="AN20">IF(tblPiNAnalysis512[[#This Row],[Highest Target]]=0, "",  IF(OR(COUNTIF(tblPiNAnalysis512[[#This Row],[Highest sector(s)]],tblSubSectorPopulation[Sector])), "Flagged", ""))</f>
        <v/>
      </c>
      <c r="AO20" s="46" cm="1">
        <f t="array" ref="AO2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9709.8581679263516</v>
      </c>
      <c r="AP20" s="331" t="str" cm="1">
        <f t="array" ref="AP20">IF(tblPiNAnalysis512[[#This Row],[2nd Highest Target]]="", "", _xlfn.TEXTJOIN(CHAR(10), TRUE, IF(tblPiNAnalysis512[[#This Row],[2nd Highest Target]]=tblPiNAnalysis512[[#This Row],[CCCM]:[WASH]], tblPiNAnalysis512[[#Headers],[CCCM]:[WASH]], "")))</f>
        <v>Shelter</v>
      </c>
      <c r="AQ20" s="36">
        <f>IFERROR(tblPiNAnalysis512[[#This Row],[2nd Highest Target]]/tblPiNAnalysis512[[#This Row],[Affected population projection 2026]], "")</f>
        <v>0.44423076923076915</v>
      </c>
      <c r="AR20" s="46">
        <f>IFERROR(tblPiNAnalysis512[[#This Row],[Highest Target]]-tblPiNAnalysis512[[#This Row],[2nd Highest Target]], "")</f>
        <v>5422.1382738963985</v>
      </c>
      <c r="AS20" s="39">
        <f>IFERROR(((tblPiNAnalysis512[[#This Row],[Highest Target]]-tblPiNAnalysis512[[#This Row],[2nd Highest Target]])/tblPiNAnalysis512[[#This Row],[2nd Highest Target]]),"")</f>
        <v>0.55841580588754947</v>
      </c>
      <c r="AT20" s="39" t="str" cm="1">
        <f t="array" ref="AT2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0" s="332" cm="1">
        <f t="array" ref="AU2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9379.209789665756</v>
      </c>
      <c r="AV20" s="190" t="str" cm="1">
        <f t="array" ref="AV20">IF(tblPiNAnalysis512[[#This Row],[3rd Highest Target]]="", "", _xlfn.TEXTJOIN(CHAR(10), TRUE, IF(tblPiNAnalysis512[[#This Row],[3rd Highest Target]]=tblPiNAnalysis512[[#This Row],[CCCM]:[WASH]], tblPiNAnalysis512[[#Headers],[CCCM]:[WASH]], "")))</f>
        <v>Food Security</v>
      </c>
      <c r="AW20" s="190">
        <f>IFERROR(tblPiNAnalysis512[[#This Row],[3rd Highest Target]]/tblPiNAnalysis512[[#This Row],[Affected population projection 2026]], "")</f>
        <v>0.42910344390023042</v>
      </c>
      <c r="AX20" s="45">
        <f>IFERROR(tblPiNAnalysis512[[#This Row],[Highest Target]]-tblPiNAnalysis512[[#This Row],[3rd Highest Target]],"")</f>
        <v>5752.786652156994</v>
      </c>
      <c r="AY20" s="39">
        <f>IFERROR(tblPiNAnalysis512[[#This Row],[Difference of Target between Highest and 3rd Highest]]/tblPiNAnalysis512[[#This Row],[3rd Highest Target]], "")</f>
        <v>0.61335515263722495</v>
      </c>
      <c r="AZ20" s="330" t="str" cm="1">
        <f t="array" ref="AZ2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 s="300" t="str" cm="1">
        <f t="array" ref="BA2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 s="333" t="str" cm="1">
        <f t="array" ref="BB2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0" s="276" t="str" cm="1">
        <f t="array" ref="BC2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 s="334" t="str" cm="1">
        <f t="array" ref="BD2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 s="277" t="e">
        <f>INDEX(tblSeverityAnalysis[Final Severity], MATCH(tblPiNAnalysis512[[#This Row],[ID]],tblSeverityAnalysis[ID], 0))</f>
        <v>#N/A</v>
      </c>
      <c r="BF20" s="61" t="e">
        <f>IF(tblPiNAnalysis512[[#This Row],[Severity]]&gt;2,tblPiNAnalysis512[[#This Row],[Highest Target]],)</f>
        <v>#N/A</v>
      </c>
      <c r="BG20" s="191"/>
      <c r="BH20" s="192"/>
      <c r="BI20" s="193">
        <f>COUNTIFS(tblPiNAnalysis512[[#This Row],[Number of missing / zero PiNs greater than threshold - Data quality]:[Manual Flag]],"Flagged")</f>
        <v>3</v>
      </c>
      <c r="BJ20" s="96" t="str">
        <f>IF(tblPiNAnalysis512[[#This Row],['# Flags]]&gt;0, "Flagged", "")</f>
        <v>Flagged</v>
      </c>
      <c r="BK20" s="326" t="e">
        <f>tblPiNAnalysis512[[#This Row],[Preliminary Target]]</f>
        <v>#N/A</v>
      </c>
      <c r="BL20" s="331">
        <v>2</v>
      </c>
    </row>
    <row r="21" spans="1:64" ht="110.7" x14ac:dyDescent="0.55000000000000004">
      <c r="A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 s="316" t="s">
        <v>268</v>
      </c>
      <c r="C21" s="317" t="s">
        <v>269</v>
      </c>
      <c r="D21" s="317" t="s">
        <v>274</v>
      </c>
      <c r="E21" s="105" t="s">
        <v>275</v>
      </c>
      <c r="F21" s="100"/>
      <c r="G21" s="34"/>
      <c r="H21" s="34"/>
      <c r="I21" s="97">
        <v>95901.175542296638</v>
      </c>
      <c r="J21" s="97" t="s">
        <v>412</v>
      </c>
      <c r="K21" s="261">
        <v>0</v>
      </c>
      <c r="L21" s="319">
        <v>0</v>
      </c>
      <c r="M21" s="319">
        <v>0</v>
      </c>
      <c r="N21" s="319">
        <v>0</v>
      </c>
      <c r="O21" s="319">
        <v>0</v>
      </c>
      <c r="P21" s="319">
        <v>0</v>
      </c>
      <c r="Q21" s="320">
        <v>0</v>
      </c>
      <c r="R21" s="319">
        <v>0</v>
      </c>
      <c r="S21" s="319"/>
      <c r="T21" s="319"/>
      <c r="U21" s="319"/>
      <c r="V21" s="319"/>
      <c r="W21" s="321">
        <f>IFERROR(IF(tblPiNAnalysis512[[#This Row],[CCCM]]="", "", MROUND(tblPiNAnalysis512[[#This Row],[CCCM]]/tblPiNAnalysis512[[#This Row],[Affected population projection 2026]], 0.05)), "")</f>
        <v>0</v>
      </c>
      <c r="X21" s="322">
        <f>IFERROR(IF(tblPiNAnalysis512[[#This Row],[Education]]="", "", MROUND(tblPiNAnalysis512[[#This Row],[Education]]/tblPiNAnalysis512[[#This Row],[Affected population projection 2026]], 0.05)), "")</f>
        <v>0</v>
      </c>
      <c r="Y21" s="322">
        <f>IFERROR(IF(tblPiNAnalysis512[[#This Row],[Nutrition]]="", "", MROUND(tblPiNAnalysis512[[#This Row],[Nutrition]]/tblPiNAnalysis512[[#This Row],[Affected population projection 2026]], 0.05)), "")</f>
        <v>0</v>
      </c>
      <c r="Z21" s="322">
        <f>IFERROR(IF(tblPiNAnalysis512[[#This Row],[Food Security]]="", "", MROUND(tblPiNAnalysis512[[#This Row],[Food Security]]/tblPiNAnalysis512[[#This Row],[Affected population projection 2026]], 0.05)), "")</f>
        <v>0</v>
      </c>
      <c r="AA21" s="322">
        <f>IFERROR(IF(tblPiNAnalysis512[[#This Row],[Health]]="", "", MROUND(tblPiNAnalysis512[[#This Row],[Health]]/tblPiNAnalysis512[[#This Row],[Affected population projection 2026]], 0.05)), "")</f>
        <v>0</v>
      </c>
      <c r="AB21" s="323">
        <f>IFERROR(IF(tblPiNAnalysis512[[#This Row],[Overarching Protection]]="", "", MROUND(tblPiNAnalysis512[[#This Row],[Overarching Protection]]/tblPiNAnalysis512[[#This Row],[Affected population projection 2026]], 0.05)), "")</f>
        <v>0</v>
      </c>
      <c r="AC21" s="323">
        <f>IFERROR(IF(tblPiNAnalysis512[[#This Row],[Shelter]]="", "", MROUND(tblPiNAnalysis512[[#This Row],[Shelter]]/tblPiNAnalysis512[[#This Row],[Affected population projection 2026]], 0.05)), "")</f>
        <v>0</v>
      </c>
      <c r="AD21" s="324">
        <f>IFERROR(IF(tblPiNAnalysis512[[#This Row],[WASH]]="", "", MROUND(tblPiNAnalysis512[[#This Row],[WASH]]/tblPiNAnalysis512[[#This Row],[Affected population projection 2026]], 0.05)), "")</f>
        <v>0</v>
      </c>
      <c r="AE21" s="322">
        <f>IFERROR(MROUND(tblPiNAnalysis512[[#This Row],[CP]]/tblPiNAnalysis512[[#This Row],[Affected population projection 2026]], 0.05), "")</f>
        <v>0</v>
      </c>
      <c r="AF21" s="322">
        <f>IFERROR(MROUND(tblPiNAnalysis512[[#This Row],[GBV]]/tblPiNAnalysis512[[#This Row],[Affected population projection 2026]], 0.05), "")</f>
        <v>0</v>
      </c>
      <c r="AG21" s="322">
        <f>IFERROR(MROUND(tblPiNAnalysis512[[#This Row],[Mine Action]]/tblPiNAnalysis512[[#This Row],[Affected population projection 2026]], 0.05), "")</f>
        <v>0</v>
      </c>
      <c r="AH21" s="322">
        <f>IFERROR(MROUND(tblPiNAnalysis512[[#This Row],[HLP]]/tblPiNAnalysis512[[#This Row],[Affected population projection 2026]], 0.05), "")</f>
        <v>0</v>
      </c>
      <c r="AI21" s="325">
        <f>IFERROR(LARGE(tblPiNAnalysis512[[#This Row],[CCCM]:[WASH]], 1), "")</f>
        <v>0</v>
      </c>
      <c r="AJ21" s="326" t="str" cm="1">
        <f t="array" ref="AJ21">IF(tblPiNAnalysis512[[#This Row],[Highest Target]]="", "", _xlfn.TEXTJOIN(CHAR(10), TRUE, IF(tblPiNAnalysis512[[#This Row],[Highest Target]]=tblPiNAnalysis512[[#This Row],[CCCM]:[WASH]], tblPiNAnalysis512[[#Headers],[CCCM]:[WASH]], "")))</f>
        <v>CCCM
Education
Nutrition
Food Security
Health
Overarching Protection
Shelter
WASH</v>
      </c>
      <c r="AK21" s="327">
        <f>IF(tblPiNAnalysis512[[#This Row],[Highest Target]]="", "", tblPiNAnalysis512[[#This Row],[Highest Target]]/tblPiNAnalysis512[[#This Row],[Affected population projection 2026]])</f>
        <v>0</v>
      </c>
      <c r="AL21" s="328" t="str">
        <f>IF(SUM(tblPiNAnalysis512[[#This Row],[CCCM]:[WASH]])=0, "",IF(COUNTIF(tblPiNAnalysis512[[#This Row],[CCCM]:[WASH]],"=0")+COUNTIF(tblPiNAnalysis512[[#This Row],[CCCM]:[WASH]],"")&gt;=zero_pin_thresh, "Flagged", ""))</f>
        <v/>
      </c>
      <c r="AM21" s="329" t="str">
        <f>IFERROR(IF(tblPiNAnalysis512[[#This Row],[Highest Target]]="", "", IF(tblPiNAnalysis512[[#This Row],[Highest sector(s'') Target %]]&gt;=flag_pin_perc, "Flagged", "")), "")</f>
        <v/>
      </c>
      <c r="AN21" s="330" t="str" cm="1">
        <f t="array" ref="AN21">IF(tblPiNAnalysis512[[#This Row],[Highest Target]]=0, "",  IF(OR(COUNTIF(tblPiNAnalysis512[[#This Row],[Highest sector(s)]],tblSubSectorPopulation[Sector])), "Flagged", ""))</f>
        <v/>
      </c>
      <c r="AO21" s="46" cm="1">
        <f t="array" ref="AO2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1" s="331" t="str" cm="1">
        <f t="array" ref="AP21">IF(tblPiNAnalysis512[[#This Row],[2nd Highest Target]]="", "", _xlfn.TEXTJOIN(CHAR(10), TRUE, IF(tblPiNAnalysis512[[#This Row],[2nd Highest Target]]=tblPiNAnalysis512[[#This Row],[CCCM]:[WASH]], tblPiNAnalysis512[[#Headers],[CCCM]:[WASH]], "")))</f>
        <v>CCCM
Education
Nutrition
Food Security
Health
Overarching Protection
Shelter
WASH</v>
      </c>
      <c r="AQ21" s="36">
        <f>IFERROR(tblPiNAnalysis512[[#This Row],[2nd Highest Target]]/tblPiNAnalysis512[[#This Row],[Affected population projection 2026]], "")</f>
        <v>0</v>
      </c>
      <c r="AR21" s="46">
        <f>IFERROR(tblPiNAnalysis512[[#This Row],[Highest Target]]-tblPiNAnalysis512[[#This Row],[2nd Highest Target]], "")</f>
        <v>0</v>
      </c>
      <c r="AS21" s="39" t="str">
        <f>IFERROR(((tblPiNAnalysis512[[#This Row],[Highest Target]]-tblPiNAnalysis512[[#This Row],[2nd Highest Target]])/tblPiNAnalysis512[[#This Row],[2nd Highest Target]]),"")</f>
        <v/>
      </c>
      <c r="AT21" s="39" t="str" cm="1">
        <f t="array" ref="AT2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 s="332" cm="1">
        <f t="array" ref="AU2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1" s="190" t="str" cm="1">
        <f t="array" ref="AV21">IF(tblPiNAnalysis512[[#This Row],[3rd Highest Target]]="", "", _xlfn.TEXTJOIN(CHAR(10), TRUE, IF(tblPiNAnalysis512[[#This Row],[3rd Highest Target]]=tblPiNAnalysis512[[#This Row],[CCCM]:[WASH]], tblPiNAnalysis512[[#Headers],[CCCM]:[WASH]], "")))</f>
        <v>CCCM
Education
Nutrition
Food Security
Health
Overarching Protection
Shelter
WASH</v>
      </c>
      <c r="AW21" s="190">
        <f>IFERROR(tblPiNAnalysis512[[#This Row],[3rd Highest Target]]/tblPiNAnalysis512[[#This Row],[Affected population projection 2026]], "")</f>
        <v>0</v>
      </c>
      <c r="AX21" s="45">
        <f>IFERROR(tblPiNAnalysis512[[#This Row],[Highest Target]]-tblPiNAnalysis512[[#This Row],[3rd Highest Target]],"")</f>
        <v>0</v>
      </c>
      <c r="AY21" s="39" t="str">
        <f>IFERROR(tblPiNAnalysis512[[#This Row],[Difference of Target between Highest and 3rd Highest]]/tblPiNAnalysis512[[#This Row],[3rd Highest Target]], "")</f>
        <v/>
      </c>
      <c r="AZ21" s="330" t="str" cm="1">
        <f t="array" ref="AZ2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 s="300" t="str" cm="1">
        <f t="array" ref="BA2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 s="333" t="str" cm="1">
        <f t="array" ref="BB2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 s="276" t="str" cm="1">
        <f t="array" ref="BC2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 s="334" t="str" cm="1">
        <f t="array" ref="BD2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 s="277" t="e">
        <f>INDEX(tblSeverityAnalysis[Final Severity], MATCH(tblPiNAnalysis512[[#This Row],[ID]],tblSeverityAnalysis[ID], 0))</f>
        <v>#N/A</v>
      </c>
      <c r="BF21" s="61" t="e">
        <f>IF(tblPiNAnalysis512[[#This Row],[Severity]]&gt;2,tblPiNAnalysis512[[#This Row],[Highest Target]],)</f>
        <v>#N/A</v>
      </c>
      <c r="BG21" s="191"/>
      <c r="BH21" s="192"/>
      <c r="BI21" s="193">
        <f>COUNTIFS(tblPiNAnalysis512[[#This Row],[Number of missing / zero PiNs greater than threshold - Data quality]:[Manual Flag]],"Flagged")</f>
        <v>2</v>
      </c>
      <c r="BJ21" s="96" t="str">
        <f>IF(tblPiNAnalysis512[[#This Row],['# Flags]]&gt;0, "Flagged", "")</f>
        <v>Flagged</v>
      </c>
      <c r="BK21" s="326" t="e">
        <f>tblPiNAnalysis512[[#This Row],[Preliminary Target]]</f>
        <v>#N/A</v>
      </c>
      <c r="BL21" s="331">
        <v>4</v>
      </c>
    </row>
    <row r="22" spans="1:64" x14ac:dyDescent="0.55000000000000004">
      <c r="A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 s="316" t="s">
        <v>268</v>
      </c>
      <c r="C22" s="317" t="s">
        <v>269</v>
      </c>
      <c r="D22" s="317" t="s">
        <v>276</v>
      </c>
      <c r="E22" s="105" t="s">
        <v>277</v>
      </c>
      <c r="F22" s="100"/>
      <c r="G22" s="34"/>
      <c r="H22" s="34"/>
      <c r="I22" s="97">
        <v>69039.732902168529</v>
      </c>
      <c r="J22" s="97" t="s">
        <v>412</v>
      </c>
      <c r="K22" s="261">
        <v>2352</v>
      </c>
      <c r="L22" s="319">
        <v>11234.283417306668</v>
      </c>
      <c r="M22" s="319">
        <v>14939.685153799473</v>
      </c>
      <c r="N22" s="319">
        <v>35485.061963873144</v>
      </c>
      <c r="O22" s="319">
        <v>45773.041794633064</v>
      </c>
      <c r="P22" s="319">
        <v>30705.141446714861</v>
      </c>
      <c r="Q22" s="320">
        <v>48327.813031517966</v>
      </c>
      <c r="R22" s="319">
        <v>63712.59301774195</v>
      </c>
      <c r="S22" s="319"/>
      <c r="T22" s="319"/>
      <c r="U22" s="319"/>
      <c r="V22" s="319"/>
      <c r="W22" s="321">
        <f>IFERROR(IF(tblPiNAnalysis512[[#This Row],[CCCM]]="", "", MROUND(tblPiNAnalysis512[[#This Row],[CCCM]]/tblPiNAnalysis512[[#This Row],[Affected population projection 2026]], 0.05)), "")</f>
        <v>0.05</v>
      </c>
      <c r="X22" s="322">
        <f>IFERROR(IF(tblPiNAnalysis512[[#This Row],[Education]]="", "", MROUND(tblPiNAnalysis512[[#This Row],[Education]]/tblPiNAnalysis512[[#This Row],[Affected population projection 2026]], 0.05)), "")</f>
        <v>0.15000000000000002</v>
      </c>
      <c r="Y22" s="322">
        <f>IFERROR(IF(tblPiNAnalysis512[[#This Row],[Nutrition]]="", "", MROUND(tblPiNAnalysis512[[#This Row],[Nutrition]]/tblPiNAnalysis512[[#This Row],[Affected population projection 2026]], 0.05)), "")</f>
        <v>0.2</v>
      </c>
      <c r="Z22" s="322">
        <f>IFERROR(IF(tblPiNAnalysis512[[#This Row],[Food Security]]="", "", MROUND(tblPiNAnalysis512[[#This Row],[Food Security]]/tblPiNAnalysis512[[#This Row],[Affected population projection 2026]], 0.05)), "")</f>
        <v>0.5</v>
      </c>
      <c r="AA22" s="322">
        <f>IFERROR(IF(tblPiNAnalysis512[[#This Row],[Health]]="", "", MROUND(tblPiNAnalysis512[[#This Row],[Health]]/tblPiNAnalysis512[[#This Row],[Affected population projection 2026]], 0.05)), "")</f>
        <v>0.65</v>
      </c>
      <c r="AB22" s="323">
        <f>IFERROR(IF(tblPiNAnalysis512[[#This Row],[Overarching Protection]]="", "", MROUND(tblPiNAnalysis512[[#This Row],[Overarching Protection]]/tblPiNAnalysis512[[#This Row],[Affected population projection 2026]], 0.05)), "")</f>
        <v>0.45</v>
      </c>
      <c r="AC22" s="323">
        <f>IFERROR(IF(tblPiNAnalysis512[[#This Row],[Shelter]]="", "", MROUND(tblPiNAnalysis512[[#This Row],[Shelter]]/tblPiNAnalysis512[[#This Row],[Affected population projection 2026]], 0.05)), "")</f>
        <v>0.70000000000000007</v>
      </c>
      <c r="AD22" s="324">
        <f>IFERROR(IF(tblPiNAnalysis512[[#This Row],[WASH]]="", "", MROUND(tblPiNAnalysis512[[#This Row],[WASH]]/tblPiNAnalysis512[[#This Row],[Affected population projection 2026]], 0.05)), "")</f>
        <v>0.9</v>
      </c>
      <c r="AE22" s="322">
        <f>IFERROR(MROUND(tblPiNAnalysis512[[#This Row],[CP]]/tblPiNAnalysis512[[#This Row],[Affected population projection 2026]], 0.05), "")</f>
        <v>0</v>
      </c>
      <c r="AF22" s="322">
        <f>IFERROR(MROUND(tblPiNAnalysis512[[#This Row],[GBV]]/tblPiNAnalysis512[[#This Row],[Affected population projection 2026]], 0.05), "")</f>
        <v>0</v>
      </c>
      <c r="AG22" s="322">
        <f>IFERROR(MROUND(tblPiNAnalysis512[[#This Row],[Mine Action]]/tblPiNAnalysis512[[#This Row],[Affected population projection 2026]], 0.05), "")</f>
        <v>0</v>
      </c>
      <c r="AH22" s="322">
        <f>IFERROR(MROUND(tblPiNAnalysis512[[#This Row],[HLP]]/tblPiNAnalysis512[[#This Row],[Affected population projection 2026]], 0.05), "")</f>
        <v>0</v>
      </c>
      <c r="AI22" s="325">
        <f>IFERROR(LARGE(tblPiNAnalysis512[[#This Row],[CCCM]:[WASH]], 1), "")</f>
        <v>63712.59301774195</v>
      </c>
      <c r="AJ22" s="326" t="str" cm="1">
        <f t="array" ref="AJ22">IF(tblPiNAnalysis512[[#This Row],[Highest Target]]="", "", _xlfn.TEXTJOIN(CHAR(10), TRUE, IF(tblPiNAnalysis512[[#This Row],[Highest Target]]=tblPiNAnalysis512[[#This Row],[CCCM]:[WASH]], tblPiNAnalysis512[[#Headers],[CCCM]:[WASH]], "")))</f>
        <v>WASH</v>
      </c>
      <c r="AK22" s="327">
        <f>IF(tblPiNAnalysis512[[#This Row],[Highest Target]]="", "", tblPiNAnalysis512[[#This Row],[Highest Target]]/tblPiNAnalysis512[[#This Row],[Affected population projection 2026]])</f>
        <v>0.92283950617283961</v>
      </c>
      <c r="AL22" s="328" t="str">
        <f>IF(SUM(tblPiNAnalysis512[[#This Row],[CCCM]:[WASH]])=0, "",IF(COUNTIF(tblPiNAnalysis512[[#This Row],[CCCM]:[WASH]],"=0")+COUNTIF(tblPiNAnalysis512[[#This Row],[CCCM]:[WASH]],"")&gt;=zero_pin_thresh, "Flagged", ""))</f>
        <v/>
      </c>
      <c r="AM22" s="329" t="str">
        <f>IFERROR(IF(tblPiNAnalysis512[[#This Row],[Highest Target]]="", "", IF(tblPiNAnalysis512[[#This Row],[Highest sector(s'') Target %]]&gt;=flag_pin_perc, "Flagged", "")), "")</f>
        <v>Flagged</v>
      </c>
      <c r="AN22" s="330" t="str" cm="1">
        <f t="array" ref="AN22">IF(tblPiNAnalysis512[[#This Row],[Highest Target]]=0, "",  IF(OR(COUNTIF(tblPiNAnalysis512[[#This Row],[Highest sector(s)]],tblSubSectorPopulation[Sector])), "Flagged", ""))</f>
        <v/>
      </c>
      <c r="AO22" s="46" cm="1">
        <f t="array" ref="AO2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48327.813031517966</v>
      </c>
      <c r="AP22" s="331" t="str" cm="1">
        <f t="array" ref="AP22">IF(tblPiNAnalysis512[[#This Row],[2nd Highest Target]]="", "", _xlfn.TEXTJOIN(CHAR(10), TRUE, IF(tblPiNAnalysis512[[#This Row],[2nd Highest Target]]=tblPiNAnalysis512[[#This Row],[CCCM]:[WASH]], tblPiNAnalysis512[[#Headers],[CCCM]:[WASH]], "")))</f>
        <v>Shelter</v>
      </c>
      <c r="AQ22" s="36">
        <f>IFERROR(tblPiNAnalysis512[[#This Row],[2nd Highest Target]]/tblPiNAnalysis512[[#This Row],[Affected population projection 2026]], "")</f>
        <v>0.7</v>
      </c>
      <c r="AR22" s="46">
        <f>IFERROR(tblPiNAnalysis512[[#This Row],[Highest Target]]-tblPiNAnalysis512[[#This Row],[2nd Highest Target]], "")</f>
        <v>15384.779986223984</v>
      </c>
      <c r="AS22" s="39">
        <f>IFERROR(((tblPiNAnalysis512[[#This Row],[Highest Target]]-tblPiNAnalysis512[[#This Row],[2nd Highest Target]])/tblPiNAnalysis512[[#This Row],[2nd Highest Target]]),"")</f>
        <v>0.31834215167548524</v>
      </c>
      <c r="AT22" s="39" t="str" cm="1">
        <f t="array" ref="AT2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2" s="332" cm="1">
        <f t="array" ref="AU2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45773.041794633064</v>
      </c>
      <c r="AV22" s="190" t="str" cm="1">
        <f t="array" ref="AV22">IF(tblPiNAnalysis512[[#This Row],[3rd Highest Target]]="", "", _xlfn.TEXTJOIN(CHAR(10), TRUE, IF(tblPiNAnalysis512[[#This Row],[3rd Highest Target]]=tblPiNAnalysis512[[#This Row],[CCCM]:[WASH]], tblPiNAnalysis512[[#Headers],[CCCM]:[WASH]], "")))</f>
        <v>Health</v>
      </c>
      <c r="AW22" s="190">
        <f>IFERROR(tblPiNAnalysis512[[#This Row],[3rd Highest Target]]/tblPiNAnalysis512[[#This Row],[Affected population projection 2026]], "")</f>
        <v>0.66299563846075282</v>
      </c>
      <c r="AX22" s="45">
        <f>IFERROR(tblPiNAnalysis512[[#This Row],[Highest Target]]-tblPiNAnalysis512[[#This Row],[3rd Highest Target]],"")</f>
        <v>17939.551223108887</v>
      </c>
      <c r="AY22" s="39">
        <f>IFERROR(tblPiNAnalysis512[[#This Row],[Difference of Target between Highest and 3rd Highest]]/tblPiNAnalysis512[[#This Row],[3rd Highest Target]], "")</f>
        <v>0.39192394736616165</v>
      </c>
      <c r="AZ22" s="330" t="str" cm="1">
        <f t="array" ref="AZ2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 s="300" t="str" cm="1">
        <f t="array" ref="BA2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 s="333" t="str" cm="1">
        <f t="array" ref="BB2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2" s="276" t="str" cm="1">
        <f t="array" ref="BC2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 s="334" t="str" cm="1">
        <f t="array" ref="BD2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 s="277" t="e">
        <f>INDEX(tblSeverityAnalysis[Final Severity], MATCH(tblPiNAnalysis512[[#This Row],[ID]],tblSeverityAnalysis[ID], 0))</f>
        <v>#N/A</v>
      </c>
      <c r="BF22" s="61" t="e">
        <f>IF(tblPiNAnalysis512[[#This Row],[Severity]]&gt;2,tblPiNAnalysis512[[#This Row],[Highest Target]],)</f>
        <v>#N/A</v>
      </c>
      <c r="BG22" s="191"/>
      <c r="BH22" s="192"/>
      <c r="BI22" s="193">
        <f>COUNTIFS(tblPiNAnalysis512[[#This Row],[Number of missing / zero PiNs greater than threshold - Data quality]:[Manual Flag]],"Flagged")</f>
        <v>3</v>
      </c>
      <c r="BJ22" s="96" t="str">
        <f>IF(tblPiNAnalysis512[[#This Row],['# Flags]]&gt;0, "Flagged", "")</f>
        <v>Flagged</v>
      </c>
      <c r="BK22" s="326" t="e">
        <f>tblPiNAnalysis512[[#This Row],[Preliminary Target]]</f>
        <v>#N/A</v>
      </c>
      <c r="BL22" s="331">
        <v>1</v>
      </c>
    </row>
    <row r="23" spans="1:64" x14ac:dyDescent="0.55000000000000004">
      <c r="A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 s="316" t="s">
        <v>268</v>
      </c>
      <c r="C23" s="317" t="s">
        <v>269</v>
      </c>
      <c r="D23" s="317" t="s">
        <v>278</v>
      </c>
      <c r="E23" s="105" t="s">
        <v>279</v>
      </c>
      <c r="F23" s="100"/>
      <c r="G23" s="34"/>
      <c r="H23" s="34"/>
      <c r="I23" s="97">
        <v>77068.443303189997</v>
      </c>
      <c r="J23" s="97" t="s">
        <v>412</v>
      </c>
      <c r="K23" s="261">
        <v>0</v>
      </c>
      <c r="L23" s="319">
        <v>8003.5578370362809</v>
      </c>
      <c r="M23" s="319">
        <v>16714.952361157229</v>
      </c>
      <c r="N23" s="319">
        <v>31179.707915281349</v>
      </c>
      <c r="O23" s="319">
        <v>46136.836289178369</v>
      </c>
      <c r="P23" s="319">
        <v>30090.439673173918</v>
      </c>
      <c r="Q23" s="320">
        <v>53947.910312232998</v>
      </c>
      <c r="R23" s="319">
        <v>9435.3341081065919</v>
      </c>
      <c r="S23" s="319"/>
      <c r="T23" s="319"/>
      <c r="U23" s="319"/>
      <c r="V23" s="319"/>
      <c r="W23" s="321">
        <f>IFERROR(IF(tblPiNAnalysis512[[#This Row],[CCCM]]="", "", MROUND(tblPiNAnalysis512[[#This Row],[CCCM]]/tblPiNAnalysis512[[#This Row],[Affected population projection 2026]], 0.05)), "")</f>
        <v>0</v>
      </c>
      <c r="X23" s="322">
        <f>IFERROR(IF(tblPiNAnalysis512[[#This Row],[Education]]="", "", MROUND(tblPiNAnalysis512[[#This Row],[Education]]/tblPiNAnalysis512[[#This Row],[Affected population projection 2026]], 0.05)), "")</f>
        <v>0.1</v>
      </c>
      <c r="Y23" s="322">
        <f>IFERROR(IF(tblPiNAnalysis512[[#This Row],[Nutrition]]="", "", MROUND(tblPiNAnalysis512[[#This Row],[Nutrition]]/tblPiNAnalysis512[[#This Row],[Affected population projection 2026]], 0.05)), "")</f>
        <v>0.2</v>
      </c>
      <c r="Z23" s="322">
        <f>IFERROR(IF(tblPiNAnalysis512[[#This Row],[Food Security]]="", "", MROUND(tblPiNAnalysis512[[#This Row],[Food Security]]/tblPiNAnalysis512[[#This Row],[Affected population projection 2026]], 0.05)), "")</f>
        <v>0.4</v>
      </c>
      <c r="AA23" s="322">
        <f>IFERROR(IF(tblPiNAnalysis512[[#This Row],[Health]]="", "", MROUND(tblPiNAnalysis512[[#This Row],[Health]]/tblPiNAnalysis512[[#This Row],[Affected population projection 2026]], 0.05)), "")</f>
        <v>0.60000000000000009</v>
      </c>
      <c r="AB23" s="323">
        <f>IFERROR(IF(tblPiNAnalysis512[[#This Row],[Overarching Protection]]="", "", MROUND(tblPiNAnalysis512[[#This Row],[Overarching Protection]]/tblPiNAnalysis512[[#This Row],[Affected population projection 2026]], 0.05)), "")</f>
        <v>0.4</v>
      </c>
      <c r="AC23" s="323">
        <f>IFERROR(IF(tblPiNAnalysis512[[#This Row],[Shelter]]="", "", MROUND(tblPiNAnalysis512[[#This Row],[Shelter]]/tblPiNAnalysis512[[#This Row],[Affected population projection 2026]], 0.05)), "")</f>
        <v>0.70000000000000007</v>
      </c>
      <c r="AD23" s="324">
        <f>IFERROR(IF(tblPiNAnalysis512[[#This Row],[WASH]]="", "", MROUND(tblPiNAnalysis512[[#This Row],[WASH]]/tblPiNAnalysis512[[#This Row],[Affected population projection 2026]], 0.05)), "")</f>
        <v>0.1</v>
      </c>
      <c r="AE23" s="322">
        <f>IFERROR(MROUND(tblPiNAnalysis512[[#This Row],[CP]]/tblPiNAnalysis512[[#This Row],[Affected population projection 2026]], 0.05), "")</f>
        <v>0</v>
      </c>
      <c r="AF23" s="322">
        <f>IFERROR(MROUND(tblPiNAnalysis512[[#This Row],[GBV]]/tblPiNAnalysis512[[#This Row],[Affected population projection 2026]], 0.05), "")</f>
        <v>0</v>
      </c>
      <c r="AG23" s="322">
        <f>IFERROR(MROUND(tblPiNAnalysis512[[#This Row],[Mine Action]]/tblPiNAnalysis512[[#This Row],[Affected population projection 2026]], 0.05), "")</f>
        <v>0</v>
      </c>
      <c r="AH23" s="322">
        <f>IFERROR(MROUND(tblPiNAnalysis512[[#This Row],[HLP]]/tblPiNAnalysis512[[#This Row],[Affected population projection 2026]], 0.05), "")</f>
        <v>0</v>
      </c>
      <c r="AI23" s="325">
        <f>IFERROR(LARGE(tblPiNAnalysis512[[#This Row],[CCCM]:[WASH]], 1), "")</f>
        <v>53947.910312232998</v>
      </c>
      <c r="AJ23" s="326" t="str" cm="1">
        <f t="array" ref="AJ23">IF(tblPiNAnalysis512[[#This Row],[Highest Target]]="", "", _xlfn.TEXTJOIN(CHAR(10), TRUE, IF(tblPiNAnalysis512[[#This Row],[Highest Target]]=tblPiNAnalysis512[[#This Row],[CCCM]:[WASH]], tblPiNAnalysis512[[#Headers],[CCCM]:[WASH]], "")))</f>
        <v>Shelter</v>
      </c>
      <c r="AK23" s="327">
        <f>IF(tblPiNAnalysis512[[#This Row],[Highest Target]]="", "", tblPiNAnalysis512[[#This Row],[Highest Target]]/tblPiNAnalysis512[[#This Row],[Affected population projection 2026]])</f>
        <v>0.7</v>
      </c>
      <c r="AL23" s="328" t="str">
        <f>IF(SUM(tblPiNAnalysis512[[#This Row],[CCCM]:[WASH]])=0, "",IF(COUNTIF(tblPiNAnalysis512[[#This Row],[CCCM]:[WASH]],"=0")+COUNTIF(tblPiNAnalysis512[[#This Row],[CCCM]:[WASH]],"")&gt;=zero_pin_thresh, "Flagged", ""))</f>
        <v/>
      </c>
      <c r="AM23" s="329" t="str">
        <f>IFERROR(IF(tblPiNAnalysis512[[#This Row],[Highest Target]]="", "", IF(tblPiNAnalysis512[[#This Row],[Highest sector(s'') Target %]]&gt;=flag_pin_perc, "Flagged", "")), "")</f>
        <v/>
      </c>
      <c r="AN23" s="330" t="str" cm="1">
        <f t="array" ref="AN23">IF(tblPiNAnalysis512[[#This Row],[Highest Target]]=0, "",  IF(OR(COUNTIF(tblPiNAnalysis512[[#This Row],[Highest sector(s)]],tblSubSectorPopulation[Sector])), "Flagged", ""))</f>
        <v/>
      </c>
      <c r="AO23" s="46" cm="1">
        <f t="array" ref="AO2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46136.836289178369</v>
      </c>
      <c r="AP23" s="331" t="str" cm="1">
        <f t="array" ref="AP23">IF(tblPiNAnalysis512[[#This Row],[2nd Highest Target]]="", "", _xlfn.TEXTJOIN(CHAR(10), TRUE, IF(tblPiNAnalysis512[[#This Row],[2nd Highest Target]]=tblPiNAnalysis512[[#This Row],[CCCM]:[WASH]], tblPiNAnalysis512[[#Headers],[CCCM]:[WASH]], "")))</f>
        <v>Health</v>
      </c>
      <c r="AQ23" s="36">
        <f>IFERROR(tblPiNAnalysis512[[#This Row],[2nd Highest Target]]/tblPiNAnalysis512[[#This Row],[Affected population projection 2026]], "")</f>
        <v>0.59864756976697209</v>
      </c>
      <c r="AR23" s="46">
        <f>IFERROR(tblPiNAnalysis512[[#This Row],[Highest Target]]-tblPiNAnalysis512[[#This Row],[2nd Highest Target]], "")</f>
        <v>7811.0740230546289</v>
      </c>
      <c r="AS23" s="39">
        <f>IFERROR(((tblPiNAnalysis512[[#This Row],[Highest Target]]-tblPiNAnalysis512[[#This Row],[2nd Highest Target]])/tblPiNAnalysis512[[#This Row],[2nd Highest Target]]),"")</f>
        <v>0.16930233304459924</v>
      </c>
      <c r="AT23" s="39" t="str" cm="1">
        <f t="array" ref="AT2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 s="332" cm="1">
        <f t="array" ref="AU2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31179.707915281349</v>
      </c>
      <c r="AV23" s="190" t="str" cm="1">
        <f t="array" ref="AV23">IF(tblPiNAnalysis512[[#This Row],[3rd Highest Target]]="", "", _xlfn.TEXTJOIN(CHAR(10), TRUE, IF(tblPiNAnalysis512[[#This Row],[3rd Highest Target]]=tblPiNAnalysis512[[#This Row],[CCCM]:[WASH]], tblPiNAnalysis512[[#Headers],[CCCM]:[WASH]], "")))</f>
        <v>Food Security</v>
      </c>
      <c r="AW23" s="190">
        <f>IFERROR(tblPiNAnalysis512[[#This Row],[3rd Highest Target]]/tblPiNAnalysis512[[#This Row],[Affected population projection 2026]], "")</f>
        <v>0.40457165837149806</v>
      </c>
      <c r="AX23" s="45">
        <f>IFERROR(tblPiNAnalysis512[[#This Row],[Highest Target]]-tblPiNAnalysis512[[#This Row],[3rd Highest Target]],"")</f>
        <v>22768.202396951649</v>
      </c>
      <c r="AY23" s="39">
        <f>IFERROR(tblPiNAnalysis512[[#This Row],[Difference of Target between Highest and 3rd Highest]]/tblPiNAnalysis512[[#This Row],[3rd Highest Target]], "")</f>
        <v>0.7302250059178016</v>
      </c>
      <c r="AZ23" s="330" t="str" cm="1">
        <f t="array" ref="AZ2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3" s="300" t="str" cm="1">
        <f t="array" ref="BA2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 s="333" t="str" cm="1">
        <f t="array" ref="BB2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 s="276" t="str" cm="1">
        <f t="array" ref="BC2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 s="334" t="str" cm="1">
        <f t="array" ref="BD2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 s="277" t="e">
        <f>INDEX(tblSeverityAnalysis[Final Severity], MATCH(tblPiNAnalysis512[[#This Row],[ID]],tblSeverityAnalysis[ID], 0))</f>
        <v>#N/A</v>
      </c>
      <c r="BF23" s="61" t="e">
        <f>IF(tblPiNAnalysis512[[#This Row],[Severity]]&gt;2,tblPiNAnalysis512[[#This Row],[Highest Target]],)</f>
        <v>#N/A</v>
      </c>
      <c r="BG23" s="191"/>
      <c r="BH23" s="192"/>
      <c r="BI23" s="193">
        <f>COUNTIFS(tblPiNAnalysis512[[#This Row],[Number of missing / zero PiNs greater than threshold - Data quality]:[Manual Flag]],"Flagged")</f>
        <v>3</v>
      </c>
      <c r="BJ23" s="96" t="str">
        <f>IF(tblPiNAnalysis512[[#This Row],['# Flags]]&gt;0, "Flagged", "")</f>
        <v>Flagged</v>
      </c>
      <c r="BK23" s="326" t="e">
        <f>tblPiNAnalysis512[[#This Row],[Preliminary Target]]</f>
        <v>#N/A</v>
      </c>
      <c r="BL23" s="331">
        <v>2</v>
      </c>
    </row>
    <row r="24" spans="1:64" x14ac:dyDescent="0.55000000000000004">
      <c r="A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 s="316" t="s">
        <v>268</v>
      </c>
      <c r="C24" s="317" t="s">
        <v>269</v>
      </c>
      <c r="D24" s="317" t="s">
        <v>280</v>
      </c>
      <c r="E24" s="105" t="s">
        <v>281</v>
      </c>
      <c r="F24" s="100"/>
      <c r="G24" s="34"/>
      <c r="H24" s="34"/>
      <c r="I24" s="97">
        <v>118740.98784317059</v>
      </c>
      <c r="J24" s="97" t="s">
        <v>412</v>
      </c>
      <c r="K24" s="261">
        <v>42741</v>
      </c>
      <c r="L24" s="319">
        <v>44409.129453345799</v>
      </c>
      <c r="M24" s="319">
        <v>22116.382554343534</v>
      </c>
      <c r="N24" s="319">
        <v>63351.844124740099</v>
      </c>
      <c r="O24" s="319">
        <v>69603.371874561461</v>
      </c>
      <c r="P24" s="319">
        <v>56111.826600999208</v>
      </c>
      <c r="Q24" s="320">
        <v>52333.99093828629</v>
      </c>
      <c r="R24" s="319">
        <v>68792.200390108468</v>
      </c>
      <c r="S24" s="319"/>
      <c r="T24" s="319"/>
      <c r="U24" s="319"/>
      <c r="V24" s="319"/>
      <c r="W24" s="321">
        <f>IFERROR(IF(tblPiNAnalysis512[[#This Row],[CCCM]]="", "", MROUND(tblPiNAnalysis512[[#This Row],[CCCM]]/tblPiNAnalysis512[[#This Row],[Affected population projection 2026]], 0.05)), "")</f>
        <v>0.35000000000000003</v>
      </c>
      <c r="X24" s="322">
        <f>IFERROR(IF(tblPiNAnalysis512[[#This Row],[Education]]="", "", MROUND(tblPiNAnalysis512[[#This Row],[Education]]/tblPiNAnalysis512[[#This Row],[Affected population projection 2026]], 0.05)), "")</f>
        <v>0.35000000000000003</v>
      </c>
      <c r="Y24" s="322">
        <f>IFERROR(IF(tblPiNAnalysis512[[#This Row],[Nutrition]]="", "", MROUND(tblPiNAnalysis512[[#This Row],[Nutrition]]/tblPiNAnalysis512[[#This Row],[Affected population projection 2026]], 0.05)), "")</f>
        <v>0.2</v>
      </c>
      <c r="Z24" s="322">
        <f>IFERROR(IF(tblPiNAnalysis512[[#This Row],[Food Security]]="", "", MROUND(tblPiNAnalysis512[[#This Row],[Food Security]]/tblPiNAnalysis512[[#This Row],[Affected population projection 2026]], 0.05)), "")</f>
        <v>0.55000000000000004</v>
      </c>
      <c r="AA24" s="322">
        <f>IFERROR(IF(tblPiNAnalysis512[[#This Row],[Health]]="", "", MROUND(tblPiNAnalysis512[[#This Row],[Health]]/tblPiNAnalysis512[[#This Row],[Affected population projection 2026]], 0.05)), "")</f>
        <v>0.60000000000000009</v>
      </c>
      <c r="AB24" s="323">
        <f>IFERROR(IF(tblPiNAnalysis512[[#This Row],[Overarching Protection]]="", "", MROUND(tblPiNAnalysis512[[#This Row],[Overarching Protection]]/tblPiNAnalysis512[[#This Row],[Affected population projection 2026]], 0.05)), "")</f>
        <v>0.45</v>
      </c>
      <c r="AC24" s="323">
        <f>IFERROR(IF(tblPiNAnalysis512[[#This Row],[Shelter]]="", "", MROUND(tblPiNAnalysis512[[#This Row],[Shelter]]/tblPiNAnalysis512[[#This Row],[Affected population projection 2026]], 0.05)), "")</f>
        <v>0.45</v>
      </c>
      <c r="AD24" s="324">
        <f>IFERROR(IF(tblPiNAnalysis512[[#This Row],[WASH]]="", "", MROUND(tblPiNAnalysis512[[#This Row],[WASH]]/tblPiNAnalysis512[[#This Row],[Affected population projection 2026]], 0.05)), "")</f>
        <v>0.60000000000000009</v>
      </c>
      <c r="AE24" s="322">
        <f>IFERROR(MROUND(tblPiNAnalysis512[[#This Row],[CP]]/tblPiNAnalysis512[[#This Row],[Affected population projection 2026]], 0.05), "")</f>
        <v>0</v>
      </c>
      <c r="AF24" s="322">
        <f>IFERROR(MROUND(tblPiNAnalysis512[[#This Row],[GBV]]/tblPiNAnalysis512[[#This Row],[Affected population projection 2026]], 0.05), "")</f>
        <v>0</v>
      </c>
      <c r="AG24" s="322">
        <f>IFERROR(MROUND(tblPiNAnalysis512[[#This Row],[Mine Action]]/tblPiNAnalysis512[[#This Row],[Affected population projection 2026]], 0.05), "")</f>
        <v>0</v>
      </c>
      <c r="AH24" s="322">
        <f>IFERROR(MROUND(tblPiNAnalysis512[[#This Row],[HLP]]/tblPiNAnalysis512[[#This Row],[Affected population projection 2026]], 0.05), "")</f>
        <v>0</v>
      </c>
      <c r="AI24" s="325">
        <f>IFERROR(LARGE(tblPiNAnalysis512[[#This Row],[CCCM]:[WASH]], 1), "")</f>
        <v>69603.371874561461</v>
      </c>
      <c r="AJ24" s="326" t="str" cm="1">
        <f t="array" ref="AJ24">IF(tblPiNAnalysis512[[#This Row],[Highest Target]]="", "", _xlfn.TEXTJOIN(CHAR(10), TRUE, IF(tblPiNAnalysis512[[#This Row],[Highest Target]]=tblPiNAnalysis512[[#This Row],[CCCM]:[WASH]], tblPiNAnalysis512[[#Headers],[CCCM]:[WASH]], "")))</f>
        <v>Health</v>
      </c>
      <c r="AK24" s="327">
        <f>IF(tblPiNAnalysis512[[#This Row],[Highest Target]]="", "", tblPiNAnalysis512[[#This Row],[Highest Target]]/tblPiNAnalysis512[[#This Row],[Affected population projection 2026]])</f>
        <v>0.58617814403305646</v>
      </c>
      <c r="AL24" s="328" t="str">
        <f>IF(SUM(tblPiNAnalysis512[[#This Row],[CCCM]:[WASH]])=0, "",IF(COUNTIF(tblPiNAnalysis512[[#This Row],[CCCM]:[WASH]],"=0")+COUNTIF(tblPiNAnalysis512[[#This Row],[CCCM]:[WASH]],"")&gt;=zero_pin_thresh, "Flagged", ""))</f>
        <v/>
      </c>
      <c r="AM24" s="329" t="str">
        <f>IFERROR(IF(tblPiNAnalysis512[[#This Row],[Highest Target]]="", "", IF(tblPiNAnalysis512[[#This Row],[Highest sector(s'') Target %]]&gt;=flag_pin_perc, "Flagged", "")), "")</f>
        <v/>
      </c>
      <c r="AN24" s="330" t="str" cm="1">
        <f t="array" ref="AN24">IF(tblPiNAnalysis512[[#This Row],[Highest Target]]=0, "",  IF(OR(COUNTIF(tblPiNAnalysis512[[#This Row],[Highest sector(s)]],tblSubSectorPopulation[Sector])), "Flagged", ""))</f>
        <v/>
      </c>
      <c r="AO24" s="46" cm="1">
        <f t="array" ref="AO2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68792.200390108468</v>
      </c>
      <c r="AP24" s="331" t="str" cm="1">
        <f t="array" ref="AP24">IF(tblPiNAnalysis512[[#This Row],[2nd Highest Target]]="", "", _xlfn.TEXTJOIN(CHAR(10), TRUE, IF(tblPiNAnalysis512[[#This Row],[2nd Highest Target]]=tblPiNAnalysis512[[#This Row],[CCCM]:[WASH]], tblPiNAnalysis512[[#Headers],[CCCM]:[WASH]], "")))</f>
        <v>WASH</v>
      </c>
      <c r="AQ24" s="36">
        <f>IFERROR(tblPiNAnalysis512[[#This Row],[2nd Highest Target]]/tblPiNAnalysis512[[#This Row],[Affected population projection 2026]], "")</f>
        <v>0.57934670781892994</v>
      </c>
      <c r="AR24" s="46">
        <f>IFERROR(tblPiNAnalysis512[[#This Row],[Highest Target]]-tblPiNAnalysis512[[#This Row],[2nd Highest Target]], "")</f>
        <v>811.17148445299244</v>
      </c>
      <c r="AS24" s="39">
        <f>IFERROR(((tblPiNAnalysis512[[#This Row],[Highest Target]]-tblPiNAnalysis512[[#This Row],[2nd Highest Target]])/tblPiNAnalysis512[[#This Row],[2nd Highest Target]]),"")</f>
        <v>1.1791619978035033E-2</v>
      </c>
      <c r="AT24" s="39" t="str" cm="1">
        <f t="array" ref="AT2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4" s="332" cm="1">
        <f t="array" ref="AU2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63351.844124740099</v>
      </c>
      <c r="AV24" s="190" t="str" cm="1">
        <f t="array" ref="AV24">IF(tblPiNAnalysis512[[#This Row],[3rd Highest Target]]="", "", _xlfn.TEXTJOIN(CHAR(10), TRUE, IF(tblPiNAnalysis512[[#This Row],[3rd Highest Target]]=tblPiNAnalysis512[[#This Row],[CCCM]:[WASH]], tblPiNAnalysis512[[#Headers],[CCCM]:[WASH]], "")))</f>
        <v>Food Security</v>
      </c>
      <c r="AW24" s="190">
        <f>IFERROR(tblPiNAnalysis512[[#This Row],[3rd Highest Target]]/tblPiNAnalysis512[[#This Row],[Affected population projection 2026]], "")</f>
        <v>0.53352970423669754</v>
      </c>
      <c r="AX24" s="45">
        <f>IFERROR(tblPiNAnalysis512[[#This Row],[Highest Target]]-tblPiNAnalysis512[[#This Row],[3rd Highest Target]],"")</f>
        <v>6251.5277498213618</v>
      </c>
      <c r="AY24" s="39">
        <f>IFERROR(tblPiNAnalysis512[[#This Row],[Difference of Target between Highest and 3rd Highest]]/tblPiNAnalysis512[[#This Row],[3rd Highest Target]], "")</f>
        <v>9.8679491279086873E-2</v>
      </c>
      <c r="AZ24" s="330" t="str" cm="1">
        <f t="array" ref="AZ2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4" s="300" t="str" cm="1">
        <f t="array" ref="BA2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4" s="333" t="str" cm="1">
        <f t="array" ref="BB2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4" s="276" t="str" cm="1">
        <f t="array" ref="BC2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4" s="334" t="str" cm="1">
        <f t="array" ref="BD2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4" s="277" t="e">
        <f>INDEX(tblSeverityAnalysis[Final Severity], MATCH(tblPiNAnalysis512[[#This Row],[ID]],tblSeverityAnalysis[ID], 0))</f>
        <v>#N/A</v>
      </c>
      <c r="BF24" s="61" t="e">
        <f>IF(tblPiNAnalysis512[[#This Row],[Severity]]&gt;2,tblPiNAnalysis512[[#This Row],[Highest Target]],)</f>
        <v>#N/A</v>
      </c>
      <c r="BG24" s="191"/>
      <c r="BH24" s="192"/>
      <c r="BI24" s="193">
        <f>COUNTIFS(tblPiNAnalysis512[[#This Row],[Number of missing / zero PiNs greater than threshold - Data quality]:[Manual Flag]],"Flagged")</f>
        <v>1</v>
      </c>
      <c r="BJ24" s="96" t="str">
        <f>IF(tblPiNAnalysis512[[#This Row],['# Flags]]&gt;0, "Flagged", "")</f>
        <v>Flagged</v>
      </c>
      <c r="BK24" s="326" t="e">
        <f>tblPiNAnalysis512[[#This Row],[Preliminary Target]]</f>
        <v>#N/A</v>
      </c>
      <c r="BL24" s="331">
        <v>1</v>
      </c>
    </row>
    <row r="25" spans="1:64" x14ac:dyDescent="0.55000000000000004">
      <c r="A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5" s="316" t="s">
        <v>268</v>
      </c>
      <c r="C25" s="317" t="s">
        <v>269</v>
      </c>
      <c r="D25" s="317" t="s">
        <v>282</v>
      </c>
      <c r="E25" s="105" t="s">
        <v>283</v>
      </c>
      <c r="F25" s="100"/>
      <c r="G25" s="34"/>
      <c r="H25" s="34"/>
      <c r="I25" s="97">
        <v>53158.210520699089</v>
      </c>
      <c r="J25" s="97" t="s">
        <v>412</v>
      </c>
      <c r="K25" s="261">
        <v>7474</v>
      </c>
      <c r="L25" s="319">
        <v>9238.3813538554514</v>
      </c>
      <c r="M25" s="319">
        <v>12757.597978669774</v>
      </c>
      <c r="N25" s="319">
        <v>23534.221579122648</v>
      </c>
      <c r="O25" s="319">
        <v>33729.021236239671</v>
      </c>
      <c r="P25" s="319">
        <v>17123.530341617636</v>
      </c>
      <c r="Q25" s="320">
        <v>32917.199591663666</v>
      </c>
      <c r="R25" s="319">
        <v>19897.869267264428</v>
      </c>
      <c r="S25" s="319"/>
      <c r="T25" s="319"/>
      <c r="U25" s="319"/>
      <c r="V25" s="319"/>
      <c r="W25" s="321">
        <f>IFERROR(IF(tblPiNAnalysis512[[#This Row],[CCCM]]="", "", MROUND(tblPiNAnalysis512[[#This Row],[CCCM]]/tblPiNAnalysis512[[#This Row],[Affected population projection 2026]], 0.05)), "")</f>
        <v>0.15000000000000002</v>
      </c>
      <c r="X25" s="322">
        <f>IFERROR(IF(tblPiNAnalysis512[[#This Row],[Education]]="", "", MROUND(tblPiNAnalysis512[[#This Row],[Education]]/tblPiNAnalysis512[[#This Row],[Affected population projection 2026]], 0.05)), "")</f>
        <v>0.15000000000000002</v>
      </c>
      <c r="Y25" s="322">
        <f>IFERROR(IF(tblPiNAnalysis512[[#This Row],[Nutrition]]="", "", MROUND(tblPiNAnalysis512[[#This Row],[Nutrition]]/tblPiNAnalysis512[[#This Row],[Affected population projection 2026]], 0.05)), "")</f>
        <v>0.25</v>
      </c>
      <c r="Z25" s="322">
        <f>IFERROR(IF(tblPiNAnalysis512[[#This Row],[Food Security]]="", "", MROUND(tblPiNAnalysis512[[#This Row],[Food Security]]/tblPiNAnalysis512[[#This Row],[Affected population projection 2026]], 0.05)), "")</f>
        <v>0.45</v>
      </c>
      <c r="AA25" s="322">
        <f>IFERROR(IF(tblPiNAnalysis512[[#This Row],[Health]]="", "", MROUND(tblPiNAnalysis512[[#This Row],[Health]]/tblPiNAnalysis512[[#This Row],[Affected population projection 2026]], 0.05)), "")</f>
        <v>0.65</v>
      </c>
      <c r="AB25" s="323">
        <f>IFERROR(IF(tblPiNAnalysis512[[#This Row],[Overarching Protection]]="", "", MROUND(tblPiNAnalysis512[[#This Row],[Overarching Protection]]/tblPiNAnalysis512[[#This Row],[Affected population projection 2026]], 0.05)), "")</f>
        <v>0.30000000000000004</v>
      </c>
      <c r="AC25" s="323">
        <f>IFERROR(IF(tblPiNAnalysis512[[#This Row],[Shelter]]="", "", MROUND(tblPiNAnalysis512[[#This Row],[Shelter]]/tblPiNAnalysis512[[#This Row],[Affected population projection 2026]], 0.05)), "")</f>
        <v>0.60000000000000009</v>
      </c>
      <c r="AD25" s="324">
        <f>IFERROR(IF(tblPiNAnalysis512[[#This Row],[WASH]]="", "", MROUND(tblPiNAnalysis512[[#This Row],[WASH]]/tblPiNAnalysis512[[#This Row],[Affected population projection 2026]], 0.05)), "")</f>
        <v>0.35000000000000003</v>
      </c>
      <c r="AE25" s="322">
        <f>IFERROR(MROUND(tblPiNAnalysis512[[#This Row],[CP]]/tblPiNAnalysis512[[#This Row],[Affected population projection 2026]], 0.05), "")</f>
        <v>0</v>
      </c>
      <c r="AF25" s="322">
        <f>IFERROR(MROUND(tblPiNAnalysis512[[#This Row],[GBV]]/tblPiNAnalysis512[[#This Row],[Affected population projection 2026]], 0.05), "")</f>
        <v>0</v>
      </c>
      <c r="AG25" s="322">
        <f>IFERROR(MROUND(tblPiNAnalysis512[[#This Row],[Mine Action]]/tblPiNAnalysis512[[#This Row],[Affected population projection 2026]], 0.05), "")</f>
        <v>0</v>
      </c>
      <c r="AH25" s="322">
        <f>IFERROR(MROUND(tblPiNAnalysis512[[#This Row],[HLP]]/tblPiNAnalysis512[[#This Row],[Affected population projection 2026]], 0.05), "")</f>
        <v>0</v>
      </c>
      <c r="AI25" s="325">
        <f>IFERROR(LARGE(tblPiNAnalysis512[[#This Row],[CCCM]:[WASH]], 1), "")</f>
        <v>33729.021236239671</v>
      </c>
      <c r="AJ25" s="326" t="str" cm="1">
        <f t="array" ref="AJ25">IF(tblPiNAnalysis512[[#This Row],[Highest Target]]="", "", _xlfn.TEXTJOIN(CHAR(10), TRUE, IF(tblPiNAnalysis512[[#This Row],[Highest Target]]=tblPiNAnalysis512[[#This Row],[CCCM]:[WASH]], tblPiNAnalysis512[[#Headers],[CCCM]:[WASH]], "")))</f>
        <v>Health</v>
      </c>
      <c r="AK25" s="327">
        <f>IF(tblPiNAnalysis512[[#This Row],[Highest Target]]="", "", tblPiNAnalysis512[[#This Row],[Highest Target]]/tblPiNAnalysis512[[#This Row],[Affected population projection 2026]])</f>
        <v>0.63450257083251604</v>
      </c>
      <c r="AL25" s="328" t="str">
        <f>IF(SUM(tblPiNAnalysis512[[#This Row],[CCCM]:[WASH]])=0, "",IF(COUNTIF(tblPiNAnalysis512[[#This Row],[CCCM]:[WASH]],"=0")+COUNTIF(tblPiNAnalysis512[[#This Row],[CCCM]:[WASH]],"")&gt;=zero_pin_thresh, "Flagged", ""))</f>
        <v/>
      </c>
      <c r="AM25" s="329" t="str">
        <f>IFERROR(IF(tblPiNAnalysis512[[#This Row],[Highest Target]]="", "", IF(tblPiNAnalysis512[[#This Row],[Highest sector(s'') Target %]]&gt;=flag_pin_perc, "Flagged", "")), "")</f>
        <v/>
      </c>
      <c r="AN25" s="330" t="str" cm="1">
        <f t="array" ref="AN25">IF(tblPiNAnalysis512[[#This Row],[Highest Target]]=0, "",  IF(OR(COUNTIF(tblPiNAnalysis512[[#This Row],[Highest sector(s)]],tblSubSectorPopulation[Sector])), "Flagged", ""))</f>
        <v/>
      </c>
      <c r="AO25" s="46" cm="1">
        <f t="array" ref="AO2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32917.199591663666</v>
      </c>
      <c r="AP25" s="331" t="str" cm="1">
        <f t="array" ref="AP25">IF(tblPiNAnalysis512[[#This Row],[2nd Highest Target]]="", "", _xlfn.TEXTJOIN(CHAR(10), TRUE, IF(tblPiNAnalysis512[[#This Row],[2nd Highest Target]]=tblPiNAnalysis512[[#This Row],[CCCM]:[WASH]], tblPiNAnalysis512[[#Headers],[CCCM]:[WASH]], "")))</f>
        <v>Shelter</v>
      </c>
      <c r="AQ25" s="36">
        <f>IFERROR(tblPiNAnalysis512[[#This Row],[2nd Highest Target]]/tblPiNAnalysis512[[#This Row],[Affected population projection 2026]], "")</f>
        <v>0.61923076923076925</v>
      </c>
      <c r="AR25" s="46">
        <f>IFERROR(tblPiNAnalysis512[[#This Row],[Highest Target]]-tblPiNAnalysis512[[#This Row],[2nd Highest Target]], "")</f>
        <v>811.82164457600447</v>
      </c>
      <c r="AS25" s="39">
        <f>IFERROR(((tblPiNAnalysis512[[#This Row],[Highest Target]]-tblPiNAnalysis512[[#This Row],[2nd Highest Target]])/tblPiNAnalysis512[[#This Row],[2nd Highest Target]]),"")</f>
        <v>2.4662536748162489E-2</v>
      </c>
      <c r="AT25" s="39" t="str" cm="1">
        <f t="array" ref="AT2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5" s="332" cm="1">
        <f t="array" ref="AU2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23534.221579122648</v>
      </c>
      <c r="AV25" s="190" t="str" cm="1">
        <f t="array" ref="AV25">IF(tblPiNAnalysis512[[#This Row],[3rd Highest Target]]="", "", _xlfn.TEXTJOIN(CHAR(10), TRUE, IF(tblPiNAnalysis512[[#This Row],[3rd Highest Target]]=tblPiNAnalysis512[[#This Row],[CCCM]:[WASH]], tblPiNAnalysis512[[#Headers],[CCCM]:[WASH]], "")))</f>
        <v>Food Security</v>
      </c>
      <c r="AW25" s="190">
        <f>IFERROR(tblPiNAnalysis512[[#This Row],[3rd Highest Target]]/tblPiNAnalysis512[[#This Row],[Affected population projection 2026]], "")</f>
        <v>0.44272035022621276</v>
      </c>
      <c r="AX25" s="45">
        <f>IFERROR(tblPiNAnalysis512[[#This Row],[Highest Target]]-tblPiNAnalysis512[[#This Row],[3rd Highest Target]],"")</f>
        <v>10194.799657117022</v>
      </c>
      <c r="AY25" s="39">
        <f>IFERROR(tblPiNAnalysis512[[#This Row],[Difference of Target between Highest and 3rd Highest]]/tblPiNAnalysis512[[#This Row],[3rd Highest Target]], "")</f>
        <v>0.433190433889723</v>
      </c>
      <c r="AZ25" s="330" t="str" cm="1">
        <f t="array" ref="AZ2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5" s="300" t="str" cm="1">
        <f t="array" ref="BA2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5" s="333" t="str" cm="1">
        <f t="array" ref="BB2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5" s="276" t="str" cm="1">
        <f t="array" ref="BC2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5" s="334" t="str" cm="1">
        <f t="array" ref="BD2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5" s="277" t="e">
        <f>INDEX(tblSeverityAnalysis[Final Severity], MATCH(tblPiNAnalysis512[[#This Row],[ID]],tblSeverityAnalysis[ID], 0))</f>
        <v>#N/A</v>
      </c>
      <c r="BF25" s="61" t="e">
        <f>IF(tblPiNAnalysis512[[#This Row],[Severity]]&gt;2,tblPiNAnalysis512[[#This Row],[Highest Target]],)</f>
        <v>#N/A</v>
      </c>
      <c r="BG25" s="191"/>
      <c r="BH25" s="192"/>
      <c r="BI25" s="193">
        <f>COUNTIFS(tblPiNAnalysis512[[#This Row],[Number of missing / zero PiNs greater than threshold - Data quality]:[Manual Flag]],"Flagged")</f>
        <v>2</v>
      </c>
      <c r="BJ25" s="96" t="str">
        <f>IF(tblPiNAnalysis512[[#This Row],['# Flags]]&gt;0, "Flagged", "")</f>
        <v>Flagged</v>
      </c>
      <c r="BK25" s="326" t="e">
        <f>tblPiNAnalysis512[[#This Row],[Preliminary Target]]</f>
        <v>#N/A</v>
      </c>
      <c r="BL25" s="331">
        <v>2</v>
      </c>
    </row>
    <row r="26" spans="1:64" x14ac:dyDescent="0.55000000000000004">
      <c r="A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6" s="316" t="s">
        <v>268</v>
      </c>
      <c r="C26" s="317" t="s">
        <v>269</v>
      </c>
      <c r="D26" s="317" t="s">
        <v>284</v>
      </c>
      <c r="E26" s="105" t="s">
        <v>285</v>
      </c>
      <c r="F26" s="100"/>
      <c r="G26" s="34"/>
      <c r="H26" s="34"/>
      <c r="I26" s="97">
        <v>46710.303757716349</v>
      </c>
      <c r="J26" s="97" t="s">
        <v>412</v>
      </c>
      <c r="K26" s="261">
        <v>3188</v>
      </c>
      <c r="L26" s="319">
        <v>13385.024382988649</v>
      </c>
      <c r="M26" s="319">
        <v>13024.941434108723</v>
      </c>
      <c r="N26" s="319">
        <v>22734.610921261999</v>
      </c>
      <c r="O26" s="319">
        <v>25605.843627641058</v>
      </c>
      <c r="P26" s="319">
        <v>17387.999039054714</v>
      </c>
      <c r="Q26" s="320">
        <v>22888.048841281008</v>
      </c>
      <c r="R26" s="319">
        <v>30659.643824509294</v>
      </c>
      <c r="S26" s="319"/>
      <c r="T26" s="319"/>
      <c r="U26" s="319"/>
      <c r="V26" s="319"/>
      <c r="W26" s="321">
        <f>IFERROR(IF(tblPiNAnalysis512[[#This Row],[CCCM]]="", "", MROUND(tblPiNAnalysis512[[#This Row],[CCCM]]/tblPiNAnalysis512[[#This Row],[Affected population projection 2026]], 0.05)), "")</f>
        <v>0.05</v>
      </c>
      <c r="X26" s="322">
        <f>IFERROR(IF(tblPiNAnalysis512[[#This Row],[Education]]="", "", MROUND(tblPiNAnalysis512[[#This Row],[Education]]/tblPiNAnalysis512[[#This Row],[Affected population projection 2026]], 0.05)), "")</f>
        <v>0.30000000000000004</v>
      </c>
      <c r="Y26" s="322">
        <f>IFERROR(IF(tblPiNAnalysis512[[#This Row],[Nutrition]]="", "", MROUND(tblPiNAnalysis512[[#This Row],[Nutrition]]/tblPiNAnalysis512[[#This Row],[Affected population projection 2026]], 0.05)), "")</f>
        <v>0.30000000000000004</v>
      </c>
      <c r="Z26" s="322">
        <f>IFERROR(IF(tblPiNAnalysis512[[#This Row],[Food Security]]="", "", MROUND(tblPiNAnalysis512[[#This Row],[Food Security]]/tblPiNAnalysis512[[#This Row],[Affected population projection 2026]], 0.05)), "")</f>
        <v>0.5</v>
      </c>
      <c r="AA26" s="322">
        <f>IFERROR(IF(tblPiNAnalysis512[[#This Row],[Health]]="", "", MROUND(tblPiNAnalysis512[[#This Row],[Health]]/tblPiNAnalysis512[[#This Row],[Affected population projection 2026]], 0.05)), "")</f>
        <v>0.55000000000000004</v>
      </c>
      <c r="AB26" s="323">
        <f>IFERROR(IF(tblPiNAnalysis512[[#This Row],[Overarching Protection]]="", "", MROUND(tblPiNAnalysis512[[#This Row],[Overarching Protection]]/tblPiNAnalysis512[[#This Row],[Affected population projection 2026]], 0.05)), "")</f>
        <v>0.35000000000000003</v>
      </c>
      <c r="AC26" s="323">
        <f>IFERROR(IF(tblPiNAnalysis512[[#This Row],[Shelter]]="", "", MROUND(tblPiNAnalysis512[[#This Row],[Shelter]]/tblPiNAnalysis512[[#This Row],[Affected population projection 2026]], 0.05)), "")</f>
        <v>0.5</v>
      </c>
      <c r="AD26" s="324">
        <f>IFERROR(IF(tblPiNAnalysis512[[#This Row],[WASH]]="", "", MROUND(tblPiNAnalysis512[[#This Row],[WASH]]/tblPiNAnalysis512[[#This Row],[Affected population projection 2026]], 0.05)), "")</f>
        <v>0.65</v>
      </c>
      <c r="AE26" s="322">
        <f>IFERROR(MROUND(tblPiNAnalysis512[[#This Row],[CP]]/tblPiNAnalysis512[[#This Row],[Affected population projection 2026]], 0.05), "")</f>
        <v>0</v>
      </c>
      <c r="AF26" s="322">
        <f>IFERROR(MROUND(tblPiNAnalysis512[[#This Row],[GBV]]/tblPiNAnalysis512[[#This Row],[Affected population projection 2026]], 0.05), "")</f>
        <v>0</v>
      </c>
      <c r="AG26" s="322">
        <f>IFERROR(MROUND(tblPiNAnalysis512[[#This Row],[Mine Action]]/tblPiNAnalysis512[[#This Row],[Affected population projection 2026]], 0.05), "")</f>
        <v>0</v>
      </c>
      <c r="AH26" s="322">
        <f>IFERROR(MROUND(tblPiNAnalysis512[[#This Row],[HLP]]/tblPiNAnalysis512[[#This Row],[Affected population projection 2026]], 0.05), "")</f>
        <v>0</v>
      </c>
      <c r="AI26" s="325">
        <f>IFERROR(LARGE(tblPiNAnalysis512[[#This Row],[CCCM]:[WASH]], 1), "")</f>
        <v>30659.643824509294</v>
      </c>
      <c r="AJ26" s="326" t="str" cm="1">
        <f t="array" ref="AJ26">IF(tblPiNAnalysis512[[#This Row],[Highest Target]]="", "", _xlfn.TEXTJOIN(CHAR(10), TRUE, IF(tblPiNAnalysis512[[#This Row],[Highest Target]]=tblPiNAnalysis512[[#This Row],[CCCM]:[WASH]], tblPiNAnalysis512[[#Headers],[CCCM]:[WASH]], "")))</f>
        <v>WASH</v>
      </c>
      <c r="AK26" s="327">
        <f>IF(tblPiNAnalysis512[[#This Row],[Highest Target]]="", "", tblPiNAnalysis512[[#This Row],[Highest Target]]/tblPiNAnalysis512[[#This Row],[Affected population projection 2026]])</f>
        <v>0.65637860082304533</v>
      </c>
      <c r="AL26" s="328" t="str">
        <f>IF(SUM(tblPiNAnalysis512[[#This Row],[CCCM]:[WASH]])=0, "",IF(COUNTIF(tblPiNAnalysis512[[#This Row],[CCCM]:[WASH]],"=0")+COUNTIF(tblPiNAnalysis512[[#This Row],[CCCM]:[WASH]],"")&gt;=zero_pin_thresh, "Flagged", ""))</f>
        <v/>
      </c>
      <c r="AM26" s="329" t="str">
        <f>IFERROR(IF(tblPiNAnalysis512[[#This Row],[Highest Target]]="", "", IF(tblPiNAnalysis512[[#This Row],[Highest sector(s'') Target %]]&gt;=flag_pin_perc, "Flagged", "")), "")</f>
        <v/>
      </c>
      <c r="AN26" s="330" t="str" cm="1">
        <f t="array" ref="AN26">IF(tblPiNAnalysis512[[#This Row],[Highest Target]]=0, "",  IF(OR(COUNTIF(tblPiNAnalysis512[[#This Row],[Highest sector(s)]],tblSubSectorPopulation[Sector])), "Flagged", ""))</f>
        <v/>
      </c>
      <c r="AO26" s="46" cm="1">
        <f t="array" ref="AO2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25605.843627641058</v>
      </c>
      <c r="AP26" s="331" t="str" cm="1">
        <f t="array" ref="AP26">IF(tblPiNAnalysis512[[#This Row],[2nd Highest Target]]="", "", _xlfn.TEXTJOIN(CHAR(10), TRUE, IF(tblPiNAnalysis512[[#This Row],[2nd Highest Target]]=tblPiNAnalysis512[[#This Row],[CCCM]:[WASH]], tblPiNAnalysis512[[#Headers],[CCCM]:[WASH]], "")))</f>
        <v>Health</v>
      </c>
      <c r="AQ26" s="36">
        <f>IFERROR(tblPiNAnalysis512[[#This Row],[2nd Highest Target]]/tblPiNAnalysis512[[#This Row],[Affected population projection 2026]], "")</f>
        <v>0.5481840529330978</v>
      </c>
      <c r="AR26" s="46">
        <f>IFERROR(tblPiNAnalysis512[[#This Row],[Highest Target]]-tblPiNAnalysis512[[#This Row],[2nd Highest Target]], "")</f>
        <v>5053.8001968682365</v>
      </c>
      <c r="AS26" s="39">
        <f>IFERROR(((tblPiNAnalysis512[[#This Row],[Highest Target]]-tblPiNAnalysis512[[#This Row],[2nd Highest Target]])/tblPiNAnalysis512[[#This Row],[2nd Highest Target]]),"")</f>
        <v>0.19736901741494461</v>
      </c>
      <c r="AT26" s="39" t="str" cm="1">
        <f t="array" ref="AT2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6" s="332" cm="1">
        <f t="array" ref="AU2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22888.048841281008</v>
      </c>
      <c r="AV26" s="190" t="str" cm="1">
        <f t="array" ref="AV26">IF(tblPiNAnalysis512[[#This Row],[3rd Highest Target]]="", "", _xlfn.TEXTJOIN(CHAR(10), TRUE, IF(tblPiNAnalysis512[[#This Row],[3rd Highest Target]]=tblPiNAnalysis512[[#This Row],[CCCM]:[WASH]], tblPiNAnalysis512[[#Headers],[CCCM]:[WASH]], "")))</f>
        <v>Shelter</v>
      </c>
      <c r="AW26" s="190">
        <f>IFERROR(tblPiNAnalysis512[[#This Row],[3rd Highest Target]]/tblPiNAnalysis512[[#This Row],[Affected population projection 2026]], "")</f>
        <v>0.48999999999999994</v>
      </c>
      <c r="AX26" s="45">
        <f>IFERROR(tblPiNAnalysis512[[#This Row],[Highest Target]]-tblPiNAnalysis512[[#This Row],[3rd Highest Target]],"")</f>
        <v>7771.5949832282859</v>
      </c>
      <c r="AY26" s="39">
        <f>IFERROR(tblPiNAnalysis512[[#This Row],[Difference of Target between Highest and 3rd Highest]]/tblPiNAnalysis512[[#This Row],[3rd Highest Target]], "")</f>
        <v>0.33954816494499063</v>
      </c>
      <c r="AZ26" s="330" t="str" cm="1">
        <f t="array" ref="AZ2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6" s="300" t="str" cm="1">
        <f t="array" ref="BA2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6" s="333" t="str" cm="1">
        <f t="array" ref="BB2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6" s="276" t="str" cm="1">
        <f t="array" ref="BC2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6" s="334" t="str" cm="1">
        <f t="array" ref="BD2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6" s="277" t="e">
        <f>INDEX(tblSeverityAnalysis[Final Severity], MATCH(tblPiNAnalysis512[[#This Row],[ID]],tblSeverityAnalysis[ID], 0))</f>
        <v>#N/A</v>
      </c>
      <c r="BF26" s="61" t="e">
        <f>IF(tblPiNAnalysis512[[#This Row],[Severity]]&gt;2,tblPiNAnalysis512[[#This Row],[Highest Target]],)</f>
        <v>#N/A</v>
      </c>
      <c r="BG26" s="191"/>
      <c r="BH26" s="192"/>
      <c r="BI26" s="193">
        <f>COUNTIFS(tblPiNAnalysis512[[#This Row],[Number of missing / zero PiNs greater than threshold - Data quality]:[Manual Flag]],"Flagged")</f>
        <v>1</v>
      </c>
      <c r="BJ26" s="96" t="str">
        <f>IF(tblPiNAnalysis512[[#This Row],['# Flags]]&gt;0, "Flagged", "")</f>
        <v>Flagged</v>
      </c>
      <c r="BK26" s="326" t="e">
        <f>tblPiNAnalysis512[[#This Row],[Preliminary Target]]</f>
        <v>#N/A</v>
      </c>
      <c r="BL26" s="331">
        <v>1</v>
      </c>
    </row>
    <row r="27" spans="1:64" x14ac:dyDescent="0.55000000000000004">
      <c r="A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7" s="316" t="s">
        <v>268</v>
      </c>
      <c r="C27" s="317" t="s">
        <v>269</v>
      </c>
      <c r="D27" s="317" t="s">
        <v>286</v>
      </c>
      <c r="E27" s="105" t="s">
        <v>287</v>
      </c>
      <c r="F27" s="100"/>
      <c r="G27" s="34"/>
      <c r="H27" s="34"/>
      <c r="I27" s="97">
        <v>15457.341069804937</v>
      </c>
      <c r="J27" s="97" t="s">
        <v>412</v>
      </c>
      <c r="K27" s="261"/>
      <c r="L27" s="319"/>
      <c r="M27" s="319"/>
      <c r="N27" s="319"/>
      <c r="O27" s="319"/>
      <c r="P27" s="319"/>
      <c r="Q27" s="320"/>
      <c r="R27" s="319"/>
      <c r="S27" s="319"/>
      <c r="T27" s="319"/>
      <c r="U27" s="319"/>
      <c r="V27" s="319"/>
      <c r="W27" s="321" t="str">
        <f>IFERROR(IF(tblPiNAnalysis512[[#This Row],[CCCM]]="", "", MROUND(tblPiNAnalysis512[[#This Row],[CCCM]]/tblPiNAnalysis512[[#This Row],[Affected population projection 2026]], 0.05)), "")</f>
        <v/>
      </c>
      <c r="X27" s="322" t="str">
        <f>IFERROR(IF(tblPiNAnalysis512[[#This Row],[Education]]="", "", MROUND(tblPiNAnalysis512[[#This Row],[Education]]/tblPiNAnalysis512[[#This Row],[Affected population projection 2026]], 0.05)), "")</f>
        <v/>
      </c>
      <c r="Y27" s="322" t="str">
        <f>IFERROR(IF(tblPiNAnalysis512[[#This Row],[Nutrition]]="", "", MROUND(tblPiNAnalysis512[[#This Row],[Nutrition]]/tblPiNAnalysis512[[#This Row],[Affected population projection 2026]], 0.05)), "")</f>
        <v/>
      </c>
      <c r="Z27" s="322" t="str">
        <f>IFERROR(IF(tblPiNAnalysis512[[#This Row],[Food Security]]="", "", MROUND(tblPiNAnalysis512[[#This Row],[Food Security]]/tblPiNAnalysis512[[#This Row],[Affected population projection 2026]], 0.05)), "")</f>
        <v/>
      </c>
      <c r="AA27" s="322" t="str">
        <f>IFERROR(IF(tblPiNAnalysis512[[#This Row],[Health]]="", "", MROUND(tblPiNAnalysis512[[#This Row],[Health]]/tblPiNAnalysis512[[#This Row],[Affected population projection 2026]], 0.05)), "")</f>
        <v/>
      </c>
      <c r="AB27" s="323" t="str">
        <f>IFERROR(IF(tblPiNAnalysis512[[#This Row],[Overarching Protection]]="", "", MROUND(tblPiNAnalysis512[[#This Row],[Overarching Protection]]/tblPiNAnalysis512[[#This Row],[Affected population projection 2026]], 0.05)), "")</f>
        <v/>
      </c>
      <c r="AC27" s="323" t="str">
        <f>IFERROR(IF(tblPiNAnalysis512[[#This Row],[Shelter]]="", "", MROUND(tblPiNAnalysis512[[#This Row],[Shelter]]/tblPiNAnalysis512[[#This Row],[Affected population projection 2026]], 0.05)), "")</f>
        <v/>
      </c>
      <c r="AD27" s="324" t="str">
        <f>IFERROR(IF(tblPiNAnalysis512[[#This Row],[WASH]]="", "", MROUND(tblPiNAnalysis512[[#This Row],[WASH]]/tblPiNAnalysis512[[#This Row],[Affected population projection 2026]], 0.05)), "")</f>
        <v/>
      </c>
      <c r="AE27" s="322">
        <f>IFERROR(MROUND(tblPiNAnalysis512[[#This Row],[CP]]/tblPiNAnalysis512[[#This Row],[Affected population projection 2026]], 0.05), "")</f>
        <v>0</v>
      </c>
      <c r="AF27" s="322">
        <f>IFERROR(MROUND(tblPiNAnalysis512[[#This Row],[GBV]]/tblPiNAnalysis512[[#This Row],[Affected population projection 2026]], 0.05), "")</f>
        <v>0</v>
      </c>
      <c r="AG27" s="322">
        <f>IFERROR(MROUND(tblPiNAnalysis512[[#This Row],[Mine Action]]/tblPiNAnalysis512[[#This Row],[Affected population projection 2026]], 0.05), "")</f>
        <v>0</v>
      </c>
      <c r="AH27" s="322">
        <f>IFERROR(MROUND(tblPiNAnalysis512[[#This Row],[HLP]]/tblPiNAnalysis512[[#This Row],[Affected population projection 2026]], 0.05), "")</f>
        <v>0</v>
      </c>
      <c r="AI27" s="325" t="str">
        <f>IFERROR(LARGE(tblPiNAnalysis512[[#This Row],[CCCM]:[WASH]], 1), "")</f>
        <v/>
      </c>
      <c r="AJ27" s="326" t="str" cm="1">
        <f t="array" ref="AJ27">IF(tblPiNAnalysis512[[#This Row],[Highest Target]]="", "", _xlfn.TEXTJOIN(CHAR(10), TRUE, IF(tblPiNAnalysis512[[#This Row],[Highest Target]]=tblPiNAnalysis512[[#This Row],[CCCM]:[WASH]], tblPiNAnalysis512[[#Headers],[CCCM]:[WASH]], "")))</f>
        <v/>
      </c>
      <c r="AK27" s="327" t="str">
        <f>IF(tblPiNAnalysis512[[#This Row],[Highest Target]]="", "", tblPiNAnalysis512[[#This Row],[Highest Target]]/tblPiNAnalysis512[[#This Row],[Affected population projection 2026]])</f>
        <v/>
      </c>
      <c r="AL27" s="328" t="str">
        <f>IF(SUM(tblPiNAnalysis512[[#This Row],[CCCM]:[WASH]])=0, "",IF(COUNTIF(tblPiNAnalysis512[[#This Row],[CCCM]:[WASH]],"=0")+COUNTIF(tblPiNAnalysis512[[#This Row],[CCCM]:[WASH]],"")&gt;=zero_pin_thresh, "Flagged", ""))</f>
        <v/>
      </c>
      <c r="AM27" s="329" t="str">
        <f>IFERROR(IF(tblPiNAnalysis512[[#This Row],[Highest Target]]="", "", IF(tblPiNAnalysis512[[#This Row],[Highest sector(s'') Target %]]&gt;=flag_pin_perc, "Flagged", "")), "")</f>
        <v/>
      </c>
      <c r="AN27" s="330" t="str" cm="1">
        <f t="array" ref="AN27">IF(tblPiNAnalysis512[[#This Row],[Highest Target]]=0, "",  IF(OR(COUNTIF(tblPiNAnalysis512[[#This Row],[Highest sector(s)]],tblSubSectorPopulation[Sector])), "Flagged", ""))</f>
        <v/>
      </c>
      <c r="AO27" s="46" t="str" cm="1">
        <f t="array" ref="AO2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7" s="331" t="str" cm="1">
        <f t="array" ref="AP27">IF(tblPiNAnalysis512[[#This Row],[2nd Highest Target]]="", "", _xlfn.TEXTJOIN(CHAR(10), TRUE, IF(tblPiNAnalysis512[[#This Row],[2nd Highest Target]]=tblPiNAnalysis512[[#This Row],[CCCM]:[WASH]], tblPiNAnalysis512[[#Headers],[CCCM]:[WASH]], "")))</f>
        <v/>
      </c>
      <c r="AQ27" s="36" t="str">
        <f>IFERROR(tblPiNAnalysis512[[#This Row],[2nd Highest Target]]/tblPiNAnalysis512[[#This Row],[Affected population projection 2026]], "")</f>
        <v/>
      </c>
      <c r="AR27" s="46" t="str">
        <f>IFERROR(tblPiNAnalysis512[[#This Row],[Highest Target]]-tblPiNAnalysis512[[#This Row],[2nd Highest Target]], "")</f>
        <v/>
      </c>
      <c r="AS27" s="39" t="str">
        <f>IFERROR(((tblPiNAnalysis512[[#This Row],[Highest Target]]-tblPiNAnalysis512[[#This Row],[2nd Highest Target]])/tblPiNAnalysis512[[#This Row],[2nd Highest Target]]),"")</f>
        <v/>
      </c>
      <c r="AT27" s="39" t="str" cm="1">
        <f t="array" ref="AT2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7" s="332" t="str" cm="1">
        <f t="array" ref="AU2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7" s="190" t="str" cm="1">
        <f t="array" ref="AV27">IF(tblPiNAnalysis512[[#This Row],[3rd Highest Target]]="", "", _xlfn.TEXTJOIN(CHAR(10), TRUE, IF(tblPiNAnalysis512[[#This Row],[3rd Highest Target]]=tblPiNAnalysis512[[#This Row],[CCCM]:[WASH]], tblPiNAnalysis512[[#Headers],[CCCM]:[WASH]], "")))</f>
        <v/>
      </c>
      <c r="AW27" s="190" t="str">
        <f>IFERROR(tblPiNAnalysis512[[#This Row],[3rd Highest Target]]/tblPiNAnalysis512[[#This Row],[Affected population projection 2026]], "")</f>
        <v/>
      </c>
      <c r="AX27" s="45" t="str">
        <f>IFERROR(tblPiNAnalysis512[[#This Row],[Highest Target]]-tblPiNAnalysis512[[#This Row],[3rd Highest Target]],"")</f>
        <v/>
      </c>
      <c r="AY27" s="39" t="str">
        <f>IFERROR(tblPiNAnalysis512[[#This Row],[Difference of Target between Highest and 3rd Highest]]/tblPiNAnalysis512[[#This Row],[3rd Highest Target]], "")</f>
        <v/>
      </c>
      <c r="AZ27" s="330" t="str" cm="1">
        <f t="array" ref="AZ2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7" s="300" t="str" cm="1">
        <f t="array" ref="BA2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7" s="333" t="str" cm="1">
        <f t="array" ref="BB2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7" s="276" t="str" cm="1">
        <f t="array" ref="BC2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7" s="334" t="str" cm="1">
        <f t="array" ref="BD2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7" s="277" t="e">
        <f>INDEX(tblSeverityAnalysis[Final Severity], MATCH(tblPiNAnalysis512[[#This Row],[ID]],tblSeverityAnalysis[ID], 0))</f>
        <v>#N/A</v>
      </c>
      <c r="BF27" s="61" t="e">
        <f>IF(tblPiNAnalysis512[[#This Row],[Severity]]&gt;2,tblPiNAnalysis512[[#This Row],[Highest Target]],)</f>
        <v>#N/A</v>
      </c>
      <c r="BG27" s="191"/>
      <c r="BH27" s="192"/>
      <c r="BI27" s="193">
        <f>COUNTIFS(tblPiNAnalysis512[[#This Row],[Number of missing / zero PiNs greater than threshold - Data quality]:[Manual Flag]],"Flagged")</f>
        <v>2</v>
      </c>
      <c r="BJ27" s="96" t="str">
        <f>IF(tblPiNAnalysis512[[#This Row],['# Flags]]&gt;0, "Flagged", "")</f>
        <v>Flagged</v>
      </c>
      <c r="BK27" s="326" t="e">
        <f>tblPiNAnalysis512[[#This Row],[Preliminary Target]]</f>
        <v>#N/A</v>
      </c>
      <c r="BL27" s="331">
        <v>3</v>
      </c>
    </row>
    <row r="28" spans="1:64" x14ac:dyDescent="0.55000000000000004">
      <c r="A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8" s="316" t="s">
        <v>268</v>
      </c>
      <c r="C28" s="317" t="s">
        <v>269</v>
      </c>
      <c r="D28" s="317" t="s">
        <v>288</v>
      </c>
      <c r="E28" s="105" t="s">
        <v>289</v>
      </c>
      <c r="F28" s="100"/>
      <c r="G28" s="34"/>
      <c r="H28" s="34"/>
      <c r="I28" s="97">
        <v>25870.030094616061</v>
      </c>
      <c r="J28" s="97" t="s">
        <v>412</v>
      </c>
      <c r="K28" s="261">
        <v>0</v>
      </c>
      <c r="L28" s="319">
        <v>7810.8088363169554</v>
      </c>
      <c r="M28" s="319">
        <v>5675.826298061118</v>
      </c>
      <c r="N28" s="319">
        <v>10988.73484378785</v>
      </c>
      <c r="O28" s="319">
        <v>12979.718799381051</v>
      </c>
      <c r="P28" s="319">
        <v>15192.872237196767</v>
      </c>
      <c r="Q28" s="320">
        <v>18109.021066231242</v>
      </c>
      <c r="R28" s="319">
        <v>8623.3433648720202</v>
      </c>
      <c r="S28" s="319"/>
      <c r="T28" s="319"/>
      <c r="U28" s="319"/>
      <c r="V28" s="319"/>
      <c r="W28" s="321">
        <f>IFERROR(IF(tblPiNAnalysis512[[#This Row],[CCCM]]="", "", MROUND(tblPiNAnalysis512[[#This Row],[CCCM]]/tblPiNAnalysis512[[#This Row],[Affected population projection 2026]], 0.05)), "")</f>
        <v>0</v>
      </c>
      <c r="X28" s="322">
        <f>IFERROR(IF(tblPiNAnalysis512[[#This Row],[Education]]="", "", MROUND(tblPiNAnalysis512[[#This Row],[Education]]/tblPiNAnalysis512[[#This Row],[Affected population projection 2026]], 0.05)), "")</f>
        <v>0.30000000000000004</v>
      </c>
      <c r="Y28" s="322">
        <f>IFERROR(IF(tblPiNAnalysis512[[#This Row],[Nutrition]]="", "", MROUND(tblPiNAnalysis512[[#This Row],[Nutrition]]/tblPiNAnalysis512[[#This Row],[Affected population projection 2026]], 0.05)), "")</f>
        <v>0.2</v>
      </c>
      <c r="Z28" s="322">
        <f>IFERROR(IF(tblPiNAnalysis512[[#This Row],[Food Security]]="", "", MROUND(tblPiNAnalysis512[[#This Row],[Food Security]]/tblPiNAnalysis512[[#This Row],[Affected population projection 2026]], 0.05)), "")</f>
        <v>0.4</v>
      </c>
      <c r="AA28" s="322">
        <f>IFERROR(IF(tblPiNAnalysis512[[#This Row],[Health]]="", "", MROUND(tblPiNAnalysis512[[#This Row],[Health]]/tblPiNAnalysis512[[#This Row],[Affected population projection 2026]], 0.05)), "")</f>
        <v>0.5</v>
      </c>
      <c r="AB28" s="323">
        <f>IFERROR(IF(tblPiNAnalysis512[[#This Row],[Overarching Protection]]="", "", MROUND(tblPiNAnalysis512[[#This Row],[Overarching Protection]]/tblPiNAnalysis512[[#This Row],[Affected population projection 2026]], 0.05)), "")</f>
        <v>0.60000000000000009</v>
      </c>
      <c r="AC28" s="323">
        <f>IFERROR(IF(tblPiNAnalysis512[[#This Row],[Shelter]]="", "", MROUND(tblPiNAnalysis512[[#This Row],[Shelter]]/tblPiNAnalysis512[[#This Row],[Affected population projection 2026]], 0.05)), "")</f>
        <v>0.70000000000000007</v>
      </c>
      <c r="AD28" s="324">
        <f>IFERROR(IF(tblPiNAnalysis512[[#This Row],[WASH]]="", "", MROUND(tblPiNAnalysis512[[#This Row],[WASH]]/tblPiNAnalysis512[[#This Row],[Affected population projection 2026]], 0.05)), "")</f>
        <v>0.35000000000000003</v>
      </c>
      <c r="AE28" s="322">
        <f>IFERROR(MROUND(tblPiNAnalysis512[[#This Row],[CP]]/tblPiNAnalysis512[[#This Row],[Affected population projection 2026]], 0.05), "")</f>
        <v>0</v>
      </c>
      <c r="AF28" s="322">
        <f>IFERROR(MROUND(tblPiNAnalysis512[[#This Row],[GBV]]/tblPiNAnalysis512[[#This Row],[Affected population projection 2026]], 0.05), "")</f>
        <v>0</v>
      </c>
      <c r="AG28" s="322">
        <f>IFERROR(MROUND(tblPiNAnalysis512[[#This Row],[Mine Action]]/tblPiNAnalysis512[[#This Row],[Affected population projection 2026]], 0.05), "")</f>
        <v>0</v>
      </c>
      <c r="AH28" s="322">
        <f>IFERROR(MROUND(tblPiNAnalysis512[[#This Row],[HLP]]/tblPiNAnalysis512[[#This Row],[Affected population projection 2026]], 0.05), "")</f>
        <v>0</v>
      </c>
      <c r="AI28" s="325">
        <f>IFERROR(LARGE(tblPiNAnalysis512[[#This Row],[CCCM]:[WASH]], 1), "")</f>
        <v>18109.021066231242</v>
      </c>
      <c r="AJ28" s="326" t="str" cm="1">
        <f t="array" ref="AJ28">IF(tblPiNAnalysis512[[#This Row],[Highest Target]]="", "", _xlfn.TEXTJOIN(CHAR(10), TRUE, IF(tblPiNAnalysis512[[#This Row],[Highest Target]]=tblPiNAnalysis512[[#This Row],[CCCM]:[WASH]], tblPiNAnalysis512[[#Headers],[CCCM]:[WASH]], "")))</f>
        <v>Shelter</v>
      </c>
      <c r="AK28" s="327">
        <f>IF(tblPiNAnalysis512[[#This Row],[Highest Target]]="", "", tblPiNAnalysis512[[#This Row],[Highest Target]]/tblPiNAnalysis512[[#This Row],[Affected population projection 2026]])</f>
        <v>0.7</v>
      </c>
      <c r="AL28" s="328" t="str">
        <f>IF(SUM(tblPiNAnalysis512[[#This Row],[CCCM]:[WASH]])=0, "",IF(COUNTIF(tblPiNAnalysis512[[#This Row],[CCCM]:[WASH]],"=0")+COUNTIF(tblPiNAnalysis512[[#This Row],[CCCM]:[WASH]],"")&gt;=zero_pin_thresh, "Flagged", ""))</f>
        <v/>
      </c>
      <c r="AM28" s="329" t="str">
        <f>IFERROR(IF(tblPiNAnalysis512[[#This Row],[Highest Target]]="", "", IF(tblPiNAnalysis512[[#This Row],[Highest sector(s'') Target %]]&gt;=flag_pin_perc, "Flagged", "")), "")</f>
        <v/>
      </c>
      <c r="AN28" s="330" t="str" cm="1">
        <f t="array" ref="AN28">IF(tblPiNAnalysis512[[#This Row],[Highest Target]]=0, "",  IF(OR(COUNTIF(tblPiNAnalysis512[[#This Row],[Highest sector(s)]],tblSubSectorPopulation[Sector])), "Flagged", ""))</f>
        <v/>
      </c>
      <c r="AO28" s="46" cm="1">
        <f t="array" ref="AO2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15192.872237196767</v>
      </c>
      <c r="AP28" s="331" t="str" cm="1">
        <f t="array" ref="AP28">IF(tblPiNAnalysis512[[#This Row],[2nd Highest Target]]="", "", _xlfn.TEXTJOIN(CHAR(10), TRUE, IF(tblPiNAnalysis512[[#This Row],[2nd Highest Target]]=tblPiNAnalysis512[[#This Row],[CCCM]:[WASH]], tblPiNAnalysis512[[#Headers],[CCCM]:[WASH]], "")))</f>
        <v>Overarching Protection</v>
      </c>
      <c r="AQ28" s="36">
        <f>IFERROR(tblPiNAnalysis512[[#This Row],[2nd Highest Target]]/tblPiNAnalysis512[[#This Row],[Affected population projection 2026]], "")</f>
        <v>0.58727694485205217</v>
      </c>
      <c r="AR28" s="46">
        <f>IFERROR(tblPiNAnalysis512[[#This Row],[Highest Target]]-tblPiNAnalysis512[[#This Row],[2nd Highest Target]], "")</f>
        <v>2916.1488290344751</v>
      </c>
      <c r="AS28" s="39">
        <f>IFERROR(((tblPiNAnalysis512[[#This Row],[Highest Target]]-tblPiNAnalysis512[[#This Row],[2nd Highest Target]])/tblPiNAnalysis512[[#This Row],[2nd Highest Target]]),"")</f>
        <v>0.19194190430265429</v>
      </c>
      <c r="AT28" s="39" t="str" cm="1">
        <f t="array" ref="AT2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8" s="332" cm="1">
        <f t="array" ref="AU2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12979.718799381051</v>
      </c>
      <c r="AV28" s="190" t="str" cm="1">
        <f t="array" ref="AV28">IF(tblPiNAnalysis512[[#This Row],[3rd Highest Target]]="", "", _xlfn.TEXTJOIN(CHAR(10), TRUE, IF(tblPiNAnalysis512[[#This Row],[3rd Highest Target]]=tblPiNAnalysis512[[#This Row],[CCCM]:[WASH]], tblPiNAnalysis512[[#Headers],[CCCM]:[WASH]], "")))</f>
        <v>Health</v>
      </c>
      <c r="AW28" s="190">
        <f>IFERROR(tblPiNAnalysis512[[#This Row],[3rd Highest Target]]/tblPiNAnalysis512[[#This Row],[Affected population projection 2026]], "")</f>
        <v>0.50172801314530846</v>
      </c>
      <c r="AX28" s="45">
        <f>IFERROR(tblPiNAnalysis512[[#This Row],[Highest Target]]-tblPiNAnalysis512[[#This Row],[3rd Highest Target]],"")</f>
        <v>5129.3022668501908</v>
      </c>
      <c r="AY28" s="39">
        <f>IFERROR(tblPiNAnalysis512[[#This Row],[Difference of Target between Highest and 3rd Highest]]/tblPiNAnalysis512[[#This Row],[3rd Highest Target]], "")</f>
        <v>0.39517822736612646</v>
      </c>
      <c r="AZ28" s="330" t="str" cm="1">
        <f t="array" ref="AZ2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8" s="300" t="str" cm="1">
        <f t="array" ref="BA2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8" s="333" t="str" cm="1">
        <f t="array" ref="BB2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8" s="276" t="str" cm="1">
        <f t="array" ref="BC2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8" s="334" t="str" cm="1">
        <f t="array" ref="BD2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8" s="277" t="e">
        <f>INDEX(tblSeverityAnalysis[Final Severity], MATCH(tblPiNAnalysis512[[#This Row],[ID]],tblSeverityAnalysis[ID], 0))</f>
        <v>#N/A</v>
      </c>
      <c r="BF28" s="61" t="e">
        <f>IF(tblPiNAnalysis512[[#This Row],[Severity]]&gt;2,tblPiNAnalysis512[[#This Row],[Highest Target]],)</f>
        <v>#N/A</v>
      </c>
      <c r="BG28" s="191"/>
      <c r="BH28" s="192"/>
      <c r="BI28" s="193">
        <f>COUNTIFS(tblPiNAnalysis512[[#This Row],[Number of missing / zero PiNs greater than threshold - Data quality]:[Manual Flag]],"Flagged")</f>
        <v>1</v>
      </c>
      <c r="BJ28" s="96" t="str">
        <f>IF(tblPiNAnalysis512[[#This Row],['# Flags]]&gt;0, "Flagged", "")</f>
        <v>Flagged</v>
      </c>
      <c r="BK28" s="326" t="e">
        <f>tblPiNAnalysis512[[#This Row],[Preliminary Target]]</f>
        <v>#N/A</v>
      </c>
      <c r="BL28" s="331">
        <v>2</v>
      </c>
    </row>
    <row r="29" spans="1:64" x14ac:dyDescent="0.55000000000000004">
      <c r="A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9" s="316" t="s">
        <v>268</v>
      </c>
      <c r="C29" s="317" t="s">
        <v>269</v>
      </c>
      <c r="D29" s="317" t="s">
        <v>290</v>
      </c>
      <c r="E29" s="105" t="s">
        <v>291</v>
      </c>
      <c r="F29" s="100"/>
      <c r="G29" s="34"/>
      <c r="H29" s="34"/>
      <c r="I29" s="97">
        <v>23976.103995536083</v>
      </c>
      <c r="J29" s="97" t="s">
        <v>412</v>
      </c>
      <c r="K29" s="261">
        <v>3000</v>
      </c>
      <c r="L29" s="319">
        <v>5890.5930862472778</v>
      </c>
      <c r="M29" s="319">
        <v>7402.0200482744513</v>
      </c>
      <c r="N29" s="319">
        <v>11543.774917353358</v>
      </c>
      <c r="O29" s="319">
        <v>8046.4376515490139</v>
      </c>
      <c r="P29" s="319">
        <v>7696.0116884073996</v>
      </c>
      <c r="Q29" s="320">
        <v>16783.272796875259</v>
      </c>
      <c r="R29" s="319">
        <v>13782.559781384551</v>
      </c>
      <c r="S29" s="319"/>
      <c r="T29" s="319"/>
      <c r="U29" s="319"/>
      <c r="V29" s="319"/>
      <c r="W29" s="321">
        <f>IFERROR(IF(tblPiNAnalysis512[[#This Row],[CCCM]]="", "", MROUND(tblPiNAnalysis512[[#This Row],[CCCM]]/tblPiNAnalysis512[[#This Row],[Affected population projection 2026]], 0.05)), "")</f>
        <v>0.15000000000000002</v>
      </c>
      <c r="X29" s="322">
        <f>IFERROR(IF(tblPiNAnalysis512[[#This Row],[Education]]="", "", MROUND(tblPiNAnalysis512[[#This Row],[Education]]/tblPiNAnalysis512[[#This Row],[Affected population projection 2026]], 0.05)), "")</f>
        <v>0.25</v>
      </c>
      <c r="Y29" s="322">
        <f>IFERROR(IF(tblPiNAnalysis512[[#This Row],[Nutrition]]="", "", MROUND(tblPiNAnalysis512[[#This Row],[Nutrition]]/tblPiNAnalysis512[[#This Row],[Affected population projection 2026]], 0.05)), "")</f>
        <v>0.30000000000000004</v>
      </c>
      <c r="Z29" s="322">
        <f>IFERROR(IF(tblPiNAnalysis512[[#This Row],[Food Security]]="", "", MROUND(tblPiNAnalysis512[[#This Row],[Food Security]]/tblPiNAnalysis512[[#This Row],[Affected population projection 2026]], 0.05)), "")</f>
        <v>0.5</v>
      </c>
      <c r="AA29" s="322">
        <f>IFERROR(IF(tblPiNAnalysis512[[#This Row],[Health]]="", "", MROUND(tblPiNAnalysis512[[#This Row],[Health]]/tblPiNAnalysis512[[#This Row],[Affected population projection 2026]], 0.05)), "")</f>
        <v>0.35000000000000003</v>
      </c>
      <c r="AB29" s="323">
        <f>IFERROR(IF(tblPiNAnalysis512[[#This Row],[Overarching Protection]]="", "", MROUND(tblPiNAnalysis512[[#This Row],[Overarching Protection]]/tblPiNAnalysis512[[#This Row],[Affected population projection 2026]], 0.05)), "")</f>
        <v>0.30000000000000004</v>
      </c>
      <c r="AC29" s="323">
        <f>IFERROR(IF(tblPiNAnalysis512[[#This Row],[Shelter]]="", "", MROUND(tblPiNAnalysis512[[#This Row],[Shelter]]/tblPiNAnalysis512[[#This Row],[Affected population projection 2026]], 0.05)), "")</f>
        <v>0.70000000000000007</v>
      </c>
      <c r="AD29" s="324">
        <f>IFERROR(IF(tblPiNAnalysis512[[#This Row],[WASH]]="", "", MROUND(tblPiNAnalysis512[[#This Row],[WASH]]/tblPiNAnalysis512[[#This Row],[Affected population projection 2026]], 0.05)), "")</f>
        <v>0.55000000000000004</v>
      </c>
      <c r="AE29" s="322">
        <f>IFERROR(MROUND(tblPiNAnalysis512[[#This Row],[CP]]/tblPiNAnalysis512[[#This Row],[Affected population projection 2026]], 0.05), "")</f>
        <v>0</v>
      </c>
      <c r="AF29" s="322">
        <f>IFERROR(MROUND(tblPiNAnalysis512[[#This Row],[GBV]]/tblPiNAnalysis512[[#This Row],[Affected population projection 2026]], 0.05), "")</f>
        <v>0</v>
      </c>
      <c r="AG29" s="322">
        <f>IFERROR(MROUND(tblPiNAnalysis512[[#This Row],[Mine Action]]/tblPiNAnalysis512[[#This Row],[Affected population projection 2026]], 0.05), "")</f>
        <v>0</v>
      </c>
      <c r="AH29" s="322">
        <f>IFERROR(MROUND(tblPiNAnalysis512[[#This Row],[HLP]]/tblPiNAnalysis512[[#This Row],[Affected population projection 2026]], 0.05), "")</f>
        <v>0</v>
      </c>
      <c r="AI29" s="325">
        <f>IFERROR(LARGE(tblPiNAnalysis512[[#This Row],[CCCM]:[WASH]], 1), "")</f>
        <v>16783.272796875259</v>
      </c>
      <c r="AJ29" s="326" t="str" cm="1">
        <f t="array" ref="AJ29">IF(tblPiNAnalysis512[[#This Row],[Highest Target]]="", "", _xlfn.TEXTJOIN(CHAR(10), TRUE, IF(tblPiNAnalysis512[[#This Row],[Highest Target]]=tblPiNAnalysis512[[#This Row],[CCCM]:[WASH]], tblPiNAnalysis512[[#Headers],[CCCM]:[WASH]], "")))</f>
        <v>Shelter</v>
      </c>
      <c r="AK29" s="327">
        <f>IF(tblPiNAnalysis512[[#This Row],[Highest Target]]="", "", tblPiNAnalysis512[[#This Row],[Highest Target]]/tblPiNAnalysis512[[#This Row],[Affected population projection 2026]])</f>
        <v>0.70000000000000007</v>
      </c>
      <c r="AL29" s="328" t="str">
        <f>IF(SUM(tblPiNAnalysis512[[#This Row],[CCCM]:[WASH]])=0, "",IF(COUNTIF(tblPiNAnalysis512[[#This Row],[CCCM]:[WASH]],"=0")+COUNTIF(tblPiNAnalysis512[[#This Row],[CCCM]:[WASH]],"")&gt;=zero_pin_thresh, "Flagged", ""))</f>
        <v/>
      </c>
      <c r="AM29" s="329" t="str">
        <f>IFERROR(IF(tblPiNAnalysis512[[#This Row],[Highest Target]]="", "", IF(tblPiNAnalysis512[[#This Row],[Highest sector(s'') Target %]]&gt;=flag_pin_perc, "Flagged", "")), "")</f>
        <v/>
      </c>
      <c r="AN29" s="330" t="str" cm="1">
        <f t="array" ref="AN29">IF(tblPiNAnalysis512[[#This Row],[Highest Target]]=0, "",  IF(OR(COUNTIF(tblPiNAnalysis512[[#This Row],[Highest sector(s)]],tblSubSectorPopulation[Sector])), "Flagged", ""))</f>
        <v/>
      </c>
      <c r="AO29" s="46" cm="1">
        <f t="array" ref="AO2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13782.559781384551</v>
      </c>
      <c r="AP29" s="331" t="str" cm="1">
        <f t="array" ref="AP29">IF(tblPiNAnalysis512[[#This Row],[2nd Highest Target]]="", "", _xlfn.TEXTJOIN(CHAR(10), TRUE, IF(tblPiNAnalysis512[[#This Row],[2nd Highest Target]]=tblPiNAnalysis512[[#This Row],[CCCM]:[WASH]], tblPiNAnalysis512[[#Headers],[CCCM]:[WASH]], "")))</f>
        <v>WASH</v>
      </c>
      <c r="AQ29" s="36">
        <f>IFERROR(tblPiNAnalysis512[[#This Row],[2nd Highest Target]]/tblPiNAnalysis512[[#This Row],[Affected population projection 2026]], "")</f>
        <v>0.57484567901234551</v>
      </c>
      <c r="AR29" s="46">
        <f>IFERROR(tblPiNAnalysis512[[#This Row],[Highest Target]]-tblPiNAnalysis512[[#This Row],[2nd Highest Target]], "")</f>
        <v>3000.7130154907081</v>
      </c>
      <c r="AS29" s="39">
        <f>IFERROR(((tblPiNAnalysis512[[#This Row],[Highest Target]]-tblPiNAnalysis512[[#This Row],[2nd Highest Target]])/tblPiNAnalysis512[[#This Row],[2nd Highest Target]]),"")</f>
        <v>0.21771812080536945</v>
      </c>
      <c r="AT29" s="39" t="str" cm="1">
        <f t="array" ref="AT2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9" s="332" cm="1">
        <f t="array" ref="AU2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11543.774917353358</v>
      </c>
      <c r="AV29" s="190" t="str" cm="1">
        <f t="array" ref="AV29">IF(tblPiNAnalysis512[[#This Row],[3rd Highest Target]]="", "", _xlfn.TEXTJOIN(CHAR(10), TRUE, IF(tblPiNAnalysis512[[#This Row],[3rd Highest Target]]=tblPiNAnalysis512[[#This Row],[CCCM]:[WASH]], tblPiNAnalysis512[[#Headers],[CCCM]:[WASH]], "")))</f>
        <v>Food Security</v>
      </c>
      <c r="AW29" s="190">
        <f>IFERROR(tblPiNAnalysis512[[#This Row],[3rd Highest Target]]/tblPiNAnalysis512[[#This Row],[Affected population projection 2026]], "")</f>
        <v>0.48147000528119999</v>
      </c>
      <c r="AX29" s="45">
        <f>IFERROR(tblPiNAnalysis512[[#This Row],[Highest Target]]-tblPiNAnalysis512[[#This Row],[3rd Highest Target]],"")</f>
        <v>5239.4978795219013</v>
      </c>
      <c r="AY29" s="39">
        <f>IFERROR(tblPiNAnalysis512[[#This Row],[Difference of Target between Highest and 3rd Highest]]/tblPiNAnalysis512[[#This Row],[3rd Highest Target]], "")</f>
        <v>0.45388080736445624</v>
      </c>
      <c r="AZ29" s="330" t="str" cm="1">
        <f t="array" ref="AZ2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9" s="300" t="str" cm="1">
        <f t="array" ref="BA2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9" s="333" t="str" cm="1">
        <f t="array" ref="BB2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9" s="276" t="str" cm="1">
        <f t="array" ref="BC2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9" s="334" t="str" cm="1">
        <f t="array" ref="BD2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9" s="277" t="e">
        <f>INDEX(tblSeverityAnalysis[Final Severity], MATCH(tblPiNAnalysis512[[#This Row],[ID]],tblSeverityAnalysis[ID], 0))</f>
        <v>#N/A</v>
      </c>
      <c r="BF29" s="61" t="e">
        <f>IF(tblPiNAnalysis512[[#This Row],[Severity]]&gt;2,tblPiNAnalysis512[[#This Row],[Highest Target]],)</f>
        <v>#N/A</v>
      </c>
      <c r="BG29" s="191"/>
      <c r="BH29" s="192"/>
      <c r="BI29" s="193">
        <f>COUNTIFS(tblPiNAnalysis512[[#This Row],[Number of missing / zero PiNs greater than threshold - Data quality]:[Manual Flag]],"Flagged")</f>
        <v>1</v>
      </c>
      <c r="BJ29" s="96" t="str">
        <f>IF(tblPiNAnalysis512[[#This Row],['# Flags]]&gt;0, "Flagged", "")</f>
        <v>Flagged</v>
      </c>
      <c r="BK29" s="326" t="e">
        <f>tblPiNAnalysis512[[#This Row],[Preliminary Target]]</f>
        <v>#N/A</v>
      </c>
      <c r="BL29" s="331">
        <v>2</v>
      </c>
    </row>
    <row r="30" spans="1:64" x14ac:dyDescent="0.55000000000000004">
      <c r="A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0" s="316" t="s">
        <v>292</v>
      </c>
      <c r="C30" s="317" t="s">
        <v>293</v>
      </c>
      <c r="D30" s="317" t="s">
        <v>294</v>
      </c>
      <c r="E30" s="105" t="s">
        <v>295</v>
      </c>
      <c r="F30" s="100"/>
      <c r="G30" s="34"/>
      <c r="H30" s="34"/>
      <c r="I30" s="97">
        <v>48668.970941608946</v>
      </c>
      <c r="J30" s="97" t="s">
        <v>412</v>
      </c>
      <c r="K30" s="261"/>
      <c r="L30" s="319"/>
      <c r="M30" s="319"/>
      <c r="N30" s="319"/>
      <c r="O30" s="319"/>
      <c r="P30" s="319"/>
      <c r="Q30" s="320"/>
      <c r="R30" s="319"/>
      <c r="S30" s="319"/>
      <c r="T30" s="319"/>
      <c r="U30" s="319"/>
      <c r="V30" s="319"/>
      <c r="W30" s="321" t="str">
        <f>IFERROR(IF(tblPiNAnalysis512[[#This Row],[CCCM]]="", "", MROUND(tblPiNAnalysis512[[#This Row],[CCCM]]/tblPiNAnalysis512[[#This Row],[Affected population projection 2026]], 0.05)), "")</f>
        <v/>
      </c>
      <c r="X30" s="322" t="str">
        <f>IFERROR(IF(tblPiNAnalysis512[[#This Row],[Education]]="", "", MROUND(tblPiNAnalysis512[[#This Row],[Education]]/tblPiNAnalysis512[[#This Row],[Affected population projection 2026]], 0.05)), "")</f>
        <v/>
      </c>
      <c r="Y30" s="322" t="str">
        <f>IFERROR(IF(tblPiNAnalysis512[[#This Row],[Nutrition]]="", "", MROUND(tblPiNAnalysis512[[#This Row],[Nutrition]]/tblPiNAnalysis512[[#This Row],[Affected population projection 2026]], 0.05)), "")</f>
        <v/>
      </c>
      <c r="Z30" s="322" t="str">
        <f>IFERROR(IF(tblPiNAnalysis512[[#This Row],[Food Security]]="", "", MROUND(tblPiNAnalysis512[[#This Row],[Food Security]]/tblPiNAnalysis512[[#This Row],[Affected population projection 2026]], 0.05)), "")</f>
        <v/>
      </c>
      <c r="AA30" s="322" t="str">
        <f>IFERROR(IF(tblPiNAnalysis512[[#This Row],[Health]]="", "", MROUND(tblPiNAnalysis512[[#This Row],[Health]]/tblPiNAnalysis512[[#This Row],[Affected population projection 2026]], 0.05)), "")</f>
        <v/>
      </c>
      <c r="AB30" s="323" t="str">
        <f>IFERROR(IF(tblPiNAnalysis512[[#This Row],[Overarching Protection]]="", "", MROUND(tblPiNAnalysis512[[#This Row],[Overarching Protection]]/tblPiNAnalysis512[[#This Row],[Affected population projection 2026]], 0.05)), "")</f>
        <v/>
      </c>
      <c r="AC30" s="323" t="str">
        <f>IFERROR(IF(tblPiNAnalysis512[[#This Row],[Shelter]]="", "", MROUND(tblPiNAnalysis512[[#This Row],[Shelter]]/tblPiNAnalysis512[[#This Row],[Affected population projection 2026]], 0.05)), "")</f>
        <v/>
      </c>
      <c r="AD30" s="324" t="str">
        <f>IFERROR(IF(tblPiNAnalysis512[[#This Row],[WASH]]="", "", MROUND(tblPiNAnalysis512[[#This Row],[WASH]]/tblPiNAnalysis512[[#This Row],[Affected population projection 2026]], 0.05)), "")</f>
        <v/>
      </c>
      <c r="AE30" s="322">
        <f>IFERROR(MROUND(tblPiNAnalysis512[[#This Row],[CP]]/tblPiNAnalysis512[[#This Row],[Affected population projection 2026]], 0.05), "")</f>
        <v>0</v>
      </c>
      <c r="AF30" s="322">
        <f>IFERROR(MROUND(tblPiNAnalysis512[[#This Row],[GBV]]/tblPiNAnalysis512[[#This Row],[Affected population projection 2026]], 0.05), "")</f>
        <v>0</v>
      </c>
      <c r="AG30" s="322">
        <f>IFERROR(MROUND(tblPiNAnalysis512[[#This Row],[Mine Action]]/tblPiNAnalysis512[[#This Row],[Affected population projection 2026]], 0.05), "")</f>
        <v>0</v>
      </c>
      <c r="AH30" s="322">
        <f>IFERROR(MROUND(tblPiNAnalysis512[[#This Row],[HLP]]/tblPiNAnalysis512[[#This Row],[Affected population projection 2026]], 0.05), "")</f>
        <v>0</v>
      </c>
      <c r="AI30" s="325" t="str">
        <f>IFERROR(LARGE(tblPiNAnalysis512[[#This Row],[CCCM]:[WASH]], 1), "")</f>
        <v/>
      </c>
      <c r="AJ30" s="326" t="str" cm="1">
        <f t="array" ref="AJ30">IF(tblPiNAnalysis512[[#This Row],[Highest Target]]="", "", _xlfn.TEXTJOIN(CHAR(10), TRUE, IF(tblPiNAnalysis512[[#This Row],[Highest Target]]=tblPiNAnalysis512[[#This Row],[CCCM]:[WASH]], tblPiNAnalysis512[[#Headers],[CCCM]:[WASH]], "")))</f>
        <v/>
      </c>
      <c r="AK30" s="327" t="str">
        <f>IF(tblPiNAnalysis512[[#This Row],[Highest Target]]="", "", tblPiNAnalysis512[[#This Row],[Highest Target]]/tblPiNAnalysis512[[#This Row],[Affected population projection 2026]])</f>
        <v/>
      </c>
      <c r="AL30" s="328" t="str">
        <f>IF(SUM(tblPiNAnalysis512[[#This Row],[CCCM]:[WASH]])=0, "",IF(COUNTIF(tblPiNAnalysis512[[#This Row],[CCCM]:[WASH]],"=0")+COUNTIF(tblPiNAnalysis512[[#This Row],[CCCM]:[WASH]],"")&gt;=zero_pin_thresh, "Flagged", ""))</f>
        <v/>
      </c>
      <c r="AM30" s="329" t="str">
        <f>IFERROR(IF(tblPiNAnalysis512[[#This Row],[Highest Target]]="", "", IF(tblPiNAnalysis512[[#This Row],[Highest sector(s'') Target %]]&gt;=flag_pin_perc, "Flagged", "")), "")</f>
        <v/>
      </c>
      <c r="AN30" s="330" t="str" cm="1">
        <f t="array" ref="AN30">IF(tblPiNAnalysis512[[#This Row],[Highest Target]]=0, "",  IF(OR(COUNTIF(tblPiNAnalysis512[[#This Row],[Highest sector(s)]],tblSubSectorPopulation[Sector])), "Flagged", ""))</f>
        <v/>
      </c>
      <c r="AO30" s="46" t="str" cm="1">
        <f t="array" ref="AO3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30" s="331" t="str" cm="1">
        <f t="array" ref="AP30">IF(tblPiNAnalysis512[[#This Row],[2nd Highest Target]]="", "", _xlfn.TEXTJOIN(CHAR(10), TRUE, IF(tblPiNAnalysis512[[#This Row],[2nd Highest Target]]=tblPiNAnalysis512[[#This Row],[CCCM]:[WASH]], tblPiNAnalysis512[[#Headers],[CCCM]:[WASH]], "")))</f>
        <v/>
      </c>
      <c r="AQ30" s="36" t="str">
        <f>IFERROR(tblPiNAnalysis512[[#This Row],[2nd Highest Target]]/tblPiNAnalysis512[[#This Row],[Affected population projection 2026]], "")</f>
        <v/>
      </c>
      <c r="AR30" s="46" t="str">
        <f>IFERROR(tblPiNAnalysis512[[#This Row],[Highest Target]]-tblPiNAnalysis512[[#This Row],[2nd Highest Target]], "")</f>
        <v/>
      </c>
      <c r="AS30" s="39" t="str">
        <f>IFERROR(((tblPiNAnalysis512[[#This Row],[Highest Target]]-tblPiNAnalysis512[[#This Row],[2nd Highest Target]])/tblPiNAnalysis512[[#This Row],[2nd Highest Target]]),"")</f>
        <v/>
      </c>
      <c r="AT30" s="39" t="str" cm="1">
        <f t="array" ref="AT3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0" s="332" t="str" cm="1">
        <f t="array" ref="AU3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30" s="190" t="str" cm="1">
        <f t="array" ref="AV30">IF(tblPiNAnalysis512[[#This Row],[3rd Highest Target]]="", "", _xlfn.TEXTJOIN(CHAR(10), TRUE, IF(tblPiNAnalysis512[[#This Row],[3rd Highest Target]]=tblPiNAnalysis512[[#This Row],[CCCM]:[WASH]], tblPiNAnalysis512[[#Headers],[CCCM]:[WASH]], "")))</f>
        <v/>
      </c>
      <c r="AW30" s="190" t="str">
        <f>IFERROR(tblPiNAnalysis512[[#This Row],[3rd Highest Target]]/tblPiNAnalysis512[[#This Row],[Affected population projection 2026]], "")</f>
        <v/>
      </c>
      <c r="AX30" s="45" t="str">
        <f>IFERROR(tblPiNAnalysis512[[#This Row],[Highest Target]]-tblPiNAnalysis512[[#This Row],[3rd Highest Target]],"")</f>
        <v/>
      </c>
      <c r="AY30" s="39" t="str">
        <f>IFERROR(tblPiNAnalysis512[[#This Row],[Difference of Target between Highest and 3rd Highest]]/tblPiNAnalysis512[[#This Row],[3rd Highest Target]], "")</f>
        <v/>
      </c>
      <c r="AZ30" s="330" t="str" cm="1">
        <f t="array" ref="AZ3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0" s="300" t="str" cm="1">
        <f t="array" ref="BA3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0" s="333" t="str" cm="1">
        <f t="array" ref="BB3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0" s="276" t="str" cm="1">
        <f t="array" ref="BC3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0" s="334" t="str" cm="1">
        <f t="array" ref="BD3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0" s="277" t="e">
        <f>INDEX(tblSeverityAnalysis[Final Severity], MATCH(tblPiNAnalysis512[[#This Row],[ID]],tblSeverityAnalysis[ID], 0))</f>
        <v>#N/A</v>
      </c>
      <c r="BF30" s="61" t="e">
        <f>IF(tblPiNAnalysis512[[#This Row],[Severity]]&gt;2,tblPiNAnalysis512[[#This Row],[Highest Target]],)</f>
        <v>#N/A</v>
      </c>
      <c r="BG30" s="191"/>
      <c r="BH30" s="192"/>
      <c r="BI30" s="193">
        <f>COUNTIFS(tblPiNAnalysis512[[#This Row],[Number of missing / zero PiNs greater than threshold - Data quality]:[Manual Flag]],"Flagged")</f>
        <v>2</v>
      </c>
      <c r="BJ30" s="96" t="str">
        <f>IF(tblPiNAnalysis512[[#This Row],['# Flags]]&gt;0, "Flagged", "")</f>
        <v>Flagged</v>
      </c>
      <c r="BK30" s="326" t="e">
        <f>tblPiNAnalysis512[[#This Row],[Preliminary Target]]</f>
        <v>#N/A</v>
      </c>
      <c r="BL30" s="331">
        <v>3</v>
      </c>
    </row>
    <row r="31" spans="1:64" ht="110.7" x14ac:dyDescent="0.55000000000000004">
      <c r="A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1" s="316" t="s">
        <v>292</v>
      </c>
      <c r="C31" s="317" t="s">
        <v>293</v>
      </c>
      <c r="D31" s="317" t="s">
        <v>296</v>
      </c>
      <c r="E31" s="105" t="s">
        <v>297</v>
      </c>
      <c r="F31" s="100"/>
      <c r="G31" s="34"/>
      <c r="H31" s="34"/>
      <c r="I31" s="97">
        <v>5443.7472474147844</v>
      </c>
      <c r="J31" s="97" t="s">
        <v>412</v>
      </c>
      <c r="K31" s="261">
        <v>0</v>
      </c>
      <c r="L31" s="319">
        <v>0</v>
      </c>
      <c r="M31" s="319">
        <v>0</v>
      </c>
      <c r="N31" s="319">
        <v>0</v>
      </c>
      <c r="O31" s="319">
        <v>0</v>
      </c>
      <c r="P31" s="319">
        <v>0</v>
      </c>
      <c r="Q31" s="320">
        <v>0</v>
      </c>
      <c r="R31" s="319">
        <v>0</v>
      </c>
      <c r="S31" s="319"/>
      <c r="T31" s="319"/>
      <c r="U31" s="319"/>
      <c r="V31" s="319"/>
      <c r="W31" s="321">
        <f>IFERROR(IF(tblPiNAnalysis512[[#This Row],[CCCM]]="", "", MROUND(tblPiNAnalysis512[[#This Row],[CCCM]]/tblPiNAnalysis512[[#This Row],[Affected population projection 2026]], 0.05)), "")</f>
        <v>0</v>
      </c>
      <c r="X31" s="322">
        <f>IFERROR(IF(tblPiNAnalysis512[[#This Row],[Education]]="", "", MROUND(tblPiNAnalysis512[[#This Row],[Education]]/tblPiNAnalysis512[[#This Row],[Affected population projection 2026]], 0.05)), "")</f>
        <v>0</v>
      </c>
      <c r="Y31" s="322">
        <f>IFERROR(IF(tblPiNAnalysis512[[#This Row],[Nutrition]]="", "", MROUND(tblPiNAnalysis512[[#This Row],[Nutrition]]/tblPiNAnalysis512[[#This Row],[Affected population projection 2026]], 0.05)), "")</f>
        <v>0</v>
      </c>
      <c r="Z31" s="322">
        <f>IFERROR(IF(tblPiNAnalysis512[[#This Row],[Food Security]]="", "", MROUND(tblPiNAnalysis512[[#This Row],[Food Security]]/tblPiNAnalysis512[[#This Row],[Affected population projection 2026]], 0.05)), "")</f>
        <v>0</v>
      </c>
      <c r="AA31" s="322">
        <f>IFERROR(IF(tblPiNAnalysis512[[#This Row],[Health]]="", "", MROUND(tblPiNAnalysis512[[#This Row],[Health]]/tblPiNAnalysis512[[#This Row],[Affected population projection 2026]], 0.05)), "")</f>
        <v>0</v>
      </c>
      <c r="AB31" s="323">
        <f>IFERROR(IF(tblPiNAnalysis512[[#This Row],[Overarching Protection]]="", "", MROUND(tblPiNAnalysis512[[#This Row],[Overarching Protection]]/tblPiNAnalysis512[[#This Row],[Affected population projection 2026]], 0.05)), "")</f>
        <v>0</v>
      </c>
      <c r="AC31" s="323">
        <f>IFERROR(IF(tblPiNAnalysis512[[#This Row],[Shelter]]="", "", MROUND(tblPiNAnalysis512[[#This Row],[Shelter]]/tblPiNAnalysis512[[#This Row],[Affected population projection 2026]], 0.05)), "")</f>
        <v>0</v>
      </c>
      <c r="AD31" s="324">
        <f>IFERROR(IF(tblPiNAnalysis512[[#This Row],[WASH]]="", "", MROUND(tblPiNAnalysis512[[#This Row],[WASH]]/tblPiNAnalysis512[[#This Row],[Affected population projection 2026]], 0.05)), "")</f>
        <v>0</v>
      </c>
      <c r="AE31" s="322">
        <f>IFERROR(MROUND(tblPiNAnalysis512[[#This Row],[CP]]/tblPiNAnalysis512[[#This Row],[Affected population projection 2026]], 0.05), "")</f>
        <v>0</v>
      </c>
      <c r="AF31" s="322">
        <f>IFERROR(MROUND(tblPiNAnalysis512[[#This Row],[GBV]]/tblPiNAnalysis512[[#This Row],[Affected population projection 2026]], 0.05), "")</f>
        <v>0</v>
      </c>
      <c r="AG31" s="322">
        <f>IFERROR(MROUND(tblPiNAnalysis512[[#This Row],[Mine Action]]/tblPiNAnalysis512[[#This Row],[Affected population projection 2026]], 0.05), "")</f>
        <v>0</v>
      </c>
      <c r="AH31" s="322">
        <f>IFERROR(MROUND(tblPiNAnalysis512[[#This Row],[HLP]]/tblPiNAnalysis512[[#This Row],[Affected population projection 2026]], 0.05), "")</f>
        <v>0</v>
      </c>
      <c r="AI31" s="325">
        <f>IFERROR(LARGE(tblPiNAnalysis512[[#This Row],[CCCM]:[WASH]], 1), "")</f>
        <v>0</v>
      </c>
      <c r="AJ31" s="326" t="str" cm="1">
        <f t="array" ref="AJ31">IF(tblPiNAnalysis512[[#This Row],[Highest Target]]="", "", _xlfn.TEXTJOIN(CHAR(10), TRUE, IF(tblPiNAnalysis512[[#This Row],[Highest Target]]=tblPiNAnalysis512[[#This Row],[CCCM]:[WASH]], tblPiNAnalysis512[[#Headers],[CCCM]:[WASH]], "")))</f>
        <v>CCCM
Education
Nutrition
Food Security
Health
Overarching Protection
Shelter
WASH</v>
      </c>
      <c r="AK31" s="327">
        <f>IF(tblPiNAnalysis512[[#This Row],[Highest Target]]="", "", tblPiNAnalysis512[[#This Row],[Highest Target]]/tblPiNAnalysis512[[#This Row],[Affected population projection 2026]])</f>
        <v>0</v>
      </c>
      <c r="AL31" s="328" t="str">
        <f>IF(SUM(tblPiNAnalysis512[[#This Row],[CCCM]:[WASH]])=0, "",IF(COUNTIF(tblPiNAnalysis512[[#This Row],[CCCM]:[WASH]],"=0")+COUNTIF(tblPiNAnalysis512[[#This Row],[CCCM]:[WASH]],"")&gt;=zero_pin_thresh, "Flagged", ""))</f>
        <v/>
      </c>
      <c r="AM31" s="329" t="str">
        <f>IFERROR(IF(tblPiNAnalysis512[[#This Row],[Highest Target]]="", "", IF(tblPiNAnalysis512[[#This Row],[Highest sector(s'') Target %]]&gt;=flag_pin_perc, "Flagged", "")), "")</f>
        <v/>
      </c>
      <c r="AN31" s="330" t="str" cm="1">
        <f t="array" ref="AN31">IF(tblPiNAnalysis512[[#This Row],[Highest Target]]=0, "",  IF(OR(COUNTIF(tblPiNAnalysis512[[#This Row],[Highest sector(s)]],tblSubSectorPopulation[Sector])), "Flagged", ""))</f>
        <v/>
      </c>
      <c r="AO31" s="46" cm="1">
        <f t="array" ref="AO3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1" s="331" t="str" cm="1">
        <f t="array" ref="AP31">IF(tblPiNAnalysis512[[#This Row],[2nd Highest Target]]="", "", _xlfn.TEXTJOIN(CHAR(10), TRUE, IF(tblPiNAnalysis512[[#This Row],[2nd Highest Target]]=tblPiNAnalysis512[[#This Row],[CCCM]:[WASH]], tblPiNAnalysis512[[#Headers],[CCCM]:[WASH]], "")))</f>
        <v>CCCM
Education
Nutrition
Food Security
Health
Overarching Protection
Shelter
WASH</v>
      </c>
      <c r="AQ31" s="36">
        <f>IFERROR(tblPiNAnalysis512[[#This Row],[2nd Highest Target]]/tblPiNAnalysis512[[#This Row],[Affected population projection 2026]], "")</f>
        <v>0</v>
      </c>
      <c r="AR31" s="46">
        <f>IFERROR(tblPiNAnalysis512[[#This Row],[Highest Target]]-tblPiNAnalysis512[[#This Row],[2nd Highest Target]], "")</f>
        <v>0</v>
      </c>
      <c r="AS31" s="39" t="str">
        <f>IFERROR(((tblPiNAnalysis512[[#This Row],[Highest Target]]-tblPiNAnalysis512[[#This Row],[2nd Highest Target]])/tblPiNAnalysis512[[#This Row],[2nd Highest Target]]),"")</f>
        <v/>
      </c>
      <c r="AT31" s="39" t="str" cm="1">
        <f t="array" ref="AT3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1" s="332" cm="1">
        <f t="array" ref="AU3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1" s="190" t="str" cm="1">
        <f t="array" ref="AV31">IF(tblPiNAnalysis512[[#This Row],[3rd Highest Target]]="", "", _xlfn.TEXTJOIN(CHAR(10), TRUE, IF(tblPiNAnalysis512[[#This Row],[3rd Highest Target]]=tblPiNAnalysis512[[#This Row],[CCCM]:[WASH]], tblPiNAnalysis512[[#Headers],[CCCM]:[WASH]], "")))</f>
        <v>CCCM
Education
Nutrition
Food Security
Health
Overarching Protection
Shelter
WASH</v>
      </c>
      <c r="AW31" s="190">
        <f>IFERROR(tblPiNAnalysis512[[#This Row],[3rd Highest Target]]/tblPiNAnalysis512[[#This Row],[Affected population projection 2026]], "")</f>
        <v>0</v>
      </c>
      <c r="AX31" s="45">
        <f>IFERROR(tblPiNAnalysis512[[#This Row],[Highest Target]]-tblPiNAnalysis512[[#This Row],[3rd Highest Target]],"")</f>
        <v>0</v>
      </c>
      <c r="AY31" s="39" t="str">
        <f>IFERROR(tblPiNAnalysis512[[#This Row],[Difference of Target between Highest and 3rd Highest]]/tblPiNAnalysis512[[#This Row],[3rd Highest Target]], "")</f>
        <v/>
      </c>
      <c r="AZ31" s="330" t="str" cm="1">
        <f t="array" ref="AZ3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1" s="300" t="str" cm="1">
        <f t="array" ref="BA3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1" s="333" t="str" cm="1">
        <f t="array" ref="BB3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1" s="276" t="str" cm="1">
        <f t="array" ref="BC3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1" s="334" t="str" cm="1">
        <f t="array" ref="BD3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1" s="277" t="e">
        <f>INDEX(tblSeverityAnalysis[Final Severity], MATCH(tblPiNAnalysis512[[#This Row],[ID]],tblSeverityAnalysis[ID], 0))</f>
        <v>#N/A</v>
      </c>
      <c r="BF31" s="61" t="e">
        <f>IF(tblPiNAnalysis512[[#This Row],[Severity]]&gt;2,tblPiNAnalysis512[[#This Row],[Highest Target]],)</f>
        <v>#N/A</v>
      </c>
      <c r="BG31" s="191"/>
      <c r="BH31" s="192"/>
      <c r="BI31" s="193">
        <f>COUNTIFS(tblPiNAnalysis512[[#This Row],[Number of missing / zero PiNs greater than threshold - Data quality]:[Manual Flag]],"Flagged")</f>
        <v>2</v>
      </c>
      <c r="BJ31" s="96" t="str">
        <f>IF(tblPiNAnalysis512[[#This Row],['# Flags]]&gt;0, "Flagged", "")</f>
        <v>Flagged</v>
      </c>
      <c r="BK31" s="326" t="e">
        <f>tblPiNAnalysis512[[#This Row],[Preliminary Target]]</f>
        <v>#N/A</v>
      </c>
      <c r="BL31" s="331">
        <v>5</v>
      </c>
    </row>
    <row r="32" spans="1:64" ht="110.7" x14ac:dyDescent="0.55000000000000004">
      <c r="A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2" s="316" t="s">
        <v>292</v>
      </c>
      <c r="C32" s="317" t="s">
        <v>293</v>
      </c>
      <c r="D32" s="317" t="s">
        <v>298</v>
      </c>
      <c r="E32" s="105" t="s">
        <v>299</v>
      </c>
      <c r="F32" s="100"/>
      <c r="G32" s="34"/>
      <c r="H32" s="34"/>
      <c r="I32" s="97">
        <v>2921.2783873957369</v>
      </c>
      <c r="J32" s="97" t="s">
        <v>412</v>
      </c>
      <c r="K32" s="261">
        <v>0</v>
      </c>
      <c r="L32" s="319">
        <v>0</v>
      </c>
      <c r="M32" s="319">
        <v>0</v>
      </c>
      <c r="N32" s="319">
        <v>0</v>
      </c>
      <c r="O32" s="319">
        <v>0</v>
      </c>
      <c r="P32" s="319">
        <v>0</v>
      </c>
      <c r="Q32" s="320">
        <v>0</v>
      </c>
      <c r="R32" s="319">
        <v>0</v>
      </c>
      <c r="S32" s="319"/>
      <c r="T32" s="319"/>
      <c r="U32" s="319"/>
      <c r="V32" s="319"/>
      <c r="W32" s="321">
        <f>IFERROR(IF(tblPiNAnalysis512[[#This Row],[CCCM]]="", "", MROUND(tblPiNAnalysis512[[#This Row],[CCCM]]/tblPiNAnalysis512[[#This Row],[Affected population projection 2026]], 0.05)), "")</f>
        <v>0</v>
      </c>
      <c r="X32" s="322">
        <f>IFERROR(IF(tblPiNAnalysis512[[#This Row],[Education]]="", "", MROUND(tblPiNAnalysis512[[#This Row],[Education]]/tblPiNAnalysis512[[#This Row],[Affected population projection 2026]], 0.05)), "")</f>
        <v>0</v>
      </c>
      <c r="Y32" s="322">
        <f>IFERROR(IF(tblPiNAnalysis512[[#This Row],[Nutrition]]="", "", MROUND(tblPiNAnalysis512[[#This Row],[Nutrition]]/tblPiNAnalysis512[[#This Row],[Affected population projection 2026]], 0.05)), "")</f>
        <v>0</v>
      </c>
      <c r="Z32" s="322">
        <f>IFERROR(IF(tblPiNAnalysis512[[#This Row],[Food Security]]="", "", MROUND(tblPiNAnalysis512[[#This Row],[Food Security]]/tblPiNAnalysis512[[#This Row],[Affected population projection 2026]], 0.05)), "")</f>
        <v>0</v>
      </c>
      <c r="AA32" s="322">
        <f>IFERROR(IF(tblPiNAnalysis512[[#This Row],[Health]]="", "", MROUND(tblPiNAnalysis512[[#This Row],[Health]]/tblPiNAnalysis512[[#This Row],[Affected population projection 2026]], 0.05)), "")</f>
        <v>0</v>
      </c>
      <c r="AB32" s="323">
        <f>IFERROR(IF(tblPiNAnalysis512[[#This Row],[Overarching Protection]]="", "", MROUND(tblPiNAnalysis512[[#This Row],[Overarching Protection]]/tblPiNAnalysis512[[#This Row],[Affected population projection 2026]], 0.05)), "")</f>
        <v>0</v>
      </c>
      <c r="AC32" s="323">
        <f>IFERROR(IF(tblPiNAnalysis512[[#This Row],[Shelter]]="", "", MROUND(tblPiNAnalysis512[[#This Row],[Shelter]]/tblPiNAnalysis512[[#This Row],[Affected population projection 2026]], 0.05)), "")</f>
        <v>0</v>
      </c>
      <c r="AD32" s="324">
        <f>IFERROR(IF(tblPiNAnalysis512[[#This Row],[WASH]]="", "", MROUND(tblPiNAnalysis512[[#This Row],[WASH]]/tblPiNAnalysis512[[#This Row],[Affected population projection 2026]], 0.05)), "")</f>
        <v>0</v>
      </c>
      <c r="AE32" s="322">
        <f>IFERROR(MROUND(tblPiNAnalysis512[[#This Row],[CP]]/tblPiNAnalysis512[[#This Row],[Affected population projection 2026]], 0.05), "")</f>
        <v>0</v>
      </c>
      <c r="AF32" s="322">
        <f>IFERROR(MROUND(tblPiNAnalysis512[[#This Row],[GBV]]/tblPiNAnalysis512[[#This Row],[Affected population projection 2026]], 0.05), "")</f>
        <v>0</v>
      </c>
      <c r="AG32" s="322">
        <f>IFERROR(MROUND(tblPiNAnalysis512[[#This Row],[Mine Action]]/tblPiNAnalysis512[[#This Row],[Affected population projection 2026]], 0.05), "")</f>
        <v>0</v>
      </c>
      <c r="AH32" s="322">
        <f>IFERROR(MROUND(tblPiNAnalysis512[[#This Row],[HLP]]/tblPiNAnalysis512[[#This Row],[Affected population projection 2026]], 0.05), "")</f>
        <v>0</v>
      </c>
      <c r="AI32" s="325">
        <f>IFERROR(LARGE(tblPiNAnalysis512[[#This Row],[CCCM]:[WASH]], 1), "")</f>
        <v>0</v>
      </c>
      <c r="AJ32" s="326" t="str" cm="1">
        <f t="array" ref="AJ32">IF(tblPiNAnalysis512[[#This Row],[Highest Target]]="", "", _xlfn.TEXTJOIN(CHAR(10), TRUE, IF(tblPiNAnalysis512[[#This Row],[Highest Target]]=tblPiNAnalysis512[[#This Row],[CCCM]:[WASH]], tblPiNAnalysis512[[#Headers],[CCCM]:[WASH]], "")))</f>
        <v>CCCM
Education
Nutrition
Food Security
Health
Overarching Protection
Shelter
WASH</v>
      </c>
      <c r="AK32" s="327">
        <f>IF(tblPiNAnalysis512[[#This Row],[Highest Target]]="", "", tblPiNAnalysis512[[#This Row],[Highest Target]]/tblPiNAnalysis512[[#This Row],[Affected population projection 2026]])</f>
        <v>0</v>
      </c>
      <c r="AL32" s="328" t="str">
        <f>IF(SUM(tblPiNAnalysis512[[#This Row],[CCCM]:[WASH]])=0, "",IF(COUNTIF(tblPiNAnalysis512[[#This Row],[CCCM]:[WASH]],"=0")+COUNTIF(tblPiNAnalysis512[[#This Row],[CCCM]:[WASH]],"")&gt;=zero_pin_thresh, "Flagged", ""))</f>
        <v/>
      </c>
      <c r="AM32" s="329" t="str">
        <f>IFERROR(IF(tblPiNAnalysis512[[#This Row],[Highest Target]]="", "", IF(tblPiNAnalysis512[[#This Row],[Highest sector(s'') Target %]]&gt;=flag_pin_perc, "Flagged", "")), "")</f>
        <v/>
      </c>
      <c r="AN32" s="330" t="str" cm="1">
        <f t="array" ref="AN32">IF(tblPiNAnalysis512[[#This Row],[Highest Target]]=0, "",  IF(OR(COUNTIF(tblPiNAnalysis512[[#This Row],[Highest sector(s)]],tblSubSectorPopulation[Sector])), "Flagged", ""))</f>
        <v/>
      </c>
      <c r="AO32" s="46" cm="1">
        <f t="array" ref="AO3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2" s="331" t="str" cm="1">
        <f t="array" ref="AP32">IF(tblPiNAnalysis512[[#This Row],[2nd Highest Target]]="", "", _xlfn.TEXTJOIN(CHAR(10), TRUE, IF(tblPiNAnalysis512[[#This Row],[2nd Highest Target]]=tblPiNAnalysis512[[#This Row],[CCCM]:[WASH]], tblPiNAnalysis512[[#Headers],[CCCM]:[WASH]], "")))</f>
        <v>CCCM
Education
Nutrition
Food Security
Health
Overarching Protection
Shelter
WASH</v>
      </c>
      <c r="AQ32" s="36">
        <f>IFERROR(tblPiNAnalysis512[[#This Row],[2nd Highest Target]]/tblPiNAnalysis512[[#This Row],[Affected population projection 2026]], "")</f>
        <v>0</v>
      </c>
      <c r="AR32" s="46">
        <f>IFERROR(tblPiNAnalysis512[[#This Row],[Highest Target]]-tblPiNAnalysis512[[#This Row],[2nd Highest Target]], "")</f>
        <v>0</v>
      </c>
      <c r="AS32" s="39" t="str">
        <f>IFERROR(((tblPiNAnalysis512[[#This Row],[Highest Target]]-tblPiNAnalysis512[[#This Row],[2nd Highest Target]])/tblPiNAnalysis512[[#This Row],[2nd Highest Target]]),"")</f>
        <v/>
      </c>
      <c r="AT32" s="39" t="str" cm="1">
        <f t="array" ref="AT3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2" s="332" cm="1">
        <f t="array" ref="AU3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2" s="190" t="str" cm="1">
        <f t="array" ref="AV32">IF(tblPiNAnalysis512[[#This Row],[3rd Highest Target]]="", "", _xlfn.TEXTJOIN(CHAR(10), TRUE, IF(tblPiNAnalysis512[[#This Row],[3rd Highest Target]]=tblPiNAnalysis512[[#This Row],[CCCM]:[WASH]], tblPiNAnalysis512[[#Headers],[CCCM]:[WASH]], "")))</f>
        <v>CCCM
Education
Nutrition
Food Security
Health
Overarching Protection
Shelter
WASH</v>
      </c>
      <c r="AW32" s="190">
        <f>IFERROR(tblPiNAnalysis512[[#This Row],[3rd Highest Target]]/tblPiNAnalysis512[[#This Row],[Affected population projection 2026]], "")</f>
        <v>0</v>
      </c>
      <c r="AX32" s="45">
        <f>IFERROR(tblPiNAnalysis512[[#This Row],[Highest Target]]-tblPiNAnalysis512[[#This Row],[3rd Highest Target]],"")</f>
        <v>0</v>
      </c>
      <c r="AY32" s="39" t="str">
        <f>IFERROR(tblPiNAnalysis512[[#This Row],[Difference of Target between Highest and 3rd Highest]]/tblPiNAnalysis512[[#This Row],[3rd Highest Target]], "")</f>
        <v/>
      </c>
      <c r="AZ32" s="330" t="str" cm="1">
        <f t="array" ref="AZ3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2" s="300" t="str" cm="1">
        <f t="array" ref="BA3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2" s="333" t="str" cm="1">
        <f t="array" ref="BB3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2" s="276" t="str" cm="1">
        <f t="array" ref="BC3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2" s="334" t="str" cm="1">
        <f t="array" ref="BD3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2" s="277" t="e">
        <f>INDEX(tblSeverityAnalysis[Final Severity], MATCH(tblPiNAnalysis512[[#This Row],[ID]],tblSeverityAnalysis[ID], 0))</f>
        <v>#N/A</v>
      </c>
      <c r="BF32" s="61" t="e">
        <f>IF(tblPiNAnalysis512[[#This Row],[Severity]]&gt;2,tblPiNAnalysis512[[#This Row],[Highest Target]],)</f>
        <v>#N/A</v>
      </c>
      <c r="BG32" s="191"/>
      <c r="BH32" s="192"/>
      <c r="BI32" s="193">
        <f>COUNTIFS(tblPiNAnalysis512[[#This Row],[Number of missing / zero PiNs greater than threshold - Data quality]:[Manual Flag]],"Flagged")</f>
        <v>2</v>
      </c>
      <c r="BJ32" s="96" t="str">
        <f>IF(tblPiNAnalysis512[[#This Row],['# Flags]]&gt;0, "Flagged", "")</f>
        <v>Flagged</v>
      </c>
      <c r="BK32" s="326" t="e">
        <f>tblPiNAnalysis512[[#This Row],[Preliminary Target]]</f>
        <v>#N/A</v>
      </c>
      <c r="BL32" s="331">
        <v>4</v>
      </c>
    </row>
    <row r="33" spans="1:64" ht="110.7" x14ac:dyDescent="0.55000000000000004">
      <c r="A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3" s="316" t="s">
        <v>292</v>
      </c>
      <c r="C33" s="317" t="s">
        <v>293</v>
      </c>
      <c r="D33" s="317" t="s">
        <v>300</v>
      </c>
      <c r="E33" s="105" t="s">
        <v>301</v>
      </c>
      <c r="F33" s="100"/>
      <c r="G33" s="34"/>
      <c r="H33" s="34"/>
      <c r="I33" s="97">
        <v>6808.1234044964567</v>
      </c>
      <c r="J33" s="97" t="s">
        <v>412</v>
      </c>
      <c r="K33" s="261">
        <v>0</v>
      </c>
      <c r="L33" s="319">
        <v>0</v>
      </c>
      <c r="M33" s="319">
        <v>0</v>
      </c>
      <c r="N33" s="319">
        <v>0</v>
      </c>
      <c r="O33" s="319">
        <v>0</v>
      </c>
      <c r="P33" s="319">
        <v>0</v>
      </c>
      <c r="Q33" s="320">
        <v>0</v>
      </c>
      <c r="R33" s="319">
        <v>0</v>
      </c>
      <c r="S33" s="319"/>
      <c r="T33" s="319"/>
      <c r="U33" s="319"/>
      <c r="V33" s="319"/>
      <c r="W33" s="321">
        <f>IFERROR(IF(tblPiNAnalysis512[[#This Row],[CCCM]]="", "", MROUND(tblPiNAnalysis512[[#This Row],[CCCM]]/tblPiNAnalysis512[[#This Row],[Affected population projection 2026]], 0.05)), "")</f>
        <v>0</v>
      </c>
      <c r="X33" s="322">
        <f>IFERROR(IF(tblPiNAnalysis512[[#This Row],[Education]]="", "", MROUND(tblPiNAnalysis512[[#This Row],[Education]]/tblPiNAnalysis512[[#This Row],[Affected population projection 2026]], 0.05)), "")</f>
        <v>0</v>
      </c>
      <c r="Y33" s="322">
        <f>IFERROR(IF(tblPiNAnalysis512[[#This Row],[Nutrition]]="", "", MROUND(tblPiNAnalysis512[[#This Row],[Nutrition]]/tblPiNAnalysis512[[#This Row],[Affected population projection 2026]], 0.05)), "")</f>
        <v>0</v>
      </c>
      <c r="Z33" s="322">
        <f>IFERROR(IF(tblPiNAnalysis512[[#This Row],[Food Security]]="", "", MROUND(tblPiNAnalysis512[[#This Row],[Food Security]]/tblPiNAnalysis512[[#This Row],[Affected population projection 2026]], 0.05)), "")</f>
        <v>0</v>
      </c>
      <c r="AA33" s="322">
        <f>IFERROR(IF(tblPiNAnalysis512[[#This Row],[Health]]="", "", MROUND(tblPiNAnalysis512[[#This Row],[Health]]/tblPiNAnalysis512[[#This Row],[Affected population projection 2026]], 0.05)), "")</f>
        <v>0</v>
      </c>
      <c r="AB33" s="323">
        <f>IFERROR(IF(tblPiNAnalysis512[[#This Row],[Overarching Protection]]="", "", MROUND(tblPiNAnalysis512[[#This Row],[Overarching Protection]]/tblPiNAnalysis512[[#This Row],[Affected population projection 2026]], 0.05)), "")</f>
        <v>0</v>
      </c>
      <c r="AC33" s="323">
        <f>IFERROR(IF(tblPiNAnalysis512[[#This Row],[Shelter]]="", "", MROUND(tblPiNAnalysis512[[#This Row],[Shelter]]/tblPiNAnalysis512[[#This Row],[Affected population projection 2026]], 0.05)), "")</f>
        <v>0</v>
      </c>
      <c r="AD33" s="324">
        <f>IFERROR(IF(tblPiNAnalysis512[[#This Row],[WASH]]="", "", MROUND(tblPiNAnalysis512[[#This Row],[WASH]]/tblPiNAnalysis512[[#This Row],[Affected population projection 2026]], 0.05)), "")</f>
        <v>0</v>
      </c>
      <c r="AE33" s="322">
        <f>IFERROR(MROUND(tblPiNAnalysis512[[#This Row],[CP]]/tblPiNAnalysis512[[#This Row],[Affected population projection 2026]], 0.05), "")</f>
        <v>0</v>
      </c>
      <c r="AF33" s="322">
        <f>IFERROR(MROUND(tblPiNAnalysis512[[#This Row],[GBV]]/tblPiNAnalysis512[[#This Row],[Affected population projection 2026]], 0.05), "")</f>
        <v>0</v>
      </c>
      <c r="AG33" s="322">
        <f>IFERROR(MROUND(tblPiNAnalysis512[[#This Row],[Mine Action]]/tblPiNAnalysis512[[#This Row],[Affected population projection 2026]], 0.05), "")</f>
        <v>0</v>
      </c>
      <c r="AH33" s="322">
        <f>IFERROR(MROUND(tblPiNAnalysis512[[#This Row],[HLP]]/tblPiNAnalysis512[[#This Row],[Affected population projection 2026]], 0.05), "")</f>
        <v>0</v>
      </c>
      <c r="AI33" s="325">
        <f>IFERROR(LARGE(tblPiNAnalysis512[[#This Row],[CCCM]:[WASH]], 1), "")</f>
        <v>0</v>
      </c>
      <c r="AJ33" s="326" t="str" cm="1">
        <f t="array" ref="AJ33">IF(tblPiNAnalysis512[[#This Row],[Highest Target]]="", "", _xlfn.TEXTJOIN(CHAR(10), TRUE, IF(tblPiNAnalysis512[[#This Row],[Highest Target]]=tblPiNAnalysis512[[#This Row],[CCCM]:[WASH]], tblPiNAnalysis512[[#Headers],[CCCM]:[WASH]], "")))</f>
        <v>CCCM
Education
Nutrition
Food Security
Health
Overarching Protection
Shelter
WASH</v>
      </c>
      <c r="AK33" s="327">
        <f>IF(tblPiNAnalysis512[[#This Row],[Highest Target]]="", "", tblPiNAnalysis512[[#This Row],[Highest Target]]/tblPiNAnalysis512[[#This Row],[Affected population projection 2026]])</f>
        <v>0</v>
      </c>
      <c r="AL33" s="328" t="str">
        <f>IF(SUM(tblPiNAnalysis512[[#This Row],[CCCM]:[WASH]])=0, "",IF(COUNTIF(tblPiNAnalysis512[[#This Row],[CCCM]:[WASH]],"=0")+COUNTIF(tblPiNAnalysis512[[#This Row],[CCCM]:[WASH]],"")&gt;=zero_pin_thresh, "Flagged", ""))</f>
        <v/>
      </c>
      <c r="AM33" s="329" t="str">
        <f>IFERROR(IF(tblPiNAnalysis512[[#This Row],[Highest Target]]="", "", IF(tblPiNAnalysis512[[#This Row],[Highest sector(s'') Target %]]&gt;=flag_pin_perc, "Flagged", "")), "")</f>
        <v/>
      </c>
      <c r="AN33" s="330" t="str" cm="1">
        <f t="array" ref="AN33">IF(tblPiNAnalysis512[[#This Row],[Highest Target]]=0, "",  IF(OR(COUNTIF(tblPiNAnalysis512[[#This Row],[Highest sector(s)]],tblSubSectorPopulation[Sector])), "Flagged", ""))</f>
        <v/>
      </c>
      <c r="AO33" s="46" cm="1">
        <f t="array" ref="AO3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3" s="331" t="str" cm="1">
        <f t="array" ref="AP33">IF(tblPiNAnalysis512[[#This Row],[2nd Highest Target]]="", "", _xlfn.TEXTJOIN(CHAR(10), TRUE, IF(tblPiNAnalysis512[[#This Row],[2nd Highest Target]]=tblPiNAnalysis512[[#This Row],[CCCM]:[WASH]], tblPiNAnalysis512[[#Headers],[CCCM]:[WASH]], "")))</f>
        <v>CCCM
Education
Nutrition
Food Security
Health
Overarching Protection
Shelter
WASH</v>
      </c>
      <c r="AQ33" s="36">
        <f>IFERROR(tblPiNAnalysis512[[#This Row],[2nd Highest Target]]/tblPiNAnalysis512[[#This Row],[Affected population projection 2026]], "")</f>
        <v>0</v>
      </c>
      <c r="AR33" s="46">
        <f>IFERROR(tblPiNAnalysis512[[#This Row],[Highest Target]]-tblPiNAnalysis512[[#This Row],[2nd Highest Target]], "")</f>
        <v>0</v>
      </c>
      <c r="AS33" s="39" t="str">
        <f>IFERROR(((tblPiNAnalysis512[[#This Row],[Highest Target]]-tblPiNAnalysis512[[#This Row],[2nd Highest Target]])/tblPiNAnalysis512[[#This Row],[2nd Highest Target]]),"")</f>
        <v/>
      </c>
      <c r="AT33" s="39" t="str" cm="1">
        <f t="array" ref="AT3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3" s="332" cm="1">
        <f t="array" ref="AU3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3" s="190" t="str" cm="1">
        <f t="array" ref="AV33">IF(tblPiNAnalysis512[[#This Row],[3rd Highest Target]]="", "", _xlfn.TEXTJOIN(CHAR(10), TRUE, IF(tblPiNAnalysis512[[#This Row],[3rd Highest Target]]=tblPiNAnalysis512[[#This Row],[CCCM]:[WASH]], tblPiNAnalysis512[[#Headers],[CCCM]:[WASH]], "")))</f>
        <v>CCCM
Education
Nutrition
Food Security
Health
Overarching Protection
Shelter
WASH</v>
      </c>
      <c r="AW33" s="190">
        <f>IFERROR(tblPiNAnalysis512[[#This Row],[3rd Highest Target]]/tblPiNAnalysis512[[#This Row],[Affected population projection 2026]], "")</f>
        <v>0</v>
      </c>
      <c r="AX33" s="45">
        <f>IFERROR(tblPiNAnalysis512[[#This Row],[Highest Target]]-tblPiNAnalysis512[[#This Row],[3rd Highest Target]],"")</f>
        <v>0</v>
      </c>
      <c r="AY33" s="39" t="str">
        <f>IFERROR(tblPiNAnalysis512[[#This Row],[Difference of Target between Highest and 3rd Highest]]/tblPiNAnalysis512[[#This Row],[3rd Highest Target]], "")</f>
        <v/>
      </c>
      <c r="AZ33" s="330" t="str" cm="1">
        <f t="array" ref="AZ3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3" s="300" t="str" cm="1">
        <f t="array" ref="BA3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3" s="333" t="str" cm="1">
        <f t="array" ref="BB3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3" s="276" t="str" cm="1">
        <f t="array" ref="BC3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3" s="334" t="str" cm="1">
        <f t="array" ref="BD3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3" s="277" t="e">
        <f>INDEX(tblSeverityAnalysis[Final Severity], MATCH(tblPiNAnalysis512[[#This Row],[ID]],tblSeverityAnalysis[ID], 0))</f>
        <v>#N/A</v>
      </c>
      <c r="BF33" s="61" t="e">
        <f>IF(tblPiNAnalysis512[[#This Row],[Severity]]&gt;2,tblPiNAnalysis512[[#This Row],[Highest Target]],)</f>
        <v>#N/A</v>
      </c>
      <c r="BG33" s="191"/>
      <c r="BH33" s="192"/>
      <c r="BI33" s="193">
        <f>COUNTIFS(tblPiNAnalysis512[[#This Row],[Number of missing / zero PiNs greater than threshold - Data quality]:[Manual Flag]],"Flagged")</f>
        <v>2</v>
      </c>
      <c r="BJ33" s="96" t="str">
        <f>IF(tblPiNAnalysis512[[#This Row],['# Flags]]&gt;0, "Flagged", "")</f>
        <v>Flagged</v>
      </c>
      <c r="BK33" s="326" t="e">
        <f>tblPiNAnalysis512[[#This Row],[Preliminary Target]]</f>
        <v>#N/A</v>
      </c>
      <c r="BL33" s="331">
        <v>4</v>
      </c>
    </row>
    <row r="34" spans="1:64" x14ac:dyDescent="0.55000000000000004">
      <c r="A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4" s="316" t="s">
        <v>292</v>
      </c>
      <c r="C34" s="317" t="s">
        <v>293</v>
      </c>
      <c r="D34" s="317" t="s">
        <v>302</v>
      </c>
      <c r="E34" s="105" t="s">
        <v>303</v>
      </c>
      <c r="F34" s="100"/>
      <c r="G34" s="34"/>
      <c r="H34" s="34"/>
      <c r="I34" s="97">
        <v>23157.383024277355</v>
      </c>
      <c r="J34" s="97" t="s">
        <v>412</v>
      </c>
      <c r="K34" s="261"/>
      <c r="L34" s="319"/>
      <c r="M34" s="319"/>
      <c r="N34" s="319"/>
      <c r="O34" s="319"/>
      <c r="P34" s="319"/>
      <c r="Q34" s="320"/>
      <c r="R34" s="319"/>
      <c r="S34" s="319"/>
      <c r="T34" s="319"/>
      <c r="U34" s="319"/>
      <c r="V34" s="319"/>
      <c r="W34" s="321" t="str">
        <f>IFERROR(IF(tblPiNAnalysis512[[#This Row],[CCCM]]="", "", MROUND(tblPiNAnalysis512[[#This Row],[CCCM]]/tblPiNAnalysis512[[#This Row],[Affected population projection 2026]], 0.05)), "")</f>
        <v/>
      </c>
      <c r="X34" s="322" t="str">
        <f>IFERROR(IF(tblPiNAnalysis512[[#This Row],[Education]]="", "", MROUND(tblPiNAnalysis512[[#This Row],[Education]]/tblPiNAnalysis512[[#This Row],[Affected population projection 2026]], 0.05)), "")</f>
        <v/>
      </c>
      <c r="Y34" s="322" t="str">
        <f>IFERROR(IF(tblPiNAnalysis512[[#This Row],[Nutrition]]="", "", MROUND(tblPiNAnalysis512[[#This Row],[Nutrition]]/tblPiNAnalysis512[[#This Row],[Affected population projection 2026]], 0.05)), "")</f>
        <v/>
      </c>
      <c r="Z34" s="322" t="str">
        <f>IFERROR(IF(tblPiNAnalysis512[[#This Row],[Food Security]]="", "", MROUND(tblPiNAnalysis512[[#This Row],[Food Security]]/tblPiNAnalysis512[[#This Row],[Affected population projection 2026]], 0.05)), "")</f>
        <v/>
      </c>
      <c r="AA34" s="322" t="str">
        <f>IFERROR(IF(tblPiNAnalysis512[[#This Row],[Health]]="", "", MROUND(tblPiNAnalysis512[[#This Row],[Health]]/tblPiNAnalysis512[[#This Row],[Affected population projection 2026]], 0.05)), "")</f>
        <v/>
      </c>
      <c r="AB34" s="323" t="str">
        <f>IFERROR(IF(tblPiNAnalysis512[[#This Row],[Overarching Protection]]="", "", MROUND(tblPiNAnalysis512[[#This Row],[Overarching Protection]]/tblPiNAnalysis512[[#This Row],[Affected population projection 2026]], 0.05)), "")</f>
        <v/>
      </c>
      <c r="AC34" s="323" t="str">
        <f>IFERROR(IF(tblPiNAnalysis512[[#This Row],[Shelter]]="", "", MROUND(tblPiNAnalysis512[[#This Row],[Shelter]]/tblPiNAnalysis512[[#This Row],[Affected population projection 2026]], 0.05)), "")</f>
        <v/>
      </c>
      <c r="AD34" s="324" t="str">
        <f>IFERROR(IF(tblPiNAnalysis512[[#This Row],[WASH]]="", "", MROUND(tblPiNAnalysis512[[#This Row],[WASH]]/tblPiNAnalysis512[[#This Row],[Affected population projection 2026]], 0.05)), "")</f>
        <v/>
      </c>
      <c r="AE34" s="322">
        <f>IFERROR(MROUND(tblPiNAnalysis512[[#This Row],[CP]]/tblPiNAnalysis512[[#This Row],[Affected population projection 2026]], 0.05), "")</f>
        <v>0</v>
      </c>
      <c r="AF34" s="322">
        <f>IFERROR(MROUND(tblPiNAnalysis512[[#This Row],[GBV]]/tblPiNAnalysis512[[#This Row],[Affected population projection 2026]], 0.05), "")</f>
        <v>0</v>
      </c>
      <c r="AG34" s="322">
        <f>IFERROR(MROUND(tblPiNAnalysis512[[#This Row],[Mine Action]]/tblPiNAnalysis512[[#This Row],[Affected population projection 2026]], 0.05), "")</f>
        <v>0</v>
      </c>
      <c r="AH34" s="322">
        <f>IFERROR(MROUND(tblPiNAnalysis512[[#This Row],[HLP]]/tblPiNAnalysis512[[#This Row],[Affected population projection 2026]], 0.05), "")</f>
        <v>0</v>
      </c>
      <c r="AI34" s="325" t="str">
        <f>IFERROR(LARGE(tblPiNAnalysis512[[#This Row],[CCCM]:[WASH]], 1), "")</f>
        <v/>
      </c>
      <c r="AJ34" s="326" t="str" cm="1">
        <f t="array" ref="AJ34">IF(tblPiNAnalysis512[[#This Row],[Highest Target]]="", "", _xlfn.TEXTJOIN(CHAR(10), TRUE, IF(tblPiNAnalysis512[[#This Row],[Highest Target]]=tblPiNAnalysis512[[#This Row],[CCCM]:[WASH]], tblPiNAnalysis512[[#Headers],[CCCM]:[WASH]], "")))</f>
        <v/>
      </c>
      <c r="AK34" s="327" t="str">
        <f>IF(tblPiNAnalysis512[[#This Row],[Highest Target]]="", "", tblPiNAnalysis512[[#This Row],[Highest Target]]/tblPiNAnalysis512[[#This Row],[Affected population projection 2026]])</f>
        <v/>
      </c>
      <c r="AL34" s="328" t="str">
        <f>IF(SUM(tblPiNAnalysis512[[#This Row],[CCCM]:[WASH]])=0, "",IF(COUNTIF(tblPiNAnalysis512[[#This Row],[CCCM]:[WASH]],"=0")+COUNTIF(tblPiNAnalysis512[[#This Row],[CCCM]:[WASH]],"")&gt;=zero_pin_thresh, "Flagged", ""))</f>
        <v/>
      </c>
      <c r="AM34" s="329" t="str">
        <f>IFERROR(IF(tblPiNAnalysis512[[#This Row],[Highest Target]]="", "", IF(tblPiNAnalysis512[[#This Row],[Highest sector(s'') Target %]]&gt;=flag_pin_perc, "Flagged", "")), "")</f>
        <v/>
      </c>
      <c r="AN34" s="330" t="str" cm="1">
        <f t="array" ref="AN34">IF(tblPiNAnalysis512[[#This Row],[Highest Target]]=0, "",  IF(OR(COUNTIF(tblPiNAnalysis512[[#This Row],[Highest sector(s)]],tblSubSectorPopulation[Sector])), "Flagged", ""))</f>
        <v/>
      </c>
      <c r="AO34" s="46" t="str" cm="1">
        <f t="array" ref="AO3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34" s="331" t="str" cm="1">
        <f t="array" ref="AP34">IF(tblPiNAnalysis512[[#This Row],[2nd Highest Target]]="", "", _xlfn.TEXTJOIN(CHAR(10), TRUE, IF(tblPiNAnalysis512[[#This Row],[2nd Highest Target]]=tblPiNAnalysis512[[#This Row],[CCCM]:[WASH]], tblPiNAnalysis512[[#Headers],[CCCM]:[WASH]], "")))</f>
        <v/>
      </c>
      <c r="AQ34" s="36" t="str">
        <f>IFERROR(tblPiNAnalysis512[[#This Row],[2nd Highest Target]]/tblPiNAnalysis512[[#This Row],[Affected population projection 2026]], "")</f>
        <v/>
      </c>
      <c r="AR34" s="46" t="str">
        <f>IFERROR(tblPiNAnalysis512[[#This Row],[Highest Target]]-tblPiNAnalysis512[[#This Row],[2nd Highest Target]], "")</f>
        <v/>
      </c>
      <c r="AS34" s="39" t="str">
        <f>IFERROR(((tblPiNAnalysis512[[#This Row],[Highest Target]]-tblPiNAnalysis512[[#This Row],[2nd Highest Target]])/tblPiNAnalysis512[[#This Row],[2nd Highest Target]]),"")</f>
        <v/>
      </c>
      <c r="AT34" s="39" t="str" cm="1">
        <f t="array" ref="AT3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4" s="332" t="str" cm="1">
        <f t="array" ref="AU3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34" s="190" t="str" cm="1">
        <f t="array" ref="AV34">IF(tblPiNAnalysis512[[#This Row],[3rd Highest Target]]="", "", _xlfn.TEXTJOIN(CHAR(10), TRUE, IF(tblPiNAnalysis512[[#This Row],[3rd Highest Target]]=tblPiNAnalysis512[[#This Row],[CCCM]:[WASH]], tblPiNAnalysis512[[#Headers],[CCCM]:[WASH]], "")))</f>
        <v/>
      </c>
      <c r="AW34" s="190" t="str">
        <f>IFERROR(tblPiNAnalysis512[[#This Row],[3rd Highest Target]]/tblPiNAnalysis512[[#This Row],[Affected population projection 2026]], "")</f>
        <v/>
      </c>
      <c r="AX34" s="45" t="str">
        <f>IFERROR(tblPiNAnalysis512[[#This Row],[Highest Target]]-tblPiNAnalysis512[[#This Row],[3rd Highest Target]],"")</f>
        <v/>
      </c>
      <c r="AY34" s="39" t="str">
        <f>IFERROR(tblPiNAnalysis512[[#This Row],[Difference of Target between Highest and 3rd Highest]]/tblPiNAnalysis512[[#This Row],[3rd Highest Target]], "")</f>
        <v/>
      </c>
      <c r="AZ34" s="330" t="str" cm="1">
        <f t="array" ref="AZ3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4" s="300" t="str" cm="1">
        <f t="array" ref="BA3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4" s="333" t="str" cm="1">
        <f t="array" ref="BB3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4" s="276" t="str" cm="1">
        <f t="array" ref="BC3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4" s="334" t="str" cm="1">
        <f t="array" ref="BD3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4" s="277" t="e">
        <f>INDEX(tblSeverityAnalysis[Final Severity], MATCH(tblPiNAnalysis512[[#This Row],[ID]],tblSeverityAnalysis[ID], 0))</f>
        <v>#N/A</v>
      </c>
      <c r="BF34" s="61" t="e">
        <f>IF(tblPiNAnalysis512[[#This Row],[Severity]]&gt;2,tblPiNAnalysis512[[#This Row],[Highest Target]],)</f>
        <v>#N/A</v>
      </c>
      <c r="BG34" s="191"/>
      <c r="BH34" s="192"/>
      <c r="BI34" s="193">
        <f>COUNTIFS(tblPiNAnalysis512[[#This Row],[Number of missing / zero PiNs greater than threshold - Data quality]:[Manual Flag]],"Flagged")</f>
        <v>2</v>
      </c>
      <c r="BJ34" s="96" t="str">
        <f>IF(tblPiNAnalysis512[[#This Row],['# Flags]]&gt;0, "Flagged", "")</f>
        <v>Flagged</v>
      </c>
      <c r="BK34" s="326" t="e">
        <f>tblPiNAnalysis512[[#This Row],[Preliminary Target]]</f>
        <v>#N/A</v>
      </c>
      <c r="BL34" s="331">
        <v>3</v>
      </c>
    </row>
    <row r="35" spans="1:64" ht="110.7" x14ac:dyDescent="0.55000000000000004">
      <c r="A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5" s="316" t="s">
        <v>292</v>
      </c>
      <c r="C35" s="317" t="s">
        <v>293</v>
      </c>
      <c r="D35" s="317" t="s">
        <v>304</v>
      </c>
      <c r="E35" s="105" t="s">
        <v>305</v>
      </c>
      <c r="F35" s="100"/>
      <c r="G35" s="34"/>
      <c r="H35" s="34"/>
      <c r="I35" s="97">
        <v>9602.9953236523688</v>
      </c>
      <c r="J35" s="97" t="s">
        <v>412</v>
      </c>
      <c r="K35" s="261">
        <v>0</v>
      </c>
      <c r="L35" s="319">
        <v>0</v>
      </c>
      <c r="M35" s="319">
        <v>0</v>
      </c>
      <c r="N35" s="319">
        <v>0</v>
      </c>
      <c r="O35" s="319">
        <v>0</v>
      </c>
      <c r="P35" s="319">
        <v>0</v>
      </c>
      <c r="Q35" s="320">
        <v>0</v>
      </c>
      <c r="R35" s="319">
        <v>0</v>
      </c>
      <c r="S35" s="319"/>
      <c r="T35" s="319"/>
      <c r="U35" s="319"/>
      <c r="V35" s="319"/>
      <c r="W35" s="321">
        <f>IFERROR(IF(tblPiNAnalysis512[[#This Row],[CCCM]]="", "", MROUND(tblPiNAnalysis512[[#This Row],[CCCM]]/tblPiNAnalysis512[[#This Row],[Affected population projection 2026]], 0.05)), "")</f>
        <v>0</v>
      </c>
      <c r="X35" s="322">
        <f>IFERROR(IF(tblPiNAnalysis512[[#This Row],[Education]]="", "", MROUND(tblPiNAnalysis512[[#This Row],[Education]]/tblPiNAnalysis512[[#This Row],[Affected population projection 2026]], 0.05)), "")</f>
        <v>0</v>
      </c>
      <c r="Y35" s="322">
        <f>IFERROR(IF(tblPiNAnalysis512[[#This Row],[Nutrition]]="", "", MROUND(tblPiNAnalysis512[[#This Row],[Nutrition]]/tblPiNAnalysis512[[#This Row],[Affected population projection 2026]], 0.05)), "")</f>
        <v>0</v>
      </c>
      <c r="Z35" s="322">
        <f>IFERROR(IF(tblPiNAnalysis512[[#This Row],[Food Security]]="", "", MROUND(tblPiNAnalysis512[[#This Row],[Food Security]]/tblPiNAnalysis512[[#This Row],[Affected population projection 2026]], 0.05)), "")</f>
        <v>0</v>
      </c>
      <c r="AA35" s="322">
        <f>IFERROR(IF(tblPiNAnalysis512[[#This Row],[Health]]="", "", MROUND(tblPiNAnalysis512[[#This Row],[Health]]/tblPiNAnalysis512[[#This Row],[Affected population projection 2026]], 0.05)), "")</f>
        <v>0</v>
      </c>
      <c r="AB35" s="323">
        <f>IFERROR(IF(tblPiNAnalysis512[[#This Row],[Overarching Protection]]="", "", MROUND(tblPiNAnalysis512[[#This Row],[Overarching Protection]]/tblPiNAnalysis512[[#This Row],[Affected population projection 2026]], 0.05)), "")</f>
        <v>0</v>
      </c>
      <c r="AC35" s="323">
        <f>IFERROR(IF(tblPiNAnalysis512[[#This Row],[Shelter]]="", "", MROUND(tblPiNAnalysis512[[#This Row],[Shelter]]/tblPiNAnalysis512[[#This Row],[Affected population projection 2026]], 0.05)), "")</f>
        <v>0</v>
      </c>
      <c r="AD35" s="324">
        <f>IFERROR(IF(tblPiNAnalysis512[[#This Row],[WASH]]="", "", MROUND(tblPiNAnalysis512[[#This Row],[WASH]]/tblPiNAnalysis512[[#This Row],[Affected population projection 2026]], 0.05)), "")</f>
        <v>0</v>
      </c>
      <c r="AE35" s="322">
        <f>IFERROR(MROUND(tblPiNAnalysis512[[#This Row],[CP]]/tblPiNAnalysis512[[#This Row],[Affected population projection 2026]], 0.05), "")</f>
        <v>0</v>
      </c>
      <c r="AF35" s="322">
        <f>IFERROR(MROUND(tblPiNAnalysis512[[#This Row],[GBV]]/tblPiNAnalysis512[[#This Row],[Affected population projection 2026]], 0.05), "")</f>
        <v>0</v>
      </c>
      <c r="AG35" s="322">
        <f>IFERROR(MROUND(tblPiNAnalysis512[[#This Row],[Mine Action]]/tblPiNAnalysis512[[#This Row],[Affected population projection 2026]], 0.05), "")</f>
        <v>0</v>
      </c>
      <c r="AH35" s="322">
        <f>IFERROR(MROUND(tblPiNAnalysis512[[#This Row],[HLP]]/tblPiNAnalysis512[[#This Row],[Affected population projection 2026]], 0.05), "")</f>
        <v>0</v>
      </c>
      <c r="AI35" s="325">
        <f>IFERROR(LARGE(tblPiNAnalysis512[[#This Row],[CCCM]:[WASH]], 1), "")</f>
        <v>0</v>
      </c>
      <c r="AJ35" s="326" t="str" cm="1">
        <f t="array" ref="AJ35">IF(tblPiNAnalysis512[[#This Row],[Highest Target]]="", "", _xlfn.TEXTJOIN(CHAR(10), TRUE, IF(tblPiNAnalysis512[[#This Row],[Highest Target]]=tblPiNAnalysis512[[#This Row],[CCCM]:[WASH]], tblPiNAnalysis512[[#Headers],[CCCM]:[WASH]], "")))</f>
        <v>CCCM
Education
Nutrition
Food Security
Health
Overarching Protection
Shelter
WASH</v>
      </c>
      <c r="AK35" s="327">
        <f>IF(tblPiNAnalysis512[[#This Row],[Highest Target]]="", "", tblPiNAnalysis512[[#This Row],[Highest Target]]/tblPiNAnalysis512[[#This Row],[Affected population projection 2026]])</f>
        <v>0</v>
      </c>
      <c r="AL35" s="328" t="str">
        <f>IF(SUM(tblPiNAnalysis512[[#This Row],[CCCM]:[WASH]])=0, "",IF(COUNTIF(tblPiNAnalysis512[[#This Row],[CCCM]:[WASH]],"=0")+COUNTIF(tblPiNAnalysis512[[#This Row],[CCCM]:[WASH]],"")&gt;=zero_pin_thresh, "Flagged", ""))</f>
        <v/>
      </c>
      <c r="AM35" s="329" t="str">
        <f>IFERROR(IF(tblPiNAnalysis512[[#This Row],[Highest Target]]="", "", IF(tblPiNAnalysis512[[#This Row],[Highest sector(s'') Target %]]&gt;=flag_pin_perc, "Flagged", "")), "")</f>
        <v/>
      </c>
      <c r="AN35" s="330" t="str" cm="1">
        <f t="array" ref="AN35">IF(tblPiNAnalysis512[[#This Row],[Highest Target]]=0, "",  IF(OR(COUNTIF(tblPiNAnalysis512[[#This Row],[Highest sector(s)]],tblSubSectorPopulation[Sector])), "Flagged", ""))</f>
        <v/>
      </c>
      <c r="AO35" s="46" cm="1">
        <f t="array" ref="AO3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5" s="331" t="str" cm="1">
        <f t="array" ref="AP35">IF(tblPiNAnalysis512[[#This Row],[2nd Highest Target]]="", "", _xlfn.TEXTJOIN(CHAR(10), TRUE, IF(tblPiNAnalysis512[[#This Row],[2nd Highest Target]]=tblPiNAnalysis512[[#This Row],[CCCM]:[WASH]], tblPiNAnalysis512[[#Headers],[CCCM]:[WASH]], "")))</f>
        <v>CCCM
Education
Nutrition
Food Security
Health
Overarching Protection
Shelter
WASH</v>
      </c>
      <c r="AQ35" s="36">
        <f>IFERROR(tblPiNAnalysis512[[#This Row],[2nd Highest Target]]/tblPiNAnalysis512[[#This Row],[Affected population projection 2026]], "")</f>
        <v>0</v>
      </c>
      <c r="AR35" s="46">
        <f>IFERROR(tblPiNAnalysis512[[#This Row],[Highest Target]]-tblPiNAnalysis512[[#This Row],[2nd Highest Target]], "")</f>
        <v>0</v>
      </c>
      <c r="AS35" s="39" t="str">
        <f>IFERROR(((tblPiNAnalysis512[[#This Row],[Highest Target]]-tblPiNAnalysis512[[#This Row],[2nd Highest Target]])/tblPiNAnalysis512[[#This Row],[2nd Highest Target]]),"")</f>
        <v/>
      </c>
      <c r="AT35" s="39" t="str" cm="1">
        <f t="array" ref="AT3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5" s="332" cm="1">
        <f t="array" ref="AU3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5" s="190" t="str" cm="1">
        <f t="array" ref="AV35">IF(tblPiNAnalysis512[[#This Row],[3rd Highest Target]]="", "", _xlfn.TEXTJOIN(CHAR(10), TRUE, IF(tblPiNAnalysis512[[#This Row],[3rd Highest Target]]=tblPiNAnalysis512[[#This Row],[CCCM]:[WASH]], tblPiNAnalysis512[[#Headers],[CCCM]:[WASH]], "")))</f>
        <v>CCCM
Education
Nutrition
Food Security
Health
Overarching Protection
Shelter
WASH</v>
      </c>
      <c r="AW35" s="190">
        <f>IFERROR(tblPiNAnalysis512[[#This Row],[3rd Highest Target]]/tblPiNAnalysis512[[#This Row],[Affected population projection 2026]], "")</f>
        <v>0</v>
      </c>
      <c r="AX35" s="45">
        <f>IFERROR(tblPiNAnalysis512[[#This Row],[Highest Target]]-tblPiNAnalysis512[[#This Row],[3rd Highest Target]],"")</f>
        <v>0</v>
      </c>
      <c r="AY35" s="39" t="str">
        <f>IFERROR(tblPiNAnalysis512[[#This Row],[Difference of Target between Highest and 3rd Highest]]/tblPiNAnalysis512[[#This Row],[3rd Highest Target]], "")</f>
        <v/>
      </c>
      <c r="AZ35" s="330" t="str" cm="1">
        <f t="array" ref="AZ3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5" s="300" t="str" cm="1">
        <f t="array" ref="BA3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5" s="333" t="str" cm="1">
        <f t="array" ref="BB3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5" s="276" t="str" cm="1">
        <f t="array" ref="BC3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5" s="334" t="str" cm="1">
        <f t="array" ref="BD3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5" s="277" t="e">
        <f>INDEX(tblSeverityAnalysis[Final Severity], MATCH(tblPiNAnalysis512[[#This Row],[ID]],tblSeverityAnalysis[ID], 0))</f>
        <v>#N/A</v>
      </c>
      <c r="BF35" s="61" t="e">
        <f>IF(tblPiNAnalysis512[[#This Row],[Severity]]&gt;2,tblPiNAnalysis512[[#This Row],[Highest Target]],)</f>
        <v>#N/A</v>
      </c>
      <c r="BG35" s="191"/>
      <c r="BH35" s="192"/>
      <c r="BI35" s="193">
        <f>COUNTIFS(tblPiNAnalysis512[[#This Row],[Number of missing / zero PiNs greater than threshold - Data quality]:[Manual Flag]],"Flagged")</f>
        <v>2</v>
      </c>
      <c r="BJ35" s="96" t="str">
        <f>IF(tblPiNAnalysis512[[#This Row],['# Flags]]&gt;0, "Flagged", "")</f>
        <v>Flagged</v>
      </c>
      <c r="BK35" s="326" t="e">
        <f>tblPiNAnalysis512[[#This Row],[Preliminary Target]]</f>
        <v>#N/A</v>
      </c>
      <c r="BL35" s="331">
        <v>5</v>
      </c>
    </row>
    <row r="36" spans="1:64" x14ac:dyDescent="0.55000000000000004">
      <c r="A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6" s="316" t="s">
        <v>292</v>
      </c>
      <c r="C36" s="317" t="s">
        <v>293</v>
      </c>
      <c r="D36" s="317" t="s">
        <v>306</v>
      </c>
      <c r="E36" s="105" t="s">
        <v>307</v>
      </c>
      <c r="F36" s="100"/>
      <c r="G36" s="34"/>
      <c r="H36" s="34"/>
      <c r="I36" s="97">
        <v>23378.692739825943</v>
      </c>
      <c r="J36" s="97" t="s">
        <v>412</v>
      </c>
      <c r="K36" s="261"/>
      <c r="L36" s="319"/>
      <c r="M36" s="319"/>
      <c r="N36" s="319"/>
      <c r="O36" s="319"/>
      <c r="P36" s="319"/>
      <c r="Q36" s="320"/>
      <c r="R36" s="319"/>
      <c r="S36" s="319"/>
      <c r="T36" s="319"/>
      <c r="U36" s="319"/>
      <c r="V36" s="319"/>
      <c r="W36" s="321" t="str">
        <f>IFERROR(IF(tblPiNAnalysis512[[#This Row],[CCCM]]="", "", MROUND(tblPiNAnalysis512[[#This Row],[CCCM]]/tblPiNAnalysis512[[#This Row],[Affected population projection 2026]], 0.05)), "")</f>
        <v/>
      </c>
      <c r="X36" s="322" t="str">
        <f>IFERROR(IF(tblPiNAnalysis512[[#This Row],[Education]]="", "", MROUND(tblPiNAnalysis512[[#This Row],[Education]]/tblPiNAnalysis512[[#This Row],[Affected population projection 2026]], 0.05)), "")</f>
        <v/>
      </c>
      <c r="Y36" s="322" t="str">
        <f>IFERROR(IF(tblPiNAnalysis512[[#This Row],[Nutrition]]="", "", MROUND(tblPiNAnalysis512[[#This Row],[Nutrition]]/tblPiNAnalysis512[[#This Row],[Affected population projection 2026]], 0.05)), "")</f>
        <v/>
      </c>
      <c r="Z36" s="322" t="str">
        <f>IFERROR(IF(tblPiNAnalysis512[[#This Row],[Food Security]]="", "", MROUND(tblPiNAnalysis512[[#This Row],[Food Security]]/tblPiNAnalysis512[[#This Row],[Affected population projection 2026]], 0.05)), "")</f>
        <v/>
      </c>
      <c r="AA36" s="322" t="str">
        <f>IFERROR(IF(tblPiNAnalysis512[[#This Row],[Health]]="", "", MROUND(tblPiNAnalysis512[[#This Row],[Health]]/tblPiNAnalysis512[[#This Row],[Affected population projection 2026]], 0.05)), "")</f>
        <v/>
      </c>
      <c r="AB36" s="323" t="str">
        <f>IFERROR(IF(tblPiNAnalysis512[[#This Row],[Overarching Protection]]="", "", MROUND(tblPiNAnalysis512[[#This Row],[Overarching Protection]]/tblPiNAnalysis512[[#This Row],[Affected population projection 2026]], 0.05)), "")</f>
        <v/>
      </c>
      <c r="AC36" s="323" t="str">
        <f>IFERROR(IF(tblPiNAnalysis512[[#This Row],[Shelter]]="", "", MROUND(tblPiNAnalysis512[[#This Row],[Shelter]]/tblPiNAnalysis512[[#This Row],[Affected population projection 2026]], 0.05)), "")</f>
        <v/>
      </c>
      <c r="AD36" s="324" t="str">
        <f>IFERROR(IF(tblPiNAnalysis512[[#This Row],[WASH]]="", "", MROUND(tblPiNAnalysis512[[#This Row],[WASH]]/tblPiNAnalysis512[[#This Row],[Affected population projection 2026]], 0.05)), "")</f>
        <v/>
      </c>
      <c r="AE36" s="322">
        <f>IFERROR(MROUND(tblPiNAnalysis512[[#This Row],[CP]]/tblPiNAnalysis512[[#This Row],[Affected population projection 2026]], 0.05), "")</f>
        <v>0</v>
      </c>
      <c r="AF36" s="322">
        <f>IFERROR(MROUND(tblPiNAnalysis512[[#This Row],[GBV]]/tblPiNAnalysis512[[#This Row],[Affected population projection 2026]], 0.05), "")</f>
        <v>0</v>
      </c>
      <c r="AG36" s="322">
        <f>IFERROR(MROUND(tblPiNAnalysis512[[#This Row],[Mine Action]]/tblPiNAnalysis512[[#This Row],[Affected population projection 2026]], 0.05), "")</f>
        <v>0</v>
      </c>
      <c r="AH36" s="322">
        <f>IFERROR(MROUND(tblPiNAnalysis512[[#This Row],[HLP]]/tblPiNAnalysis512[[#This Row],[Affected population projection 2026]], 0.05), "")</f>
        <v>0</v>
      </c>
      <c r="AI36" s="325" t="str">
        <f>IFERROR(LARGE(tblPiNAnalysis512[[#This Row],[CCCM]:[WASH]], 1), "")</f>
        <v/>
      </c>
      <c r="AJ36" s="326" t="str" cm="1">
        <f t="array" ref="AJ36">IF(tblPiNAnalysis512[[#This Row],[Highest Target]]="", "", _xlfn.TEXTJOIN(CHAR(10), TRUE, IF(tblPiNAnalysis512[[#This Row],[Highest Target]]=tblPiNAnalysis512[[#This Row],[CCCM]:[WASH]], tblPiNAnalysis512[[#Headers],[CCCM]:[WASH]], "")))</f>
        <v/>
      </c>
      <c r="AK36" s="327" t="str">
        <f>IF(tblPiNAnalysis512[[#This Row],[Highest Target]]="", "", tblPiNAnalysis512[[#This Row],[Highest Target]]/tblPiNAnalysis512[[#This Row],[Affected population projection 2026]])</f>
        <v/>
      </c>
      <c r="AL36" s="328" t="str">
        <f>IF(SUM(tblPiNAnalysis512[[#This Row],[CCCM]:[WASH]])=0, "",IF(COUNTIF(tblPiNAnalysis512[[#This Row],[CCCM]:[WASH]],"=0")+COUNTIF(tblPiNAnalysis512[[#This Row],[CCCM]:[WASH]],"")&gt;=zero_pin_thresh, "Flagged", ""))</f>
        <v/>
      </c>
      <c r="AM36" s="329" t="str">
        <f>IFERROR(IF(tblPiNAnalysis512[[#This Row],[Highest Target]]="", "", IF(tblPiNAnalysis512[[#This Row],[Highest sector(s'') Target %]]&gt;=flag_pin_perc, "Flagged", "")), "")</f>
        <v/>
      </c>
      <c r="AN36" s="330" t="str" cm="1">
        <f t="array" ref="AN36">IF(tblPiNAnalysis512[[#This Row],[Highest Target]]=0, "",  IF(OR(COUNTIF(tblPiNAnalysis512[[#This Row],[Highest sector(s)]],tblSubSectorPopulation[Sector])), "Flagged", ""))</f>
        <v/>
      </c>
      <c r="AO36" s="46" t="str" cm="1">
        <f t="array" ref="AO3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36" s="331" t="str" cm="1">
        <f t="array" ref="AP36">IF(tblPiNAnalysis512[[#This Row],[2nd Highest Target]]="", "", _xlfn.TEXTJOIN(CHAR(10), TRUE, IF(tblPiNAnalysis512[[#This Row],[2nd Highest Target]]=tblPiNAnalysis512[[#This Row],[CCCM]:[WASH]], tblPiNAnalysis512[[#Headers],[CCCM]:[WASH]], "")))</f>
        <v/>
      </c>
      <c r="AQ36" s="36" t="str">
        <f>IFERROR(tblPiNAnalysis512[[#This Row],[2nd Highest Target]]/tblPiNAnalysis512[[#This Row],[Affected population projection 2026]], "")</f>
        <v/>
      </c>
      <c r="AR36" s="46" t="str">
        <f>IFERROR(tblPiNAnalysis512[[#This Row],[Highest Target]]-tblPiNAnalysis512[[#This Row],[2nd Highest Target]], "")</f>
        <v/>
      </c>
      <c r="AS36" s="39" t="str">
        <f>IFERROR(((tblPiNAnalysis512[[#This Row],[Highest Target]]-tblPiNAnalysis512[[#This Row],[2nd Highest Target]])/tblPiNAnalysis512[[#This Row],[2nd Highest Target]]),"")</f>
        <v/>
      </c>
      <c r="AT36" s="39" t="str" cm="1">
        <f t="array" ref="AT3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6" s="332" t="str" cm="1">
        <f t="array" ref="AU3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36" s="190" t="str" cm="1">
        <f t="array" ref="AV36">IF(tblPiNAnalysis512[[#This Row],[3rd Highest Target]]="", "", _xlfn.TEXTJOIN(CHAR(10), TRUE, IF(tblPiNAnalysis512[[#This Row],[3rd Highest Target]]=tblPiNAnalysis512[[#This Row],[CCCM]:[WASH]], tblPiNAnalysis512[[#Headers],[CCCM]:[WASH]], "")))</f>
        <v/>
      </c>
      <c r="AW36" s="190" t="str">
        <f>IFERROR(tblPiNAnalysis512[[#This Row],[3rd Highest Target]]/tblPiNAnalysis512[[#This Row],[Affected population projection 2026]], "")</f>
        <v/>
      </c>
      <c r="AX36" s="45" t="str">
        <f>IFERROR(tblPiNAnalysis512[[#This Row],[Highest Target]]-tblPiNAnalysis512[[#This Row],[3rd Highest Target]],"")</f>
        <v/>
      </c>
      <c r="AY36" s="39" t="str">
        <f>IFERROR(tblPiNAnalysis512[[#This Row],[Difference of Target between Highest and 3rd Highest]]/tblPiNAnalysis512[[#This Row],[3rd Highest Target]], "")</f>
        <v/>
      </c>
      <c r="AZ36" s="330" t="str" cm="1">
        <f t="array" ref="AZ3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6" s="300" t="str" cm="1">
        <f t="array" ref="BA3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6" s="333" t="str" cm="1">
        <f t="array" ref="BB3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6" s="276" t="str" cm="1">
        <f t="array" ref="BC3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6" s="334" t="str" cm="1">
        <f t="array" ref="BD3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6" s="277" t="e">
        <f>INDEX(tblSeverityAnalysis[Final Severity], MATCH(tblPiNAnalysis512[[#This Row],[ID]],tblSeverityAnalysis[ID], 0))</f>
        <v>#N/A</v>
      </c>
      <c r="BF36" s="61" t="e">
        <f>IF(tblPiNAnalysis512[[#This Row],[Severity]]&gt;2,tblPiNAnalysis512[[#This Row],[Highest Target]],)</f>
        <v>#N/A</v>
      </c>
      <c r="BG36" s="191"/>
      <c r="BH36" s="192"/>
      <c r="BI36" s="193">
        <f>COUNTIFS(tblPiNAnalysis512[[#This Row],[Number of missing / zero PiNs greater than threshold - Data quality]:[Manual Flag]],"Flagged")</f>
        <v>2</v>
      </c>
      <c r="BJ36" s="96" t="str">
        <f>IF(tblPiNAnalysis512[[#This Row],['# Flags]]&gt;0, "Flagged", "")</f>
        <v>Flagged</v>
      </c>
      <c r="BK36" s="326" t="e">
        <f>tblPiNAnalysis512[[#This Row],[Preliminary Target]]</f>
        <v>#N/A</v>
      </c>
      <c r="BL36" s="331">
        <v>3</v>
      </c>
    </row>
    <row r="37" spans="1:64" ht="110.7" x14ac:dyDescent="0.55000000000000004">
      <c r="A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7" s="316" t="s">
        <v>292</v>
      </c>
      <c r="C37" s="317" t="s">
        <v>293</v>
      </c>
      <c r="D37" s="317" t="s">
        <v>308</v>
      </c>
      <c r="E37" s="105" t="s">
        <v>309</v>
      </c>
      <c r="F37" s="100"/>
      <c r="G37" s="34"/>
      <c r="H37" s="34"/>
      <c r="I37" s="97">
        <v>11657.898587687116</v>
      </c>
      <c r="J37" s="97" t="s">
        <v>412</v>
      </c>
      <c r="K37" s="261">
        <v>0</v>
      </c>
      <c r="L37" s="319">
        <v>0</v>
      </c>
      <c r="M37" s="319">
        <v>0</v>
      </c>
      <c r="N37" s="319">
        <v>0</v>
      </c>
      <c r="O37" s="319">
        <v>0</v>
      </c>
      <c r="P37" s="319">
        <v>0</v>
      </c>
      <c r="Q37" s="320">
        <v>0</v>
      </c>
      <c r="R37" s="319">
        <v>0</v>
      </c>
      <c r="S37" s="319"/>
      <c r="T37" s="319"/>
      <c r="U37" s="319"/>
      <c r="V37" s="319"/>
      <c r="W37" s="321">
        <f>IFERROR(IF(tblPiNAnalysis512[[#This Row],[CCCM]]="", "", MROUND(tblPiNAnalysis512[[#This Row],[CCCM]]/tblPiNAnalysis512[[#This Row],[Affected population projection 2026]], 0.05)), "")</f>
        <v>0</v>
      </c>
      <c r="X37" s="322">
        <f>IFERROR(IF(tblPiNAnalysis512[[#This Row],[Education]]="", "", MROUND(tblPiNAnalysis512[[#This Row],[Education]]/tblPiNAnalysis512[[#This Row],[Affected population projection 2026]], 0.05)), "")</f>
        <v>0</v>
      </c>
      <c r="Y37" s="322">
        <f>IFERROR(IF(tblPiNAnalysis512[[#This Row],[Nutrition]]="", "", MROUND(tblPiNAnalysis512[[#This Row],[Nutrition]]/tblPiNAnalysis512[[#This Row],[Affected population projection 2026]], 0.05)), "")</f>
        <v>0</v>
      </c>
      <c r="Z37" s="322">
        <f>IFERROR(IF(tblPiNAnalysis512[[#This Row],[Food Security]]="", "", MROUND(tblPiNAnalysis512[[#This Row],[Food Security]]/tblPiNAnalysis512[[#This Row],[Affected population projection 2026]], 0.05)), "")</f>
        <v>0</v>
      </c>
      <c r="AA37" s="322">
        <f>IFERROR(IF(tblPiNAnalysis512[[#This Row],[Health]]="", "", MROUND(tblPiNAnalysis512[[#This Row],[Health]]/tblPiNAnalysis512[[#This Row],[Affected population projection 2026]], 0.05)), "")</f>
        <v>0</v>
      </c>
      <c r="AB37" s="323">
        <f>IFERROR(IF(tblPiNAnalysis512[[#This Row],[Overarching Protection]]="", "", MROUND(tblPiNAnalysis512[[#This Row],[Overarching Protection]]/tblPiNAnalysis512[[#This Row],[Affected population projection 2026]], 0.05)), "")</f>
        <v>0</v>
      </c>
      <c r="AC37" s="323">
        <f>IFERROR(IF(tblPiNAnalysis512[[#This Row],[Shelter]]="", "", MROUND(tblPiNAnalysis512[[#This Row],[Shelter]]/tblPiNAnalysis512[[#This Row],[Affected population projection 2026]], 0.05)), "")</f>
        <v>0</v>
      </c>
      <c r="AD37" s="324">
        <f>IFERROR(IF(tblPiNAnalysis512[[#This Row],[WASH]]="", "", MROUND(tblPiNAnalysis512[[#This Row],[WASH]]/tblPiNAnalysis512[[#This Row],[Affected population projection 2026]], 0.05)), "")</f>
        <v>0</v>
      </c>
      <c r="AE37" s="322">
        <f>IFERROR(MROUND(tblPiNAnalysis512[[#This Row],[CP]]/tblPiNAnalysis512[[#This Row],[Affected population projection 2026]], 0.05), "")</f>
        <v>0</v>
      </c>
      <c r="AF37" s="322">
        <f>IFERROR(MROUND(tblPiNAnalysis512[[#This Row],[GBV]]/tblPiNAnalysis512[[#This Row],[Affected population projection 2026]], 0.05), "")</f>
        <v>0</v>
      </c>
      <c r="AG37" s="322">
        <f>IFERROR(MROUND(tblPiNAnalysis512[[#This Row],[Mine Action]]/tblPiNAnalysis512[[#This Row],[Affected population projection 2026]], 0.05), "")</f>
        <v>0</v>
      </c>
      <c r="AH37" s="322">
        <f>IFERROR(MROUND(tblPiNAnalysis512[[#This Row],[HLP]]/tblPiNAnalysis512[[#This Row],[Affected population projection 2026]], 0.05), "")</f>
        <v>0</v>
      </c>
      <c r="AI37" s="325">
        <f>IFERROR(LARGE(tblPiNAnalysis512[[#This Row],[CCCM]:[WASH]], 1), "")</f>
        <v>0</v>
      </c>
      <c r="AJ37" s="326" t="str" cm="1">
        <f t="array" ref="AJ37">IF(tblPiNAnalysis512[[#This Row],[Highest Target]]="", "", _xlfn.TEXTJOIN(CHAR(10), TRUE, IF(tblPiNAnalysis512[[#This Row],[Highest Target]]=tblPiNAnalysis512[[#This Row],[CCCM]:[WASH]], tblPiNAnalysis512[[#Headers],[CCCM]:[WASH]], "")))</f>
        <v>CCCM
Education
Nutrition
Food Security
Health
Overarching Protection
Shelter
WASH</v>
      </c>
      <c r="AK37" s="327">
        <f>IF(tblPiNAnalysis512[[#This Row],[Highest Target]]="", "", tblPiNAnalysis512[[#This Row],[Highest Target]]/tblPiNAnalysis512[[#This Row],[Affected population projection 2026]])</f>
        <v>0</v>
      </c>
      <c r="AL37" s="328" t="str">
        <f>IF(SUM(tblPiNAnalysis512[[#This Row],[CCCM]:[WASH]])=0, "",IF(COUNTIF(tblPiNAnalysis512[[#This Row],[CCCM]:[WASH]],"=0")+COUNTIF(tblPiNAnalysis512[[#This Row],[CCCM]:[WASH]],"")&gt;=zero_pin_thresh, "Flagged", ""))</f>
        <v/>
      </c>
      <c r="AM37" s="329" t="str">
        <f>IFERROR(IF(tblPiNAnalysis512[[#This Row],[Highest Target]]="", "", IF(tblPiNAnalysis512[[#This Row],[Highest sector(s'') Target %]]&gt;=flag_pin_perc, "Flagged", "")), "")</f>
        <v/>
      </c>
      <c r="AN37" s="330" t="str" cm="1">
        <f t="array" ref="AN37">IF(tblPiNAnalysis512[[#This Row],[Highest Target]]=0, "",  IF(OR(COUNTIF(tblPiNAnalysis512[[#This Row],[Highest sector(s)]],tblSubSectorPopulation[Sector])), "Flagged", ""))</f>
        <v/>
      </c>
      <c r="AO37" s="46" cm="1">
        <f t="array" ref="AO3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7" s="331" t="str" cm="1">
        <f t="array" ref="AP37">IF(tblPiNAnalysis512[[#This Row],[2nd Highest Target]]="", "", _xlfn.TEXTJOIN(CHAR(10), TRUE, IF(tblPiNAnalysis512[[#This Row],[2nd Highest Target]]=tblPiNAnalysis512[[#This Row],[CCCM]:[WASH]], tblPiNAnalysis512[[#Headers],[CCCM]:[WASH]], "")))</f>
        <v>CCCM
Education
Nutrition
Food Security
Health
Overarching Protection
Shelter
WASH</v>
      </c>
      <c r="AQ37" s="36">
        <f>IFERROR(tblPiNAnalysis512[[#This Row],[2nd Highest Target]]/tblPiNAnalysis512[[#This Row],[Affected population projection 2026]], "")</f>
        <v>0</v>
      </c>
      <c r="AR37" s="46">
        <f>IFERROR(tblPiNAnalysis512[[#This Row],[Highest Target]]-tblPiNAnalysis512[[#This Row],[2nd Highest Target]], "")</f>
        <v>0</v>
      </c>
      <c r="AS37" s="39" t="str">
        <f>IFERROR(((tblPiNAnalysis512[[#This Row],[Highest Target]]-tblPiNAnalysis512[[#This Row],[2nd Highest Target]])/tblPiNAnalysis512[[#This Row],[2nd Highest Target]]),"")</f>
        <v/>
      </c>
      <c r="AT37" s="39" t="str" cm="1">
        <f t="array" ref="AT3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7" s="332" cm="1">
        <f t="array" ref="AU3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7" s="190" t="str" cm="1">
        <f t="array" ref="AV37">IF(tblPiNAnalysis512[[#This Row],[3rd Highest Target]]="", "", _xlfn.TEXTJOIN(CHAR(10), TRUE, IF(tblPiNAnalysis512[[#This Row],[3rd Highest Target]]=tblPiNAnalysis512[[#This Row],[CCCM]:[WASH]], tblPiNAnalysis512[[#Headers],[CCCM]:[WASH]], "")))</f>
        <v>CCCM
Education
Nutrition
Food Security
Health
Overarching Protection
Shelter
WASH</v>
      </c>
      <c r="AW37" s="190">
        <f>IFERROR(tblPiNAnalysis512[[#This Row],[3rd Highest Target]]/tblPiNAnalysis512[[#This Row],[Affected population projection 2026]], "")</f>
        <v>0</v>
      </c>
      <c r="AX37" s="45">
        <f>IFERROR(tblPiNAnalysis512[[#This Row],[Highest Target]]-tblPiNAnalysis512[[#This Row],[3rd Highest Target]],"")</f>
        <v>0</v>
      </c>
      <c r="AY37" s="39" t="str">
        <f>IFERROR(tblPiNAnalysis512[[#This Row],[Difference of Target between Highest and 3rd Highest]]/tblPiNAnalysis512[[#This Row],[3rd Highest Target]], "")</f>
        <v/>
      </c>
      <c r="AZ37" s="330" t="str" cm="1">
        <f t="array" ref="AZ3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7" s="300" t="str" cm="1">
        <f t="array" ref="BA3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7" s="333" t="str" cm="1">
        <f t="array" ref="BB3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7" s="276" t="str" cm="1">
        <f t="array" ref="BC3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7" s="334" t="str" cm="1">
        <f t="array" ref="BD3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7" s="277" t="e">
        <f>INDEX(tblSeverityAnalysis[Final Severity], MATCH(tblPiNAnalysis512[[#This Row],[ID]],tblSeverityAnalysis[ID], 0))</f>
        <v>#N/A</v>
      </c>
      <c r="BF37" s="61" t="e">
        <f>IF(tblPiNAnalysis512[[#This Row],[Severity]]&gt;2,tblPiNAnalysis512[[#This Row],[Highest Target]],)</f>
        <v>#N/A</v>
      </c>
      <c r="BG37" s="191"/>
      <c r="BH37" s="192"/>
      <c r="BI37" s="193">
        <f>COUNTIFS(tblPiNAnalysis512[[#This Row],[Number of missing / zero PiNs greater than threshold - Data quality]:[Manual Flag]],"Flagged")</f>
        <v>2</v>
      </c>
      <c r="BJ37" s="96" t="str">
        <f>IF(tblPiNAnalysis512[[#This Row],['# Flags]]&gt;0, "Flagged", "")</f>
        <v>Flagged</v>
      </c>
      <c r="BK37" s="326" t="e">
        <f>tblPiNAnalysis512[[#This Row],[Preliminary Target]]</f>
        <v>#N/A</v>
      </c>
      <c r="BL37" s="331">
        <v>4</v>
      </c>
    </row>
    <row r="38" spans="1:64" ht="110.7" x14ac:dyDescent="0.55000000000000004">
      <c r="A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8" s="316" t="s">
        <v>310</v>
      </c>
      <c r="C38" s="317" t="s">
        <v>311</v>
      </c>
      <c r="D38" s="317" t="s">
        <v>312</v>
      </c>
      <c r="E38" s="105" t="s">
        <v>313</v>
      </c>
      <c r="F38" s="100"/>
      <c r="G38" s="34"/>
      <c r="H38" s="34"/>
      <c r="I38" s="97">
        <v>8794.7895188948787</v>
      </c>
      <c r="J38" s="97" t="s">
        <v>412</v>
      </c>
      <c r="K38" s="261">
        <v>0</v>
      </c>
      <c r="L38" s="319">
        <v>0</v>
      </c>
      <c r="M38" s="319">
        <v>0</v>
      </c>
      <c r="N38" s="319">
        <v>0</v>
      </c>
      <c r="O38" s="319">
        <v>0</v>
      </c>
      <c r="P38" s="319">
        <v>0</v>
      </c>
      <c r="Q38" s="320">
        <v>0</v>
      </c>
      <c r="R38" s="319">
        <v>0</v>
      </c>
      <c r="S38" s="319"/>
      <c r="T38" s="319"/>
      <c r="U38" s="319"/>
      <c r="V38" s="319"/>
      <c r="W38" s="321">
        <f>IFERROR(IF(tblPiNAnalysis512[[#This Row],[CCCM]]="", "", MROUND(tblPiNAnalysis512[[#This Row],[CCCM]]/tblPiNAnalysis512[[#This Row],[Affected population projection 2026]], 0.05)), "")</f>
        <v>0</v>
      </c>
      <c r="X38" s="322">
        <f>IFERROR(IF(tblPiNAnalysis512[[#This Row],[Education]]="", "", MROUND(tblPiNAnalysis512[[#This Row],[Education]]/tblPiNAnalysis512[[#This Row],[Affected population projection 2026]], 0.05)), "")</f>
        <v>0</v>
      </c>
      <c r="Y38" s="322">
        <f>IFERROR(IF(tblPiNAnalysis512[[#This Row],[Nutrition]]="", "", MROUND(tblPiNAnalysis512[[#This Row],[Nutrition]]/tblPiNAnalysis512[[#This Row],[Affected population projection 2026]], 0.05)), "")</f>
        <v>0</v>
      </c>
      <c r="Z38" s="322">
        <f>IFERROR(IF(tblPiNAnalysis512[[#This Row],[Food Security]]="", "", MROUND(tblPiNAnalysis512[[#This Row],[Food Security]]/tblPiNAnalysis512[[#This Row],[Affected population projection 2026]], 0.05)), "")</f>
        <v>0</v>
      </c>
      <c r="AA38" s="322">
        <f>IFERROR(IF(tblPiNAnalysis512[[#This Row],[Health]]="", "", MROUND(tblPiNAnalysis512[[#This Row],[Health]]/tblPiNAnalysis512[[#This Row],[Affected population projection 2026]], 0.05)), "")</f>
        <v>0</v>
      </c>
      <c r="AB38" s="323">
        <f>IFERROR(IF(tblPiNAnalysis512[[#This Row],[Overarching Protection]]="", "", MROUND(tblPiNAnalysis512[[#This Row],[Overarching Protection]]/tblPiNAnalysis512[[#This Row],[Affected population projection 2026]], 0.05)), "")</f>
        <v>0</v>
      </c>
      <c r="AC38" s="323">
        <f>IFERROR(IF(tblPiNAnalysis512[[#This Row],[Shelter]]="", "", MROUND(tblPiNAnalysis512[[#This Row],[Shelter]]/tblPiNAnalysis512[[#This Row],[Affected population projection 2026]], 0.05)), "")</f>
        <v>0</v>
      </c>
      <c r="AD38" s="324">
        <f>IFERROR(IF(tblPiNAnalysis512[[#This Row],[WASH]]="", "", MROUND(tblPiNAnalysis512[[#This Row],[WASH]]/tblPiNAnalysis512[[#This Row],[Affected population projection 2026]], 0.05)), "")</f>
        <v>0</v>
      </c>
      <c r="AE38" s="322">
        <f>IFERROR(MROUND(tblPiNAnalysis512[[#This Row],[CP]]/tblPiNAnalysis512[[#This Row],[Affected population projection 2026]], 0.05), "")</f>
        <v>0</v>
      </c>
      <c r="AF38" s="322">
        <f>IFERROR(MROUND(tblPiNAnalysis512[[#This Row],[GBV]]/tblPiNAnalysis512[[#This Row],[Affected population projection 2026]], 0.05), "")</f>
        <v>0</v>
      </c>
      <c r="AG38" s="322">
        <f>IFERROR(MROUND(tblPiNAnalysis512[[#This Row],[Mine Action]]/tblPiNAnalysis512[[#This Row],[Affected population projection 2026]], 0.05), "")</f>
        <v>0</v>
      </c>
      <c r="AH38" s="322">
        <f>IFERROR(MROUND(tblPiNAnalysis512[[#This Row],[HLP]]/tblPiNAnalysis512[[#This Row],[Affected population projection 2026]], 0.05), "")</f>
        <v>0</v>
      </c>
      <c r="AI38" s="325">
        <f>IFERROR(LARGE(tblPiNAnalysis512[[#This Row],[CCCM]:[WASH]], 1), "")</f>
        <v>0</v>
      </c>
      <c r="AJ38" s="326" t="str" cm="1">
        <f t="array" ref="AJ38">IF(tblPiNAnalysis512[[#This Row],[Highest Target]]="", "", _xlfn.TEXTJOIN(CHAR(10), TRUE, IF(tblPiNAnalysis512[[#This Row],[Highest Target]]=tblPiNAnalysis512[[#This Row],[CCCM]:[WASH]], tblPiNAnalysis512[[#Headers],[CCCM]:[WASH]], "")))</f>
        <v>CCCM
Education
Nutrition
Food Security
Health
Overarching Protection
Shelter
WASH</v>
      </c>
      <c r="AK38" s="327">
        <f>IF(tblPiNAnalysis512[[#This Row],[Highest Target]]="", "", tblPiNAnalysis512[[#This Row],[Highest Target]]/tblPiNAnalysis512[[#This Row],[Affected population projection 2026]])</f>
        <v>0</v>
      </c>
      <c r="AL38" s="328" t="str">
        <f>IF(SUM(tblPiNAnalysis512[[#This Row],[CCCM]:[WASH]])=0, "",IF(COUNTIF(tblPiNAnalysis512[[#This Row],[CCCM]:[WASH]],"=0")+COUNTIF(tblPiNAnalysis512[[#This Row],[CCCM]:[WASH]],"")&gt;=zero_pin_thresh, "Flagged", ""))</f>
        <v/>
      </c>
      <c r="AM38" s="329" t="str">
        <f>IFERROR(IF(tblPiNAnalysis512[[#This Row],[Highest Target]]="", "", IF(tblPiNAnalysis512[[#This Row],[Highest sector(s'') Target %]]&gt;=flag_pin_perc, "Flagged", "")), "")</f>
        <v/>
      </c>
      <c r="AN38" s="330" t="str" cm="1">
        <f t="array" ref="AN38">IF(tblPiNAnalysis512[[#This Row],[Highest Target]]=0, "",  IF(OR(COUNTIF(tblPiNAnalysis512[[#This Row],[Highest sector(s)]],tblSubSectorPopulation[Sector])), "Flagged", ""))</f>
        <v/>
      </c>
      <c r="AO38" s="46" cm="1">
        <f t="array" ref="AO3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38" s="331" t="str" cm="1">
        <f t="array" ref="AP38">IF(tblPiNAnalysis512[[#This Row],[2nd Highest Target]]="", "", _xlfn.TEXTJOIN(CHAR(10), TRUE, IF(tblPiNAnalysis512[[#This Row],[2nd Highest Target]]=tblPiNAnalysis512[[#This Row],[CCCM]:[WASH]], tblPiNAnalysis512[[#Headers],[CCCM]:[WASH]], "")))</f>
        <v>CCCM
Education
Nutrition
Food Security
Health
Overarching Protection
Shelter
WASH</v>
      </c>
      <c r="AQ38" s="36">
        <f>IFERROR(tblPiNAnalysis512[[#This Row],[2nd Highest Target]]/tblPiNAnalysis512[[#This Row],[Affected population projection 2026]], "")</f>
        <v>0</v>
      </c>
      <c r="AR38" s="46">
        <f>IFERROR(tblPiNAnalysis512[[#This Row],[Highest Target]]-tblPiNAnalysis512[[#This Row],[2nd Highest Target]], "")</f>
        <v>0</v>
      </c>
      <c r="AS38" s="39" t="str">
        <f>IFERROR(((tblPiNAnalysis512[[#This Row],[Highest Target]]-tblPiNAnalysis512[[#This Row],[2nd Highest Target]])/tblPiNAnalysis512[[#This Row],[2nd Highest Target]]),"")</f>
        <v/>
      </c>
      <c r="AT38" s="39" t="str" cm="1">
        <f t="array" ref="AT3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38" s="332" cm="1">
        <f t="array" ref="AU3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38" s="190" t="str" cm="1">
        <f t="array" ref="AV38">IF(tblPiNAnalysis512[[#This Row],[3rd Highest Target]]="", "", _xlfn.TEXTJOIN(CHAR(10), TRUE, IF(tblPiNAnalysis512[[#This Row],[3rd Highest Target]]=tblPiNAnalysis512[[#This Row],[CCCM]:[WASH]], tblPiNAnalysis512[[#Headers],[CCCM]:[WASH]], "")))</f>
        <v>CCCM
Education
Nutrition
Food Security
Health
Overarching Protection
Shelter
WASH</v>
      </c>
      <c r="AW38" s="190">
        <f>IFERROR(tblPiNAnalysis512[[#This Row],[3rd Highest Target]]/tblPiNAnalysis512[[#This Row],[Affected population projection 2026]], "")</f>
        <v>0</v>
      </c>
      <c r="AX38" s="45">
        <f>IFERROR(tblPiNAnalysis512[[#This Row],[Highest Target]]-tblPiNAnalysis512[[#This Row],[3rd Highest Target]],"")</f>
        <v>0</v>
      </c>
      <c r="AY38" s="39" t="str">
        <f>IFERROR(tblPiNAnalysis512[[#This Row],[Difference of Target between Highest and 3rd Highest]]/tblPiNAnalysis512[[#This Row],[3rd Highest Target]], "")</f>
        <v/>
      </c>
      <c r="AZ38" s="330" t="str" cm="1">
        <f t="array" ref="AZ3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8" s="300" t="str" cm="1">
        <f t="array" ref="BA3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8" s="333" t="str" cm="1">
        <f t="array" ref="BB3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8" s="276" t="str" cm="1">
        <f t="array" ref="BC3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8" s="334" t="str" cm="1">
        <f t="array" ref="BD3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38" s="277" t="e">
        <f>INDEX(tblSeverityAnalysis[Final Severity], MATCH(tblPiNAnalysis512[[#This Row],[ID]],tblSeverityAnalysis[ID], 0))</f>
        <v>#N/A</v>
      </c>
      <c r="BF38" s="61" t="e">
        <f>IF(tblPiNAnalysis512[[#This Row],[Severity]]&gt;2,tblPiNAnalysis512[[#This Row],[Highest Target]],)</f>
        <v>#N/A</v>
      </c>
      <c r="BG38" s="191"/>
      <c r="BH38" s="192"/>
      <c r="BI38" s="193">
        <f>COUNTIFS(tblPiNAnalysis512[[#This Row],[Number of missing / zero PiNs greater than threshold - Data quality]:[Manual Flag]],"Flagged")</f>
        <v>2</v>
      </c>
      <c r="BJ38" s="96" t="str">
        <f>IF(tblPiNAnalysis512[[#This Row],['# Flags]]&gt;0, "Flagged", "")</f>
        <v>Flagged</v>
      </c>
      <c r="BK38" s="326" t="e">
        <f>tblPiNAnalysis512[[#This Row],[Preliminary Target]]</f>
        <v>#N/A</v>
      </c>
      <c r="BL38" s="331">
        <v>4</v>
      </c>
    </row>
    <row r="39" spans="1:64" x14ac:dyDescent="0.55000000000000004">
      <c r="A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9" s="316" t="s">
        <v>310</v>
      </c>
      <c r="C39" s="317" t="s">
        <v>311</v>
      </c>
      <c r="D39" s="317" t="s">
        <v>314</v>
      </c>
      <c r="E39" s="105" t="s">
        <v>315</v>
      </c>
      <c r="F39" s="100"/>
      <c r="G39" s="34"/>
      <c r="H39" s="34"/>
      <c r="I39" s="97">
        <v>56514.282244133567</v>
      </c>
      <c r="J39" s="97" t="s">
        <v>412</v>
      </c>
      <c r="K39" s="261">
        <v>25316</v>
      </c>
      <c r="L39" s="319">
        <v>20725.79920737167</v>
      </c>
      <c r="M39" s="319">
        <v>12364.891220805526</v>
      </c>
      <c r="N39" s="319">
        <v>24921.190568923557</v>
      </c>
      <c r="O39" s="319">
        <v>21485.996491867601</v>
      </c>
      <c r="P39" s="319">
        <v>24968.08291058004</v>
      </c>
      <c r="Q39" s="320">
        <v>33313.682164962942</v>
      </c>
      <c r="R39" s="319">
        <v>6075.8667639011928</v>
      </c>
      <c r="S39" s="319"/>
      <c r="T39" s="319"/>
      <c r="U39" s="319"/>
      <c r="V39" s="319"/>
      <c r="W39" s="321">
        <f>IFERROR(IF(tblPiNAnalysis512[[#This Row],[CCCM]]="", "", MROUND(tblPiNAnalysis512[[#This Row],[CCCM]]/tblPiNAnalysis512[[#This Row],[Affected population projection 2026]], 0.05)), "")</f>
        <v>0.45</v>
      </c>
      <c r="X39" s="322">
        <f>IFERROR(IF(tblPiNAnalysis512[[#This Row],[Education]]="", "", MROUND(tblPiNAnalysis512[[#This Row],[Education]]/tblPiNAnalysis512[[#This Row],[Affected population projection 2026]], 0.05)), "")</f>
        <v>0.35000000000000003</v>
      </c>
      <c r="Y39" s="322">
        <f>IFERROR(IF(tblPiNAnalysis512[[#This Row],[Nutrition]]="", "", MROUND(tblPiNAnalysis512[[#This Row],[Nutrition]]/tblPiNAnalysis512[[#This Row],[Affected population projection 2026]], 0.05)), "")</f>
        <v>0.2</v>
      </c>
      <c r="Z39" s="322">
        <f>IFERROR(IF(tblPiNAnalysis512[[#This Row],[Food Security]]="", "", MROUND(tblPiNAnalysis512[[#This Row],[Food Security]]/tblPiNAnalysis512[[#This Row],[Affected population projection 2026]], 0.05)), "")</f>
        <v>0.45</v>
      </c>
      <c r="AA39" s="322">
        <f>IFERROR(IF(tblPiNAnalysis512[[#This Row],[Health]]="", "", MROUND(tblPiNAnalysis512[[#This Row],[Health]]/tblPiNAnalysis512[[#This Row],[Affected population projection 2026]], 0.05)), "")</f>
        <v>0.4</v>
      </c>
      <c r="AB39" s="323">
        <f>IFERROR(IF(tblPiNAnalysis512[[#This Row],[Overarching Protection]]="", "", MROUND(tblPiNAnalysis512[[#This Row],[Overarching Protection]]/tblPiNAnalysis512[[#This Row],[Affected population projection 2026]], 0.05)), "")</f>
        <v>0.45</v>
      </c>
      <c r="AC39" s="323">
        <f>IFERROR(IF(tblPiNAnalysis512[[#This Row],[Shelter]]="", "", MROUND(tblPiNAnalysis512[[#This Row],[Shelter]]/tblPiNAnalysis512[[#This Row],[Affected population projection 2026]], 0.05)), "")</f>
        <v>0.60000000000000009</v>
      </c>
      <c r="AD39" s="324">
        <f>IFERROR(IF(tblPiNAnalysis512[[#This Row],[WASH]]="", "", MROUND(tblPiNAnalysis512[[#This Row],[WASH]]/tblPiNAnalysis512[[#This Row],[Affected population projection 2026]], 0.05)), "")</f>
        <v>0.1</v>
      </c>
      <c r="AE39" s="322">
        <f>IFERROR(MROUND(tblPiNAnalysis512[[#This Row],[CP]]/tblPiNAnalysis512[[#This Row],[Affected population projection 2026]], 0.05), "")</f>
        <v>0</v>
      </c>
      <c r="AF39" s="322">
        <f>IFERROR(MROUND(tblPiNAnalysis512[[#This Row],[GBV]]/tblPiNAnalysis512[[#This Row],[Affected population projection 2026]], 0.05), "")</f>
        <v>0</v>
      </c>
      <c r="AG39" s="322">
        <f>IFERROR(MROUND(tblPiNAnalysis512[[#This Row],[Mine Action]]/tblPiNAnalysis512[[#This Row],[Affected population projection 2026]], 0.05), "")</f>
        <v>0</v>
      </c>
      <c r="AH39" s="322">
        <f>IFERROR(MROUND(tblPiNAnalysis512[[#This Row],[HLP]]/tblPiNAnalysis512[[#This Row],[Affected population projection 2026]], 0.05), "")</f>
        <v>0</v>
      </c>
      <c r="AI39" s="325">
        <f>IFERROR(LARGE(tblPiNAnalysis512[[#This Row],[CCCM]:[WASH]], 1), "")</f>
        <v>33313.682164962942</v>
      </c>
      <c r="AJ39" s="326" t="str" cm="1">
        <f t="array" ref="AJ39">IF(tblPiNAnalysis512[[#This Row],[Highest Target]]="", "", _xlfn.TEXTJOIN(CHAR(10), TRUE, IF(tblPiNAnalysis512[[#This Row],[Highest Target]]=tblPiNAnalysis512[[#This Row],[CCCM]:[WASH]], tblPiNAnalysis512[[#Headers],[CCCM]:[WASH]], "")))</f>
        <v>Shelter</v>
      </c>
      <c r="AK39" s="327">
        <f>IF(tblPiNAnalysis512[[#This Row],[Highest Target]]="", "", tblPiNAnalysis512[[#This Row],[Highest Target]]/tblPiNAnalysis512[[#This Row],[Affected population projection 2026]])</f>
        <v>0.58947368421052626</v>
      </c>
      <c r="AL39" s="328" t="str">
        <f>IF(SUM(tblPiNAnalysis512[[#This Row],[CCCM]:[WASH]])=0, "",IF(COUNTIF(tblPiNAnalysis512[[#This Row],[CCCM]:[WASH]],"=0")+COUNTIF(tblPiNAnalysis512[[#This Row],[CCCM]:[WASH]],"")&gt;=zero_pin_thresh, "Flagged", ""))</f>
        <v/>
      </c>
      <c r="AM39" s="329" t="str">
        <f>IFERROR(IF(tblPiNAnalysis512[[#This Row],[Highest Target]]="", "", IF(tblPiNAnalysis512[[#This Row],[Highest sector(s'') Target %]]&gt;=flag_pin_perc, "Flagged", "")), "")</f>
        <v/>
      </c>
      <c r="AN39" s="330" t="str" cm="1">
        <f t="array" ref="AN39">IF(tblPiNAnalysis512[[#This Row],[Highest Target]]=0, "",  IF(OR(COUNTIF(tblPiNAnalysis512[[#This Row],[Highest sector(s)]],tblSubSectorPopulation[Sector])), "Flagged", ""))</f>
        <v/>
      </c>
      <c r="AO39" s="46" cm="1">
        <f t="array" ref="AO3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25316</v>
      </c>
      <c r="AP39" s="331" t="str" cm="1">
        <f t="array" ref="AP39">IF(tblPiNAnalysis512[[#This Row],[2nd Highest Target]]="", "", _xlfn.TEXTJOIN(CHAR(10), TRUE, IF(tblPiNAnalysis512[[#This Row],[2nd Highest Target]]=tblPiNAnalysis512[[#This Row],[CCCM]:[WASH]], tblPiNAnalysis512[[#Headers],[CCCM]:[WASH]], "")))</f>
        <v>CCCM</v>
      </c>
      <c r="AQ39" s="36">
        <f>IFERROR(tblPiNAnalysis512[[#This Row],[2nd Highest Target]]/tblPiNAnalysis512[[#This Row],[Affected population projection 2026]], "")</f>
        <v>0.4479575603674576</v>
      </c>
      <c r="AR39" s="46">
        <f>IFERROR(tblPiNAnalysis512[[#This Row],[Highest Target]]-tblPiNAnalysis512[[#This Row],[2nd Highest Target]], "")</f>
        <v>7997.6821649629419</v>
      </c>
      <c r="AS39" s="39">
        <f>IFERROR(((tblPiNAnalysis512[[#This Row],[Highest Target]]-tblPiNAnalysis512[[#This Row],[2nd Highest Target]])/tblPiNAnalysis512[[#This Row],[2nd Highest Target]]),"")</f>
        <v>0.31591413197041168</v>
      </c>
      <c r="AT39" s="39" t="str" cm="1">
        <f t="array" ref="AT3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39" s="332" cm="1">
        <f t="array" ref="AU3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24968.08291058004</v>
      </c>
      <c r="AV39" s="190" t="str" cm="1">
        <f t="array" ref="AV39">IF(tblPiNAnalysis512[[#This Row],[3rd Highest Target]]="", "", _xlfn.TEXTJOIN(CHAR(10), TRUE, IF(tblPiNAnalysis512[[#This Row],[3rd Highest Target]]=tblPiNAnalysis512[[#This Row],[CCCM]:[WASH]], tblPiNAnalysis512[[#Headers],[CCCM]:[WASH]], "")))</f>
        <v>Overarching Protection</v>
      </c>
      <c r="AW39" s="190">
        <f>IFERROR(tblPiNAnalysis512[[#This Row],[3rd Highest Target]]/tblPiNAnalysis512[[#This Row],[Affected population projection 2026]], "")</f>
        <v>0.44180129197645146</v>
      </c>
      <c r="AX39" s="45">
        <f>IFERROR(tblPiNAnalysis512[[#This Row],[Highest Target]]-tblPiNAnalysis512[[#This Row],[3rd Highest Target]],"")</f>
        <v>8345.5992543829016</v>
      </c>
      <c r="AY39" s="39">
        <f>IFERROR(tblPiNAnalysis512[[#This Row],[Difference of Target between Highest and 3rd Highest]]/tblPiNAnalysis512[[#This Row],[3rd Highest Target]], "")</f>
        <v>0.33425070255780492</v>
      </c>
      <c r="AZ39" s="330" t="str" cm="1">
        <f t="array" ref="AZ3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39" s="300" t="str" cm="1">
        <f t="array" ref="BA3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39" s="333" t="str" cm="1">
        <f t="array" ref="BB3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39" s="276" t="str" cm="1">
        <f t="array" ref="BC3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39" s="334" t="str" cm="1">
        <f t="array" ref="BD3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39" s="277" t="e">
        <f>INDEX(tblSeverityAnalysis[Final Severity], MATCH(tblPiNAnalysis512[[#This Row],[ID]],tblSeverityAnalysis[ID], 0))</f>
        <v>#N/A</v>
      </c>
      <c r="BF39" s="61" t="e">
        <f>IF(tblPiNAnalysis512[[#This Row],[Severity]]&gt;2,tblPiNAnalysis512[[#This Row],[Highest Target]],)</f>
        <v>#N/A</v>
      </c>
      <c r="BG39" s="191"/>
      <c r="BH39" s="192"/>
      <c r="BI39" s="193">
        <f>COUNTIFS(tblPiNAnalysis512[[#This Row],[Number of missing / zero PiNs greater than threshold - Data quality]:[Manual Flag]],"Flagged")</f>
        <v>2</v>
      </c>
      <c r="BJ39" s="96" t="str">
        <f>IF(tblPiNAnalysis512[[#This Row],['# Flags]]&gt;0, "Flagged", "")</f>
        <v>Flagged</v>
      </c>
      <c r="BK39" s="326" t="e">
        <f>tblPiNAnalysis512[[#This Row],[Preliminary Target]]</f>
        <v>#N/A</v>
      </c>
      <c r="BL39" s="331">
        <v>2</v>
      </c>
    </row>
    <row r="40" spans="1:64" ht="110.7" x14ac:dyDescent="0.55000000000000004">
      <c r="A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0" s="316" t="s">
        <v>310</v>
      </c>
      <c r="C40" s="317" t="s">
        <v>311</v>
      </c>
      <c r="D40" s="317" t="s">
        <v>316</v>
      </c>
      <c r="E40" s="105" t="s">
        <v>317</v>
      </c>
      <c r="F40" s="100"/>
      <c r="G40" s="34"/>
      <c r="H40" s="34"/>
      <c r="I40" s="97">
        <v>0</v>
      </c>
      <c r="J40" s="97" t="s">
        <v>412</v>
      </c>
      <c r="K40" s="261">
        <v>0</v>
      </c>
      <c r="L40" s="319">
        <v>0</v>
      </c>
      <c r="M40" s="319">
        <v>0</v>
      </c>
      <c r="N40" s="319">
        <v>0</v>
      </c>
      <c r="O40" s="319">
        <v>0</v>
      </c>
      <c r="P40" s="319">
        <v>0</v>
      </c>
      <c r="Q40" s="320">
        <v>0</v>
      </c>
      <c r="R40" s="319">
        <v>0</v>
      </c>
      <c r="S40" s="319"/>
      <c r="T40" s="319"/>
      <c r="U40" s="319"/>
      <c r="V40" s="319"/>
      <c r="W40" s="321" t="str">
        <f>IFERROR(IF(tblPiNAnalysis512[[#This Row],[CCCM]]="", "", MROUND(tblPiNAnalysis512[[#This Row],[CCCM]]/tblPiNAnalysis512[[#This Row],[Affected population projection 2026]], 0.05)), "")</f>
        <v/>
      </c>
      <c r="X40" s="322" t="str">
        <f>IFERROR(IF(tblPiNAnalysis512[[#This Row],[Education]]="", "", MROUND(tblPiNAnalysis512[[#This Row],[Education]]/tblPiNAnalysis512[[#This Row],[Affected population projection 2026]], 0.05)), "")</f>
        <v/>
      </c>
      <c r="Y40" s="322" t="str">
        <f>IFERROR(IF(tblPiNAnalysis512[[#This Row],[Nutrition]]="", "", MROUND(tblPiNAnalysis512[[#This Row],[Nutrition]]/tblPiNAnalysis512[[#This Row],[Affected population projection 2026]], 0.05)), "")</f>
        <v/>
      </c>
      <c r="Z40" s="322" t="str">
        <f>IFERROR(IF(tblPiNAnalysis512[[#This Row],[Food Security]]="", "", MROUND(tblPiNAnalysis512[[#This Row],[Food Security]]/tblPiNAnalysis512[[#This Row],[Affected population projection 2026]], 0.05)), "")</f>
        <v/>
      </c>
      <c r="AA40" s="322" t="str">
        <f>IFERROR(IF(tblPiNAnalysis512[[#This Row],[Health]]="", "", MROUND(tblPiNAnalysis512[[#This Row],[Health]]/tblPiNAnalysis512[[#This Row],[Affected population projection 2026]], 0.05)), "")</f>
        <v/>
      </c>
      <c r="AB40" s="323" t="str">
        <f>IFERROR(IF(tblPiNAnalysis512[[#This Row],[Overarching Protection]]="", "", MROUND(tblPiNAnalysis512[[#This Row],[Overarching Protection]]/tblPiNAnalysis512[[#This Row],[Affected population projection 2026]], 0.05)), "")</f>
        <v/>
      </c>
      <c r="AC40" s="323" t="str">
        <f>IFERROR(IF(tblPiNAnalysis512[[#This Row],[Shelter]]="", "", MROUND(tblPiNAnalysis512[[#This Row],[Shelter]]/tblPiNAnalysis512[[#This Row],[Affected population projection 2026]], 0.05)), "")</f>
        <v/>
      </c>
      <c r="AD40" s="324" t="str">
        <f>IFERROR(IF(tblPiNAnalysis512[[#This Row],[WASH]]="", "", MROUND(tblPiNAnalysis512[[#This Row],[WASH]]/tblPiNAnalysis512[[#This Row],[Affected population projection 2026]], 0.05)), "")</f>
        <v/>
      </c>
      <c r="AE40" s="322" t="str">
        <f>IFERROR(MROUND(tblPiNAnalysis512[[#This Row],[CP]]/tblPiNAnalysis512[[#This Row],[Affected population projection 2026]], 0.05), "")</f>
        <v/>
      </c>
      <c r="AF40" s="322" t="str">
        <f>IFERROR(MROUND(tblPiNAnalysis512[[#This Row],[GBV]]/tblPiNAnalysis512[[#This Row],[Affected population projection 2026]], 0.05), "")</f>
        <v/>
      </c>
      <c r="AG40" s="322" t="str">
        <f>IFERROR(MROUND(tblPiNAnalysis512[[#This Row],[Mine Action]]/tblPiNAnalysis512[[#This Row],[Affected population projection 2026]], 0.05), "")</f>
        <v/>
      </c>
      <c r="AH40" s="322" t="str">
        <f>IFERROR(MROUND(tblPiNAnalysis512[[#This Row],[HLP]]/tblPiNAnalysis512[[#This Row],[Affected population projection 2026]], 0.05), "")</f>
        <v/>
      </c>
      <c r="AI40" s="325">
        <f>IFERROR(LARGE(tblPiNAnalysis512[[#This Row],[CCCM]:[WASH]], 1), "")</f>
        <v>0</v>
      </c>
      <c r="AJ40" s="326" t="str" cm="1">
        <f t="array" ref="AJ40">IF(tblPiNAnalysis512[[#This Row],[Highest Target]]="", "", _xlfn.TEXTJOIN(CHAR(10), TRUE, IF(tblPiNAnalysis512[[#This Row],[Highest Target]]=tblPiNAnalysis512[[#This Row],[CCCM]:[WASH]], tblPiNAnalysis512[[#Headers],[CCCM]:[WASH]], "")))</f>
        <v>CCCM
Education
Nutrition
Food Security
Health
Overarching Protection
Shelter
WASH</v>
      </c>
      <c r="AK40" s="327" t="e">
        <f>IF(tblPiNAnalysis512[[#This Row],[Highest Target]]="", "", tblPiNAnalysis512[[#This Row],[Highest Target]]/tblPiNAnalysis512[[#This Row],[Affected population projection 2026]])</f>
        <v>#DIV/0!</v>
      </c>
      <c r="AL40" s="328" t="str">
        <f>IF(SUM(tblPiNAnalysis512[[#This Row],[CCCM]:[WASH]])=0, "",IF(COUNTIF(tblPiNAnalysis512[[#This Row],[CCCM]:[WASH]],"=0")+COUNTIF(tblPiNAnalysis512[[#This Row],[CCCM]:[WASH]],"")&gt;=zero_pin_thresh, "Flagged", ""))</f>
        <v/>
      </c>
      <c r="AM40" s="329" t="str">
        <f>IFERROR(IF(tblPiNAnalysis512[[#This Row],[Highest Target]]="", "", IF(tblPiNAnalysis512[[#This Row],[Highest sector(s'') Target %]]&gt;=flag_pin_perc, "Flagged", "")), "")</f>
        <v/>
      </c>
      <c r="AN40" s="330" t="str" cm="1">
        <f t="array" ref="AN40">IF(tblPiNAnalysis512[[#This Row],[Highest Target]]=0, "",  IF(OR(COUNTIF(tblPiNAnalysis512[[#This Row],[Highest sector(s)]],tblSubSectorPopulation[Sector])), "Flagged", ""))</f>
        <v/>
      </c>
      <c r="AO40" s="46" cm="1">
        <f t="array" ref="AO4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40" s="331" t="str" cm="1">
        <f t="array" ref="AP40">IF(tblPiNAnalysis512[[#This Row],[2nd Highest Target]]="", "", _xlfn.TEXTJOIN(CHAR(10), TRUE, IF(tblPiNAnalysis512[[#This Row],[2nd Highest Target]]=tblPiNAnalysis512[[#This Row],[CCCM]:[WASH]], tblPiNAnalysis512[[#Headers],[CCCM]:[WASH]], "")))</f>
        <v>CCCM
Education
Nutrition
Food Security
Health
Overarching Protection
Shelter
WASH</v>
      </c>
      <c r="AQ40" s="36" t="str">
        <f>IFERROR(tblPiNAnalysis512[[#This Row],[2nd Highest Target]]/tblPiNAnalysis512[[#This Row],[Affected population projection 2026]], "")</f>
        <v/>
      </c>
      <c r="AR40" s="46">
        <f>IFERROR(tblPiNAnalysis512[[#This Row],[Highest Target]]-tblPiNAnalysis512[[#This Row],[2nd Highest Target]], "")</f>
        <v>0</v>
      </c>
      <c r="AS40" s="39" t="str">
        <f>IFERROR(((tblPiNAnalysis512[[#This Row],[Highest Target]]-tblPiNAnalysis512[[#This Row],[2nd Highest Target]])/tblPiNAnalysis512[[#This Row],[2nd Highest Target]]),"")</f>
        <v/>
      </c>
      <c r="AT40" s="39" t="str" cm="1">
        <f t="array" ref="AT4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0" s="332" cm="1">
        <f t="array" ref="AU4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40" s="190" t="str" cm="1">
        <f t="array" ref="AV40">IF(tblPiNAnalysis512[[#This Row],[3rd Highest Target]]="", "", _xlfn.TEXTJOIN(CHAR(10), TRUE, IF(tblPiNAnalysis512[[#This Row],[3rd Highest Target]]=tblPiNAnalysis512[[#This Row],[CCCM]:[WASH]], tblPiNAnalysis512[[#Headers],[CCCM]:[WASH]], "")))</f>
        <v>CCCM
Education
Nutrition
Food Security
Health
Overarching Protection
Shelter
WASH</v>
      </c>
      <c r="AW40" s="190" t="str">
        <f>IFERROR(tblPiNAnalysis512[[#This Row],[3rd Highest Target]]/tblPiNAnalysis512[[#This Row],[Affected population projection 2026]], "")</f>
        <v/>
      </c>
      <c r="AX40" s="45">
        <f>IFERROR(tblPiNAnalysis512[[#This Row],[Highest Target]]-tblPiNAnalysis512[[#This Row],[3rd Highest Target]],"")</f>
        <v>0</v>
      </c>
      <c r="AY40" s="39" t="str">
        <f>IFERROR(tblPiNAnalysis512[[#This Row],[Difference of Target between Highest and 3rd Highest]]/tblPiNAnalysis512[[#This Row],[3rd Highest Target]], "")</f>
        <v/>
      </c>
      <c r="AZ40" s="330" t="str" cm="1">
        <f t="array" ref="AZ4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0" s="300" t="str" cm="1">
        <f t="array" ref="BA4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0" s="333" t="str" cm="1">
        <f t="array" ref="BB4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0" s="276" t="str" cm="1">
        <f t="array" ref="BC4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0" s="334" t="str" cm="1">
        <f t="array" ref="BD4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0" s="277" t="e">
        <f>INDEX(tblSeverityAnalysis[Final Severity], MATCH(tblPiNAnalysis512[[#This Row],[ID]],tblSeverityAnalysis[ID], 0))</f>
        <v>#N/A</v>
      </c>
      <c r="BF40" s="61" t="e">
        <f>IF(tblPiNAnalysis512[[#This Row],[Severity]]&gt;2,tblPiNAnalysis512[[#This Row],[Highest Target]],)</f>
        <v>#N/A</v>
      </c>
      <c r="BG40" s="191"/>
      <c r="BH40" s="192"/>
      <c r="BI40" s="193">
        <f>COUNTIFS(tblPiNAnalysis512[[#This Row],[Number of missing / zero PiNs greater than threshold - Data quality]:[Manual Flag]],"Flagged")</f>
        <v>2</v>
      </c>
      <c r="BJ40" s="96" t="str">
        <f>IF(tblPiNAnalysis512[[#This Row],['# Flags]]&gt;0, "Flagged", "")</f>
        <v>Flagged</v>
      </c>
      <c r="BK40" s="326" t="e">
        <f>tblPiNAnalysis512[[#This Row],[Preliminary Target]]</f>
        <v>#N/A</v>
      </c>
      <c r="BL40" s="331">
        <v>2</v>
      </c>
    </row>
    <row r="41" spans="1:64" x14ac:dyDescent="0.55000000000000004">
      <c r="A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1" s="316" t="s">
        <v>310</v>
      </c>
      <c r="C41" s="317" t="s">
        <v>311</v>
      </c>
      <c r="D41" s="317" t="s">
        <v>318</v>
      </c>
      <c r="E41" s="105" t="s">
        <v>319</v>
      </c>
      <c r="F41" s="100"/>
      <c r="G41" s="34"/>
      <c r="H41" s="34"/>
      <c r="I41" s="97">
        <v>8245.4682123487128</v>
      </c>
      <c r="J41" s="97" t="s">
        <v>412</v>
      </c>
      <c r="K41" s="261">
        <v>0</v>
      </c>
      <c r="L41" s="319">
        <v>752.14130349518405</v>
      </c>
      <c r="M41" s="319">
        <v>2283.1942873618427</v>
      </c>
      <c r="N41" s="319">
        <v>3507.0492208411197</v>
      </c>
      <c r="O41" s="319">
        <v>2721.9506870244163</v>
      </c>
      <c r="P41" s="319">
        <v>3915.4797339774345</v>
      </c>
      <c r="Q41" s="320">
        <v>4489.1993600565211</v>
      </c>
      <c r="R41" s="319">
        <v>1931.8927588436857</v>
      </c>
      <c r="S41" s="319"/>
      <c r="T41" s="319"/>
      <c r="U41" s="319"/>
      <c r="V41" s="319"/>
      <c r="W41" s="321">
        <f>IFERROR(IF(tblPiNAnalysis512[[#This Row],[CCCM]]="", "", MROUND(tblPiNAnalysis512[[#This Row],[CCCM]]/tblPiNAnalysis512[[#This Row],[Affected population projection 2026]], 0.05)), "")</f>
        <v>0</v>
      </c>
      <c r="X41" s="322">
        <f>IFERROR(IF(tblPiNAnalysis512[[#This Row],[Education]]="", "", MROUND(tblPiNAnalysis512[[#This Row],[Education]]/tblPiNAnalysis512[[#This Row],[Affected population projection 2026]], 0.05)), "")</f>
        <v>0.1</v>
      </c>
      <c r="Y41" s="322">
        <f>IFERROR(IF(tblPiNAnalysis512[[#This Row],[Nutrition]]="", "", MROUND(tblPiNAnalysis512[[#This Row],[Nutrition]]/tblPiNAnalysis512[[#This Row],[Affected population projection 2026]], 0.05)), "")</f>
        <v>0.30000000000000004</v>
      </c>
      <c r="Z41" s="322">
        <f>IFERROR(IF(tblPiNAnalysis512[[#This Row],[Food Security]]="", "", MROUND(tblPiNAnalysis512[[#This Row],[Food Security]]/tblPiNAnalysis512[[#This Row],[Affected population projection 2026]], 0.05)), "")</f>
        <v>0.45</v>
      </c>
      <c r="AA41" s="322">
        <f>IFERROR(IF(tblPiNAnalysis512[[#This Row],[Health]]="", "", MROUND(tblPiNAnalysis512[[#This Row],[Health]]/tblPiNAnalysis512[[#This Row],[Affected population projection 2026]], 0.05)), "")</f>
        <v>0.35000000000000003</v>
      </c>
      <c r="AB41" s="323">
        <f>IFERROR(IF(tblPiNAnalysis512[[#This Row],[Overarching Protection]]="", "", MROUND(tblPiNAnalysis512[[#This Row],[Overarching Protection]]/tblPiNAnalysis512[[#This Row],[Affected population projection 2026]], 0.05)), "")</f>
        <v>0.45</v>
      </c>
      <c r="AC41" s="323">
        <f>IFERROR(IF(tblPiNAnalysis512[[#This Row],[Shelter]]="", "", MROUND(tblPiNAnalysis512[[#This Row],[Shelter]]/tblPiNAnalysis512[[#This Row],[Affected population projection 2026]], 0.05)), "")</f>
        <v>0.55000000000000004</v>
      </c>
      <c r="AD41" s="324">
        <f>IFERROR(IF(tblPiNAnalysis512[[#This Row],[WASH]]="", "", MROUND(tblPiNAnalysis512[[#This Row],[WASH]]/tblPiNAnalysis512[[#This Row],[Affected population projection 2026]], 0.05)), "")</f>
        <v>0.25</v>
      </c>
      <c r="AE41" s="322">
        <f>IFERROR(MROUND(tblPiNAnalysis512[[#This Row],[CP]]/tblPiNAnalysis512[[#This Row],[Affected population projection 2026]], 0.05), "")</f>
        <v>0</v>
      </c>
      <c r="AF41" s="322">
        <f>IFERROR(MROUND(tblPiNAnalysis512[[#This Row],[GBV]]/tblPiNAnalysis512[[#This Row],[Affected population projection 2026]], 0.05), "")</f>
        <v>0</v>
      </c>
      <c r="AG41" s="322">
        <f>IFERROR(MROUND(tblPiNAnalysis512[[#This Row],[Mine Action]]/tblPiNAnalysis512[[#This Row],[Affected population projection 2026]], 0.05), "")</f>
        <v>0</v>
      </c>
      <c r="AH41" s="322">
        <f>IFERROR(MROUND(tblPiNAnalysis512[[#This Row],[HLP]]/tblPiNAnalysis512[[#This Row],[Affected population projection 2026]], 0.05), "")</f>
        <v>0</v>
      </c>
      <c r="AI41" s="325">
        <f>IFERROR(LARGE(tblPiNAnalysis512[[#This Row],[CCCM]:[WASH]], 1), "")</f>
        <v>4489.1993600565211</v>
      </c>
      <c r="AJ41" s="326" t="str" cm="1">
        <f t="array" ref="AJ41">IF(tblPiNAnalysis512[[#This Row],[Highest Target]]="", "", _xlfn.TEXTJOIN(CHAR(10), TRUE, IF(tblPiNAnalysis512[[#This Row],[Highest Target]]=tblPiNAnalysis512[[#This Row],[CCCM]:[WASH]], tblPiNAnalysis512[[#Headers],[CCCM]:[WASH]], "")))</f>
        <v>Shelter</v>
      </c>
      <c r="AK41" s="327">
        <f>IF(tblPiNAnalysis512[[#This Row],[Highest Target]]="", "", tblPiNAnalysis512[[#This Row],[Highest Target]]/tblPiNAnalysis512[[#This Row],[Affected population projection 2026]])</f>
        <v>0.5444444444444444</v>
      </c>
      <c r="AL41" s="328" t="str">
        <f>IF(SUM(tblPiNAnalysis512[[#This Row],[CCCM]:[WASH]])=0, "",IF(COUNTIF(tblPiNAnalysis512[[#This Row],[CCCM]:[WASH]],"=0")+COUNTIF(tblPiNAnalysis512[[#This Row],[CCCM]:[WASH]],"")&gt;=zero_pin_thresh, "Flagged", ""))</f>
        <v/>
      </c>
      <c r="AM41" s="329" t="str">
        <f>IFERROR(IF(tblPiNAnalysis512[[#This Row],[Highest Target]]="", "", IF(tblPiNAnalysis512[[#This Row],[Highest sector(s'') Target %]]&gt;=flag_pin_perc, "Flagged", "")), "")</f>
        <v/>
      </c>
      <c r="AN41" s="330" t="str" cm="1">
        <f t="array" ref="AN41">IF(tblPiNAnalysis512[[#This Row],[Highest Target]]=0, "",  IF(OR(COUNTIF(tblPiNAnalysis512[[#This Row],[Highest sector(s)]],tblSubSectorPopulation[Sector])), "Flagged", ""))</f>
        <v/>
      </c>
      <c r="AO41" s="46" cm="1">
        <f t="array" ref="AO4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3915.4797339774345</v>
      </c>
      <c r="AP41" s="331" t="str" cm="1">
        <f t="array" ref="AP41">IF(tblPiNAnalysis512[[#This Row],[2nd Highest Target]]="", "", _xlfn.TEXTJOIN(CHAR(10), TRUE, IF(tblPiNAnalysis512[[#This Row],[2nd Highest Target]]=tblPiNAnalysis512[[#This Row],[CCCM]:[WASH]], tblPiNAnalysis512[[#Headers],[CCCM]:[WASH]], "")))</f>
        <v>Overarching Protection</v>
      </c>
      <c r="AQ41" s="36">
        <f>IFERROR(tblPiNAnalysis512[[#This Row],[2nd Highest Target]]/tblPiNAnalysis512[[#This Row],[Affected population projection 2026]], "")</f>
        <v>0.47486445076744943</v>
      </c>
      <c r="AR41" s="46">
        <f>IFERROR(tblPiNAnalysis512[[#This Row],[Highest Target]]-tblPiNAnalysis512[[#This Row],[2nd Highest Target]], "")</f>
        <v>573.71962607908654</v>
      </c>
      <c r="AS41" s="39">
        <f>IFERROR(((tblPiNAnalysis512[[#This Row],[Highest Target]]-tblPiNAnalysis512[[#This Row],[2nd Highest Target]])/tblPiNAnalysis512[[#This Row],[2nd Highest Target]]),"")</f>
        <v>0.14652601087435305</v>
      </c>
      <c r="AT41" s="39" t="str" cm="1">
        <f t="array" ref="AT4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1" s="332" cm="1">
        <f t="array" ref="AU4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3507.0492208411197</v>
      </c>
      <c r="AV41" s="190" t="str" cm="1">
        <f t="array" ref="AV41">IF(tblPiNAnalysis512[[#This Row],[3rd Highest Target]]="", "", _xlfn.TEXTJOIN(CHAR(10), TRUE, IF(tblPiNAnalysis512[[#This Row],[3rd Highest Target]]=tblPiNAnalysis512[[#This Row],[CCCM]:[WASH]], tblPiNAnalysis512[[#Headers],[CCCM]:[WASH]], "")))</f>
        <v>Food Security</v>
      </c>
      <c r="AW41" s="190">
        <f>IFERROR(tblPiNAnalysis512[[#This Row],[3rd Highest Target]]/tblPiNAnalysis512[[#This Row],[Affected population projection 2026]], "")</f>
        <v>0.4253305125340045</v>
      </c>
      <c r="AX41" s="45">
        <f>IFERROR(tblPiNAnalysis512[[#This Row],[Highest Target]]-tblPiNAnalysis512[[#This Row],[3rd Highest Target]],"")</f>
        <v>982.1501392154014</v>
      </c>
      <c r="AY41" s="39">
        <f>IFERROR(tblPiNAnalysis512[[#This Row],[Difference of Target between Highest and 3rd Highest]]/tblPiNAnalysis512[[#This Row],[3rd Highest Target]], "")</f>
        <v>0.28005028654255543</v>
      </c>
      <c r="AZ41" s="330" t="str" cm="1">
        <f t="array" ref="AZ4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1" s="300" t="str" cm="1">
        <f t="array" ref="BA4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1" s="333" t="str" cm="1">
        <f t="array" ref="BB4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1" s="276" t="str" cm="1">
        <f t="array" ref="BC4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1" s="334" t="str" cm="1">
        <f t="array" ref="BD4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41" s="277" t="e">
        <f>INDEX(tblSeverityAnalysis[Final Severity], MATCH(tblPiNAnalysis512[[#This Row],[ID]],tblSeverityAnalysis[ID], 0))</f>
        <v>#N/A</v>
      </c>
      <c r="BF41" s="61" t="e">
        <f>IF(tblPiNAnalysis512[[#This Row],[Severity]]&gt;2,tblPiNAnalysis512[[#This Row],[Highest Target]],)</f>
        <v>#N/A</v>
      </c>
      <c r="BG41" s="191"/>
      <c r="BH41" s="192"/>
      <c r="BI41" s="193">
        <f>COUNTIFS(tblPiNAnalysis512[[#This Row],[Number of missing / zero PiNs greater than threshold - Data quality]:[Manual Flag]],"Flagged")</f>
        <v>1</v>
      </c>
      <c r="BJ41" s="96" t="str">
        <f>IF(tblPiNAnalysis512[[#This Row],['# Flags]]&gt;0, "Flagged", "")</f>
        <v>Flagged</v>
      </c>
      <c r="BK41" s="326" t="e">
        <f>tblPiNAnalysis512[[#This Row],[Preliminary Target]]</f>
        <v>#N/A</v>
      </c>
      <c r="BL41" s="331">
        <v>2</v>
      </c>
    </row>
    <row r="42" spans="1:64" x14ac:dyDescent="0.55000000000000004">
      <c r="A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2" s="316" t="s">
        <v>310</v>
      </c>
      <c r="C42" s="317" t="s">
        <v>311</v>
      </c>
      <c r="D42" s="317" t="s">
        <v>320</v>
      </c>
      <c r="E42" s="105" t="s">
        <v>321</v>
      </c>
      <c r="F42" s="100"/>
      <c r="G42" s="34"/>
      <c r="H42" s="34"/>
      <c r="I42" s="97">
        <v>736.57326854984808</v>
      </c>
      <c r="J42" s="97" t="s">
        <v>412</v>
      </c>
      <c r="K42" s="261"/>
      <c r="L42" s="319"/>
      <c r="M42" s="319"/>
      <c r="N42" s="319"/>
      <c r="O42" s="319"/>
      <c r="P42" s="319"/>
      <c r="Q42" s="320"/>
      <c r="R42" s="319"/>
      <c r="S42" s="319"/>
      <c r="T42" s="319"/>
      <c r="U42" s="319"/>
      <c r="V42" s="319"/>
      <c r="W42" s="321" t="str">
        <f>IFERROR(IF(tblPiNAnalysis512[[#This Row],[CCCM]]="", "", MROUND(tblPiNAnalysis512[[#This Row],[CCCM]]/tblPiNAnalysis512[[#This Row],[Affected population projection 2026]], 0.05)), "")</f>
        <v/>
      </c>
      <c r="X42" s="322" t="str">
        <f>IFERROR(IF(tblPiNAnalysis512[[#This Row],[Education]]="", "", MROUND(tblPiNAnalysis512[[#This Row],[Education]]/tblPiNAnalysis512[[#This Row],[Affected population projection 2026]], 0.05)), "")</f>
        <v/>
      </c>
      <c r="Y42" s="322" t="str">
        <f>IFERROR(IF(tblPiNAnalysis512[[#This Row],[Nutrition]]="", "", MROUND(tblPiNAnalysis512[[#This Row],[Nutrition]]/tblPiNAnalysis512[[#This Row],[Affected population projection 2026]], 0.05)), "")</f>
        <v/>
      </c>
      <c r="Z42" s="322" t="str">
        <f>IFERROR(IF(tblPiNAnalysis512[[#This Row],[Food Security]]="", "", MROUND(tblPiNAnalysis512[[#This Row],[Food Security]]/tblPiNAnalysis512[[#This Row],[Affected population projection 2026]], 0.05)), "")</f>
        <v/>
      </c>
      <c r="AA42" s="322" t="str">
        <f>IFERROR(IF(tblPiNAnalysis512[[#This Row],[Health]]="", "", MROUND(tblPiNAnalysis512[[#This Row],[Health]]/tblPiNAnalysis512[[#This Row],[Affected population projection 2026]], 0.05)), "")</f>
        <v/>
      </c>
      <c r="AB42" s="323" t="str">
        <f>IFERROR(IF(tblPiNAnalysis512[[#This Row],[Overarching Protection]]="", "", MROUND(tblPiNAnalysis512[[#This Row],[Overarching Protection]]/tblPiNAnalysis512[[#This Row],[Affected population projection 2026]], 0.05)), "")</f>
        <v/>
      </c>
      <c r="AC42" s="323" t="str">
        <f>IFERROR(IF(tblPiNAnalysis512[[#This Row],[Shelter]]="", "", MROUND(tblPiNAnalysis512[[#This Row],[Shelter]]/tblPiNAnalysis512[[#This Row],[Affected population projection 2026]], 0.05)), "")</f>
        <v/>
      </c>
      <c r="AD42" s="324" t="str">
        <f>IFERROR(IF(tblPiNAnalysis512[[#This Row],[WASH]]="", "", MROUND(tblPiNAnalysis512[[#This Row],[WASH]]/tblPiNAnalysis512[[#This Row],[Affected population projection 2026]], 0.05)), "")</f>
        <v/>
      </c>
      <c r="AE42" s="322">
        <f>IFERROR(MROUND(tblPiNAnalysis512[[#This Row],[CP]]/tblPiNAnalysis512[[#This Row],[Affected population projection 2026]], 0.05), "")</f>
        <v>0</v>
      </c>
      <c r="AF42" s="322">
        <f>IFERROR(MROUND(tblPiNAnalysis512[[#This Row],[GBV]]/tblPiNAnalysis512[[#This Row],[Affected population projection 2026]], 0.05), "")</f>
        <v>0</v>
      </c>
      <c r="AG42" s="322">
        <f>IFERROR(MROUND(tblPiNAnalysis512[[#This Row],[Mine Action]]/tblPiNAnalysis512[[#This Row],[Affected population projection 2026]], 0.05), "")</f>
        <v>0</v>
      </c>
      <c r="AH42" s="322">
        <f>IFERROR(MROUND(tblPiNAnalysis512[[#This Row],[HLP]]/tblPiNAnalysis512[[#This Row],[Affected population projection 2026]], 0.05), "")</f>
        <v>0</v>
      </c>
      <c r="AI42" s="325" t="str">
        <f>IFERROR(LARGE(tblPiNAnalysis512[[#This Row],[CCCM]:[WASH]], 1), "")</f>
        <v/>
      </c>
      <c r="AJ42" s="326" t="str" cm="1">
        <f t="array" ref="AJ42">IF(tblPiNAnalysis512[[#This Row],[Highest Target]]="", "", _xlfn.TEXTJOIN(CHAR(10), TRUE, IF(tblPiNAnalysis512[[#This Row],[Highest Target]]=tblPiNAnalysis512[[#This Row],[CCCM]:[WASH]], tblPiNAnalysis512[[#Headers],[CCCM]:[WASH]], "")))</f>
        <v/>
      </c>
      <c r="AK42" s="327" t="str">
        <f>IF(tblPiNAnalysis512[[#This Row],[Highest Target]]="", "", tblPiNAnalysis512[[#This Row],[Highest Target]]/tblPiNAnalysis512[[#This Row],[Affected population projection 2026]])</f>
        <v/>
      </c>
      <c r="AL42" s="328" t="str">
        <f>IF(SUM(tblPiNAnalysis512[[#This Row],[CCCM]:[WASH]])=0, "",IF(COUNTIF(tblPiNAnalysis512[[#This Row],[CCCM]:[WASH]],"=0")+COUNTIF(tblPiNAnalysis512[[#This Row],[CCCM]:[WASH]],"")&gt;=zero_pin_thresh, "Flagged", ""))</f>
        <v/>
      </c>
      <c r="AM42" s="329" t="str">
        <f>IFERROR(IF(tblPiNAnalysis512[[#This Row],[Highest Target]]="", "", IF(tblPiNAnalysis512[[#This Row],[Highest sector(s'') Target %]]&gt;=flag_pin_perc, "Flagged", "")), "")</f>
        <v/>
      </c>
      <c r="AN42" s="330" t="str" cm="1">
        <f t="array" ref="AN42">IF(tblPiNAnalysis512[[#This Row],[Highest Target]]=0, "",  IF(OR(COUNTIF(tblPiNAnalysis512[[#This Row],[Highest sector(s)]],tblSubSectorPopulation[Sector])), "Flagged", ""))</f>
        <v/>
      </c>
      <c r="AO42" s="46" t="str" cm="1">
        <f t="array" ref="AO4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42" s="331" t="str" cm="1">
        <f t="array" ref="AP42">IF(tblPiNAnalysis512[[#This Row],[2nd Highest Target]]="", "", _xlfn.TEXTJOIN(CHAR(10), TRUE, IF(tblPiNAnalysis512[[#This Row],[2nd Highest Target]]=tblPiNAnalysis512[[#This Row],[CCCM]:[WASH]], tblPiNAnalysis512[[#Headers],[CCCM]:[WASH]], "")))</f>
        <v/>
      </c>
      <c r="AQ42" s="36" t="str">
        <f>IFERROR(tblPiNAnalysis512[[#This Row],[2nd Highest Target]]/tblPiNAnalysis512[[#This Row],[Affected population projection 2026]], "")</f>
        <v/>
      </c>
      <c r="AR42" s="46" t="str">
        <f>IFERROR(tblPiNAnalysis512[[#This Row],[Highest Target]]-tblPiNAnalysis512[[#This Row],[2nd Highest Target]], "")</f>
        <v/>
      </c>
      <c r="AS42" s="39" t="str">
        <f>IFERROR(((tblPiNAnalysis512[[#This Row],[Highest Target]]-tblPiNAnalysis512[[#This Row],[2nd Highest Target]])/tblPiNAnalysis512[[#This Row],[2nd Highest Target]]),"")</f>
        <v/>
      </c>
      <c r="AT42" s="39" t="str" cm="1">
        <f t="array" ref="AT4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2" s="332" t="str" cm="1">
        <f t="array" ref="AU4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42" s="190" t="str" cm="1">
        <f t="array" ref="AV42">IF(tblPiNAnalysis512[[#This Row],[3rd Highest Target]]="", "", _xlfn.TEXTJOIN(CHAR(10), TRUE, IF(tblPiNAnalysis512[[#This Row],[3rd Highest Target]]=tblPiNAnalysis512[[#This Row],[CCCM]:[WASH]], tblPiNAnalysis512[[#Headers],[CCCM]:[WASH]], "")))</f>
        <v/>
      </c>
      <c r="AW42" s="190" t="str">
        <f>IFERROR(tblPiNAnalysis512[[#This Row],[3rd Highest Target]]/tblPiNAnalysis512[[#This Row],[Affected population projection 2026]], "")</f>
        <v/>
      </c>
      <c r="AX42" s="45" t="str">
        <f>IFERROR(tblPiNAnalysis512[[#This Row],[Highest Target]]-tblPiNAnalysis512[[#This Row],[3rd Highest Target]],"")</f>
        <v/>
      </c>
      <c r="AY42" s="39" t="str">
        <f>IFERROR(tblPiNAnalysis512[[#This Row],[Difference of Target between Highest and 3rd Highest]]/tblPiNAnalysis512[[#This Row],[3rd Highest Target]], "")</f>
        <v/>
      </c>
      <c r="AZ42" s="330" t="str" cm="1">
        <f t="array" ref="AZ4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2" s="300" t="str" cm="1">
        <f t="array" ref="BA4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2" s="333" t="str" cm="1">
        <f t="array" ref="BB4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2" s="276" t="str" cm="1">
        <f t="array" ref="BC4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2" s="334" t="str" cm="1">
        <f t="array" ref="BD4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2" s="277" t="e">
        <f>INDEX(tblSeverityAnalysis[Final Severity], MATCH(tblPiNAnalysis512[[#This Row],[ID]],tblSeverityAnalysis[ID], 0))</f>
        <v>#N/A</v>
      </c>
      <c r="BF42" s="61" t="e">
        <f>IF(tblPiNAnalysis512[[#This Row],[Severity]]&gt;2,tblPiNAnalysis512[[#This Row],[Highest Target]],)</f>
        <v>#N/A</v>
      </c>
      <c r="BG42" s="191"/>
      <c r="BH42" s="192"/>
      <c r="BI42" s="193">
        <f>COUNTIFS(tblPiNAnalysis512[[#This Row],[Number of missing / zero PiNs greater than threshold - Data quality]:[Manual Flag]],"Flagged")</f>
        <v>2</v>
      </c>
      <c r="BJ42" s="96" t="str">
        <f>IF(tblPiNAnalysis512[[#This Row],['# Flags]]&gt;0, "Flagged", "")</f>
        <v>Flagged</v>
      </c>
      <c r="BK42" s="326" t="e">
        <f>tblPiNAnalysis512[[#This Row],[Preliminary Target]]</f>
        <v>#N/A</v>
      </c>
      <c r="BL42" s="331">
        <v>3</v>
      </c>
    </row>
    <row r="43" spans="1:64" ht="110.7" x14ac:dyDescent="0.55000000000000004">
      <c r="A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3" s="316" t="s">
        <v>322</v>
      </c>
      <c r="C43" s="317" t="s">
        <v>323</v>
      </c>
      <c r="D43" s="317" t="s">
        <v>324</v>
      </c>
      <c r="E43" s="105" t="s">
        <v>325</v>
      </c>
      <c r="F43" s="100"/>
      <c r="G43" s="34"/>
      <c r="H43" s="34"/>
      <c r="I43" s="97">
        <v>8191.9832367247782</v>
      </c>
      <c r="J43" s="97" t="s">
        <v>412</v>
      </c>
      <c r="K43" s="261">
        <v>0</v>
      </c>
      <c r="L43" s="319">
        <v>0</v>
      </c>
      <c r="M43" s="319">
        <v>0</v>
      </c>
      <c r="N43" s="319">
        <v>0</v>
      </c>
      <c r="O43" s="319">
        <v>0</v>
      </c>
      <c r="P43" s="319">
        <v>0</v>
      </c>
      <c r="Q43" s="320">
        <v>0</v>
      </c>
      <c r="R43" s="319">
        <v>0</v>
      </c>
      <c r="S43" s="319"/>
      <c r="T43" s="319"/>
      <c r="U43" s="319"/>
      <c r="V43" s="319"/>
      <c r="W43" s="321">
        <f>IFERROR(IF(tblPiNAnalysis512[[#This Row],[CCCM]]="", "", MROUND(tblPiNAnalysis512[[#This Row],[CCCM]]/tblPiNAnalysis512[[#This Row],[Affected population projection 2026]], 0.05)), "")</f>
        <v>0</v>
      </c>
      <c r="X43" s="322">
        <f>IFERROR(IF(tblPiNAnalysis512[[#This Row],[Education]]="", "", MROUND(tblPiNAnalysis512[[#This Row],[Education]]/tblPiNAnalysis512[[#This Row],[Affected population projection 2026]], 0.05)), "")</f>
        <v>0</v>
      </c>
      <c r="Y43" s="322">
        <f>IFERROR(IF(tblPiNAnalysis512[[#This Row],[Nutrition]]="", "", MROUND(tblPiNAnalysis512[[#This Row],[Nutrition]]/tblPiNAnalysis512[[#This Row],[Affected population projection 2026]], 0.05)), "")</f>
        <v>0</v>
      </c>
      <c r="Z43" s="322">
        <f>IFERROR(IF(tblPiNAnalysis512[[#This Row],[Food Security]]="", "", MROUND(tblPiNAnalysis512[[#This Row],[Food Security]]/tblPiNAnalysis512[[#This Row],[Affected population projection 2026]], 0.05)), "")</f>
        <v>0</v>
      </c>
      <c r="AA43" s="322">
        <f>IFERROR(IF(tblPiNAnalysis512[[#This Row],[Health]]="", "", MROUND(tblPiNAnalysis512[[#This Row],[Health]]/tblPiNAnalysis512[[#This Row],[Affected population projection 2026]], 0.05)), "")</f>
        <v>0</v>
      </c>
      <c r="AB43" s="323">
        <f>IFERROR(IF(tblPiNAnalysis512[[#This Row],[Overarching Protection]]="", "", MROUND(tblPiNAnalysis512[[#This Row],[Overarching Protection]]/tblPiNAnalysis512[[#This Row],[Affected population projection 2026]], 0.05)), "")</f>
        <v>0</v>
      </c>
      <c r="AC43" s="323">
        <f>IFERROR(IF(tblPiNAnalysis512[[#This Row],[Shelter]]="", "", MROUND(tblPiNAnalysis512[[#This Row],[Shelter]]/tblPiNAnalysis512[[#This Row],[Affected population projection 2026]], 0.05)), "")</f>
        <v>0</v>
      </c>
      <c r="AD43" s="324">
        <f>IFERROR(IF(tblPiNAnalysis512[[#This Row],[WASH]]="", "", MROUND(tblPiNAnalysis512[[#This Row],[WASH]]/tblPiNAnalysis512[[#This Row],[Affected population projection 2026]], 0.05)), "")</f>
        <v>0</v>
      </c>
      <c r="AE43" s="322">
        <f>IFERROR(MROUND(tblPiNAnalysis512[[#This Row],[CP]]/tblPiNAnalysis512[[#This Row],[Affected population projection 2026]], 0.05), "")</f>
        <v>0</v>
      </c>
      <c r="AF43" s="322">
        <f>IFERROR(MROUND(tblPiNAnalysis512[[#This Row],[GBV]]/tblPiNAnalysis512[[#This Row],[Affected population projection 2026]], 0.05), "")</f>
        <v>0</v>
      </c>
      <c r="AG43" s="322">
        <f>IFERROR(MROUND(tblPiNAnalysis512[[#This Row],[Mine Action]]/tblPiNAnalysis512[[#This Row],[Affected population projection 2026]], 0.05), "")</f>
        <v>0</v>
      </c>
      <c r="AH43" s="322">
        <f>IFERROR(MROUND(tblPiNAnalysis512[[#This Row],[HLP]]/tblPiNAnalysis512[[#This Row],[Affected population projection 2026]], 0.05), "")</f>
        <v>0</v>
      </c>
      <c r="AI43" s="325">
        <f>IFERROR(LARGE(tblPiNAnalysis512[[#This Row],[CCCM]:[WASH]], 1), "")</f>
        <v>0</v>
      </c>
      <c r="AJ43" s="326" t="str" cm="1">
        <f t="array" ref="AJ43">IF(tblPiNAnalysis512[[#This Row],[Highest Target]]="", "", _xlfn.TEXTJOIN(CHAR(10), TRUE, IF(tblPiNAnalysis512[[#This Row],[Highest Target]]=tblPiNAnalysis512[[#This Row],[CCCM]:[WASH]], tblPiNAnalysis512[[#Headers],[CCCM]:[WASH]], "")))</f>
        <v>CCCM
Education
Nutrition
Food Security
Health
Overarching Protection
Shelter
WASH</v>
      </c>
      <c r="AK43" s="327">
        <f>IF(tblPiNAnalysis512[[#This Row],[Highest Target]]="", "", tblPiNAnalysis512[[#This Row],[Highest Target]]/tblPiNAnalysis512[[#This Row],[Affected population projection 2026]])</f>
        <v>0</v>
      </c>
      <c r="AL43" s="328" t="str">
        <f>IF(SUM(tblPiNAnalysis512[[#This Row],[CCCM]:[WASH]])=0, "",IF(COUNTIF(tblPiNAnalysis512[[#This Row],[CCCM]:[WASH]],"=0")+COUNTIF(tblPiNAnalysis512[[#This Row],[CCCM]:[WASH]],"")&gt;=zero_pin_thresh, "Flagged", ""))</f>
        <v/>
      </c>
      <c r="AM43" s="329" t="str">
        <f>IFERROR(IF(tblPiNAnalysis512[[#This Row],[Highest Target]]="", "", IF(tblPiNAnalysis512[[#This Row],[Highest sector(s'') Target %]]&gt;=flag_pin_perc, "Flagged", "")), "")</f>
        <v/>
      </c>
      <c r="AN43" s="330" t="str" cm="1">
        <f t="array" ref="AN43">IF(tblPiNAnalysis512[[#This Row],[Highest Target]]=0, "",  IF(OR(COUNTIF(tblPiNAnalysis512[[#This Row],[Highest sector(s)]],tblSubSectorPopulation[Sector])), "Flagged", ""))</f>
        <v/>
      </c>
      <c r="AO43" s="46" cm="1">
        <f t="array" ref="AO4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43" s="331" t="str" cm="1">
        <f t="array" ref="AP43">IF(tblPiNAnalysis512[[#This Row],[2nd Highest Target]]="", "", _xlfn.TEXTJOIN(CHAR(10), TRUE, IF(tblPiNAnalysis512[[#This Row],[2nd Highest Target]]=tblPiNAnalysis512[[#This Row],[CCCM]:[WASH]], tblPiNAnalysis512[[#Headers],[CCCM]:[WASH]], "")))</f>
        <v>CCCM
Education
Nutrition
Food Security
Health
Overarching Protection
Shelter
WASH</v>
      </c>
      <c r="AQ43" s="36">
        <f>IFERROR(tblPiNAnalysis512[[#This Row],[2nd Highest Target]]/tblPiNAnalysis512[[#This Row],[Affected population projection 2026]], "")</f>
        <v>0</v>
      </c>
      <c r="AR43" s="46">
        <f>IFERROR(tblPiNAnalysis512[[#This Row],[Highest Target]]-tblPiNAnalysis512[[#This Row],[2nd Highest Target]], "")</f>
        <v>0</v>
      </c>
      <c r="AS43" s="39" t="str">
        <f>IFERROR(((tblPiNAnalysis512[[#This Row],[Highest Target]]-tblPiNAnalysis512[[#This Row],[2nd Highest Target]])/tblPiNAnalysis512[[#This Row],[2nd Highest Target]]),"")</f>
        <v/>
      </c>
      <c r="AT43" s="39" t="str" cm="1">
        <f t="array" ref="AT4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3" s="332" cm="1">
        <f t="array" ref="AU4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43" s="190" t="str" cm="1">
        <f t="array" ref="AV43">IF(tblPiNAnalysis512[[#This Row],[3rd Highest Target]]="", "", _xlfn.TEXTJOIN(CHAR(10), TRUE, IF(tblPiNAnalysis512[[#This Row],[3rd Highest Target]]=tblPiNAnalysis512[[#This Row],[CCCM]:[WASH]], tblPiNAnalysis512[[#Headers],[CCCM]:[WASH]], "")))</f>
        <v>CCCM
Education
Nutrition
Food Security
Health
Overarching Protection
Shelter
WASH</v>
      </c>
      <c r="AW43" s="190">
        <f>IFERROR(tblPiNAnalysis512[[#This Row],[3rd Highest Target]]/tblPiNAnalysis512[[#This Row],[Affected population projection 2026]], "")</f>
        <v>0</v>
      </c>
      <c r="AX43" s="45">
        <f>IFERROR(tblPiNAnalysis512[[#This Row],[Highest Target]]-tblPiNAnalysis512[[#This Row],[3rd Highest Target]],"")</f>
        <v>0</v>
      </c>
      <c r="AY43" s="39" t="str">
        <f>IFERROR(tblPiNAnalysis512[[#This Row],[Difference of Target between Highest and 3rd Highest]]/tblPiNAnalysis512[[#This Row],[3rd Highest Target]], "")</f>
        <v/>
      </c>
      <c r="AZ43" s="330" t="str" cm="1">
        <f t="array" ref="AZ4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3" s="300" t="str" cm="1">
        <f t="array" ref="BA4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3" s="333" t="str" cm="1">
        <f t="array" ref="BB4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3" s="276" t="str" cm="1">
        <f t="array" ref="BC4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3" s="334" t="str" cm="1">
        <f t="array" ref="BD4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3" s="277" t="e">
        <f>INDEX(tblSeverityAnalysis[Final Severity], MATCH(tblPiNAnalysis512[[#This Row],[ID]],tblSeverityAnalysis[ID], 0))</f>
        <v>#N/A</v>
      </c>
      <c r="BF43" s="61" t="e">
        <f>IF(tblPiNAnalysis512[[#This Row],[Severity]]&gt;2,tblPiNAnalysis512[[#This Row],[Highest Target]],)</f>
        <v>#N/A</v>
      </c>
      <c r="BG43" s="191"/>
      <c r="BH43" s="192"/>
      <c r="BI43" s="193">
        <f>COUNTIFS(tblPiNAnalysis512[[#This Row],[Number of missing / zero PiNs greater than threshold - Data quality]:[Manual Flag]],"Flagged")</f>
        <v>2</v>
      </c>
      <c r="BJ43" s="96" t="str">
        <f>IF(tblPiNAnalysis512[[#This Row],['# Flags]]&gt;0, "Flagged", "")</f>
        <v>Flagged</v>
      </c>
      <c r="BK43" s="326" t="e">
        <f>tblPiNAnalysis512[[#This Row],[Preliminary Target]]</f>
        <v>#N/A</v>
      </c>
      <c r="BL43" s="331">
        <v>4</v>
      </c>
    </row>
    <row r="44" spans="1:64" x14ac:dyDescent="0.55000000000000004">
      <c r="A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4" s="316" t="s">
        <v>322</v>
      </c>
      <c r="C44" s="317" t="s">
        <v>323</v>
      </c>
      <c r="D44" s="317" t="s">
        <v>326</v>
      </c>
      <c r="E44" s="105" t="s">
        <v>327</v>
      </c>
      <c r="F44" s="100"/>
      <c r="G44" s="34"/>
      <c r="H44" s="34"/>
      <c r="I44" s="97">
        <v>25939.727484978604</v>
      </c>
      <c r="J44" s="97" t="s">
        <v>412</v>
      </c>
      <c r="K44" s="261"/>
      <c r="L44" s="319"/>
      <c r="M44" s="319"/>
      <c r="N44" s="319"/>
      <c r="O44" s="319"/>
      <c r="P44" s="319"/>
      <c r="Q44" s="320"/>
      <c r="R44" s="319"/>
      <c r="S44" s="319"/>
      <c r="T44" s="319"/>
      <c r="U44" s="319"/>
      <c r="V44" s="319"/>
      <c r="W44" s="321" t="str">
        <f>IFERROR(IF(tblPiNAnalysis512[[#This Row],[CCCM]]="", "", MROUND(tblPiNAnalysis512[[#This Row],[CCCM]]/tblPiNAnalysis512[[#This Row],[Affected population projection 2026]], 0.05)), "")</f>
        <v/>
      </c>
      <c r="X44" s="322" t="str">
        <f>IFERROR(IF(tblPiNAnalysis512[[#This Row],[Education]]="", "", MROUND(tblPiNAnalysis512[[#This Row],[Education]]/tblPiNAnalysis512[[#This Row],[Affected population projection 2026]], 0.05)), "")</f>
        <v/>
      </c>
      <c r="Y44" s="322" t="str">
        <f>IFERROR(IF(tblPiNAnalysis512[[#This Row],[Nutrition]]="", "", MROUND(tblPiNAnalysis512[[#This Row],[Nutrition]]/tblPiNAnalysis512[[#This Row],[Affected population projection 2026]], 0.05)), "")</f>
        <v/>
      </c>
      <c r="Z44" s="322" t="str">
        <f>IFERROR(IF(tblPiNAnalysis512[[#This Row],[Food Security]]="", "", MROUND(tblPiNAnalysis512[[#This Row],[Food Security]]/tblPiNAnalysis512[[#This Row],[Affected population projection 2026]], 0.05)), "")</f>
        <v/>
      </c>
      <c r="AA44" s="322" t="str">
        <f>IFERROR(IF(tblPiNAnalysis512[[#This Row],[Health]]="", "", MROUND(tblPiNAnalysis512[[#This Row],[Health]]/tblPiNAnalysis512[[#This Row],[Affected population projection 2026]], 0.05)), "")</f>
        <v/>
      </c>
      <c r="AB44" s="323" t="str">
        <f>IFERROR(IF(tblPiNAnalysis512[[#This Row],[Overarching Protection]]="", "", MROUND(tblPiNAnalysis512[[#This Row],[Overarching Protection]]/tblPiNAnalysis512[[#This Row],[Affected population projection 2026]], 0.05)), "")</f>
        <v/>
      </c>
      <c r="AC44" s="323" t="str">
        <f>IFERROR(IF(tblPiNAnalysis512[[#This Row],[Shelter]]="", "", MROUND(tblPiNAnalysis512[[#This Row],[Shelter]]/tblPiNAnalysis512[[#This Row],[Affected population projection 2026]], 0.05)), "")</f>
        <v/>
      </c>
      <c r="AD44" s="324" t="str">
        <f>IFERROR(IF(tblPiNAnalysis512[[#This Row],[WASH]]="", "", MROUND(tblPiNAnalysis512[[#This Row],[WASH]]/tblPiNAnalysis512[[#This Row],[Affected population projection 2026]], 0.05)), "")</f>
        <v/>
      </c>
      <c r="AE44" s="322">
        <f>IFERROR(MROUND(tblPiNAnalysis512[[#This Row],[CP]]/tblPiNAnalysis512[[#This Row],[Affected population projection 2026]], 0.05), "")</f>
        <v>0</v>
      </c>
      <c r="AF44" s="322">
        <f>IFERROR(MROUND(tblPiNAnalysis512[[#This Row],[GBV]]/tblPiNAnalysis512[[#This Row],[Affected population projection 2026]], 0.05), "")</f>
        <v>0</v>
      </c>
      <c r="AG44" s="322">
        <f>IFERROR(MROUND(tblPiNAnalysis512[[#This Row],[Mine Action]]/tblPiNAnalysis512[[#This Row],[Affected population projection 2026]], 0.05), "")</f>
        <v>0</v>
      </c>
      <c r="AH44" s="322">
        <f>IFERROR(MROUND(tblPiNAnalysis512[[#This Row],[HLP]]/tblPiNAnalysis512[[#This Row],[Affected population projection 2026]], 0.05), "")</f>
        <v>0</v>
      </c>
      <c r="AI44" s="325" t="str">
        <f>IFERROR(LARGE(tblPiNAnalysis512[[#This Row],[CCCM]:[WASH]], 1), "")</f>
        <v/>
      </c>
      <c r="AJ44" s="326" t="str" cm="1">
        <f t="array" ref="AJ44">IF(tblPiNAnalysis512[[#This Row],[Highest Target]]="", "", _xlfn.TEXTJOIN(CHAR(10), TRUE, IF(tblPiNAnalysis512[[#This Row],[Highest Target]]=tblPiNAnalysis512[[#This Row],[CCCM]:[WASH]], tblPiNAnalysis512[[#Headers],[CCCM]:[WASH]], "")))</f>
        <v/>
      </c>
      <c r="AK44" s="327" t="str">
        <f>IF(tblPiNAnalysis512[[#This Row],[Highest Target]]="", "", tblPiNAnalysis512[[#This Row],[Highest Target]]/tblPiNAnalysis512[[#This Row],[Affected population projection 2026]])</f>
        <v/>
      </c>
      <c r="AL44" s="328" t="str">
        <f>IF(SUM(tblPiNAnalysis512[[#This Row],[CCCM]:[WASH]])=0, "",IF(COUNTIF(tblPiNAnalysis512[[#This Row],[CCCM]:[WASH]],"=0")+COUNTIF(tblPiNAnalysis512[[#This Row],[CCCM]:[WASH]],"")&gt;=zero_pin_thresh, "Flagged", ""))</f>
        <v/>
      </c>
      <c r="AM44" s="329" t="str">
        <f>IFERROR(IF(tblPiNAnalysis512[[#This Row],[Highest Target]]="", "", IF(tblPiNAnalysis512[[#This Row],[Highest sector(s'') Target %]]&gt;=flag_pin_perc, "Flagged", "")), "")</f>
        <v/>
      </c>
      <c r="AN44" s="330" t="str" cm="1">
        <f t="array" ref="AN44">IF(tblPiNAnalysis512[[#This Row],[Highest Target]]=0, "",  IF(OR(COUNTIF(tblPiNAnalysis512[[#This Row],[Highest sector(s)]],tblSubSectorPopulation[Sector])), "Flagged", ""))</f>
        <v/>
      </c>
      <c r="AO44" s="46" t="str" cm="1">
        <f t="array" ref="AO4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44" s="331" t="str" cm="1">
        <f t="array" ref="AP44">IF(tblPiNAnalysis512[[#This Row],[2nd Highest Target]]="", "", _xlfn.TEXTJOIN(CHAR(10), TRUE, IF(tblPiNAnalysis512[[#This Row],[2nd Highest Target]]=tblPiNAnalysis512[[#This Row],[CCCM]:[WASH]], tblPiNAnalysis512[[#Headers],[CCCM]:[WASH]], "")))</f>
        <v/>
      </c>
      <c r="AQ44" s="36" t="str">
        <f>IFERROR(tblPiNAnalysis512[[#This Row],[2nd Highest Target]]/tblPiNAnalysis512[[#This Row],[Affected population projection 2026]], "")</f>
        <v/>
      </c>
      <c r="AR44" s="46" t="str">
        <f>IFERROR(tblPiNAnalysis512[[#This Row],[Highest Target]]-tblPiNAnalysis512[[#This Row],[2nd Highest Target]], "")</f>
        <v/>
      </c>
      <c r="AS44" s="39" t="str">
        <f>IFERROR(((tblPiNAnalysis512[[#This Row],[Highest Target]]-tblPiNAnalysis512[[#This Row],[2nd Highest Target]])/tblPiNAnalysis512[[#This Row],[2nd Highest Target]]),"")</f>
        <v/>
      </c>
      <c r="AT44" s="39" t="str" cm="1">
        <f t="array" ref="AT4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4" s="332" t="str" cm="1">
        <f t="array" ref="AU4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44" s="190" t="str" cm="1">
        <f t="array" ref="AV44">IF(tblPiNAnalysis512[[#This Row],[3rd Highest Target]]="", "", _xlfn.TEXTJOIN(CHAR(10), TRUE, IF(tblPiNAnalysis512[[#This Row],[3rd Highest Target]]=tblPiNAnalysis512[[#This Row],[CCCM]:[WASH]], tblPiNAnalysis512[[#Headers],[CCCM]:[WASH]], "")))</f>
        <v/>
      </c>
      <c r="AW44" s="190" t="str">
        <f>IFERROR(tblPiNAnalysis512[[#This Row],[3rd Highest Target]]/tblPiNAnalysis512[[#This Row],[Affected population projection 2026]], "")</f>
        <v/>
      </c>
      <c r="AX44" s="45" t="str">
        <f>IFERROR(tblPiNAnalysis512[[#This Row],[Highest Target]]-tblPiNAnalysis512[[#This Row],[3rd Highest Target]],"")</f>
        <v/>
      </c>
      <c r="AY44" s="39" t="str">
        <f>IFERROR(tblPiNAnalysis512[[#This Row],[Difference of Target between Highest and 3rd Highest]]/tblPiNAnalysis512[[#This Row],[3rd Highest Target]], "")</f>
        <v/>
      </c>
      <c r="AZ44" s="330" t="str" cm="1">
        <f t="array" ref="AZ4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4" s="300" t="str" cm="1">
        <f t="array" ref="BA4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4" s="333" t="str" cm="1">
        <f t="array" ref="BB4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4" s="276" t="str" cm="1">
        <f t="array" ref="BC4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4" s="334" t="str" cm="1">
        <f t="array" ref="BD4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4" s="277" t="e">
        <f>INDEX(tblSeverityAnalysis[Final Severity], MATCH(tblPiNAnalysis512[[#This Row],[ID]],tblSeverityAnalysis[ID], 0))</f>
        <v>#N/A</v>
      </c>
      <c r="BF44" s="61" t="e">
        <f>IF(tblPiNAnalysis512[[#This Row],[Severity]]&gt;2,tblPiNAnalysis512[[#This Row],[Highest Target]],)</f>
        <v>#N/A</v>
      </c>
      <c r="BG44" s="191"/>
      <c r="BH44" s="192"/>
      <c r="BI44" s="193">
        <f>COUNTIFS(tblPiNAnalysis512[[#This Row],[Number of missing / zero PiNs greater than threshold - Data quality]:[Manual Flag]],"Flagged")</f>
        <v>2</v>
      </c>
      <c r="BJ44" s="96" t="str">
        <f>IF(tblPiNAnalysis512[[#This Row],['# Flags]]&gt;0, "Flagged", "")</f>
        <v>Flagged</v>
      </c>
      <c r="BK44" s="326" t="e">
        <f>tblPiNAnalysis512[[#This Row],[Preliminary Target]]</f>
        <v>#N/A</v>
      </c>
      <c r="BL44" s="331">
        <v>3</v>
      </c>
    </row>
    <row r="45" spans="1:64" x14ac:dyDescent="0.55000000000000004">
      <c r="A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5" s="316" t="s">
        <v>322</v>
      </c>
      <c r="C45" s="317" t="s">
        <v>323</v>
      </c>
      <c r="D45" s="317" t="s">
        <v>328</v>
      </c>
      <c r="E45" s="105" t="s">
        <v>329</v>
      </c>
      <c r="F45" s="100"/>
      <c r="G45" s="34"/>
      <c r="H45" s="34"/>
      <c r="I45" s="97">
        <v>31198.282244133567</v>
      </c>
      <c r="J45" s="97" t="s">
        <v>412</v>
      </c>
      <c r="K45" s="261"/>
      <c r="L45" s="319"/>
      <c r="M45" s="319"/>
      <c r="N45" s="319"/>
      <c r="O45" s="319"/>
      <c r="P45" s="319"/>
      <c r="Q45" s="320"/>
      <c r="R45" s="319"/>
      <c r="S45" s="319"/>
      <c r="T45" s="319"/>
      <c r="U45" s="319"/>
      <c r="V45" s="319"/>
      <c r="W45" s="321" t="str">
        <f>IFERROR(IF(tblPiNAnalysis512[[#This Row],[CCCM]]="", "", MROUND(tblPiNAnalysis512[[#This Row],[CCCM]]/tblPiNAnalysis512[[#This Row],[Affected population projection 2026]], 0.05)), "")</f>
        <v/>
      </c>
      <c r="X45" s="322" t="str">
        <f>IFERROR(IF(tblPiNAnalysis512[[#This Row],[Education]]="", "", MROUND(tblPiNAnalysis512[[#This Row],[Education]]/tblPiNAnalysis512[[#This Row],[Affected population projection 2026]], 0.05)), "")</f>
        <v/>
      </c>
      <c r="Y45" s="322" t="str">
        <f>IFERROR(IF(tblPiNAnalysis512[[#This Row],[Nutrition]]="", "", MROUND(tblPiNAnalysis512[[#This Row],[Nutrition]]/tblPiNAnalysis512[[#This Row],[Affected population projection 2026]], 0.05)), "")</f>
        <v/>
      </c>
      <c r="Z45" s="322" t="str">
        <f>IFERROR(IF(tblPiNAnalysis512[[#This Row],[Food Security]]="", "", MROUND(tblPiNAnalysis512[[#This Row],[Food Security]]/tblPiNAnalysis512[[#This Row],[Affected population projection 2026]], 0.05)), "")</f>
        <v/>
      </c>
      <c r="AA45" s="322" t="str">
        <f>IFERROR(IF(tblPiNAnalysis512[[#This Row],[Health]]="", "", MROUND(tblPiNAnalysis512[[#This Row],[Health]]/tblPiNAnalysis512[[#This Row],[Affected population projection 2026]], 0.05)), "")</f>
        <v/>
      </c>
      <c r="AB45" s="323" t="str">
        <f>IFERROR(IF(tblPiNAnalysis512[[#This Row],[Overarching Protection]]="", "", MROUND(tblPiNAnalysis512[[#This Row],[Overarching Protection]]/tblPiNAnalysis512[[#This Row],[Affected population projection 2026]], 0.05)), "")</f>
        <v/>
      </c>
      <c r="AC45" s="323" t="str">
        <f>IFERROR(IF(tblPiNAnalysis512[[#This Row],[Shelter]]="", "", MROUND(tblPiNAnalysis512[[#This Row],[Shelter]]/tblPiNAnalysis512[[#This Row],[Affected population projection 2026]], 0.05)), "")</f>
        <v/>
      </c>
      <c r="AD45" s="324" t="str">
        <f>IFERROR(IF(tblPiNAnalysis512[[#This Row],[WASH]]="", "", MROUND(tblPiNAnalysis512[[#This Row],[WASH]]/tblPiNAnalysis512[[#This Row],[Affected population projection 2026]], 0.05)), "")</f>
        <v/>
      </c>
      <c r="AE45" s="322">
        <f>IFERROR(MROUND(tblPiNAnalysis512[[#This Row],[CP]]/tblPiNAnalysis512[[#This Row],[Affected population projection 2026]], 0.05), "")</f>
        <v>0</v>
      </c>
      <c r="AF45" s="322">
        <f>IFERROR(MROUND(tblPiNAnalysis512[[#This Row],[GBV]]/tblPiNAnalysis512[[#This Row],[Affected population projection 2026]], 0.05), "")</f>
        <v>0</v>
      </c>
      <c r="AG45" s="322">
        <f>IFERROR(MROUND(tblPiNAnalysis512[[#This Row],[Mine Action]]/tblPiNAnalysis512[[#This Row],[Affected population projection 2026]], 0.05), "")</f>
        <v>0</v>
      </c>
      <c r="AH45" s="322">
        <f>IFERROR(MROUND(tblPiNAnalysis512[[#This Row],[HLP]]/tblPiNAnalysis512[[#This Row],[Affected population projection 2026]], 0.05), "")</f>
        <v>0</v>
      </c>
      <c r="AI45" s="325" t="str">
        <f>IFERROR(LARGE(tblPiNAnalysis512[[#This Row],[CCCM]:[WASH]], 1), "")</f>
        <v/>
      </c>
      <c r="AJ45" s="326" t="str" cm="1">
        <f t="array" ref="AJ45">IF(tblPiNAnalysis512[[#This Row],[Highest Target]]="", "", _xlfn.TEXTJOIN(CHAR(10), TRUE, IF(tblPiNAnalysis512[[#This Row],[Highest Target]]=tblPiNAnalysis512[[#This Row],[CCCM]:[WASH]], tblPiNAnalysis512[[#Headers],[CCCM]:[WASH]], "")))</f>
        <v/>
      </c>
      <c r="AK45" s="327" t="str">
        <f>IF(tblPiNAnalysis512[[#This Row],[Highest Target]]="", "", tblPiNAnalysis512[[#This Row],[Highest Target]]/tblPiNAnalysis512[[#This Row],[Affected population projection 2026]])</f>
        <v/>
      </c>
      <c r="AL45" s="328" t="str">
        <f>IF(SUM(tblPiNAnalysis512[[#This Row],[CCCM]:[WASH]])=0, "",IF(COUNTIF(tblPiNAnalysis512[[#This Row],[CCCM]:[WASH]],"=0")+COUNTIF(tblPiNAnalysis512[[#This Row],[CCCM]:[WASH]],"")&gt;=zero_pin_thresh, "Flagged", ""))</f>
        <v/>
      </c>
      <c r="AM45" s="329" t="str">
        <f>IFERROR(IF(tblPiNAnalysis512[[#This Row],[Highest Target]]="", "", IF(tblPiNAnalysis512[[#This Row],[Highest sector(s'') Target %]]&gt;=flag_pin_perc, "Flagged", "")), "")</f>
        <v/>
      </c>
      <c r="AN45" s="330" t="str" cm="1">
        <f t="array" ref="AN45">IF(tblPiNAnalysis512[[#This Row],[Highest Target]]=0, "",  IF(OR(COUNTIF(tblPiNAnalysis512[[#This Row],[Highest sector(s)]],tblSubSectorPopulation[Sector])), "Flagged", ""))</f>
        <v/>
      </c>
      <c r="AO45" s="46" t="str" cm="1">
        <f t="array" ref="AO4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45" s="331" t="str" cm="1">
        <f t="array" ref="AP45">IF(tblPiNAnalysis512[[#This Row],[2nd Highest Target]]="", "", _xlfn.TEXTJOIN(CHAR(10), TRUE, IF(tblPiNAnalysis512[[#This Row],[2nd Highest Target]]=tblPiNAnalysis512[[#This Row],[CCCM]:[WASH]], tblPiNAnalysis512[[#Headers],[CCCM]:[WASH]], "")))</f>
        <v/>
      </c>
      <c r="AQ45" s="36" t="str">
        <f>IFERROR(tblPiNAnalysis512[[#This Row],[2nd Highest Target]]/tblPiNAnalysis512[[#This Row],[Affected population projection 2026]], "")</f>
        <v/>
      </c>
      <c r="AR45" s="46" t="str">
        <f>IFERROR(tblPiNAnalysis512[[#This Row],[Highest Target]]-tblPiNAnalysis512[[#This Row],[2nd Highest Target]], "")</f>
        <v/>
      </c>
      <c r="AS45" s="39" t="str">
        <f>IFERROR(((tblPiNAnalysis512[[#This Row],[Highest Target]]-tblPiNAnalysis512[[#This Row],[2nd Highest Target]])/tblPiNAnalysis512[[#This Row],[2nd Highest Target]]),"")</f>
        <v/>
      </c>
      <c r="AT45" s="39" t="str" cm="1">
        <f t="array" ref="AT4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5" s="332" t="str" cm="1">
        <f t="array" ref="AU4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45" s="190" t="str" cm="1">
        <f t="array" ref="AV45">IF(tblPiNAnalysis512[[#This Row],[3rd Highest Target]]="", "", _xlfn.TEXTJOIN(CHAR(10), TRUE, IF(tblPiNAnalysis512[[#This Row],[3rd Highest Target]]=tblPiNAnalysis512[[#This Row],[CCCM]:[WASH]], tblPiNAnalysis512[[#Headers],[CCCM]:[WASH]], "")))</f>
        <v/>
      </c>
      <c r="AW45" s="190" t="str">
        <f>IFERROR(tblPiNAnalysis512[[#This Row],[3rd Highest Target]]/tblPiNAnalysis512[[#This Row],[Affected population projection 2026]], "")</f>
        <v/>
      </c>
      <c r="AX45" s="45" t="str">
        <f>IFERROR(tblPiNAnalysis512[[#This Row],[Highest Target]]-tblPiNAnalysis512[[#This Row],[3rd Highest Target]],"")</f>
        <v/>
      </c>
      <c r="AY45" s="39" t="str">
        <f>IFERROR(tblPiNAnalysis512[[#This Row],[Difference of Target between Highest and 3rd Highest]]/tblPiNAnalysis512[[#This Row],[3rd Highest Target]], "")</f>
        <v/>
      </c>
      <c r="AZ45" s="330" t="str" cm="1">
        <f t="array" ref="AZ4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5" s="300" t="str" cm="1">
        <f t="array" ref="BA4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5" s="333" t="str" cm="1">
        <f t="array" ref="BB4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5" s="276" t="str" cm="1">
        <f t="array" ref="BC4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5" s="334" t="str" cm="1">
        <f t="array" ref="BD4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5" s="277" t="e">
        <f>INDEX(tblSeverityAnalysis[Final Severity], MATCH(tblPiNAnalysis512[[#This Row],[ID]],tblSeverityAnalysis[ID], 0))</f>
        <v>#N/A</v>
      </c>
      <c r="BF45" s="61" t="e">
        <f>IF(tblPiNAnalysis512[[#This Row],[Severity]]&gt;2,tblPiNAnalysis512[[#This Row],[Highest Target]],)</f>
        <v>#N/A</v>
      </c>
      <c r="BG45" s="191"/>
      <c r="BH45" s="192"/>
      <c r="BI45" s="193">
        <f>COUNTIFS(tblPiNAnalysis512[[#This Row],[Number of missing / zero PiNs greater than threshold - Data quality]:[Manual Flag]],"Flagged")</f>
        <v>2</v>
      </c>
      <c r="BJ45" s="96" t="str">
        <f>IF(tblPiNAnalysis512[[#This Row],['# Flags]]&gt;0, "Flagged", "")</f>
        <v>Flagged</v>
      </c>
      <c r="BK45" s="326" t="e">
        <f>tblPiNAnalysis512[[#This Row],[Preliminary Target]]</f>
        <v>#N/A</v>
      </c>
      <c r="BL45" s="331">
        <v>3</v>
      </c>
    </row>
    <row r="46" spans="1:64" x14ac:dyDescent="0.55000000000000004">
      <c r="A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6" s="316" t="s">
        <v>322</v>
      </c>
      <c r="C46" s="317" t="s">
        <v>323</v>
      </c>
      <c r="D46" s="317" t="s">
        <v>330</v>
      </c>
      <c r="E46" s="105" t="s">
        <v>331</v>
      </c>
      <c r="F46" s="100"/>
      <c r="G46" s="34"/>
      <c r="H46" s="34"/>
      <c r="I46" s="97">
        <v>44969.201203905293</v>
      </c>
      <c r="J46" s="97" t="s">
        <v>412</v>
      </c>
      <c r="K46" s="261">
        <v>20116</v>
      </c>
      <c r="L46" s="319">
        <v>4386.543216035544</v>
      </c>
      <c r="M46" s="319">
        <v>8463.0890299679504</v>
      </c>
      <c r="N46" s="319">
        <v>17961.501973408838</v>
      </c>
      <c r="O46" s="319">
        <v>22448.556874354894</v>
      </c>
      <c r="P46" s="319">
        <v>16390.195342527695</v>
      </c>
      <c r="Q46" s="320">
        <v>26981.520722343175</v>
      </c>
      <c r="R46" s="319">
        <v>4886.6994621013337</v>
      </c>
      <c r="S46" s="319"/>
      <c r="T46" s="319"/>
      <c r="U46" s="319"/>
      <c r="V46" s="319"/>
      <c r="W46" s="321">
        <f>IFERROR(IF(tblPiNAnalysis512[[#This Row],[CCCM]]="", "", MROUND(tblPiNAnalysis512[[#This Row],[CCCM]]/tblPiNAnalysis512[[#This Row],[Affected population projection 2026]], 0.05)), "")</f>
        <v>0.45</v>
      </c>
      <c r="X46" s="322">
        <f>IFERROR(IF(tblPiNAnalysis512[[#This Row],[Education]]="", "", MROUND(tblPiNAnalysis512[[#This Row],[Education]]/tblPiNAnalysis512[[#This Row],[Affected population projection 2026]], 0.05)), "")</f>
        <v>0.1</v>
      </c>
      <c r="Y46" s="322">
        <f>IFERROR(IF(tblPiNAnalysis512[[#This Row],[Nutrition]]="", "", MROUND(tblPiNAnalysis512[[#This Row],[Nutrition]]/tblPiNAnalysis512[[#This Row],[Affected population projection 2026]], 0.05)), "")</f>
        <v>0.2</v>
      </c>
      <c r="Z46" s="322">
        <f>IFERROR(IF(tblPiNAnalysis512[[#This Row],[Food Security]]="", "", MROUND(tblPiNAnalysis512[[#This Row],[Food Security]]/tblPiNAnalysis512[[#This Row],[Affected population projection 2026]], 0.05)), "")</f>
        <v>0.4</v>
      </c>
      <c r="AA46" s="322">
        <f>IFERROR(IF(tblPiNAnalysis512[[#This Row],[Health]]="", "", MROUND(tblPiNAnalysis512[[#This Row],[Health]]/tblPiNAnalysis512[[#This Row],[Affected population projection 2026]], 0.05)), "")</f>
        <v>0.5</v>
      </c>
      <c r="AB46" s="323">
        <f>IFERROR(IF(tblPiNAnalysis512[[#This Row],[Overarching Protection]]="", "", MROUND(tblPiNAnalysis512[[#This Row],[Overarching Protection]]/tblPiNAnalysis512[[#This Row],[Affected population projection 2026]], 0.05)), "")</f>
        <v>0.35000000000000003</v>
      </c>
      <c r="AC46" s="323">
        <f>IFERROR(IF(tblPiNAnalysis512[[#This Row],[Shelter]]="", "", MROUND(tblPiNAnalysis512[[#This Row],[Shelter]]/tblPiNAnalysis512[[#This Row],[Affected population projection 2026]], 0.05)), "")</f>
        <v>0.60000000000000009</v>
      </c>
      <c r="AD46" s="324">
        <f>IFERROR(IF(tblPiNAnalysis512[[#This Row],[WASH]]="", "", MROUND(tblPiNAnalysis512[[#This Row],[WASH]]/tblPiNAnalysis512[[#This Row],[Affected population projection 2026]], 0.05)), "")</f>
        <v>0.1</v>
      </c>
      <c r="AE46" s="322">
        <f>IFERROR(MROUND(tblPiNAnalysis512[[#This Row],[CP]]/tblPiNAnalysis512[[#This Row],[Affected population projection 2026]], 0.05), "")</f>
        <v>0</v>
      </c>
      <c r="AF46" s="322">
        <f>IFERROR(MROUND(tblPiNAnalysis512[[#This Row],[GBV]]/tblPiNAnalysis512[[#This Row],[Affected population projection 2026]], 0.05), "")</f>
        <v>0</v>
      </c>
      <c r="AG46" s="322">
        <f>IFERROR(MROUND(tblPiNAnalysis512[[#This Row],[Mine Action]]/tblPiNAnalysis512[[#This Row],[Affected population projection 2026]], 0.05), "")</f>
        <v>0</v>
      </c>
      <c r="AH46" s="322">
        <f>IFERROR(MROUND(tblPiNAnalysis512[[#This Row],[HLP]]/tblPiNAnalysis512[[#This Row],[Affected population projection 2026]], 0.05), "")</f>
        <v>0</v>
      </c>
      <c r="AI46" s="325">
        <f>IFERROR(LARGE(tblPiNAnalysis512[[#This Row],[CCCM]:[WASH]], 1), "")</f>
        <v>26981.520722343175</v>
      </c>
      <c r="AJ46" s="326" t="str" cm="1">
        <f t="array" ref="AJ46">IF(tblPiNAnalysis512[[#This Row],[Highest Target]]="", "", _xlfn.TEXTJOIN(CHAR(10), TRUE, IF(tblPiNAnalysis512[[#This Row],[Highest Target]]=tblPiNAnalysis512[[#This Row],[CCCM]:[WASH]], tblPiNAnalysis512[[#Headers],[CCCM]:[WASH]], "")))</f>
        <v>Shelter</v>
      </c>
      <c r="AK46" s="327">
        <f>IF(tblPiNAnalysis512[[#This Row],[Highest Target]]="", "", tblPiNAnalysis512[[#This Row],[Highest Target]]/tblPiNAnalysis512[[#This Row],[Affected population projection 2026]])</f>
        <v>0.6</v>
      </c>
      <c r="AL46" s="328" t="str">
        <f>IF(SUM(tblPiNAnalysis512[[#This Row],[CCCM]:[WASH]])=0, "",IF(COUNTIF(tblPiNAnalysis512[[#This Row],[CCCM]:[WASH]],"=0")+COUNTIF(tblPiNAnalysis512[[#This Row],[CCCM]:[WASH]],"")&gt;=zero_pin_thresh, "Flagged", ""))</f>
        <v/>
      </c>
      <c r="AM46" s="329" t="str">
        <f>IFERROR(IF(tblPiNAnalysis512[[#This Row],[Highest Target]]="", "", IF(tblPiNAnalysis512[[#This Row],[Highest sector(s'') Target %]]&gt;=flag_pin_perc, "Flagged", "")), "")</f>
        <v/>
      </c>
      <c r="AN46" s="330" t="str" cm="1">
        <f t="array" ref="AN46">IF(tblPiNAnalysis512[[#This Row],[Highest Target]]=0, "",  IF(OR(COUNTIF(tblPiNAnalysis512[[#This Row],[Highest sector(s)]],tblSubSectorPopulation[Sector])), "Flagged", ""))</f>
        <v/>
      </c>
      <c r="AO46" s="46" cm="1">
        <f t="array" ref="AO4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22448.556874354894</v>
      </c>
      <c r="AP46" s="331" t="str" cm="1">
        <f t="array" ref="AP46">IF(tblPiNAnalysis512[[#This Row],[2nd Highest Target]]="", "", _xlfn.TEXTJOIN(CHAR(10), TRUE, IF(tblPiNAnalysis512[[#This Row],[2nd Highest Target]]=tblPiNAnalysis512[[#This Row],[CCCM]:[WASH]], tblPiNAnalysis512[[#Headers],[CCCM]:[WASH]], "")))</f>
        <v>Health</v>
      </c>
      <c r="AQ46" s="36">
        <f>IFERROR(tblPiNAnalysis512[[#This Row],[2nd Highest Target]]/tblPiNAnalysis512[[#This Row],[Affected population projection 2026]], "")</f>
        <v>0.49919847970093312</v>
      </c>
      <c r="AR46" s="46">
        <f>IFERROR(tblPiNAnalysis512[[#This Row],[Highest Target]]-tblPiNAnalysis512[[#This Row],[2nd Highest Target]], "")</f>
        <v>4532.9638479882815</v>
      </c>
      <c r="AS46" s="39">
        <f>IFERROR(((tblPiNAnalysis512[[#This Row],[Highest Target]]-tblPiNAnalysis512[[#This Row],[2nd Highest Target]])/tblPiNAnalysis512[[#This Row],[2nd Highest Target]]),"")</f>
        <v>0.20192673735596403</v>
      </c>
      <c r="AT46" s="39" t="str" cm="1">
        <f t="array" ref="AT4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6" s="332" cm="1">
        <f t="array" ref="AU4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20116</v>
      </c>
      <c r="AV46" s="190" t="str" cm="1">
        <f t="array" ref="AV46">IF(tblPiNAnalysis512[[#This Row],[3rd Highest Target]]="", "", _xlfn.TEXTJOIN(CHAR(10), TRUE, IF(tblPiNAnalysis512[[#This Row],[3rd Highest Target]]=tblPiNAnalysis512[[#This Row],[CCCM]:[WASH]], tblPiNAnalysis512[[#Headers],[CCCM]:[WASH]], "")))</f>
        <v>CCCM</v>
      </c>
      <c r="AW46" s="190">
        <f>IFERROR(tblPiNAnalysis512[[#This Row],[3rd Highest Target]]/tblPiNAnalysis512[[#This Row],[Affected population projection 2026]], "")</f>
        <v>0.44732838168032774</v>
      </c>
      <c r="AX46" s="45">
        <f>IFERROR(tblPiNAnalysis512[[#This Row],[Highest Target]]-tblPiNAnalysis512[[#This Row],[3rd Highest Target]],"")</f>
        <v>6865.5207223431753</v>
      </c>
      <c r="AY46" s="39">
        <f>IFERROR(tblPiNAnalysis512[[#This Row],[Difference of Target between Highest and 3rd Highest]]/tblPiNAnalysis512[[#This Row],[3rd Highest Target]], "")</f>
        <v>0.34129651632248831</v>
      </c>
      <c r="AZ46" s="330" t="str" cm="1">
        <f t="array" ref="AZ4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6" s="300" t="str" cm="1">
        <f t="array" ref="BA4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6" s="333" t="str" cm="1">
        <f t="array" ref="BB4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6" s="276" t="str" cm="1">
        <f t="array" ref="BC4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6" s="334" t="str" cm="1">
        <f t="array" ref="BD4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6" s="277" t="e">
        <f>INDEX(tblSeverityAnalysis[Final Severity], MATCH(tblPiNAnalysis512[[#This Row],[ID]],tblSeverityAnalysis[ID], 0))</f>
        <v>#N/A</v>
      </c>
      <c r="BF46" s="61" t="e">
        <f>IF(tblPiNAnalysis512[[#This Row],[Severity]]&gt;2,tblPiNAnalysis512[[#This Row],[Highest Target]],)</f>
        <v>#N/A</v>
      </c>
      <c r="BG46" s="191"/>
      <c r="BH46" s="192"/>
      <c r="BI46" s="193">
        <f>COUNTIFS(tblPiNAnalysis512[[#This Row],[Number of missing / zero PiNs greater than threshold - Data quality]:[Manual Flag]],"Flagged")</f>
        <v>2</v>
      </c>
      <c r="BJ46" s="96" t="str">
        <f>IF(tblPiNAnalysis512[[#This Row],['# Flags]]&gt;0, "Flagged", "")</f>
        <v>Flagged</v>
      </c>
      <c r="BK46" s="326" t="e">
        <f>tblPiNAnalysis512[[#This Row],[Preliminary Target]]</f>
        <v>#N/A</v>
      </c>
      <c r="BL46" s="331">
        <v>2</v>
      </c>
    </row>
    <row r="47" spans="1:64" x14ac:dyDescent="0.55000000000000004">
      <c r="A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7" s="316" t="s">
        <v>322</v>
      </c>
      <c r="C47" s="317" t="s">
        <v>323</v>
      </c>
      <c r="D47" s="317" t="s">
        <v>332</v>
      </c>
      <c r="E47" s="105" t="s">
        <v>333</v>
      </c>
      <c r="F47" s="100"/>
      <c r="G47" s="34"/>
      <c r="H47" s="34"/>
      <c r="I47" s="97">
        <v>30389.775329136301</v>
      </c>
      <c r="J47" s="97" t="s">
        <v>412</v>
      </c>
      <c r="K47" s="261">
        <v>12543</v>
      </c>
      <c r="L47" s="319">
        <v>1377.7508543217234</v>
      </c>
      <c r="M47" s="319">
        <v>7305.5912793264833</v>
      </c>
      <c r="N47" s="319">
        <v>12610.420279895701</v>
      </c>
      <c r="O47" s="319">
        <v>13127.117050010369</v>
      </c>
      <c r="P47" s="319">
        <v>11322.524303036585</v>
      </c>
      <c r="Q47" s="320">
        <v>21272.842730395412</v>
      </c>
      <c r="R47" s="319">
        <v>2923.2962893767944</v>
      </c>
      <c r="S47" s="319"/>
      <c r="T47" s="319"/>
      <c r="U47" s="319"/>
      <c r="V47" s="319"/>
      <c r="W47" s="321">
        <f>IFERROR(IF(tblPiNAnalysis512[[#This Row],[CCCM]]="", "", MROUND(tblPiNAnalysis512[[#This Row],[CCCM]]/tblPiNAnalysis512[[#This Row],[Affected population projection 2026]], 0.05)), "")</f>
        <v>0.4</v>
      </c>
      <c r="X47" s="322">
        <f>IFERROR(IF(tblPiNAnalysis512[[#This Row],[Education]]="", "", MROUND(tblPiNAnalysis512[[#This Row],[Education]]/tblPiNAnalysis512[[#This Row],[Affected population projection 2026]], 0.05)), "")</f>
        <v>0.05</v>
      </c>
      <c r="Y47" s="322">
        <f>IFERROR(IF(tblPiNAnalysis512[[#This Row],[Nutrition]]="", "", MROUND(tblPiNAnalysis512[[#This Row],[Nutrition]]/tblPiNAnalysis512[[#This Row],[Affected population projection 2026]], 0.05)), "")</f>
        <v>0.25</v>
      </c>
      <c r="Z47" s="322">
        <f>IFERROR(IF(tblPiNAnalysis512[[#This Row],[Food Security]]="", "", MROUND(tblPiNAnalysis512[[#This Row],[Food Security]]/tblPiNAnalysis512[[#This Row],[Affected population projection 2026]], 0.05)), "")</f>
        <v>0.4</v>
      </c>
      <c r="AA47" s="322">
        <f>IFERROR(IF(tblPiNAnalysis512[[#This Row],[Health]]="", "", MROUND(tblPiNAnalysis512[[#This Row],[Health]]/tblPiNAnalysis512[[#This Row],[Affected population projection 2026]], 0.05)), "")</f>
        <v>0.45</v>
      </c>
      <c r="AB47" s="323">
        <f>IFERROR(IF(tblPiNAnalysis512[[#This Row],[Overarching Protection]]="", "", MROUND(tblPiNAnalysis512[[#This Row],[Overarching Protection]]/tblPiNAnalysis512[[#This Row],[Affected population projection 2026]], 0.05)), "")</f>
        <v>0.35000000000000003</v>
      </c>
      <c r="AC47" s="323">
        <f>IFERROR(IF(tblPiNAnalysis512[[#This Row],[Shelter]]="", "", MROUND(tblPiNAnalysis512[[#This Row],[Shelter]]/tblPiNAnalysis512[[#This Row],[Affected population projection 2026]], 0.05)), "")</f>
        <v>0.70000000000000007</v>
      </c>
      <c r="AD47" s="324">
        <f>IFERROR(IF(tblPiNAnalysis512[[#This Row],[WASH]]="", "", MROUND(tblPiNAnalysis512[[#This Row],[WASH]]/tblPiNAnalysis512[[#This Row],[Affected population projection 2026]], 0.05)), "")</f>
        <v>0.1</v>
      </c>
      <c r="AE47" s="322">
        <f>IFERROR(MROUND(tblPiNAnalysis512[[#This Row],[CP]]/tblPiNAnalysis512[[#This Row],[Affected population projection 2026]], 0.05), "")</f>
        <v>0</v>
      </c>
      <c r="AF47" s="322">
        <f>IFERROR(MROUND(tblPiNAnalysis512[[#This Row],[GBV]]/tblPiNAnalysis512[[#This Row],[Affected population projection 2026]], 0.05), "")</f>
        <v>0</v>
      </c>
      <c r="AG47" s="322">
        <f>IFERROR(MROUND(tblPiNAnalysis512[[#This Row],[Mine Action]]/tblPiNAnalysis512[[#This Row],[Affected population projection 2026]], 0.05), "")</f>
        <v>0</v>
      </c>
      <c r="AH47" s="322">
        <f>IFERROR(MROUND(tblPiNAnalysis512[[#This Row],[HLP]]/tblPiNAnalysis512[[#This Row],[Affected population projection 2026]], 0.05), "")</f>
        <v>0</v>
      </c>
      <c r="AI47" s="325">
        <f>IFERROR(LARGE(tblPiNAnalysis512[[#This Row],[CCCM]:[WASH]], 1), "")</f>
        <v>21272.842730395412</v>
      </c>
      <c r="AJ47" s="326" t="str" cm="1">
        <f t="array" ref="AJ47">IF(tblPiNAnalysis512[[#This Row],[Highest Target]]="", "", _xlfn.TEXTJOIN(CHAR(10), TRUE, IF(tblPiNAnalysis512[[#This Row],[Highest Target]]=tblPiNAnalysis512[[#This Row],[CCCM]:[WASH]], tblPiNAnalysis512[[#Headers],[CCCM]:[WASH]], "")))</f>
        <v>Shelter</v>
      </c>
      <c r="AK47" s="327">
        <f>IF(tblPiNAnalysis512[[#This Row],[Highest Target]]="", "", tblPiNAnalysis512[[#This Row],[Highest Target]]/tblPiNAnalysis512[[#This Row],[Affected population projection 2026]])</f>
        <v>0.70000000000000007</v>
      </c>
      <c r="AL47" s="328" t="str">
        <f>IF(SUM(tblPiNAnalysis512[[#This Row],[CCCM]:[WASH]])=0, "",IF(COUNTIF(tblPiNAnalysis512[[#This Row],[CCCM]:[WASH]],"=0")+COUNTIF(tblPiNAnalysis512[[#This Row],[CCCM]:[WASH]],"")&gt;=zero_pin_thresh, "Flagged", ""))</f>
        <v/>
      </c>
      <c r="AM47" s="329" t="str">
        <f>IFERROR(IF(tblPiNAnalysis512[[#This Row],[Highest Target]]="", "", IF(tblPiNAnalysis512[[#This Row],[Highest sector(s'') Target %]]&gt;=flag_pin_perc, "Flagged", "")), "")</f>
        <v/>
      </c>
      <c r="AN47" s="330" t="str" cm="1">
        <f t="array" ref="AN47">IF(tblPiNAnalysis512[[#This Row],[Highest Target]]=0, "",  IF(OR(COUNTIF(tblPiNAnalysis512[[#This Row],[Highest sector(s)]],tblSubSectorPopulation[Sector])), "Flagged", ""))</f>
        <v/>
      </c>
      <c r="AO47" s="46" cm="1">
        <f t="array" ref="AO4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13127.117050010369</v>
      </c>
      <c r="AP47" s="331" t="str" cm="1">
        <f t="array" ref="AP47">IF(tblPiNAnalysis512[[#This Row],[2nd Highest Target]]="", "", _xlfn.TEXTJOIN(CHAR(10), TRUE, IF(tblPiNAnalysis512[[#This Row],[2nd Highest Target]]=tblPiNAnalysis512[[#This Row],[CCCM]:[WASH]], tblPiNAnalysis512[[#Headers],[CCCM]:[WASH]], "")))</f>
        <v>Health</v>
      </c>
      <c r="AQ47" s="36">
        <f>IFERROR(tblPiNAnalysis512[[#This Row],[2nd Highest Target]]/tblPiNAnalysis512[[#This Row],[Affected population projection 2026]], "")</f>
        <v>0.43195834479976236</v>
      </c>
      <c r="AR47" s="46">
        <f>IFERROR(tblPiNAnalysis512[[#This Row],[Highest Target]]-tblPiNAnalysis512[[#This Row],[2nd Highest Target]], "")</f>
        <v>8145.7256803850432</v>
      </c>
      <c r="AS47" s="39">
        <f>IFERROR(((tblPiNAnalysis512[[#This Row],[Highest Target]]-tblPiNAnalysis512[[#This Row],[2nd Highest Target]])/tblPiNAnalysis512[[#This Row],[2nd Highest Target]]),"")</f>
        <v>0.62052662815089388</v>
      </c>
      <c r="AT47" s="39" t="str" cm="1">
        <f t="array" ref="AT4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47" s="332" cm="1">
        <f t="array" ref="AU4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12610.420279895701</v>
      </c>
      <c r="AV47" s="190" t="str" cm="1">
        <f t="array" ref="AV47">IF(tblPiNAnalysis512[[#This Row],[3rd Highest Target]]="", "", _xlfn.TEXTJOIN(CHAR(10), TRUE, IF(tblPiNAnalysis512[[#This Row],[3rd Highest Target]]=tblPiNAnalysis512[[#This Row],[CCCM]:[WASH]], tblPiNAnalysis512[[#Headers],[CCCM]:[WASH]], "")))</f>
        <v>Food Security</v>
      </c>
      <c r="AW47" s="190">
        <f>IFERROR(tblPiNAnalysis512[[#This Row],[3rd Highest Target]]/tblPiNAnalysis512[[#This Row],[Affected population projection 2026]], "")</f>
        <v>0.41495602199485226</v>
      </c>
      <c r="AX47" s="45">
        <f>IFERROR(tblPiNAnalysis512[[#This Row],[Highest Target]]-tblPiNAnalysis512[[#This Row],[3rd Highest Target]],"")</f>
        <v>8662.422450499711</v>
      </c>
      <c r="AY47" s="39">
        <f>IFERROR(tblPiNAnalysis512[[#This Row],[Difference of Target between Highest and 3rd Highest]]/tblPiNAnalysis512[[#This Row],[3rd Highest Target]], "")</f>
        <v>0.68692575332400863</v>
      </c>
      <c r="AZ47" s="330" t="str" cm="1">
        <f t="array" ref="AZ4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47" s="300" t="str" cm="1">
        <f t="array" ref="BA4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7" s="333" t="str" cm="1">
        <f t="array" ref="BB4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7" s="276" t="str" cm="1">
        <f t="array" ref="BC4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7" s="334" t="str" cm="1">
        <f t="array" ref="BD4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7" s="277" t="e">
        <f>INDEX(tblSeverityAnalysis[Final Severity], MATCH(tblPiNAnalysis512[[#This Row],[ID]],tblSeverityAnalysis[ID], 0))</f>
        <v>#N/A</v>
      </c>
      <c r="BF47" s="61" t="e">
        <f>IF(tblPiNAnalysis512[[#This Row],[Severity]]&gt;2,tblPiNAnalysis512[[#This Row],[Highest Target]],)</f>
        <v>#N/A</v>
      </c>
      <c r="BG47" s="191"/>
      <c r="BH47" s="192"/>
      <c r="BI47" s="193">
        <f>COUNTIFS(tblPiNAnalysis512[[#This Row],[Number of missing / zero PiNs greater than threshold - Data quality]:[Manual Flag]],"Flagged")</f>
        <v>4</v>
      </c>
      <c r="BJ47" s="96" t="str">
        <f>IF(tblPiNAnalysis512[[#This Row],['# Flags]]&gt;0, "Flagged", "")</f>
        <v>Flagged</v>
      </c>
      <c r="BK47" s="326" t="e">
        <f>tblPiNAnalysis512[[#This Row],[Preliminary Target]]</f>
        <v>#N/A</v>
      </c>
      <c r="BL47" s="331">
        <v>2</v>
      </c>
    </row>
    <row r="48" spans="1:64" x14ac:dyDescent="0.55000000000000004">
      <c r="A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8" s="316" t="s">
        <v>322</v>
      </c>
      <c r="C48" s="317" t="s">
        <v>323</v>
      </c>
      <c r="D48" s="317" t="s">
        <v>334</v>
      </c>
      <c r="E48" s="105" t="s">
        <v>335</v>
      </c>
      <c r="F48" s="100"/>
      <c r="G48" s="34"/>
      <c r="H48" s="34"/>
      <c r="I48" s="97">
        <v>44141.695035855759</v>
      </c>
      <c r="J48" s="97" t="s">
        <v>412</v>
      </c>
      <c r="K48" s="261"/>
      <c r="L48" s="319"/>
      <c r="M48" s="319"/>
      <c r="N48" s="319"/>
      <c r="O48" s="319"/>
      <c r="P48" s="319"/>
      <c r="Q48" s="320"/>
      <c r="R48" s="319"/>
      <c r="S48" s="319"/>
      <c r="T48" s="319"/>
      <c r="U48" s="319"/>
      <c r="V48" s="319"/>
      <c r="W48" s="321" t="str">
        <f>IFERROR(IF(tblPiNAnalysis512[[#This Row],[CCCM]]="", "", MROUND(tblPiNAnalysis512[[#This Row],[CCCM]]/tblPiNAnalysis512[[#This Row],[Affected population projection 2026]], 0.05)), "")</f>
        <v/>
      </c>
      <c r="X48" s="322" t="str">
        <f>IFERROR(IF(tblPiNAnalysis512[[#This Row],[Education]]="", "", MROUND(tblPiNAnalysis512[[#This Row],[Education]]/tblPiNAnalysis512[[#This Row],[Affected population projection 2026]], 0.05)), "")</f>
        <v/>
      </c>
      <c r="Y48" s="322" t="str">
        <f>IFERROR(IF(tblPiNAnalysis512[[#This Row],[Nutrition]]="", "", MROUND(tblPiNAnalysis512[[#This Row],[Nutrition]]/tblPiNAnalysis512[[#This Row],[Affected population projection 2026]], 0.05)), "")</f>
        <v/>
      </c>
      <c r="Z48" s="322" t="str">
        <f>IFERROR(IF(tblPiNAnalysis512[[#This Row],[Food Security]]="", "", MROUND(tblPiNAnalysis512[[#This Row],[Food Security]]/tblPiNAnalysis512[[#This Row],[Affected population projection 2026]], 0.05)), "")</f>
        <v/>
      </c>
      <c r="AA48" s="322" t="str">
        <f>IFERROR(IF(tblPiNAnalysis512[[#This Row],[Health]]="", "", MROUND(tblPiNAnalysis512[[#This Row],[Health]]/tblPiNAnalysis512[[#This Row],[Affected population projection 2026]], 0.05)), "")</f>
        <v/>
      </c>
      <c r="AB48" s="323" t="str">
        <f>IFERROR(IF(tblPiNAnalysis512[[#This Row],[Overarching Protection]]="", "", MROUND(tblPiNAnalysis512[[#This Row],[Overarching Protection]]/tblPiNAnalysis512[[#This Row],[Affected population projection 2026]], 0.05)), "")</f>
        <v/>
      </c>
      <c r="AC48" s="323" t="str">
        <f>IFERROR(IF(tblPiNAnalysis512[[#This Row],[Shelter]]="", "", MROUND(tblPiNAnalysis512[[#This Row],[Shelter]]/tblPiNAnalysis512[[#This Row],[Affected population projection 2026]], 0.05)), "")</f>
        <v/>
      </c>
      <c r="AD48" s="324" t="str">
        <f>IFERROR(IF(tblPiNAnalysis512[[#This Row],[WASH]]="", "", MROUND(tblPiNAnalysis512[[#This Row],[WASH]]/tblPiNAnalysis512[[#This Row],[Affected population projection 2026]], 0.05)), "")</f>
        <v/>
      </c>
      <c r="AE48" s="322">
        <f>IFERROR(MROUND(tblPiNAnalysis512[[#This Row],[CP]]/tblPiNAnalysis512[[#This Row],[Affected population projection 2026]], 0.05), "")</f>
        <v>0</v>
      </c>
      <c r="AF48" s="322">
        <f>IFERROR(MROUND(tblPiNAnalysis512[[#This Row],[GBV]]/tblPiNAnalysis512[[#This Row],[Affected population projection 2026]], 0.05), "")</f>
        <v>0</v>
      </c>
      <c r="AG48" s="322">
        <f>IFERROR(MROUND(tblPiNAnalysis512[[#This Row],[Mine Action]]/tblPiNAnalysis512[[#This Row],[Affected population projection 2026]], 0.05), "")</f>
        <v>0</v>
      </c>
      <c r="AH48" s="322">
        <f>IFERROR(MROUND(tblPiNAnalysis512[[#This Row],[HLP]]/tblPiNAnalysis512[[#This Row],[Affected population projection 2026]], 0.05), "")</f>
        <v>0</v>
      </c>
      <c r="AI48" s="325" t="str">
        <f>IFERROR(LARGE(tblPiNAnalysis512[[#This Row],[CCCM]:[WASH]], 1), "")</f>
        <v/>
      </c>
      <c r="AJ48" s="326" t="str" cm="1">
        <f t="array" ref="AJ48">IF(tblPiNAnalysis512[[#This Row],[Highest Target]]="", "", _xlfn.TEXTJOIN(CHAR(10), TRUE, IF(tblPiNAnalysis512[[#This Row],[Highest Target]]=tblPiNAnalysis512[[#This Row],[CCCM]:[WASH]], tblPiNAnalysis512[[#Headers],[CCCM]:[WASH]], "")))</f>
        <v/>
      </c>
      <c r="AK48" s="327" t="str">
        <f>IF(tblPiNAnalysis512[[#This Row],[Highest Target]]="", "", tblPiNAnalysis512[[#This Row],[Highest Target]]/tblPiNAnalysis512[[#This Row],[Affected population projection 2026]])</f>
        <v/>
      </c>
      <c r="AL48" s="328" t="str">
        <f>IF(SUM(tblPiNAnalysis512[[#This Row],[CCCM]:[WASH]])=0, "",IF(COUNTIF(tblPiNAnalysis512[[#This Row],[CCCM]:[WASH]],"=0")+COUNTIF(tblPiNAnalysis512[[#This Row],[CCCM]:[WASH]],"")&gt;=zero_pin_thresh, "Flagged", ""))</f>
        <v/>
      </c>
      <c r="AM48" s="329" t="str">
        <f>IFERROR(IF(tblPiNAnalysis512[[#This Row],[Highest Target]]="", "", IF(tblPiNAnalysis512[[#This Row],[Highest sector(s'') Target %]]&gt;=flag_pin_perc, "Flagged", "")), "")</f>
        <v/>
      </c>
      <c r="AN48" s="330" t="str" cm="1">
        <f t="array" ref="AN48">IF(tblPiNAnalysis512[[#This Row],[Highest Target]]=0, "",  IF(OR(COUNTIF(tblPiNAnalysis512[[#This Row],[Highest sector(s)]],tblSubSectorPopulation[Sector])), "Flagged", ""))</f>
        <v/>
      </c>
      <c r="AO48" s="46" t="str" cm="1">
        <f t="array" ref="AO4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48" s="331" t="str" cm="1">
        <f t="array" ref="AP48">IF(tblPiNAnalysis512[[#This Row],[2nd Highest Target]]="", "", _xlfn.TEXTJOIN(CHAR(10), TRUE, IF(tblPiNAnalysis512[[#This Row],[2nd Highest Target]]=tblPiNAnalysis512[[#This Row],[CCCM]:[WASH]], tblPiNAnalysis512[[#Headers],[CCCM]:[WASH]], "")))</f>
        <v/>
      </c>
      <c r="AQ48" s="36" t="str">
        <f>IFERROR(tblPiNAnalysis512[[#This Row],[2nd Highest Target]]/tblPiNAnalysis512[[#This Row],[Affected population projection 2026]], "")</f>
        <v/>
      </c>
      <c r="AR48" s="46" t="str">
        <f>IFERROR(tblPiNAnalysis512[[#This Row],[Highest Target]]-tblPiNAnalysis512[[#This Row],[2nd Highest Target]], "")</f>
        <v/>
      </c>
      <c r="AS48" s="39" t="str">
        <f>IFERROR(((tblPiNAnalysis512[[#This Row],[Highest Target]]-tblPiNAnalysis512[[#This Row],[2nd Highest Target]])/tblPiNAnalysis512[[#This Row],[2nd Highest Target]]),"")</f>
        <v/>
      </c>
      <c r="AT48" s="39" t="str" cm="1">
        <f t="array" ref="AT4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8" s="332" t="str" cm="1">
        <f t="array" ref="AU4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48" s="190" t="str" cm="1">
        <f t="array" ref="AV48">IF(tblPiNAnalysis512[[#This Row],[3rd Highest Target]]="", "", _xlfn.TEXTJOIN(CHAR(10), TRUE, IF(tblPiNAnalysis512[[#This Row],[3rd Highest Target]]=tblPiNAnalysis512[[#This Row],[CCCM]:[WASH]], tblPiNAnalysis512[[#Headers],[CCCM]:[WASH]], "")))</f>
        <v/>
      </c>
      <c r="AW48" s="190" t="str">
        <f>IFERROR(tblPiNAnalysis512[[#This Row],[3rd Highest Target]]/tblPiNAnalysis512[[#This Row],[Affected population projection 2026]], "")</f>
        <v/>
      </c>
      <c r="AX48" s="45" t="str">
        <f>IFERROR(tblPiNAnalysis512[[#This Row],[Highest Target]]-tblPiNAnalysis512[[#This Row],[3rd Highest Target]],"")</f>
        <v/>
      </c>
      <c r="AY48" s="39" t="str">
        <f>IFERROR(tblPiNAnalysis512[[#This Row],[Difference of Target between Highest and 3rd Highest]]/tblPiNAnalysis512[[#This Row],[3rd Highest Target]], "")</f>
        <v/>
      </c>
      <c r="AZ48" s="330" t="str" cm="1">
        <f t="array" ref="AZ4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8" s="300" t="str" cm="1">
        <f t="array" ref="BA4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8" s="333" t="str" cm="1">
        <f t="array" ref="BB4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8" s="276" t="str" cm="1">
        <f t="array" ref="BC4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8" s="334" t="str" cm="1">
        <f t="array" ref="BD4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8" s="277" t="e">
        <f>INDEX(tblSeverityAnalysis[Final Severity], MATCH(tblPiNAnalysis512[[#This Row],[ID]],tblSeverityAnalysis[ID], 0))</f>
        <v>#N/A</v>
      </c>
      <c r="BF48" s="61" t="e">
        <f>IF(tblPiNAnalysis512[[#This Row],[Severity]]&gt;2,tblPiNAnalysis512[[#This Row],[Highest Target]],)</f>
        <v>#N/A</v>
      </c>
      <c r="BG48" s="191"/>
      <c r="BH48" s="192"/>
      <c r="BI48" s="193">
        <f>COUNTIFS(tblPiNAnalysis512[[#This Row],[Number of missing / zero PiNs greater than threshold - Data quality]:[Manual Flag]],"Flagged")</f>
        <v>2</v>
      </c>
      <c r="BJ48" s="96" t="str">
        <f>IF(tblPiNAnalysis512[[#This Row],['# Flags]]&gt;0, "Flagged", "")</f>
        <v>Flagged</v>
      </c>
      <c r="BK48" s="326" t="e">
        <f>tblPiNAnalysis512[[#This Row],[Preliminary Target]]</f>
        <v>#N/A</v>
      </c>
      <c r="BL48" s="331">
        <v>3</v>
      </c>
    </row>
    <row r="49" spans="1:64" x14ac:dyDescent="0.55000000000000004">
      <c r="A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9" s="316" t="s">
        <v>322</v>
      </c>
      <c r="C49" s="317" t="s">
        <v>323</v>
      </c>
      <c r="D49" s="317" t="s">
        <v>336</v>
      </c>
      <c r="E49" s="105" t="s">
        <v>337</v>
      </c>
      <c r="F49" s="100"/>
      <c r="G49" s="34"/>
      <c r="H49" s="34"/>
      <c r="I49" s="97">
        <v>63061.040191389133</v>
      </c>
      <c r="J49" s="97" t="s">
        <v>412</v>
      </c>
      <c r="K49" s="261">
        <v>27583</v>
      </c>
      <c r="L49" s="319">
        <v>12479.729405043756</v>
      </c>
      <c r="M49" s="319">
        <v>13869.297777122936</v>
      </c>
      <c r="N49" s="319">
        <v>25599.689584140335</v>
      </c>
      <c r="O49" s="319">
        <v>36467.024864190993</v>
      </c>
      <c r="P49" s="319">
        <v>20542.774046341226</v>
      </c>
      <c r="Q49" s="320">
        <v>37836.624114833481</v>
      </c>
      <c r="R49" s="319">
        <v>16332.939164796517</v>
      </c>
      <c r="S49" s="319"/>
      <c r="T49" s="319"/>
      <c r="U49" s="319"/>
      <c r="V49" s="319"/>
      <c r="W49" s="321">
        <f>IFERROR(IF(tblPiNAnalysis512[[#This Row],[CCCM]]="", "", MROUND(tblPiNAnalysis512[[#This Row],[CCCM]]/tblPiNAnalysis512[[#This Row],[Affected population projection 2026]], 0.05)), "")</f>
        <v>0.45</v>
      </c>
      <c r="X49" s="322">
        <f>IFERROR(IF(tblPiNAnalysis512[[#This Row],[Education]]="", "", MROUND(tblPiNAnalysis512[[#This Row],[Education]]/tblPiNAnalysis512[[#This Row],[Affected population projection 2026]], 0.05)), "")</f>
        <v>0.2</v>
      </c>
      <c r="Y49" s="322">
        <f>IFERROR(IF(tblPiNAnalysis512[[#This Row],[Nutrition]]="", "", MROUND(tblPiNAnalysis512[[#This Row],[Nutrition]]/tblPiNAnalysis512[[#This Row],[Affected population projection 2026]], 0.05)), "")</f>
        <v>0.2</v>
      </c>
      <c r="Z49" s="322">
        <f>IFERROR(IF(tblPiNAnalysis512[[#This Row],[Food Security]]="", "", MROUND(tblPiNAnalysis512[[#This Row],[Food Security]]/tblPiNAnalysis512[[#This Row],[Affected population projection 2026]], 0.05)), "")</f>
        <v>0.4</v>
      </c>
      <c r="AA49" s="322">
        <f>IFERROR(IF(tblPiNAnalysis512[[#This Row],[Health]]="", "", MROUND(tblPiNAnalysis512[[#This Row],[Health]]/tblPiNAnalysis512[[#This Row],[Affected population projection 2026]], 0.05)), "")</f>
        <v>0.60000000000000009</v>
      </c>
      <c r="AB49" s="323">
        <f>IFERROR(IF(tblPiNAnalysis512[[#This Row],[Overarching Protection]]="", "", MROUND(tblPiNAnalysis512[[#This Row],[Overarching Protection]]/tblPiNAnalysis512[[#This Row],[Affected population projection 2026]], 0.05)), "")</f>
        <v>0.35000000000000003</v>
      </c>
      <c r="AC49" s="323">
        <f>IFERROR(IF(tblPiNAnalysis512[[#This Row],[Shelter]]="", "", MROUND(tblPiNAnalysis512[[#This Row],[Shelter]]/tblPiNAnalysis512[[#This Row],[Affected population projection 2026]], 0.05)), "")</f>
        <v>0.60000000000000009</v>
      </c>
      <c r="AD49" s="324">
        <f>IFERROR(IF(tblPiNAnalysis512[[#This Row],[WASH]]="", "", MROUND(tblPiNAnalysis512[[#This Row],[WASH]]/tblPiNAnalysis512[[#This Row],[Affected population projection 2026]], 0.05)), "")</f>
        <v>0.25</v>
      </c>
      <c r="AE49" s="322">
        <f>IFERROR(MROUND(tblPiNAnalysis512[[#This Row],[CP]]/tblPiNAnalysis512[[#This Row],[Affected population projection 2026]], 0.05), "")</f>
        <v>0</v>
      </c>
      <c r="AF49" s="322">
        <f>IFERROR(MROUND(tblPiNAnalysis512[[#This Row],[GBV]]/tblPiNAnalysis512[[#This Row],[Affected population projection 2026]], 0.05), "")</f>
        <v>0</v>
      </c>
      <c r="AG49" s="322">
        <f>IFERROR(MROUND(tblPiNAnalysis512[[#This Row],[Mine Action]]/tblPiNAnalysis512[[#This Row],[Affected population projection 2026]], 0.05), "")</f>
        <v>0</v>
      </c>
      <c r="AH49" s="322">
        <f>IFERROR(MROUND(tblPiNAnalysis512[[#This Row],[HLP]]/tblPiNAnalysis512[[#This Row],[Affected population projection 2026]], 0.05), "")</f>
        <v>0</v>
      </c>
      <c r="AI49" s="325">
        <f>IFERROR(LARGE(tblPiNAnalysis512[[#This Row],[CCCM]:[WASH]], 1), "")</f>
        <v>37836.624114833481</v>
      </c>
      <c r="AJ49" s="326" t="str" cm="1">
        <f t="array" ref="AJ49">IF(tblPiNAnalysis512[[#This Row],[Highest Target]]="", "", _xlfn.TEXTJOIN(CHAR(10), TRUE, IF(tblPiNAnalysis512[[#This Row],[Highest Target]]=tblPiNAnalysis512[[#This Row],[CCCM]:[WASH]], tblPiNAnalysis512[[#Headers],[CCCM]:[WASH]], "")))</f>
        <v>Shelter</v>
      </c>
      <c r="AK49" s="327">
        <f>IF(tblPiNAnalysis512[[#This Row],[Highest Target]]="", "", tblPiNAnalysis512[[#This Row],[Highest Target]]/tblPiNAnalysis512[[#This Row],[Affected population projection 2026]])</f>
        <v>0.6</v>
      </c>
      <c r="AL49" s="328" t="str">
        <f>IF(SUM(tblPiNAnalysis512[[#This Row],[CCCM]:[WASH]])=0, "",IF(COUNTIF(tblPiNAnalysis512[[#This Row],[CCCM]:[WASH]],"=0")+COUNTIF(tblPiNAnalysis512[[#This Row],[CCCM]:[WASH]],"")&gt;=zero_pin_thresh, "Flagged", ""))</f>
        <v/>
      </c>
      <c r="AM49" s="329" t="str">
        <f>IFERROR(IF(tblPiNAnalysis512[[#This Row],[Highest Target]]="", "", IF(tblPiNAnalysis512[[#This Row],[Highest sector(s'') Target %]]&gt;=flag_pin_perc, "Flagged", "")), "")</f>
        <v/>
      </c>
      <c r="AN49" s="330" t="str" cm="1">
        <f t="array" ref="AN49">IF(tblPiNAnalysis512[[#This Row],[Highest Target]]=0, "",  IF(OR(COUNTIF(tblPiNAnalysis512[[#This Row],[Highest sector(s)]],tblSubSectorPopulation[Sector])), "Flagged", ""))</f>
        <v/>
      </c>
      <c r="AO49" s="46" cm="1">
        <f t="array" ref="AO4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36467.024864190993</v>
      </c>
      <c r="AP49" s="331" t="str" cm="1">
        <f t="array" ref="AP49">IF(tblPiNAnalysis512[[#This Row],[2nd Highest Target]]="", "", _xlfn.TEXTJOIN(CHAR(10), TRUE, IF(tblPiNAnalysis512[[#This Row],[2nd Highest Target]]=tblPiNAnalysis512[[#This Row],[CCCM]:[WASH]], tblPiNAnalysis512[[#Headers],[CCCM]:[WASH]], "")))</f>
        <v>Health</v>
      </c>
      <c r="AQ49" s="36">
        <f>IFERROR(tblPiNAnalysis512[[#This Row],[2nd Highest Target]]/tblPiNAnalysis512[[#This Row],[Affected population projection 2026]], "")</f>
        <v>0.57828137235786503</v>
      </c>
      <c r="AR49" s="46">
        <f>IFERROR(tblPiNAnalysis512[[#This Row],[Highest Target]]-tblPiNAnalysis512[[#This Row],[2nd Highest Target]], "")</f>
        <v>1369.5992506424882</v>
      </c>
      <c r="AS49" s="39">
        <f>IFERROR(((tblPiNAnalysis512[[#This Row],[Highest Target]]-tblPiNAnalysis512[[#This Row],[2nd Highest Target]])/tblPiNAnalysis512[[#This Row],[2nd Highest Target]]),"")</f>
        <v>3.7557197378812607E-2</v>
      </c>
      <c r="AT49" s="39" t="str" cm="1">
        <f t="array" ref="AT4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49" s="332" cm="1">
        <f t="array" ref="AU4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27583</v>
      </c>
      <c r="AV49" s="190" t="str" cm="1">
        <f t="array" ref="AV49">IF(tblPiNAnalysis512[[#This Row],[3rd Highest Target]]="", "", _xlfn.TEXTJOIN(CHAR(10), TRUE, IF(tblPiNAnalysis512[[#This Row],[3rd Highest Target]]=tblPiNAnalysis512[[#This Row],[CCCM]:[WASH]], tblPiNAnalysis512[[#Headers],[CCCM]:[WASH]], "")))</f>
        <v>CCCM</v>
      </c>
      <c r="AW49" s="190">
        <f>IFERROR(tblPiNAnalysis512[[#This Row],[3rd Highest Target]]/tblPiNAnalysis512[[#This Row],[Affected population projection 2026]], "")</f>
        <v>0.43740160194449834</v>
      </c>
      <c r="AX49" s="45">
        <f>IFERROR(tblPiNAnalysis512[[#This Row],[Highest Target]]-tblPiNAnalysis512[[#This Row],[3rd Highest Target]],"")</f>
        <v>10253.624114833481</v>
      </c>
      <c r="AY49" s="39">
        <f>IFERROR(tblPiNAnalysis512[[#This Row],[Difference of Target between Highest and 3rd Highest]]/tblPiNAnalysis512[[#This Row],[3rd Highest Target]], "")</f>
        <v>0.37173708859926335</v>
      </c>
      <c r="AZ49" s="330" t="str" cm="1">
        <f t="array" ref="AZ4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49" s="300" t="str" cm="1">
        <f t="array" ref="BA4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49" s="333" t="str" cm="1">
        <f t="array" ref="BB4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49" s="276" t="str" cm="1">
        <f t="array" ref="BC4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49" s="334" t="str" cm="1">
        <f t="array" ref="BD4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49" s="277" t="e">
        <f>INDEX(tblSeverityAnalysis[Final Severity], MATCH(tblPiNAnalysis512[[#This Row],[ID]],tblSeverityAnalysis[ID], 0))</f>
        <v>#N/A</v>
      </c>
      <c r="BF49" s="61" t="e">
        <f>IF(tblPiNAnalysis512[[#This Row],[Severity]]&gt;2,tblPiNAnalysis512[[#This Row],[Highest Target]],)</f>
        <v>#N/A</v>
      </c>
      <c r="BG49" s="191"/>
      <c r="BH49" s="192"/>
      <c r="BI49" s="193">
        <f>COUNTIFS(tblPiNAnalysis512[[#This Row],[Number of missing / zero PiNs greater than threshold - Data quality]:[Manual Flag]],"Flagged")</f>
        <v>2</v>
      </c>
      <c r="BJ49" s="96" t="str">
        <f>IF(tblPiNAnalysis512[[#This Row],['# Flags]]&gt;0, "Flagged", "")</f>
        <v>Flagged</v>
      </c>
      <c r="BK49" s="326" t="e">
        <f>tblPiNAnalysis512[[#This Row],[Preliminary Target]]</f>
        <v>#N/A</v>
      </c>
      <c r="BL49" s="331">
        <v>1</v>
      </c>
    </row>
    <row r="50" spans="1:64" x14ac:dyDescent="0.55000000000000004">
      <c r="A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0" s="316" t="s">
        <v>322</v>
      </c>
      <c r="C50" s="317" t="s">
        <v>323</v>
      </c>
      <c r="D50" s="317" t="s">
        <v>338</v>
      </c>
      <c r="E50" s="105" t="s">
        <v>339</v>
      </c>
      <c r="F50" s="100"/>
      <c r="G50" s="34"/>
      <c r="H50" s="34"/>
      <c r="I50" s="97">
        <v>12256.01658411525</v>
      </c>
      <c r="J50" s="97" t="s">
        <v>412</v>
      </c>
      <c r="K50" s="261">
        <v>0</v>
      </c>
      <c r="L50" s="319">
        <v>925.18217990169205</v>
      </c>
      <c r="M50" s="319">
        <v>2637.8329751267838</v>
      </c>
      <c r="N50" s="319">
        <v>4094.5227847282067</v>
      </c>
      <c r="O50" s="319">
        <v>7667.9788836034468</v>
      </c>
      <c r="P50" s="319">
        <v>1759.8309278350516</v>
      </c>
      <c r="Q50" s="320">
        <v>3676.8049752345746</v>
      </c>
      <c r="R50" s="319">
        <v>1684.5446580136527</v>
      </c>
      <c r="S50" s="319"/>
      <c r="T50" s="319"/>
      <c r="U50" s="319"/>
      <c r="V50" s="319"/>
      <c r="W50" s="321">
        <f>IFERROR(IF(tblPiNAnalysis512[[#This Row],[CCCM]]="", "", MROUND(tblPiNAnalysis512[[#This Row],[CCCM]]/tblPiNAnalysis512[[#This Row],[Affected population projection 2026]], 0.05)), "")</f>
        <v>0</v>
      </c>
      <c r="X50" s="322">
        <f>IFERROR(IF(tblPiNAnalysis512[[#This Row],[Education]]="", "", MROUND(tblPiNAnalysis512[[#This Row],[Education]]/tblPiNAnalysis512[[#This Row],[Affected population projection 2026]], 0.05)), "")</f>
        <v>0.1</v>
      </c>
      <c r="Y50" s="322">
        <f>IFERROR(IF(tblPiNAnalysis512[[#This Row],[Nutrition]]="", "", MROUND(tblPiNAnalysis512[[#This Row],[Nutrition]]/tblPiNAnalysis512[[#This Row],[Affected population projection 2026]], 0.05)), "")</f>
        <v>0.2</v>
      </c>
      <c r="Z50" s="322">
        <f>IFERROR(IF(tblPiNAnalysis512[[#This Row],[Food Security]]="", "", MROUND(tblPiNAnalysis512[[#This Row],[Food Security]]/tblPiNAnalysis512[[#This Row],[Affected population projection 2026]], 0.05)), "")</f>
        <v>0.35000000000000003</v>
      </c>
      <c r="AA50" s="322">
        <f>IFERROR(IF(tblPiNAnalysis512[[#This Row],[Health]]="", "", MROUND(tblPiNAnalysis512[[#This Row],[Health]]/tblPiNAnalysis512[[#This Row],[Affected population projection 2026]], 0.05)), "")</f>
        <v>0.65</v>
      </c>
      <c r="AB50" s="323">
        <f>IFERROR(IF(tblPiNAnalysis512[[#This Row],[Overarching Protection]]="", "", MROUND(tblPiNAnalysis512[[#This Row],[Overarching Protection]]/tblPiNAnalysis512[[#This Row],[Affected population projection 2026]], 0.05)), "")</f>
        <v>0.15000000000000002</v>
      </c>
      <c r="AC50" s="323">
        <f>IFERROR(IF(tblPiNAnalysis512[[#This Row],[Shelter]]="", "", MROUND(tblPiNAnalysis512[[#This Row],[Shelter]]/tblPiNAnalysis512[[#This Row],[Affected population projection 2026]], 0.05)), "")</f>
        <v>0.30000000000000004</v>
      </c>
      <c r="AD50" s="324">
        <f>IFERROR(IF(tblPiNAnalysis512[[#This Row],[WASH]]="", "", MROUND(tblPiNAnalysis512[[#This Row],[WASH]]/tblPiNAnalysis512[[#This Row],[Affected population projection 2026]], 0.05)), "")</f>
        <v>0.15000000000000002</v>
      </c>
      <c r="AE50" s="322">
        <f>IFERROR(MROUND(tblPiNAnalysis512[[#This Row],[CP]]/tblPiNAnalysis512[[#This Row],[Affected population projection 2026]], 0.05), "")</f>
        <v>0</v>
      </c>
      <c r="AF50" s="322">
        <f>IFERROR(MROUND(tblPiNAnalysis512[[#This Row],[GBV]]/tblPiNAnalysis512[[#This Row],[Affected population projection 2026]], 0.05), "")</f>
        <v>0</v>
      </c>
      <c r="AG50" s="322">
        <f>IFERROR(MROUND(tblPiNAnalysis512[[#This Row],[Mine Action]]/tblPiNAnalysis512[[#This Row],[Affected population projection 2026]], 0.05), "")</f>
        <v>0</v>
      </c>
      <c r="AH50" s="322">
        <f>IFERROR(MROUND(tblPiNAnalysis512[[#This Row],[HLP]]/tblPiNAnalysis512[[#This Row],[Affected population projection 2026]], 0.05), "")</f>
        <v>0</v>
      </c>
      <c r="AI50" s="325">
        <f>IFERROR(LARGE(tblPiNAnalysis512[[#This Row],[CCCM]:[WASH]], 1), "")</f>
        <v>7667.9788836034468</v>
      </c>
      <c r="AJ50" s="326" t="str" cm="1">
        <f t="array" ref="AJ50">IF(tblPiNAnalysis512[[#This Row],[Highest Target]]="", "", _xlfn.TEXTJOIN(CHAR(10), TRUE, IF(tblPiNAnalysis512[[#This Row],[Highest Target]]=tblPiNAnalysis512[[#This Row],[CCCM]:[WASH]], tblPiNAnalysis512[[#Headers],[CCCM]:[WASH]], "")))</f>
        <v>Health</v>
      </c>
      <c r="AK50" s="327">
        <f>IF(tblPiNAnalysis512[[#This Row],[Highest Target]]="", "", tblPiNAnalysis512[[#This Row],[Highest Target]]/tblPiNAnalysis512[[#This Row],[Affected population projection 2026]])</f>
        <v>0.6256501719769002</v>
      </c>
      <c r="AL50" s="328" t="str">
        <f>IF(SUM(tblPiNAnalysis512[[#This Row],[CCCM]:[WASH]])=0, "",IF(COUNTIF(tblPiNAnalysis512[[#This Row],[CCCM]:[WASH]],"=0")+COUNTIF(tblPiNAnalysis512[[#This Row],[CCCM]:[WASH]],"")&gt;=zero_pin_thresh, "Flagged", ""))</f>
        <v/>
      </c>
      <c r="AM50" s="329" t="str">
        <f>IFERROR(IF(tblPiNAnalysis512[[#This Row],[Highest Target]]="", "", IF(tblPiNAnalysis512[[#This Row],[Highest sector(s'') Target %]]&gt;=flag_pin_perc, "Flagged", "")), "")</f>
        <v/>
      </c>
      <c r="AN50" s="330" t="str" cm="1">
        <f t="array" ref="AN50">IF(tblPiNAnalysis512[[#This Row],[Highest Target]]=0, "",  IF(OR(COUNTIF(tblPiNAnalysis512[[#This Row],[Highest sector(s)]],tblSubSectorPopulation[Sector])), "Flagged", ""))</f>
        <v/>
      </c>
      <c r="AO50" s="46" cm="1">
        <f t="array" ref="AO5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4094.5227847282067</v>
      </c>
      <c r="AP50" s="331" t="str" cm="1">
        <f t="array" ref="AP50">IF(tblPiNAnalysis512[[#This Row],[2nd Highest Target]]="", "", _xlfn.TEXTJOIN(CHAR(10), TRUE, IF(tblPiNAnalysis512[[#This Row],[2nd Highest Target]]=tblPiNAnalysis512[[#This Row],[CCCM]:[WASH]], tblPiNAnalysis512[[#Headers],[CCCM]:[WASH]], "")))</f>
        <v>Food Security</v>
      </c>
      <c r="AQ50" s="36">
        <f>IFERROR(tblPiNAnalysis512[[#This Row],[2nd Highest Target]]/tblPiNAnalysis512[[#This Row],[Affected population projection 2026]], "")</f>
        <v>0.3340826733243023</v>
      </c>
      <c r="AR50" s="46">
        <f>IFERROR(tblPiNAnalysis512[[#This Row],[Highest Target]]-tblPiNAnalysis512[[#This Row],[2nd Highest Target]], "")</f>
        <v>3573.4560988752401</v>
      </c>
      <c r="AS50" s="39">
        <f>IFERROR(((tblPiNAnalysis512[[#This Row],[Highest Target]]-tblPiNAnalysis512[[#This Row],[2nd Highest Target]])/tblPiNAnalysis512[[#This Row],[2nd Highest Target]]),"")</f>
        <v>0.87274055775279924</v>
      </c>
      <c r="AT50" s="39" t="str" cm="1">
        <f t="array" ref="AT5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0" s="332" cm="1">
        <f t="array" ref="AU5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3676.8049752345746</v>
      </c>
      <c r="AV50" s="190" t="str" cm="1">
        <f t="array" ref="AV50">IF(tblPiNAnalysis512[[#This Row],[3rd Highest Target]]="", "", _xlfn.TEXTJOIN(CHAR(10), TRUE, IF(tblPiNAnalysis512[[#This Row],[3rd Highest Target]]=tblPiNAnalysis512[[#This Row],[CCCM]:[WASH]], tblPiNAnalysis512[[#Headers],[CCCM]:[WASH]], "")))</f>
        <v>Shelter</v>
      </c>
      <c r="AW50" s="190">
        <f>IFERROR(tblPiNAnalysis512[[#This Row],[3rd Highest Target]]/tblPiNAnalysis512[[#This Row],[Affected population projection 2026]], "")</f>
        <v>0.3</v>
      </c>
      <c r="AX50" s="45">
        <f>IFERROR(tblPiNAnalysis512[[#This Row],[Highest Target]]-tblPiNAnalysis512[[#This Row],[3rd Highest Target]],"")</f>
        <v>3991.1739083688722</v>
      </c>
      <c r="AY50" s="39">
        <f>IFERROR(tblPiNAnalysis512[[#This Row],[Difference of Target between Highest and 3rd Highest]]/tblPiNAnalysis512[[#This Row],[3rd Highest Target]], "")</f>
        <v>1.0855005732563341</v>
      </c>
      <c r="AZ50" s="330" t="str" cm="1">
        <f t="array" ref="AZ5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50" s="300" t="str" cm="1">
        <f t="array" ref="BA5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0" s="333" t="str" cm="1">
        <f t="array" ref="BB5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0" s="276" t="str" cm="1">
        <f t="array" ref="BC5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0" s="334" t="str" cm="1">
        <f t="array" ref="BD5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50" s="277" t="e">
        <f>INDEX(tblSeverityAnalysis[Final Severity], MATCH(tblPiNAnalysis512[[#This Row],[ID]],tblSeverityAnalysis[ID], 0))</f>
        <v>#N/A</v>
      </c>
      <c r="BF50" s="61" t="e">
        <f>IF(tblPiNAnalysis512[[#This Row],[Severity]]&gt;2,tblPiNAnalysis512[[#This Row],[Highest Target]],)</f>
        <v>#N/A</v>
      </c>
      <c r="BG50" s="191"/>
      <c r="BH50" s="192"/>
      <c r="BI50" s="193">
        <f>COUNTIFS(tblPiNAnalysis512[[#This Row],[Number of missing / zero PiNs greater than threshold - Data quality]:[Manual Flag]],"Flagged")</f>
        <v>3</v>
      </c>
      <c r="BJ50" s="96" t="str">
        <f>IF(tblPiNAnalysis512[[#This Row],['# Flags]]&gt;0, "Flagged", "")</f>
        <v>Flagged</v>
      </c>
      <c r="BK50" s="326" t="e">
        <f>tblPiNAnalysis512[[#This Row],[Preliminary Target]]</f>
        <v>#N/A</v>
      </c>
      <c r="BL50" s="331">
        <v>2</v>
      </c>
    </row>
    <row r="51" spans="1:64" x14ac:dyDescent="0.55000000000000004">
      <c r="A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1" s="316" t="s">
        <v>322</v>
      </c>
      <c r="C51" s="317" t="s">
        <v>323</v>
      </c>
      <c r="D51" s="317" t="s">
        <v>340</v>
      </c>
      <c r="E51" s="105" t="s">
        <v>341</v>
      </c>
      <c r="F51" s="100"/>
      <c r="G51" s="34"/>
      <c r="H51" s="34"/>
      <c r="I51" s="97">
        <v>233351.6448103383</v>
      </c>
      <c r="J51" s="97" t="s">
        <v>412</v>
      </c>
      <c r="K51" s="261">
        <v>204648</v>
      </c>
      <c r="L51" s="319">
        <v>64255.662244645791</v>
      </c>
      <c r="M51" s="319">
        <v>41134.902441791375</v>
      </c>
      <c r="N51" s="319">
        <v>108356.63210257863</v>
      </c>
      <c r="O51" s="319">
        <v>132804.97200403735</v>
      </c>
      <c r="P51" s="319">
        <v>94167.77191791551</v>
      </c>
      <c r="Q51" s="320">
        <v>100235.13833898622</v>
      </c>
      <c r="R51" s="319">
        <v>38261.747316509944</v>
      </c>
      <c r="S51" s="319"/>
      <c r="T51" s="319"/>
      <c r="U51" s="319"/>
      <c r="V51" s="319"/>
      <c r="W51" s="321">
        <f>IFERROR(IF(tblPiNAnalysis512[[#This Row],[CCCM]]="", "", MROUND(tblPiNAnalysis512[[#This Row],[CCCM]]/tblPiNAnalysis512[[#This Row],[Affected population projection 2026]], 0.05)), "")</f>
        <v>0.9</v>
      </c>
      <c r="X51" s="322">
        <f>IFERROR(IF(tblPiNAnalysis512[[#This Row],[Education]]="", "", MROUND(tblPiNAnalysis512[[#This Row],[Education]]/tblPiNAnalysis512[[#This Row],[Affected population projection 2026]], 0.05)), "")</f>
        <v>0.30000000000000004</v>
      </c>
      <c r="Y51" s="322">
        <f>IFERROR(IF(tblPiNAnalysis512[[#This Row],[Nutrition]]="", "", MROUND(tblPiNAnalysis512[[#This Row],[Nutrition]]/tblPiNAnalysis512[[#This Row],[Affected population projection 2026]], 0.05)), "")</f>
        <v>0.2</v>
      </c>
      <c r="Z51" s="322">
        <f>IFERROR(IF(tblPiNAnalysis512[[#This Row],[Food Security]]="", "", MROUND(tblPiNAnalysis512[[#This Row],[Food Security]]/tblPiNAnalysis512[[#This Row],[Affected population projection 2026]], 0.05)), "")</f>
        <v>0.45</v>
      </c>
      <c r="AA51" s="322">
        <f>IFERROR(IF(tblPiNAnalysis512[[#This Row],[Health]]="", "", MROUND(tblPiNAnalysis512[[#This Row],[Health]]/tblPiNAnalysis512[[#This Row],[Affected population projection 2026]], 0.05)), "")</f>
        <v>0.55000000000000004</v>
      </c>
      <c r="AB51" s="323">
        <f>IFERROR(IF(tblPiNAnalysis512[[#This Row],[Overarching Protection]]="", "", MROUND(tblPiNAnalysis512[[#This Row],[Overarching Protection]]/tblPiNAnalysis512[[#This Row],[Affected population projection 2026]], 0.05)), "")</f>
        <v>0.4</v>
      </c>
      <c r="AC51" s="323">
        <f>IFERROR(IF(tblPiNAnalysis512[[#This Row],[Shelter]]="", "", MROUND(tblPiNAnalysis512[[#This Row],[Shelter]]/tblPiNAnalysis512[[#This Row],[Affected population projection 2026]], 0.05)), "")</f>
        <v>0.45</v>
      </c>
      <c r="AD51" s="324">
        <f>IFERROR(IF(tblPiNAnalysis512[[#This Row],[WASH]]="", "", MROUND(tblPiNAnalysis512[[#This Row],[WASH]]/tblPiNAnalysis512[[#This Row],[Affected population projection 2026]], 0.05)), "")</f>
        <v>0.15000000000000002</v>
      </c>
      <c r="AE51" s="322">
        <f>IFERROR(MROUND(tblPiNAnalysis512[[#This Row],[CP]]/tblPiNAnalysis512[[#This Row],[Affected population projection 2026]], 0.05), "")</f>
        <v>0</v>
      </c>
      <c r="AF51" s="322">
        <f>IFERROR(MROUND(tblPiNAnalysis512[[#This Row],[GBV]]/tblPiNAnalysis512[[#This Row],[Affected population projection 2026]], 0.05), "")</f>
        <v>0</v>
      </c>
      <c r="AG51" s="322">
        <f>IFERROR(MROUND(tblPiNAnalysis512[[#This Row],[Mine Action]]/tblPiNAnalysis512[[#This Row],[Affected population projection 2026]], 0.05), "")</f>
        <v>0</v>
      </c>
      <c r="AH51" s="322">
        <f>IFERROR(MROUND(tblPiNAnalysis512[[#This Row],[HLP]]/tblPiNAnalysis512[[#This Row],[Affected population projection 2026]], 0.05), "")</f>
        <v>0</v>
      </c>
      <c r="AI51" s="325">
        <f>IFERROR(LARGE(tblPiNAnalysis512[[#This Row],[CCCM]:[WASH]], 1), "")</f>
        <v>204648</v>
      </c>
      <c r="AJ51" s="326" t="str" cm="1">
        <f t="array" ref="AJ51">IF(tblPiNAnalysis512[[#This Row],[Highest Target]]="", "", _xlfn.TEXTJOIN(CHAR(10), TRUE, IF(tblPiNAnalysis512[[#This Row],[Highest Target]]=tblPiNAnalysis512[[#This Row],[CCCM]:[WASH]], tblPiNAnalysis512[[#Headers],[CCCM]:[WASH]], "")))</f>
        <v>CCCM</v>
      </c>
      <c r="AK51" s="327">
        <f>IF(tblPiNAnalysis512[[#This Row],[Highest Target]]="", "", tblPiNAnalysis512[[#This Row],[Highest Target]]/tblPiNAnalysis512[[#This Row],[Affected population projection 2026]])</f>
        <v>0.87699403261687814</v>
      </c>
      <c r="AL51" s="328" t="str">
        <f>IF(SUM(tblPiNAnalysis512[[#This Row],[CCCM]:[WASH]])=0, "",IF(COUNTIF(tblPiNAnalysis512[[#This Row],[CCCM]:[WASH]],"=0")+COUNTIF(tblPiNAnalysis512[[#This Row],[CCCM]:[WASH]],"")&gt;=zero_pin_thresh, "Flagged", ""))</f>
        <v/>
      </c>
      <c r="AM51" s="329" t="str">
        <f>IFERROR(IF(tblPiNAnalysis512[[#This Row],[Highest Target]]="", "", IF(tblPiNAnalysis512[[#This Row],[Highest sector(s'') Target %]]&gt;=flag_pin_perc, "Flagged", "")), "")</f>
        <v/>
      </c>
      <c r="AN51" s="330" t="str" cm="1">
        <f t="array" ref="AN51">IF(tblPiNAnalysis512[[#This Row],[Highest Target]]=0, "",  IF(OR(COUNTIF(tblPiNAnalysis512[[#This Row],[Highest sector(s)]],tblSubSectorPopulation[Sector])), "Flagged", ""))</f>
        <v/>
      </c>
      <c r="AO51" s="46" cm="1">
        <f t="array" ref="AO5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132804.97200403735</v>
      </c>
      <c r="AP51" s="331" t="str" cm="1">
        <f t="array" ref="AP51">IF(tblPiNAnalysis512[[#This Row],[2nd Highest Target]]="", "", _xlfn.TEXTJOIN(CHAR(10), TRUE, IF(tblPiNAnalysis512[[#This Row],[2nd Highest Target]]=tblPiNAnalysis512[[#This Row],[CCCM]:[WASH]], tblPiNAnalysis512[[#Headers],[CCCM]:[WASH]], "")))</f>
        <v>Health</v>
      </c>
      <c r="AQ51" s="36">
        <f>IFERROR(tblPiNAnalysis512[[#This Row],[2nd Highest Target]]/tblPiNAnalysis512[[#This Row],[Affected population projection 2026]], "")</f>
        <v>0.56911950250866039</v>
      </c>
      <c r="AR51" s="46">
        <f>IFERROR(tblPiNAnalysis512[[#This Row],[Highest Target]]-tblPiNAnalysis512[[#This Row],[2nd Highest Target]], "")</f>
        <v>71843.02799596265</v>
      </c>
      <c r="AS51" s="39">
        <f>IFERROR(((tblPiNAnalysis512[[#This Row],[Highest Target]]-tblPiNAnalysis512[[#This Row],[2nd Highest Target]])/tblPiNAnalysis512[[#This Row],[2nd Highest Target]]),"")</f>
        <v>0.54096640292788567</v>
      </c>
      <c r="AT51" s="39" t="str" cm="1">
        <f t="array" ref="AT5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1" s="332" cm="1">
        <f t="array" ref="AU5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108356.63210257863</v>
      </c>
      <c r="AV51" s="190" t="str" cm="1">
        <f t="array" ref="AV51">IF(tblPiNAnalysis512[[#This Row],[3rd Highest Target]]="", "", _xlfn.TEXTJOIN(CHAR(10), TRUE, IF(tblPiNAnalysis512[[#This Row],[3rd Highest Target]]=tblPiNAnalysis512[[#This Row],[CCCM]:[WASH]], tblPiNAnalysis512[[#Headers],[CCCM]:[WASH]], "")))</f>
        <v>Food Security</v>
      </c>
      <c r="AW51" s="190">
        <f>IFERROR(tblPiNAnalysis512[[#This Row],[3rd Highest Target]]/tblPiNAnalysis512[[#This Row],[Affected population projection 2026]], "")</f>
        <v>0.46434912507536802</v>
      </c>
      <c r="AX51" s="45">
        <f>IFERROR(tblPiNAnalysis512[[#This Row],[Highest Target]]-tblPiNAnalysis512[[#This Row],[3rd Highest Target]],"")</f>
        <v>96291.367897421369</v>
      </c>
      <c r="AY51" s="39">
        <f>IFERROR(tblPiNAnalysis512[[#This Row],[Difference of Target between Highest and 3rd Highest]]/tblPiNAnalysis512[[#This Row],[3rd Highest Target]], "")</f>
        <v>0.88865227747448472</v>
      </c>
      <c r="AZ51" s="330" t="str" cm="1">
        <f t="array" ref="AZ5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51" s="300" t="str" cm="1">
        <f t="array" ref="BA5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1" s="333" t="str" cm="1">
        <f t="array" ref="BB5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51" s="276" t="str" cm="1">
        <f t="array" ref="BC5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1" s="334" t="str" cm="1">
        <f t="array" ref="BD5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1" s="277" t="e">
        <f>INDEX(tblSeverityAnalysis[Final Severity], MATCH(tblPiNAnalysis512[[#This Row],[ID]],tblSeverityAnalysis[ID], 0))</f>
        <v>#N/A</v>
      </c>
      <c r="BF51" s="61" t="e">
        <f>IF(tblPiNAnalysis512[[#This Row],[Severity]]&gt;2,tblPiNAnalysis512[[#This Row],[Highest Target]],)</f>
        <v>#N/A</v>
      </c>
      <c r="BG51" s="191"/>
      <c r="BH51" s="192"/>
      <c r="BI51" s="193">
        <f>COUNTIFS(tblPiNAnalysis512[[#This Row],[Number of missing / zero PiNs greater than threshold - Data quality]:[Manual Flag]],"Flagged")</f>
        <v>3</v>
      </c>
      <c r="BJ51" s="96" t="str">
        <f>IF(tblPiNAnalysis512[[#This Row],['# Flags]]&gt;0, "Flagged", "")</f>
        <v>Flagged</v>
      </c>
      <c r="BK51" s="326" t="e">
        <f>tblPiNAnalysis512[[#This Row],[Preliminary Target]]</f>
        <v>#N/A</v>
      </c>
      <c r="BL51" s="331">
        <v>1</v>
      </c>
    </row>
    <row r="52" spans="1:64" x14ac:dyDescent="0.55000000000000004">
      <c r="A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2" s="316" t="s">
        <v>342</v>
      </c>
      <c r="C52" s="317" t="s">
        <v>343</v>
      </c>
      <c r="D52" s="317" t="s">
        <v>344</v>
      </c>
      <c r="E52" s="105" t="s">
        <v>345</v>
      </c>
      <c r="F52" s="100"/>
      <c r="G52" s="34"/>
      <c r="H52" s="34"/>
      <c r="I52" s="97">
        <v>6074.719927136859</v>
      </c>
      <c r="J52" s="97" t="s">
        <v>412</v>
      </c>
      <c r="K52" s="261">
        <v>592</v>
      </c>
      <c r="L52" s="319">
        <v>486.8037560810393</v>
      </c>
      <c r="M52" s="319">
        <v>2019.3172490671554</v>
      </c>
      <c r="N52" s="319">
        <v>2712.3344911859526</v>
      </c>
      <c r="O52" s="319">
        <v>2701.0477263767389</v>
      </c>
      <c r="P52" s="319">
        <v>975.25458953931422</v>
      </c>
      <c r="Q52" s="320">
        <v>2126.1519744979005</v>
      </c>
      <c r="R52" s="319">
        <v>4900.2949069299302</v>
      </c>
      <c r="S52" s="319"/>
      <c r="T52" s="319"/>
      <c r="U52" s="319"/>
      <c r="V52" s="319"/>
      <c r="W52" s="321">
        <f>IFERROR(IF(tblPiNAnalysis512[[#This Row],[CCCM]]="", "", MROUND(tblPiNAnalysis512[[#This Row],[CCCM]]/tblPiNAnalysis512[[#This Row],[Affected population projection 2026]], 0.05)), "")</f>
        <v>0.1</v>
      </c>
      <c r="X52" s="322">
        <f>IFERROR(IF(tblPiNAnalysis512[[#This Row],[Education]]="", "", MROUND(tblPiNAnalysis512[[#This Row],[Education]]/tblPiNAnalysis512[[#This Row],[Affected population projection 2026]], 0.05)), "")</f>
        <v>0.1</v>
      </c>
      <c r="Y52" s="322">
        <f>IFERROR(IF(tblPiNAnalysis512[[#This Row],[Nutrition]]="", "", MROUND(tblPiNAnalysis512[[#This Row],[Nutrition]]/tblPiNAnalysis512[[#This Row],[Affected population projection 2026]], 0.05)), "")</f>
        <v>0.35000000000000003</v>
      </c>
      <c r="Z52" s="322">
        <f>IFERROR(IF(tblPiNAnalysis512[[#This Row],[Food Security]]="", "", MROUND(tblPiNAnalysis512[[#This Row],[Food Security]]/tblPiNAnalysis512[[#This Row],[Affected population projection 2026]], 0.05)), "")</f>
        <v>0.45</v>
      </c>
      <c r="AA52" s="322">
        <f>IFERROR(IF(tblPiNAnalysis512[[#This Row],[Health]]="", "", MROUND(tblPiNAnalysis512[[#This Row],[Health]]/tblPiNAnalysis512[[#This Row],[Affected population projection 2026]], 0.05)), "")</f>
        <v>0.45</v>
      </c>
      <c r="AB52" s="323">
        <f>IFERROR(IF(tblPiNAnalysis512[[#This Row],[Overarching Protection]]="", "", MROUND(tblPiNAnalysis512[[#This Row],[Overarching Protection]]/tblPiNAnalysis512[[#This Row],[Affected population projection 2026]], 0.05)), "")</f>
        <v>0.15000000000000002</v>
      </c>
      <c r="AC52" s="323">
        <f>IFERROR(IF(tblPiNAnalysis512[[#This Row],[Shelter]]="", "", MROUND(tblPiNAnalysis512[[#This Row],[Shelter]]/tblPiNAnalysis512[[#This Row],[Affected population projection 2026]], 0.05)), "")</f>
        <v>0.35000000000000003</v>
      </c>
      <c r="AD52" s="324">
        <f>IFERROR(IF(tblPiNAnalysis512[[#This Row],[WASH]]="", "", MROUND(tblPiNAnalysis512[[#This Row],[WASH]]/tblPiNAnalysis512[[#This Row],[Affected population projection 2026]], 0.05)), "")</f>
        <v>0.8</v>
      </c>
      <c r="AE52" s="322">
        <f>IFERROR(MROUND(tblPiNAnalysis512[[#This Row],[CP]]/tblPiNAnalysis512[[#This Row],[Affected population projection 2026]], 0.05), "")</f>
        <v>0</v>
      </c>
      <c r="AF52" s="322">
        <f>IFERROR(MROUND(tblPiNAnalysis512[[#This Row],[GBV]]/tblPiNAnalysis512[[#This Row],[Affected population projection 2026]], 0.05), "")</f>
        <v>0</v>
      </c>
      <c r="AG52" s="322">
        <f>IFERROR(MROUND(tblPiNAnalysis512[[#This Row],[Mine Action]]/tblPiNAnalysis512[[#This Row],[Affected population projection 2026]], 0.05), "")</f>
        <v>0</v>
      </c>
      <c r="AH52" s="322">
        <f>IFERROR(MROUND(tblPiNAnalysis512[[#This Row],[HLP]]/tblPiNAnalysis512[[#This Row],[Affected population projection 2026]], 0.05), "")</f>
        <v>0</v>
      </c>
      <c r="AI52" s="325">
        <f>IFERROR(LARGE(tblPiNAnalysis512[[#This Row],[CCCM]:[WASH]], 1), "")</f>
        <v>4900.2949069299302</v>
      </c>
      <c r="AJ52" s="326" t="str" cm="1">
        <f t="array" ref="AJ52">IF(tblPiNAnalysis512[[#This Row],[Highest Target]]="", "", _xlfn.TEXTJOIN(CHAR(10), TRUE, IF(tblPiNAnalysis512[[#This Row],[Highest Target]]=tblPiNAnalysis512[[#This Row],[CCCM]:[WASH]], tblPiNAnalysis512[[#Headers],[CCCM]:[WASH]], "")))</f>
        <v>WASH</v>
      </c>
      <c r="AK52" s="327">
        <f>IF(tblPiNAnalysis512[[#This Row],[Highest Target]]="", "", tblPiNAnalysis512[[#This Row],[Highest Target]]/tblPiNAnalysis512[[#This Row],[Affected population projection 2026]])</f>
        <v>0.80667009602194784</v>
      </c>
      <c r="AL52" s="328" t="str">
        <f>IF(SUM(tblPiNAnalysis512[[#This Row],[CCCM]:[WASH]])=0, "",IF(COUNTIF(tblPiNAnalysis512[[#This Row],[CCCM]:[WASH]],"=0")+COUNTIF(tblPiNAnalysis512[[#This Row],[CCCM]:[WASH]],"")&gt;=zero_pin_thresh, "Flagged", ""))</f>
        <v/>
      </c>
      <c r="AM52" s="329" t="str">
        <f>IFERROR(IF(tblPiNAnalysis512[[#This Row],[Highest Target]]="", "", IF(tblPiNAnalysis512[[#This Row],[Highest sector(s'') Target %]]&gt;=flag_pin_perc, "Flagged", "")), "")</f>
        <v/>
      </c>
      <c r="AN52" s="330" t="str" cm="1">
        <f t="array" ref="AN52">IF(tblPiNAnalysis512[[#This Row],[Highest Target]]=0, "",  IF(OR(COUNTIF(tblPiNAnalysis512[[#This Row],[Highest sector(s)]],tblSubSectorPopulation[Sector])), "Flagged", ""))</f>
        <v/>
      </c>
      <c r="AO52" s="46" cm="1">
        <f t="array" ref="AO5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2712.3344911859526</v>
      </c>
      <c r="AP52" s="331" t="str" cm="1">
        <f t="array" ref="AP52">IF(tblPiNAnalysis512[[#This Row],[2nd Highest Target]]="", "", _xlfn.TEXTJOIN(CHAR(10), TRUE, IF(tblPiNAnalysis512[[#This Row],[2nd Highest Target]]=tblPiNAnalysis512[[#This Row],[CCCM]:[WASH]], tblPiNAnalysis512[[#Headers],[CCCM]:[WASH]], "")))</f>
        <v>Food Security</v>
      </c>
      <c r="AQ52" s="36">
        <f>IFERROR(tblPiNAnalysis512[[#This Row],[2nd Highest Target]]/tblPiNAnalysis512[[#This Row],[Affected population projection 2026]], "")</f>
        <v>0.44649539793093507</v>
      </c>
      <c r="AR52" s="46">
        <f>IFERROR(tblPiNAnalysis512[[#This Row],[Highest Target]]-tblPiNAnalysis512[[#This Row],[2nd Highest Target]], "")</f>
        <v>2187.9604157439776</v>
      </c>
      <c r="AS52" s="39">
        <f>IFERROR(((tblPiNAnalysis512[[#This Row],[Highest Target]]-tblPiNAnalysis512[[#This Row],[2nd Highest Target]])/tblPiNAnalysis512[[#This Row],[2nd Highest Target]]),"")</f>
        <v>0.80667057210458748</v>
      </c>
      <c r="AT52" s="39" t="str" cm="1">
        <f t="array" ref="AT5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2" s="332" cm="1">
        <f t="array" ref="AU5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2701.0477263767389</v>
      </c>
      <c r="AV52" s="190" t="str" cm="1">
        <f t="array" ref="AV52">IF(tblPiNAnalysis512[[#This Row],[3rd Highest Target]]="", "", _xlfn.TEXTJOIN(CHAR(10), TRUE, IF(tblPiNAnalysis512[[#This Row],[3rd Highest Target]]=tblPiNAnalysis512[[#This Row],[CCCM]:[WASH]], tblPiNAnalysis512[[#Headers],[CCCM]:[WASH]], "")))</f>
        <v>Health</v>
      </c>
      <c r="AW52" s="190">
        <f>IFERROR(tblPiNAnalysis512[[#This Row],[3rd Highest Target]]/tblPiNAnalysis512[[#This Row],[Affected population projection 2026]], "")</f>
        <v>0.44463740860062967</v>
      </c>
      <c r="AX52" s="45">
        <f>IFERROR(tblPiNAnalysis512[[#This Row],[Highest Target]]-tblPiNAnalysis512[[#This Row],[3rd Highest Target]],"")</f>
        <v>2199.2471805531914</v>
      </c>
      <c r="AY52" s="39">
        <f>IFERROR(tblPiNAnalysis512[[#This Row],[Difference of Target between Highest and 3rd Highest]]/tblPiNAnalysis512[[#This Row],[3rd Highest Target]], "")</f>
        <v>0.81422003731245551</v>
      </c>
      <c r="AZ52" s="330" t="str" cm="1">
        <f t="array" ref="AZ5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52" s="300" t="str" cm="1">
        <f t="array" ref="BA5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2" s="333" t="str" cm="1">
        <f t="array" ref="BB5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52" s="276" t="str" cm="1">
        <f t="array" ref="BC5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2" s="334" t="str" cm="1">
        <f t="array" ref="BD5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52" s="277" t="e">
        <f>INDEX(tblSeverityAnalysis[Final Severity], MATCH(tblPiNAnalysis512[[#This Row],[ID]],tblSeverityAnalysis[ID], 0))</f>
        <v>#N/A</v>
      </c>
      <c r="BF52" s="61" t="e">
        <f>IF(tblPiNAnalysis512[[#This Row],[Severity]]&gt;2,tblPiNAnalysis512[[#This Row],[Highest Target]],)</f>
        <v>#N/A</v>
      </c>
      <c r="BG52" s="191"/>
      <c r="BH52" s="192"/>
      <c r="BI52" s="193">
        <f>COUNTIFS(tblPiNAnalysis512[[#This Row],[Number of missing / zero PiNs greater than threshold - Data quality]:[Manual Flag]],"Flagged")</f>
        <v>2</v>
      </c>
      <c r="BJ52" s="96" t="str">
        <f>IF(tblPiNAnalysis512[[#This Row],['# Flags]]&gt;0, "Flagged", "")</f>
        <v>Flagged</v>
      </c>
      <c r="BK52" s="326" t="e">
        <f>tblPiNAnalysis512[[#This Row],[Preliminary Target]]</f>
        <v>#N/A</v>
      </c>
      <c r="BL52" s="331">
        <v>2</v>
      </c>
    </row>
    <row r="53" spans="1:64" x14ac:dyDescent="0.55000000000000004">
      <c r="A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3" s="316" t="s">
        <v>342</v>
      </c>
      <c r="C53" s="317" t="s">
        <v>343</v>
      </c>
      <c r="D53" s="317" t="s">
        <v>346</v>
      </c>
      <c r="E53" s="105" t="s">
        <v>347</v>
      </c>
      <c r="F53" s="100"/>
      <c r="G53" s="34"/>
      <c r="H53" s="34"/>
      <c r="I53" s="97">
        <v>30713.015967447398</v>
      </c>
      <c r="J53" s="97" t="s">
        <v>412</v>
      </c>
      <c r="K53" s="261">
        <v>15575</v>
      </c>
      <c r="L53" s="319">
        <v>10474.612669666001</v>
      </c>
      <c r="M53" s="319">
        <v>5444.4795536661668</v>
      </c>
      <c r="N53" s="319">
        <v>11909.444927664776</v>
      </c>
      <c r="O53" s="319">
        <v>9464.7070587421695</v>
      </c>
      <c r="P53" s="319">
        <v>16740.810733052764</v>
      </c>
      <c r="Q53" s="320">
        <v>17199.288941770545</v>
      </c>
      <c r="R53" s="319">
        <v>27959.934408207315</v>
      </c>
      <c r="S53" s="319"/>
      <c r="T53" s="319"/>
      <c r="U53" s="319"/>
      <c r="V53" s="319"/>
      <c r="W53" s="321">
        <f>IFERROR(IF(tblPiNAnalysis512[[#This Row],[CCCM]]="", "", MROUND(tblPiNAnalysis512[[#This Row],[CCCM]]/tblPiNAnalysis512[[#This Row],[Affected population projection 2026]], 0.05)), "")</f>
        <v>0.5</v>
      </c>
      <c r="X53" s="322">
        <f>IFERROR(IF(tblPiNAnalysis512[[#This Row],[Education]]="", "", MROUND(tblPiNAnalysis512[[#This Row],[Education]]/tblPiNAnalysis512[[#This Row],[Affected population projection 2026]], 0.05)), "")</f>
        <v>0.35000000000000003</v>
      </c>
      <c r="Y53" s="322">
        <f>IFERROR(IF(tblPiNAnalysis512[[#This Row],[Nutrition]]="", "", MROUND(tblPiNAnalysis512[[#This Row],[Nutrition]]/tblPiNAnalysis512[[#This Row],[Affected population projection 2026]], 0.05)), "")</f>
        <v>0.2</v>
      </c>
      <c r="Z53" s="322">
        <f>IFERROR(IF(tblPiNAnalysis512[[#This Row],[Food Security]]="", "", MROUND(tblPiNAnalysis512[[#This Row],[Food Security]]/tblPiNAnalysis512[[#This Row],[Affected population projection 2026]], 0.05)), "")</f>
        <v>0.4</v>
      </c>
      <c r="AA53" s="322">
        <f>IFERROR(IF(tblPiNAnalysis512[[#This Row],[Health]]="", "", MROUND(tblPiNAnalysis512[[#This Row],[Health]]/tblPiNAnalysis512[[#This Row],[Affected population projection 2026]], 0.05)), "")</f>
        <v>0.30000000000000004</v>
      </c>
      <c r="AB53" s="323">
        <f>IFERROR(IF(tblPiNAnalysis512[[#This Row],[Overarching Protection]]="", "", MROUND(tblPiNAnalysis512[[#This Row],[Overarching Protection]]/tblPiNAnalysis512[[#This Row],[Affected population projection 2026]], 0.05)), "")</f>
        <v>0.55000000000000004</v>
      </c>
      <c r="AC53" s="323">
        <f>IFERROR(IF(tblPiNAnalysis512[[#This Row],[Shelter]]="", "", MROUND(tblPiNAnalysis512[[#This Row],[Shelter]]/tblPiNAnalysis512[[#This Row],[Affected population projection 2026]], 0.05)), "")</f>
        <v>0.55000000000000004</v>
      </c>
      <c r="AD53" s="324">
        <f>IFERROR(IF(tblPiNAnalysis512[[#This Row],[WASH]]="", "", MROUND(tblPiNAnalysis512[[#This Row],[WASH]]/tblPiNAnalysis512[[#This Row],[Affected population projection 2026]], 0.05)), "")</f>
        <v>0.9</v>
      </c>
      <c r="AE53" s="322">
        <f>IFERROR(MROUND(tblPiNAnalysis512[[#This Row],[CP]]/tblPiNAnalysis512[[#This Row],[Affected population projection 2026]], 0.05), "")</f>
        <v>0</v>
      </c>
      <c r="AF53" s="322">
        <f>IFERROR(MROUND(tblPiNAnalysis512[[#This Row],[GBV]]/tblPiNAnalysis512[[#This Row],[Affected population projection 2026]], 0.05), "")</f>
        <v>0</v>
      </c>
      <c r="AG53" s="322">
        <f>IFERROR(MROUND(tblPiNAnalysis512[[#This Row],[Mine Action]]/tblPiNAnalysis512[[#This Row],[Affected population projection 2026]], 0.05), "")</f>
        <v>0</v>
      </c>
      <c r="AH53" s="322">
        <f>IFERROR(MROUND(tblPiNAnalysis512[[#This Row],[HLP]]/tblPiNAnalysis512[[#This Row],[Affected population projection 2026]], 0.05), "")</f>
        <v>0</v>
      </c>
      <c r="AI53" s="325">
        <f>IFERROR(LARGE(tblPiNAnalysis512[[#This Row],[CCCM]:[WASH]], 1), "")</f>
        <v>27959.934408207315</v>
      </c>
      <c r="AJ53" s="326" t="str" cm="1">
        <f t="array" ref="AJ53">IF(tblPiNAnalysis512[[#This Row],[Highest Target]]="", "", _xlfn.TEXTJOIN(CHAR(10), TRUE, IF(tblPiNAnalysis512[[#This Row],[Highest Target]]=tblPiNAnalysis512[[#This Row],[CCCM]:[WASH]], tblPiNAnalysis512[[#Headers],[CCCM]:[WASH]], "")))</f>
        <v>WASH</v>
      </c>
      <c r="AK53" s="327">
        <f>IF(tblPiNAnalysis512[[#This Row],[Highest Target]]="", "", tblPiNAnalysis512[[#This Row],[Highest Target]]/tblPiNAnalysis512[[#This Row],[Affected population projection 2026]])</f>
        <v>0.91036108071711153</v>
      </c>
      <c r="AL53" s="328" t="str">
        <f>IF(SUM(tblPiNAnalysis512[[#This Row],[CCCM]:[WASH]])=0, "",IF(COUNTIF(tblPiNAnalysis512[[#This Row],[CCCM]:[WASH]],"=0")+COUNTIF(tblPiNAnalysis512[[#This Row],[CCCM]:[WASH]],"")&gt;=zero_pin_thresh, "Flagged", ""))</f>
        <v/>
      </c>
      <c r="AM53" s="329" t="str">
        <f>IFERROR(IF(tblPiNAnalysis512[[#This Row],[Highest Target]]="", "", IF(tblPiNAnalysis512[[#This Row],[Highest sector(s'') Target %]]&gt;=flag_pin_perc, "Flagged", "")), "")</f>
        <v>Flagged</v>
      </c>
      <c r="AN53" s="330" t="str" cm="1">
        <f t="array" ref="AN53">IF(tblPiNAnalysis512[[#This Row],[Highest Target]]=0, "",  IF(OR(COUNTIF(tblPiNAnalysis512[[#This Row],[Highest sector(s)]],tblSubSectorPopulation[Sector])), "Flagged", ""))</f>
        <v/>
      </c>
      <c r="AO53" s="46" cm="1">
        <f t="array" ref="AO5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17199.288941770545</v>
      </c>
      <c r="AP53" s="331" t="str" cm="1">
        <f t="array" ref="AP53">IF(tblPiNAnalysis512[[#This Row],[2nd Highest Target]]="", "", _xlfn.TEXTJOIN(CHAR(10), TRUE, IF(tblPiNAnalysis512[[#This Row],[2nd Highest Target]]=tblPiNAnalysis512[[#This Row],[CCCM]:[WASH]], tblPiNAnalysis512[[#Headers],[CCCM]:[WASH]], "")))</f>
        <v>Shelter</v>
      </c>
      <c r="AQ53" s="36">
        <f>IFERROR(tblPiNAnalysis512[[#This Row],[2nd Highest Target]]/tblPiNAnalysis512[[#This Row],[Affected population projection 2026]], "")</f>
        <v>0.56000000000000005</v>
      </c>
      <c r="AR53" s="46">
        <f>IFERROR(tblPiNAnalysis512[[#This Row],[Highest Target]]-tblPiNAnalysis512[[#This Row],[2nd Highest Target]], "")</f>
        <v>10760.64546643677</v>
      </c>
      <c r="AS53" s="39">
        <f>IFERROR(((tblPiNAnalysis512[[#This Row],[Highest Target]]-tblPiNAnalysis512[[#This Row],[2nd Highest Target]])/tblPiNAnalysis512[[#This Row],[2nd Highest Target]]),"")</f>
        <v>0.62564478699484183</v>
      </c>
      <c r="AT53" s="39" t="str" cm="1">
        <f t="array" ref="AT5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3" s="332" cm="1">
        <f t="array" ref="AU5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16740.810733052764</v>
      </c>
      <c r="AV53" s="190" t="str" cm="1">
        <f t="array" ref="AV53">IF(tblPiNAnalysis512[[#This Row],[3rd Highest Target]]="", "", _xlfn.TEXTJOIN(CHAR(10), TRUE, IF(tblPiNAnalysis512[[#This Row],[3rd Highest Target]]=tblPiNAnalysis512[[#This Row],[CCCM]:[WASH]], tblPiNAnalysis512[[#Headers],[CCCM]:[WASH]], "")))</f>
        <v>Overarching Protection</v>
      </c>
      <c r="AW53" s="190">
        <f>IFERROR(tblPiNAnalysis512[[#This Row],[3rd Highest Target]]/tblPiNAnalysis512[[#This Row],[Affected population projection 2026]], "")</f>
        <v>0.54507218538212854</v>
      </c>
      <c r="AX53" s="45">
        <f>IFERROR(tblPiNAnalysis512[[#This Row],[Highest Target]]-tblPiNAnalysis512[[#This Row],[3rd Highest Target]],"")</f>
        <v>11219.123675154551</v>
      </c>
      <c r="AY53" s="39">
        <f>IFERROR(tblPiNAnalysis512[[#This Row],[Difference of Target between Highest and 3rd Highest]]/tblPiNAnalysis512[[#This Row],[3rd Highest Target]], "")</f>
        <v>0.67016609016454087</v>
      </c>
      <c r="AZ53" s="330" t="str" cm="1">
        <f t="array" ref="AZ5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53" s="300" t="str" cm="1">
        <f t="array" ref="BA5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3" s="333" t="str" cm="1">
        <f t="array" ref="BB5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53" s="276" t="str" cm="1">
        <f t="array" ref="BC5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3" s="334" t="str" cm="1">
        <f t="array" ref="BD5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3" s="277" t="e">
        <f>INDEX(tblSeverityAnalysis[Final Severity], MATCH(tblPiNAnalysis512[[#This Row],[ID]],tblSeverityAnalysis[ID], 0))</f>
        <v>#N/A</v>
      </c>
      <c r="BF53" s="61" t="e">
        <f>IF(tblPiNAnalysis512[[#This Row],[Severity]]&gt;2,tblPiNAnalysis512[[#This Row],[Highest Target]],)</f>
        <v>#N/A</v>
      </c>
      <c r="BG53" s="191"/>
      <c r="BH53" s="192"/>
      <c r="BI53" s="193">
        <f>COUNTIFS(tblPiNAnalysis512[[#This Row],[Number of missing / zero PiNs greater than threshold - Data quality]:[Manual Flag]],"Flagged")</f>
        <v>4</v>
      </c>
      <c r="BJ53" s="96" t="str">
        <f>IF(tblPiNAnalysis512[[#This Row],['# Flags]]&gt;0, "Flagged", "")</f>
        <v>Flagged</v>
      </c>
      <c r="BK53" s="326" t="e">
        <f>tblPiNAnalysis512[[#This Row],[Preliminary Target]]</f>
        <v>#N/A</v>
      </c>
      <c r="BL53" s="331">
        <v>1</v>
      </c>
    </row>
    <row r="54" spans="1:64" x14ac:dyDescent="0.55000000000000004">
      <c r="A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4" s="316" t="s">
        <v>342</v>
      </c>
      <c r="C54" s="317" t="s">
        <v>343</v>
      </c>
      <c r="D54" s="317" t="s">
        <v>348</v>
      </c>
      <c r="E54" s="105" t="s">
        <v>349</v>
      </c>
      <c r="F54" s="100"/>
      <c r="G54" s="34"/>
      <c r="H54" s="34"/>
      <c r="I54" s="97">
        <v>4270.8268474169781</v>
      </c>
      <c r="J54" s="97" t="s">
        <v>412</v>
      </c>
      <c r="K54" s="261">
        <v>0</v>
      </c>
      <c r="L54" s="319">
        <v>1471.4770882493167</v>
      </c>
      <c r="M54" s="319">
        <v>803.22324479776319</v>
      </c>
      <c r="N54" s="319">
        <v>2237.5550141790695</v>
      </c>
      <c r="O54" s="319">
        <v>1298.3398448072323</v>
      </c>
      <c r="P54" s="319">
        <v>1737.3112220408948</v>
      </c>
      <c r="Q54" s="320">
        <v>2989.5787931918844</v>
      </c>
      <c r="R54" s="319">
        <v>359.10748426643897</v>
      </c>
      <c r="S54" s="319"/>
      <c r="T54" s="319"/>
      <c r="U54" s="319"/>
      <c r="V54" s="319"/>
      <c r="W54" s="321">
        <f>IFERROR(IF(tblPiNAnalysis512[[#This Row],[CCCM]]="", "", MROUND(tblPiNAnalysis512[[#This Row],[CCCM]]/tblPiNAnalysis512[[#This Row],[Affected population projection 2026]], 0.05)), "")</f>
        <v>0</v>
      </c>
      <c r="X54" s="322">
        <f>IFERROR(IF(tblPiNAnalysis512[[#This Row],[Education]]="", "", MROUND(tblPiNAnalysis512[[#This Row],[Education]]/tblPiNAnalysis512[[#This Row],[Affected population projection 2026]], 0.05)), "")</f>
        <v>0.35000000000000003</v>
      </c>
      <c r="Y54" s="322">
        <f>IFERROR(IF(tblPiNAnalysis512[[#This Row],[Nutrition]]="", "", MROUND(tblPiNAnalysis512[[#This Row],[Nutrition]]/tblPiNAnalysis512[[#This Row],[Affected population projection 2026]], 0.05)), "")</f>
        <v>0.2</v>
      </c>
      <c r="Z54" s="322">
        <f>IFERROR(IF(tblPiNAnalysis512[[#This Row],[Food Security]]="", "", MROUND(tblPiNAnalysis512[[#This Row],[Food Security]]/tblPiNAnalysis512[[#This Row],[Affected population projection 2026]], 0.05)), "")</f>
        <v>0.5</v>
      </c>
      <c r="AA54" s="322">
        <f>IFERROR(IF(tblPiNAnalysis512[[#This Row],[Health]]="", "", MROUND(tblPiNAnalysis512[[#This Row],[Health]]/tblPiNAnalysis512[[#This Row],[Affected population projection 2026]], 0.05)), "")</f>
        <v>0.30000000000000004</v>
      </c>
      <c r="AB54" s="323">
        <f>IFERROR(IF(tblPiNAnalysis512[[#This Row],[Overarching Protection]]="", "", MROUND(tblPiNAnalysis512[[#This Row],[Overarching Protection]]/tblPiNAnalysis512[[#This Row],[Affected population projection 2026]], 0.05)), "")</f>
        <v>0.4</v>
      </c>
      <c r="AC54" s="323">
        <f>IFERROR(IF(tblPiNAnalysis512[[#This Row],[Shelter]]="", "", MROUND(tblPiNAnalysis512[[#This Row],[Shelter]]/tblPiNAnalysis512[[#This Row],[Affected population projection 2026]], 0.05)), "")</f>
        <v>0.70000000000000007</v>
      </c>
      <c r="AD54" s="324">
        <f>IFERROR(IF(tblPiNAnalysis512[[#This Row],[WASH]]="", "", MROUND(tblPiNAnalysis512[[#This Row],[WASH]]/tblPiNAnalysis512[[#This Row],[Affected population projection 2026]], 0.05)), "")</f>
        <v>0.1</v>
      </c>
      <c r="AE54" s="322">
        <f>IFERROR(MROUND(tblPiNAnalysis512[[#This Row],[CP]]/tblPiNAnalysis512[[#This Row],[Affected population projection 2026]], 0.05), "")</f>
        <v>0</v>
      </c>
      <c r="AF54" s="322">
        <f>IFERROR(MROUND(tblPiNAnalysis512[[#This Row],[GBV]]/tblPiNAnalysis512[[#This Row],[Affected population projection 2026]], 0.05), "")</f>
        <v>0</v>
      </c>
      <c r="AG54" s="322">
        <f>IFERROR(MROUND(tblPiNAnalysis512[[#This Row],[Mine Action]]/tblPiNAnalysis512[[#This Row],[Affected population projection 2026]], 0.05), "")</f>
        <v>0</v>
      </c>
      <c r="AH54" s="322">
        <f>IFERROR(MROUND(tblPiNAnalysis512[[#This Row],[HLP]]/tblPiNAnalysis512[[#This Row],[Affected population projection 2026]], 0.05), "")</f>
        <v>0</v>
      </c>
      <c r="AI54" s="325">
        <f>IFERROR(LARGE(tblPiNAnalysis512[[#This Row],[CCCM]:[WASH]], 1), "")</f>
        <v>2989.5787931918844</v>
      </c>
      <c r="AJ54" s="326" t="str" cm="1">
        <f t="array" ref="AJ54">IF(tblPiNAnalysis512[[#This Row],[Highest Target]]="", "", _xlfn.TEXTJOIN(CHAR(10), TRUE, IF(tblPiNAnalysis512[[#This Row],[Highest Target]]=tblPiNAnalysis512[[#This Row],[CCCM]:[WASH]], tblPiNAnalysis512[[#Headers],[CCCM]:[WASH]], "")))</f>
        <v>Shelter</v>
      </c>
      <c r="AK54" s="327">
        <f>IF(tblPiNAnalysis512[[#This Row],[Highest Target]]="", "", tblPiNAnalysis512[[#This Row],[Highest Target]]/tblPiNAnalysis512[[#This Row],[Affected population projection 2026]])</f>
        <v>0.7</v>
      </c>
      <c r="AL54" s="328" t="str">
        <f>IF(SUM(tblPiNAnalysis512[[#This Row],[CCCM]:[WASH]])=0, "",IF(COUNTIF(tblPiNAnalysis512[[#This Row],[CCCM]:[WASH]],"=0")+COUNTIF(tblPiNAnalysis512[[#This Row],[CCCM]:[WASH]],"")&gt;=zero_pin_thresh, "Flagged", ""))</f>
        <v/>
      </c>
      <c r="AM54" s="329" t="str">
        <f>IFERROR(IF(tblPiNAnalysis512[[#This Row],[Highest Target]]="", "", IF(tblPiNAnalysis512[[#This Row],[Highest sector(s'') Target %]]&gt;=flag_pin_perc, "Flagged", "")), "")</f>
        <v/>
      </c>
      <c r="AN54" s="330" t="str" cm="1">
        <f t="array" ref="AN54">IF(tblPiNAnalysis512[[#This Row],[Highest Target]]=0, "",  IF(OR(COUNTIF(tblPiNAnalysis512[[#This Row],[Highest sector(s)]],tblSubSectorPopulation[Sector])), "Flagged", ""))</f>
        <v/>
      </c>
      <c r="AO54" s="46" cm="1">
        <f t="array" ref="AO5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2237.5550141790695</v>
      </c>
      <c r="AP54" s="331" t="str" cm="1">
        <f t="array" ref="AP54">IF(tblPiNAnalysis512[[#This Row],[2nd Highest Target]]="", "", _xlfn.TEXTJOIN(CHAR(10), TRUE, IF(tblPiNAnalysis512[[#This Row],[2nd Highest Target]]=tblPiNAnalysis512[[#This Row],[CCCM]:[WASH]], tblPiNAnalysis512[[#Headers],[CCCM]:[WASH]], "")))</f>
        <v>Food Security</v>
      </c>
      <c r="AQ54" s="36">
        <f>IFERROR(tblPiNAnalysis512[[#This Row],[2nd Highest Target]]/tblPiNAnalysis512[[#This Row],[Affected population projection 2026]], "")</f>
        <v>0.52391611604023614</v>
      </c>
      <c r="AR54" s="46">
        <f>IFERROR(tblPiNAnalysis512[[#This Row],[Highest Target]]-tblPiNAnalysis512[[#This Row],[2nd Highest Target]], "")</f>
        <v>752.02377901281488</v>
      </c>
      <c r="AS54" s="39">
        <f>IFERROR(((tblPiNAnalysis512[[#This Row],[Highest Target]]-tblPiNAnalysis512[[#This Row],[2nd Highest Target]])/tblPiNAnalysis512[[#This Row],[2nd Highest Target]]),"")</f>
        <v>0.33609174936363423</v>
      </c>
      <c r="AT54" s="39" t="str" cm="1">
        <f t="array" ref="AT5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4" s="332" cm="1">
        <f t="array" ref="AU5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1737.3112220408948</v>
      </c>
      <c r="AV54" s="190" t="str" cm="1">
        <f t="array" ref="AV54">IF(tblPiNAnalysis512[[#This Row],[3rd Highest Target]]="", "", _xlfn.TEXTJOIN(CHAR(10), TRUE, IF(tblPiNAnalysis512[[#This Row],[3rd Highest Target]]=tblPiNAnalysis512[[#This Row],[CCCM]:[WASH]], tblPiNAnalysis512[[#Headers],[CCCM]:[WASH]], "")))</f>
        <v>Overarching Protection</v>
      </c>
      <c r="AW54" s="190">
        <f>IFERROR(tblPiNAnalysis512[[#This Row],[3rd Highest Target]]/tblPiNAnalysis512[[#This Row],[Affected population projection 2026]], "")</f>
        <v>0.40678568439074769</v>
      </c>
      <c r="AX54" s="45">
        <f>IFERROR(tblPiNAnalysis512[[#This Row],[Highest Target]]-tblPiNAnalysis512[[#This Row],[3rd Highest Target]],"")</f>
        <v>1252.2675711509896</v>
      </c>
      <c r="AY54" s="39">
        <f>IFERROR(tblPiNAnalysis512[[#This Row],[Difference of Target between Highest and 3rd Highest]]/tblPiNAnalysis512[[#This Row],[3rd Highest Target]], "")</f>
        <v>0.72080785253887703</v>
      </c>
      <c r="AZ54" s="330" t="str" cm="1">
        <f t="array" ref="AZ5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54" s="300" t="str" cm="1">
        <f t="array" ref="BA5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4" s="333" t="str" cm="1">
        <f t="array" ref="BB5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4" s="276" t="str" cm="1">
        <f t="array" ref="BC5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4" s="334" t="str" cm="1">
        <f t="array" ref="BD5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54" s="277" t="e">
        <f>INDEX(tblSeverityAnalysis[Final Severity], MATCH(tblPiNAnalysis512[[#This Row],[ID]],tblSeverityAnalysis[ID], 0))</f>
        <v>#N/A</v>
      </c>
      <c r="BF54" s="61" t="e">
        <f>IF(tblPiNAnalysis512[[#This Row],[Severity]]&gt;2,tblPiNAnalysis512[[#This Row],[Highest Target]],)</f>
        <v>#N/A</v>
      </c>
      <c r="BG54" s="191"/>
      <c r="BH54" s="192"/>
      <c r="BI54" s="193">
        <f>COUNTIFS(tblPiNAnalysis512[[#This Row],[Number of missing / zero PiNs greater than threshold - Data quality]:[Manual Flag]],"Flagged")</f>
        <v>3</v>
      </c>
      <c r="BJ54" s="96" t="str">
        <f>IF(tblPiNAnalysis512[[#This Row],['# Flags]]&gt;0, "Flagged", "")</f>
        <v>Flagged</v>
      </c>
      <c r="BK54" s="326" t="e">
        <f>tblPiNAnalysis512[[#This Row],[Preliminary Target]]</f>
        <v>#N/A</v>
      </c>
      <c r="BL54" s="331">
        <v>2</v>
      </c>
    </row>
    <row r="55" spans="1:64" x14ac:dyDescent="0.55000000000000004">
      <c r="A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5" s="316" t="s">
        <v>342</v>
      </c>
      <c r="C55" s="317" t="s">
        <v>343</v>
      </c>
      <c r="D55" s="317" t="s">
        <v>350</v>
      </c>
      <c r="E55" s="105" t="s">
        <v>351</v>
      </c>
      <c r="F55" s="100"/>
      <c r="G55" s="34"/>
      <c r="H55" s="34"/>
      <c r="I55" s="97">
        <v>17587.64076058444</v>
      </c>
      <c r="J55" s="97" t="s">
        <v>412</v>
      </c>
      <c r="K55" s="261">
        <v>12381</v>
      </c>
      <c r="L55" s="319">
        <v>0</v>
      </c>
      <c r="M55" s="319">
        <v>3729.8510731024817</v>
      </c>
      <c r="N55" s="319">
        <v>9488.3144215939865</v>
      </c>
      <c r="O55" s="319">
        <v>9774.2941169991682</v>
      </c>
      <c r="P55" s="319">
        <v>8489.7699031474203</v>
      </c>
      <c r="Q55" s="320">
        <v>7694.5928327556921</v>
      </c>
      <c r="R55" s="319">
        <v>13190.730570438327</v>
      </c>
      <c r="S55" s="319"/>
      <c r="T55" s="319"/>
      <c r="U55" s="319"/>
      <c r="V55" s="319"/>
      <c r="W55" s="321">
        <f>IFERROR(IF(tblPiNAnalysis512[[#This Row],[CCCM]]="", "", MROUND(tblPiNAnalysis512[[#This Row],[CCCM]]/tblPiNAnalysis512[[#This Row],[Affected population projection 2026]], 0.05)), "")</f>
        <v>0.70000000000000007</v>
      </c>
      <c r="X55" s="322">
        <f>IFERROR(IF(tblPiNAnalysis512[[#This Row],[Education]]="", "", MROUND(tblPiNAnalysis512[[#This Row],[Education]]/tblPiNAnalysis512[[#This Row],[Affected population projection 2026]], 0.05)), "")</f>
        <v>0</v>
      </c>
      <c r="Y55" s="322">
        <f>IFERROR(IF(tblPiNAnalysis512[[#This Row],[Nutrition]]="", "", MROUND(tblPiNAnalysis512[[#This Row],[Nutrition]]/tblPiNAnalysis512[[#This Row],[Affected population projection 2026]], 0.05)), "")</f>
        <v>0.2</v>
      </c>
      <c r="Z55" s="322">
        <f>IFERROR(IF(tblPiNAnalysis512[[#This Row],[Food Security]]="", "", MROUND(tblPiNAnalysis512[[#This Row],[Food Security]]/tblPiNAnalysis512[[#This Row],[Affected population projection 2026]], 0.05)), "")</f>
        <v>0.55000000000000004</v>
      </c>
      <c r="AA55" s="322">
        <f>IFERROR(IF(tblPiNAnalysis512[[#This Row],[Health]]="", "", MROUND(tblPiNAnalysis512[[#This Row],[Health]]/tblPiNAnalysis512[[#This Row],[Affected population projection 2026]], 0.05)), "")</f>
        <v>0.55000000000000004</v>
      </c>
      <c r="AB55" s="323">
        <f>IFERROR(IF(tblPiNAnalysis512[[#This Row],[Overarching Protection]]="", "", MROUND(tblPiNAnalysis512[[#This Row],[Overarching Protection]]/tblPiNAnalysis512[[#This Row],[Affected population projection 2026]], 0.05)), "")</f>
        <v>0.5</v>
      </c>
      <c r="AC55" s="323">
        <f>IFERROR(IF(tblPiNAnalysis512[[#This Row],[Shelter]]="", "", MROUND(tblPiNAnalysis512[[#This Row],[Shelter]]/tblPiNAnalysis512[[#This Row],[Affected population projection 2026]], 0.05)), "")</f>
        <v>0.45</v>
      </c>
      <c r="AD55" s="324">
        <f>IFERROR(IF(tblPiNAnalysis512[[#This Row],[WASH]]="", "", MROUND(tblPiNAnalysis512[[#This Row],[WASH]]/tblPiNAnalysis512[[#This Row],[Affected population projection 2026]], 0.05)), "")</f>
        <v>0.75</v>
      </c>
      <c r="AE55" s="322">
        <f>IFERROR(MROUND(tblPiNAnalysis512[[#This Row],[CP]]/tblPiNAnalysis512[[#This Row],[Affected population projection 2026]], 0.05), "")</f>
        <v>0</v>
      </c>
      <c r="AF55" s="322">
        <f>IFERROR(MROUND(tblPiNAnalysis512[[#This Row],[GBV]]/tblPiNAnalysis512[[#This Row],[Affected population projection 2026]], 0.05), "")</f>
        <v>0</v>
      </c>
      <c r="AG55" s="322">
        <f>IFERROR(MROUND(tblPiNAnalysis512[[#This Row],[Mine Action]]/tblPiNAnalysis512[[#This Row],[Affected population projection 2026]], 0.05), "")</f>
        <v>0</v>
      </c>
      <c r="AH55" s="322">
        <f>IFERROR(MROUND(tblPiNAnalysis512[[#This Row],[HLP]]/tblPiNAnalysis512[[#This Row],[Affected population projection 2026]], 0.05), "")</f>
        <v>0</v>
      </c>
      <c r="AI55" s="325">
        <f>IFERROR(LARGE(tblPiNAnalysis512[[#This Row],[CCCM]:[WASH]], 1), "")</f>
        <v>13190.730570438327</v>
      </c>
      <c r="AJ55" s="326" t="str" cm="1">
        <f t="array" ref="AJ55">IF(tblPiNAnalysis512[[#This Row],[Highest Target]]="", "", _xlfn.TEXTJOIN(CHAR(10), TRUE, IF(tblPiNAnalysis512[[#This Row],[Highest Target]]=tblPiNAnalysis512[[#This Row],[CCCM]:[WASH]], tblPiNAnalysis512[[#Headers],[CCCM]:[WASH]], "")))</f>
        <v>WASH</v>
      </c>
      <c r="AK55" s="327">
        <f>IF(tblPiNAnalysis512[[#This Row],[Highest Target]]="", "", tblPiNAnalysis512[[#This Row],[Highest Target]]/tblPiNAnalysis512[[#This Row],[Affected population projection 2026]])</f>
        <v>0.74999999999999989</v>
      </c>
      <c r="AL55" s="328" t="str">
        <f>IF(SUM(tblPiNAnalysis512[[#This Row],[CCCM]:[WASH]])=0, "",IF(COUNTIF(tblPiNAnalysis512[[#This Row],[CCCM]:[WASH]],"=0")+COUNTIF(tblPiNAnalysis512[[#This Row],[CCCM]:[WASH]],"")&gt;=zero_pin_thresh, "Flagged", ""))</f>
        <v/>
      </c>
      <c r="AM55" s="329" t="str">
        <f>IFERROR(IF(tblPiNAnalysis512[[#This Row],[Highest Target]]="", "", IF(tblPiNAnalysis512[[#This Row],[Highest sector(s'') Target %]]&gt;=flag_pin_perc, "Flagged", "")), "")</f>
        <v/>
      </c>
      <c r="AN55" s="330" t="str" cm="1">
        <f t="array" ref="AN55">IF(tblPiNAnalysis512[[#This Row],[Highest Target]]=0, "",  IF(OR(COUNTIF(tblPiNAnalysis512[[#This Row],[Highest sector(s)]],tblSubSectorPopulation[Sector])), "Flagged", ""))</f>
        <v/>
      </c>
      <c r="AO55" s="46" cm="1">
        <f t="array" ref="AO5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12381</v>
      </c>
      <c r="AP55" s="331" t="str" cm="1">
        <f t="array" ref="AP55">IF(tblPiNAnalysis512[[#This Row],[2nd Highest Target]]="", "", _xlfn.TEXTJOIN(CHAR(10), TRUE, IF(tblPiNAnalysis512[[#This Row],[2nd Highest Target]]=tblPiNAnalysis512[[#This Row],[CCCM]:[WASH]], tblPiNAnalysis512[[#Headers],[CCCM]:[WASH]], "")))</f>
        <v>CCCM</v>
      </c>
      <c r="AQ55" s="36">
        <f>IFERROR(tblPiNAnalysis512[[#This Row],[2nd Highest Target]]/tblPiNAnalysis512[[#This Row],[Affected population projection 2026]], "")</f>
        <v>0.70396025075443813</v>
      </c>
      <c r="AR55" s="46">
        <f>IFERROR(tblPiNAnalysis512[[#This Row],[Highest Target]]-tblPiNAnalysis512[[#This Row],[2nd Highest Target]], "")</f>
        <v>809.73057043832705</v>
      </c>
      <c r="AS55" s="39">
        <f>IFERROR(((tblPiNAnalysis512[[#This Row],[Highest Target]]-tblPiNAnalysis512[[#This Row],[2nd Highest Target]])/tblPiNAnalysis512[[#This Row],[2nd Highest Target]]),"")</f>
        <v>6.5401063762081171E-2</v>
      </c>
      <c r="AT55" s="39" t="str" cm="1">
        <f t="array" ref="AT5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55" s="332" cm="1">
        <f t="array" ref="AU5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9774.2941169991682</v>
      </c>
      <c r="AV55" s="190" t="str" cm="1">
        <f t="array" ref="AV55">IF(tblPiNAnalysis512[[#This Row],[3rd Highest Target]]="", "", _xlfn.TEXTJOIN(CHAR(10), TRUE, IF(tblPiNAnalysis512[[#This Row],[3rd Highest Target]]=tblPiNAnalysis512[[#This Row],[CCCM]:[WASH]], tblPiNAnalysis512[[#Headers],[CCCM]:[WASH]], "")))</f>
        <v>Health</v>
      </c>
      <c r="AW55" s="190">
        <f>IFERROR(tblPiNAnalysis512[[#This Row],[3rd Highest Target]]/tblPiNAnalysis512[[#This Row],[Affected population projection 2026]], "")</f>
        <v>0.55574788284874921</v>
      </c>
      <c r="AX55" s="45">
        <f>IFERROR(tblPiNAnalysis512[[#This Row],[Highest Target]]-tblPiNAnalysis512[[#This Row],[3rd Highest Target]],"")</f>
        <v>3416.4364534391589</v>
      </c>
      <c r="AY55" s="39">
        <f>IFERROR(tblPiNAnalysis512[[#This Row],[Difference of Target between Highest and 3rd Highest]]/tblPiNAnalysis512[[#This Row],[3rd Highest Target]], "")</f>
        <v>0.34953280641487877</v>
      </c>
      <c r="AZ55" s="330" t="str" cm="1">
        <f t="array" ref="AZ5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5" s="300" t="str" cm="1">
        <f t="array" ref="BA5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5" s="333" t="str" cm="1">
        <f t="array" ref="BB5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55" s="276" t="str" cm="1">
        <f t="array" ref="BC5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5" s="334" t="str" cm="1">
        <f t="array" ref="BD5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55" s="277" t="e">
        <f>INDEX(tblSeverityAnalysis[Final Severity], MATCH(tblPiNAnalysis512[[#This Row],[ID]],tblSeverityAnalysis[ID], 0))</f>
        <v>#N/A</v>
      </c>
      <c r="BF55" s="61" t="e">
        <f>IF(tblPiNAnalysis512[[#This Row],[Severity]]&gt;2,tblPiNAnalysis512[[#This Row],[Highest Target]],)</f>
        <v>#N/A</v>
      </c>
      <c r="BG55" s="191"/>
      <c r="BH55" s="192"/>
      <c r="BI55" s="193">
        <f>COUNTIFS(tblPiNAnalysis512[[#This Row],[Number of missing / zero PiNs greater than threshold - Data quality]:[Manual Flag]],"Flagged")</f>
        <v>0</v>
      </c>
      <c r="BJ55" s="96" t="str">
        <f>IF(tblPiNAnalysis512[[#This Row],['# Flags]]&gt;0, "Flagged", "")</f>
        <v/>
      </c>
      <c r="BK55" s="326" t="e">
        <f>tblPiNAnalysis512[[#This Row],[Preliminary Target]]</f>
        <v>#N/A</v>
      </c>
      <c r="BL55" s="331">
        <v>1</v>
      </c>
    </row>
    <row r="56" spans="1:64" x14ac:dyDescent="0.55000000000000004">
      <c r="A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6" s="316" t="s">
        <v>342</v>
      </c>
      <c r="C56" s="317" t="s">
        <v>343</v>
      </c>
      <c r="D56" s="317" t="s">
        <v>352</v>
      </c>
      <c r="E56" s="105" t="s">
        <v>353</v>
      </c>
      <c r="F56" s="100"/>
      <c r="G56" s="34"/>
      <c r="H56" s="34"/>
      <c r="I56" s="97">
        <v>10736.997624544605</v>
      </c>
      <c r="J56" s="97" t="s">
        <v>412</v>
      </c>
      <c r="K56" s="261">
        <v>5774</v>
      </c>
      <c r="L56" s="319">
        <v>3698.0957753325883</v>
      </c>
      <c r="M56" s="319">
        <v>1790.4208974488868</v>
      </c>
      <c r="N56" s="319">
        <v>3967.6304385992098</v>
      </c>
      <c r="O56" s="319">
        <v>4275.2961503323277</v>
      </c>
      <c r="P56" s="319">
        <v>5163.5464309476283</v>
      </c>
      <c r="Q56" s="320">
        <v>7515.8983371812228</v>
      </c>
      <c r="R56" s="319">
        <v>1789.4996040907672</v>
      </c>
      <c r="S56" s="319"/>
      <c r="T56" s="319"/>
      <c r="U56" s="319"/>
      <c r="V56" s="319"/>
      <c r="W56" s="321">
        <f>IFERROR(IF(tblPiNAnalysis512[[#This Row],[CCCM]]="", "", MROUND(tblPiNAnalysis512[[#This Row],[CCCM]]/tblPiNAnalysis512[[#This Row],[Affected population projection 2026]], 0.05)), "")</f>
        <v>0.55000000000000004</v>
      </c>
      <c r="X56" s="322">
        <f>IFERROR(IF(tblPiNAnalysis512[[#This Row],[Education]]="", "", MROUND(tblPiNAnalysis512[[#This Row],[Education]]/tblPiNAnalysis512[[#This Row],[Affected population projection 2026]], 0.05)), "")</f>
        <v>0.35000000000000003</v>
      </c>
      <c r="Y56" s="322">
        <f>IFERROR(IF(tblPiNAnalysis512[[#This Row],[Nutrition]]="", "", MROUND(tblPiNAnalysis512[[#This Row],[Nutrition]]/tblPiNAnalysis512[[#This Row],[Affected population projection 2026]], 0.05)), "")</f>
        <v>0.15000000000000002</v>
      </c>
      <c r="Z56" s="322">
        <f>IFERROR(IF(tblPiNAnalysis512[[#This Row],[Food Security]]="", "", MROUND(tblPiNAnalysis512[[#This Row],[Food Security]]/tblPiNAnalysis512[[#This Row],[Affected population projection 2026]], 0.05)), "")</f>
        <v>0.35000000000000003</v>
      </c>
      <c r="AA56" s="322">
        <f>IFERROR(IF(tblPiNAnalysis512[[#This Row],[Health]]="", "", MROUND(tblPiNAnalysis512[[#This Row],[Health]]/tblPiNAnalysis512[[#This Row],[Affected population projection 2026]], 0.05)), "")</f>
        <v>0.4</v>
      </c>
      <c r="AB56" s="323">
        <f>IFERROR(IF(tblPiNAnalysis512[[#This Row],[Overarching Protection]]="", "", MROUND(tblPiNAnalysis512[[#This Row],[Overarching Protection]]/tblPiNAnalysis512[[#This Row],[Affected population projection 2026]], 0.05)), "")</f>
        <v>0.5</v>
      </c>
      <c r="AC56" s="323">
        <f>IFERROR(IF(tblPiNAnalysis512[[#This Row],[Shelter]]="", "", MROUND(tblPiNAnalysis512[[#This Row],[Shelter]]/tblPiNAnalysis512[[#This Row],[Affected population projection 2026]], 0.05)), "")</f>
        <v>0.70000000000000007</v>
      </c>
      <c r="AD56" s="324">
        <f>IFERROR(IF(tblPiNAnalysis512[[#This Row],[WASH]]="", "", MROUND(tblPiNAnalysis512[[#This Row],[WASH]]/tblPiNAnalysis512[[#This Row],[Affected population projection 2026]], 0.05)), "")</f>
        <v>0.15000000000000002</v>
      </c>
      <c r="AE56" s="322">
        <f>IFERROR(MROUND(tblPiNAnalysis512[[#This Row],[CP]]/tblPiNAnalysis512[[#This Row],[Affected population projection 2026]], 0.05), "")</f>
        <v>0</v>
      </c>
      <c r="AF56" s="322">
        <f>IFERROR(MROUND(tblPiNAnalysis512[[#This Row],[GBV]]/tblPiNAnalysis512[[#This Row],[Affected population projection 2026]], 0.05), "")</f>
        <v>0</v>
      </c>
      <c r="AG56" s="322">
        <f>IFERROR(MROUND(tblPiNAnalysis512[[#This Row],[Mine Action]]/tblPiNAnalysis512[[#This Row],[Affected population projection 2026]], 0.05), "")</f>
        <v>0</v>
      </c>
      <c r="AH56" s="322">
        <f>IFERROR(MROUND(tblPiNAnalysis512[[#This Row],[HLP]]/tblPiNAnalysis512[[#This Row],[Affected population projection 2026]], 0.05), "")</f>
        <v>0</v>
      </c>
      <c r="AI56" s="325">
        <f>IFERROR(LARGE(tblPiNAnalysis512[[#This Row],[CCCM]:[WASH]], 1), "")</f>
        <v>7515.8983371812228</v>
      </c>
      <c r="AJ56" s="326" t="str" cm="1">
        <f t="array" ref="AJ56">IF(tblPiNAnalysis512[[#This Row],[Highest Target]]="", "", _xlfn.TEXTJOIN(CHAR(10), TRUE, IF(tblPiNAnalysis512[[#This Row],[Highest Target]]=tblPiNAnalysis512[[#This Row],[CCCM]:[WASH]], tblPiNAnalysis512[[#Headers],[CCCM]:[WASH]], "")))</f>
        <v>Shelter</v>
      </c>
      <c r="AK56" s="327">
        <f>IF(tblPiNAnalysis512[[#This Row],[Highest Target]]="", "", tblPiNAnalysis512[[#This Row],[Highest Target]]/tblPiNAnalysis512[[#This Row],[Affected population projection 2026]])</f>
        <v>0.7</v>
      </c>
      <c r="AL56" s="328" t="str">
        <f>IF(SUM(tblPiNAnalysis512[[#This Row],[CCCM]:[WASH]])=0, "",IF(COUNTIF(tblPiNAnalysis512[[#This Row],[CCCM]:[WASH]],"=0")+COUNTIF(tblPiNAnalysis512[[#This Row],[CCCM]:[WASH]],"")&gt;=zero_pin_thresh, "Flagged", ""))</f>
        <v/>
      </c>
      <c r="AM56" s="329" t="str">
        <f>IFERROR(IF(tblPiNAnalysis512[[#This Row],[Highest Target]]="", "", IF(tblPiNAnalysis512[[#This Row],[Highest sector(s'') Target %]]&gt;=flag_pin_perc, "Flagged", "")), "")</f>
        <v/>
      </c>
      <c r="AN56" s="330" t="str" cm="1">
        <f t="array" ref="AN56">IF(tblPiNAnalysis512[[#This Row],[Highest Target]]=0, "",  IF(OR(COUNTIF(tblPiNAnalysis512[[#This Row],[Highest sector(s)]],tblSubSectorPopulation[Sector])), "Flagged", ""))</f>
        <v/>
      </c>
      <c r="AO56" s="46" cm="1">
        <f t="array" ref="AO5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5774</v>
      </c>
      <c r="AP56" s="331" t="str" cm="1">
        <f t="array" ref="AP56">IF(tblPiNAnalysis512[[#This Row],[2nd Highest Target]]="", "", _xlfn.TEXTJOIN(CHAR(10), TRUE, IF(tblPiNAnalysis512[[#This Row],[2nd Highest Target]]=tblPiNAnalysis512[[#This Row],[CCCM]:[WASH]], tblPiNAnalysis512[[#Headers],[CCCM]:[WASH]], "")))</f>
        <v>CCCM</v>
      </c>
      <c r="AQ56" s="36">
        <f>IFERROR(tblPiNAnalysis512[[#This Row],[2nd Highest Target]]/tblPiNAnalysis512[[#This Row],[Affected population projection 2026]], "")</f>
        <v>0.53776672044713214</v>
      </c>
      <c r="AR56" s="46">
        <f>IFERROR(tblPiNAnalysis512[[#This Row],[Highest Target]]-tblPiNAnalysis512[[#This Row],[2nd Highest Target]], "")</f>
        <v>1741.8983371812228</v>
      </c>
      <c r="AS56" s="39">
        <f>IFERROR(((tblPiNAnalysis512[[#This Row],[Highest Target]]-tblPiNAnalysis512[[#This Row],[2nd Highest Target]])/tblPiNAnalysis512[[#This Row],[2nd Highest Target]]),"")</f>
        <v>0.30167965659529317</v>
      </c>
      <c r="AT56" s="39" t="str" cm="1">
        <f t="array" ref="AT5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56" s="332" cm="1">
        <f t="array" ref="AU5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5163.5464309476283</v>
      </c>
      <c r="AV56" s="190" t="str" cm="1">
        <f t="array" ref="AV56">IF(tblPiNAnalysis512[[#This Row],[3rd Highest Target]]="", "", _xlfn.TEXTJOIN(CHAR(10), TRUE, IF(tblPiNAnalysis512[[#This Row],[3rd Highest Target]]=tblPiNAnalysis512[[#This Row],[CCCM]:[WASH]], tblPiNAnalysis512[[#Headers],[CCCM]:[WASH]], "")))</f>
        <v>Overarching Protection</v>
      </c>
      <c r="AW56" s="190">
        <f>IFERROR(tblPiNAnalysis512[[#This Row],[3rd Highest Target]]/tblPiNAnalysis512[[#This Row],[Affected population projection 2026]], "")</f>
        <v>0.48091157430675441</v>
      </c>
      <c r="AX56" s="45">
        <f>IFERROR(tblPiNAnalysis512[[#This Row],[Highest Target]]-tblPiNAnalysis512[[#This Row],[3rd Highest Target]],"")</f>
        <v>2352.3519062335945</v>
      </c>
      <c r="AY56" s="39">
        <f>IFERROR(tblPiNAnalysis512[[#This Row],[Difference of Target between Highest and 3rd Highest]]/tblPiNAnalysis512[[#This Row],[3rd Highest Target]], "")</f>
        <v>0.45556904303887208</v>
      </c>
      <c r="AZ56" s="330" t="str" cm="1">
        <f t="array" ref="AZ5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6" s="300" t="str" cm="1">
        <f t="array" ref="BA5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6" s="333" t="str" cm="1">
        <f t="array" ref="BB5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6" s="276" t="str" cm="1">
        <f t="array" ref="BC5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6" s="334" t="str" cm="1">
        <f t="array" ref="BD5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56" s="277" t="e">
        <f>INDEX(tblSeverityAnalysis[Final Severity], MATCH(tblPiNAnalysis512[[#This Row],[ID]],tblSeverityAnalysis[ID], 0))</f>
        <v>#N/A</v>
      </c>
      <c r="BF56" s="61" t="e">
        <f>IF(tblPiNAnalysis512[[#This Row],[Severity]]&gt;2,tblPiNAnalysis512[[#This Row],[Highest Target]],)</f>
        <v>#N/A</v>
      </c>
      <c r="BG56" s="191"/>
      <c r="BH56" s="192"/>
      <c r="BI56" s="193">
        <f>COUNTIFS(tblPiNAnalysis512[[#This Row],[Number of missing / zero PiNs greater than threshold - Data quality]:[Manual Flag]],"Flagged")</f>
        <v>2</v>
      </c>
      <c r="BJ56" s="96" t="str">
        <f>IF(tblPiNAnalysis512[[#This Row],['# Flags]]&gt;0, "Flagged", "")</f>
        <v>Flagged</v>
      </c>
      <c r="BK56" s="326" t="e">
        <f>tblPiNAnalysis512[[#This Row],[Preliminary Target]]</f>
        <v>#N/A</v>
      </c>
      <c r="BL56" s="331">
        <v>1</v>
      </c>
    </row>
    <row r="57" spans="1:64" ht="110.7" x14ac:dyDescent="0.55000000000000004">
      <c r="A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7" s="316" t="s">
        <v>342</v>
      </c>
      <c r="C57" s="317" t="s">
        <v>343</v>
      </c>
      <c r="D57" s="317" t="s">
        <v>354</v>
      </c>
      <c r="E57" s="105" t="s">
        <v>355</v>
      </c>
      <c r="F57" s="100"/>
      <c r="G57" s="34"/>
      <c r="H57" s="34"/>
      <c r="I57" s="97">
        <v>541.05925656197849</v>
      </c>
      <c r="J57" s="97" t="s">
        <v>412</v>
      </c>
      <c r="K57" s="261">
        <v>0</v>
      </c>
      <c r="L57" s="319">
        <v>0</v>
      </c>
      <c r="M57" s="319">
        <v>0</v>
      </c>
      <c r="N57" s="319">
        <v>0</v>
      </c>
      <c r="O57" s="319">
        <v>0</v>
      </c>
      <c r="P57" s="319">
        <v>0</v>
      </c>
      <c r="Q57" s="320">
        <v>0</v>
      </c>
      <c r="R57" s="319">
        <v>0</v>
      </c>
      <c r="S57" s="319"/>
      <c r="T57" s="319"/>
      <c r="U57" s="319"/>
      <c r="V57" s="319"/>
      <c r="W57" s="321">
        <f>IFERROR(IF(tblPiNAnalysis512[[#This Row],[CCCM]]="", "", MROUND(tblPiNAnalysis512[[#This Row],[CCCM]]/tblPiNAnalysis512[[#This Row],[Affected population projection 2026]], 0.05)), "")</f>
        <v>0</v>
      </c>
      <c r="X57" s="322">
        <f>IFERROR(IF(tblPiNAnalysis512[[#This Row],[Education]]="", "", MROUND(tblPiNAnalysis512[[#This Row],[Education]]/tblPiNAnalysis512[[#This Row],[Affected population projection 2026]], 0.05)), "")</f>
        <v>0</v>
      </c>
      <c r="Y57" s="322">
        <f>IFERROR(IF(tblPiNAnalysis512[[#This Row],[Nutrition]]="", "", MROUND(tblPiNAnalysis512[[#This Row],[Nutrition]]/tblPiNAnalysis512[[#This Row],[Affected population projection 2026]], 0.05)), "")</f>
        <v>0</v>
      </c>
      <c r="Z57" s="322">
        <f>IFERROR(IF(tblPiNAnalysis512[[#This Row],[Food Security]]="", "", MROUND(tblPiNAnalysis512[[#This Row],[Food Security]]/tblPiNAnalysis512[[#This Row],[Affected population projection 2026]], 0.05)), "")</f>
        <v>0</v>
      </c>
      <c r="AA57" s="322">
        <f>IFERROR(IF(tblPiNAnalysis512[[#This Row],[Health]]="", "", MROUND(tblPiNAnalysis512[[#This Row],[Health]]/tblPiNAnalysis512[[#This Row],[Affected population projection 2026]], 0.05)), "")</f>
        <v>0</v>
      </c>
      <c r="AB57" s="323">
        <f>IFERROR(IF(tblPiNAnalysis512[[#This Row],[Overarching Protection]]="", "", MROUND(tblPiNAnalysis512[[#This Row],[Overarching Protection]]/tblPiNAnalysis512[[#This Row],[Affected population projection 2026]], 0.05)), "")</f>
        <v>0</v>
      </c>
      <c r="AC57" s="323">
        <f>IFERROR(IF(tblPiNAnalysis512[[#This Row],[Shelter]]="", "", MROUND(tblPiNAnalysis512[[#This Row],[Shelter]]/tblPiNAnalysis512[[#This Row],[Affected population projection 2026]], 0.05)), "")</f>
        <v>0</v>
      </c>
      <c r="AD57" s="324">
        <f>IFERROR(IF(tblPiNAnalysis512[[#This Row],[WASH]]="", "", MROUND(tblPiNAnalysis512[[#This Row],[WASH]]/tblPiNAnalysis512[[#This Row],[Affected population projection 2026]], 0.05)), "")</f>
        <v>0</v>
      </c>
      <c r="AE57" s="322">
        <f>IFERROR(MROUND(tblPiNAnalysis512[[#This Row],[CP]]/tblPiNAnalysis512[[#This Row],[Affected population projection 2026]], 0.05), "")</f>
        <v>0</v>
      </c>
      <c r="AF57" s="322">
        <f>IFERROR(MROUND(tblPiNAnalysis512[[#This Row],[GBV]]/tblPiNAnalysis512[[#This Row],[Affected population projection 2026]], 0.05), "")</f>
        <v>0</v>
      </c>
      <c r="AG57" s="322">
        <f>IFERROR(MROUND(tblPiNAnalysis512[[#This Row],[Mine Action]]/tblPiNAnalysis512[[#This Row],[Affected population projection 2026]], 0.05), "")</f>
        <v>0</v>
      </c>
      <c r="AH57" s="322">
        <f>IFERROR(MROUND(tblPiNAnalysis512[[#This Row],[HLP]]/tblPiNAnalysis512[[#This Row],[Affected population projection 2026]], 0.05), "")</f>
        <v>0</v>
      </c>
      <c r="AI57" s="325">
        <f>IFERROR(LARGE(tblPiNAnalysis512[[#This Row],[CCCM]:[WASH]], 1), "")</f>
        <v>0</v>
      </c>
      <c r="AJ57" s="326" t="str" cm="1">
        <f t="array" ref="AJ57">IF(tblPiNAnalysis512[[#This Row],[Highest Target]]="", "", _xlfn.TEXTJOIN(CHAR(10), TRUE, IF(tblPiNAnalysis512[[#This Row],[Highest Target]]=tblPiNAnalysis512[[#This Row],[CCCM]:[WASH]], tblPiNAnalysis512[[#Headers],[CCCM]:[WASH]], "")))</f>
        <v>CCCM
Education
Nutrition
Food Security
Health
Overarching Protection
Shelter
WASH</v>
      </c>
      <c r="AK57" s="327">
        <f>IF(tblPiNAnalysis512[[#This Row],[Highest Target]]="", "", tblPiNAnalysis512[[#This Row],[Highest Target]]/tblPiNAnalysis512[[#This Row],[Affected population projection 2026]])</f>
        <v>0</v>
      </c>
      <c r="AL57" s="328" t="str">
        <f>IF(SUM(tblPiNAnalysis512[[#This Row],[CCCM]:[WASH]])=0, "",IF(COUNTIF(tblPiNAnalysis512[[#This Row],[CCCM]:[WASH]],"=0")+COUNTIF(tblPiNAnalysis512[[#This Row],[CCCM]:[WASH]],"")&gt;=zero_pin_thresh, "Flagged", ""))</f>
        <v/>
      </c>
      <c r="AM57" s="329" t="str">
        <f>IFERROR(IF(tblPiNAnalysis512[[#This Row],[Highest Target]]="", "", IF(tblPiNAnalysis512[[#This Row],[Highest sector(s'') Target %]]&gt;=flag_pin_perc, "Flagged", "")), "")</f>
        <v/>
      </c>
      <c r="AN57" s="330" t="str" cm="1">
        <f t="array" ref="AN57">IF(tblPiNAnalysis512[[#This Row],[Highest Target]]=0, "",  IF(OR(COUNTIF(tblPiNAnalysis512[[#This Row],[Highest sector(s)]],tblSubSectorPopulation[Sector])), "Flagged", ""))</f>
        <v/>
      </c>
      <c r="AO57" s="46" cm="1">
        <f t="array" ref="AO5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57" s="331" t="str" cm="1">
        <f t="array" ref="AP57">IF(tblPiNAnalysis512[[#This Row],[2nd Highest Target]]="", "", _xlfn.TEXTJOIN(CHAR(10), TRUE, IF(tblPiNAnalysis512[[#This Row],[2nd Highest Target]]=tblPiNAnalysis512[[#This Row],[CCCM]:[WASH]], tblPiNAnalysis512[[#Headers],[CCCM]:[WASH]], "")))</f>
        <v>CCCM
Education
Nutrition
Food Security
Health
Overarching Protection
Shelter
WASH</v>
      </c>
      <c r="AQ57" s="36">
        <f>IFERROR(tblPiNAnalysis512[[#This Row],[2nd Highest Target]]/tblPiNAnalysis512[[#This Row],[Affected population projection 2026]], "")</f>
        <v>0</v>
      </c>
      <c r="AR57" s="46">
        <f>IFERROR(tblPiNAnalysis512[[#This Row],[Highest Target]]-tblPiNAnalysis512[[#This Row],[2nd Highest Target]], "")</f>
        <v>0</v>
      </c>
      <c r="AS57" s="39" t="str">
        <f>IFERROR(((tblPiNAnalysis512[[#This Row],[Highest Target]]-tblPiNAnalysis512[[#This Row],[2nd Highest Target]])/tblPiNAnalysis512[[#This Row],[2nd Highest Target]]),"")</f>
        <v/>
      </c>
      <c r="AT57" s="39" t="str" cm="1">
        <f t="array" ref="AT5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57" s="332" cm="1">
        <f t="array" ref="AU5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57" s="190" t="str" cm="1">
        <f t="array" ref="AV57">IF(tblPiNAnalysis512[[#This Row],[3rd Highest Target]]="", "", _xlfn.TEXTJOIN(CHAR(10), TRUE, IF(tblPiNAnalysis512[[#This Row],[3rd Highest Target]]=tblPiNAnalysis512[[#This Row],[CCCM]:[WASH]], tblPiNAnalysis512[[#Headers],[CCCM]:[WASH]], "")))</f>
        <v>CCCM
Education
Nutrition
Food Security
Health
Overarching Protection
Shelter
WASH</v>
      </c>
      <c r="AW57" s="190">
        <f>IFERROR(tblPiNAnalysis512[[#This Row],[3rd Highest Target]]/tblPiNAnalysis512[[#This Row],[Affected population projection 2026]], "")</f>
        <v>0</v>
      </c>
      <c r="AX57" s="45">
        <f>IFERROR(tblPiNAnalysis512[[#This Row],[Highest Target]]-tblPiNAnalysis512[[#This Row],[3rd Highest Target]],"")</f>
        <v>0</v>
      </c>
      <c r="AY57" s="39" t="str">
        <f>IFERROR(tblPiNAnalysis512[[#This Row],[Difference of Target between Highest and 3rd Highest]]/tblPiNAnalysis512[[#This Row],[3rd Highest Target]], "")</f>
        <v/>
      </c>
      <c r="AZ57" s="330" t="str" cm="1">
        <f t="array" ref="AZ5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7" s="300" t="str" cm="1">
        <f t="array" ref="BA5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7" s="333" t="str" cm="1">
        <f t="array" ref="BB5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7" s="276" t="str" cm="1">
        <f t="array" ref="BC5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7" s="334" t="str" cm="1">
        <f t="array" ref="BD5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7" s="277" t="e">
        <f>INDEX(tblSeverityAnalysis[Final Severity], MATCH(tblPiNAnalysis512[[#This Row],[ID]],tblSeverityAnalysis[ID], 0))</f>
        <v>#N/A</v>
      </c>
      <c r="BF57" s="61" t="e">
        <f>IF(tblPiNAnalysis512[[#This Row],[Severity]]&gt;2,tblPiNAnalysis512[[#This Row],[Highest Target]],)</f>
        <v>#N/A</v>
      </c>
      <c r="BG57" s="191"/>
      <c r="BH57" s="192"/>
      <c r="BI57" s="193">
        <f>COUNTIFS(tblPiNAnalysis512[[#This Row],[Number of missing / zero PiNs greater than threshold - Data quality]:[Manual Flag]],"Flagged")</f>
        <v>2</v>
      </c>
      <c r="BJ57" s="96" t="str">
        <f>IF(tblPiNAnalysis512[[#This Row],['# Flags]]&gt;0, "Flagged", "")</f>
        <v>Flagged</v>
      </c>
      <c r="BK57" s="326" t="e">
        <f>tblPiNAnalysis512[[#This Row],[Preliminary Target]]</f>
        <v>#N/A</v>
      </c>
      <c r="BL57" s="331">
        <v>4</v>
      </c>
    </row>
    <row r="58" spans="1:64" x14ac:dyDescent="0.55000000000000004">
      <c r="A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8" s="316" t="s">
        <v>342</v>
      </c>
      <c r="C58" s="317" t="s">
        <v>343</v>
      </c>
      <c r="D58" s="317" t="s">
        <v>356</v>
      </c>
      <c r="E58" s="105" t="s">
        <v>357</v>
      </c>
      <c r="F58" s="100"/>
      <c r="G58" s="34"/>
      <c r="H58" s="34"/>
      <c r="I58" s="97">
        <v>107560.86765914821</v>
      </c>
      <c r="J58" s="97" t="s">
        <v>412</v>
      </c>
      <c r="K58" s="261">
        <v>59348</v>
      </c>
      <c r="L58" s="319">
        <v>3013.7694631152058</v>
      </c>
      <c r="M58" s="319">
        <v>22315.110124894109</v>
      </c>
      <c r="N58" s="319">
        <v>49250.661159626798</v>
      </c>
      <c r="O58" s="319">
        <v>65410.749382801841</v>
      </c>
      <c r="P58" s="319">
        <v>39226.508448101798</v>
      </c>
      <c r="Q58" s="320">
        <v>59992.505330744163</v>
      </c>
      <c r="R58" s="319">
        <v>67220.086111146898</v>
      </c>
      <c r="S58" s="319"/>
      <c r="T58" s="319"/>
      <c r="U58" s="319"/>
      <c r="V58" s="319"/>
      <c r="W58" s="321">
        <f>IFERROR(IF(tblPiNAnalysis512[[#This Row],[CCCM]]="", "", MROUND(tblPiNAnalysis512[[#This Row],[CCCM]]/tblPiNAnalysis512[[#This Row],[Affected population projection 2026]], 0.05)), "")</f>
        <v>0.55000000000000004</v>
      </c>
      <c r="X58" s="322">
        <f>IFERROR(IF(tblPiNAnalysis512[[#This Row],[Education]]="", "", MROUND(tblPiNAnalysis512[[#This Row],[Education]]/tblPiNAnalysis512[[#This Row],[Affected population projection 2026]], 0.05)), "")</f>
        <v>0.05</v>
      </c>
      <c r="Y58" s="322">
        <f>IFERROR(IF(tblPiNAnalysis512[[#This Row],[Nutrition]]="", "", MROUND(tblPiNAnalysis512[[#This Row],[Nutrition]]/tblPiNAnalysis512[[#This Row],[Affected population projection 2026]], 0.05)), "")</f>
        <v>0.2</v>
      </c>
      <c r="Z58" s="322">
        <f>IFERROR(IF(tblPiNAnalysis512[[#This Row],[Food Security]]="", "", MROUND(tblPiNAnalysis512[[#This Row],[Food Security]]/tblPiNAnalysis512[[#This Row],[Affected population projection 2026]], 0.05)), "")</f>
        <v>0.45</v>
      </c>
      <c r="AA58" s="322">
        <f>IFERROR(IF(tblPiNAnalysis512[[#This Row],[Health]]="", "", MROUND(tblPiNAnalysis512[[#This Row],[Health]]/tblPiNAnalysis512[[#This Row],[Affected population projection 2026]], 0.05)), "")</f>
        <v>0.60000000000000009</v>
      </c>
      <c r="AB58" s="323">
        <f>IFERROR(IF(tblPiNAnalysis512[[#This Row],[Overarching Protection]]="", "", MROUND(tblPiNAnalysis512[[#This Row],[Overarching Protection]]/tblPiNAnalysis512[[#This Row],[Affected population projection 2026]], 0.05)), "")</f>
        <v>0.35000000000000003</v>
      </c>
      <c r="AC58" s="323">
        <f>IFERROR(IF(tblPiNAnalysis512[[#This Row],[Shelter]]="", "", MROUND(tblPiNAnalysis512[[#This Row],[Shelter]]/tblPiNAnalysis512[[#This Row],[Affected population projection 2026]], 0.05)), "")</f>
        <v>0.55000000000000004</v>
      </c>
      <c r="AD58" s="324">
        <f>IFERROR(IF(tblPiNAnalysis512[[#This Row],[WASH]]="", "", MROUND(tblPiNAnalysis512[[#This Row],[WASH]]/tblPiNAnalysis512[[#This Row],[Affected population projection 2026]], 0.05)), "")</f>
        <v>0.60000000000000009</v>
      </c>
      <c r="AE58" s="322">
        <f>IFERROR(MROUND(tblPiNAnalysis512[[#This Row],[CP]]/tblPiNAnalysis512[[#This Row],[Affected population projection 2026]], 0.05), "")</f>
        <v>0</v>
      </c>
      <c r="AF58" s="322">
        <f>IFERROR(MROUND(tblPiNAnalysis512[[#This Row],[GBV]]/tblPiNAnalysis512[[#This Row],[Affected population projection 2026]], 0.05), "")</f>
        <v>0</v>
      </c>
      <c r="AG58" s="322">
        <f>IFERROR(MROUND(tblPiNAnalysis512[[#This Row],[Mine Action]]/tblPiNAnalysis512[[#This Row],[Affected population projection 2026]], 0.05), "")</f>
        <v>0</v>
      </c>
      <c r="AH58" s="322">
        <f>IFERROR(MROUND(tblPiNAnalysis512[[#This Row],[HLP]]/tblPiNAnalysis512[[#This Row],[Affected population projection 2026]], 0.05), "")</f>
        <v>0</v>
      </c>
      <c r="AI58" s="325">
        <f>IFERROR(LARGE(tblPiNAnalysis512[[#This Row],[CCCM]:[WASH]], 1), "")</f>
        <v>67220.086111146898</v>
      </c>
      <c r="AJ58" s="326" t="str" cm="1">
        <f t="array" ref="AJ58">IF(tblPiNAnalysis512[[#This Row],[Highest Target]]="", "", _xlfn.TEXTJOIN(CHAR(10), TRUE, IF(tblPiNAnalysis512[[#This Row],[Highest Target]]=tblPiNAnalysis512[[#This Row],[CCCM]:[WASH]], tblPiNAnalysis512[[#Headers],[CCCM]:[WASH]], "")))</f>
        <v>WASH</v>
      </c>
      <c r="AK58" s="327">
        <f>IF(tblPiNAnalysis512[[#This Row],[Highest Target]]="", "", tblPiNAnalysis512[[#This Row],[Highest Target]]/tblPiNAnalysis512[[#This Row],[Affected population projection 2026]])</f>
        <v>0.62494927359792207</v>
      </c>
      <c r="AL58" s="328" t="str">
        <f>IF(SUM(tblPiNAnalysis512[[#This Row],[CCCM]:[WASH]])=0, "",IF(COUNTIF(tblPiNAnalysis512[[#This Row],[CCCM]:[WASH]],"=0")+COUNTIF(tblPiNAnalysis512[[#This Row],[CCCM]:[WASH]],"")&gt;=zero_pin_thresh, "Flagged", ""))</f>
        <v/>
      </c>
      <c r="AM58" s="329" t="str">
        <f>IFERROR(IF(tblPiNAnalysis512[[#This Row],[Highest Target]]="", "", IF(tblPiNAnalysis512[[#This Row],[Highest sector(s'') Target %]]&gt;=flag_pin_perc, "Flagged", "")), "")</f>
        <v/>
      </c>
      <c r="AN58" s="330" t="str" cm="1">
        <f t="array" ref="AN58">IF(tblPiNAnalysis512[[#This Row],[Highest Target]]=0, "",  IF(OR(COUNTIF(tblPiNAnalysis512[[#This Row],[Highest sector(s)]],tblSubSectorPopulation[Sector])), "Flagged", ""))</f>
        <v/>
      </c>
      <c r="AO58" s="46" cm="1">
        <f t="array" ref="AO5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65410.749382801841</v>
      </c>
      <c r="AP58" s="331" t="str" cm="1">
        <f t="array" ref="AP58">IF(tblPiNAnalysis512[[#This Row],[2nd Highest Target]]="", "", _xlfn.TEXTJOIN(CHAR(10), TRUE, IF(tblPiNAnalysis512[[#This Row],[2nd Highest Target]]=tblPiNAnalysis512[[#This Row],[CCCM]:[WASH]], tblPiNAnalysis512[[#Headers],[CCCM]:[WASH]], "")))</f>
        <v>Health</v>
      </c>
      <c r="AQ58" s="36">
        <f>IFERROR(tblPiNAnalysis512[[#This Row],[2nd Highest Target]]/tblPiNAnalysis512[[#This Row],[Affected population projection 2026]], "")</f>
        <v>0.60812775878754788</v>
      </c>
      <c r="AR58" s="46">
        <f>IFERROR(tblPiNAnalysis512[[#This Row],[Highest Target]]-tblPiNAnalysis512[[#This Row],[2nd Highest Target]], "")</f>
        <v>1809.3367283450571</v>
      </c>
      <c r="AS58" s="39">
        <f>IFERROR(((tblPiNAnalysis512[[#This Row],[Highest Target]]-tblPiNAnalysis512[[#This Row],[2nd Highest Target]])/tblPiNAnalysis512[[#This Row],[2nd Highest Target]]),"")</f>
        <v>2.7661152722105609E-2</v>
      </c>
      <c r="AT58" s="39" t="str" cm="1">
        <f t="array" ref="AT5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58" s="332" cm="1">
        <f t="array" ref="AU5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59992.505330744163</v>
      </c>
      <c r="AV58" s="190" t="str" cm="1">
        <f t="array" ref="AV58">IF(tblPiNAnalysis512[[#This Row],[3rd Highest Target]]="", "", _xlfn.TEXTJOIN(CHAR(10), TRUE, IF(tblPiNAnalysis512[[#This Row],[3rd Highest Target]]=tblPiNAnalysis512[[#This Row],[CCCM]:[WASH]], tblPiNAnalysis512[[#Headers],[CCCM]:[WASH]], "")))</f>
        <v>Shelter</v>
      </c>
      <c r="AW58" s="190">
        <f>IFERROR(tblPiNAnalysis512[[#This Row],[3rd Highest Target]]/tblPiNAnalysis512[[#This Row],[Affected population projection 2026]], "")</f>
        <v>0.55775401069518715</v>
      </c>
      <c r="AX58" s="45">
        <f>IFERROR(tblPiNAnalysis512[[#This Row],[Highest Target]]-tblPiNAnalysis512[[#This Row],[3rd Highest Target]],"")</f>
        <v>7227.5807804027354</v>
      </c>
      <c r="AY58" s="39">
        <f>IFERROR(tblPiNAnalysis512[[#This Row],[Difference of Target between Highest and 3rd Highest]]/tblPiNAnalysis512[[#This Row],[3rd Highest Target]], "")</f>
        <v>0.12047472831075186</v>
      </c>
      <c r="AZ58" s="330" t="str" cm="1">
        <f t="array" ref="AZ5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8" s="300" t="str" cm="1">
        <f t="array" ref="BA5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8" s="333" t="str" cm="1">
        <f t="array" ref="BB5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58" s="276" t="str" cm="1">
        <f t="array" ref="BC5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8" s="334" t="str" cm="1">
        <f t="array" ref="BD5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8" s="277" t="e">
        <f>INDEX(tblSeverityAnalysis[Final Severity], MATCH(tblPiNAnalysis512[[#This Row],[ID]],tblSeverityAnalysis[ID], 0))</f>
        <v>#N/A</v>
      </c>
      <c r="BF58" s="61" t="e">
        <f>IF(tblPiNAnalysis512[[#This Row],[Severity]]&gt;2,tblPiNAnalysis512[[#This Row],[Highest Target]],)</f>
        <v>#N/A</v>
      </c>
      <c r="BG58" s="191"/>
      <c r="BH58" s="192"/>
      <c r="BI58" s="193">
        <f>COUNTIFS(tblPiNAnalysis512[[#This Row],[Number of missing / zero PiNs greater than threshold - Data quality]:[Manual Flag]],"Flagged")</f>
        <v>1</v>
      </c>
      <c r="BJ58" s="96" t="str">
        <f>IF(tblPiNAnalysis512[[#This Row],['# Flags]]&gt;0, "Flagged", "")</f>
        <v>Flagged</v>
      </c>
      <c r="BK58" s="326" t="e">
        <f>tblPiNAnalysis512[[#This Row],[Preliminary Target]]</f>
        <v>#N/A</v>
      </c>
      <c r="BL58" s="331">
        <v>1</v>
      </c>
    </row>
    <row r="59" spans="1:64" x14ac:dyDescent="0.55000000000000004">
      <c r="A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9" s="316" t="s">
        <v>342</v>
      </c>
      <c r="C59" s="317" t="s">
        <v>343</v>
      </c>
      <c r="D59" s="317" t="s">
        <v>358</v>
      </c>
      <c r="E59" s="105" t="s">
        <v>359</v>
      </c>
      <c r="F59" s="100"/>
      <c r="G59" s="34"/>
      <c r="H59" s="34"/>
      <c r="I59" s="97">
        <v>19743.531183340554</v>
      </c>
      <c r="J59" s="97" t="s">
        <v>412</v>
      </c>
      <c r="K59" s="261"/>
      <c r="L59" s="319"/>
      <c r="M59" s="319"/>
      <c r="N59" s="319"/>
      <c r="O59" s="319"/>
      <c r="P59" s="319"/>
      <c r="Q59" s="320"/>
      <c r="R59" s="319"/>
      <c r="S59" s="319"/>
      <c r="T59" s="319"/>
      <c r="U59" s="319"/>
      <c r="V59" s="319"/>
      <c r="W59" s="321" t="str">
        <f>IFERROR(IF(tblPiNAnalysis512[[#This Row],[CCCM]]="", "", MROUND(tblPiNAnalysis512[[#This Row],[CCCM]]/tblPiNAnalysis512[[#This Row],[Affected population projection 2026]], 0.05)), "")</f>
        <v/>
      </c>
      <c r="X59" s="322" t="str">
        <f>IFERROR(IF(tblPiNAnalysis512[[#This Row],[Education]]="", "", MROUND(tblPiNAnalysis512[[#This Row],[Education]]/tblPiNAnalysis512[[#This Row],[Affected population projection 2026]], 0.05)), "")</f>
        <v/>
      </c>
      <c r="Y59" s="322" t="str">
        <f>IFERROR(IF(tblPiNAnalysis512[[#This Row],[Nutrition]]="", "", MROUND(tblPiNAnalysis512[[#This Row],[Nutrition]]/tblPiNAnalysis512[[#This Row],[Affected population projection 2026]], 0.05)), "")</f>
        <v/>
      </c>
      <c r="Z59" s="322" t="str">
        <f>IFERROR(IF(tblPiNAnalysis512[[#This Row],[Food Security]]="", "", MROUND(tblPiNAnalysis512[[#This Row],[Food Security]]/tblPiNAnalysis512[[#This Row],[Affected population projection 2026]], 0.05)), "")</f>
        <v/>
      </c>
      <c r="AA59" s="322" t="str">
        <f>IFERROR(IF(tblPiNAnalysis512[[#This Row],[Health]]="", "", MROUND(tblPiNAnalysis512[[#This Row],[Health]]/tblPiNAnalysis512[[#This Row],[Affected population projection 2026]], 0.05)), "")</f>
        <v/>
      </c>
      <c r="AB59" s="323" t="str">
        <f>IFERROR(IF(tblPiNAnalysis512[[#This Row],[Overarching Protection]]="", "", MROUND(tblPiNAnalysis512[[#This Row],[Overarching Protection]]/tblPiNAnalysis512[[#This Row],[Affected population projection 2026]], 0.05)), "")</f>
        <v/>
      </c>
      <c r="AC59" s="323" t="str">
        <f>IFERROR(IF(tblPiNAnalysis512[[#This Row],[Shelter]]="", "", MROUND(tblPiNAnalysis512[[#This Row],[Shelter]]/tblPiNAnalysis512[[#This Row],[Affected population projection 2026]], 0.05)), "")</f>
        <v/>
      </c>
      <c r="AD59" s="324" t="str">
        <f>IFERROR(IF(tblPiNAnalysis512[[#This Row],[WASH]]="", "", MROUND(tblPiNAnalysis512[[#This Row],[WASH]]/tblPiNAnalysis512[[#This Row],[Affected population projection 2026]], 0.05)), "")</f>
        <v/>
      </c>
      <c r="AE59" s="322">
        <f>IFERROR(MROUND(tblPiNAnalysis512[[#This Row],[CP]]/tblPiNAnalysis512[[#This Row],[Affected population projection 2026]], 0.05), "")</f>
        <v>0</v>
      </c>
      <c r="AF59" s="322">
        <f>IFERROR(MROUND(tblPiNAnalysis512[[#This Row],[GBV]]/tblPiNAnalysis512[[#This Row],[Affected population projection 2026]], 0.05), "")</f>
        <v>0</v>
      </c>
      <c r="AG59" s="322">
        <f>IFERROR(MROUND(tblPiNAnalysis512[[#This Row],[Mine Action]]/tblPiNAnalysis512[[#This Row],[Affected population projection 2026]], 0.05), "")</f>
        <v>0</v>
      </c>
      <c r="AH59" s="322">
        <f>IFERROR(MROUND(tblPiNAnalysis512[[#This Row],[HLP]]/tblPiNAnalysis512[[#This Row],[Affected population projection 2026]], 0.05), "")</f>
        <v>0</v>
      </c>
      <c r="AI59" s="325" t="str">
        <f>IFERROR(LARGE(tblPiNAnalysis512[[#This Row],[CCCM]:[WASH]], 1), "")</f>
        <v/>
      </c>
      <c r="AJ59" s="326" t="str" cm="1">
        <f t="array" ref="AJ59">IF(tblPiNAnalysis512[[#This Row],[Highest Target]]="", "", _xlfn.TEXTJOIN(CHAR(10), TRUE, IF(tblPiNAnalysis512[[#This Row],[Highest Target]]=tblPiNAnalysis512[[#This Row],[CCCM]:[WASH]], tblPiNAnalysis512[[#Headers],[CCCM]:[WASH]], "")))</f>
        <v/>
      </c>
      <c r="AK59" s="327" t="str">
        <f>IF(tblPiNAnalysis512[[#This Row],[Highest Target]]="", "", tblPiNAnalysis512[[#This Row],[Highest Target]]/tblPiNAnalysis512[[#This Row],[Affected population projection 2026]])</f>
        <v/>
      </c>
      <c r="AL59" s="328" t="str">
        <f>IF(SUM(tblPiNAnalysis512[[#This Row],[CCCM]:[WASH]])=0, "",IF(COUNTIF(tblPiNAnalysis512[[#This Row],[CCCM]:[WASH]],"=0")+COUNTIF(tblPiNAnalysis512[[#This Row],[CCCM]:[WASH]],"")&gt;=zero_pin_thresh, "Flagged", ""))</f>
        <v/>
      </c>
      <c r="AM59" s="329" t="str">
        <f>IFERROR(IF(tblPiNAnalysis512[[#This Row],[Highest Target]]="", "", IF(tblPiNAnalysis512[[#This Row],[Highest sector(s'') Target %]]&gt;=flag_pin_perc, "Flagged", "")), "")</f>
        <v/>
      </c>
      <c r="AN59" s="330" t="str" cm="1">
        <f t="array" ref="AN59">IF(tblPiNAnalysis512[[#This Row],[Highest Target]]=0, "",  IF(OR(COUNTIF(tblPiNAnalysis512[[#This Row],[Highest sector(s)]],tblSubSectorPopulation[Sector])), "Flagged", ""))</f>
        <v/>
      </c>
      <c r="AO59" s="46" t="str" cm="1">
        <f t="array" ref="AO5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59" s="331" t="str" cm="1">
        <f t="array" ref="AP59">IF(tblPiNAnalysis512[[#This Row],[2nd Highest Target]]="", "", _xlfn.TEXTJOIN(CHAR(10), TRUE, IF(tblPiNAnalysis512[[#This Row],[2nd Highest Target]]=tblPiNAnalysis512[[#This Row],[CCCM]:[WASH]], tblPiNAnalysis512[[#Headers],[CCCM]:[WASH]], "")))</f>
        <v/>
      </c>
      <c r="AQ59" s="36" t="str">
        <f>IFERROR(tblPiNAnalysis512[[#This Row],[2nd Highest Target]]/tblPiNAnalysis512[[#This Row],[Affected population projection 2026]], "")</f>
        <v/>
      </c>
      <c r="AR59" s="46" t="str">
        <f>IFERROR(tblPiNAnalysis512[[#This Row],[Highest Target]]-tblPiNAnalysis512[[#This Row],[2nd Highest Target]], "")</f>
        <v/>
      </c>
      <c r="AS59" s="39" t="str">
        <f>IFERROR(((tblPiNAnalysis512[[#This Row],[Highest Target]]-tblPiNAnalysis512[[#This Row],[2nd Highest Target]])/tblPiNAnalysis512[[#This Row],[2nd Highest Target]]),"")</f>
        <v/>
      </c>
      <c r="AT59" s="39" t="str" cm="1">
        <f t="array" ref="AT5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59" s="332" t="str" cm="1">
        <f t="array" ref="AU5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59" s="190" t="str" cm="1">
        <f t="array" ref="AV59">IF(tblPiNAnalysis512[[#This Row],[3rd Highest Target]]="", "", _xlfn.TEXTJOIN(CHAR(10), TRUE, IF(tblPiNAnalysis512[[#This Row],[3rd Highest Target]]=tblPiNAnalysis512[[#This Row],[CCCM]:[WASH]], tblPiNAnalysis512[[#Headers],[CCCM]:[WASH]], "")))</f>
        <v/>
      </c>
      <c r="AW59" s="190" t="str">
        <f>IFERROR(tblPiNAnalysis512[[#This Row],[3rd Highest Target]]/tblPiNAnalysis512[[#This Row],[Affected population projection 2026]], "")</f>
        <v/>
      </c>
      <c r="AX59" s="45" t="str">
        <f>IFERROR(tblPiNAnalysis512[[#This Row],[Highest Target]]-tblPiNAnalysis512[[#This Row],[3rd Highest Target]],"")</f>
        <v/>
      </c>
      <c r="AY59" s="39" t="str">
        <f>IFERROR(tblPiNAnalysis512[[#This Row],[Difference of Target between Highest and 3rd Highest]]/tblPiNAnalysis512[[#This Row],[3rd Highest Target]], "")</f>
        <v/>
      </c>
      <c r="AZ59" s="330" t="str" cm="1">
        <f t="array" ref="AZ5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59" s="300" t="str" cm="1">
        <f t="array" ref="BA5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59" s="333" t="str" cm="1">
        <f t="array" ref="BB5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59" s="276" t="str" cm="1">
        <f t="array" ref="BC5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59" s="334" t="str" cm="1">
        <f t="array" ref="BD5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59" s="277" t="e">
        <f>INDEX(tblSeverityAnalysis[Final Severity], MATCH(tblPiNAnalysis512[[#This Row],[ID]],tblSeverityAnalysis[ID], 0))</f>
        <v>#N/A</v>
      </c>
      <c r="BF59" s="61" t="e">
        <f>IF(tblPiNAnalysis512[[#This Row],[Severity]]&gt;2,tblPiNAnalysis512[[#This Row],[Highest Target]],)</f>
        <v>#N/A</v>
      </c>
      <c r="BG59" s="191"/>
      <c r="BH59" s="192"/>
      <c r="BI59" s="193">
        <f>COUNTIFS(tblPiNAnalysis512[[#This Row],[Number of missing / zero PiNs greater than threshold - Data quality]:[Manual Flag]],"Flagged")</f>
        <v>2</v>
      </c>
      <c r="BJ59" s="96" t="str">
        <f>IF(tblPiNAnalysis512[[#This Row],['# Flags]]&gt;0, "Flagged", "")</f>
        <v>Flagged</v>
      </c>
      <c r="BK59" s="326" t="e">
        <f>tblPiNAnalysis512[[#This Row],[Preliminary Target]]</f>
        <v>#N/A</v>
      </c>
      <c r="BL59" s="331">
        <v>3</v>
      </c>
    </row>
    <row r="60" spans="1:64" ht="110.7" x14ac:dyDescent="0.55000000000000004">
      <c r="A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0" s="316" t="s">
        <v>342</v>
      </c>
      <c r="C60" s="317" t="s">
        <v>343</v>
      </c>
      <c r="D60" s="317" t="s">
        <v>360</v>
      </c>
      <c r="E60" s="105" t="s">
        <v>361</v>
      </c>
      <c r="F60" s="100"/>
      <c r="G60" s="34"/>
      <c r="H60" s="34"/>
      <c r="I60" s="97">
        <v>33846.254411291047</v>
      </c>
      <c r="J60" s="97" t="s">
        <v>412</v>
      </c>
      <c r="K60" s="261">
        <v>0</v>
      </c>
      <c r="L60" s="319">
        <v>0</v>
      </c>
      <c r="M60" s="319"/>
      <c r="N60" s="319">
        <v>0</v>
      </c>
      <c r="O60" s="319">
        <v>0</v>
      </c>
      <c r="P60" s="319">
        <v>0</v>
      </c>
      <c r="Q60" s="320">
        <v>0</v>
      </c>
      <c r="R60" s="319">
        <v>0</v>
      </c>
      <c r="S60" s="319"/>
      <c r="T60" s="319"/>
      <c r="U60" s="319"/>
      <c r="V60" s="319"/>
      <c r="W60" s="321">
        <f>IFERROR(IF(tblPiNAnalysis512[[#This Row],[CCCM]]="", "", MROUND(tblPiNAnalysis512[[#This Row],[CCCM]]/tblPiNAnalysis512[[#This Row],[Affected population projection 2026]], 0.05)), "")</f>
        <v>0</v>
      </c>
      <c r="X60" s="322">
        <f>IFERROR(IF(tblPiNAnalysis512[[#This Row],[Education]]="", "", MROUND(tblPiNAnalysis512[[#This Row],[Education]]/tblPiNAnalysis512[[#This Row],[Affected population projection 2026]], 0.05)), "")</f>
        <v>0</v>
      </c>
      <c r="Y60" s="322" t="str">
        <f>IFERROR(IF(tblPiNAnalysis512[[#This Row],[Nutrition]]="", "", MROUND(tblPiNAnalysis512[[#This Row],[Nutrition]]/tblPiNAnalysis512[[#This Row],[Affected population projection 2026]], 0.05)), "")</f>
        <v/>
      </c>
      <c r="Z60" s="322">
        <f>IFERROR(IF(tblPiNAnalysis512[[#This Row],[Food Security]]="", "", MROUND(tblPiNAnalysis512[[#This Row],[Food Security]]/tblPiNAnalysis512[[#This Row],[Affected population projection 2026]], 0.05)), "")</f>
        <v>0</v>
      </c>
      <c r="AA60" s="322">
        <f>IFERROR(IF(tblPiNAnalysis512[[#This Row],[Health]]="", "", MROUND(tblPiNAnalysis512[[#This Row],[Health]]/tblPiNAnalysis512[[#This Row],[Affected population projection 2026]], 0.05)), "")</f>
        <v>0</v>
      </c>
      <c r="AB60" s="323">
        <f>IFERROR(IF(tblPiNAnalysis512[[#This Row],[Overarching Protection]]="", "", MROUND(tblPiNAnalysis512[[#This Row],[Overarching Protection]]/tblPiNAnalysis512[[#This Row],[Affected population projection 2026]], 0.05)), "")</f>
        <v>0</v>
      </c>
      <c r="AC60" s="323">
        <f>IFERROR(IF(tblPiNAnalysis512[[#This Row],[Shelter]]="", "", MROUND(tblPiNAnalysis512[[#This Row],[Shelter]]/tblPiNAnalysis512[[#This Row],[Affected population projection 2026]], 0.05)), "")</f>
        <v>0</v>
      </c>
      <c r="AD60" s="324">
        <f>IFERROR(IF(tblPiNAnalysis512[[#This Row],[WASH]]="", "", MROUND(tblPiNAnalysis512[[#This Row],[WASH]]/tblPiNAnalysis512[[#This Row],[Affected population projection 2026]], 0.05)), "")</f>
        <v>0</v>
      </c>
      <c r="AE60" s="322">
        <f>IFERROR(MROUND(tblPiNAnalysis512[[#This Row],[CP]]/tblPiNAnalysis512[[#This Row],[Affected population projection 2026]], 0.05), "")</f>
        <v>0</v>
      </c>
      <c r="AF60" s="322">
        <f>IFERROR(MROUND(tblPiNAnalysis512[[#This Row],[GBV]]/tblPiNAnalysis512[[#This Row],[Affected population projection 2026]], 0.05), "")</f>
        <v>0</v>
      </c>
      <c r="AG60" s="322">
        <f>IFERROR(MROUND(tblPiNAnalysis512[[#This Row],[Mine Action]]/tblPiNAnalysis512[[#This Row],[Affected population projection 2026]], 0.05), "")</f>
        <v>0</v>
      </c>
      <c r="AH60" s="322">
        <f>IFERROR(MROUND(tblPiNAnalysis512[[#This Row],[HLP]]/tblPiNAnalysis512[[#This Row],[Affected population projection 2026]], 0.05), "")</f>
        <v>0</v>
      </c>
      <c r="AI60" s="325">
        <f>IFERROR(LARGE(tblPiNAnalysis512[[#This Row],[CCCM]:[WASH]], 1), "")</f>
        <v>0</v>
      </c>
      <c r="AJ60" s="326" t="str" cm="1">
        <f t="array" ref="AJ60">IF(tblPiNAnalysis512[[#This Row],[Highest Target]]="", "", _xlfn.TEXTJOIN(CHAR(10), TRUE, IF(tblPiNAnalysis512[[#This Row],[Highest Target]]=tblPiNAnalysis512[[#This Row],[CCCM]:[WASH]], tblPiNAnalysis512[[#Headers],[CCCM]:[WASH]], "")))</f>
        <v>CCCM
Education
Nutrition
Food Security
Health
Overarching Protection
Shelter
WASH</v>
      </c>
      <c r="AK60" s="327">
        <f>IF(tblPiNAnalysis512[[#This Row],[Highest Target]]="", "", tblPiNAnalysis512[[#This Row],[Highest Target]]/tblPiNAnalysis512[[#This Row],[Affected population projection 2026]])</f>
        <v>0</v>
      </c>
      <c r="AL60" s="328" t="str">
        <f>IF(SUM(tblPiNAnalysis512[[#This Row],[CCCM]:[WASH]])=0, "",IF(COUNTIF(tblPiNAnalysis512[[#This Row],[CCCM]:[WASH]],"=0")+COUNTIF(tblPiNAnalysis512[[#This Row],[CCCM]:[WASH]],"")&gt;=zero_pin_thresh, "Flagged", ""))</f>
        <v/>
      </c>
      <c r="AM60" s="329" t="str">
        <f>IFERROR(IF(tblPiNAnalysis512[[#This Row],[Highest Target]]="", "", IF(tblPiNAnalysis512[[#This Row],[Highest sector(s'') Target %]]&gt;=flag_pin_perc, "Flagged", "")), "")</f>
        <v/>
      </c>
      <c r="AN60" s="330" t="str" cm="1">
        <f t="array" ref="AN60">IF(tblPiNAnalysis512[[#This Row],[Highest Target]]=0, "",  IF(OR(COUNTIF(tblPiNAnalysis512[[#This Row],[Highest sector(s)]],tblSubSectorPopulation[Sector])), "Flagged", ""))</f>
        <v/>
      </c>
      <c r="AO60" s="46" t="str" cm="1">
        <f t="array" ref="AO6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NA</v>
      </c>
      <c r="AP60" s="331" t="str" cm="1">
        <f t="array" ref="AP60">IF(tblPiNAnalysis512[[#This Row],[2nd Highest Target]]="", "", _xlfn.TEXTJOIN(CHAR(10), TRUE, IF(tblPiNAnalysis512[[#This Row],[2nd Highest Target]]=tblPiNAnalysis512[[#This Row],[CCCM]:[WASH]], tblPiNAnalysis512[[#Headers],[CCCM]:[WASH]], "")))</f>
        <v/>
      </c>
      <c r="AQ60" s="36" t="str">
        <f>IFERROR(tblPiNAnalysis512[[#This Row],[2nd Highest Target]]/tblPiNAnalysis512[[#This Row],[Affected population projection 2026]], "")</f>
        <v/>
      </c>
      <c r="AR60" s="46" t="str">
        <f>IFERROR(tblPiNAnalysis512[[#This Row],[Highest Target]]-tblPiNAnalysis512[[#This Row],[2nd Highest Target]], "")</f>
        <v/>
      </c>
      <c r="AS60" s="39" t="str">
        <f>IFERROR(((tblPiNAnalysis512[[#This Row],[Highest Target]]-tblPiNAnalysis512[[#This Row],[2nd Highest Target]])/tblPiNAnalysis512[[#This Row],[2nd Highest Target]]),"")</f>
        <v/>
      </c>
      <c r="AT60" s="39" t="str" cm="1">
        <f t="array" ref="AT6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0" s="332" cm="1">
        <f t="array" ref="AU6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60" s="190" t="str" cm="1">
        <f t="array" ref="AV60">IF(tblPiNAnalysis512[[#This Row],[3rd Highest Target]]="", "", _xlfn.TEXTJOIN(CHAR(10), TRUE, IF(tblPiNAnalysis512[[#This Row],[3rd Highest Target]]=tblPiNAnalysis512[[#This Row],[CCCM]:[WASH]], tblPiNAnalysis512[[#Headers],[CCCM]:[WASH]], "")))</f>
        <v>CCCM
Education
Nutrition
Food Security
Health
Overarching Protection
Shelter
WASH</v>
      </c>
      <c r="AW60" s="190">
        <f>IFERROR(tblPiNAnalysis512[[#This Row],[3rd Highest Target]]/tblPiNAnalysis512[[#This Row],[Affected population projection 2026]], "")</f>
        <v>0</v>
      </c>
      <c r="AX60" s="45">
        <f>IFERROR(tblPiNAnalysis512[[#This Row],[Highest Target]]-tblPiNAnalysis512[[#This Row],[3rd Highest Target]],"")</f>
        <v>0</v>
      </c>
      <c r="AY60" s="39" t="str">
        <f>IFERROR(tblPiNAnalysis512[[#This Row],[Difference of Target between Highest and 3rd Highest]]/tblPiNAnalysis512[[#This Row],[3rd Highest Target]], "")</f>
        <v/>
      </c>
      <c r="AZ60" s="330" t="str" cm="1">
        <f t="array" ref="AZ6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0" s="300" t="str" cm="1">
        <f t="array" ref="BA6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0" s="333" t="str" cm="1">
        <f t="array" ref="BB6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0" s="276" t="str" cm="1">
        <f t="array" ref="BC6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0" s="334" t="str" cm="1">
        <f t="array" ref="BD6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60" s="277" t="e">
        <f>INDEX(tblSeverityAnalysis[Final Severity], MATCH(tblPiNAnalysis512[[#This Row],[ID]],tblSeverityAnalysis[ID], 0))</f>
        <v>#N/A</v>
      </c>
      <c r="BF60" s="61" t="e">
        <f>IF(tblPiNAnalysis512[[#This Row],[Severity]]&gt;2,tblPiNAnalysis512[[#This Row],[Highest Target]],)</f>
        <v>#N/A</v>
      </c>
      <c r="BG60" s="191"/>
      <c r="BH60" s="192"/>
      <c r="BI60" s="193">
        <f>COUNTIFS(tblPiNAnalysis512[[#This Row],[Number of missing / zero PiNs greater than threshold - Data quality]:[Manual Flag]],"Flagged")</f>
        <v>1</v>
      </c>
      <c r="BJ60" s="96" t="str">
        <f>IF(tblPiNAnalysis512[[#This Row],['# Flags]]&gt;0, "Flagged", "")</f>
        <v>Flagged</v>
      </c>
      <c r="BK60" s="326" t="e">
        <f>tblPiNAnalysis512[[#This Row],[Preliminary Target]]</f>
        <v>#N/A</v>
      </c>
      <c r="BL60" s="331">
        <v>4</v>
      </c>
    </row>
    <row r="61" spans="1:64" x14ac:dyDescent="0.55000000000000004">
      <c r="A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1" s="316" t="s">
        <v>342</v>
      </c>
      <c r="C61" s="317" t="s">
        <v>343</v>
      </c>
      <c r="D61" s="317" t="s">
        <v>362</v>
      </c>
      <c r="E61" s="105" t="s">
        <v>363</v>
      </c>
      <c r="F61" s="100"/>
      <c r="G61" s="34"/>
      <c r="H61" s="34"/>
      <c r="I61" s="97">
        <v>17038.14092740557</v>
      </c>
      <c r="J61" s="97" t="s">
        <v>412</v>
      </c>
      <c r="K61" s="261">
        <v>1984</v>
      </c>
      <c r="L61" s="319">
        <v>1409.2553047593842</v>
      </c>
      <c r="M61" s="319">
        <v>4777.6809424247476</v>
      </c>
      <c r="N61" s="319">
        <v>8336.8899108872847</v>
      </c>
      <c r="O61" s="319">
        <v>9321.9440506130777</v>
      </c>
      <c r="P61" s="319">
        <v>7017.5177811698222</v>
      </c>
      <c r="Q61" s="320">
        <v>9852.4901884562623</v>
      </c>
      <c r="R61" s="319">
        <v>15524.42179542532</v>
      </c>
      <c r="S61" s="319"/>
      <c r="T61" s="319"/>
      <c r="U61" s="319"/>
      <c r="V61" s="319"/>
      <c r="W61" s="321">
        <f>IFERROR(IF(tblPiNAnalysis512[[#This Row],[CCCM]]="", "", MROUND(tblPiNAnalysis512[[#This Row],[CCCM]]/tblPiNAnalysis512[[#This Row],[Affected population projection 2026]], 0.05)), "")</f>
        <v>0.1</v>
      </c>
      <c r="X61" s="322">
        <f>IFERROR(IF(tblPiNAnalysis512[[#This Row],[Education]]="", "", MROUND(tblPiNAnalysis512[[#This Row],[Education]]/tblPiNAnalysis512[[#This Row],[Affected population projection 2026]], 0.05)), "")</f>
        <v>0.1</v>
      </c>
      <c r="Y61" s="322">
        <f>IFERROR(IF(tblPiNAnalysis512[[#This Row],[Nutrition]]="", "", MROUND(tblPiNAnalysis512[[#This Row],[Nutrition]]/tblPiNAnalysis512[[#This Row],[Affected population projection 2026]], 0.05)), "")</f>
        <v>0.30000000000000004</v>
      </c>
      <c r="Z61" s="322">
        <f>IFERROR(IF(tblPiNAnalysis512[[#This Row],[Food Security]]="", "", MROUND(tblPiNAnalysis512[[#This Row],[Food Security]]/tblPiNAnalysis512[[#This Row],[Affected population projection 2026]], 0.05)), "")</f>
        <v>0.5</v>
      </c>
      <c r="AA61" s="322">
        <f>IFERROR(IF(tblPiNAnalysis512[[#This Row],[Health]]="", "", MROUND(tblPiNAnalysis512[[#This Row],[Health]]/tblPiNAnalysis512[[#This Row],[Affected population projection 2026]], 0.05)), "")</f>
        <v>0.55000000000000004</v>
      </c>
      <c r="AB61" s="323">
        <f>IFERROR(IF(tblPiNAnalysis512[[#This Row],[Overarching Protection]]="", "", MROUND(tblPiNAnalysis512[[#This Row],[Overarching Protection]]/tblPiNAnalysis512[[#This Row],[Affected population projection 2026]], 0.05)), "")</f>
        <v>0.4</v>
      </c>
      <c r="AC61" s="323">
        <f>IFERROR(IF(tblPiNAnalysis512[[#This Row],[Shelter]]="", "", MROUND(tblPiNAnalysis512[[#This Row],[Shelter]]/tblPiNAnalysis512[[#This Row],[Affected population projection 2026]], 0.05)), "")</f>
        <v>0.60000000000000009</v>
      </c>
      <c r="AD61" s="324">
        <f>IFERROR(IF(tblPiNAnalysis512[[#This Row],[WASH]]="", "", MROUND(tblPiNAnalysis512[[#This Row],[WASH]]/tblPiNAnalysis512[[#This Row],[Affected population projection 2026]], 0.05)), "")</f>
        <v>0.9</v>
      </c>
      <c r="AE61" s="322">
        <f>IFERROR(MROUND(tblPiNAnalysis512[[#This Row],[CP]]/tblPiNAnalysis512[[#This Row],[Affected population projection 2026]], 0.05), "")</f>
        <v>0</v>
      </c>
      <c r="AF61" s="322">
        <f>IFERROR(MROUND(tblPiNAnalysis512[[#This Row],[GBV]]/tblPiNAnalysis512[[#This Row],[Affected population projection 2026]], 0.05), "")</f>
        <v>0</v>
      </c>
      <c r="AG61" s="322">
        <f>IFERROR(MROUND(tblPiNAnalysis512[[#This Row],[Mine Action]]/tblPiNAnalysis512[[#This Row],[Affected population projection 2026]], 0.05), "")</f>
        <v>0</v>
      </c>
      <c r="AH61" s="322">
        <f>IFERROR(MROUND(tblPiNAnalysis512[[#This Row],[HLP]]/tblPiNAnalysis512[[#This Row],[Affected population projection 2026]], 0.05), "")</f>
        <v>0</v>
      </c>
      <c r="AI61" s="325">
        <f>IFERROR(LARGE(tblPiNAnalysis512[[#This Row],[CCCM]:[WASH]], 1), "")</f>
        <v>15524.42179542532</v>
      </c>
      <c r="AJ61" s="326" t="str" cm="1">
        <f t="array" ref="AJ61">IF(tblPiNAnalysis512[[#This Row],[Highest Target]]="", "", _xlfn.TEXTJOIN(CHAR(10), TRUE, IF(tblPiNAnalysis512[[#This Row],[Highest Target]]=tblPiNAnalysis512[[#This Row],[CCCM]:[WASH]], tblPiNAnalysis512[[#Headers],[CCCM]:[WASH]], "")))</f>
        <v>WASH</v>
      </c>
      <c r="AK61" s="327">
        <f>IF(tblPiNAnalysis512[[#This Row],[Highest Target]]="", "", tblPiNAnalysis512[[#This Row],[Highest Target]]/tblPiNAnalysis512[[#This Row],[Affected population projection 2026]])</f>
        <v>0.91115702479338823</v>
      </c>
      <c r="AL61" s="328" t="str">
        <f>IF(SUM(tblPiNAnalysis512[[#This Row],[CCCM]:[WASH]])=0, "",IF(COUNTIF(tblPiNAnalysis512[[#This Row],[CCCM]:[WASH]],"=0")+COUNTIF(tblPiNAnalysis512[[#This Row],[CCCM]:[WASH]],"")&gt;=zero_pin_thresh, "Flagged", ""))</f>
        <v/>
      </c>
      <c r="AM61" s="329" t="str">
        <f>IFERROR(IF(tblPiNAnalysis512[[#This Row],[Highest Target]]="", "", IF(tblPiNAnalysis512[[#This Row],[Highest sector(s'') Target %]]&gt;=flag_pin_perc, "Flagged", "")), "")</f>
        <v>Flagged</v>
      </c>
      <c r="AN61" s="330" t="str" cm="1">
        <f t="array" ref="AN61">IF(tblPiNAnalysis512[[#This Row],[Highest Target]]=0, "",  IF(OR(COUNTIF(tblPiNAnalysis512[[#This Row],[Highest sector(s)]],tblSubSectorPopulation[Sector])), "Flagged", ""))</f>
        <v/>
      </c>
      <c r="AO61" s="46" cm="1">
        <f t="array" ref="AO6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9852.4901884562623</v>
      </c>
      <c r="AP61" s="331" t="str" cm="1">
        <f t="array" ref="AP61">IF(tblPiNAnalysis512[[#This Row],[2nd Highest Target]]="", "", _xlfn.TEXTJOIN(CHAR(10), TRUE, IF(tblPiNAnalysis512[[#This Row],[2nd Highest Target]]=tblPiNAnalysis512[[#This Row],[CCCM]:[WASH]], tblPiNAnalysis512[[#Headers],[CCCM]:[WASH]], "")))</f>
        <v>Shelter</v>
      </c>
      <c r="AQ61" s="36">
        <f>IFERROR(tblPiNAnalysis512[[#This Row],[2nd Highest Target]]/tblPiNAnalysis512[[#This Row],[Affected population projection 2026]], "")</f>
        <v>0.57826086956521727</v>
      </c>
      <c r="AR61" s="46">
        <f>IFERROR(tblPiNAnalysis512[[#This Row],[Highest Target]]-tblPiNAnalysis512[[#This Row],[2nd Highest Target]], "")</f>
        <v>5671.9316069690576</v>
      </c>
      <c r="AS61" s="39">
        <f>IFERROR(((tblPiNAnalysis512[[#This Row],[Highest Target]]-tblPiNAnalysis512[[#This Row],[2nd Highest Target]])/tblPiNAnalysis512[[#This Row],[2nd Highest Target]]),"")</f>
        <v>0.57568508046976952</v>
      </c>
      <c r="AT61" s="39" t="str" cm="1">
        <f t="array" ref="AT6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61" s="332" cm="1">
        <f t="array" ref="AU6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9321.9440506130777</v>
      </c>
      <c r="AV61" s="190" t="str" cm="1">
        <f t="array" ref="AV61">IF(tblPiNAnalysis512[[#This Row],[3rd Highest Target]]="", "", _xlfn.TEXTJOIN(CHAR(10), TRUE, IF(tblPiNAnalysis512[[#This Row],[3rd Highest Target]]=tblPiNAnalysis512[[#This Row],[CCCM]:[WASH]], tblPiNAnalysis512[[#Headers],[CCCM]:[WASH]], "")))</f>
        <v>Health</v>
      </c>
      <c r="AW61" s="190">
        <f>IFERROR(tblPiNAnalysis512[[#This Row],[3rd Highest Target]]/tblPiNAnalysis512[[#This Row],[Affected population projection 2026]], "")</f>
        <v>0.54712213558574829</v>
      </c>
      <c r="AX61" s="45">
        <f>IFERROR(tblPiNAnalysis512[[#This Row],[Highest Target]]-tblPiNAnalysis512[[#This Row],[3rd Highest Target]],"")</f>
        <v>6202.4777448122422</v>
      </c>
      <c r="AY61" s="39">
        <f>IFERROR(tblPiNAnalysis512[[#This Row],[Difference of Target between Highest and 3rd Highest]]/tblPiNAnalysis512[[#This Row],[3rd Highest Target]], "")</f>
        <v>0.66536311644182444</v>
      </c>
      <c r="AZ61" s="330" t="str" cm="1">
        <f t="array" ref="AZ6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61" s="300" t="str" cm="1">
        <f t="array" ref="BA6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1" s="333" t="str" cm="1">
        <f t="array" ref="BB6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61" s="276" t="str" cm="1">
        <f t="array" ref="BC6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1" s="334" t="str" cm="1">
        <f t="array" ref="BD6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1" s="277" t="e">
        <f>INDEX(tblSeverityAnalysis[Final Severity], MATCH(tblPiNAnalysis512[[#This Row],[ID]],tblSeverityAnalysis[ID], 0))</f>
        <v>#N/A</v>
      </c>
      <c r="BF61" s="61" t="e">
        <f>IF(tblPiNAnalysis512[[#This Row],[Severity]]&gt;2,tblPiNAnalysis512[[#This Row],[Highest Target]],)</f>
        <v>#N/A</v>
      </c>
      <c r="BG61" s="191"/>
      <c r="BH61" s="192"/>
      <c r="BI61" s="193">
        <f>COUNTIFS(tblPiNAnalysis512[[#This Row],[Number of missing / zero PiNs greater than threshold - Data quality]:[Manual Flag]],"Flagged")</f>
        <v>4</v>
      </c>
      <c r="BJ61" s="96" t="str">
        <f>IF(tblPiNAnalysis512[[#This Row],['# Flags]]&gt;0, "Flagged", "")</f>
        <v>Flagged</v>
      </c>
      <c r="BK61" s="326" t="e">
        <f>tblPiNAnalysis512[[#This Row],[Preliminary Target]]</f>
        <v>#N/A</v>
      </c>
      <c r="BL61" s="331">
        <v>2</v>
      </c>
    </row>
    <row r="62" spans="1:64" x14ac:dyDescent="0.55000000000000004">
      <c r="A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2" s="316" t="s">
        <v>342</v>
      </c>
      <c r="C62" s="317" t="s">
        <v>343</v>
      </c>
      <c r="D62" s="317" t="s">
        <v>364</v>
      </c>
      <c r="E62" s="105" t="s">
        <v>365</v>
      </c>
      <c r="F62" s="100"/>
      <c r="G62" s="34"/>
      <c r="H62" s="34"/>
      <c r="I62" s="97">
        <v>119449.90934019189</v>
      </c>
      <c r="J62" s="97" t="s">
        <v>412</v>
      </c>
      <c r="K62" s="261">
        <v>11554</v>
      </c>
      <c r="L62" s="319">
        <v>21877.250895656147</v>
      </c>
      <c r="M62" s="319">
        <v>19541.698900197116</v>
      </c>
      <c r="N62" s="319">
        <v>43135.041624416102</v>
      </c>
      <c r="O62" s="319">
        <v>35332.616272001105</v>
      </c>
      <c r="P62" s="319">
        <v>33882.885885087802</v>
      </c>
      <c r="Q62" s="320">
        <v>27871.645512711442</v>
      </c>
      <c r="R62" s="319">
        <v>23697.452864643696</v>
      </c>
      <c r="S62" s="319"/>
      <c r="T62" s="319"/>
      <c r="U62" s="319"/>
      <c r="V62" s="319"/>
      <c r="W62" s="321">
        <f>IFERROR(IF(tblPiNAnalysis512[[#This Row],[CCCM]]="", "", MROUND(tblPiNAnalysis512[[#This Row],[CCCM]]/tblPiNAnalysis512[[#This Row],[Affected population projection 2026]], 0.05)), "")</f>
        <v>0.1</v>
      </c>
      <c r="X62" s="322">
        <f>IFERROR(IF(tblPiNAnalysis512[[#This Row],[Education]]="", "", MROUND(tblPiNAnalysis512[[#This Row],[Education]]/tblPiNAnalysis512[[#This Row],[Affected population projection 2026]], 0.05)), "")</f>
        <v>0.2</v>
      </c>
      <c r="Y62" s="322">
        <f>IFERROR(IF(tblPiNAnalysis512[[#This Row],[Nutrition]]="", "", MROUND(tblPiNAnalysis512[[#This Row],[Nutrition]]/tblPiNAnalysis512[[#This Row],[Affected population projection 2026]], 0.05)), "")</f>
        <v>0.15000000000000002</v>
      </c>
      <c r="Z62" s="322">
        <f>IFERROR(IF(tblPiNAnalysis512[[#This Row],[Food Security]]="", "", MROUND(tblPiNAnalysis512[[#This Row],[Food Security]]/tblPiNAnalysis512[[#This Row],[Affected population projection 2026]], 0.05)), "")</f>
        <v>0.35000000000000003</v>
      </c>
      <c r="AA62" s="322">
        <f>IFERROR(IF(tblPiNAnalysis512[[#This Row],[Health]]="", "", MROUND(tblPiNAnalysis512[[#This Row],[Health]]/tblPiNAnalysis512[[#This Row],[Affected population projection 2026]], 0.05)), "")</f>
        <v>0.30000000000000004</v>
      </c>
      <c r="AB62" s="323">
        <f>IFERROR(IF(tblPiNAnalysis512[[#This Row],[Overarching Protection]]="", "", MROUND(tblPiNAnalysis512[[#This Row],[Overarching Protection]]/tblPiNAnalysis512[[#This Row],[Affected population projection 2026]], 0.05)), "")</f>
        <v>0.30000000000000004</v>
      </c>
      <c r="AC62" s="323">
        <f>IFERROR(IF(tblPiNAnalysis512[[#This Row],[Shelter]]="", "", MROUND(tblPiNAnalysis512[[#This Row],[Shelter]]/tblPiNAnalysis512[[#This Row],[Affected population projection 2026]], 0.05)), "")</f>
        <v>0.25</v>
      </c>
      <c r="AD62" s="324">
        <f>IFERROR(IF(tblPiNAnalysis512[[#This Row],[WASH]]="", "", MROUND(tblPiNAnalysis512[[#This Row],[WASH]]/tblPiNAnalysis512[[#This Row],[Affected population projection 2026]], 0.05)), "")</f>
        <v>0.2</v>
      </c>
      <c r="AE62" s="322">
        <f>IFERROR(MROUND(tblPiNAnalysis512[[#This Row],[CP]]/tblPiNAnalysis512[[#This Row],[Affected population projection 2026]], 0.05), "")</f>
        <v>0</v>
      </c>
      <c r="AF62" s="322">
        <f>IFERROR(MROUND(tblPiNAnalysis512[[#This Row],[GBV]]/tblPiNAnalysis512[[#This Row],[Affected population projection 2026]], 0.05), "")</f>
        <v>0</v>
      </c>
      <c r="AG62" s="322">
        <f>IFERROR(MROUND(tblPiNAnalysis512[[#This Row],[Mine Action]]/tblPiNAnalysis512[[#This Row],[Affected population projection 2026]], 0.05), "")</f>
        <v>0</v>
      </c>
      <c r="AH62" s="322">
        <f>IFERROR(MROUND(tblPiNAnalysis512[[#This Row],[HLP]]/tblPiNAnalysis512[[#This Row],[Affected population projection 2026]], 0.05), "")</f>
        <v>0</v>
      </c>
      <c r="AI62" s="325">
        <f>IFERROR(LARGE(tblPiNAnalysis512[[#This Row],[CCCM]:[WASH]], 1), "")</f>
        <v>43135.041624416102</v>
      </c>
      <c r="AJ62" s="326" t="str" cm="1">
        <f t="array" ref="AJ62">IF(tblPiNAnalysis512[[#This Row],[Highest Target]]="", "", _xlfn.TEXTJOIN(CHAR(10), TRUE, IF(tblPiNAnalysis512[[#This Row],[Highest Target]]=tblPiNAnalysis512[[#This Row],[CCCM]:[WASH]], tblPiNAnalysis512[[#Headers],[CCCM]:[WASH]], "")))</f>
        <v>Food Security</v>
      </c>
      <c r="AK62" s="327">
        <f>IF(tblPiNAnalysis512[[#This Row],[Highest Target]]="", "", tblPiNAnalysis512[[#This Row],[Highest Target]]/tblPiNAnalysis512[[#This Row],[Affected population projection 2026]])</f>
        <v>0.36111405912890254</v>
      </c>
      <c r="AL62" s="328" t="str">
        <f>IF(SUM(tblPiNAnalysis512[[#This Row],[CCCM]:[WASH]])=0, "",IF(COUNTIF(tblPiNAnalysis512[[#This Row],[CCCM]:[WASH]],"=0")+COUNTIF(tblPiNAnalysis512[[#This Row],[CCCM]:[WASH]],"")&gt;=zero_pin_thresh, "Flagged", ""))</f>
        <v/>
      </c>
      <c r="AM62" s="329" t="str">
        <f>IFERROR(IF(tblPiNAnalysis512[[#This Row],[Highest Target]]="", "", IF(tblPiNAnalysis512[[#This Row],[Highest sector(s'') Target %]]&gt;=flag_pin_perc, "Flagged", "")), "")</f>
        <v/>
      </c>
      <c r="AN62" s="330" t="str" cm="1">
        <f t="array" ref="AN62">IF(tblPiNAnalysis512[[#This Row],[Highest Target]]=0, "",  IF(OR(COUNTIF(tblPiNAnalysis512[[#This Row],[Highest sector(s)]],tblSubSectorPopulation[Sector])), "Flagged", ""))</f>
        <v/>
      </c>
      <c r="AO62" s="46" cm="1">
        <f t="array" ref="AO6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35332.616272001105</v>
      </c>
      <c r="AP62" s="331" t="str" cm="1">
        <f t="array" ref="AP62">IF(tblPiNAnalysis512[[#This Row],[2nd Highest Target]]="", "", _xlfn.TEXTJOIN(CHAR(10), TRUE, IF(tblPiNAnalysis512[[#This Row],[2nd Highest Target]]=tblPiNAnalysis512[[#This Row],[CCCM]:[WASH]], tblPiNAnalysis512[[#Headers],[CCCM]:[WASH]], "")))</f>
        <v>Health</v>
      </c>
      <c r="AQ62" s="36">
        <f>IFERROR(tblPiNAnalysis512[[#This Row],[2nd Highest Target]]/tblPiNAnalysis512[[#This Row],[Affected population projection 2026]], "")</f>
        <v>0.29579441681595792</v>
      </c>
      <c r="AR62" s="46">
        <f>IFERROR(tblPiNAnalysis512[[#This Row],[Highest Target]]-tblPiNAnalysis512[[#This Row],[2nd Highest Target]], "")</f>
        <v>7802.4253524149972</v>
      </c>
      <c r="AS62" s="39">
        <f>IFERROR(((tblPiNAnalysis512[[#This Row],[Highest Target]]-tblPiNAnalysis512[[#This Row],[2nd Highest Target]])/tblPiNAnalysis512[[#This Row],[2nd Highest Target]]),"")</f>
        <v>0.22082784055246801</v>
      </c>
      <c r="AT62" s="39" t="str" cm="1">
        <f t="array" ref="AT6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2" s="332" cm="1">
        <f t="array" ref="AU6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33882.885885087802</v>
      </c>
      <c r="AV62" s="190" t="str" cm="1">
        <f t="array" ref="AV62">IF(tblPiNAnalysis512[[#This Row],[3rd Highest Target]]="", "", _xlfn.TEXTJOIN(CHAR(10), TRUE, IF(tblPiNAnalysis512[[#This Row],[3rd Highest Target]]=tblPiNAnalysis512[[#This Row],[CCCM]:[WASH]], tblPiNAnalysis512[[#Headers],[CCCM]:[WASH]], "")))</f>
        <v>Overarching Protection</v>
      </c>
      <c r="AW62" s="190">
        <f>IFERROR(tblPiNAnalysis512[[#This Row],[3rd Highest Target]]/tblPiNAnalysis512[[#This Row],[Affected population projection 2026]], "")</f>
        <v>0.28365769444487188</v>
      </c>
      <c r="AX62" s="45">
        <f>IFERROR(tblPiNAnalysis512[[#This Row],[Highest Target]]-tblPiNAnalysis512[[#This Row],[3rd Highest Target]],"")</f>
        <v>9252.1557393283001</v>
      </c>
      <c r="AY62" s="39">
        <f>IFERROR(tblPiNAnalysis512[[#This Row],[Difference of Target between Highest and 3rd Highest]]/tblPiNAnalysis512[[#This Row],[3rd Highest Target]], "")</f>
        <v>0.27306280140087674</v>
      </c>
      <c r="AZ62" s="330" t="str" cm="1">
        <f t="array" ref="AZ6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2" s="300" t="str" cm="1">
        <f t="array" ref="BA6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2" s="333" t="str" cm="1">
        <f t="array" ref="BB6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62" s="276" t="str" cm="1">
        <f t="array" ref="BC6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2" s="334" t="str" cm="1">
        <f t="array" ref="BD6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2" s="277" t="e">
        <f>INDEX(tblSeverityAnalysis[Final Severity], MATCH(tblPiNAnalysis512[[#This Row],[ID]],tblSeverityAnalysis[ID], 0))</f>
        <v>#N/A</v>
      </c>
      <c r="BF62" s="61" t="e">
        <f>IF(tblPiNAnalysis512[[#This Row],[Severity]]&gt;2,tblPiNAnalysis512[[#This Row],[Highest Target]],)</f>
        <v>#N/A</v>
      </c>
      <c r="BG62" s="191"/>
      <c r="BH62" s="192"/>
      <c r="BI62" s="193">
        <f>COUNTIFS(tblPiNAnalysis512[[#This Row],[Number of missing / zero PiNs greater than threshold - Data quality]:[Manual Flag]],"Flagged")</f>
        <v>1</v>
      </c>
      <c r="BJ62" s="96" t="str">
        <f>IF(tblPiNAnalysis512[[#This Row],['# Flags]]&gt;0, "Flagged", "")</f>
        <v>Flagged</v>
      </c>
      <c r="BK62" s="326" t="e">
        <f>tblPiNAnalysis512[[#This Row],[Preliminary Target]]</f>
        <v>#N/A</v>
      </c>
      <c r="BL62" s="331">
        <v>1</v>
      </c>
    </row>
    <row r="63" spans="1:64" x14ac:dyDescent="0.55000000000000004">
      <c r="A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3" s="316" t="s">
        <v>342</v>
      </c>
      <c r="C63" s="317" t="s">
        <v>343</v>
      </c>
      <c r="D63" s="317" t="s">
        <v>366</v>
      </c>
      <c r="E63" s="105" t="s">
        <v>367</v>
      </c>
      <c r="F63" s="100"/>
      <c r="G63" s="34"/>
      <c r="H63" s="34"/>
      <c r="I63" s="97">
        <v>18966</v>
      </c>
      <c r="J63" s="97" t="s">
        <v>412</v>
      </c>
      <c r="K63" s="261">
        <v>18966</v>
      </c>
      <c r="L63" s="319">
        <v>6161.2947599999998</v>
      </c>
      <c r="M63" s="319">
        <v>3813.6559315961349</v>
      </c>
      <c r="N63" s="319">
        <v>9775.2632140054211</v>
      </c>
      <c r="O63" s="319">
        <v>11004.401041173787</v>
      </c>
      <c r="P63" s="319">
        <v>8096.2186060682088</v>
      </c>
      <c r="Q63" s="320">
        <v>8850.7999999999993</v>
      </c>
      <c r="R63" s="319">
        <v>14224.500000000002</v>
      </c>
      <c r="S63" s="319"/>
      <c r="T63" s="319"/>
      <c r="U63" s="319"/>
      <c r="V63" s="319"/>
      <c r="W63" s="321">
        <f>IFERROR(IF(tblPiNAnalysis512[[#This Row],[CCCM]]="", "", MROUND(tblPiNAnalysis512[[#This Row],[CCCM]]/tblPiNAnalysis512[[#This Row],[Affected population projection 2026]], 0.05)), "")</f>
        <v>1</v>
      </c>
      <c r="X63" s="322">
        <f>IFERROR(IF(tblPiNAnalysis512[[#This Row],[Education]]="", "", MROUND(tblPiNAnalysis512[[#This Row],[Education]]/tblPiNAnalysis512[[#This Row],[Affected population projection 2026]], 0.05)), "")</f>
        <v>0.30000000000000004</v>
      </c>
      <c r="Y63" s="322">
        <f>IFERROR(IF(tblPiNAnalysis512[[#This Row],[Nutrition]]="", "", MROUND(tblPiNAnalysis512[[#This Row],[Nutrition]]/tblPiNAnalysis512[[#This Row],[Affected population projection 2026]], 0.05)), "")</f>
        <v>0.2</v>
      </c>
      <c r="Z63" s="322">
        <f>IFERROR(IF(tblPiNAnalysis512[[#This Row],[Food Security]]="", "", MROUND(tblPiNAnalysis512[[#This Row],[Food Security]]/tblPiNAnalysis512[[#This Row],[Affected population projection 2026]], 0.05)), "")</f>
        <v>0.5</v>
      </c>
      <c r="AA63" s="322">
        <f>IFERROR(IF(tblPiNAnalysis512[[#This Row],[Health]]="", "", MROUND(tblPiNAnalysis512[[#This Row],[Health]]/tblPiNAnalysis512[[#This Row],[Affected population projection 2026]], 0.05)), "")</f>
        <v>0.60000000000000009</v>
      </c>
      <c r="AB63" s="323">
        <f>IFERROR(IF(tblPiNAnalysis512[[#This Row],[Overarching Protection]]="", "", MROUND(tblPiNAnalysis512[[#This Row],[Overarching Protection]]/tblPiNAnalysis512[[#This Row],[Affected population projection 2026]], 0.05)), "")</f>
        <v>0.45</v>
      </c>
      <c r="AC63" s="323">
        <f>IFERROR(IF(tblPiNAnalysis512[[#This Row],[Shelter]]="", "", MROUND(tblPiNAnalysis512[[#This Row],[Shelter]]/tblPiNAnalysis512[[#This Row],[Affected population projection 2026]], 0.05)), "")</f>
        <v>0.45</v>
      </c>
      <c r="AD63" s="324">
        <f>IFERROR(IF(tblPiNAnalysis512[[#This Row],[WASH]]="", "", MROUND(tblPiNAnalysis512[[#This Row],[WASH]]/tblPiNAnalysis512[[#This Row],[Affected population projection 2026]], 0.05)), "")</f>
        <v>0.75</v>
      </c>
      <c r="AE63" s="322">
        <f>IFERROR(MROUND(tblPiNAnalysis512[[#This Row],[CP]]/tblPiNAnalysis512[[#This Row],[Affected population projection 2026]], 0.05), "")</f>
        <v>0</v>
      </c>
      <c r="AF63" s="322">
        <f>IFERROR(MROUND(tblPiNAnalysis512[[#This Row],[GBV]]/tblPiNAnalysis512[[#This Row],[Affected population projection 2026]], 0.05), "")</f>
        <v>0</v>
      </c>
      <c r="AG63" s="322">
        <f>IFERROR(MROUND(tblPiNAnalysis512[[#This Row],[Mine Action]]/tblPiNAnalysis512[[#This Row],[Affected population projection 2026]], 0.05), "")</f>
        <v>0</v>
      </c>
      <c r="AH63" s="322">
        <f>IFERROR(MROUND(tblPiNAnalysis512[[#This Row],[HLP]]/tblPiNAnalysis512[[#This Row],[Affected population projection 2026]], 0.05), "")</f>
        <v>0</v>
      </c>
      <c r="AI63" s="325">
        <f>IFERROR(LARGE(tblPiNAnalysis512[[#This Row],[CCCM]:[WASH]], 1), "")</f>
        <v>18966</v>
      </c>
      <c r="AJ63" s="326" t="str" cm="1">
        <f t="array" ref="AJ63">IF(tblPiNAnalysis512[[#This Row],[Highest Target]]="", "", _xlfn.TEXTJOIN(CHAR(10), TRUE, IF(tblPiNAnalysis512[[#This Row],[Highest Target]]=tblPiNAnalysis512[[#This Row],[CCCM]:[WASH]], tblPiNAnalysis512[[#Headers],[CCCM]:[WASH]], "")))</f>
        <v>CCCM</v>
      </c>
      <c r="AK63" s="327">
        <f>IF(tblPiNAnalysis512[[#This Row],[Highest Target]]="", "", tblPiNAnalysis512[[#This Row],[Highest Target]]/tblPiNAnalysis512[[#This Row],[Affected population projection 2026]])</f>
        <v>1</v>
      </c>
      <c r="AL63" s="328" t="str">
        <f>IF(SUM(tblPiNAnalysis512[[#This Row],[CCCM]:[WASH]])=0, "",IF(COUNTIF(tblPiNAnalysis512[[#This Row],[CCCM]:[WASH]],"=0")+COUNTIF(tblPiNAnalysis512[[#This Row],[CCCM]:[WASH]],"")&gt;=zero_pin_thresh, "Flagged", ""))</f>
        <v/>
      </c>
      <c r="AM63" s="329" t="str">
        <f>IFERROR(IF(tblPiNAnalysis512[[#This Row],[Highest Target]]="", "", IF(tblPiNAnalysis512[[#This Row],[Highest sector(s'') Target %]]&gt;=flag_pin_perc, "Flagged", "")), "")</f>
        <v>Flagged</v>
      </c>
      <c r="AN63" s="330" t="str" cm="1">
        <f t="array" ref="AN63">IF(tblPiNAnalysis512[[#This Row],[Highest Target]]=0, "",  IF(OR(COUNTIF(tblPiNAnalysis512[[#This Row],[Highest sector(s)]],tblSubSectorPopulation[Sector])), "Flagged", ""))</f>
        <v/>
      </c>
      <c r="AO63" s="46" cm="1">
        <f t="array" ref="AO6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14224.500000000002</v>
      </c>
      <c r="AP63" s="331" t="str" cm="1">
        <f t="array" ref="AP63">IF(tblPiNAnalysis512[[#This Row],[2nd Highest Target]]="", "", _xlfn.TEXTJOIN(CHAR(10), TRUE, IF(tblPiNAnalysis512[[#This Row],[2nd Highest Target]]=tblPiNAnalysis512[[#This Row],[CCCM]:[WASH]], tblPiNAnalysis512[[#Headers],[CCCM]:[WASH]], "")))</f>
        <v>WASH</v>
      </c>
      <c r="AQ63" s="36">
        <f>IFERROR(tblPiNAnalysis512[[#This Row],[2nd Highest Target]]/tblPiNAnalysis512[[#This Row],[Affected population projection 2026]], "")</f>
        <v>0.75000000000000011</v>
      </c>
      <c r="AR63" s="46">
        <f>IFERROR(tblPiNAnalysis512[[#This Row],[Highest Target]]-tblPiNAnalysis512[[#This Row],[2nd Highest Target]], "")</f>
        <v>4741.4999999999982</v>
      </c>
      <c r="AS63" s="39">
        <f>IFERROR(((tblPiNAnalysis512[[#This Row],[Highest Target]]-tblPiNAnalysis512[[#This Row],[2nd Highest Target]])/tblPiNAnalysis512[[#This Row],[2nd Highest Target]]),"")</f>
        <v>0.33333333333333315</v>
      </c>
      <c r="AT63" s="39" t="str" cm="1">
        <f t="array" ref="AT6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63" s="332" cm="1">
        <f t="array" ref="AU6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11004.401041173787</v>
      </c>
      <c r="AV63" s="190" t="str" cm="1">
        <f t="array" ref="AV63">IF(tblPiNAnalysis512[[#This Row],[3rd Highest Target]]="", "", _xlfn.TEXTJOIN(CHAR(10), TRUE, IF(tblPiNAnalysis512[[#This Row],[3rd Highest Target]]=tblPiNAnalysis512[[#This Row],[CCCM]:[WASH]], tblPiNAnalysis512[[#Headers],[CCCM]:[WASH]], "")))</f>
        <v>Health</v>
      </c>
      <c r="AW63" s="190">
        <f>IFERROR(tblPiNAnalysis512[[#This Row],[3rd Highest Target]]/tblPiNAnalysis512[[#This Row],[Affected population projection 2026]], "")</f>
        <v>0.58021728573098108</v>
      </c>
      <c r="AX63" s="45">
        <f>IFERROR(tblPiNAnalysis512[[#This Row],[Highest Target]]-tblPiNAnalysis512[[#This Row],[3rd Highest Target]],"")</f>
        <v>7961.5989588262128</v>
      </c>
      <c r="AY63" s="39">
        <f>IFERROR(tblPiNAnalysis512[[#This Row],[Difference of Target between Highest and 3rd Highest]]/tblPiNAnalysis512[[#This Row],[3rd Highest Target]], "")</f>
        <v>0.72349225814629037</v>
      </c>
      <c r="AZ63" s="330" t="str" cm="1">
        <f t="array" ref="AZ6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63" s="300" t="str" cm="1">
        <f t="array" ref="BA6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3" s="333" t="str" cm="1">
        <f t="array" ref="BB6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63" s="276" t="str" cm="1">
        <f t="array" ref="BC6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3" s="334" t="str" cm="1">
        <f t="array" ref="BD6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63" s="277" t="e">
        <f>INDEX(tblSeverityAnalysis[Final Severity], MATCH(tblPiNAnalysis512[[#This Row],[ID]],tblSeverityAnalysis[ID], 0))</f>
        <v>#N/A</v>
      </c>
      <c r="BF63" s="61" t="e">
        <f>IF(tblPiNAnalysis512[[#This Row],[Severity]]&gt;2,tblPiNAnalysis512[[#This Row],[Highest Target]],)</f>
        <v>#N/A</v>
      </c>
      <c r="BG63" s="191"/>
      <c r="BH63" s="192"/>
      <c r="BI63" s="193">
        <f>COUNTIFS(tblPiNAnalysis512[[#This Row],[Number of missing / zero PiNs greater than threshold - Data quality]:[Manual Flag]],"Flagged")</f>
        <v>3</v>
      </c>
      <c r="BJ63" s="96" t="str">
        <f>IF(tblPiNAnalysis512[[#This Row],['# Flags]]&gt;0, "Flagged", "")</f>
        <v>Flagged</v>
      </c>
      <c r="BK63" s="326" t="e">
        <f>tblPiNAnalysis512[[#This Row],[Preliminary Target]]</f>
        <v>#N/A</v>
      </c>
      <c r="BL63" s="331">
        <v>1</v>
      </c>
    </row>
    <row r="64" spans="1:64" x14ac:dyDescent="0.55000000000000004">
      <c r="A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4" s="316" t="s">
        <v>368</v>
      </c>
      <c r="C64" s="317" t="s">
        <v>369</v>
      </c>
      <c r="D64" s="317" t="s">
        <v>370</v>
      </c>
      <c r="E64" s="105" t="s">
        <v>371</v>
      </c>
      <c r="F64" s="100"/>
      <c r="G64" s="34"/>
      <c r="H64" s="34"/>
      <c r="I64" s="97">
        <v>18326.432795999659</v>
      </c>
      <c r="J64" s="97" t="s">
        <v>412</v>
      </c>
      <c r="K64" s="261"/>
      <c r="L64" s="319"/>
      <c r="M64" s="319"/>
      <c r="N64" s="319"/>
      <c r="O64" s="319"/>
      <c r="P64" s="319"/>
      <c r="Q64" s="320"/>
      <c r="R64" s="319"/>
      <c r="S64" s="319"/>
      <c r="T64" s="319"/>
      <c r="U64" s="319"/>
      <c r="V64" s="319"/>
      <c r="W64" s="321" t="str">
        <f>IFERROR(IF(tblPiNAnalysis512[[#This Row],[CCCM]]="", "", MROUND(tblPiNAnalysis512[[#This Row],[CCCM]]/tblPiNAnalysis512[[#This Row],[Affected population projection 2026]], 0.05)), "")</f>
        <v/>
      </c>
      <c r="X64" s="322" t="str">
        <f>IFERROR(IF(tblPiNAnalysis512[[#This Row],[Education]]="", "", MROUND(tblPiNAnalysis512[[#This Row],[Education]]/tblPiNAnalysis512[[#This Row],[Affected population projection 2026]], 0.05)), "")</f>
        <v/>
      </c>
      <c r="Y64" s="322" t="str">
        <f>IFERROR(IF(tblPiNAnalysis512[[#This Row],[Nutrition]]="", "", MROUND(tblPiNAnalysis512[[#This Row],[Nutrition]]/tblPiNAnalysis512[[#This Row],[Affected population projection 2026]], 0.05)), "")</f>
        <v/>
      </c>
      <c r="Z64" s="322" t="str">
        <f>IFERROR(IF(tblPiNAnalysis512[[#This Row],[Food Security]]="", "", MROUND(tblPiNAnalysis512[[#This Row],[Food Security]]/tblPiNAnalysis512[[#This Row],[Affected population projection 2026]], 0.05)), "")</f>
        <v/>
      </c>
      <c r="AA64" s="322" t="str">
        <f>IFERROR(IF(tblPiNAnalysis512[[#This Row],[Health]]="", "", MROUND(tblPiNAnalysis512[[#This Row],[Health]]/tblPiNAnalysis512[[#This Row],[Affected population projection 2026]], 0.05)), "")</f>
        <v/>
      </c>
      <c r="AB64" s="323" t="str">
        <f>IFERROR(IF(tblPiNAnalysis512[[#This Row],[Overarching Protection]]="", "", MROUND(tblPiNAnalysis512[[#This Row],[Overarching Protection]]/tblPiNAnalysis512[[#This Row],[Affected population projection 2026]], 0.05)), "")</f>
        <v/>
      </c>
      <c r="AC64" s="323" t="str">
        <f>IFERROR(IF(tblPiNAnalysis512[[#This Row],[Shelter]]="", "", MROUND(tblPiNAnalysis512[[#This Row],[Shelter]]/tblPiNAnalysis512[[#This Row],[Affected population projection 2026]], 0.05)), "")</f>
        <v/>
      </c>
      <c r="AD64" s="324" t="str">
        <f>IFERROR(IF(tblPiNAnalysis512[[#This Row],[WASH]]="", "", MROUND(tblPiNAnalysis512[[#This Row],[WASH]]/tblPiNAnalysis512[[#This Row],[Affected population projection 2026]], 0.05)), "")</f>
        <v/>
      </c>
      <c r="AE64" s="322">
        <f>IFERROR(MROUND(tblPiNAnalysis512[[#This Row],[CP]]/tblPiNAnalysis512[[#This Row],[Affected population projection 2026]], 0.05), "")</f>
        <v>0</v>
      </c>
      <c r="AF64" s="322">
        <f>IFERROR(MROUND(tblPiNAnalysis512[[#This Row],[GBV]]/tblPiNAnalysis512[[#This Row],[Affected population projection 2026]], 0.05), "")</f>
        <v>0</v>
      </c>
      <c r="AG64" s="322">
        <f>IFERROR(MROUND(tblPiNAnalysis512[[#This Row],[Mine Action]]/tblPiNAnalysis512[[#This Row],[Affected population projection 2026]], 0.05), "")</f>
        <v>0</v>
      </c>
      <c r="AH64" s="322">
        <f>IFERROR(MROUND(tblPiNAnalysis512[[#This Row],[HLP]]/tblPiNAnalysis512[[#This Row],[Affected population projection 2026]], 0.05), "")</f>
        <v>0</v>
      </c>
      <c r="AI64" s="325" t="str">
        <f>IFERROR(LARGE(tblPiNAnalysis512[[#This Row],[CCCM]:[WASH]], 1), "")</f>
        <v/>
      </c>
      <c r="AJ64" s="326" t="str" cm="1">
        <f t="array" ref="AJ64">IF(tblPiNAnalysis512[[#This Row],[Highest Target]]="", "", _xlfn.TEXTJOIN(CHAR(10), TRUE, IF(tblPiNAnalysis512[[#This Row],[Highest Target]]=tblPiNAnalysis512[[#This Row],[CCCM]:[WASH]], tblPiNAnalysis512[[#Headers],[CCCM]:[WASH]], "")))</f>
        <v/>
      </c>
      <c r="AK64" s="327" t="str">
        <f>IF(tblPiNAnalysis512[[#This Row],[Highest Target]]="", "", tblPiNAnalysis512[[#This Row],[Highest Target]]/tblPiNAnalysis512[[#This Row],[Affected population projection 2026]])</f>
        <v/>
      </c>
      <c r="AL64" s="328" t="str">
        <f>IF(SUM(tblPiNAnalysis512[[#This Row],[CCCM]:[WASH]])=0, "",IF(COUNTIF(tblPiNAnalysis512[[#This Row],[CCCM]:[WASH]],"=0")+COUNTIF(tblPiNAnalysis512[[#This Row],[CCCM]:[WASH]],"")&gt;=zero_pin_thresh, "Flagged", ""))</f>
        <v/>
      </c>
      <c r="AM64" s="329" t="str">
        <f>IFERROR(IF(tblPiNAnalysis512[[#This Row],[Highest Target]]="", "", IF(tblPiNAnalysis512[[#This Row],[Highest sector(s'') Target %]]&gt;=flag_pin_perc, "Flagged", "")), "")</f>
        <v/>
      </c>
      <c r="AN64" s="330" t="str" cm="1">
        <f t="array" ref="AN64">IF(tblPiNAnalysis512[[#This Row],[Highest Target]]=0, "",  IF(OR(COUNTIF(tblPiNAnalysis512[[#This Row],[Highest sector(s)]],tblSubSectorPopulation[Sector])), "Flagged", ""))</f>
        <v/>
      </c>
      <c r="AO64" s="46" t="str" cm="1">
        <f t="array" ref="AO6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64" s="331" t="str" cm="1">
        <f t="array" ref="AP64">IF(tblPiNAnalysis512[[#This Row],[2nd Highest Target]]="", "", _xlfn.TEXTJOIN(CHAR(10), TRUE, IF(tblPiNAnalysis512[[#This Row],[2nd Highest Target]]=tblPiNAnalysis512[[#This Row],[CCCM]:[WASH]], tblPiNAnalysis512[[#Headers],[CCCM]:[WASH]], "")))</f>
        <v/>
      </c>
      <c r="AQ64" s="36" t="str">
        <f>IFERROR(tblPiNAnalysis512[[#This Row],[2nd Highest Target]]/tblPiNAnalysis512[[#This Row],[Affected population projection 2026]], "")</f>
        <v/>
      </c>
      <c r="AR64" s="46" t="str">
        <f>IFERROR(tblPiNAnalysis512[[#This Row],[Highest Target]]-tblPiNAnalysis512[[#This Row],[2nd Highest Target]], "")</f>
        <v/>
      </c>
      <c r="AS64" s="39" t="str">
        <f>IFERROR(((tblPiNAnalysis512[[#This Row],[Highest Target]]-tblPiNAnalysis512[[#This Row],[2nd Highest Target]])/tblPiNAnalysis512[[#This Row],[2nd Highest Target]]),"")</f>
        <v/>
      </c>
      <c r="AT64" s="39" t="str" cm="1">
        <f t="array" ref="AT6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4" s="332" t="str" cm="1">
        <f t="array" ref="AU6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64" s="190" t="str" cm="1">
        <f t="array" ref="AV64">IF(tblPiNAnalysis512[[#This Row],[3rd Highest Target]]="", "", _xlfn.TEXTJOIN(CHAR(10), TRUE, IF(tblPiNAnalysis512[[#This Row],[3rd Highest Target]]=tblPiNAnalysis512[[#This Row],[CCCM]:[WASH]], tblPiNAnalysis512[[#Headers],[CCCM]:[WASH]], "")))</f>
        <v/>
      </c>
      <c r="AW64" s="190" t="str">
        <f>IFERROR(tblPiNAnalysis512[[#This Row],[3rd Highest Target]]/tblPiNAnalysis512[[#This Row],[Affected population projection 2026]], "")</f>
        <v/>
      </c>
      <c r="AX64" s="45" t="str">
        <f>IFERROR(tblPiNAnalysis512[[#This Row],[Highest Target]]-tblPiNAnalysis512[[#This Row],[3rd Highest Target]],"")</f>
        <v/>
      </c>
      <c r="AY64" s="39" t="str">
        <f>IFERROR(tblPiNAnalysis512[[#This Row],[Difference of Target between Highest and 3rd Highest]]/tblPiNAnalysis512[[#This Row],[3rd Highest Target]], "")</f>
        <v/>
      </c>
      <c r="AZ64" s="330" t="str" cm="1">
        <f t="array" ref="AZ6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4" s="300" t="str" cm="1">
        <f t="array" ref="BA6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4" s="333" t="str" cm="1">
        <f t="array" ref="BB6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4" s="276" t="str" cm="1">
        <f t="array" ref="BC6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4" s="334" t="str" cm="1">
        <f t="array" ref="BD6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4" s="277" t="e">
        <f>INDEX(tblSeverityAnalysis[Final Severity], MATCH(tblPiNAnalysis512[[#This Row],[ID]],tblSeverityAnalysis[ID], 0))</f>
        <v>#N/A</v>
      </c>
      <c r="BF64" s="61" t="e">
        <f>IF(tblPiNAnalysis512[[#This Row],[Severity]]&gt;2,tblPiNAnalysis512[[#This Row],[Highest Target]],)</f>
        <v>#N/A</v>
      </c>
      <c r="BG64" s="191"/>
      <c r="BH64" s="192"/>
      <c r="BI64" s="193">
        <f>COUNTIFS(tblPiNAnalysis512[[#This Row],[Number of missing / zero PiNs greater than threshold - Data quality]:[Manual Flag]],"Flagged")</f>
        <v>2</v>
      </c>
      <c r="BJ64" s="96" t="str">
        <f>IF(tblPiNAnalysis512[[#This Row],['# Flags]]&gt;0, "Flagged", "")</f>
        <v>Flagged</v>
      </c>
      <c r="BK64" s="326" t="e">
        <f>tblPiNAnalysis512[[#This Row],[Preliminary Target]]</f>
        <v>#N/A</v>
      </c>
      <c r="BL64" s="331">
        <v>3</v>
      </c>
    </row>
    <row r="65" spans="1:64" x14ac:dyDescent="0.55000000000000004">
      <c r="A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5" s="316" t="s">
        <v>368</v>
      </c>
      <c r="C65" s="317" t="s">
        <v>369</v>
      </c>
      <c r="D65" s="317" t="s">
        <v>372</v>
      </c>
      <c r="E65" s="105" t="s">
        <v>373</v>
      </c>
      <c r="F65" s="100"/>
      <c r="G65" s="34"/>
      <c r="H65" s="34"/>
      <c r="I65" s="97">
        <v>24686.538616861621</v>
      </c>
      <c r="J65" s="97" t="s">
        <v>412</v>
      </c>
      <c r="K65" s="261"/>
      <c r="L65" s="319"/>
      <c r="M65" s="319"/>
      <c r="N65" s="319"/>
      <c r="O65" s="319"/>
      <c r="P65" s="319"/>
      <c r="Q65" s="320"/>
      <c r="R65" s="319"/>
      <c r="S65" s="319"/>
      <c r="T65" s="319"/>
      <c r="U65" s="319"/>
      <c r="V65" s="319"/>
      <c r="W65" s="321" t="str">
        <f>IFERROR(IF(tblPiNAnalysis512[[#This Row],[CCCM]]="", "", MROUND(tblPiNAnalysis512[[#This Row],[CCCM]]/tblPiNAnalysis512[[#This Row],[Affected population projection 2026]], 0.05)), "")</f>
        <v/>
      </c>
      <c r="X65" s="322" t="str">
        <f>IFERROR(IF(tblPiNAnalysis512[[#This Row],[Education]]="", "", MROUND(tblPiNAnalysis512[[#This Row],[Education]]/tblPiNAnalysis512[[#This Row],[Affected population projection 2026]], 0.05)), "")</f>
        <v/>
      </c>
      <c r="Y65" s="322" t="str">
        <f>IFERROR(IF(tblPiNAnalysis512[[#This Row],[Nutrition]]="", "", MROUND(tblPiNAnalysis512[[#This Row],[Nutrition]]/tblPiNAnalysis512[[#This Row],[Affected population projection 2026]], 0.05)), "")</f>
        <v/>
      </c>
      <c r="Z65" s="322" t="str">
        <f>IFERROR(IF(tblPiNAnalysis512[[#This Row],[Food Security]]="", "", MROUND(tblPiNAnalysis512[[#This Row],[Food Security]]/tblPiNAnalysis512[[#This Row],[Affected population projection 2026]], 0.05)), "")</f>
        <v/>
      </c>
      <c r="AA65" s="322" t="str">
        <f>IFERROR(IF(tblPiNAnalysis512[[#This Row],[Health]]="", "", MROUND(tblPiNAnalysis512[[#This Row],[Health]]/tblPiNAnalysis512[[#This Row],[Affected population projection 2026]], 0.05)), "")</f>
        <v/>
      </c>
      <c r="AB65" s="323" t="str">
        <f>IFERROR(IF(tblPiNAnalysis512[[#This Row],[Overarching Protection]]="", "", MROUND(tblPiNAnalysis512[[#This Row],[Overarching Protection]]/tblPiNAnalysis512[[#This Row],[Affected population projection 2026]], 0.05)), "")</f>
        <v/>
      </c>
      <c r="AC65" s="323" t="str">
        <f>IFERROR(IF(tblPiNAnalysis512[[#This Row],[Shelter]]="", "", MROUND(tblPiNAnalysis512[[#This Row],[Shelter]]/tblPiNAnalysis512[[#This Row],[Affected population projection 2026]], 0.05)), "")</f>
        <v/>
      </c>
      <c r="AD65" s="324" t="str">
        <f>IFERROR(IF(tblPiNAnalysis512[[#This Row],[WASH]]="", "", MROUND(tblPiNAnalysis512[[#This Row],[WASH]]/tblPiNAnalysis512[[#This Row],[Affected population projection 2026]], 0.05)), "")</f>
        <v/>
      </c>
      <c r="AE65" s="322">
        <f>IFERROR(MROUND(tblPiNAnalysis512[[#This Row],[CP]]/tblPiNAnalysis512[[#This Row],[Affected population projection 2026]], 0.05), "")</f>
        <v>0</v>
      </c>
      <c r="AF65" s="322">
        <f>IFERROR(MROUND(tblPiNAnalysis512[[#This Row],[GBV]]/tblPiNAnalysis512[[#This Row],[Affected population projection 2026]], 0.05), "")</f>
        <v>0</v>
      </c>
      <c r="AG65" s="322">
        <f>IFERROR(MROUND(tblPiNAnalysis512[[#This Row],[Mine Action]]/tblPiNAnalysis512[[#This Row],[Affected population projection 2026]], 0.05), "")</f>
        <v>0</v>
      </c>
      <c r="AH65" s="322">
        <f>IFERROR(MROUND(tblPiNAnalysis512[[#This Row],[HLP]]/tblPiNAnalysis512[[#This Row],[Affected population projection 2026]], 0.05), "")</f>
        <v>0</v>
      </c>
      <c r="AI65" s="325" t="str">
        <f>IFERROR(LARGE(tblPiNAnalysis512[[#This Row],[CCCM]:[WASH]], 1), "")</f>
        <v/>
      </c>
      <c r="AJ65" s="326" t="str" cm="1">
        <f t="array" ref="AJ65">IF(tblPiNAnalysis512[[#This Row],[Highest Target]]="", "", _xlfn.TEXTJOIN(CHAR(10), TRUE, IF(tblPiNAnalysis512[[#This Row],[Highest Target]]=tblPiNAnalysis512[[#This Row],[CCCM]:[WASH]], tblPiNAnalysis512[[#Headers],[CCCM]:[WASH]], "")))</f>
        <v/>
      </c>
      <c r="AK65" s="327" t="str">
        <f>IF(tblPiNAnalysis512[[#This Row],[Highest Target]]="", "", tblPiNAnalysis512[[#This Row],[Highest Target]]/tblPiNAnalysis512[[#This Row],[Affected population projection 2026]])</f>
        <v/>
      </c>
      <c r="AL65" s="328" t="str">
        <f>IF(SUM(tblPiNAnalysis512[[#This Row],[CCCM]:[WASH]])=0, "",IF(COUNTIF(tblPiNAnalysis512[[#This Row],[CCCM]:[WASH]],"=0")+COUNTIF(tblPiNAnalysis512[[#This Row],[CCCM]:[WASH]],"")&gt;=zero_pin_thresh, "Flagged", ""))</f>
        <v/>
      </c>
      <c r="AM65" s="329" t="str">
        <f>IFERROR(IF(tblPiNAnalysis512[[#This Row],[Highest Target]]="", "", IF(tblPiNAnalysis512[[#This Row],[Highest sector(s'') Target %]]&gt;=flag_pin_perc, "Flagged", "")), "")</f>
        <v/>
      </c>
      <c r="AN65" s="330" t="str" cm="1">
        <f t="array" ref="AN65">IF(tblPiNAnalysis512[[#This Row],[Highest Target]]=0, "",  IF(OR(COUNTIF(tblPiNAnalysis512[[#This Row],[Highest sector(s)]],tblSubSectorPopulation[Sector])), "Flagged", ""))</f>
        <v/>
      </c>
      <c r="AO65" s="46" t="str" cm="1">
        <f t="array" ref="AO6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65" s="331" t="str" cm="1">
        <f t="array" ref="AP65">IF(tblPiNAnalysis512[[#This Row],[2nd Highest Target]]="", "", _xlfn.TEXTJOIN(CHAR(10), TRUE, IF(tblPiNAnalysis512[[#This Row],[2nd Highest Target]]=tblPiNAnalysis512[[#This Row],[CCCM]:[WASH]], tblPiNAnalysis512[[#Headers],[CCCM]:[WASH]], "")))</f>
        <v/>
      </c>
      <c r="AQ65" s="36" t="str">
        <f>IFERROR(tblPiNAnalysis512[[#This Row],[2nd Highest Target]]/tblPiNAnalysis512[[#This Row],[Affected population projection 2026]], "")</f>
        <v/>
      </c>
      <c r="AR65" s="46" t="str">
        <f>IFERROR(tblPiNAnalysis512[[#This Row],[Highest Target]]-tblPiNAnalysis512[[#This Row],[2nd Highest Target]], "")</f>
        <v/>
      </c>
      <c r="AS65" s="39" t="str">
        <f>IFERROR(((tblPiNAnalysis512[[#This Row],[Highest Target]]-tblPiNAnalysis512[[#This Row],[2nd Highest Target]])/tblPiNAnalysis512[[#This Row],[2nd Highest Target]]),"")</f>
        <v/>
      </c>
      <c r="AT65" s="39" t="str" cm="1">
        <f t="array" ref="AT6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5" s="332" t="str" cm="1">
        <f t="array" ref="AU6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65" s="190" t="str" cm="1">
        <f t="array" ref="AV65">IF(tblPiNAnalysis512[[#This Row],[3rd Highest Target]]="", "", _xlfn.TEXTJOIN(CHAR(10), TRUE, IF(tblPiNAnalysis512[[#This Row],[3rd Highest Target]]=tblPiNAnalysis512[[#This Row],[CCCM]:[WASH]], tblPiNAnalysis512[[#Headers],[CCCM]:[WASH]], "")))</f>
        <v/>
      </c>
      <c r="AW65" s="190" t="str">
        <f>IFERROR(tblPiNAnalysis512[[#This Row],[3rd Highest Target]]/tblPiNAnalysis512[[#This Row],[Affected population projection 2026]], "")</f>
        <v/>
      </c>
      <c r="AX65" s="45" t="str">
        <f>IFERROR(tblPiNAnalysis512[[#This Row],[Highest Target]]-tblPiNAnalysis512[[#This Row],[3rd Highest Target]],"")</f>
        <v/>
      </c>
      <c r="AY65" s="39" t="str">
        <f>IFERROR(tblPiNAnalysis512[[#This Row],[Difference of Target between Highest and 3rd Highest]]/tblPiNAnalysis512[[#This Row],[3rd Highest Target]], "")</f>
        <v/>
      </c>
      <c r="AZ65" s="330" t="str" cm="1">
        <f t="array" ref="AZ6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5" s="300" t="str" cm="1">
        <f t="array" ref="BA6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5" s="333" t="str" cm="1">
        <f t="array" ref="BB6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5" s="276" t="str" cm="1">
        <f t="array" ref="BC6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5" s="334" t="str" cm="1">
        <f t="array" ref="BD6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5" s="277" t="e">
        <f>INDEX(tblSeverityAnalysis[Final Severity], MATCH(tblPiNAnalysis512[[#This Row],[ID]],tblSeverityAnalysis[ID], 0))</f>
        <v>#N/A</v>
      </c>
      <c r="BF65" s="61" t="e">
        <f>IF(tblPiNAnalysis512[[#This Row],[Severity]]&gt;2,tblPiNAnalysis512[[#This Row],[Highest Target]],)</f>
        <v>#N/A</v>
      </c>
      <c r="BG65" s="191"/>
      <c r="BH65" s="192"/>
      <c r="BI65" s="193">
        <f>COUNTIFS(tblPiNAnalysis512[[#This Row],[Number of missing / zero PiNs greater than threshold - Data quality]:[Manual Flag]],"Flagged")</f>
        <v>2</v>
      </c>
      <c r="BJ65" s="96" t="str">
        <f>IF(tblPiNAnalysis512[[#This Row],['# Flags]]&gt;0, "Flagged", "")</f>
        <v>Flagged</v>
      </c>
      <c r="BK65" s="326" t="e">
        <f>tblPiNAnalysis512[[#This Row],[Preliminary Target]]</f>
        <v>#N/A</v>
      </c>
      <c r="BL65" s="331">
        <v>3</v>
      </c>
    </row>
    <row r="66" spans="1:64" x14ac:dyDescent="0.55000000000000004">
      <c r="A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6" s="316" t="s">
        <v>368</v>
      </c>
      <c r="C66" s="317" t="s">
        <v>369</v>
      </c>
      <c r="D66" s="317" t="s">
        <v>374</v>
      </c>
      <c r="E66" s="105" t="s">
        <v>375</v>
      </c>
      <c r="F66" s="100"/>
      <c r="G66" s="34"/>
      <c r="H66" s="34"/>
      <c r="I66" s="97">
        <v>23538.621025019514</v>
      </c>
      <c r="J66" s="97" t="s">
        <v>412</v>
      </c>
      <c r="K66" s="261">
        <v>192</v>
      </c>
      <c r="L66" s="319">
        <v>7700.4762670911396</v>
      </c>
      <c r="M66" s="319">
        <v>5891.1816534653799</v>
      </c>
      <c r="N66" s="319">
        <v>9720.1228223356502</v>
      </c>
      <c r="O66" s="319">
        <v>7048.1715905523179</v>
      </c>
      <c r="P66" s="319">
        <v>9872.894727510773</v>
      </c>
      <c r="Q66" s="320">
        <v>16477.034717513659</v>
      </c>
      <c r="R66" s="319">
        <v>3529.5823193380597</v>
      </c>
      <c r="S66" s="319"/>
      <c r="T66" s="319"/>
      <c r="U66" s="319"/>
      <c r="V66" s="319"/>
      <c r="W66" s="321">
        <f>IFERROR(IF(tblPiNAnalysis512[[#This Row],[CCCM]]="", "", MROUND(tblPiNAnalysis512[[#This Row],[CCCM]]/tblPiNAnalysis512[[#This Row],[Affected population projection 2026]], 0.05)), "")</f>
        <v>0</v>
      </c>
      <c r="X66" s="322">
        <f>IFERROR(IF(tblPiNAnalysis512[[#This Row],[Education]]="", "", MROUND(tblPiNAnalysis512[[#This Row],[Education]]/tblPiNAnalysis512[[#This Row],[Affected population projection 2026]], 0.05)), "")</f>
        <v>0.35000000000000003</v>
      </c>
      <c r="Y66" s="322">
        <f>IFERROR(IF(tblPiNAnalysis512[[#This Row],[Nutrition]]="", "", MROUND(tblPiNAnalysis512[[#This Row],[Nutrition]]/tblPiNAnalysis512[[#This Row],[Affected population projection 2026]], 0.05)), "")</f>
        <v>0.25</v>
      </c>
      <c r="Z66" s="322">
        <f>IFERROR(IF(tblPiNAnalysis512[[#This Row],[Food Security]]="", "", MROUND(tblPiNAnalysis512[[#This Row],[Food Security]]/tblPiNAnalysis512[[#This Row],[Affected population projection 2026]], 0.05)), "")</f>
        <v>0.4</v>
      </c>
      <c r="AA66" s="322">
        <f>IFERROR(IF(tblPiNAnalysis512[[#This Row],[Health]]="", "", MROUND(tblPiNAnalysis512[[#This Row],[Health]]/tblPiNAnalysis512[[#This Row],[Affected population projection 2026]], 0.05)), "")</f>
        <v>0.30000000000000004</v>
      </c>
      <c r="AB66" s="323">
        <f>IFERROR(IF(tblPiNAnalysis512[[#This Row],[Overarching Protection]]="", "", MROUND(tblPiNAnalysis512[[#This Row],[Overarching Protection]]/tblPiNAnalysis512[[#This Row],[Affected population projection 2026]], 0.05)), "")</f>
        <v>0.4</v>
      </c>
      <c r="AC66" s="323">
        <f>IFERROR(IF(tblPiNAnalysis512[[#This Row],[Shelter]]="", "", MROUND(tblPiNAnalysis512[[#This Row],[Shelter]]/tblPiNAnalysis512[[#This Row],[Affected population projection 2026]], 0.05)), "")</f>
        <v>0.70000000000000007</v>
      </c>
      <c r="AD66" s="324">
        <f>IFERROR(IF(tblPiNAnalysis512[[#This Row],[WASH]]="", "", MROUND(tblPiNAnalysis512[[#This Row],[WASH]]/tblPiNAnalysis512[[#This Row],[Affected population projection 2026]], 0.05)), "")</f>
        <v>0.15000000000000002</v>
      </c>
      <c r="AE66" s="322">
        <f>IFERROR(MROUND(tblPiNAnalysis512[[#This Row],[CP]]/tblPiNAnalysis512[[#This Row],[Affected population projection 2026]], 0.05), "")</f>
        <v>0</v>
      </c>
      <c r="AF66" s="322">
        <f>IFERROR(MROUND(tblPiNAnalysis512[[#This Row],[GBV]]/tblPiNAnalysis512[[#This Row],[Affected population projection 2026]], 0.05), "")</f>
        <v>0</v>
      </c>
      <c r="AG66" s="322">
        <f>IFERROR(MROUND(tblPiNAnalysis512[[#This Row],[Mine Action]]/tblPiNAnalysis512[[#This Row],[Affected population projection 2026]], 0.05), "")</f>
        <v>0</v>
      </c>
      <c r="AH66" s="322">
        <f>IFERROR(MROUND(tblPiNAnalysis512[[#This Row],[HLP]]/tblPiNAnalysis512[[#This Row],[Affected population projection 2026]], 0.05), "")</f>
        <v>0</v>
      </c>
      <c r="AI66" s="325">
        <f>IFERROR(LARGE(tblPiNAnalysis512[[#This Row],[CCCM]:[WASH]], 1), "")</f>
        <v>16477.034717513659</v>
      </c>
      <c r="AJ66" s="326" t="str" cm="1">
        <f t="array" ref="AJ66">IF(tblPiNAnalysis512[[#This Row],[Highest Target]]="", "", _xlfn.TEXTJOIN(CHAR(10), TRUE, IF(tblPiNAnalysis512[[#This Row],[Highest Target]]=tblPiNAnalysis512[[#This Row],[CCCM]:[WASH]], tblPiNAnalysis512[[#Headers],[CCCM]:[WASH]], "")))</f>
        <v>Shelter</v>
      </c>
      <c r="AK66" s="327">
        <f>IF(tblPiNAnalysis512[[#This Row],[Highest Target]]="", "", tblPiNAnalysis512[[#This Row],[Highest Target]]/tblPiNAnalysis512[[#This Row],[Affected population projection 2026]])</f>
        <v>0.7</v>
      </c>
      <c r="AL66" s="328" t="str">
        <f>IF(SUM(tblPiNAnalysis512[[#This Row],[CCCM]:[WASH]])=0, "",IF(COUNTIF(tblPiNAnalysis512[[#This Row],[CCCM]:[WASH]],"=0")+COUNTIF(tblPiNAnalysis512[[#This Row],[CCCM]:[WASH]],"")&gt;=zero_pin_thresh, "Flagged", ""))</f>
        <v/>
      </c>
      <c r="AM66" s="329" t="str">
        <f>IFERROR(IF(tblPiNAnalysis512[[#This Row],[Highest Target]]="", "", IF(tblPiNAnalysis512[[#This Row],[Highest sector(s'') Target %]]&gt;=flag_pin_perc, "Flagged", "")), "")</f>
        <v/>
      </c>
      <c r="AN66" s="330" t="str" cm="1">
        <f t="array" ref="AN66">IF(tblPiNAnalysis512[[#This Row],[Highest Target]]=0, "",  IF(OR(COUNTIF(tblPiNAnalysis512[[#This Row],[Highest sector(s)]],tblSubSectorPopulation[Sector])), "Flagged", ""))</f>
        <v/>
      </c>
      <c r="AO66" s="46" cm="1">
        <f t="array" ref="AO6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9872.894727510773</v>
      </c>
      <c r="AP66" s="331" t="str" cm="1">
        <f t="array" ref="AP66">IF(tblPiNAnalysis512[[#This Row],[2nd Highest Target]]="", "", _xlfn.TEXTJOIN(CHAR(10), TRUE, IF(tblPiNAnalysis512[[#This Row],[2nd Highest Target]]=tblPiNAnalysis512[[#This Row],[CCCM]:[WASH]], tblPiNAnalysis512[[#Headers],[CCCM]:[WASH]], "")))</f>
        <v>Overarching Protection</v>
      </c>
      <c r="AQ66" s="36">
        <f>IFERROR(tblPiNAnalysis512[[#This Row],[2nd Highest Target]]/tblPiNAnalysis512[[#This Row],[Affected population projection 2026]], "")</f>
        <v>0.41943386220529832</v>
      </c>
      <c r="AR66" s="46">
        <f>IFERROR(tblPiNAnalysis512[[#This Row],[Highest Target]]-tblPiNAnalysis512[[#This Row],[2nd Highest Target]], "")</f>
        <v>6604.1399900028864</v>
      </c>
      <c r="AS66" s="39">
        <f>IFERROR(((tblPiNAnalysis512[[#This Row],[Highest Target]]-tblPiNAnalysis512[[#This Row],[2nd Highest Target]])/tblPiNAnalysis512[[#This Row],[2nd Highest Target]]),"")</f>
        <v>0.66891627757363625</v>
      </c>
      <c r="AT66" s="39" t="str" cm="1">
        <f t="array" ref="AT6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66" s="332" cm="1">
        <f t="array" ref="AU6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9720.1228223356502</v>
      </c>
      <c r="AV66" s="190" t="str" cm="1">
        <f t="array" ref="AV66">IF(tblPiNAnalysis512[[#This Row],[3rd Highest Target]]="", "", _xlfn.TEXTJOIN(CHAR(10), TRUE, IF(tblPiNAnalysis512[[#This Row],[3rd Highest Target]]=tblPiNAnalysis512[[#This Row],[CCCM]:[WASH]], tblPiNAnalysis512[[#Headers],[CCCM]:[WASH]], "")))</f>
        <v>Food Security</v>
      </c>
      <c r="AW66" s="190">
        <f>IFERROR(tblPiNAnalysis512[[#This Row],[3rd Highest Target]]/tblPiNAnalysis512[[#This Row],[Affected population projection 2026]], "")</f>
        <v>0.41294359648358336</v>
      </c>
      <c r="AX66" s="45">
        <f>IFERROR(tblPiNAnalysis512[[#This Row],[Highest Target]]-tblPiNAnalysis512[[#This Row],[3rd Highest Target]],"")</f>
        <v>6756.9118951780092</v>
      </c>
      <c r="AY66" s="39">
        <f>IFERROR(tblPiNAnalysis512[[#This Row],[Difference of Target between Highest and 3rd Highest]]/tblPiNAnalysis512[[#This Row],[3rd Highest Target]], "")</f>
        <v>0.69514676086720373</v>
      </c>
      <c r="AZ66" s="330" t="str" cm="1">
        <f t="array" ref="AZ6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66" s="300" t="str" cm="1">
        <f t="array" ref="BA6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6" s="333" t="str" cm="1">
        <f t="array" ref="BB6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6" s="276" t="str" cm="1">
        <f t="array" ref="BC6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6" s="334" t="str" cm="1">
        <f t="array" ref="BD6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66" s="277" t="e">
        <f>INDEX(tblSeverityAnalysis[Final Severity], MATCH(tblPiNAnalysis512[[#This Row],[ID]],tblSeverityAnalysis[ID], 0))</f>
        <v>#N/A</v>
      </c>
      <c r="BF66" s="61" t="e">
        <f>IF(tblPiNAnalysis512[[#This Row],[Severity]]&gt;2,tblPiNAnalysis512[[#This Row],[Highest Target]],)</f>
        <v>#N/A</v>
      </c>
      <c r="BG66" s="191"/>
      <c r="BH66" s="192"/>
      <c r="BI66" s="193">
        <f>COUNTIFS(tblPiNAnalysis512[[#This Row],[Number of missing / zero PiNs greater than threshold - Data quality]:[Manual Flag]],"Flagged")</f>
        <v>3</v>
      </c>
      <c r="BJ66" s="96" t="str">
        <f>IF(tblPiNAnalysis512[[#This Row],['# Flags]]&gt;0, "Flagged", "")</f>
        <v>Flagged</v>
      </c>
      <c r="BK66" s="326" t="e">
        <f>tblPiNAnalysis512[[#This Row],[Preliminary Target]]</f>
        <v>#N/A</v>
      </c>
      <c r="BL66" s="331">
        <v>2</v>
      </c>
    </row>
    <row r="67" spans="1:64" x14ac:dyDescent="0.55000000000000004">
      <c r="A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7" s="316" t="s">
        <v>368</v>
      </c>
      <c r="C67" s="317" t="s">
        <v>369</v>
      </c>
      <c r="D67" s="317" t="s">
        <v>376</v>
      </c>
      <c r="E67" s="105" t="s">
        <v>377</v>
      </c>
      <c r="F67" s="100"/>
      <c r="G67" s="34"/>
      <c r="H67" s="34"/>
      <c r="I67" s="97">
        <v>35756.212335130236</v>
      </c>
      <c r="J67" s="97" t="s">
        <v>412</v>
      </c>
      <c r="K67" s="261"/>
      <c r="L67" s="319"/>
      <c r="M67" s="319"/>
      <c r="N67" s="319"/>
      <c r="O67" s="319"/>
      <c r="P67" s="319"/>
      <c r="Q67" s="320"/>
      <c r="R67" s="319"/>
      <c r="S67" s="319"/>
      <c r="T67" s="319"/>
      <c r="U67" s="319"/>
      <c r="V67" s="319"/>
      <c r="W67" s="321" t="str">
        <f>IFERROR(IF(tblPiNAnalysis512[[#This Row],[CCCM]]="", "", MROUND(tblPiNAnalysis512[[#This Row],[CCCM]]/tblPiNAnalysis512[[#This Row],[Affected population projection 2026]], 0.05)), "")</f>
        <v/>
      </c>
      <c r="X67" s="322" t="str">
        <f>IFERROR(IF(tblPiNAnalysis512[[#This Row],[Education]]="", "", MROUND(tblPiNAnalysis512[[#This Row],[Education]]/tblPiNAnalysis512[[#This Row],[Affected population projection 2026]], 0.05)), "")</f>
        <v/>
      </c>
      <c r="Y67" s="322" t="str">
        <f>IFERROR(IF(tblPiNAnalysis512[[#This Row],[Nutrition]]="", "", MROUND(tblPiNAnalysis512[[#This Row],[Nutrition]]/tblPiNAnalysis512[[#This Row],[Affected population projection 2026]], 0.05)), "")</f>
        <v/>
      </c>
      <c r="Z67" s="322" t="str">
        <f>IFERROR(IF(tblPiNAnalysis512[[#This Row],[Food Security]]="", "", MROUND(tblPiNAnalysis512[[#This Row],[Food Security]]/tblPiNAnalysis512[[#This Row],[Affected population projection 2026]], 0.05)), "")</f>
        <v/>
      </c>
      <c r="AA67" s="322" t="str">
        <f>IFERROR(IF(tblPiNAnalysis512[[#This Row],[Health]]="", "", MROUND(tblPiNAnalysis512[[#This Row],[Health]]/tblPiNAnalysis512[[#This Row],[Affected population projection 2026]], 0.05)), "")</f>
        <v/>
      </c>
      <c r="AB67" s="323" t="str">
        <f>IFERROR(IF(tblPiNAnalysis512[[#This Row],[Overarching Protection]]="", "", MROUND(tblPiNAnalysis512[[#This Row],[Overarching Protection]]/tblPiNAnalysis512[[#This Row],[Affected population projection 2026]], 0.05)), "")</f>
        <v/>
      </c>
      <c r="AC67" s="323" t="str">
        <f>IFERROR(IF(tblPiNAnalysis512[[#This Row],[Shelter]]="", "", MROUND(tblPiNAnalysis512[[#This Row],[Shelter]]/tblPiNAnalysis512[[#This Row],[Affected population projection 2026]], 0.05)), "")</f>
        <v/>
      </c>
      <c r="AD67" s="324" t="str">
        <f>IFERROR(IF(tblPiNAnalysis512[[#This Row],[WASH]]="", "", MROUND(tblPiNAnalysis512[[#This Row],[WASH]]/tblPiNAnalysis512[[#This Row],[Affected population projection 2026]], 0.05)), "")</f>
        <v/>
      </c>
      <c r="AE67" s="322">
        <f>IFERROR(MROUND(tblPiNAnalysis512[[#This Row],[CP]]/tblPiNAnalysis512[[#This Row],[Affected population projection 2026]], 0.05), "")</f>
        <v>0</v>
      </c>
      <c r="AF67" s="322">
        <f>IFERROR(MROUND(tblPiNAnalysis512[[#This Row],[GBV]]/tblPiNAnalysis512[[#This Row],[Affected population projection 2026]], 0.05), "")</f>
        <v>0</v>
      </c>
      <c r="AG67" s="322">
        <f>IFERROR(MROUND(tblPiNAnalysis512[[#This Row],[Mine Action]]/tblPiNAnalysis512[[#This Row],[Affected population projection 2026]], 0.05), "")</f>
        <v>0</v>
      </c>
      <c r="AH67" s="322">
        <f>IFERROR(MROUND(tblPiNAnalysis512[[#This Row],[HLP]]/tblPiNAnalysis512[[#This Row],[Affected population projection 2026]], 0.05), "")</f>
        <v>0</v>
      </c>
      <c r="AI67" s="325" t="str">
        <f>IFERROR(LARGE(tblPiNAnalysis512[[#This Row],[CCCM]:[WASH]], 1), "")</f>
        <v/>
      </c>
      <c r="AJ67" s="326" t="str" cm="1">
        <f t="array" ref="AJ67">IF(tblPiNAnalysis512[[#This Row],[Highest Target]]="", "", _xlfn.TEXTJOIN(CHAR(10), TRUE, IF(tblPiNAnalysis512[[#This Row],[Highest Target]]=tblPiNAnalysis512[[#This Row],[CCCM]:[WASH]], tblPiNAnalysis512[[#Headers],[CCCM]:[WASH]], "")))</f>
        <v/>
      </c>
      <c r="AK67" s="327" t="str">
        <f>IF(tblPiNAnalysis512[[#This Row],[Highest Target]]="", "", tblPiNAnalysis512[[#This Row],[Highest Target]]/tblPiNAnalysis512[[#This Row],[Affected population projection 2026]])</f>
        <v/>
      </c>
      <c r="AL67" s="328" t="str">
        <f>IF(SUM(tblPiNAnalysis512[[#This Row],[CCCM]:[WASH]])=0, "",IF(COUNTIF(tblPiNAnalysis512[[#This Row],[CCCM]:[WASH]],"=0")+COUNTIF(tblPiNAnalysis512[[#This Row],[CCCM]:[WASH]],"")&gt;=zero_pin_thresh, "Flagged", ""))</f>
        <v/>
      </c>
      <c r="AM67" s="329" t="str">
        <f>IFERROR(IF(tblPiNAnalysis512[[#This Row],[Highest Target]]="", "", IF(tblPiNAnalysis512[[#This Row],[Highest sector(s'') Target %]]&gt;=flag_pin_perc, "Flagged", "")), "")</f>
        <v/>
      </c>
      <c r="AN67" s="330" t="str" cm="1">
        <f t="array" ref="AN67">IF(tblPiNAnalysis512[[#This Row],[Highest Target]]=0, "",  IF(OR(COUNTIF(tblPiNAnalysis512[[#This Row],[Highest sector(s)]],tblSubSectorPopulation[Sector])), "Flagged", ""))</f>
        <v/>
      </c>
      <c r="AO67" s="46" t="str" cm="1">
        <f t="array" ref="AO6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67" s="331" t="str" cm="1">
        <f t="array" ref="AP67">IF(tblPiNAnalysis512[[#This Row],[2nd Highest Target]]="", "", _xlfn.TEXTJOIN(CHAR(10), TRUE, IF(tblPiNAnalysis512[[#This Row],[2nd Highest Target]]=tblPiNAnalysis512[[#This Row],[CCCM]:[WASH]], tblPiNAnalysis512[[#Headers],[CCCM]:[WASH]], "")))</f>
        <v/>
      </c>
      <c r="AQ67" s="36" t="str">
        <f>IFERROR(tblPiNAnalysis512[[#This Row],[2nd Highest Target]]/tblPiNAnalysis512[[#This Row],[Affected population projection 2026]], "")</f>
        <v/>
      </c>
      <c r="AR67" s="46" t="str">
        <f>IFERROR(tblPiNAnalysis512[[#This Row],[Highest Target]]-tblPiNAnalysis512[[#This Row],[2nd Highest Target]], "")</f>
        <v/>
      </c>
      <c r="AS67" s="39" t="str">
        <f>IFERROR(((tblPiNAnalysis512[[#This Row],[Highest Target]]-tblPiNAnalysis512[[#This Row],[2nd Highest Target]])/tblPiNAnalysis512[[#This Row],[2nd Highest Target]]),"")</f>
        <v/>
      </c>
      <c r="AT67" s="39" t="str" cm="1">
        <f t="array" ref="AT6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7" s="332" t="str" cm="1">
        <f t="array" ref="AU6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67" s="190" t="str" cm="1">
        <f t="array" ref="AV67">IF(tblPiNAnalysis512[[#This Row],[3rd Highest Target]]="", "", _xlfn.TEXTJOIN(CHAR(10), TRUE, IF(tblPiNAnalysis512[[#This Row],[3rd Highest Target]]=tblPiNAnalysis512[[#This Row],[CCCM]:[WASH]], tblPiNAnalysis512[[#Headers],[CCCM]:[WASH]], "")))</f>
        <v/>
      </c>
      <c r="AW67" s="190" t="str">
        <f>IFERROR(tblPiNAnalysis512[[#This Row],[3rd Highest Target]]/tblPiNAnalysis512[[#This Row],[Affected population projection 2026]], "")</f>
        <v/>
      </c>
      <c r="AX67" s="45" t="str">
        <f>IFERROR(tblPiNAnalysis512[[#This Row],[Highest Target]]-tblPiNAnalysis512[[#This Row],[3rd Highest Target]],"")</f>
        <v/>
      </c>
      <c r="AY67" s="39" t="str">
        <f>IFERROR(tblPiNAnalysis512[[#This Row],[Difference of Target between Highest and 3rd Highest]]/tblPiNAnalysis512[[#This Row],[3rd Highest Target]], "")</f>
        <v/>
      </c>
      <c r="AZ67" s="330" t="str" cm="1">
        <f t="array" ref="AZ6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7" s="300" t="str" cm="1">
        <f t="array" ref="BA6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7" s="333" t="str" cm="1">
        <f t="array" ref="BB6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7" s="276" t="str" cm="1">
        <f t="array" ref="BC6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7" s="334" t="str" cm="1">
        <f t="array" ref="BD6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7" s="277" t="e">
        <f>INDEX(tblSeverityAnalysis[Final Severity], MATCH(tblPiNAnalysis512[[#This Row],[ID]],tblSeverityAnalysis[ID], 0))</f>
        <v>#N/A</v>
      </c>
      <c r="BF67" s="61" t="e">
        <f>IF(tblPiNAnalysis512[[#This Row],[Severity]]&gt;2,tblPiNAnalysis512[[#This Row],[Highest Target]],)</f>
        <v>#N/A</v>
      </c>
      <c r="BG67" s="191"/>
      <c r="BH67" s="192"/>
      <c r="BI67" s="193">
        <f>COUNTIFS(tblPiNAnalysis512[[#This Row],[Number of missing / zero PiNs greater than threshold - Data quality]:[Manual Flag]],"Flagged")</f>
        <v>2</v>
      </c>
      <c r="BJ67" s="96" t="str">
        <f>IF(tblPiNAnalysis512[[#This Row],['# Flags]]&gt;0, "Flagged", "")</f>
        <v>Flagged</v>
      </c>
      <c r="BK67" s="326" t="e">
        <f>tblPiNAnalysis512[[#This Row],[Preliminary Target]]</f>
        <v>#N/A</v>
      </c>
      <c r="BL67" s="331">
        <v>3</v>
      </c>
    </row>
    <row r="68" spans="1:64" ht="110.7" x14ac:dyDescent="0.55000000000000004">
      <c r="A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8" s="316" t="s">
        <v>368</v>
      </c>
      <c r="C68" s="317" t="s">
        <v>369</v>
      </c>
      <c r="D68" s="317" t="s">
        <v>378</v>
      </c>
      <c r="E68" s="105" t="s">
        <v>379</v>
      </c>
      <c r="F68" s="100"/>
      <c r="G68" s="34"/>
      <c r="H68" s="34"/>
      <c r="I68" s="97">
        <v>7457.5791677040434</v>
      </c>
      <c r="J68" s="97" t="s">
        <v>412</v>
      </c>
      <c r="K68" s="261">
        <v>0</v>
      </c>
      <c r="L68" s="319">
        <v>0</v>
      </c>
      <c r="M68" s="319">
        <v>0</v>
      </c>
      <c r="N68" s="319">
        <v>0</v>
      </c>
      <c r="O68" s="319">
        <v>0</v>
      </c>
      <c r="P68" s="319">
        <v>0</v>
      </c>
      <c r="Q68" s="320">
        <v>0</v>
      </c>
      <c r="R68" s="319">
        <v>0</v>
      </c>
      <c r="S68" s="319"/>
      <c r="T68" s="319"/>
      <c r="U68" s="319"/>
      <c r="V68" s="319"/>
      <c r="W68" s="321">
        <f>IFERROR(IF(tblPiNAnalysis512[[#This Row],[CCCM]]="", "", MROUND(tblPiNAnalysis512[[#This Row],[CCCM]]/tblPiNAnalysis512[[#This Row],[Affected population projection 2026]], 0.05)), "")</f>
        <v>0</v>
      </c>
      <c r="X68" s="322">
        <f>IFERROR(IF(tblPiNAnalysis512[[#This Row],[Education]]="", "", MROUND(tblPiNAnalysis512[[#This Row],[Education]]/tblPiNAnalysis512[[#This Row],[Affected population projection 2026]], 0.05)), "")</f>
        <v>0</v>
      </c>
      <c r="Y68" s="322">
        <f>IFERROR(IF(tblPiNAnalysis512[[#This Row],[Nutrition]]="", "", MROUND(tblPiNAnalysis512[[#This Row],[Nutrition]]/tblPiNAnalysis512[[#This Row],[Affected population projection 2026]], 0.05)), "")</f>
        <v>0</v>
      </c>
      <c r="Z68" s="322">
        <f>IFERROR(IF(tblPiNAnalysis512[[#This Row],[Food Security]]="", "", MROUND(tblPiNAnalysis512[[#This Row],[Food Security]]/tblPiNAnalysis512[[#This Row],[Affected population projection 2026]], 0.05)), "")</f>
        <v>0</v>
      </c>
      <c r="AA68" s="322">
        <f>IFERROR(IF(tblPiNAnalysis512[[#This Row],[Health]]="", "", MROUND(tblPiNAnalysis512[[#This Row],[Health]]/tblPiNAnalysis512[[#This Row],[Affected population projection 2026]], 0.05)), "")</f>
        <v>0</v>
      </c>
      <c r="AB68" s="323">
        <f>IFERROR(IF(tblPiNAnalysis512[[#This Row],[Overarching Protection]]="", "", MROUND(tblPiNAnalysis512[[#This Row],[Overarching Protection]]/tblPiNAnalysis512[[#This Row],[Affected population projection 2026]], 0.05)), "")</f>
        <v>0</v>
      </c>
      <c r="AC68" s="323">
        <f>IFERROR(IF(tblPiNAnalysis512[[#This Row],[Shelter]]="", "", MROUND(tblPiNAnalysis512[[#This Row],[Shelter]]/tblPiNAnalysis512[[#This Row],[Affected population projection 2026]], 0.05)), "")</f>
        <v>0</v>
      </c>
      <c r="AD68" s="324">
        <f>IFERROR(IF(tblPiNAnalysis512[[#This Row],[WASH]]="", "", MROUND(tblPiNAnalysis512[[#This Row],[WASH]]/tblPiNAnalysis512[[#This Row],[Affected population projection 2026]], 0.05)), "")</f>
        <v>0</v>
      </c>
      <c r="AE68" s="322">
        <f>IFERROR(MROUND(tblPiNAnalysis512[[#This Row],[CP]]/tblPiNAnalysis512[[#This Row],[Affected population projection 2026]], 0.05), "")</f>
        <v>0</v>
      </c>
      <c r="AF68" s="322">
        <f>IFERROR(MROUND(tblPiNAnalysis512[[#This Row],[GBV]]/tblPiNAnalysis512[[#This Row],[Affected population projection 2026]], 0.05), "")</f>
        <v>0</v>
      </c>
      <c r="AG68" s="322">
        <f>IFERROR(MROUND(tblPiNAnalysis512[[#This Row],[Mine Action]]/tblPiNAnalysis512[[#This Row],[Affected population projection 2026]], 0.05), "")</f>
        <v>0</v>
      </c>
      <c r="AH68" s="322">
        <f>IFERROR(MROUND(tblPiNAnalysis512[[#This Row],[HLP]]/tblPiNAnalysis512[[#This Row],[Affected population projection 2026]], 0.05), "")</f>
        <v>0</v>
      </c>
      <c r="AI68" s="325">
        <f>IFERROR(LARGE(tblPiNAnalysis512[[#This Row],[CCCM]:[WASH]], 1), "")</f>
        <v>0</v>
      </c>
      <c r="AJ68" s="326" t="str" cm="1">
        <f t="array" ref="AJ68">IF(tblPiNAnalysis512[[#This Row],[Highest Target]]="", "", _xlfn.TEXTJOIN(CHAR(10), TRUE, IF(tblPiNAnalysis512[[#This Row],[Highest Target]]=tblPiNAnalysis512[[#This Row],[CCCM]:[WASH]], tblPiNAnalysis512[[#Headers],[CCCM]:[WASH]], "")))</f>
        <v>CCCM
Education
Nutrition
Food Security
Health
Overarching Protection
Shelter
WASH</v>
      </c>
      <c r="AK68" s="327">
        <f>IF(tblPiNAnalysis512[[#This Row],[Highest Target]]="", "", tblPiNAnalysis512[[#This Row],[Highest Target]]/tblPiNAnalysis512[[#This Row],[Affected population projection 2026]])</f>
        <v>0</v>
      </c>
      <c r="AL68" s="328" t="str">
        <f>IF(SUM(tblPiNAnalysis512[[#This Row],[CCCM]:[WASH]])=0, "",IF(COUNTIF(tblPiNAnalysis512[[#This Row],[CCCM]:[WASH]],"=0")+COUNTIF(tblPiNAnalysis512[[#This Row],[CCCM]:[WASH]],"")&gt;=zero_pin_thresh, "Flagged", ""))</f>
        <v/>
      </c>
      <c r="AM68" s="329" t="str">
        <f>IFERROR(IF(tblPiNAnalysis512[[#This Row],[Highest Target]]="", "", IF(tblPiNAnalysis512[[#This Row],[Highest sector(s'') Target %]]&gt;=flag_pin_perc, "Flagged", "")), "")</f>
        <v/>
      </c>
      <c r="AN68" s="330" t="str" cm="1">
        <f t="array" ref="AN68">IF(tblPiNAnalysis512[[#This Row],[Highest Target]]=0, "",  IF(OR(COUNTIF(tblPiNAnalysis512[[#This Row],[Highest sector(s)]],tblSubSectorPopulation[Sector])), "Flagged", ""))</f>
        <v/>
      </c>
      <c r="AO68" s="46" cm="1">
        <f t="array" ref="AO6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68" s="331" t="str" cm="1">
        <f t="array" ref="AP68">IF(tblPiNAnalysis512[[#This Row],[2nd Highest Target]]="", "", _xlfn.TEXTJOIN(CHAR(10), TRUE, IF(tblPiNAnalysis512[[#This Row],[2nd Highest Target]]=tblPiNAnalysis512[[#This Row],[CCCM]:[WASH]], tblPiNAnalysis512[[#Headers],[CCCM]:[WASH]], "")))</f>
        <v>CCCM
Education
Nutrition
Food Security
Health
Overarching Protection
Shelter
WASH</v>
      </c>
      <c r="AQ68" s="36">
        <f>IFERROR(tblPiNAnalysis512[[#This Row],[2nd Highest Target]]/tblPiNAnalysis512[[#This Row],[Affected population projection 2026]], "")</f>
        <v>0</v>
      </c>
      <c r="AR68" s="46">
        <f>IFERROR(tblPiNAnalysis512[[#This Row],[Highest Target]]-tblPiNAnalysis512[[#This Row],[2nd Highest Target]], "")</f>
        <v>0</v>
      </c>
      <c r="AS68" s="39" t="str">
        <f>IFERROR(((tblPiNAnalysis512[[#This Row],[Highest Target]]-tblPiNAnalysis512[[#This Row],[2nd Highest Target]])/tblPiNAnalysis512[[#This Row],[2nd Highest Target]]),"")</f>
        <v/>
      </c>
      <c r="AT68" s="39" t="str" cm="1">
        <f t="array" ref="AT6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8" s="332" cm="1">
        <f t="array" ref="AU6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68" s="190" t="str" cm="1">
        <f t="array" ref="AV68">IF(tblPiNAnalysis512[[#This Row],[3rd Highest Target]]="", "", _xlfn.TEXTJOIN(CHAR(10), TRUE, IF(tblPiNAnalysis512[[#This Row],[3rd Highest Target]]=tblPiNAnalysis512[[#This Row],[CCCM]:[WASH]], tblPiNAnalysis512[[#Headers],[CCCM]:[WASH]], "")))</f>
        <v>CCCM
Education
Nutrition
Food Security
Health
Overarching Protection
Shelter
WASH</v>
      </c>
      <c r="AW68" s="190">
        <f>IFERROR(tblPiNAnalysis512[[#This Row],[3rd Highest Target]]/tblPiNAnalysis512[[#This Row],[Affected population projection 2026]], "")</f>
        <v>0</v>
      </c>
      <c r="AX68" s="45">
        <f>IFERROR(tblPiNAnalysis512[[#This Row],[Highest Target]]-tblPiNAnalysis512[[#This Row],[3rd Highest Target]],"")</f>
        <v>0</v>
      </c>
      <c r="AY68" s="39" t="str">
        <f>IFERROR(tblPiNAnalysis512[[#This Row],[Difference of Target between Highest and 3rd Highest]]/tblPiNAnalysis512[[#This Row],[3rd Highest Target]], "")</f>
        <v/>
      </c>
      <c r="AZ68" s="330" t="str" cm="1">
        <f t="array" ref="AZ6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8" s="300" t="str" cm="1">
        <f t="array" ref="BA6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8" s="333" t="str" cm="1">
        <f t="array" ref="BB6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8" s="276" t="str" cm="1">
        <f t="array" ref="BC6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8" s="334" t="str" cm="1">
        <f t="array" ref="BD6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68" s="277" t="e">
        <f>INDEX(tblSeverityAnalysis[Final Severity], MATCH(tblPiNAnalysis512[[#This Row],[ID]],tblSeverityAnalysis[ID], 0))</f>
        <v>#N/A</v>
      </c>
      <c r="BF68" s="61" t="e">
        <f>IF(tblPiNAnalysis512[[#This Row],[Severity]]&gt;2,tblPiNAnalysis512[[#This Row],[Highest Target]],)</f>
        <v>#N/A</v>
      </c>
      <c r="BG68" s="191"/>
      <c r="BH68" s="192"/>
      <c r="BI68" s="193">
        <f>COUNTIFS(tblPiNAnalysis512[[#This Row],[Number of missing / zero PiNs greater than threshold - Data quality]:[Manual Flag]],"Flagged")</f>
        <v>2</v>
      </c>
      <c r="BJ68" s="96" t="str">
        <f>IF(tblPiNAnalysis512[[#This Row],['# Flags]]&gt;0, "Flagged", "")</f>
        <v>Flagged</v>
      </c>
      <c r="BK68" s="326" t="e">
        <f>tblPiNAnalysis512[[#This Row],[Preliminary Target]]</f>
        <v>#N/A</v>
      </c>
      <c r="BL68" s="331">
        <v>4</v>
      </c>
    </row>
    <row r="69" spans="1:64" x14ac:dyDescent="0.55000000000000004">
      <c r="A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9" s="316" t="s">
        <v>368</v>
      </c>
      <c r="C69" s="317" t="s">
        <v>369</v>
      </c>
      <c r="D69" s="317" t="s">
        <v>380</v>
      </c>
      <c r="E69" s="105" t="s">
        <v>381</v>
      </c>
      <c r="F69" s="100"/>
      <c r="G69" s="34"/>
      <c r="H69" s="34"/>
      <c r="I69" s="97">
        <v>150879.3340223525</v>
      </c>
      <c r="J69" s="97" t="s">
        <v>412</v>
      </c>
      <c r="K69" s="261">
        <v>67460</v>
      </c>
      <c r="L69" s="319">
        <v>18528.283976612929</v>
      </c>
      <c r="M69" s="319">
        <v>35940.485923085216</v>
      </c>
      <c r="N69" s="319">
        <v>49939.952433345177</v>
      </c>
      <c r="O69" s="319">
        <v>82033.862123911051</v>
      </c>
      <c r="P69" s="319">
        <v>55244.503987392018</v>
      </c>
      <c r="Q69" s="320">
        <v>59695.736504495995</v>
      </c>
      <c r="R69" s="319">
        <v>19332.061445165113</v>
      </c>
      <c r="S69" s="319"/>
      <c r="T69" s="319"/>
      <c r="U69" s="319"/>
      <c r="V69" s="319"/>
      <c r="W69" s="321">
        <f>IFERROR(IF(tblPiNAnalysis512[[#This Row],[CCCM]]="", "", MROUND(tblPiNAnalysis512[[#This Row],[CCCM]]/tblPiNAnalysis512[[#This Row],[Affected population projection 2026]], 0.05)), "")</f>
        <v>0.45</v>
      </c>
      <c r="X69" s="322">
        <f>IFERROR(IF(tblPiNAnalysis512[[#This Row],[Education]]="", "", MROUND(tblPiNAnalysis512[[#This Row],[Education]]/tblPiNAnalysis512[[#This Row],[Affected population projection 2026]], 0.05)), "")</f>
        <v>0.1</v>
      </c>
      <c r="Y69" s="322">
        <f>IFERROR(IF(tblPiNAnalysis512[[#This Row],[Nutrition]]="", "", MROUND(tblPiNAnalysis512[[#This Row],[Nutrition]]/tblPiNAnalysis512[[#This Row],[Affected population projection 2026]], 0.05)), "")</f>
        <v>0.25</v>
      </c>
      <c r="Z69" s="322">
        <f>IFERROR(IF(tblPiNAnalysis512[[#This Row],[Food Security]]="", "", MROUND(tblPiNAnalysis512[[#This Row],[Food Security]]/tblPiNAnalysis512[[#This Row],[Affected population projection 2026]], 0.05)), "")</f>
        <v>0.35000000000000003</v>
      </c>
      <c r="AA69" s="322">
        <f>IFERROR(IF(tblPiNAnalysis512[[#This Row],[Health]]="", "", MROUND(tblPiNAnalysis512[[#This Row],[Health]]/tblPiNAnalysis512[[#This Row],[Affected population projection 2026]], 0.05)), "")</f>
        <v>0.55000000000000004</v>
      </c>
      <c r="AB69" s="323">
        <f>IFERROR(IF(tblPiNAnalysis512[[#This Row],[Overarching Protection]]="", "", MROUND(tblPiNAnalysis512[[#This Row],[Overarching Protection]]/tblPiNAnalysis512[[#This Row],[Affected population projection 2026]], 0.05)), "")</f>
        <v>0.35000000000000003</v>
      </c>
      <c r="AC69" s="323">
        <f>IFERROR(IF(tblPiNAnalysis512[[#This Row],[Shelter]]="", "", MROUND(tblPiNAnalysis512[[#This Row],[Shelter]]/tblPiNAnalysis512[[#This Row],[Affected population projection 2026]], 0.05)), "")</f>
        <v>0.4</v>
      </c>
      <c r="AD69" s="324">
        <f>IFERROR(IF(tblPiNAnalysis512[[#This Row],[WASH]]="", "", MROUND(tblPiNAnalysis512[[#This Row],[WASH]]/tblPiNAnalysis512[[#This Row],[Affected population projection 2026]], 0.05)), "")</f>
        <v>0.15000000000000002</v>
      </c>
      <c r="AE69" s="322">
        <f>IFERROR(MROUND(tblPiNAnalysis512[[#This Row],[CP]]/tblPiNAnalysis512[[#This Row],[Affected population projection 2026]], 0.05), "")</f>
        <v>0</v>
      </c>
      <c r="AF69" s="322">
        <f>IFERROR(MROUND(tblPiNAnalysis512[[#This Row],[GBV]]/tblPiNAnalysis512[[#This Row],[Affected population projection 2026]], 0.05), "")</f>
        <v>0</v>
      </c>
      <c r="AG69" s="322">
        <f>IFERROR(MROUND(tblPiNAnalysis512[[#This Row],[Mine Action]]/tblPiNAnalysis512[[#This Row],[Affected population projection 2026]], 0.05), "")</f>
        <v>0</v>
      </c>
      <c r="AH69" s="322">
        <f>IFERROR(MROUND(tblPiNAnalysis512[[#This Row],[HLP]]/tblPiNAnalysis512[[#This Row],[Affected population projection 2026]], 0.05), "")</f>
        <v>0</v>
      </c>
      <c r="AI69" s="325">
        <f>IFERROR(LARGE(tblPiNAnalysis512[[#This Row],[CCCM]:[WASH]], 1), "")</f>
        <v>82033.862123911051</v>
      </c>
      <c r="AJ69" s="326" t="str" cm="1">
        <f t="array" ref="AJ69">IF(tblPiNAnalysis512[[#This Row],[Highest Target]]="", "", _xlfn.TEXTJOIN(CHAR(10), TRUE, IF(tblPiNAnalysis512[[#This Row],[Highest Target]]=tblPiNAnalysis512[[#This Row],[CCCM]:[WASH]], tblPiNAnalysis512[[#Headers],[CCCM]:[WASH]], "")))</f>
        <v>Health</v>
      </c>
      <c r="AK69" s="327">
        <f>IF(tblPiNAnalysis512[[#This Row],[Highest Target]]="", "", tblPiNAnalysis512[[#This Row],[Highest Target]]/tblPiNAnalysis512[[#This Row],[Affected population projection 2026]])</f>
        <v>0.54370509159165481</v>
      </c>
      <c r="AL69" s="328" t="str">
        <f>IF(SUM(tblPiNAnalysis512[[#This Row],[CCCM]:[WASH]])=0, "",IF(COUNTIF(tblPiNAnalysis512[[#This Row],[CCCM]:[WASH]],"=0")+COUNTIF(tblPiNAnalysis512[[#This Row],[CCCM]:[WASH]],"")&gt;=zero_pin_thresh, "Flagged", ""))</f>
        <v/>
      </c>
      <c r="AM69" s="329" t="str">
        <f>IFERROR(IF(tblPiNAnalysis512[[#This Row],[Highest Target]]="", "", IF(tblPiNAnalysis512[[#This Row],[Highest sector(s'') Target %]]&gt;=flag_pin_perc, "Flagged", "")), "")</f>
        <v/>
      </c>
      <c r="AN69" s="330" t="str" cm="1">
        <f t="array" ref="AN69">IF(tblPiNAnalysis512[[#This Row],[Highest Target]]=0, "",  IF(OR(COUNTIF(tblPiNAnalysis512[[#This Row],[Highest sector(s)]],tblSubSectorPopulation[Sector])), "Flagged", ""))</f>
        <v/>
      </c>
      <c r="AO69" s="46" cm="1">
        <f t="array" ref="AO6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67460</v>
      </c>
      <c r="AP69" s="331" t="str" cm="1">
        <f t="array" ref="AP69">IF(tblPiNAnalysis512[[#This Row],[2nd Highest Target]]="", "", _xlfn.TEXTJOIN(CHAR(10), TRUE, IF(tblPiNAnalysis512[[#This Row],[2nd Highest Target]]=tblPiNAnalysis512[[#This Row],[CCCM]:[WASH]], tblPiNAnalysis512[[#Headers],[CCCM]:[WASH]], "")))</f>
        <v>CCCM</v>
      </c>
      <c r="AQ69" s="36">
        <f>IFERROR(tblPiNAnalysis512[[#This Row],[2nd Highest Target]]/tblPiNAnalysis512[[#This Row],[Affected population projection 2026]], "")</f>
        <v>0.44711225985399644</v>
      </c>
      <c r="AR69" s="46">
        <f>IFERROR(tblPiNAnalysis512[[#This Row],[Highest Target]]-tblPiNAnalysis512[[#This Row],[2nd Highest Target]], "")</f>
        <v>14573.862123911051</v>
      </c>
      <c r="AS69" s="39">
        <f>IFERROR(((tblPiNAnalysis512[[#This Row],[Highest Target]]-tblPiNAnalysis512[[#This Row],[2nd Highest Target]])/tblPiNAnalysis512[[#This Row],[2nd Highest Target]]),"")</f>
        <v>0.21603709048193079</v>
      </c>
      <c r="AT69" s="39" t="str" cm="1">
        <f t="array" ref="AT6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69" s="332" cm="1">
        <f t="array" ref="AU6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59695.736504495995</v>
      </c>
      <c r="AV69" s="190" t="str" cm="1">
        <f t="array" ref="AV69">IF(tblPiNAnalysis512[[#This Row],[3rd Highest Target]]="", "", _xlfn.TEXTJOIN(CHAR(10), TRUE, IF(tblPiNAnalysis512[[#This Row],[3rd Highest Target]]=tblPiNAnalysis512[[#This Row],[CCCM]:[WASH]], tblPiNAnalysis512[[#Headers],[CCCM]:[WASH]], "")))</f>
        <v>Shelter</v>
      </c>
      <c r="AW69" s="190">
        <f>IFERROR(tblPiNAnalysis512[[#This Row],[3rd Highest Target]]/tblPiNAnalysis512[[#This Row],[Affected population projection 2026]], "")</f>
        <v>0.39565217391304353</v>
      </c>
      <c r="AX69" s="45">
        <f>IFERROR(tblPiNAnalysis512[[#This Row],[Highest Target]]-tblPiNAnalysis512[[#This Row],[3rd Highest Target]],"")</f>
        <v>22338.125619415056</v>
      </c>
      <c r="AY69" s="39">
        <f>IFERROR(tblPiNAnalysis512[[#This Row],[Difference of Target between Highest and 3rd Highest]]/tblPiNAnalysis512[[#This Row],[3rd Highest Target]], "")</f>
        <v>0.37419968204484177</v>
      </c>
      <c r="AZ69" s="330" t="str" cm="1">
        <f t="array" ref="AZ6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69" s="300" t="str" cm="1">
        <f t="array" ref="BA6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69" s="333" t="str" cm="1">
        <f t="array" ref="BB6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69" s="276" t="str" cm="1">
        <f t="array" ref="BC6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69" s="334" t="str" cm="1">
        <f t="array" ref="BD6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69" s="277" t="e">
        <f>INDEX(tblSeverityAnalysis[Final Severity], MATCH(tblPiNAnalysis512[[#This Row],[ID]],tblSeverityAnalysis[ID], 0))</f>
        <v>#N/A</v>
      </c>
      <c r="BF69" s="61" t="e">
        <f>IF(tblPiNAnalysis512[[#This Row],[Severity]]&gt;2,tblPiNAnalysis512[[#This Row],[Highest Target]],)</f>
        <v>#N/A</v>
      </c>
      <c r="BG69" s="191"/>
      <c r="BH69" s="192"/>
      <c r="BI69" s="193">
        <f>COUNTIFS(tblPiNAnalysis512[[#This Row],[Number of missing / zero PiNs greater than threshold - Data quality]:[Manual Flag]],"Flagged")</f>
        <v>1</v>
      </c>
      <c r="BJ69" s="96" t="str">
        <f>IF(tblPiNAnalysis512[[#This Row],['# Flags]]&gt;0, "Flagged", "")</f>
        <v>Flagged</v>
      </c>
      <c r="BK69" s="326" t="e">
        <f>tblPiNAnalysis512[[#This Row],[Preliminary Target]]</f>
        <v>#N/A</v>
      </c>
      <c r="BL69" s="331">
        <v>1</v>
      </c>
    </row>
    <row r="70" spans="1:64" ht="110.7" x14ac:dyDescent="0.55000000000000004">
      <c r="A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0" s="316" t="s">
        <v>382</v>
      </c>
      <c r="C70" s="317" t="s">
        <v>383</v>
      </c>
      <c r="D70" s="317" t="s">
        <v>384</v>
      </c>
      <c r="E70" s="105" t="s">
        <v>385</v>
      </c>
      <c r="F70" s="100"/>
      <c r="G70" s="34"/>
      <c r="H70" s="34"/>
      <c r="I70" s="97">
        <v>47398.331065600592</v>
      </c>
      <c r="J70" s="97" t="s">
        <v>412</v>
      </c>
      <c r="K70" s="261">
        <v>0</v>
      </c>
      <c r="L70" s="319">
        <v>0</v>
      </c>
      <c r="M70" s="319">
        <v>0</v>
      </c>
      <c r="N70" s="319">
        <v>0</v>
      </c>
      <c r="O70" s="319">
        <v>0</v>
      </c>
      <c r="P70" s="319">
        <v>0</v>
      </c>
      <c r="Q70" s="320">
        <v>0</v>
      </c>
      <c r="R70" s="319">
        <v>0</v>
      </c>
      <c r="S70" s="319"/>
      <c r="T70" s="319"/>
      <c r="U70" s="319"/>
      <c r="V70" s="319"/>
      <c r="W70" s="321">
        <f>IFERROR(IF(tblPiNAnalysis512[[#This Row],[CCCM]]="", "", MROUND(tblPiNAnalysis512[[#This Row],[CCCM]]/tblPiNAnalysis512[[#This Row],[Affected population projection 2026]], 0.05)), "")</f>
        <v>0</v>
      </c>
      <c r="X70" s="322">
        <f>IFERROR(IF(tblPiNAnalysis512[[#This Row],[Education]]="", "", MROUND(tblPiNAnalysis512[[#This Row],[Education]]/tblPiNAnalysis512[[#This Row],[Affected population projection 2026]], 0.05)), "")</f>
        <v>0</v>
      </c>
      <c r="Y70" s="322">
        <f>IFERROR(IF(tblPiNAnalysis512[[#This Row],[Nutrition]]="", "", MROUND(tblPiNAnalysis512[[#This Row],[Nutrition]]/tblPiNAnalysis512[[#This Row],[Affected population projection 2026]], 0.05)), "")</f>
        <v>0</v>
      </c>
      <c r="Z70" s="322">
        <f>IFERROR(IF(tblPiNAnalysis512[[#This Row],[Food Security]]="", "", MROUND(tblPiNAnalysis512[[#This Row],[Food Security]]/tblPiNAnalysis512[[#This Row],[Affected population projection 2026]], 0.05)), "")</f>
        <v>0</v>
      </c>
      <c r="AA70" s="322">
        <f>IFERROR(IF(tblPiNAnalysis512[[#This Row],[Health]]="", "", MROUND(tblPiNAnalysis512[[#This Row],[Health]]/tblPiNAnalysis512[[#This Row],[Affected population projection 2026]], 0.05)), "")</f>
        <v>0</v>
      </c>
      <c r="AB70" s="323">
        <f>IFERROR(IF(tblPiNAnalysis512[[#This Row],[Overarching Protection]]="", "", MROUND(tblPiNAnalysis512[[#This Row],[Overarching Protection]]/tblPiNAnalysis512[[#This Row],[Affected population projection 2026]], 0.05)), "")</f>
        <v>0</v>
      </c>
      <c r="AC70" s="323">
        <f>IFERROR(IF(tblPiNAnalysis512[[#This Row],[Shelter]]="", "", MROUND(tblPiNAnalysis512[[#This Row],[Shelter]]/tblPiNAnalysis512[[#This Row],[Affected population projection 2026]], 0.05)), "")</f>
        <v>0</v>
      </c>
      <c r="AD70" s="324">
        <f>IFERROR(IF(tblPiNAnalysis512[[#This Row],[WASH]]="", "", MROUND(tblPiNAnalysis512[[#This Row],[WASH]]/tblPiNAnalysis512[[#This Row],[Affected population projection 2026]], 0.05)), "")</f>
        <v>0</v>
      </c>
      <c r="AE70" s="322">
        <f>IFERROR(MROUND(tblPiNAnalysis512[[#This Row],[CP]]/tblPiNAnalysis512[[#This Row],[Affected population projection 2026]], 0.05), "")</f>
        <v>0</v>
      </c>
      <c r="AF70" s="322">
        <f>IFERROR(MROUND(tblPiNAnalysis512[[#This Row],[GBV]]/tblPiNAnalysis512[[#This Row],[Affected population projection 2026]], 0.05), "")</f>
        <v>0</v>
      </c>
      <c r="AG70" s="322">
        <f>IFERROR(MROUND(tblPiNAnalysis512[[#This Row],[Mine Action]]/tblPiNAnalysis512[[#This Row],[Affected population projection 2026]], 0.05), "")</f>
        <v>0</v>
      </c>
      <c r="AH70" s="322">
        <f>IFERROR(MROUND(tblPiNAnalysis512[[#This Row],[HLP]]/tblPiNAnalysis512[[#This Row],[Affected population projection 2026]], 0.05), "")</f>
        <v>0</v>
      </c>
      <c r="AI70" s="325">
        <f>IFERROR(LARGE(tblPiNAnalysis512[[#This Row],[CCCM]:[WASH]], 1), "")</f>
        <v>0</v>
      </c>
      <c r="AJ70" s="326" t="str" cm="1">
        <f t="array" ref="AJ70">IF(tblPiNAnalysis512[[#This Row],[Highest Target]]="", "", _xlfn.TEXTJOIN(CHAR(10), TRUE, IF(tblPiNAnalysis512[[#This Row],[Highest Target]]=tblPiNAnalysis512[[#This Row],[CCCM]:[WASH]], tblPiNAnalysis512[[#Headers],[CCCM]:[WASH]], "")))</f>
        <v>CCCM
Education
Nutrition
Food Security
Health
Overarching Protection
Shelter
WASH</v>
      </c>
      <c r="AK70" s="327">
        <f>IF(tblPiNAnalysis512[[#This Row],[Highest Target]]="", "", tblPiNAnalysis512[[#This Row],[Highest Target]]/tblPiNAnalysis512[[#This Row],[Affected population projection 2026]])</f>
        <v>0</v>
      </c>
      <c r="AL70" s="328" t="str">
        <f>IF(SUM(tblPiNAnalysis512[[#This Row],[CCCM]:[WASH]])=0, "",IF(COUNTIF(tblPiNAnalysis512[[#This Row],[CCCM]:[WASH]],"=0")+COUNTIF(tblPiNAnalysis512[[#This Row],[CCCM]:[WASH]],"")&gt;=zero_pin_thresh, "Flagged", ""))</f>
        <v/>
      </c>
      <c r="AM70" s="329" t="str">
        <f>IFERROR(IF(tblPiNAnalysis512[[#This Row],[Highest Target]]="", "", IF(tblPiNAnalysis512[[#This Row],[Highest sector(s'') Target %]]&gt;=flag_pin_perc, "Flagged", "")), "")</f>
        <v/>
      </c>
      <c r="AN70" s="330" t="str" cm="1">
        <f t="array" ref="AN70">IF(tblPiNAnalysis512[[#This Row],[Highest Target]]=0, "",  IF(OR(COUNTIF(tblPiNAnalysis512[[#This Row],[Highest sector(s)]],tblSubSectorPopulation[Sector])), "Flagged", ""))</f>
        <v/>
      </c>
      <c r="AO70" s="46" cm="1">
        <f t="array" ref="AO7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0" s="331" t="str" cm="1">
        <f t="array" ref="AP70">IF(tblPiNAnalysis512[[#This Row],[2nd Highest Target]]="", "", _xlfn.TEXTJOIN(CHAR(10), TRUE, IF(tblPiNAnalysis512[[#This Row],[2nd Highest Target]]=tblPiNAnalysis512[[#This Row],[CCCM]:[WASH]], tblPiNAnalysis512[[#Headers],[CCCM]:[WASH]], "")))</f>
        <v>CCCM
Education
Nutrition
Food Security
Health
Overarching Protection
Shelter
WASH</v>
      </c>
      <c r="AQ70" s="36">
        <f>IFERROR(tblPiNAnalysis512[[#This Row],[2nd Highest Target]]/tblPiNAnalysis512[[#This Row],[Affected population projection 2026]], "")</f>
        <v>0</v>
      </c>
      <c r="AR70" s="46">
        <f>IFERROR(tblPiNAnalysis512[[#This Row],[Highest Target]]-tblPiNAnalysis512[[#This Row],[2nd Highest Target]], "")</f>
        <v>0</v>
      </c>
      <c r="AS70" s="39" t="str">
        <f>IFERROR(((tblPiNAnalysis512[[#This Row],[Highest Target]]-tblPiNAnalysis512[[#This Row],[2nd Highest Target]])/tblPiNAnalysis512[[#This Row],[2nd Highest Target]]),"")</f>
        <v/>
      </c>
      <c r="AT70" s="39" t="str" cm="1">
        <f t="array" ref="AT7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0" s="332" cm="1">
        <f t="array" ref="AU7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0" s="190" t="str" cm="1">
        <f t="array" ref="AV70">IF(tblPiNAnalysis512[[#This Row],[3rd Highest Target]]="", "", _xlfn.TEXTJOIN(CHAR(10), TRUE, IF(tblPiNAnalysis512[[#This Row],[3rd Highest Target]]=tblPiNAnalysis512[[#This Row],[CCCM]:[WASH]], tblPiNAnalysis512[[#Headers],[CCCM]:[WASH]], "")))</f>
        <v>CCCM
Education
Nutrition
Food Security
Health
Overarching Protection
Shelter
WASH</v>
      </c>
      <c r="AW70" s="190">
        <f>IFERROR(tblPiNAnalysis512[[#This Row],[3rd Highest Target]]/tblPiNAnalysis512[[#This Row],[Affected population projection 2026]], "")</f>
        <v>0</v>
      </c>
      <c r="AX70" s="45">
        <f>IFERROR(tblPiNAnalysis512[[#This Row],[Highest Target]]-tblPiNAnalysis512[[#This Row],[3rd Highest Target]],"")</f>
        <v>0</v>
      </c>
      <c r="AY70" s="39" t="str">
        <f>IFERROR(tblPiNAnalysis512[[#This Row],[Difference of Target between Highest and 3rd Highest]]/tblPiNAnalysis512[[#This Row],[3rd Highest Target]], "")</f>
        <v/>
      </c>
      <c r="AZ70" s="330" t="str" cm="1">
        <f t="array" ref="AZ7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0" s="300" t="str" cm="1">
        <f t="array" ref="BA7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0" s="333" t="str" cm="1">
        <f t="array" ref="BB7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0" s="276" t="str" cm="1">
        <f t="array" ref="BC7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0" s="334" t="str" cm="1">
        <f t="array" ref="BD7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0" s="277" t="e">
        <f>INDEX(tblSeverityAnalysis[Final Severity], MATCH(tblPiNAnalysis512[[#This Row],[ID]],tblSeverityAnalysis[ID], 0))</f>
        <v>#N/A</v>
      </c>
      <c r="BF70" s="61" t="e">
        <f>IF(tblPiNAnalysis512[[#This Row],[Severity]]&gt;2,tblPiNAnalysis512[[#This Row],[Highest Target]],)</f>
        <v>#N/A</v>
      </c>
      <c r="BG70" s="191"/>
      <c r="BH70" s="192"/>
      <c r="BI70" s="193">
        <f>COUNTIFS(tblPiNAnalysis512[[#This Row],[Number of missing / zero PiNs greater than threshold - Data quality]:[Manual Flag]],"Flagged")</f>
        <v>2</v>
      </c>
      <c r="BJ70" s="96" t="str">
        <f>IF(tblPiNAnalysis512[[#This Row],['# Flags]]&gt;0, "Flagged", "")</f>
        <v>Flagged</v>
      </c>
      <c r="BK70" s="326" t="e">
        <f>tblPiNAnalysis512[[#This Row],[Preliminary Target]]</f>
        <v>#N/A</v>
      </c>
      <c r="BL70" s="331">
        <v>4</v>
      </c>
    </row>
    <row r="71" spans="1:64" x14ac:dyDescent="0.55000000000000004">
      <c r="A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1" s="316" t="s">
        <v>382</v>
      </c>
      <c r="C71" s="317" t="s">
        <v>383</v>
      </c>
      <c r="D71" s="317" t="s">
        <v>386</v>
      </c>
      <c r="E71" s="105" t="s">
        <v>387</v>
      </c>
      <c r="F71" s="100"/>
      <c r="G71" s="34"/>
      <c r="H71" s="34"/>
      <c r="I71" s="97">
        <v>7607.0241213008612</v>
      </c>
      <c r="J71" s="97" t="s">
        <v>412</v>
      </c>
      <c r="K71" s="261"/>
      <c r="L71" s="319"/>
      <c r="M71" s="319"/>
      <c r="N71" s="319"/>
      <c r="O71" s="319"/>
      <c r="P71" s="319"/>
      <c r="Q71" s="320"/>
      <c r="R71" s="319"/>
      <c r="S71" s="319"/>
      <c r="T71" s="319"/>
      <c r="U71" s="319"/>
      <c r="V71" s="319"/>
      <c r="W71" s="321" t="str">
        <f>IFERROR(IF(tblPiNAnalysis512[[#This Row],[CCCM]]="", "", MROUND(tblPiNAnalysis512[[#This Row],[CCCM]]/tblPiNAnalysis512[[#This Row],[Affected population projection 2026]], 0.05)), "")</f>
        <v/>
      </c>
      <c r="X71" s="322" t="str">
        <f>IFERROR(IF(tblPiNAnalysis512[[#This Row],[Education]]="", "", MROUND(tblPiNAnalysis512[[#This Row],[Education]]/tblPiNAnalysis512[[#This Row],[Affected population projection 2026]], 0.05)), "")</f>
        <v/>
      </c>
      <c r="Y71" s="322" t="str">
        <f>IFERROR(IF(tblPiNAnalysis512[[#This Row],[Nutrition]]="", "", MROUND(tblPiNAnalysis512[[#This Row],[Nutrition]]/tblPiNAnalysis512[[#This Row],[Affected population projection 2026]], 0.05)), "")</f>
        <v/>
      </c>
      <c r="Z71" s="322" t="str">
        <f>IFERROR(IF(tblPiNAnalysis512[[#This Row],[Food Security]]="", "", MROUND(tblPiNAnalysis512[[#This Row],[Food Security]]/tblPiNAnalysis512[[#This Row],[Affected population projection 2026]], 0.05)), "")</f>
        <v/>
      </c>
      <c r="AA71" s="322" t="str">
        <f>IFERROR(IF(tblPiNAnalysis512[[#This Row],[Health]]="", "", MROUND(tblPiNAnalysis512[[#This Row],[Health]]/tblPiNAnalysis512[[#This Row],[Affected population projection 2026]], 0.05)), "")</f>
        <v/>
      </c>
      <c r="AB71" s="323" t="str">
        <f>IFERROR(IF(tblPiNAnalysis512[[#This Row],[Overarching Protection]]="", "", MROUND(tblPiNAnalysis512[[#This Row],[Overarching Protection]]/tblPiNAnalysis512[[#This Row],[Affected population projection 2026]], 0.05)), "")</f>
        <v/>
      </c>
      <c r="AC71" s="323" t="str">
        <f>IFERROR(IF(tblPiNAnalysis512[[#This Row],[Shelter]]="", "", MROUND(tblPiNAnalysis512[[#This Row],[Shelter]]/tblPiNAnalysis512[[#This Row],[Affected population projection 2026]], 0.05)), "")</f>
        <v/>
      </c>
      <c r="AD71" s="324" t="str">
        <f>IFERROR(IF(tblPiNAnalysis512[[#This Row],[WASH]]="", "", MROUND(tblPiNAnalysis512[[#This Row],[WASH]]/tblPiNAnalysis512[[#This Row],[Affected population projection 2026]], 0.05)), "")</f>
        <v/>
      </c>
      <c r="AE71" s="322">
        <f>IFERROR(MROUND(tblPiNAnalysis512[[#This Row],[CP]]/tblPiNAnalysis512[[#This Row],[Affected population projection 2026]], 0.05), "")</f>
        <v>0</v>
      </c>
      <c r="AF71" s="322">
        <f>IFERROR(MROUND(tblPiNAnalysis512[[#This Row],[GBV]]/tblPiNAnalysis512[[#This Row],[Affected population projection 2026]], 0.05), "")</f>
        <v>0</v>
      </c>
      <c r="AG71" s="322">
        <f>IFERROR(MROUND(tblPiNAnalysis512[[#This Row],[Mine Action]]/tblPiNAnalysis512[[#This Row],[Affected population projection 2026]], 0.05), "")</f>
        <v>0</v>
      </c>
      <c r="AH71" s="322">
        <f>IFERROR(MROUND(tblPiNAnalysis512[[#This Row],[HLP]]/tblPiNAnalysis512[[#This Row],[Affected population projection 2026]], 0.05), "")</f>
        <v>0</v>
      </c>
      <c r="AI71" s="325" t="str">
        <f>IFERROR(LARGE(tblPiNAnalysis512[[#This Row],[CCCM]:[WASH]], 1), "")</f>
        <v/>
      </c>
      <c r="AJ71" s="326" t="str" cm="1">
        <f t="array" ref="AJ71">IF(tblPiNAnalysis512[[#This Row],[Highest Target]]="", "", _xlfn.TEXTJOIN(CHAR(10), TRUE, IF(tblPiNAnalysis512[[#This Row],[Highest Target]]=tblPiNAnalysis512[[#This Row],[CCCM]:[WASH]], tblPiNAnalysis512[[#Headers],[CCCM]:[WASH]], "")))</f>
        <v/>
      </c>
      <c r="AK71" s="327" t="str">
        <f>IF(tblPiNAnalysis512[[#This Row],[Highest Target]]="", "", tblPiNAnalysis512[[#This Row],[Highest Target]]/tblPiNAnalysis512[[#This Row],[Affected population projection 2026]])</f>
        <v/>
      </c>
      <c r="AL71" s="328" t="str">
        <f>IF(SUM(tblPiNAnalysis512[[#This Row],[CCCM]:[WASH]])=0, "",IF(COUNTIF(tblPiNAnalysis512[[#This Row],[CCCM]:[WASH]],"=0")+COUNTIF(tblPiNAnalysis512[[#This Row],[CCCM]:[WASH]],"")&gt;=zero_pin_thresh, "Flagged", ""))</f>
        <v/>
      </c>
      <c r="AM71" s="329" t="str">
        <f>IFERROR(IF(tblPiNAnalysis512[[#This Row],[Highest Target]]="", "", IF(tblPiNAnalysis512[[#This Row],[Highest sector(s'') Target %]]&gt;=flag_pin_perc, "Flagged", "")), "")</f>
        <v/>
      </c>
      <c r="AN71" s="330" t="str" cm="1">
        <f t="array" ref="AN71">IF(tblPiNAnalysis512[[#This Row],[Highest Target]]=0, "",  IF(OR(COUNTIF(tblPiNAnalysis512[[#This Row],[Highest sector(s)]],tblSubSectorPopulation[Sector])), "Flagged", ""))</f>
        <v/>
      </c>
      <c r="AO71" s="46" t="str" cm="1">
        <f t="array" ref="AO7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71" s="331" t="str" cm="1">
        <f t="array" ref="AP71">IF(tblPiNAnalysis512[[#This Row],[2nd Highest Target]]="", "", _xlfn.TEXTJOIN(CHAR(10), TRUE, IF(tblPiNAnalysis512[[#This Row],[2nd Highest Target]]=tblPiNAnalysis512[[#This Row],[CCCM]:[WASH]], tblPiNAnalysis512[[#Headers],[CCCM]:[WASH]], "")))</f>
        <v/>
      </c>
      <c r="AQ71" s="36" t="str">
        <f>IFERROR(tblPiNAnalysis512[[#This Row],[2nd Highest Target]]/tblPiNAnalysis512[[#This Row],[Affected population projection 2026]], "")</f>
        <v/>
      </c>
      <c r="AR71" s="46" t="str">
        <f>IFERROR(tblPiNAnalysis512[[#This Row],[Highest Target]]-tblPiNAnalysis512[[#This Row],[2nd Highest Target]], "")</f>
        <v/>
      </c>
      <c r="AS71" s="39" t="str">
        <f>IFERROR(((tblPiNAnalysis512[[#This Row],[Highest Target]]-tblPiNAnalysis512[[#This Row],[2nd Highest Target]])/tblPiNAnalysis512[[#This Row],[2nd Highest Target]]),"")</f>
        <v/>
      </c>
      <c r="AT71" s="39" t="str" cm="1">
        <f t="array" ref="AT7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1" s="332" t="str" cm="1">
        <f t="array" ref="AU7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71" s="190" t="str" cm="1">
        <f t="array" ref="AV71">IF(tblPiNAnalysis512[[#This Row],[3rd Highest Target]]="", "", _xlfn.TEXTJOIN(CHAR(10), TRUE, IF(tblPiNAnalysis512[[#This Row],[3rd Highest Target]]=tblPiNAnalysis512[[#This Row],[CCCM]:[WASH]], tblPiNAnalysis512[[#Headers],[CCCM]:[WASH]], "")))</f>
        <v/>
      </c>
      <c r="AW71" s="190" t="str">
        <f>IFERROR(tblPiNAnalysis512[[#This Row],[3rd Highest Target]]/tblPiNAnalysis512[[#This Row],[Affected population projection 2026]], "")</f>
        <v/>
      </c>
      <c r="AX71" s="45" t="str">
        <f>IFERROR(tblPiNAnalysis512[[#This Row],[Highest Target]]-tblPiNAnalysis512[[#This Row],[3rd Highest Target]],"")</f>
        <v/>
      </c>
      <c r="AY71" s="39" t="str">
        <f>IFERROR(tblPiNAnalysis512[[#This Row],[Difference of Target between Highest and 3rd Highest]]/tblPiNAnalysis512[[#This Row],[3rd Highest Target]], "")</f>
        <v/>
      </c>
      <c r="AZ71" s="330" t="str" cm="1">
        <f t="array" ref="AZ7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1" s="300" t="str" cm="1">
        <f t="array" ref="BA7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1" s="333" t="str" cm="1">
        <f t="array" ref="BB7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1" s="276" t="str" cm="1">
        <f t="array" ref="BC7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1" s="334" t="str" cm="1">
        <f t="array" ref="BD7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1" s="277" t="e">
        <f>INDEX(tblSeverityAnalysis[Final Severity], MATCH(tblPiNAnalysis512[[#This Row],[ID]],tblSeverityAnalysis[ID], 0))</f>
        <v>#N/A</v>
      </c>
      <c r="BF71" s="61" t="e">
        <f>IF(tblPiNAnalysis512[[#This Row],[Severity]]&gt;2,tblPiNAnalysis512[[#This Row],[Highest Target]],)</f>
        <v>#N/A</v>
      </c>
      <c r="BG71" s="191"/>
      <c r="BH71" s="192"/>
      <c r="BI71" s="193">
        <f>COUNTIFS(tblPiNAnalysis512[[#This Row],[Number of missing / zero PiNs greater than threshold - Data quality]:[Manual Flag]],"Flagged")</f>
        <v>2</v>
      </c>
      <c r="BJ71" s="96" t="str">
        <f>IF(tblPiNAnalysis512[[#This Row],['# Flags]]&gt;0, "Flagged", "")</f>
        <v>Flagged</v>
      </c>
      <c r="BK71" s="326" t="e">
        <f>tblPiNAnalysis512[[#This Row],[Preliminary Target]]</f>
        <v>#N/A</v>
      </c>
      <c r="BL71" s="331">
        <v>3</v>
      </c>
    </row>
    <row r="72" spans="1:64" ht="110.7" x14ac:dyDescent="0.55000000000000004">
      <c r="A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2" s="316" t="s">
        <v>382</v>
      </c>
      <c r="C72" s="317" t="s">
        <v>383</v>
      </c>
      <c r="D72" s="317" t="s">
        <v>388</v>
      </c>
      <c r="E72" s="105" t="s">
        <v>389</v>
      </c>
      <c r="F72" s="100"/>
      <c r="G72" s="34"/>
      <c r="H72" s="34"/>
      <c r="I72" s="97">
        <v>17868.652727011824</v>
      </c>
      <c r="J72" s="97" t="s">
        <v>412</v>
      </c>
      <c r="K72" s="261">
        <v>0</v>
      </c>
      <c r="L72" s="319">
        <v>0</v>
      </c>
      <c r="M72" s="319">
        <v>0</v>
      </c>
      <c r="N72" s="319">
        <v>0</v>
      </c>
      <c r="O72" s="319">
        <v>0</v>
      </c>
      <c r="P72" s="319"/>
      <c r="Q72" s="320">
        <v>0</v>
      </c>
      <c r="R72" s="319">
        <v>0</v>
      </c>
      <c r="S72" s="319"/>
      <c r="T72" s="319"/>
      <c r="U72" s="319"/>
      <c r="V72" s="319"/>
      <c r="W72" s="321">
        <f>IFERROR(IF(tblPiNAnalysis512[[#This Row],[CCCM]]="", "", MROUND(tblPiNAnalysis512[[#This Row],[CCCM]]/tblPiNAnalysis512[[#This Row],[Affected population projection 2026]], 0.05)), "")</f>
        <v>0</v>
      </c>
      <c r="X72" s="322">
        <f>IFERROR(IF(tblPiNAnalysis512[[#This Row],[Education]]="", "", MROUND(tblPiNAnalysis512[[#This Row],[Education]]/tblPiNAnalysis512[[#This Row],[Affected population projection 2026]], 0.05)), "")</f>
        <v>0</v>
      </c>
      <c r="Y72" s="322">
        <f>IFERROR(IF(tblPiNAnalysis512[[#This Row],[Nutrition]]="", "", MROUND(tblPiNAnalysis512[[#This Row],[Nutrition]]/tblPiNAnalysis512[[#This Row],[Affected population projection 2026]], 0.05)), "")</f>
        <v>0</v>
      </c>
      <c r="Z72" s="322">
        <f>IFERROR(IF(tblPiNAnalysis512[[#This Row],[Food Security]]="", "", MROUND(tblPiNAnalysis512[[#This Row],[Food Security]]/tblPiNAnalysis512[[#This Row],[Affected population projection 2026]], 0.05)), "")</f>
        <v>0</v>
      </c>
      <c r="AA72" s="322">
        <f>IFERROR(IF(tblPiNAnalysis512[[#This Row],[Health]]="", "", MROUND(tblPiNAnalysis512[[#This Row],[Health]]/tblPiNAnalysis512[[#This Row],[Affected population projection 2026]], 0.05)), "")</f>
        <v>0</v>
      </c>
      <c r="AB72" s="323" t="str">
        <f>IFERROR(IF(tblPiNAnalysis512[[#This Row],[Overarching Protection]]="", "", MROUND(tblPiNAnalysis512[[#This Row],[Overarching Protection]]/tblPiNAnalysis512[[#This Row],[Affected population projection 2026]], 0.05)), "")</f>
        <v/>
      </c>
      <c r="AC72" s="323">
        <f>IFERROR(IF(tblPiNAnalysis512[[#This Row],[Shelter]]="", "", MROUND(tblPiNAnalysis512[[#This Row],[Shelter]]/tblPiNAnalysis512[[#This Row],[Affected population projection 2026]], 0.05)), "")</f>
        <v>0</v>
      </c>
      <c r="AD72" s="324">
        <f>IFERROR(IF(tblPiNAnalysis512[[#This Row],[WASH]]="", "", MROUND(tblPiNAnalysis512[[#This Row],[WASH]]/tblPiNAnalysis512[[#This Row],[Affected population projection 2026]], 0.05)), "")</f>
        <v>0</v>
      </c>
      <c r="AE72" s="322">
        <f>IFERROR(MROUND(tblPiNAnalysis512[[#This Row],[CP]]/tblPiNAnalysis512[[#This Row],[Affected population projection 2026]], 0.05), "")</f>
        <v>0</v>
      </c>
      <c r="AF72" s="322">
        <f>IFERROR(MROUND(tblPiNAnalysis512[[#This Row],[GBV]]/tblPiNAnalysis512[[#This Row],[Affected population projection 2026]], 0.05), "")</f>
        <v>0</v>
      </c>
      <c r="AG72" s="322">
        <f>IFERROR(MROUND(tblPiNAnalysis512[[#This Row],[Mine Action]]/tblPiNAnalysis512[[#This Row],[Affected population projection 2026]], 0.05), "")</f>
        <v>0</v>
      </c>
      <c r="AH72" s="322">
        <f>IFERROR(MROUND(tblPiNAnalysis512[[#This Row],[HLP]]/tblPiNAnalysis512[[#This Row],[Affected population projection 2026]], 0.05), "")</f>
        <v>0</v>
      </c>
      <c r="AI72" s="325">
        <f>IFERROR(LARGE(tblPiNAnalysis512[[#This Row],[CCCM]:[WASH]], 1), "")</f>
        <v>0</v>
      </c>
      <c r="AJ72" s="326" t="str" cm="1">
        <f t="array" ref="AJ72">IF(tblPiNAnalysis512[[#This Row],[Highest Target]]="", "", _xlfn.TEXTJOIN(CHAR(10), TRUE, IF(tblPiNAnalysis512[[#This Row],[Highest Target]]=tblPiNAnalysis512[[#This Row],[CCCM]:[WASH]], tblPiNAnalysis512[[#Headers],[CCCM]:[WASH]], "")))</f>
        <v>CCCM
Education
Nutrition
Food Security
Health
Overarching Protection
Shelter
WASH</v>
      </c>
      <c r="AK72" s="327">
        <f>IF(tblPiNAnalysis512[[#This Row],[Highest Target]]="", "", tblPiNAnalysis512[[#This Row],[Highest Target]]/tblPiNAnalysis512[[#This Row],[Affected population projection 2026]])</f>
        <v>0</v>
      </c>
      <c r="AL72" s="328" t="str">
        <f>IF(SUM(tblPiNAnalysis512[[#This Row],[CCCM]:[WASH]])=0, "",IF(COUNTIF(tblPiNAnalysis512[[#This Row],[CCCM]:[WASH]],"=0")+COUNTIF(tblPiNAnalysis512[[#This Row],[CCCM]:[WASH]],"")&gt;=zero_pin_thresh, "Flagged", ""))</f>
        <v/>
      </c>
      <c r="AM72" s="329" t="str">
        <f>IFERROR(IF(tblPiNAnalysis512[[#This Row],[Highest Target]]="", "", IF(tblPiNAnalysis512[[#This Row],[Highest sector(s'') Target %]]&gt;=flag_pin_perc, "Flagged", "")), "")</f>
        <v/>
      </c>
      <c r="AN72" s="330" t="str" cm="1">
        <f t="array" ref="AN72">IF(tblPiNAnalysis512[[#This Row],[Highest Target]]=0, "",  IF(OR(COUNTIF(tblPiNAnalysis512[[#This Row],[Highest sector(s)]],tblSubSectorPopulation[Sector])), "Flagged", ""))</f>
        <v/>
      </c>
      <c r="AO72" s="46" t="str" cm="1">
        <f t="array" ref="AO7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NA</v>
      </c>
      <c r="AP72" s="331" t="str" cm="1">
        <f t="array" ref="AP72">IF(tblPiNAnalysis512[[#This Row],[2nd Highest Target]]="", "", _xlfn.TEXTJOIN(CHAR(10), TRUE, IF(tblPiNAnalysis512[[#This Row],[2nd Highest Target]]=tblPiNAnalysis512[[#This Row],[CCCM]:[WASH]], tblPiNAnalysis512[[#Headers],[CCCM]:[WASH]], "")))</f>
        <v/>
      </c>
      <c r="AQ72" s="36" t="str">
        <f>IFERROR(tblPiNAnalysis512[[#This Row],[2nd Highest Target]]/tblPiNAnalysis512[[#This Row],[Affected population projection 2026]], "")</f>
        <v/>
      </c>
      <c r="AR72" s="46" t="str">
        <f>IFERROR(tblPiNAnalysis512[[#This Row],[Highest Target]]-tblPiNAnalysis512[[#This Row],[2nd Highest Target]], "")</f>
        <v/>
      </c>
      <c r="AS72" s="39" t="str">
        <f>IFERROR(((tblPiNAnalysis512[[#This Row],[Highest Target]]-tblPiNAnalysis512[[#This Row],[2nd Highest Target]])/tblPiNAnalysis512[[#This Row],[2nd Highest Target]]),"")</f>
        <v/>
      </c>
      <c r="AT72" s="39" t="str" cm="1">
        <f t="array" ref="AT7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2" s="332" cm="1">
        <f t="array" ref="AU7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2" s="190" t="str" cm="1">
        <f t="array" ref="AV72">IF(tblPiNAnalysis512[[#This Row],[3rd Highest Target]]="", "", _xlfn.TEXTJOIN(CHAR(10), TRUE, IF(tblPiNAnalysis512[[#This Row],[3rd Highest Target]]=tblPiNAnalysis512[[#This Row],[CCCM]:[WASH]], tblPiNAnalysis512[[#Headers],[CCCM]:[WASH]], "")))</f>
        <v>CCCM
Education
Nutrition
Food Security
Health
Overarching Protection
Shelter
WASH</v>
      </c>
      <c r="AW72" s="190">
        <f>IFERROR(tblPiNAnalysis512[[#This Row],[3rd Highest Target]]/tblPiNAnalysis512[[#This Row],[Affected population projection 2026]], "")</f>
        <v>0</v>
      </c>
      <c r="AX72" s="45">
        <f>IFERROR(tblPiNAnalysis512[[#This Row],[Highest Target]]-tblPiNAnalysis512[[#This Row],[3rd Highest Target]],"")</f>
        <v>0</v>
      </c>
      <c r="AY72" s="39" t="str">
        <f>IFERROR(tblPiNAnalysis512[[#This Row],[Difference of Target between Highest and 3rd Highest]]/tblPiNAnalysis512[[#This Row],[3rd Highest Target]], "")</f>
        <v/>
      </c>
      <c r="AZ72" s="330" t="str" cm="1">
        <f t="array" ref="AZ7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2" s="300" t="str" cm="1">
        <f t="array" ref="BA7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2" s="333" t="str" cm="1">
        <f t="array" ref="BB7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2" s="276" t="str" cm="1">
        <f t="array" ref="BC7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2" s="334" t="str" cm="1">
        <f t="array" ref="BD7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72" s="277" t="e">
        <f>INDEX(tblSeverityAnalysis[Final Severity], MATCH(tblPiNAnalysis512[[#This Row],[ID]],tblSeverityAnalysis[ID], 0))</f>
        <v>#N/A</v>
      </c>
      <c r="BF72" s="61" t="e">
        <f>IF(tblPiNAnalysis512[[#This Row],[Severity]]&gt;2,tblPiNAnalysis512[[#This Row],[Highest Target]],)</f>
        <v>#N/A</v>
      </c>
      <c r="BG72" s="191"/>
      <c r="BH72" s="192"/>
      <c r="BI72" s="193">
        <f>COUNTIFS(tblPiNAnalysis512[[#This Row],[Number of missing / zero PiNs greater than threshold - Data quality]:[Manual Flag]],"Flagged")</f>
        <v>1</v>
      </c>
      <c r="BJ72" s="96" t="str">
        <f>IF(tblPiNAnalysis512[[#This Row],['# Flags]]&gt;0, "Flagged", "")</f>
        <v>Flagged</v>
      </c>
      <c r="BK72" s="326" t="e">
        <f>tblPiNAnalysis512[[#This Row],[Preliminary Target]]</f>
        <v>#N/A</v>
      </c>
      <c r="BL72" s="331">
        <v>4</v>
      </c>
    </row>
    <row r="73" spans="1:64" x14ac:dyDescent="0.55000000000000004">
      <c r="A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3" s="316" t="s">
        <v>390</v>
      </c>
      <c r="C73" s="317" t="s">
        <v>391</v>
      </c>
      <c r="D73" s="317" t="s">
        <v>392</v>
      </c>
      <c r="E73" s="105" t="s">
        <v>393</v>
      </c>
      <c r="F73" s="100"/>
      <c r="G73" s="34"/>
      <c r="H73" s="34"/>
      <c r="I73" s="97">
        <v>41205.344743342968</v>
      </c>
      <c r="J73" s="97" t="s">
        <v>412</v>
      </c>
      <c r="K73" s="261"/>
      <c r="L73" s="319"/>
      <c r="M73" s="319"/>
      <c r="N73" s="319"/>
      <c r="O73" s="319"/>
      <c r="P73" s="319"/>
      <c r="Q73" s="320"/>
      <c r="R73" s="319"/>
      <c r="S73" s="319"/>
      <c r="T73" s="319"/>
      <c r="U73" s="319"/>
      <c r="V73" s="319"/>
      <c r="W73" s="321" t="str">
        <f>IFERROR(IF(tblPiNAnalysis512[[#This Row],[CCCM]]="", "", MROUND(tblPiNAnalysis512[[#This Row],[CCCM]]/tblPiNAnalysis512[[#This Row],[Affected population projection 2026]], 0.05)), "")</f>
        <v/>
      </c>
      <c r="X73" s="322" t="str">
        <f>IFERROR(IF(tblPiNAnalysis512[[#This Row],[Education]]="", "", MROUND(tblPiNAnalysis512[[#This Row],[Education]]/tblPiNAnalysis512[[#This Row],[Affected population projection 2026]], 0.05)), "")</f>
        <v/>
      </c>
      <c r="Y73" s="322" t="str">
        <f>IFERROR(IF(tblPiNAnalysis512[[#This Row],[Nutrition]]="", "", MROUND(tblPiNAnalysis512[[#This Row],[Nutrition]]/tblPiNAnalysis512[[#This Row],[Affected population projection 2026]], 0.05)), "")</f>
        <v/>
      </c>
      <c r="Z73" s="322" t="str">
        <f>IFERROR(IF(tblPiNAnalysis512[[#This Row],[Food Security]]="", "", MROUND(tblPiNAnalysis512[[#This Row],[Food Security]]/tblPiNAnalysis512[[#This Row],[Affected population projection 2026]], 0.05)), "")</f>
        <v/>
      </c>
      <c r="AA73" s="322" t="str">
        <f>IFERROR(IF(tblPiNAnalysis512[[#This Row],[Health]]="", "", MROUND(tblPiNAnalysis512[[#This Row],[Health]]/tblPiNAnalysis512[[#This Row],[Affected population projection 2026]], 0.05)), "")</f>
        <v/>
      </c>
      <c r="AB73" s="323" t="str">
        <f>IFERROR(IF(tblPiNAnalysis512[[#This Row],[Overarching Protection]]="", "", MROUND(tblPiNAnalysis512[[#This Row],[Overarching Protection]]/tblPiNAnalysis512[[#This Row],[Affected population projection 2026]], 0.05)), "")</f>
        <v/>
      </c>
      <c r="AC73" s="323" t="str">
        <f>IFERROR(IF(tblPiNAnalysis512[[#This Row],[Shelter]]="", "", MROUND(tblPiNAnalysis512[[#This Row],[Shelter]]/tblPiNAnalysis512[[#This Row],[Affected population projection 2026]], 0.05)), "")</f>
        <v/>
      </c>
      <c r="AD73" s="324" t="str">
        <f>IFERROR(IF(tblPiNAnalysis512[[#This Row],[WASH]]="", "", MROUND(tblPiNAnalysis512[[#This Row],[WASH]]/tblPiNAnalysis512[[#This Row],[Affected population projection 2026]], 0.05)), "")</f>
        <v/>
      </c>
      <c r="AE73" s="322">
        <f>IFERROR(MROUND(tblPiNAnalysis512[[#This Row],[CP]]/tblPiNAnalysis512[[#This Row],[Affected population projection 2026]], 0.05), "")</f>
        <v>0</v>
      </c>
      <c r="AF73" s="322">
        <f>IFERROR(MROUND(tblPiNAnalysis512[[#This Row],[GBV]]/tblPiNAnalysis512[[#This Row],[Affected population projection 2026]], 0.05), "")</f>
        <v>0</v>
      </c>
      <c r="AG73" s="322">
        <f>IFERROR(MROUND(tblPiNAnalysis512[[#This Row],[Mine Action]]/tblPiNAnalysis512[[#This Row],[Affected population projection 2026]], 0.05), "")</f>
        <v>0</v>
      </c>
      <c r="AH73" s="322">
        <f>IFERROR(MROUND(tblPiNAnalysis512[[#This Row],[HLP]]/tblPiNAnalysis512[[#This Row],[Affected population projection 2026]], 0.05), "")</f>
        <v>0</v>
      </c>
      <c r="AI73" s="325" t="str">
        <f>IFERROR(LARGE(tblPiNAnalysis512[[#This Row],[CCCM]:[WASH]], 1), "")</f>
        <v/>
      </c>
      <c r="AJ73" s="326" t="str" cm="1">
        <f t="array" ref="AJ73">IF(tblPiNAnalysis512[[#This Row],[Highest Target]]="", "", _xlfn.TEXTJOIN(CHAR(10), TRUE, IF(tblPiNAnalysis512[[#This Row],[Highest Target]]=tblPiNAnalysis512[[#This Row],[CCCM]:[WASH]], tblPiNAnalysis512[[#Headers],[CCCM]:[WASH]], "")))</f>
        <v/>
      </c>
      <c r="AK73" s="327" t="str">
        <f>IF(tblPiNAnalysis512[[#This Row],[Highest Target]]="", "", tblPiNAnalysis512[[#This Row],[Highest Target]]/tblPiNAnalysis512[[#This Row],[Affected population projection 2026]])</f>
        <v/>
      </c>
      <c r="AL73" s="328" t="str">
        <f>IF(SUM(tblPiNAnalysis512[[#This Row],[CCCM]:[WASH]])=0, "",IF(COUNTIF(tblPiNAnalysis512[[#This Row],[CCCM]:[WASH]],"=0")+COUNTIF(tblPiNAnalysis512[[#This Row],[CCCM]:[WASH]],"")&gt;=zero_pin_thresh, "Flagged", ""))</f>
        <v/>
      </c>
      <c r="AM73" s="329" t="str">
        <f>IFERROR(IF(tblPiNAnalysis512[[#This Row],[Highest Target]]="", "", IF(tblPiNAnalysis512[[#This Row],[Highest sector(s'') Target %]]&gt;=flag_pin_perc, "Flagged", "")), "")</f>
        <v/>
      </c>
      <c r="AN73" s="330" t="str" cm="1">
        <f t="array" ref="AN73">IF(tblPiNAnalysis512[[#This Row],[Highest Target]]=0, "",  IF(OR(COUNTIF(tblPiNAnalysis512[[#This Row],[Highest sector(s)]],tblSubSectorPopulation[Sector])), "Flagged", ""))</f>
        <v/>
      </c>
      <c r="AO73" s="46" t="str" cm="1">
        <f t="array" ref="AO7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73" s="331" t="str" cm="1">
        <f t="array" ref="AP73">IF(tblPiNAnalysis512[[#This Row],[2nd Highest Target]]="", "", _xlfn.TEXTJOIN(CHAR(10), TRUE, IF(tblPiNAnalysis512[[#This Row],[2nd Highest Target]]=tblPiNAnalysis512[[#This Row],[CCCM]:[WASH]], tblPiNAnalysis512[[#Headers],[CCCM]:[WASH]], "")))</f>
        <v/>
      </c>
      <c r="AQ73" s="36" t="str">
        <f>IFERROR(tblPiNAnalysis512[[#This Row],[2nd Highest Target]]/tblPiNAnalysis512[[#This Row],[Affected population projection 2026]], "")</f>
        <v/>
      </c>
      <c r="AR73" s="46" t="str">
        <f>IFERROR(tblPiNAnalysis512[[#This Row],[Highest Target]]-tblPiNAnalysis512[[#This Row],[2nd Highest Target]], "")</f>
        <v/>
      </c>
      <c r="AS73" s="39" t="str">
        <f>IFERROR(((tblPiNAnalysis512[[#This Row],[Highest Target]]-tblPiNAnalysis512[[#This Row],[2nd Highest Target]])/tblPiNAnalysis512[[#This Row],[2nd Highest Target]]),"")</f>
        <v/>
      </c>
      <c r="AT73" s="39" t="str" cm="1">
        <f t="array" ref="AT7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3" s="332" t="str" cm="1">
        <f t="array" ref="AU7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73" s="190" t="str" cm="1">
        <f t="array" ref="AV73">IF(tblPiNAnalysis512[[#This Row],[3rd Highest Target]]="", "", _xlfn.TEXTJOIN(CHAR(10), TRUE, IF(tblPiNAnalysis512[[#This Row],[3rd Highest Target]]=tblPiNAnalysis512[[#This Row],[CCCM]:[WASH]], tblPiNAnalysis512[[#Headers],[CCCM]:[WASH]], "")))</f>
        <v/>
      </c>
      <c r="AW73" s="190" t="str">
        <f>IFERROR(tblPiNAnalysis512[[#This Row],[3rd Highest Target]]/tblPiNAnalysis512[[#This Row],[Affected population projection 2026]], "")</f>
        <v/>
      </c>
      <c r="AX73" s="45" t="str">
        <f>IFERROR(tblPiNAnalysis512[[#This Row],[Highest Target]]-tblPiNAnalysis512[[#This Row],[3rd Highest Target]],"")</f>
        <v/>
      </c>
      <c r="AY73" s="39" t="str">
        <f>IFERROR(tblPiNAnalysis512[[#This Row],[Difference of Target between Highest and 3rd Highest]]/tblPiNAnalysis512[[#This Row],[3rd Highest Target]], "")</f>
        <v/>
      </c>
      <c r="AZ73" s="330" t="str" cm="1">
        <f t="array" ref="AZ7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3" s="300" t="str" cm="1">
        <f t="array" ref="BA7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3" s="333" t="str" cm="1">
        <f t="array" ref="BB7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3" s="276" t="str" cm="1">
        <f t="array" ref="BC7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3" s="334" t="str" cm="1">
        <f t="array" ref="BD7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3" s="277" t="e">
        <f>INDEX(tblSeverityAnalysis[Final Severity], MATCH(tblPiNAnalysis512[[#This Row],[ID]],tblSeverityAnalysis[ID], 0))</f>
        <v>#N/A</v>
      </c>
      <c r="BF73" s="61" t="e">
        <f>IF(tblPiNAnalysis512[[#This Row],[Severity]]&gt;2,tblPiNAnalysis512[[#This Row],[Highest Target]],)</f>
        <v>#N/A</v>
      </c>
      <c r="BG73" s="191"/>
      <c r="BH73" s="192"/>
      <c r="BI73" s="193">
        <f>COUNTIFS(tblPiNAnalysis512[[#This Row],[Number of missing / zero PiNs greater than threshold - Data quality]:[Manual Flag]],"Flagged")</f>
        <v>2</v>
      </c>
      <c r="BJ73" s="96" t="str">
        <f>IF(tblPiNAnalysis512[[#This Row],['# Flags]]&gt;0, "Flagged", "")</f>
        <v>Flagged</v>
      </c>
      <c r="BK73" s="326" t="e">
        <f>tblPiNAnalysis512[[#This Row],[Preliminary Target]]</f>
        <v>#N/A</v>
      </c>
      <c r="BL73" s="331">
        <v>3</v>
      </c>
    </row>
    <row r="74" spans="1:64" ht="110.7" x14ac:dyDescent="0.55000000000000004">
      <c r="A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4" s="316" t="s">
        <v>390</v>
      </c>
      <c r="C74" s="317" t="s">
        <v>391</v>
      </c>
      <c r="D74" s="317" t="s">
        <v>394</v>
      </c>
      <c r="E74" s="105" t="s">
        <v>395</v>
      </c>
      <c r="F74" s="100"/>
      <c r="G74" s="34"/>
      <c r="H74" s="34"/>
      <c r="I74" s="97">
        <v>7434.8763775539119</v>
      </c>
      <c r="J74" s="97" t="s">
        <v>412</v>
      </c>
      <c r="K74" s="261">
        <v>0</v>
      </c>
      <c r="L74" s="319">
        <v>0</v>
      </c>
      <c r="M74" s="319">
        <v>0</v>
      </c>
      <c r="N74" s="319">
        <v>0</v>
      </c>
      <c r="O74" s="319">
        <v>0</v>
      </c>
      <c r="P74" s="319">
        <v>0</v>
      </c>
      <c r="Q74" s="320">
        <v>0</v>
      </c>
      <c r="R74" s="319">
        <v>0</v>
      </c>
      <c r="S74" s="319"/>
      <c r="T74" s="319"/>
      <c r="U74" s="319"/>
      <c r="V74" s="319"/>
      <c r="W74" s="321">
        <f>IFERROR(IF(tblPiNAnalysis512[[#This Row],[CCCM]]="", "", MROUND(tblPiNAnalysis512[[#This Row],[CCCM]]/tblPiNAnalysis512[[#This Row],[Affected population projection 2026]], 0.05)), "")</f>
        <v>0</v>
      </c>
      <c r="X74" s="322">
        <f>IFERROR(IF(tblPiNAnalysis512[[#This Row],[Education]]="", "", MROUND(tblPiNAnalysis512[[#This Row],[Education]]/tblPiNAnalysis512[[#This Row],[Affected population projection 2026]], 0.05)), "")</f>
        <v>0</v>
      </c>
      <c r="Y74" s="322">
        <f>IFERROR(IF(tblPiNAnalysis512[[#This Row],[Nutrition]]="", "", MROUND(tblPiNAnalysis512[[#This Row],[Nutrition]]/tblPiNAnalysis512[[#This Row],[Affected population projection 2026]], 0.05)), "")</f>
        <v>0</v>
      </c>
      <c r="Z74" s="322">
        <f>IFERROR(IF(tblPiNAnalysis512[[#This Row],[Food Security]]="", "", MROUND(tblPiNAnalysis512[[#This Row],[Food Security]]/tblPiNAnalysis512[[#This Row],[Affected population projection 2026]], 0.05)), "")</f>
        <v>0</v>
      </c>
      <c r="AA74" s="322">
        <f>IFERROR(IF(tblPiNAnalysis512[[#This Row],[Health]]="", "", MROUND(tblPiNAnalysis512[[#This Row],[Health]]/tblPiNAnalysis512[[#This Row],[Affected population projection 2026]], 0.05)), "")</f>
        <v>0</v>
      </c>
      <c r="AB74" s="323">
        <f>IFERROR(IF(tblPiNAnalysis512[[#This Row],[Overarching Protection]]="", "", MROUND(tblPiNAnalysis512[[#This Row],[Overarching Protection]]/tblPiNAnalysis512[[#This Row],[Affected population projection 2026]], 0.05)), "")</f>
        <v>0</v>
      </c>
      <c r="AC74" s="323">
        <f>IFERROR(IF(tblPiNAnalysis512[[#This Row],[Shelter]]="", "", MROUND(tblPiNAnalysis512[[#This Row],[Shelter]]/tblPiNAnalysis512[[#This Row],[Affected population projection 2026]], 0.05)), "")</f>
        <v>0</v>
      </c>
      <c r="AD74" s="324">
        <f>IFERROR(IF(tblPiNAnalysis512[[#This Row],[WASH]]="", "", MROUND(tblPiNAnalysis512[[#This Row],[WASH]]/tblPiNAnalysis512[[#This Row],[Affected population projection 2026]], 0.05)), "")</f>
        <v>0</v>
      </c>
      <c r="AE74" s="322">
        <f>IFERROR(MROUND(tblPiNAnalysis512[[#This Row],[CP]]/tblPiNAnalysis512[[#This Row],[Affected population projection 2026]], 0.05), "")</f>
        <v>0</v>
      </c>
      <c r="AF74" s="322">
        <f>IFERROR(MROUND(tblPiNAnalysis512[[#This Row],[GBV]]/tblPiNAnalysis512[[#This Row],[Affected population projection 2026]], 0.05), "")</f>
        <v>0</v>
      </c>
      <c r="AG74" s="322">
        <f>IFERROR(MROUND(tblPiNAnalysis512[[#This Row],[Mine Action]]/tblPiNAnalysis512[[#This Row],[Affected population projection 2026]], 0.05), "")</f>
        <v>0</v>
      </c>
      <c r="AH74" s="322">
        <f>IFERROR(MROUND(tblPiNAnalysis512[[#This Row],[HLP]]/tblPiNAnalysis512[[#This Row],[Affected population projection 2026]], 0.05), "")</f>
        <v>0</v>
      </c>
      <c r="AI74" s="325">
        <f>IFERROR(LARGE(tblPiNAnalysis512[[#This Row],[CCCM]:[WASH]], 1), "")</f>
        <v>0</v>
      </c>
      <c r="AJ74" s="326" t="str" cm="1">
        <f t="array" ref="AJ74">IF(tblPiNAnalysis512[[#This Row],[Highest Target]]="", "", _xlfn.TEXTJOIN(CHAR(10), TRUE, IF(tblPiNAnalysis512[[#This Row],[Highest Target]]=tblPiNAnalysis512[[#This Row],[CCCM]:[WASH]], tblPiNAnalysis512[[#Headers],[CCCM]:[WASH]], "")))</f>
        <v>CCCM
Education
Nutrition
Food Security
Health
Overarching Protection
Shelter
WASH</v>
      </c>
      <c r="AK74" s="327">
        <f>IF(tblPiNAnalysis512[[#This Row],[Highest Target]]="", "", tblPiNAnalysis512[[#This Row],[Highest Target]]/tblPiNAnalysis512[[#This Row],[Affected population projection 2026]])</f>
        <v>0</v>
      </c>
      <c r="AL74" s="328" t="str">
        <f>IF(SUM(tblPiNAnalysis512[[#This Row],[CCCM]:[WASH]])=0, "",IF(COUNTIF(tblPiNAnalysis512[[#This Row],[CCCM]:[WASH]],"=0")+COUNTIF(tblPiNAnalysis512[[#This Row],[CCCM]:[WASH]],"")&gt;=zero_pin_thresh, "Flagged", ""))</f>
        <v/>
      </c>
      <c r="AM74" s="329" t="str">
        <f>IFERROR(IF(tblPiNAnalysis512[[#This Row],[Highest Target]]="", "", IF(tblPiNAnalysis512[[#This Row],[Highest sector(s'') Target %]]&gt;=flag_pin_perc, "Flagged", "")), "")</f>
        <v/>
      </c>
      <c r="AN74" s="330" t="str" cm="1">
        <f t="array" ref="AN74">IF(tblPiNAnalysis512[[#This Row],[Highest Target]]=0, "",  IF(OR(COUNTIF(tblPiNAnalysis512[[#This Row],[Highest sector(s)]],tblSubSectorPopulation[Sector])), "Flagged", ""))</f>
        <v/>
      </c>
      <c r="AO74" s="46" cm="1">
        <f t="array" ref="AO7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4" s="331" t="str" cm="1">
        <f t="array" ref="AP74">IF(tblPiNAnalysis512[[#This Row],[2nd Highest Target]]="", "", _xlfn.TEXTJOIN(CHAR(10), TRUE, IF(tblPiNAnalysis512[[#This Row],[2nd Highest Target]]=tblPiNAnalysis512[[#This Row],[CCCM]:[WASH]], tblPiNAnalysis512[[#Headers],[CCCM]:[WASH]], "")))</f>
        <v>CCCM
Education
Nutrition
Food Security
Health
Overarching Protection
Shelter
WASH</v>
      </c>
      <c r="AQ74" s="36">
        <f>IFERROR(tblPiNAnalysis512[[#This Row],[2nd Highest Target]]/tblPiNAnalysis512[[#This Row],[Affected population projection 2026]], "")</f>
        <v>0</v>
      </c>
      <c r="AR74" s="46">
        <f>IFERROR(tblPiNAnalysis512[[#This Row],[Highest Target]]-tblPiNAnalysis512[[#This Row],[2nd Highest Target]], "")</f>
        <v>0</v>
      </c>
      <c r="AS74" s="39" t="str">
        <f>IFERROR(((tblPiNAnalysis512[[#This Row],[Highest Target]]-tblPiNAnalysis512[[#This Row],[2nd Highest Target]])/tblPiNAnalysis512[[#This Row],[2nd Highest Target]]),"")</f>
        <v/>
      </c>
      <c r="AT74" s="39" t="str" cm="1">
        <f t="array" ref="AT7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4" s="332" cm="1">
        <f t="array" ref="AU7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4" s="190" t="str" cm="1">
        <f t="array" ref="AV74">IF(tblPiNAnalysis512[[#This Row],[3rd Highest Target]]="", "", _xlfn.TEXTJOIN(CHAR(10), TRUE, IF(tblPiNAnalysis512[[#This Row],[3rd Highest Target]]=tblPiNAnalysis512[[#This Row],[CCCM]:[WASH]], tblPiNAnalysis512[[#Headers],[CCCM]:[WASH]], "")))</f>
        <v>CCCM
Education
Nutrition
Food Security
Health
Overarching Protection
Shelter
WASH</v>
      </c>
      <c r="AW74" s="190">
        <f>IFERROR(tblPiNAnalysis512[[#This Row],[3rd Highest Target]]/tblPiNAnalysis512[[#This Row],[Affected population projection 2026]], "")</f>
        <v>0</v>
      </c>
      <c r="AX74" s="45">
        <f>IFERROR(tblPiNAnalysis512[[#This Row],[Highest Target]]-tblPiNAnalysis512[[#This Row],[3rd Highest Target]],"")</f>
        <v>0</v>
      </c>
      <c r="AY74" s="39" t="str">
        <f>IFERROR(tblPiNAnalysis512[[#This Row],[Difference of Target between Highest and 3rd Highest]]/tblPiNAnalysis512[[#This Row],[3rd Highest Target]], "")</f>
        <v/>
      </c>
      <c r="AZ74" s="330" t="str" cm="1">
        <f t="array" ref="AZ7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4" s="300" t="str" cm="1">
        <f t="array" ref="BA7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4" s="333" t="str" cm="1">
        <f t="array" ref="BB7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4" s="276" t="str" cm="1">
        <f t="array" ref="BC7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4" s="334" t="str" cm="1">
        <f t="array" ref="BD7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4" s="277" t="e">
        <f>INDEX(tblSeverityAnalysis[Final Severity], MATCH(tblPiNAnalysis512[[#This Row],[ID]],tblSeverityAnalysis[ID], 0))</f>
        <v>#N/A</v>
      </c>
      <c r="BF74" s="61" t="e">
        <f>IF(tblPiNAnalysis512[[#This Row],[Severity]]&gt;2,tblPiNAnalysis512[[#This Row],[Highest Target]],)</f>
        <v>#N/A</v>
      </c>
      <c r="BG74" s="191"/>
      <c r="BH74" s="192"/>
      <c r="BI74" s="193">
        <f>COUNTIFS(tblPiNAnalysis512[[#This Row],[Number of missing / zero PiNs greater than threshold - Data quality]:[Manual Flag]],"Flagged")</f>
        <v>2</v>
      </c>
      <c r="BJ74" s="96" t="str">
        <f>IF(tblPiNAnalysis512[[#This Row],['# Flags]]&gt;0, "Flagged", "")</f>
        <v>Flagged</v>
      </c>
      <c r="BK74" s="326" t="e">
        <f>tblPiNAnalysis512[[#This Row],[Preliminary Target]]</f>
        <v>#N/A</v>
      </c>
      <c r="BL74" s="331">
        <v>5</v>
      </c>
    </row>
    <row r="75" spans="1:64" ht="110.7" x14ac:dyDescent="0.55000000000000004">
      <c r="A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5" s="316" t="s">
        <v>390</v>
      </c>
      <c r="C75" s="317" t="s">
        <v>391</v>
      </c>
      <c r="D75" s="317" t="s">
        <v>396</v>
      </c>
      <c r="E75" s="105" t="s">
        <v>397</v>
      </c>
      <c r="F75" s="100"/>
      <c r="G75" s="34"/>
      <c r="H75" s="34"/>
      <c r="I75" s="97">
        <v>11522.074781291758</v>
      </c>
      <c r="J75" s="97" t="s">
        <v>412</v>
      </c>
      <c r="K75" s="261">
        <v>0</v>
      </c>
      <c r="L75" s="319">
        <v>0</v>
      </c>
      <c r="M75" s="319">
        <v>0</v>
      </c>
      <c r="N75" s="319">
        <v>0</v>
      </c>
      <c r="O75" s="319">
        <v>0</v>
      </c>
      <c r="P75" s="319">
        <v>0</v>
      </c>
      <c r="Q75" s="320">
        <v>0</v>
      </c>
      <c r="R75" s="319">
        <v>0</v>
      </c>
      <c r="S75" s="319"/>
      <c r="T75" s="319"/>
      <c r="U75" s="319"/>
      <c r="V75" s="319"/>
      <c r="W75" s="321">
        <f>IFERROR(IF(tblPiNAnalysis512[[#This Row],[CCCM]]="", "", MROUND(tblPiNAnalysis512[[#This Row],[CCCM]]/tblPiNAnalysis512[[#This Row],[Affected population projection 2026]], 0.05)), "")</f>
        <v>0</v>
      </c>
      <c r="X75" s="322">
        <f>IFERROR(IF(tblPiNAnalysis512[[#This Row],[Education]]="", "", MROUND(tblPiNAnalysis512[[#This Row],[Education]]/tblPiNAnalysis512[[#This Row],[Affected population projection 2026]], 0.05)), "")</f>
        <v>0</v>
      </c>
      <c r="Y75" s="322">
        <f>IFERROR(IF(tblPiNAnalysis512[[#This Row],[Nutrition]]="", "", MROUND(tblPiNAnalysis512[[#This Row],[Nutrition]]/tblPiNAnalysis512[[#This Row],[Affected population projection 2026]], 0.05)), "")</f>
        <v>0</v>
      </c>
      <c r="Z75" s="322">
        <f>IFERROR(IF(tblPiNAnalysis512[[#This Row],[Food Security]]="", "", MROUND(tblPiNAnalysis512[[#This Row],[Food Security]]/tblPiNAnalysis512[[#This Row],[Affected population projection 2026]], 0.05)), "")</f>
        <v>0</v>
      </c>
      <c r="AA75" s="322">
        <f>IFERROR(IF(tblPiNAnalysis512[[#This Row],[Health]]="", "", MROUND(tblPiNAnalysis512[[#This Row],[Health]]/tblPiNAnalysis512[[#This Row],[Affected population projection 2026]], 0.05)), "")</f>
        <v>0</v>
      </c>
      <c r="AB75" s="323">
        <f>IFERROR(IF(tblPiNAnalysis512[[#This Row],[Overarching Protection]]="", "", MROUND(tblPiNAnalysis512[[#This Row],[Overarching Protection]]/tblPiNAnalysis512[[#This Row],[Affected population projection 2026]], 0.05)), "")</f>
        <v>0</v>
      </c>
      <c r="AC75" s="323">
        <f>IFERROR(IF(tblPiNAnalysis512[[#This Row],[Shelter]]="", "", MROUND(tblPiNAnalysis512[[#This Row],[Shelter]]/tblPiNAnalysis512[[#This Row],[Affected population projection 2026]], 0.05)), "")</f>
        <v>0</v>
      </c>
      <c r="AD75" s="324">
        <f>IFERROR(IF(tblPiNAnalysis512[[#This Row],[WASH]]="", "", MROUND(tblPiNAnalysis512[[#This Row],[WASH]]/tblPiNAnalysis512[[#This Row],[Affected population projection 2026]], 0.05)), "")</f>
        <v>0</v>
      </c>
      <c r="AE75" s="322">
        <f>IFERROR(MROUND(tblPiNAnalysis512[[#This Row],[CP]]/tblPiNAnalysis512[[#This Row],[Affected population projection 2026]], 0.05), "")</f>
        <v>0</v>
      </c>
      <c r="AF75" s="322">
        <f>IFERROR(MROUND(tblPiNAnalysis512[[#This Row],[GBV]]/tblPiNAnalysis512[[#This Row],[Affected population projection 2026]], 0.05), "")</f>
        <v>0</v>
      </c>
      <c r="AG75" s="322">
        <f>IFERROR(MROUND(tblPiNAnalysis512[[#This Row],[Mine Action]]/tblPiNAnalysis512[[#This Row],[Affected population projection 2026]], 0.05), "")</f>
        <v>0</v>
      </c>
      <c r="AH75" s="322">
        <f>IFERROR(MROUND(tblPiNAnalysis512[[#This Row],[HLP]]/tblPiNAnalysis512[[#This Row],[Affected population projection 2026]], 0.05), "")</f>
        <v>0</v>
      </c>
      <c r="AI75" s="325">
        <f>IFERROR(LARGE(tblPiNAnalysis512[[#This Row],[CCCM]:[WASH]], 1), "")</f>
        <v>0</v>
      </c>
      <c r="AJ75" s="326" t="str" cm="1">
        <f t="array" ref="AJ75">IF(tblPiNAnalysis512[[#This Row],[Highest Target]]="", "", _xlfn.TEXTJOIN(CHAR(10), TRUE, IF(tblPiNAnalysis512[[#This Row],[Highest Target]]=tblPiNAnalysis512[[#This Row],[CCCM]:[WASH]], tblPiNAnalysis512[[#Headers],[CCCM]:[WASH]], "")))</f>
        <v>CCCM
Education
Nutrition
Food Security
Health
Overarching Protection
Shelter
WASH</v>
      </c>
      <c r="AK75" s="327">
        <f>IF(tblPiNAnalysis512[[#This Row],[Highest Target]]="", "", tblPiNAnalysis512[[#This Row],[Highest Target]]/tblPiNAnalysis512[[#This Row],[Affected population projection 2026]])</f>
        <v>0</v>
      </c>
      <c r="AL75" s="328" t="str">
        <f>IF(SUM(tblPiNAnalysis512[[#This Row],[CCCM]:[WASH]])=0, "",IF(COUNTIF(tblPiNAnalysis512[[#This Row],[CCCM]:[WASH]],"=0")+COUNTIF(tblPiNAnalysis512[[#This Row],[CCCM]:[WASH]],"")&gt;=zero_pin_thresh, "Flagged", ""))</f>
        <v/>
      </c>
      <c r="AM75" s="329" t="str">
        <f>IFERROR(IF(tblPiNAnalysis512[[#This Row],[Highest Target]]="", "", IF(tblPiNAnalysis512[[#This Row],[Highest sector(s'') Target %]]&gt;=flag_pin_perc, "Flagged", "")), "")</f>
        <v/>
      </c>
      <c r="AN75" s="330" t="str" cm="1">
        <f t="array" ref="AN75">IF(tblPiNAnalysis512[[#This Row],[Highest Target]]=0, "",  IF(OR(COUNTIF(tblPiNAnalysis512[[#This Row],[Highest sector(s)]],tblSubSectorPopulation[Sector])), "Flagged", ""))</f>
        <v/>
      </c>
      <c r="AO75" s="46" cm="1">
        <f t="array" ref="AO7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5" s="331" t="str" cm="1">
        <f t="array" ref="AP75">IF(tblPiNAnalysis512[[#This Row],[2nd Highest Target]]="", "", _xlfn.TEXTJOIN(CHAR(10), TRUE, IF(tblPiNAnalysis512[[#This Row],[2nd Highest Target]]=tblPiNAnalysis512[[#This Row],[CCCM]:[WASH]], tblPiNAnalysis512[[#Headers],[CCCM]:[WASH]], "")))</f>
        <v>CCCM
Education
Nutrition
Food Security
Health
Overarching Protection
Shelter
WASH</v>
      </c>
      <c r="AQ75" s="36">
        <f>IFERROR(tblPiNAnalysis512[[#This Row],[2nd Highest Target]]/tblPiNAnalysis512[[#This Row],[Affected population projection 2026]], "")</f>
        <v>0</v>
      </c>
      <c r="AR75" s="46">
        <f>IFERROR(tblPiNAnalysis512[[#This Row],[Highest Target]]-tblPiNAnalysis512[[#This Row],[2nd Highest Target]], "")</f>
        <v>0</v>
      </c>
      <c r="AS75" s="39" t="str">
        <f>IFERROR(((tblPiNAnalysis512[[#This Row],[Highest Target]]-tblPiNAnalysis512[[#This Row],[2nd Highest Target]])/tblPiNAnalysis512[[#This Row],[2nd Highest Target]]),"")</f>
        <v/>
      </c>
      <c r="AT75" s="39" t="str" cm="1">
        <f t="array" ref="AT7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5" s="332" cm="1">
        <f t="array" ref="AU7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5" s="190" t="str" cm="1">
        <f t="array" ref="AV75">IF(tblPiNAnalysis512[[#This Row],[3rd Highest Target]]="", "", _xlfn.TEXTJOIN(CHAR(10), TRUE, IF(tblPiNAnalysis512[[#This Row],[3rd Highest Target]]=tblPiNAnalysis512[[#This Row],[CCCM]:[WASH]], tblPiNAnalysis512[[#Headers],[CCCM]:[WASH]], "")))</f>
        <v>CCCM
Education
Nutrition
Food Security
Health
Overarching Protection
Shelter
WASH</v>
      </c>
      <c r="AW75" s="190">
        <f>IFERROR(tblPiNAnalysis512[[#This Row],[3rd Highest Target]]/tblPiNAnalysis512[[#This Row],[Affected population projection 2026]], "")</f>
        <v>0</v>
      </c>
      <c r="AX75" s="45">
        <f>IFERROR(tblPiNAnalysis512[[#This Row],[Highest Target]]-tblPiNAnalysis512[[#This Row],[3rd Highest Target]],"")</f>
        <v>0</v>
      </c>
      <c r="AY75" s="39" t="str">
        <f>IFERROR(tblPiNAnalysis512[[#This Row],[Difference of Target between Highest and 3rd Highest]]/tblPiNAnalysis512[[#This Row],[3rd Highest Target]], "")</f>
        <v/>
      </c>
      <c r="AZ75" s="330" t="str" cm="1">
        <f t="array" ref="AZ7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5" s="300" t="str" cm="1">
        <f t="array" ref="BA7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5" s="333" t="str" cm="1">
        <f t="array" ref="BB7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5" s="276" t="str" cm="1">
        <f t="array" ref="BC7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5" s="334" t="str" cm="1">
        <f t="array" ref="BD7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5" s="277" t="e">
        <f>INDEX(tblSeverityAnalysis[Final Severity], MATCH(tblPiNAnalysis512[[#This Row],[ID]],tblSeverityAnalysis[ID], 0))</f>
        <v>#N/A</v>
      </c>
      <c r="BF75" s="61" t="e">
        <f>IF(tblPiNAnalysis512[[#This Row],[Severity]]&gt;2,tblPiNAnalysis512[[#This Row],[Highest Target]],)</f>
        <v>#N/A</v>
      </c>
      <c r="BG75" s="191"/>
      <c r="BH75" s="192"/>
      <c r="BI75" s="193">
        <f>COUNTIFS(tblPiNAnalysis512[[#This Row],[Number of missing / zero PiNs greater than threshold - Data quality]:[Manual Flag]],"Flagged")</f>
        <v>2</v>
      </c>
      <c r="BJ75" s="96" t="str">
        <f>IF(tblPiNAnalysis512[[#This Row],['# Flags]]&gt;0, "Flagged", "")</f>
        <v>Flagged</v>
      </c>
      <c r="BK75" s="326" t="e">
        <f>tblPiNAnalysis512[[#This Row],[Preliminary Target]]</f>
        <v>#N/A</v>
      </c>
      <c r="BL75" s="331">
        <v>5</v>
      </c>
    </row>
    <row r="76" spans="1:64" ht="110.7" x14ac:dyDescent="0.55000000000000004">
      <c r="A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6" s="316" t="s">
        <v>390</v>
      </c>
      <c r="C76" s="317" t="s">
        <v>391</v>
      </c>
      <c r="D76" s="317" t="s">
        <v>398</v>
      </c>
      <c r="E76" s="105" t="s">
        <v>399</v>
      </c>
      <c r="F76" s="100"/>
      <c r="G76" s="34"/>
      <c r="H76" s="34"/>
      <c r="I76" s="97">
        <v>17357.293062226148</v>
      </c>
      <c r="J76" s="97" t="s">
        <v>412</v>
      </c>
      <c r="K76" s="261">
        <v>0</v>
      </c>
      <c r="L76" s="319">
        <v>0</v>
      </c>
      <c r="M76" s="319">
        <v>0</v>
      </c>
      <c r="N76" s="319">
        <v>0</v>
      </c>
      <c r="O76" s="319">
        <v>0</v>
      </c>
      <c r="P76" s="319">
        <v>0</v>
      </c>
      <c r="Q76" s="320">
        <v>0</v>
      </c>
      <c r="R76" s="319">
        <v>0</v>
      </c>
      <c r="S76" s="319"/>
      <c r="T76" s="319"/>
      <c r="U76" s="319"/>
      <c r="V76" s="319"/>
      <c r="W76" s="321">
        <f>IFERROR(IF(tblPiNAnalysis512[[#This Row],[CCCM]]="", "", MROUND(tblPiNAnalysis512[[#This Row],[CCCM]]/tblPiNAnalysis512[[#This Row],[Affected population projection 2026]], 0.05)), "")</f>
        <v>0</v>
      </c>
      <c r="X76" s="322">
        <f>IFERROR(IF(tblPiNAnalysis512[[#This Row],[Education]]="", "", MROUND(tblPiNAnalysis512[[#This Row],[Education]]/tblPiNAnalysis512[[#This Row],[Affected population projection 2026]], 0.05)), "")</f>
        <v>0</v>
      </c>
      <c r="Y76" s="322">
        <f>IFERROR(IF(tblPiNAnalysis512[[#This Row],[Nutrition]]="", "", MROUND(tblPiNAnalysis512[[#This Row],[Nutrition]]/tblPiNAnalysis512[[#This Row],[Affected population projection 2026]], 0.05)), "")</f>
        <v>0</v>
      </c>
      <c r="Z76" s="322">
        <f>IFERROR(IF(tblPiNAnalysis512[[#This Row],[Food Security]]="", "", MROUND(tblPiNAnalysis512[[#This Row],[Food Security]]/tblPiNAnalysis512[[#This Row],[Affected population projection 2026]], 0.05)), "")</f>
        <v>0</v>
      </c>
      <c r="AA76" s="322">
        <f>IFERROR(IF(tblPiNAnalysis512[[#This Row],[Health]]="", "", MROUND(tblPiNAnalysis512[[#This Row],[Health]]/tblPiNAnalysis512[[#This Row],[Affected population projection 2026]], 0.05)), "")</f>
        <v>0</v>
      </c>
      <c r="AB76" s="323">
        <f>IFERROR(IF(tblPiNAnalysis512[[#This Row],[Overarching Protection]]="", "", MROUND(tblPiNAnalysis512[[#This Row],[Overarching Protection]]/tblPiNAnalysis512[[#This Row],[Affected population projection 2026]], 0.05)), "")</f>
        <v>0</v>
      </c>
      <c r="AC76" s="323">
        <f>IFERROR(IF(tblPiNAnalysis512[[#This Row],[Shelter]]="", "", MROUND(tblPiNAnalysis512[[#This Row],[Shelter]]/tblPiNAnalysis512[[#This Row],[Affected population projection 2026]], 0.05)), "")</f>
        <v>0</v>
      </c>
      <c r="AD76" s="324">
        <f>IFERROR(IF(tblPiNAnalysis512[[#This Row],[WASH]]="", "", MROUND(tblPiNAnalysis512[[#This Row],[WASH]]/tblPiNAnalysis512[[#This Row],[Affected population projection 2026]], 0.05)), "")</f>
        <v>0</v>
      </c>
      <c r="AE76" s="322">
        <f>IFERROR(MROUND(tblPiNAnalysis512[[#This Row],[CP]]/tblPiNAnalysis512[[#This Row],[Affected population projection 2026]], 0.05), "")</f>
        <v>0</v>
      </c>
      <c r="AF76" s="322">
        <f>IFERROR(MROUND(tblPiNAnalysis512[[#This Row],[GBV]]/tblPiNAnalysis512[[#This Row],[Affected population projection 2026]], 0.05), "")</f>
        <v>0</v>
      </c>
      <c r="AG76" s="322">
        <f>IFERROR(MROUND(tblPiNAnalysis512[[#This Row],[Mine Action]]/tblPiNAnalysis512[[#This Row],[Affected population projection 2026]], 0.05), "")</f>
        <v>0</v>
      </c>
      <c r="AH76" s="322">
        <f>IFERROR(MROUND(tblPiNAnalysis512[[#This Row],[HLP]]/tblPiNAnalysis512[[#This Row],[Affected population projection 2026]], 0.05), "")</f>
        <v>0</v>
      </c>
      <c r="AI76" s="325">
        <f>IFERROR(LARGE(tblPiNAnalysis512[[#This Row],[CCCM]:[WASH]], 1), "")</f>
        <v>0</v>
      </c>
      <c r="AJ76" s="326" t="str" cm="1">
        <f t="array" ref="AJ76">IF(tblPiNAnalysis512[[#This Row],[Highest Target]]="", "", _xlfn.TEXTJOIN(CHAR(10), TRUE, IF(tblPiNAnalysis512[[#This Row],[Highest Target]]=tblPiNAnalysis512[[#This Row],[CCCM]:[WASH]], tblPiNAnalysis512[[#Headers],[CCCM]:[WASH]], "")))</f>
        <v>CCCM
Education
Nutrition
Food Security
Health
Overarching Protection
Shelter
WASH</v>
      </c>
      <c r="AK76" s="327">
        <f>IF(tblPiNAnalysis512[[#This Row],[Highest Target]]="", "", tblPiNAnalysis512[[#This Row],[Highest Target]]/tblPiNAnalysis512[[#This Row],[Affected population projection 2026]])</f>
        <v>0</v>
      </c>
      <c r="AL76" s="328" t="str">
        <f>IF(SUM(tblPiNAnalysis512[[#This Row],[CCCM]:[WASH]])=0, "",IF(COUNTIF(tblPiNAnalysis512[[#This Row],[CCCM]:[WASH]],"=0")+COUNTIF(tblPiNAnalysis512[[#This Row],[CCCM]:[WASH]],"")&gt;=zero_pin_thresh, "Flagged", ""))</f>
        <v/>
      </c>
      <c r="AM76" s="329" t="str">
        <f>IFERROR(IF(tblPiNAnalysis512[[#This Row],[Highest Target]]="", "", IF(tblPiNAnalysis512[[#This Row],[Highest sector(s'') Target %]]&gt;=flag_pin_perc, "Flagged", "")), "")</f>
        <v/>
      </c>
      <c r="AN76" s="330" t="str" cm="1">
        <f t="array" ref="AN76">IF(tblPiNAnalysis512[[#This Row],[Highest Target]]=0, "",  IF(OR(COUNTIF(tblPiNAnalysis512[[#This Row],[Highest sector(s)]],tblSubSectorPopulation[Sector])), "Flagged", ""))</f>
        <v/>
      </c>
      <c r="AO76" s="46" cm="1">
        <f t="array" ref="AO7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6" s="331" t="str" cm="1">
        <f t="array" ref="AP76">IF(tblPiNAnalysis512[[#This Row],[2nd Highest Target]]="", "", _xlfn.TEXTJOIN(CHAR(10), TRUE, IF(tblPiNAnalysis512[[#This Row],[2nd Highest Target]]=tblPiNAnalysis512[[#This Row],[CCCM]:[WASH]], tblPiNAnalysis512[[#Headers],[CCCM]:[WASH]], "")))</f>
        <v>CCCM
Education
Nutrition
Food Security
Health
Overarching Protection
Shelter
WASH</v>
      </c>
      <c r="AQ76" s="36">
        <f>IFERROR(tblPiNAnalysis512[[#This Row],[2nd Highest Target]]/tblPiNAnalysis512[[#This Row],[Affected population projection 2026]], "")</f>
        <v>0</v>
      </c>
      <c r="AR76" s="46">
        <f>IFERROR(tblPiNAnalysis512[[#This Row],[Highest Target]]-tblPiNAnalysis512[[#This Row],[2nd Highest Target]], "")</f>
        <v>0</v>
      </c>
      <c r="AS76" s="39" t="str">
        <f>IFERROR(((tblPiNAnalysis512[[#This Row],[Highest Target]]-tblPiNAnalysis512[[#This Row],[2nd Highest Target]])/tblPiNAnalysis512[[#This Row],[2nd Highest Target]]),"")</f>
        <v/>
      </c>
      <c r="AT76" s="39" t="str" cm="1">
        <f t="array" ref="AT7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6" s="332" cm="1">
        <f t="array" ref="AU7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6" s="190" t="str" cm="1">
        <f t="array" ref="AV76">IF(tblPiNAnalysis512[[#This Row],[3rd Highest Target]]="", "", _xlfn.TEXTJOIN(CHAR(10), TRUE, IF(tblPiNAnalysis512[[#This Row],[3rd Highest Target]]=tblPiNAnalysis512[[#This Row],[CCCM]:[WASH]], tblPiNAnalysis512[[#Headers],[CCCM]:[WASH]], "")))</f>
        <v>CCCM
Education
Nutrition
Food Security
Health
Overarching Protection
Shelter
WASH</v>
      </c>
      <c r="AW76" s="190">
        <f>IFERROR(tblPiNAnalysis512[[#This Row],[3rd Highest Target]]/tblPiNAnalysis512[[#This Row],[Affected population projection 2026]], "")</f>
        <v>0</v>
      </c>
      <c r="AX76" s="45">
        <f>IFERROR(tblPiNAnalysis512[[#This Row],[Highest Target]]-tblPiNAnalysis512[[#This Row],[3rd Highest Target]],"")</f>
        <v>0</v>
      </c>
      <c r="AY76" s="39" t="str">
        <f>IFERROR(tblPiNAnalysis512[[#This Row],[Difference of Target between Highest and 3rd Highest]]/tblPiNAnalysis512[[#This Row],[3rd Highest Target]], "")</f>
        <v/>
      </c>
      <c r="AZ76" s="330" t="str" cm="1">
        <f t="array" ref="AZ7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6" s="300" t="str" cm="1">
        <f t="array" ref="BA7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6" s="333" t="str" cm="1">
        <f t="array" ref="BB7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6" s="276" t="str" cm="1">
        <f t="array" ref="BC7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6" s="334" t="str" cm="1">
        <f t="array" ref="BD7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6" s="277" t="e">
        <f>INDEX(tblSeverityAnalysis[Final Severity], MATCH(tblPiNAnalysis512[[#This Row],[ID]],tblSeverityAnalysis[ID], 0))</f>
        <v>#N/A</v>
      </c>
      <c r="BF76" s="61" t="e">
        <f>IF(tblPiNAnalysis512[[#This Row],[Severity]]&gt;2,tblPiNAnalysis512[[#This Row],[Highest Target]],)</f>
        <v>#N/A</v>
      </c>
      <c r="BG76" s="191"/>
      <c r="BH76" s="192"/>
      <c r="BI76" s="193">
        <f>COUNTIFS(tblPiNAnalysis512[[#This Row],[Number of missing / zero PiNs greater than threshold - Data quality]:[Manual Flag]],"Flagged")</f>
        <v>2</v>
      </c>
      <c r="BJ76" s="96" t="str">
        <f>IF(tblPiNAnalysis512[[#This Row],['# Flags]]&gt;0, "Flagged", "")</f>
        <v>Flagged</v>
      </c>
      <c r="BK76" s="326" t="e">
        <f>tblPiNAnalysis512[[#This Row],[Preliminary Target]]</f>
        <v>#N/A</v>
      </c>
      <c r="BL76" s="331">
        <v>5</v>
      </c>
    </row>
    <row r="77" spans="1:64" ht="110.7" x14ac:dyDescent="0.55000000000000004">
      <c r="A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7" s="316" t="s">
        <v>390</v>
      </c>
      <c r="C77" s="317" t="s">
        <v>391</v>
      </c>
      <c r="D77" s="317" t="s">
        <v>400</v>
      </c>
      <c r="E77" s="105" t="s">
        <v>401</v>
      </c>
      <c r="F77" s="100"/>
      <c r="G77" s="34"/>
      <c r="H77" s="34"/>
      <c r="I77" s="97">
        <v>1326.2143950586142</v>
      </c>
      <c r="J77" s="97" t="s">
        <v>412</v>
      </c>
      <c r="K77" s="261">
        <v>0</v>
      </c>
      <c r="L77" s="319">
        <v>0</v>
      </c>
      <c r="M77" s="319">
        <v>0</v>
      </c>
      <c r="N77" s="319">
        <v>0</v>
      </c>
      <c r="O77" s="319">
        <v>0</v>
      </c>
      <c r="P77" s="319">
        <v>0</v>
      </c>
      <c r="Q77" s="320">
        <v>0</v>
      </c>
      <c r="R77" s="319">
        <v>0</v>
      </c>
      <c r="S77" s="319"/>
      <c r="T77" s="319"/>
      <c r="U77" s="319"/>
      <c r="V77" s="319"/>
      <c r="W77" s="321">
        <f>IFERROR(IF(tblPiNAnalysis512[[#This Row],[CCCM]]="", "", MROUND(tblPiNAnalysis512[[#This Row],[CCCM]]/tblPiNAnalysis512[[#This Row],[Affected population projection 2026]], 0.05)), "")</f>
        <v>0</v>
      </c>
      <c r="X77" s="322">
        <f>IFERROR(IF(tblPiNAnalysis512[[#This Row],[Education]]="", "", MROUND(tblPiNAnalysis512[[#This Row],[Education]]/tblPiNAnalysis512[[#This Row],[Affected population projection 2026]], 0.05)), "")</f>
        <v>0</v>
      </c>
      <c r="Y77" s="322">
        <f>IFERROR(IF(tblPiNAnalysis512[[#This Row],[Nutrition]]="", "", MROUND(tblPiNAnalysis512[[#This Row],[Nutrition]]/tblPiNAnalysis512[[#This Row],[Affected population projection 2026]], 0.05)), "")</f>
        <v>0</v>
      </c>
      <c r="Z77" s="322">
        <f>IFERROR(IF(tblPiNAnalysis512[[#This Row],[Food Security]]="", "", MROUND(tblPiNAnalysis512[[#This Row],[Food Security]]/tblPiNAnalysis512[[#This Row],[Affected population projection 2026]], 0.05)), "")</f>
        <v>0</v>
      </c>
      <c r="AA77" s="322">
        <f>IFERROR(IF(tblPiNAnalysis512[[#This Row],[Health]]="", "", MROUND(tblPiNAnalysis512[[#This Row],[Health]]/tblPiNAnalysis512[[#This Row],[Affected population projection 2026]], 0.05)), "")</f>
        <v>0</v>
      </c>
      <c r="AB77" s="323">
        <f>IFERROR(IF(tblPiNAnalysis512[[#This Row],[Overarching Protection]]="", "", MROUND(tblPiNAnalysis512[[#This Row],[Overarching Protection]]/tblPiNAnalysis512[[#This Row],[Affected population projection 2026]], 0.05)), "")</f>
        <v>0</v>
      </c>
      <c r="AC77" s="323">
        <f>IFERROR(IF(tblPiNAnalysis512[[#This Row],[Shelter]]="", "", MROUND(tblPiNAnalysis512[[#This Row],[Shelter]]/tblPiNAnalysis512[[#This Row],[Affected population projection 2026]], 0.05)), "")</f>
        <v>0</v>
      </c>
      <c r="AD77" s="324">
        <f>IFERROR(IF(tblPiNAnalysis512[[#This Row],[WASH]]="", "", MROUND(tblPiNAnalysis512[[#This Row],[WASH]]/tblPiNAnalysis512[[#This Row],[Affected population projection 2026]], 0.05)), "")</f>
        <v>0</v>
      </c>
      <c r="AE77" s="322">
        <f>IFERROR(MROUND(tblPiNAnalysis512[[#This Row],[CP]]/tblPiNAnalysis512[[#This Row],[Affected population projection 2026]], 0.05), "")</f>
        <v>0</v>
      </c>
      <c r="AF77" s="322">
        <f>IFERROR(MROUND(tblPiNAnalysis512[[#This Row],[GBV]]/tblPiNAnalysis512[[#This Row],[Affected population projection 2026]], 0.05), "")</f>
        <v>0</v>
      </c>
      <c r="AG77" s="322">
        <f>IFERROR(MROUND(tblPiNAnalysis512[[#This Row],[Mine Action]]/tblPiNAnalysis512[[#This Row],[Affected population projection 2026]], 0.05), "")</f>
        <v>0</v>
      </c>
      <c r="AH77" s="322">
        <f>IFERROR(MROUND(tblPiNAnalysis512[[#This Row],[HLP]]/tblPiNAnalysis512[[#This Row],[Affected population projection 2026]], 0.05), "")</f>
        <v>0</v>
      </c>
      <c r="AI77" s="325">
        <f>IFERROR(LARGE(tblPiNAnalysis512[[#This Row],[CCCM]:[WASH]], 1), "")</f>
        <v>0</v>
      </c>
      <c r="AJ77" s="326" t="str" cm="1">
        <f t="array" ref="AJ77">IF(tblPiNAnalysis512[[#This Row],[Highest Target]]="", "", _xlfn.TEXTJOIN(CHAR(10), TRUE, IF(tblPiNAnalysis512[[#This Row],[Highest Target]]=tblPiNAnalysis512[[#This Row],[CCCM]:[WASH]], tblPiNAnalysis512[[#Headers],[CCCM]:[WASH]], "")))</f>
        <v>CCCM
Education
Nutrition
Food Security
Health
Overarching Protection
Shelter
WASH</v>
      </c>
      <c r="AK77" s="327">
        <f>IF(tblPiNAnalysis512[[#This Row],[Highest Target]]="", "", tblPiNAnalysis512[[#This Row],[Highest Target]]/tblPiNAnalysis512[[#This Row],[Affected population projection 2026]])</f>
        <v>0</v>
      </c>
      <c r="AL77" s="328" t="str">
        <f>IF(SUM(tblPiNAnalysis512[[#This Row],[CCCM]:[WASH]])=0, "",IF(COUNTIF(tblPiNAnalysis512[[#This Row],[CCCM]:[WASH]],"=0")+COUNTIF(tblPiNAnalysis512[[#This Row],[CCCM]:[WASH]],"")&gt;=zero_pin_thresh, "Flagged", ""))</f>
        <v/>
      </c>
      <c r="AM77" s="329" t="str">
        <f>IFERROR(IF(tblPiNAnalysis512[[#This Row],[Highest Target]]="", "", IF(tblPiNAnalysis512[[#This Row],[Highest sector(s'') Target %]]&gt;=flag_pin_perc, "Flagged", "")), "")</f>
        <v/>
      </c>
      <c r="AN77" s="330" t="str" cm="1">
        <f t="array" ref="AN77">IF(tblPiNAnalysis512[[#This Row],[Highest Target]]=0, "",  IF(OR(COUNTIF(tblPiNAnalysis512[[#This Row],[Highest sector(s)]],tblSubSectorPopulation[Sector])), "Flagged", ""))</f>
        <v/>
      </c>
      <c r="AO77" s="46" cm="1">
        <f t="array" ref="AO7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7" s="331" t="str" cm="1">
        <f t="array" ref="AP77">IF(tblPiNAnalysis512[[#This Row],[2nd Highest Target]]="", "", _xlfn.TEXTJOIN(CHAR(10), TRUE, IF(tblPiNAnalysis512[[#This Row],[2nd Highest Target]]=tblPiNAnalysis512[[#This Row],[CCCM]:[WASH]], tblPiNAnalysis512[[#Headers],[CCCM]:[WASH]], "")))</f>
        <v>CCCM
Education
Nutrition
Food Security
Health
Overarching Protection
Shelter
WASH</v>
      </c>
      <c r="AQ77" s="36">
        <f>IFERROR(tblPiNAnalysis512[[#This Row],[2nd Highest Target]]/tblPiNAnalysis512[[#This Row],[Affected population projection 2026]], "")</f>
        <v>0</v>
      </c>
      <c r="AR77" s="46">
        <f>IFERROR(tblPiNAnalysis512[[#This Row],[Highest Target]]-tblPiNAnalysis512[[#This Row],[2nd Highest Target]], "")</f>
        <v>0</v>
      </c>
      <c r="AS77" s="39" t="str">
        <f>IFERROR(((tblPiNAnalysis512[[#This Row],[Highest Target]]-tblPiNAnalysis512[[#This Row],[2nd Highest Target]])/tblPiNAnalysis512[[#This Row],[2nd Highest Target]]),"")</f>
        <v/>
      </c>
      <c r="AT77" s="39" t="str" cm="1">
        <f t="array" ref="AT7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7" s="332" cm="1">
        <f t="array" ref="AU7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7" s="190" t="str" cm="1">
        <f t="array" ref="AV77">IF(tblPiNAnalysis512[[#This Row],[3rd Highest Target]]="", "", _xlfn.TEXTJOIN(CHAR(10), TRUE, IF(tblPiNAnalysis512[[#This Row],[3rd Highest Target]]=tblPiNAnalysis512[[#This Row],[CCCM]:[WASH]], tblPiNAnalysis512[[#Headers],[CCCM]:[WASH]], "")))</f>
        <v>CCCM
Education
Nutrition
Food Security
Health
Overarching Protection
Shelter
WASH</v>
      </c>
      <c r="AW77" s="190">
        <f>IFERROR(tblPiNAnalysis512[[#This Row],[3rd Highest Target]]/tblPiNAnalysis512[[#This Row],[Affected population projection 2026]], "")</f>
        <v>0</v>
      </c>
      <c r="AX77" s="45">
        <f>IFERROR(tblPiNAnalysis512[[#This Row],[Highest Target]]-tblPiNAnalysis512[[#This Row],[3rd Highest Target]],"")</f>
        <v>0</v>
      </c>
      <c r="AY77" s="39" t="str">
        <f>IFERROR(tblPiNAnalysis512[[#This Row],[Difference of Target between Highest and 3rd Highest]]/tblPiNAnalysis512[[#This Row],[3rd Highest Target]], "")</f>
        <v/>
      </c>
      <c r="AZ77" s="330" t="str" cm="1">
        <f t="array" ref="AZ7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7" s="300" t="str" cm="1">
        <f t="array" ref="BA7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7" s="333" t="str" cm="1">
        <f t="array" ref="BB7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7" s="276" t="str" cm="1">
        <f t="array" ref="BC7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7" s="334" t="str" cm="1">
        <f t="array" ref="BD7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7" s="277" t="e">
        <f>INDEX(tblSeverityAnalysis[Final Severity], MATCH(tblPiNAnalysis512[[#This Row],[ID]],tblSeverityAnalysis[ID], 0))</f>
        <v>#N/A</v>
      </c>
      <c r="BF77" s="61" t="e">
        <f>IF(tblPiNAnalysis512[[#This Row],[Severity]]&gt;2,tblPiNAnalysis512[[#This Row],[Highest Target]],)</f>
        <v>#N/A</v>
      </c>
      <c r="BG77" s="191"/>
      <c r="BH77" s="192"/>
      <c r="BI77" s="193">
        <f>COUNTIFS(tblPiNAnalysis512[[#This Row],[Number of missing / zero PiNs greater than threshold - Data quality]:[Manual Flag]],"Flagged")</f>
        <v>2</v>
      </c>
      <c r="BJ77" s="96" t="str">
        <f>IF(tblPiNAnalysis512[[#This Row],['# Flags]]&gt;0, "Flagged", "")</f>
        <v>Flagged</v>
      </c>
      <c r="BK77" s="326" t="e">
        <f>tblPiNAnalysis512[[#This Row],[Preliminary Target]]</f>
        <v>#N/A</v>
      </c>
      <c r="BL77" s="331">
        <v>5</v>
      </c>
    </row>
    <row r="78" spans="1:64" ht="110.7" x14ac:dyDescent="0.55000000000000004">
      <c r="A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8" s="316" t="s">
        <v>390</v>
      </c>
      <c r="C78" s="317" t="s">
        <v>391</v>
      </c>
      <c r="D78" s="317" t="s">
        <v>402</v>
      </c>
      <c r="E78" s="105" t="s">
        <v>403</v>
      </c>
      <c r="F78" s="100"/>
      <c r="G78" s="34"/>
      <c r="H78" s="34"/>
      <c r="I78" s="97">
        <v>0</v>
      </c>
      <c r="J78" s="97" t="s">
        <v>412</v>
      </c>
      <c r="K78" s="261">
        <v>0</v>
      </c>
      <c r="L78" s="319">
        <v>0</v>
      </c>
      <c r="M78" s="319">
        <v>0</v>
      </c>
      <c r="N78" s="319">
        <v>0</v>
      </c>
      <c r="O78" s="319">
        <v>0</v>
      </c>
      <c r="P78" s="319">
        <v>0</v>
      </c>
      <c r="Q78" s="320">
        <v>0</v>
      </c>
      <c r="R78" s="319">
        <v>0</v>
      </c>
      <c r="S78" s="319"/>
      <c r="T78" s="319"/>
      <c r="U78" s="319"/>
      <c r="V78" s="319"/>
      <c r="W78" s="321" t="str">
        <f>IFERROR(IF(tblPiNAnalysis512[[#This Row],[CCCM]]="", "", MROUND(tblPiNAnalysis512[[#This Row],[CCCM]]/tblPiNAnalysis512[[#This Row],[Affected population projection 2026]], 0.05)), "")</f>
        <v/>
      </c>
      <c r="X78" s="322" t="str">
        <f>IFERROR(IF(tblPiNAnalysis512[[#This Row],[Education]]="", "", MROUND(tblPiNAnalysis512[[#This Row],[Education]]/tblPiNAnalysis512[[#This Row],[Affected population projection 2026]], 0.05)), "")</f>
        <v/>
      </c>
      <c r="Y78" s="322" t="str">
        <f>IFERROR(IF(tblPiNAnalysis512[[#This Row],[Nutrition]]="", "", MROUND(tblPiNAnalysis512[[#This Row],[Nutrition]]/tblPiNAnalysis512[[#This Row],[Affected population projection 2026]], 0.05)), "")</f>
        <v/>
      </c>
      <c r="Z78" s="322" t="str">
        <f>IFERROR(IF(tblPiNAnalysis512[[#This Row],[Food Security]]="", "", MROUND(tblPiNAnalysis512[[#This Row],[Food Security]]/tblPiNAnalysis512[[#This Row],[Affected population projection 2026]], 0.05)), "")</f>
        <v/>
      </c>
      <c r="AA78" s="322" t="str">
        <f>IFERROR(IF(tblPiNAnalysis512[[#This Row],[Health]]="", "", MROUND(tblPiNAnalysis512[[#This Row],[Health]]/tblPiNAnalysis512[[#This Row],[Affected population projection 2026]], 0.05)), "")</f>
        <v/>
      </c>
      <c r="AB78" s="323" t="str">
        <f>IFERROR(IF(tblPiNAnalysis512[[#This Row],[Overarching Protection]]="", "", MROUND(tblPiNAnalysis512[[#This Row],[Overarching Protection]]/tblPiNAnalysis512[[#This Row],[Affected population projection 2026]], 0.05)), "")</f>
        <v/>
      </c>
      <c r="AC78" s="323" t="str">
        <f>IFERROR(IF(tblPiNAnalysis512[[#This Row],[Shelter]]="", "", MROUND(tblPiNAnalysis512[[#This Row],[Shelter]]/tblPiNAnalysis512[[#This Row],[Affected population projection 2026]], 0.05)), "")</f>
        <v/>
      </c>
      <c r="AD78" s="324" t="str">
        <f>IFERROR(IF(tblPiNAnalysis512[[#This Row],[WASH]]="", "", MROUND(tblPiNAnalysis512[[#This Row],[WASH]]/tblPiNAnalysis512[[#This Row],[Affected population projection 2026]], 0.05)), "")</f>
        <v/>
      </c>
      <c r="AE78" s="322" t="str">
        <f>IFERROR(MROUND(tblPiNAnalysis512[[#This Row],[CP]]/tblPiNAnalysis512[[#This Row],[Affected population projection 2026]], 0.05), "")</f>
        <v/>
      </c>
      <c r="AF78" s="322" t="str">
        <f>IFERROR(MROUND(tblPiNAnalysis512[[#This Row],[GBV]]/tblPiNAnalysis512[[#This Row],[Affected population projection 2026]], 0.05), "")</f>
        <v/>
      </c>
      <c r="AG78" s="322" t="str">
        <f>IFERROR(MROUND(tblPiNAnalysis512[[#This Row],[Mine Action]]/tblPiNAnalysis512[[#This Row],[Affected population projection 2026]], 0.05), "")</f>
        <v/>
      </c>
      <c r="AH78" s="322" t="str">
        <f>IFERROR(MROUND(tblPiNAnalysis512[[#This Row],[HLP]]/tblPiNAnalysis512[[#This Row],[Affected population projection 2026]], 0.05), "")</f>
        <v/>
      </c>
      <c r="AI78" s="325">
        <f>IFERROR(LARGE(tblPiNAnalysis512[[#This Row],[CCCM]:[WASH]], 1), "")</f>
        <v>0</v>
      </c>
      <c r="AJ78" s="326" t="str" cm="1">
        <f t="array" ref="AJ78">IF(tblPiNAnalysis512[[#This Row],[Highest Target]]="", "", _xlfn.TEXTJOIN(CHAR(10), TRUE, IF(tblPiNAnalysis512[[#This Row],[Highest Target]]=tblPiNAnalysis512[[#This Row],[CCCM]:[WASH]], tblPiNAnalysis512[[#Headers],[CCCM]:[WASH]], "")))</f>
        <v>CCCM
Education
Nutrition
Food Security
Health
Overarching Protection
Shelter
WASH</v>
      </c>
      <c r="AK78" s="327" t="e">
        <f>IF(tblPiNAnalysis512[[#This Row],[Highest Target]]="", "", tblPiNAnalysis512[[#This Row],[Highest Target]]/tblPiNAnalysis512[[#This Row],[Affected population projection 2026]])</f>
        <v>#DIV/0!</v>
      </c>
      <c r="AL78" s="328" t="str">
        <f>IF(SUM(tblPiNAnalysis512[[#This Row],[CCCM]:[WASH]])=0, "",IF(COUNTIF(tblPiNAnalysis512[[#This Row],[CCCM]:[WASH]],"=0")+COUNTIF(tblPiNAnalysis512[[#This Row],[CCCM]:[WASH]],"")&gt;=zero_pin_thresh, "Flagged", ""))</f>
        <v/>
      </c>
      <c r="AM78" s="329" t="str">
        <f>IFERROR(IF(tblPiNAnalysis512[[#This Row],[Highest Target]]="", "", IF(tblPiNAnalysis512[[#This Row],[Highest sector(s'') Target %]]&gt;=flag_pin_perc, "Flagged", "")), "")</f>
        <v/>
      </c>
      <c r="AN78" s="330" t="str" cm="1">
        <f t="array" ref="AN78">IF(tblPiNAnalysis512[[#This Row],[Highest Target]]=0, "",  IF(OR(COUNTIF(tblPiNAnalysis512[[#This Row],[Highest sector(s)]],tblSubSectorPopulation[Sector])), "Flagged", ""))</f>
        <v/>
      </c>
      <c r="AO78" s="46" cm="1">
        <f t="array" ref="AO7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78" s="331" t="str" cm="1">
        <f t="array" ref="AP78">IF(tblPiNAnalysis512[[#This Row],[2nd Highest Target]]="", "", _xlfn.TEXTJOIN(CHAR(10), TRUE, IF(tblPiNAnalysis512[[#This Row],[2nd Highest Target]]=tblPiNAnalysis512[[#This Row],[CCCM]:[WASH]], tblPiNAnalysis512[[#Headers],[CCCM]:[WASH]], "")))</f>
        <v>CCCM
Education
Nutrition
Food Security
Health
Overarching Protection
Shelter
WASH</v>
      </c>
      <c r="AQ78" s="36" t="str">
        <f>IFERROR(tblPiNAnalysis512[[#This Row],[2nd Highest Target]]/tblPiNAnalysis512[[#This Row],[Affected population projection 2026]], "")</f>
        <v/>
      </c>
      <c r="AR78" s="46">
        <f>IFERROR(tblPiNAnalysis512[[#This Row],[Highest Target]]-tblPiNAnalysis512[[#This Row],[2nd Highest Target]], "")</f>
        <v>0</v>
      </c>
      <c r="AS78" s="39" t="str">
        <f>IFERROR(((tblPiNAnalysis512[[#This Row],[Highest Target]]-tblPiNAnalysis512[[#This Row],[2nd Highest Target]])/tblPiNAnalysis512[[#This Row],[2nd Highest Target]]),"")</f>
        <v/>
      </c>
      <c r="AT78" s="39" t="str" cm="1">
        <f t="array" ref="AT7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8" s="332" cm="1">
        <f t="array" ref="AU7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78" s="190" t="str" cm="1">
        <f t="array" ref="AV78">IF(tblPiNAnalysis512[[#This Row],[3rd Highest Target]]="", "", _xlfn.TEXTJOIN(CHAR(10), TRUE, IF(tblPiNAnalysis512[[#This Row],[3rd Highest Target]]=tblPiNAnalysis512[[#This Row],[CCCM]:[WASH]], tblPiNAnalysis512[[#Headers],[CCCM]:[WASH]], "")))</f>
        <v>CCCM
Education
Nutrition
Food Security
Health
Overarching Protection
Shelter
WASH</v>
      </c>
      <c r="AW78" s="190" t="str">
        <f>IFERROR(tblPiNAnalysis512[[#This Row],[3rd Highest Target]]/tblPiNAnalysis512[[#This Row],[Affected population projection 2026]], "")</f>
        <v/>
      </c>
      <c r="AX78" s="45">
        <f>IFERROR(tblPiNAnalysis512[[#This Row],[Highest Target]]-tblPiNAnalysis512[[#This Row],[3rd Highest Target]],"")</f>
        <v>0</v>
      </c>
      <c r="AY78" s="39" t="str">
        <f>IFERROR(tblPiNAnalysis512[[#This Row],[Difference of Target between Highest and 3rd Highest]]/tblPiNAnalysis512[[#This Row],[3rd Highest Target]], "")</f>
        <v/>
      </c>
      <c r="AZ78" s="330" t="str" cm="1">
        <f t="array" ref="AZ7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8" s="300" t="str" cm="1">
        <f t="array" ref="BA7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8" s="333" t="str" cm="1">
        <f t="array" ref="BB7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8" s="276" t="str" cm="1">
        <f t="array" ref="BC7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8" s="334" t="str" cm="1">
        <f t="array" ref="BD7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78" s="277" t="e">
        <f>INDEX(tblSeverityAnalysis[Final Severity], MATCH(tblPiNAnalysis512[[#This Row],[ID]],tblSeverityAnalysis[ID], 0))</f>
        <v>#N/A</v>
      </c>
      <c r="BF78" s="61" t="e">
        <f>IF(tblPiNAnalysis512[[#This Row],[Severity]]&gt;2,tblPiNAnalysis512[[#This Row],[Highest Target]],)</f>
        <v>#N/A</v>
      </c>
      <c r="BG78" s="191"/>
      <c r="BH78" s="192"/>
      <c r="BI78" s="193">
        <f>COUNTIFS(tblPiNAnalysis512[[#This Row],[Number of missing / zero PiNs greater than threshold - Data quality]:[Manual Flag]],"Flagged")</f>
        <v>2</v>
      </c>
      <c r="BJ78" s="96" t="str">
        <f>IF(tblPiNAnalysis512[[#This Row],['# Flags]]&gt;0, "Flagged", "")</f>
        <v>Flagged</v>
      </c>
      <c r="BK78" s="326" t="e">
        <f>tblPiNAnalysis512[[#This Row],[Preliminary Target]]</f>
        <v>#N/A</v>
      </c>
      <c r="BL78" s="331">
        <v>5</v>
      </c>
    </row>
    <row r="79" spans="1:64" x14ac:dyDescent="0.55000000000000004">
      <c r="A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9" s="316" t="s">
        <v>390</v>
      </c>
      <c r="C79" s="317" t="s">
        <v>391</v>
      </c>
      <c r="D79" s="317" t="s">
        <v>404</v>
      </c>
      <c r="E79" s="105" t="s">
        <v>405</v>
      </c>
      <c r="F79" s="100"/>
      <c r="G79" s="34"/>
      <c r="H79" s="34"/>
      <c r="I79" s="97">
        <v>36534.526328235108</v>
      </c>
      <c r="J79" s="97" t="s">
        <v>412</v>
      </c>
      <c r="K79" s="261">
        <v>3510</v>
      </c>
      <c r="L79" s="319">
        <v>1916.1336092422125</v>
      </c>
      <c r="M79" s="319">
        <v>6836.870387112871</v>
      </c>
      <c r="N79" s="319">
        <v>10717.118264456685</v>
      </c>
      <c r="O79" s="319">
        <v>13828.875993010917</v>
      </c>
      <c r="P79" s="319">
        <v>11971.050628910942</v>
      </c>
      <c r="Q79" s="320">
        <v>6850.2236865440827</v>
      </c>
      <c r="R79" s="319">
        <v>10035.718651891744</v>
      </c>
      <c r="S79" s="319"/>
      <c r="T79" s="319"/>
      <c r="U79" s="319"/>
      <c r="V79" s="319"/>
      <c r="W79" s="321">
        <f>IFERROR(IF(tblPiNAnalysis512[[#This Row],[CCCM]]="", "", MROUND(tblPiNAnalysis512[[#This Row],[CCCM]]/tblPiNAnalysis512[[#This Row],[Affected population projection 2026]], 0.05)), "")</f>
        <v>0.1</v>
      </c>
      <c r="X79" s="322">
        <f>IFERROR(IF(tblPiNAnalysis512[[#This Row],[Education]]="", "", MROUND(tblPiNAnalysis512[[#This Row],[Education]]/tblPiNAnalysis512[[#This Row],[Affected population projection 2026]], 0.05)), "")</f>
        <v>0.05</v>
      </c>
      <c r="Y79" s="322">
        <f>IFERROR(IF(tblPiNAnalysis512[[#This Row],[Nutrition]]="", "", MROUND(tblPiNAnalysis512[[#This Row],[Nutrition]]/tblPiNAnalysis512[[#This Row],[Affected population projection 2026]], 0.05)), "")</f>
        <v>0.2</v>
      </c>
      <c r="Z79" s="322">
        <f>IFERROR(IF(tblPiNAnalysis512[[#This Row],[Food Security]]="", "", MROUND(tblPiNAnalysis512[[#This Row],[Food Security]]/tblPiNAnalysis512[[#This Row],[Affected population projection 2026]], 0.05)), "")</f>
        <v>0.30000000000000004</v>
      </c>
      <c r="AA79" s="322">
        <f>IFERROR(IF(tblPiNAnalysis512[[#This Row],[Health]]="", "", MROUND(tblPiNAnalysis512[[#This Row],[Health]]/tblPiNAnalysis512[[#This Row],[Affected population projection 2026]], 0.05)), "")</f>
        <v>0.4</v>
      </c>
      <c r="AB79" s="323">
        <f>IFERROR(IF(tblPiNAnalysis512[[#This Row],[Overarching Protection]]="", "", MROUND(tblPiNAnalysis512[[#This Row],[Overarching Protection]]/tblPiNAnalysis512[[#This Row],[Affected population projection 2026]], 0.05)), "")</f>
        <v>0.35000000000000003</v>
      </c>
      <c r="AC79" s="323">
        <f>IFERROR(IF(tblPiNAnalysis512[[#This Row],[Shelter]]="", "", MROUND(tblPiNAnalysis512[[#This Row],[Shelter]]/tblPiNAnalysis512[[#This Row],[Affected population projection 2026]], 0.05)), "")</f>
        <v>0.2</v>
      </c>
      <c r="AD79" s="324">
        <f>IFERROR(IF(tblPiNAnalysis512[[#This Row],[WASH]]="", "", MROUND(tblPiNAnalysis512[[#This Row],[WASH]]/tblPiNAnalysis512[[#This Row],[Affected population projection 2026]], 0.05)), "")</f>
        <v>0.25</v>
      </c>
      <c r="AE79" s="322">
        <f>IFERROR(MROUND(tblPiNAnalysis512[[#This Row],[CP]]/tblPiNAnalysis512[[#This Row],[Affected population projection 2026]], 0.05), "")</f>
        <v>0</v>
      </c>
      <c r="AF79" s="322">
        <f>IFERROR(MROUND(tblPiNAnalysis512[[#This Row],[GBV]]/tblPiNAnalysis512[[#This Row],[Affected population projection 2026]], 0.05), "")</f>
        <v>0</v>
      </c>
      <c r="AG79" s="322">
        <f>IFERROR(MROUND(tblPiNAnalysis512[[#This Row],[Mine Action]]/tblPiNAnalysis512[[#This Row],[Affected population projection 2026]], 0.05), "")</f>
        <v>0</v>
      </c>
      <c r="AH79" s="322">
        <f>IFERROR(MROUND(tblPiNAnalysis512[[#This Row],[HLP]]/tblPiNAnalysis512[[#This Row],[Affected population projection 2026]], 0.05), "")</f>
        <v>0</v>
      </c>
      <c r="AI79" s="325">
        <f>IFERROR(LARGE(tblPiNAnalysis512[[#This Row],[CCCM]:[WASH]], 1), "")</f>
        <v>13828.875993010917</v>
      </c>
      <c r="AJ79" s="326" t="str" cm="1">
        <f t="array" ref="AJ79">IF(tblPiNAnalysis512[[#This Row],[Highest Target]]="", "", _xlfn.TEXTJOIN(CHAR(10), TRUE, IF(tblPiNAnalysis512[[#This Row],[Highest Target]]=tblPiNAnalysis512[[#This Row],[CCCM]:[WASH]], tblPiNAnalysis512[[#Headers],[CCCM]:[WASH]], "")))</f>
        <v>Health</v>
      </c>
      <c r="AK79" s="327">
        <f>IF(tblPiNAnalysis512[[#This Row],[Highest Target]]="", "", tblPiNAnalysis512[[#This Row],[Highest Target]]/tblPiNAnalysis512[[#This Row],[Affected population projection 2026]])</f>
        <v>0.37851526714124928</v>
      </c>
      <c r="AL79" s="328" t="str">
        <f>IF(SUM(tblPiNAnalysis512[[#This Row],[CCCM]:[WASH]])=0, "",IF(COUNTIF(tblPiNAnalysis512[[#This Row],[CCCM]:[WASH]],"=0")+COUNTIF(tblPiNAnalysis512[[#This Row],[CCCM]:[WASH]],"")&gt;=zero_pin_thresh, "Flagged", ""))</f>
        <v/>
      </c>
      <c r="AM79" s="329" t="str">
        <f>IFERROR(IF(tblPiNAnalysis512[[#This Row],[Highest Target]]="", "", IF(tblPiNAnalysis512[[#This Row],[Highest sector(s'') Target %]]&gt;=flag_pin_perc, "Flagged", "")), "")</f>
        <v/>
      </c>
      <c r="AN79" s="330" t="str" cm="1">
        <f t="array" ref="AN79">IF(tblPiNAnalysis512[[#This Row],[Highest Target]]=0, "",  IF(OR(COUNTIF(tblPiNAnalysis512[[#This Row],[Highest sector(s)]],tblSubSectorPopulation[Sector])), "Flagged", ""))</f>
        <v/>
      </c>
      <c r="AO79" s="46" cm="1">
        <f t="array" ref="AO7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11971.050628910942</v>
      </c>
      <c r="AP79" s="331" t="str" cm="1">
        <f t="array" ref="AP79">IF(tblPiNAnalysis512[[#This Row],[2nd Highest Target]]="", "", _xlfn.TEXTJOIN(CHAR(10), TRUE, IF(tblPiNAnalysis512[[#This Row],[2nd Highest Target]]=tblPiNAnalysis512[[#This Row],[CCCM]:[WASH]], tblPiNAnalysis512[[#Headers],[CCCM]:[WASH]], "")))</f>
        <v>Overarching Protection</v>
      </c>
      <c r="AQ79" s="36">
        <f>IFERROR(tblPiNAnalysis512[[#This Row],[2nd Highest Target]]/tblPiNAnalysis512[[#This Row],[Affected population projection 2026]], "")</f>
        <v>0.32766404363259288</v>
      </c>
      <c r="AR79" s="46">
        <f>IFERROR(tblPiNAnalysis512[[#This Row],[Highest Target]]-tblPiNAnalysis512[[#This Row],[2nd Highest Target]], "")</f>
        <v>1857.8253640999756</v>
      </c>
      <c r="AS79" s="39">
        <f>IFERROR(((tblPiNAnalysis512[[#This Row],[Highest Target]]-tblPiNAnalysis512[[#This Row],[2nd Highest Target]])/tblPiNAnalysis512[[#This Row],[2nd Highest Target]]),"")</f>
        <v>0.15519317574459127</v>
      </c>
      <c r="AT79" s="39" t="str" cm="1">
        <f t="array" ref="AT7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79" s="332" cm="1">
        <f t="array" ref="AU7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10717.118264456685</v>
      </c>
      <c r="AV79" s="190" t="str" cm="1">
        <f t="array" ref="AV79">IF(tblPiNAnalysis512[[#This Row],[3rd Highest Target]]="", "", _xlfn.TEXTJOIN(CHAR(10), TRUE, IF(tblPiNAnalysis512[[#This Row],[3rd Highest Target]]=tblPiNAnalysis512[[#This Row],[CCCM]:[WASH]], tblPiNAnalysis512[[#Headers],[CCCM]:[WASH]], "")))</f>
        <v>Food Security</v>
      </c>
      <c r="AW79" s="190">
        <f>IFERROR(tblPiNAnalysis512[[#This Row],[3rd Highest Target]]/tblPiNAnalysis512[[#This Row],[Affected population projection 2026]], "")</f>
        <v>0.29334219823110547</v>
      </c>
      <c r="AX79" s="45">
        <f>IFERROR(tblPiNAnalysis512[[#This Row],[Highest Target]]-tblPiNAnalysis512[[#This Row],[3rd Highest Target]],"")</f>
        <v>3111.757728554232</v>
      </c>
      <c r="AY79" s="39">
        <f>IFERROR(tblPiNAnalysis512[[#This Row],[Difference of Target between Highest and 3rd Highest]]/tblPiNAnalysis512[[#This Row],[3rd Highest Target]], "")</f>
        <v>0.29035396006353448</v>
      </c>
      <c r="AZ79" s="330" t="str" cm="1">
        <f t="array" ref="AZ7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79" s="300" t="str" cm="1">
        <f t="array" ref="BA7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79" s="333" t="str" cm="1">
        <f t="array" ref="BB7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79" s="276" t="str" cm="1">
        <f t="array" ref="BC7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79" s="334" t="str" cm="1">
        <f t="array" ref="BD7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79" s="277" t="e">
        <f>INDEX(tblSeverityAnalysis[Final Severity], MATCH(tblPiNAnalysis512[[#This Row],[ID]],tblSeverityAnalysis[ID], 0))</f>
        <v>#N/A</v>
      </c>
      <c r="BF79" s="61" t="e">
        <f>IF(tblPiNAnalysis512[[#This Row],[Severity]]&gt;2,tblPiNAnalysis512[[#This Row],[Highest Target]],)</f>
        <v>#N/A</v>
      </c>
      <c r="BG79" s="191"/>
      <c r="BH79" s="192"/>
      <c r="BI79" s="193">
        <f>COUNTIFS(tblPiNAnalysis512[[#This Row],[Number of missing / zero PiNs greater than threshold - Data quality]:[Manual Flag]],"Flagged")</f>
        <v>1</v>
      </c>
      <c r="BJ79" s="96" t="str">
        <f>IF(tblPiNAnalysis512[[#This Row],['# Flags]]&gt;0, "Flagged", "")</f>
        <v>Flagged</v>
      </c>
      <c r="BK79" s="326" t="e">
        <f>tblPiNAnalysis512[[#This Row],[Preliminary Target]]</f>
        <v>#N/A</v>
      </c>
      <c r="BL79" s="331">
        <v>2</v>
      </c>
    </row>
    <row r="80" spans="1:64" ht="110.7" x14ac:dyDescent="0.55000000000000004">
      <c r="A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0" s="316" t="s">
        <v>390</v>
      </c>
      <c r="C80" s="317" t="s">
        <v>391</v>
      </c>
      <c r="D80" s="317" t="s">
        <v>406</v>
      </c>
      <c r="E80" s="105" t="s">
        <v>407</v>
      </c>
      <c r="F80" s="100"/>
      <c r="G80" s="34"/>
      <c r="H80" s="34"/>
      <c r="I80" s="97">
        <v>2761.8509896481692</v>
      </c>
      <c r="J80" s="97" t="s">
        <v>412</v>
      </c>
      <c r="K80" s="261">
        <v>0</v>
      </c>
      <c r="L80" s="319">
        <v>0</v>
      </c>
      <c r="M80" s="319">
        <v>0</v>
      </c>
      <c r="N80" s="319">
        <v>0</v>
      </c>
      <c r="O80" s="319">
        <v>0</v>
      </c>
      <c r="P80" s="319">
        <v>0</v>
      </c>
      <c r="Q80" s="320">
        <v>0</v>
      </c>
      <c r="R80" s="319">
        <v>0</v>
      </c>
      <c r="S80" s="319"/>
      <c r="T80" s="319"/>
      <c r="U80" s="319"/>
      <c r="V80" s="319"/>
      <c r="W80" s="321">
        <f>IFERROR(IF(tblPiNAnalysis512[[#This Row],[CCCM]]="", "", MROUND(tblPiNAnalysis512[[#This Row],[CCCM]]/tblPiNAnalysis512[[#This Row],[Affected population projection 2026]], 0.05)), "")</f>
        <v>0</v>
      </c>
      <c r="X80" s="322">
        <f>IFERROR(IF(tblPiNAnalysis512[[#This Row],[Education]]="", "", MROUND(tblPiNAnalysis512[[#This Row],[Education]]/tblPiNAnalysis512[[#This Row],[Affected population projection 2026]], 0.05)), "")</f>
        <v>0</v>
      </c>
      <c r="Y80" s="322">
        <f>IFERROR(IF(tblPiNAnalysis512[[#This Row],[Nutrition]]="", "", MROUND(tblPiNAnalysis512[[#This Row],[Nutrition]]/tblPiNAnalysis512[[#This Row],[Affected population projection 2026]], 0.05)), "")</f>
        <v>0</v>
      </c>
      <c r="Z80" s="322">
        <f>IFERROR(IF(tblPiNAnalysis512[[#This Row],[Food Security]]="", "", MROUND(tblPiNAnalysis512[[#This Row],[Food Security]]/tblPiNAnalysis512[[#This Row],[Affected population projection 2026]], 0.05)), "")</f>
        <v>0</v>
      </c>
      <c r="AA80" s="322">
        <f>IFERROR(IF(tblPiNAnalysis512[[#This Row],[Health]]="", "", MROUND(tblPiNAnalysis512[[#This Row],[Health]]/tblPiNAnalysis512[[#This Row],[Affected population projection 2026]], 0.05)), "")</f>
        <v>0</v>
      </c>
      <c r="AB80" s="323">
        <f>IFERROR(IF(tblPiNAnalysis512[[#This Row],[Overarching Protection]]="", "", MROUND(tblPiNAnalysis512[[#This Row],[Overarching Protection]]/tblPiNAnalysis512[[#This Row],[Affected population projection 2026]], 0.05)), "")</f>
        <v>0</v>
      </c>
      <c r="AC80" s="323">
        <f>IFERROR(IF(tblPiNAnalysis512[[#This Row],[Shelter]]="", "", MROUND(tblPiNAnalysis512[[#This Row],[Shelter]]/tblPiNAnalysis512[[#This Row],[Affected population projection 2026]], 0.05)), "")</f>
        <v>0</v>
      </c>
      <c r="AD80" s="324">
        <f>IFERROR(IF(tblPiNAnalysis512[[#This Row],[WASH]]="", "", MROUND(tblPiNAnalysis512[[#This Row],[WASH]]/tblPiNAnalysis512[[#This Row],[Affected population projection 2026]], 0.05)), "")</f>
        <v>0</v>
      </c>
      <c r="AE80" s="322">
        <f>IFERROR(MROUND(tblPiNAnalysis512[[#This Row],[CP]]/tblPiNAnalysis512[[#This Row],[Affected population projection 2026]], 0.05), "")</f>
        <v>0</v>
      </c>
      <c r="AF80" s="322">
        <f>IFERROR(MROUND(tblPiNAnalysis512[[#This Row],[GBV]]/tblPiNAnalysis512[[#This Row],[Affected population projection 2026]], 0.05), "")</f>
        <v>0</v>
      </c>
      <c r="AG80" s="322">
        <f>IFERROR(MROUND(tblPiNAnalysis512[[#This Row],[Mine Action]]/tblPiNAnalysis512[[#This Row],[Affected population projection 2026]], 0.05), "")</f>
        <v>0</v>
      </c>
      <c r="AH80" s="322">
        <f>IFERROR(MROUND(tblPiNAnalysis512[[#This Row],[HLP]]/tblPiNAnalysis512[[#This Row],[Affected population projection 2026]], 0.05), "")</f>
        <v>0</v>
      </c>
      <c r="AI80" s="325">
        <f>IFERROR(LARGE(tblPiNAnalysis512[[#This Row],[CCCM]:[WASH]], 1), "")</f>
        <v>0</v>
      </c>
      <c r="AJ80" s="326" t="str" cm="1">
        <f t="array" ref="AJ80">IF(tblPiNAnalysis512[[#This Row],[Highest Target]]="", "", _xlfn.TEXTJOIN(CHAR(10), TRUE, IF(tblPiNAnalysis512[[#This Row],[Highest Target]]=tblPiNAnalysis512[[#This Row],[CCCM]:[WASH]], tblPiNAnalysis512[[#Headers],[CCCM]:[WASH]], "")))</f>
        <v>CCCM
Education
Nutrition
Food Security
Health
Overarching Protection
Shelter
WASH</v>
      </c>
      <c r="AK80" s="327">
        <f>IF(tblPiNAnalysis512[[#This Row],[Highest Target]]="", "", tblPiNAnalysis512[[#This Row],[Highest Target]]/tblPiNAnalysis512[[#This Row],[Affected population projection 2026]])</f>
        <v>0</v>
      </c>
      <c r="AL80" s="328" t="str">
        <f>IF(SUM(tblPiNAnalysis512[[#This Row],[CCCM]:[WASH]])=0, "",IF(COUNTIF(tblPiNAnalysis512[[#This Row],[CCCM]:[WASH]],"=0")+COUNTIF(tblPiNAnalysis512[[#This Row],[CCCM]:[WASH]],"")&gt;=zero_pin_thresh, "Flagged", ""))</f>
        <v/>
      </c>
      <c r="AM80" s="329" t="str">
        <f>IFERROR(IF(tblPiNAnalysis512[[#This Row],[Highest Target]]="", "", IF(tblPiNAnalysis512[[#This Row],[Highest sector(s'') Target %]]&gt;=flag_pin_perc, "Flagged", "")), "")</f>
        <v/>
      </c>
      <c r="AN80" s="330" t="str" cm="1">
        <f t="array" ref="AN80">IF(tblPiNAnalysis512[[#This Row],[Highest Target]]=0, "",  IF(OR(COUNTIF(tblPiNAnalysis512[[#This Row],[Highest sector(s)]],tblSubSectorPopulation[Sector])), "Flagged", ""))</f>
        <v/>
      </c>
      <c r="AO80" s="46" cm="1">
        <f t="array" ref="AO8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0" s="331" t="str" cm="1">
        <f t="array" ref="AP80">IF(tblPiNAnalysis512[[#This Row],[2nd Highest Target]]="", "", _xlfn.TEXTJOIN(CHAR(10), TRUE, IF(tblPiNAnalysis512[[#This Row],[2nd Highest Target]]=tblPiNAnalysis512[[#This Row],[CCCM]:[WASH]], tblPiNAnalysis512[[#Headers],[CCCM]:[WASH]], "")))</f>
        <v>CCCM
Education
Nutrition
Food Security
Health
Overarching Protection
Shelter
WASH</v>
      </c>
      <c r="AQ80" s="36">
        <f>IFERROR(tblPiNAnalysis512[[#This Row],[2nd Highest Target]]/tblPiNAnalysis512[[#This Row],[Affected population projection 2026]], "")</f>
        <v>0</v>
      </c>
      <c r="AR80" s="46">
        <f>IFERROR(tblPiNAnalysis512[[#This Row],[Highest Target]]-tblPiNAnalysis512[[#This Row],[2nd Highest Target]], "")</f>
        <v>0</v>
      </c>
      <c r="AS80" s="39" t="str">
        <f>IFERROR(((tblPiNAnalysis512[[#This Row],[Highest Target]]-tblPiNAnalysis512[[#This Row],[2nd Highest Target]])/tblPiNAnalysis512[[#This Row],[2nd Highest Target]]),"")</f>
        <v/>
      </c>
      <c r="AT80" s="39" t="str" cm="1">
        <f t="array" ref="AT8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0" s="332" cm="1">
        <f t="array" ref="AU8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0" s="190" t="str" cm="1">
        <f t="array" ref="AV80">IF(tblPiNAnalysis512[[#This Row],[3rd Highest Target]]="", "", _xlfn.TEXTJOIN(CHAR(10), TRUE, IF(tblPiNAnalysis512[[#This Row],[3rd Highest Target]]=tblPiNAnalysis512[[#This Row],[CCCM]:[WASH]], tblPiNAnalysis512[[#Headers],[CCCM]:[WASH]], "")))</f>
        <v>CCCM
Education
Nutrition
Food Security
Health
Overarching Protection
Shelter
WASH</v>
      </c>
      <c r="AW80" s="190">
        <f>IFERROR(tblPiNAnalysis512[[#This Row],[3rd Highest Target]]/tblPiNAnalysis512[[#This Row],[Affected population projection 2026]], "")</f>
        <v>0</v>
      </c>
      <c r="AX80" s="45">
        <f>IFERROR(tblPiNAnalysis512[[#This Row],[Highest Target]]-tblPiNAnalysis512[[#This Row],[3rd Highest Target]],"")</f>
        <v>0</v>
      </c>
      <c r="AY80" s="39" t="str">
        <f>IFERROR(tblPiNAnalysis512[[#This Row],[Difference of Target between Highest and 3rd Highest]]/tblPiNAnalysis512[[#This Row],[3rd Highest Target]], "")</f>
        <v/>
      </c>
      <c r="AZ80" s="330" t="str" cm="1">
        <f t="array" ref="AZ8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0" s="300" t="str" cm="1">
        <f t="array" ref="BA8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0" s="333" t="str" cm="1">
        <f t="array" ref="BB8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0" s="276" t="str" cm="1">
        <f t="array" ref="BC8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0" s="334" t="str" cm="1">
        <f t="array" ref="BD8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0" s="277" t="e">
        <f>INDEX(tblSeverityAnalysis[Final Severity], MATCH(tblPiNAnalysis512[[#This Row],[ID]],tblSeverityAnalysis[ID], 0))</f>
        <v>#N/A</v>
      </c>
      <c r="BF80" s="61" t="e">
        <f>IF(tblPiNAnalysis512[[#This Row],[Severity]]&gt;2,tblPiNAnalysis512[[#This Row],[Highest Target]],)</f>
        <v>#N/A</v>
      </c>
      <c r="BG80" s="191"/>
      <c r="BH80" s="192"/>
      <c r="BI80" s="193">
        <f>COUNTIFS(tblPiNAnalysis512[[#This Row],[Number of missing / zero PiNs greater than threshold - Data quality]:[Manual Flag]],"Flagged")</f>
        <v>2</v>
      </c>
      <c r="BJ80" s="96" t="str">
        <f>IF(tblPiNAnalysis512[[#This Row],['# Flags]]&gt;0, "Flagged", "")</f>
        <v>Flagged</v>
      </c>
      <c r="BK80" s="326" t="e">
        <f>tblPiNAnalysis512[[#This Row],[Preliminary Target]]</f>
        <v>#N/A</v>
      </c>
      <c r="BL80" s="331">
        <v>5</v>
      </c>
    </row>
    <row r="81" spans="1:64" x14ac:dyDescent="0.55000000000000004">
      <c r="A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1" s="316" t="s">
        <v>390</v>
      </c>
      <c r="C81" s="317" t="s">
        <v>391</v>
      </c>
      <c r="D81" s="317" t="s">
        <v>408</v>
      </c>
      <c r="E81" s="105" t="s">
        <v>409</v>
      </c>
      <c r="F81" s="100"/>
      <c r="G81" s="34"/>
      <c r="H81" s="34"/>
      <c r="I81" s="97">
        <v>24855.8360229996</v>
      </c>
      <c r="J81" s="97" t="s">
        <v>412</v>
      </c>
      <c r="K81" s="261">
        <v>22574</v>
      </c>
      <c r="L81" s="319">
        <v>5005.1948441154063</v>
      </c>
      <c r="M81" s="319">
        <v>4559.3211983314986</v>
      </c>
      <c r="N81" s="319">
        <v>5860.7803064083755</v>
      </c>
      <c r="O81" s="319">
        <v>10584.306921328942</v>
      </c>
      <c r="P81" s="319">
        <v>9827.0573294629885</v>
      </c>
      <c r="Q81" s="320">
        <v>16887.347415626198</v>
      </c>
      <c r="R81" s="319">
        <v>13530.703946162206</v>
      </c>
      <c r="S81" s="319"/>
      <c r="T81" s="319"/>
      <c r="U81" s="319"/>
      <c r="V81" s="319"/>
      <c r="W81" s="321">
        <f>IFERROR(IF(tblPiNAnalysis512[[#This Row],[CCCM]]="", "", MROUND(tblPiNAnalysis512[[#This Row],[CCCM]]/tblPiNAnalysis512[[#This Row],[Affected population projection 2026]], 0.05)), "")</f>
        <v>0.9</v>
      </c>
      <c r="X81" s="322">
        <f>IFERROR(IF(tblPiNAnalysis512[[#This Row],[Education]]="", "", MROUND(tblPiNAnalysis512[[#This Row],[Education]]/tblPiNAnalysis512[[#This Row],[Affected population projection 2026]], 0.05)), "")</f>
        <v>0.2</v>
      </c>
      <c r="Y81" s="322">
        <f>IFERROR(IF(tblPiNAnalysis512[[#This Row],[Nutrition]]="", "", MROUND(tblPiNAnalysis512[[#This Row],[Nutrition]]/tblPiNAnalysis512[[#This Row],[Affected population projection 2026]], 0.05)), "")</f>
        <v>0.2</v>
      </c>
      <c r="Z81" s="322">
        <f>IFERROR(IF(tblPiNAnalysis512[[#This Row],[Food Security]]="", "", MROUND(tblPiNAnalysis512[[#This Row],[Food Security]]/tblPiNAnalysis512[[#This Row],[Affected population projection 2026]], 0.05)), "")</f>
        <v>0.25</v>
      </c>
      <c r="AA81" s="322">
        <f>IFERROR(IF(tblPiNAnalysis512[[#This Row],[Health]]="", "", MROUND(tblPiNAnalysis512[[#This Row],[Health]]/tblPiNAnalysis512[[#This Row],[Affected population projection 2026]], 0.05)), "")</f>
        <v>0.45</v>
      </c>
      <c r="AB81" s="323">
        <f>IFERROR(IF(tblPiNAnalysis512[[#This Row],[Overarching Protection]]="", "", MROUND(tblPiNAnalysis512[[#This Row],[Overarching Protection]]/tblPiNAnalysis512[[#This Row],[Affected population projection 2026]], 0.05)), "")</f>
        <v>0.4</v>
      </c>
      <c r="AC81" s="323">
        <f>IFERROR(IF(tblPiNAnalysis512[[#This Row],[Shelter]]="", "", MROUND(tblPiNAnalysis512[[#This Row],[Shelter]]/tblPiNAnalysis512[[#This Row],[Affected population projection 2026]], 0.05)), "")</f>
        <v>0.70000000000000007</v>
      </c>
      <c r="AD81" s="324">
        <f>IFERROR(IF(tblPiNAnalysis512[[#This Row],[WASH]]="", "", MROUND(tblPiNAnalysis512[[#This Row],[WASH]]/tblPiNAnalysis512[[#This Row],[Affected population projection 2026]], 0.05)), "")</f>
        <v>0.55000000000000004</v>
      </c>
      <c r="AE81" s="322">
        <f>IFERROR(MROUND(tblPiNAnalysis512[[#This Row],[CP]]/tblPiNAnalysis512[[#This Row],[Affected population projection 2026]], 0.05), "")</f>
        <v>0</v>
      </c>
      <c r="AF81" s="322">
        <f>IFERROR(MROUND(tblPiNAnalysis512[[#This Row],[GBV]]/tblPiNAnalysis512[[#This Row],[Affected population projection 2026]], 0.05), "")</f>
        <v>0</v>
      </c>
      <c r="AG81" s="322">
        <f>IFERROR(MROUND(tblPiNAnalysis512[[#This Row],[Mine Action]]/tblPiNAnalysis512[[#This Row],[Affected population projection 2026]], 0.05), "")</f>
        <v>0</v>
      </c>
      <c r="AH81" s="322">
        <f>IFERROR(MROUND(tblPiNAnalysis512[[#This Row],[HLP]]/tblPiNAnalysis512[[#This Row],[Affected population projection 2026]], 0.05), "")</f>
        <v>0</v>
      </c>
      <c r="AI81" s="325">
        <f>IFERROR(LARGE(tblPiNAnalysis512[[#This Row],[CCCM]:[WASH]], 1), "")</f>
        <v>22574</v>
      </c>
      <c r="AJ81" s="326" t="str" cm="1">
        <f t="array" ref="AJ81">IF(tblPiNAnalysis512[[#This Row],[Highest Target]]="", "", _xlfn.TEXTJOIN(CHAR(10), TRUE, IF(tblPiNAnalysis512[[#This Row],[Highest Target]]=tblPiNAnalysis512[[#This Row],[CCCM]:[WASH]], tblPiNAnalysis512[[#Headers],[CCCM]:[WASH]], "")))</f>
        <v>CCCM</v>
      </c>
      <c r="AK81" s="327">
        <f>IF(tblPiNAnalysis512[[#This Row],[Highest Target]]="", "", tblPiNAnalysis512[[#This Row],[Highest Target]]/tblPiNAnalysis512[[#This Row],[Affected population projection 2026]])</f>
        <v>0.90819717265240363</v>
      </c>
      <c r="AL81" s="328" t="str">
        <f>IF(SUM(tblPiNAnalysis512[[#This Row],[CCCM]:[WASH]])=0, "",IF(COUNTIF(tblPiNAnalysis512[[#This Row],[CCCM]:[WASH]],"=0")+COUNTIF(tblPiNAnalysis512[[#This Row],[CCCM]:[WASH]],"")&gt;=zero_pin_thresh, "Flagged", ""))</f>
        <v/>
      </c>
      <c r="AM81" s="329" t="str">
        <f>IFERROR(IF(tblPiNAnalysis512[[#This Row],[Highest Target]]="", "", IF(tblPiNAnalysis512[[#This Row],[Highest sector(s'') Target %]]&gt;=flag_pin_perc, "Flagged", "")), "")</f>
        <v>Flagged</v>
      </c>
      <c r="AN81" s="330" t="str" cm="1">
        <f t="array" ref="AN81">IF(tblPiNAnalysis512[[#This Row],[Highest Target]]=0, "",  IF(OR(COUNTIF(tblPiNAnalysis512[[#This Row],[Highest sector(s)]],tblSubSectorPopulation[Sector])), "Flagged", ""))</f>
        <v/>
      </c>
      <c r="AO81" s="46" cm="1">
        <f t="array" ref="AO8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16887.347415626198</v>
      </c>
      <c r="AP81" s="331" t="str" cm="1">
        <f t="array" ref="AP81">IF(tblPiNAnalysis512[[#This Row],[2nd Highest Target]]="", "", _xlfn.TEXTJOIN(CHAR(10), TRUE, IF(tblPiNAnalysis512[[#This Row],[2nd Highest Target]]=tblPiNAnalysis512[[#This Row],[CCCM]:[WASH]], tblPiNAnalysis512[[#Headers],[CCCM]:[WASH]], "")))</f>
        <v>Shelter</v>
      </c>
      <c r="AQ81" s="36">
        <f>IFERROR(tblPiNAnalysis512[[#This Row],[2nd Highest Target]]/tblPiNAnalysis512[[#This Row],[Affected population projection 2026]], "")</f>
        <v>0.67941176470588238</v>
      </c>
      <c r="AR81" s="46">
        <f>IFERROR(tblPiNAnalysis512[[#This Row],[Highest Target]]-tblPiNAnalysis512[[#This Row],[2nd Highest Target]], "")</f>
        <v>5686.6525843738018</v>
      </c>
      <c r="AS81" s="39">
        <f>IFERROR(((tblPiNAnalysis512[[#This Row],[Highest Target]]-tblPiNAnalysis512[[#This Row],[2nd Highest Target]])/tblPiNAnalysis512[[#This Row],[2nd Highest Target]]),"")</f>
        <v>0.33674042728059406</v>
      </c>
      <c r="AT81" s="39" t="str" cm="1">
        <f t="array" ref="AT8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81" s="332" cm="1">
        <f t="array" ref="AU8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13530.703946162206</v>
      </c>
      <c r="AV81" s="190" t="str" cm="1">
        <f t="array" ref="AV81">IF(tblPiNAnalysis512[[#This Row],[3rd Highest Target]]="", "", _xlfn.TEXTJOIN(CHAR(10), TRUE, IF(tblPiNAnalysis512[[#This Row],[3rd Highest Target]]=tblPiNAnalysis512[[#This Row],[CCCM]:[WASH]], tblPiNAnalysis512[[#Headers],[CCCM]:[WASH]], "")))</f>
        <v>WASH</v>
      </c>
      <c r="AW81" s="190">
        <f>IFERROR(tblPiNAnalysis512[[#This Row],[3rd Highest Target]]/tblPiNAnalysis512[[#This Row],[Affected population projection 2026]], "")</f>
        <v>0.54436728395061729</v>
      </c>
      <c r="AX81" s="45">
        <f>IFERROR(tblPiNAnalysis512[[#This Row],[Highest Target]]-tblPiNAnalysis512[[#This Row],[3rd Highest Target]],"")</f>
        <v>9043.2960538377938</v>
      </c>
      <c r="AY81" s="39">
        <f>IFERROR(tblPiNAnalysis512[[#This Row],[Difference of Target between Highest and 3rd Highest]]/tblPiNAnalysis512[[#This Row],[3rd Highest Target]], "")</f>
        <v>0.66835370057762566</v>
      </c>
      <c r="AZ81" s="330" t="str" cm="1">
        <f t="array" ref="AZ8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81" s="300" t="str" cm="1">
        <f t="array" ref="BA8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1" s="333" t="str" cm="1">
        <f t="array" ref="BB8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81" s="276" t="str" cm="1">
        <f t="array" ref="BC8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1" s="334" t="str" cm="1">
        <f t="array" ref="BD8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1" s="277" t="e">
        <f>INDEX(tblSeverityAnalysis[Final Severity], MATCH(tblPiNAnalysis512[[#This Row],[ID]],tblSeverityAnalysis[ID], 0))</f>
        <v>#N/A</v>
      </c>
      <c r="BF81" s="61" t="e">
        <f>IF(tblPiNAnalysis512[[#This Row],[Severity]]&gt;2,tblPiNAnalysis512[[#This Row],[Highest Target]],)</f>
        <v>#N/A</v>
      </c>
      <c r="BG81" s="191"/>
      <c r="BH81" s="192"/>
      <c r="BI81" s="193">
        <f>COUNTIFS(tblPiNAnalysis512[[#This Row],[Number of missing / zero PiNs greater than threshold - Data quality]:[Manual Flag]],"Flagged")</f>
        <v>4</v>
      </c>
      <c r="BJ81" s="96" t="str">
        <f>IF(tblPiNAnalysis512[[#This Row],['# Flags]]&gt;0, "Flagged", "")</f>
        <v>Flagged</v>
      </c>
      <c r="BK81" s="326" t="e">
        <f>tblPiNAnalysis512[[#This Row],[Preliminary Target]]</f>
        <v>#N/A</v>
      </c>
      <c r="BL81" s="331">
        <v>2</v>
      </c>
    </row>
    <row r="82" spans="1:64" ht="110.7" x14ac:dyDescent="0.55000000000000004">
      <c r="A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2" s="316" t="s">
        <v>390</v>
      </c>
      <c r="C82" s="317" t="s">
        <v>391</v>
      </c>
      <c r="D82" s="317" t="s">
        <v>410</v>
      </c>
      <c r="E82" s="105" t="s">
        <v>411</v>
      </c>
      <c r="F82" s="100"/>
      <c r="G82" s="34"/>
      <c r="H82" s="34"/>
      <c r="I82" s="97">
        <v>10973.797642312536</v>
      </c>
      <c r="J82" s="97" t="s">
        <v>412</v>
      </c>
      <c r="K82" s="261">
        <v>0</v>
      </c>
      <c r="L82" s="319">
        <v>0</v>
      </c>
      <c r="M82" s="319">
        <v>0</v>
      </c>
      <c r="N82" s="319">
        <v>0</v>
      </c>
      <c r="O82" s="319">
        <v>0</v>
      </c>
      <c r="P82" s="319">
        <v>0</v>
      </c>
      <c r="Q82" s="320">
        <v>0</v>
      </c>
      <c r="R82" s="319">
        <v>0</v>
      </c>
      <c r="S82" s="319"/>
      <c r="T82" s="319"/>
      <c r="U82" s="319"/>
      <c r="V82" s="319"/>
      <c r="W82" s="321">
        <f>IFERROR(IF(tblPiNAnalysis512[[#This Row],[CCCM]]="", "", MROUND(tblPiNAnalysis512[[#This Row],[CCCM]]/tblPiNAnalysis512[[#This Row],[Affected population projection 2026]], 0.05)), "")</f>
        <v>0</v>
      </c>
      <c r="X82" s="322">
        <f>IFERROR(IF(tblPiNAnalysis512[[#This Row],[Education]]="", "", MROUND(tblPiNAnalysis512[[#This Row],[Education]]/tblPiNAnalysis512[[#This Row],[Affected population projection 2026]], 0.05)), "")</f>
        <v>0</v>
      </c>
      <c r="Y82" s="322">
        <f>IFERROR(IF(tblPiNAnalysis512[[#This Row],[Nutrition]]="", "", MROUND(tblPiNAnalysis512[[#This Row],[Nutrition]]/tblPiNAnalysis512[[#This Row],[Affected population projection 2026]], 0.05)), "")</f>
        <v>0</v>
      </c>
      <c r="Z82" s="322">
        <f>IFERROR(IF(tblPiNAnalysis512[[#This Row],[Food Security]]="", "", MROUND(tblPiNAnalysis512[[#This Row],[Food Security]]/tblPiNAnalysis512[[#This Row],[Affected population projection 2026]], 0.05)), "")</f>
        <v>0</v>
      </c>
      <c r="AA82" s="322">
        <f>IFERROR(IF(tblPiNAnalysis512[[#This Row],[Health]]="", "", MROUND(tblPiNAnalysis512[[#This Row],[Health]]/tblPiNAnalysis512[[#This Row],[Affected population projection 2026]], 0.05)), "")</f>
        <v>0</v>
      </c>
      <c r="AB82" s="323">
        <f>IFERROR(IF(tblPiNAnalysis512[[#This Row],[Overarching Protection]]="", "", MROUND(tblPiNAnalysis512[[#This Row],[Overarching Protection]]/tblPiNAnalysis512[[#This Row],[Affected population projection 2026]], 0.05)), "")</f>
        <v>0</v>
      </c>
      <c r="AC82" s="323">
        <f>IFERROR(IF(tblPiNAnalysis512[[#This Row],[Shelter]]="", "", MROUND(tblPiNAnalysis512[[#This Row],[Shelter]]/tblPiNAnalysis512[[#This Row],[Affected population projection 2026]], 0.05)), "")</f>
        <v>0</v>
      </c>
      <c r="AD82" s="324">
        <f>IFERROR(IF(tblPiNAnalysis512[[#This Row],[WASH]]="", "", MROUND(tblPiNAnalysis512[[#This Row],[WASH]]/tblPiNAnalysis512[[#This Row],[Affected population projection 2026]], 0.05)), "")</f>
        <v>0</v>
      </c>
      <c r="AE82" s="322">
        <f>IFERROR(MROUND(tblPiNAnalysis512[[#This Row],[CP]]/tblPiNAnalysis512[[#This Row],[Affected population projection 2026]], 0.05), "")</f>
        <v>0</v>
      </c>
      <c r="AF82" s="322">
        <f>IFERROR(MROUND(tblPiNAnalysis512[[#This Row],[GBV]]/tblPiNAnalysis512[[#This Row],[Affected population projection 2026]], 0.05), "")</f>
        <v>0</v>
      </c>
      <c r="AG82" s="322">
        <f>IFERROR(MROUND(tblPiNAnalysis512[[#This Row],[Mine Action]]/tblPiNAnalysis512[[#This Row],[Affected population projection 2026]], 0.05), "")</f>
        <v>0</v>
      </c>
      <c r="AH82" s="322">
        <f>IFERROR(MROUND(tblPiNAnalysis512[[#This Row],[HLP]]/tblPiNAnalysis512[[#This Row],[Affected population projection 2026]], 0.05), "")</f>
        <v>0</v>
      </c>
      <c r="AI82" s="325">
        <f>IFERROR(LARGE(tblPiNAnalysis512[[#This Row],[CCCM]:[WASH]], 1), "")</f>
        <v>0</v>
      </c>
      <c r="AJ82" s="326" t="str" cm="1">
        <f t="array" ref="AJ82">IF(tblPiNAnalysis512[[#This Row],[Highest Target]]="", "", _xlfn.TEXTJOIN(CHAR(10), TRUE, IF(tblPiNAnalysis512[[#This Row],[Highest Target]]=tblPiNAnalysis512[[#This Row],[CCCM]:[WASH]], tblPiNAnalysis512[[#Headers],[CCCM]:[WASH]], "")))</f>
        <v>CCCM
Education
Nutrition
Food Security
Health
Overarching Protection
Shelter
WASH</v>
      </c>
      <c r="AK82" s="327">
        <f>IF(tblPiNAnalysis512[[#This Row],[Highest Target]]="", "", tblPiNAnalysis512[[#This Row],[Highest Target]]/tblPiNAnalysis512[[#This Row],[Affected population projection 2026]])</f>
        <v>0</v>
      </c>
      <c r="AL82" s="328" t="str">
        <f>IF(SUM(tblPiNAnalysis512[[#This Row],[CCCM]:[WASH]])=0, "",IF(COUNTIF(tblPiNAnalysis512[[#This Row],[CCCM]:[WASH]],"=0")+COUNTIF(tblPiNAnalysis512[[#This Row],[CCCM]:[WASH]],"")&gt;=zero_pin_thresh, "Flagged", ""))</f>
        <v/>
      </c>
      <c r="AM82" s="329" t="str">
        <f>IFERROR(IF(tblPiNAnalysis512[[#This Row],[Highest Target]]="", "", IF(tblPiNAnalysis512[[#This Row],[Highest sector(s'') Target %]]&gt;=flag_pin_perc, "Flagged", "")), "")</f>
        <v/>
      </c>
      <c r="AN82" s="330" t="str" cm="1">
        <f t="array" ref="AN82">IF(tblPiNAnalysis512[[#This Row],[Highest Target]]=0, "",  IF(OR(COUNTIF(tblPiNAnalysis512[[#This Row],[Highest sector(s)]],tblSubSectorPopulation[Sector])), "Flagged", ""))</f>
        <v/>
      </c>
      <c r="AO82" s="46" cm="1">
        <f t="array" ref="AO8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2" s="331" t="str" cm="1">
        <f t="array" ref="AP82">IF(tblPiNAnalysis512[[#This Row],[2nd Highest Target]]="", "", _xlfn.TEXTJOIN(CHAR(10), TRUE, IF(tblPiNAnalysis512[[#This Row],[2nd Highest Target]]=tblPiNAnalysis512[[#This Row],[CCCM]:[WASH]], tblPiNAnalysis512[[#Headers],[CCCM]:[WASH]], "")))</f>
        <v>CCCM
Education
Nutrition
Food Security
Health
Overarching Protection
Shelter
WASH</v>
      </c>
      <c r="AQ82" s="36">
        <f>IFERROR(tblPiNAnalysis512[[#This Row],[2nd Highest Target]]/tblPiNAnalysis512[[#This Row],[Affected population projection 2026]], "")</f>
        <v>0</v>
      </c>
      <c r="AR82" s="46">
        <f>IFERROR(tblPiNAnalysis512[[#This Row],[Highest Target]]-tblPiNAnalysis512[[#This Row],[2nd Highest Target]], "")</f>
        <v>0</v>
      </c>
      <c r="AS82" s="39" t="str">
        <f>IFERROR(((tblPiNAnalysis512[[#This Row],[Highest Target]]-tblPiNAnalysis512[[#This Row],[2nd Highest Target]])/tblPiNAnalysis512[[#This Row],[2nd Highest Target]]),"")</f>
        <v/>
      </c>
      <c r="AT82" s="39" t="str" cm="1">
        <f t="array" ref="AT8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2" s="332" cm="1">
        <f t="array" ref="AU8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2" s="190" t="str" cm="1">
        <f t="array" ref="AV82">IF(tblPiNAnalysis512[[#This Row],[3rd Highest Target]]="", "", _xlfn.TEXTJOIN(CHAR(10), TRUE, IF(tblPiNAnalysis512[[#This Row],[3rd Highest Target]]=tblPiNAnalysis512[[#This Row],[CCCM]:[WASH]], tblPiNAnalysis512[[#Headers],[CCCM]:[WASH]], "")))</f>
        <v>CCCM
Education
Nutrition
Food Security
Health
Overarching Protection
Shelter
WASH</v>
      </c>
      <c r="AW82" s="190">
        <f>IFERROR(tblPiNAnalysis512[[#This Row],[3rd Highest Target]]/tblPiNAnalysis512[[#This Row],[Affected population projection 2026]], "")</f>
        <v>0</v>
      </c>
      <c r="AX82" s="45">
        <f>IFERROR(tblPiNAnalysis512[[#This Row],[Highest Target]]-tblPiNAnalysis512[[#This Row],[3rd Highest Target]],"")</f>
        <v>0</v>
      </c>
      <c r="AY82" s="39" t="str">
        <f>IFERROR(tblPiNAnalysis512[[#This Row],[Difference of Target between Highest and 3rd Highest]]/tblPiNAnalysis512[[#This Row],[3rd Highest Target]], "")</f>
        <v/>
      </c>
      <c r="AZ82" s="330" t="str" cm="1">
        <f t="array" ref="AZ8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2" s="300" t="str" cm="1">
        <f t="array" ref="BA8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2" s="333" t="str" cm="1">
        <f t="array" ref="BB8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2" s="276" t="str" cm="1">
        <f t="array" ref="BC8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2" s="334" t="str" cm="1">
        <f t="array" ref="BD8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2" s="277" t="e">
        <f>INDEX(tblSeverityAnalysis[Final Severity], MATCH(tblPiNAnalysis512[[#This Row],[ID]],tblSeverityAnalysis[ID], 0))</f>
        <v>#N/A</v>
      </c>
      <c r="BF82" s="61" t="e">
        <f>IF(tblPiNAnalysis512[[#This Row],[Severity]]&gt;2,tblPiNAnalysis512[[#This Row],[Highest Target]],)</f>
        <v>#N/A</v>
      </c>
      <c r="BG82" s="191"/>
      <c r="BH82" s="192"/>
      <c r="BI82" s="193">
        <f>COUNTIFS(tblPiNAnalysis512[[#This Row],[Number of missing / zero PiNs greater than threshold - Data quality]:[Manual Flag]],"Flagged")</f>
        <v>2</v>
      </c>
      <c r="BJ82" s="96" t="str">
        <f>IF(tblPiNAnalysis512[[#This Row],['# Flags]]&gt;0, "Flagged", "")</f>
        <v>Flagged</v>
      </c>
      <c r="BK82" s="326" t="e">
        <f>tblPiNAnalysis512[[#This Row],[Preliminary Target]]</f>
        <v>#N/A</v>
      </c>
      <c r="BL82" s="331">
        <v>5</v>
      </c>
    </row>
    <row r="83" spans="1:64" ht="27.6" x14ac:dyDescent="0.55000000000000004">
      <c r="A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3" s="316" t="s">
        <v>233</v>
      </c>
      <c r="C83" s="317" t="s">
        <v>234</v>
      </c>
      <c r="D83" s="317" t="s">
        <v>233</v>
      </c>
      <c r="E83" s="105" t="s">
        <v>235</v>
      </c>
      <c r="F83" s="100"/>
      <c r="G83" s="34"/>
      <c r="H83" s="34"/>
      <c r="I83" s="97">
        <v>14516.802522734295</v>
      </c>
      <c r="J83" s="97" t="s">
        <v>413</v>
      </c>
      <c r="K83" s="318">
        <v>0</v>
      </c>
      <c r="L83" s="319">
        <v>384.11459475154942</v>
      </c>
      <c r="M83" s="319">
        <v>3895.0672639218305</v>
      </c>
      <c r="N83" s="319">
        <v>5017.9928151869372</v>
      </c>
      <c r="O83" s="319">
        <v>7113.7750119754764</v>
      </c>
      <c r="P83" s="319">
        <v>1196.0752409006939</v>
      </c>
      <c r="Q83" s="320">
        <v>457.37870962039574</v>
      </c>
      <c r="R83" s="319">
        <v>1568.1731120237662</v>
      </c>
      <c r="S83" s="319"/>
      <c r="T83" s="319"/>
      <c r="U83" s="319"/>
      <c r="V83" s="319"/>
      <c r="W83" s="321">
        <f>IFERROR(IF(tblPiNAnalysis512[[#This Row],[CCCM]]="", "", MROUND(tblPiNAnalysis512[[#This Row],[CCCM]]/tblPiNAnalysis512[[#This Row],[Affected population projection 2026]], 0.05)), "")</f>
        <v>0</v>
      </c>
      <c r="X83" s="322">
        <f>IFERROR(IF(tblPiNAnalysis512[[#This Row],[Education]]="", "", MROUND(tblPiNAnalysis512[[#This Row],[Education]]/tblPiNAnalysis512[[#This Row],[Affected population projection 2026]], 0.05)), "")</f>
        <v>0.05</v>
      </c>
      <c r="Y83" s="322">
        <f>IFERROR(IF(tblPiNAnalysis512[[#This Row],[Nutrition]]="", "", MROUND(tblPiNAnalysis512[[#This Row],[Nutrition]]/tblPiNAnalysis512[[#This Row],[Affected population projection 2026]], 0.05)), "")</f>
        <v>0.25</v>
      </c>
      <c r="Z83" s="322">
        <f>IFERROR(IF(tblPiNAnalysis512[[#This Row],[Food Security]]="", "", MROUND(tblPiNAnalysis512[[#This Row],[Food Security]]/tblPiNAnalysis512[[#This Row],[Affected population projection 2026]], 0.05)), "")</f>
        <v>0.35000000000000003</v>
      </c>
      <c r="AA83" s="322">
        <f>IFERROR(IF(tblPiNAnalysis512[[#This Row],[Health]]="", "", MROUND(tblPiNAnalysis512[[#This Row],[Health]]/tblPiNAnalysis512[[#This Row],[Affected population projection 2026]], 0.05)), "")</f>
        <v>0.5</v>
      </c>
      <c r="AB83" s="323">
        <f>IFERROR(IF(tblPiNAnalysis512[[#This Row],[Overarching Protection]]="", "", MROUND(tblPiNAnalysis512[[#This Row],[Overarching Protection]]/tblPiNAnalysis512[[#This Row],[Affected population projection 2026]], 0.05)), "")</f>
        <v>0.1</v>
      </c>
      <c r="AC83" s="323">
        <f>IFERROR(IF(tblPiNAnalysis512[[#This Row],[Shelter]]="", "", MROUND(tblPiNAnalysis512[[#This Row],[Shelter]]/tblPiNAnalysis512[[#This Row],[Affected population projection 2026]], 0.05)), "")</f>
        <v>0.05</v>
      </c>
      <c r="AD83" s="324">
        <f>IFERROR(IF(tblPiNAnalysis512[[#This Row],[WASH]]="", "", MROUND(tblPiNAnalysis512[[#This Row],[WASH]]/tblPiNAnalysis512[[#This Row],[Affected population projection 2026]], 0.05)), "")</f>
        <v>0.1</v>
      </c>
      <c r="AE83" s="322">
        <f>IFERROR(MROUND(tblPiNAnalysis512[[#This Row],[CP]]/tblPiNAnalysis512[[#This Row],[Affected population projection 2026]], 0.05), "")</f>
        <v>0</v>
      </c>
      <c r="AF83" s="322">
        <f>IFERROR(MROUND(tblPiNAnalysis512[[#This Row],[GBV]]/tblPiNAnalysis512[[#This Row],[Affected population projection 2026]], 0.05), "")</f>
        <v>0</v>
      </c>
      <c r="AG83" s="322">
        <f>IFERROR(MROUND(tblPiNAnalysis512[[#This Row],[Mine Action]]/tblPiNAnalysis512[[#This Row],[Affected population projection 2026]], 0.05), "")</f>
        <v>0</v>
      </c>
      <c r="AH83" s="322">
        <f>IFERROR(MROUND(tblPiNAnalysis512[[#This Row],[HLP]]/tblPiNAnalysis512[[#This Row],[Affected population projection 2026]], 0.05), "")</f>
        <v>0</v>
      </c>
      <c r="AI83" s="325">
        <f>IFERROR(LARGE(tblPiNAnalysis512[[#This Row],[CCCM]:[WASH]], 1), "")</f>
        <v>7113.7750119754764</v>
      </c>
      <c r="AJ83" s="326" t="str" cm="1">
        <f t="array" ref="AJ83">IF(tblPiNAnalysis512[[#This Row],[Highest Target]]="", "", _xlfn.TEXTJOIN(CHAR(10), TRUE, IF(tblPiNAnalysis512[[#This Row],[Highest Target]]=tblPiNAnalysis512[[#This Row],[CCCM]:[WASH]], tblPiNAnalysis512[[#Headers],[CCCM]:[WASH]], "")))</f>
        <v>Health</v>
      </c>
      <c r="AK83" s="327">
        <f>IF(tblPiNAnalysis512[[#This Row],[Highest Target]]="", "", tblPiNAnalysis512[[#This Row],[Highest Target]]/tblPiNAnalysis512[[#This Row],[Affected population projection 2026]])</f>
        <v>0.49003732060381916</v>
      </c>
      <c r="AL83" s="328" t="str">
        <f>IF(SUM(tblPiNAnalysis512[[#This Row],[CCCM]:[WASH]])=0, "",IF(COUNTIF(tblPiNAnalysis512[[#This Row],[CCCM]:[WASH]],"=0")+COUNTIF(tblPiNAnalysis512[[#This Row],[CCCM]:[WASH]],"")&gt;=zero_pin_thresh, "Flagged", ""))</f>
        <v/>
      </c>
      <c r="AM83" s="329" t="str">
        <f>IFERROR(IF(tblPiNAnalysis512[[#This Row],[Highest Target]]="", "", IF(tblPiNAnalysis512[[#This Row],[Highest sector(s'') Target %]]&gt;=flag_pin_perc, "Flagged", "")), "")</f>
        <v/>
      </c>
      <c r="AN83" s="330" t="str" cm="1">
        <f t="array" ref="AN83">IF(tblPiNAnalysis512[[#This Row],[Highest Target]]=0, "",  IF(OR(COUNTIF(tblPiNAnalysis512[[#This Row],[Highest sector(s)]],tblSubSectorPopulation[Sector])), "Flagged", ""))</f>
        <v/>
      </c>
      <c r="AO83" s="46" cm="1">
        <f t="array" ref="AO8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5017.9928151869372</v>
      </c>
      <c r="AP83" s="331" t="str" cm="1">
        <f t="array" ref="AP83">IF(tblPiNAnalysis512[[#This Row],[2nd Highest Target]]="", "", _xlfn.TEXTJOIN(CHAR(10), TRUE, IF(tblPiNAnalysis512[[#This Row],[2nd Highest Target]]=tblPiNAnalysis512[[#This Row],[CCCM]:[WASH]], tblPiNAnalysis512[[#Headers],[CCCM]:[WASH]], "")))</f>
        <v>Food Security</v>
      </c>
      <c r="AQ83" s="36">
        <f>IFERROR(tblPiNAnalysis512[[#This Row],[2nd Highest Target]]/tblPiNAnalysis512[[#This Row],[Affected population projection 2026]], "")</f>
        <v>0.34566791187855733</v>
      </c>
      <c r="AR83" s="46">
        <f>IFERROR(tblPiNAnalysis512[[#This Row],[Highest Target]]-tblPiNAnalysis512[[#This Row],[2nd Highest Target]], "")</f>
        <v>2095.7821967885393</v>
      </c>
      <c r="AS83" s="39">
        <f>IFERROR(((tblPiNAnalysis512[[#This Row],[Highest Target]]-tblPiNAnalysis512[[#This Row],[2nd Highest Target]])/tblPiNAnalysis512[[#This Row],[2nd Highest Target]]),"")</f>
        <v>0.41765348695710802</v>
      </c>
      <c r="AT83" s="39" t="str" cm="1">
        <f t="array" ref="AT8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83" s="332" cm="1">
        <f t="array" ref="AU8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3895.0672639218305</v>
      </c>
      <c r="AV83" s="190" t="str" cm="1">
        <f t="array" ref="AV83">IF(tblPiNAnalysis512[[#This Row],[3rd Highest Target]]="", "", _xlfn.TEXTJOIN(CHAR(10), TRUE, IF(tblPiNAnalysis512[[#This Row],[3rd Highest Target]]=tblPiNAnalysis512[[#This Row],[CCCM]:[WASH]], tblPiNAnalysis512[[#Headers],[CCCM]:[WASH]], "")))</f>
        <v>Nutrition</v>
      </c>
      <c r="AW83" s="190">
        <f>IFERROR(tblPiNAnalysis512[[#This Row],[3rd Highest Target]]/tblPiNAnalysis512[[#This Row],[Affected population projection 2026]], "")</f>
        <v>0.26831440724098105</v>
      </c>
      <c r="AX83" s="45">
        <f>IFERROR(tblPiNAnalysis512[[#This Row],[Highest Target]]-tblPiNAnalysis512[[#This Row],[3rd Highest Target]],"")</f>
        <v>3218.7077480536459</v>
      </c>
      <c r="AY83" s="39">
        <f>IFERROR(tblPiNAnalysis512[[#This Row],[Difference of Target between Highest and 3rd Highest]]/tblPiNAnalysis512[[#This Row],[3rd Highest Target]], "")</f>
        <v>0.82635485601674108</v>
      </c>
      <c r="AZ83" s="330" t="str" cm="1">
        <f t="array" ref="AZ8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83" s="300" t="str" cm="1">
        <f t="array" ref="BA8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3" s="333" t="str" cm="1">
        <f t="array" ref="BB8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3" s="276" t="str" cm="1">
        <f t="array" ref="BC8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3" s="334" t="str" cm="1">
        <f t="array" ref="BD8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83" s="277" t="e">
        <f>INDEX(tblSeverityAnalysis[Final Severity], MATCH(tblPiNAnalysis512[[#This Row],[ID]],tblSeverityAnalysis[ID], 0))</f>
        <v>#N/A</v>
      </c>
      <c r="BF83" s="61" t="e">
        <f>IF(tblPiNAnalysis512[[#This Row],[Severity]]&gt;2,tblPiNAnalysis512[[#This Row],[Highest Target]],)</f>
        <v>#N/A</v>
      </c>
      <c r="BG83" s="191"/>
      <c r="BH83" s="192"/>
      <c r="BI83" s="193">
        <f>COUNTIFS(tblPiNAnalysis512[[#This Row],[Number of missing / zero PiNs greater than threshold - Data quality]:[Manual Flag]],"Flagged")</f>
        <v>3</v>
      </c>
      <c r="BJ83" s="96" t="str">
        <f>IF(tblPiNAnalysis512[[#This Row],['# Flags]]&gt;0, "Flagged", "")</f>
        <v>Flagged</v>
      </c>
      <c r="BK83" s="326" t="e">
        <f>tblPiNAnalysis512[[#This Row],[Preliminary Target]]</f>
        <v>#N/A</v>
      </c>
      <c r="BL83" s="331">
        <v>1</v>
      </c>
    </row>
    <row r="84" spans="1:64" ht="110.7" x14ac:dyDescent="0.55000000000000004">
      <c r="A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4" s="316" t="s">
        <v>236</v>
      </c>
      <c r="C84" s="317" t="s">
        <v>237</v>
      </c>
      <c r="D84" s="317" t="s">
        <v>238</v>
      </c>
      <c r="E84" s="105" t="s">
        <v>239</v>
      </c>
      <c r="F84" s="100"/>
      <c r="G84" s="34"/>
      <c r="H84" s="34"/>
      <c r="I84" s="97">
        <v>310546.09109739598</v>
      </c>
      <c r="J84" s="97" t="s">
        <v>413</v>
      </c>
      <c r="K84" s="318">
        <v>0</v>
      </c>
      <c r="L84" s="319">
        <v>0</v>
      </c>
      <c r="M84" s="319">
        <v>0</v>
      </c>
      <c r="N84" s="319">
        <v>0</v>
      </c>
      <c r="O84" s="319">
        <v>0</v>
      </c>
      <c r="P84" s="319">
        <v>0</v>
      </c>
      <c r="Q84" s="320">
        <v>0</v>
      </c>
      <c r="R84" s="319">
        <v>0</v>
      </c>
      <c r="S84" s="319"/>
      <c r="T84" s="319"/>
      <c r="U84" s="319"/>
      <c r="V84" s="319"/>
      <c r="W84" s="321">
        <f>IFERROR(IF(tblPiNAnalysis512[[#This Row],[CCCM]]="", "", MROUND(tblPiNAnalysis512[[#This Row],[CCCM]]/tblPiNAnalysis512[[#This Row],[Affected population projection 2026]], 0.05)), "")</f>
        <v>0</v>
      </c>
      <c r="X84" s="322">
        <f>IFERROR(IF(tblPiNAnalysis512[[#This Row],[Education]]="", "", MROUND(tblPiNAnalysis512[[#This Row],[Education]]/tblPiNAnalysis512[[#This Row],[Affected population projection 2026]], 0.05)), "")</f>
        <v>0</v>
      </c>
      <c r="Y84" s="322">
        <f>IFERROR(IF(tblPiNAnalysis512[[#This Row],[Nutrition]]="", "", MROUND(tblPiNAnalysis512[[#This Row],[Nutrition]]/tblPiNAnalysis512[[#This Row],[Affected population projection 2026]], 0.05)), "")</f>
        <v>0</v>
      </c>
      <c r="Z84" s="322">
        <f>IFERROR(IF(tblPiNAnalysis512[[#This Row],[Food Security]]="", "", MROUND(tblPiNAnalysis512[[#This Row],[Food Security]]/tblPiNAnalysis512[[#This Row],[Affected population projection 2026]], 0.05)), "")</f>
        <v>0</v>
      </c>
      <c r="AA84" s="322">
        <f>IFERROR(IF(tblPiNAnalysis512[[#This Row],[Health]]="", "", MROUND(tblPiNAnalysis512[[#This Row],[Health]]/tblPiNAnalysis512[[#This Row],[Affected population projection 2026]], 0.05)), "")</f>
        <v>0</v>
      </c>
      <c r="AB84" s="323">
        <f>IFERROR(IF(tblPiNAnalysis512[[#This Row],[Overarching Protection]]="", "", MROUND(tblPiNAnalysis512[[#This Row],[Overarching Protection]]/tblPiNAnalysis512[[#This Row],[Affected population projection 2026]], 0.05)), "")</f>
        <v>0</v>
      </c>
      <c r="AC84" s="323">
        <f>IFERROR(IF(tblPiNAnalysis512[[#This Row],[Shelter]]="", "", MROUND(tblPiNAnalysis512[[#This Row],[Shelter]]/tblPiNAnalysis512[[#This Row],[Affected population projection 2026]], 0.05)), "")</f>
        <v>0</v>
      </c>
      <c r="AD84" s="324">
        <f>IFERROR(IF(tblPiNAnalysis512[[#This Row],[WASH]]="", "", MROUND(tblPiNAnalysis512[[#This Row],[WASH]]/tblPiNAnalysis512[[#This Row],[Affected population projection 2026]], 0.05)), "")</f>
        <v>0</v>
      </c>
      <c r="AE84" s="322">
        <f>IFERROR(MROUND(tblPiNAnalysis512[[#This Row],[CP]]/tblPiNAnalysis512[[#This Row],[Affected population projection 2026]], 0.05), "")</f>
        <v>0</v>
      </c>
      <c r="AF84" s="322">
        <f>IFERROR(MROUND(tblPiNAnalysis512[[#This Row],[GBV]]/tblPiNAnalysis512[[#This Row],[Affected population projection 2026]], 0.05), "")</f>
        <v>0</v>
      </c>
      <c r="AG84" s="322">
        <f>IFERROR(MROUND(tblPiNAnalysis512[[#This Row],[Mine Action]]/tblPiNAnalysis512[[#This Row],[Affected population projection 2026]], 0.05), "")</f>
        <v>0</v>
      </c>
      <c r="AH84" s="322">
        <f>IFERROR(MROUND(tblPiNAnalysis512[[#This Row],[HLP]]/tblPiNAnalysis512[[#This Row],[Affected population projection 2026]], 0.05), "")</f>
        <v>0</v>
      </c>
      <c r="AI84" s="325">
        <f>IFERROR(LARGE(tblPiNAnalysis512[[#This Row],[CCCM]:[WASH]], 1), "")</f>
        <v>0</v>
      </c>
      <c r="AJ84" s="326" t="str" cm="1">
        <f t="array" ref="AJ84">IF(tblPiNAnalysis512[[#This Row],[Highest Target]]="", "", _xlfn.TEXTJOIN(CHAR(10), TRUE, IF(tblPiNAnalysis512[[#This Row],[Highest Target]]=tblPiNAnalysis512[[#This Row],[CCCM]:[WASH]], tblPiNAnalysis512[[#Headers],[CCCM]:[WASH]], "")))</f>
        <v>CCCM
Education
Nutrition
Food Security
Health
Overarching Protection
Shelter
WASH</v>
      </c>
      <c r="AK84" s="327">
        <f>IF(tblPiNAnalysis512[[#This Row],[Highest Target]]="", "", tblPiNAnalysis512[[#This Row],[Highest Target]]/tblPiNAnalysis512[[#This Row],[Affected population projection 2026]])</f>
        <v>0</v>
      </c>
      <c r="AL84" s="328" t="str">
        <f>IF(SUM(tblPiNAnalysis512[[#This Row],[CCCM]:[WASH]])=0, "",IF(COUNTIF(tblPiNAnalysis512[[#This Row],[CCCM]:[WASH]],"=0")+COUNTIF(tblPiNAnalysis512[[#This Row],[CCCM]:[WASH]],"")&gt;=zero_pin_thresh, "Flagged", ""))</f>
        <v/>
      </c>
      <c r="AM84" s="329" t="str">
        <f>IFERROR(IF(tblPiNAnalysis512[[#This Row],[Highest Target]]="", "", IF(tblPiNAnalysis512[[#This Row],[Highest sector(s'') Target %]]&gt;=flag_pin_perc, "Flagged", "")), "")</f>
        <v/>
      </c>
      <c r="AN84" s="330" t="str" cm="1">
        <f t="array" ref="AN84">IF(tblPiNAnalysis512[[#This Row],[Highest Target]]=0, "",  IF(OR(COUNTIF(tblPiNAnalysis512[[#This Row],[Highest sector(s)]],tblSubSectorPopulation[Sector])), "Flagged", ""))</f>
        <v/>
      </c>
      <c r="AO84" s="46" cm="1">
        <f t="array" ref="AO8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4" s="331" t="str" cm="1">
        <f t="array" ref="AP84">IF(tblPiNAnalysis512[[#This Row],[2nd Highest Target]]="", "", _xlfn.TEXTJOIN(CHAR(10), TRUE, IF(tblPiNAnalysis512[[#This Row],[2nd Highest Target]]=tblPiNAnalysis512[[#This Row],[CCCM]:[WASH]], tblPiNAnalysis512[[#Headers],[CCCM]:[WASH]], "")))</f>
        <v>CCCM
Education
Nutrition
Food Security
Health
Overarching Protection
Shelter
WASH</v>
      </c>
      <c r="AQ84" s="36">
        <f>IFERROR(tblPiNAnalysis512[[#This Row],[2nd Highest Target]]/tblPiNAnalysis512[[#This Row],[Affected population projection 2026]], "")</f>
        <v>0</v>
      </c>
      <c r="AR84" s="46">
        <f>IFERROR(tblPiNAnalysis512[[#This Row],[Highest Target]]-tblPiNAnalysis512[[#This Row],[2nd Highest Target]], "")</f>
        <v>0</v>
      </c>
      <c r="AS84" s="39" t="str">
        <f>IFERROR(((tblPiNAnalysis512[[#This Row],[Highest Target]]-tblPiNAnalysis512[[#This Row],[2nd Highest Target]])/tblPiNAnalysis512[[#This Row],[2nd Highest Target]]),"")</f>
        <v/>
      </c>
      <c r="AT84" s="39" t="str" cm="1">
        <f t="array" ref="AT8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4" s="332" cm="1">
        <f t="array" ref="AU8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4" s="190" t="str" cm="1">
        <f t="array" ref="AV84">IF(tblPiNAnalysis512[[#This Row],[3rd Highest Target]]="", "", _xlfn.TEXTJOIN(CHAR(10), TRUE, IF(tblPiNAnalysis512[[#This Row],[3rd Highest Target]]=tblPiNAnalysis512[[#This Row],[CCCM]:[WASH]], tblPiNAnalysis512[[#Headers],[CCCM]:[WASH]], "")))</f>
        <v>CCCM
Education
Nutrition
Food Security
Health
Overarching Protection
Shelter
WASH</v>
      </c>
      <c r="AW84" s="190">
        <f>IFERROR(tblPiNAnalysis512[[#This Row],[3rd Highest Target]]/tblPiNAnalysis512[[#This Row],[Affected population projection 2026]], "")</f>
        <v>0</v>
      </c>
      <c r="AX84" s="45">
        <f>IFERROR(tblPiNAnalysis512[[#This Row],[Highest Target]]-tblPiNAnalysis512[[#This Row],[3rd Highest Target]],"")</f>
        <v>0</v>
      </c>
      <c r="AY84" s="39" t="str">
        <f>IFERROR(tblPiNAnalysis512[[#This Row],[Difference of Target between Highest and 3rd Highest]]/tblPiNAnalysis512[[#This Row],[3rd Highest Target]], "")</f>
        <v/>
      </c>
      <c r="AZ84" s="330" t="str" cm="1">
        <f t="array" ref="AZ8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4" s="300" t="str" cm="1">
        <f t="array" ref="BA8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4" s="333" t="str" cm="1">
        <f t="array" ref="BB8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4" s="276" t="str" cm="1">
        <f t="array" ref="BC8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4" s="334" t="str" cm="1">
        <f t="array" ref="BD8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4" s="277" t="e">
        <f>INDEX(tblSeverityAnalysis[Final Severity], MATCH(tblPiNAnalysis512[[#This Row],[ID]],tblSeverityAnalysis[ID], 0))</f>
        <v>#N/A</v>
      </c>
      <c r="BF84" s="61" t="e">
        <f>IF(tblPiNAnalysis512[[#This Row],[Severity]]&gt;2,tblPiNAnalysis512[[#This Row],[Highest Target]],)</f>
        <v>#N/A</v>
      </c>
      <c r="BG84" s="191"/>
      <c r="BH84" s="192"/>
      <c r="BI84" s="193">
        <f>COUNTIFS(tblPiNAnalysis512[[#This Row],[Number of missing / zero PiNs greater than threshold - Data quality]:[Manual Flag]],"Flagged")</f>
        <v>2</v>
      </c>
      <c r="BJ84" s="96" t="str">
        <f>IF(tblPiNAnalysis512[[#This Row],['# Flags]]&gt;0, "Flagged", "")</f>
        <v>Flagged</v>
      </c>
      <c r="BK84" s="326" t="e">
        <f>tblPiNAnalysis512[[#This Row],[Preliminary Target]]</f>
        <v>#N/A</v>
      </c>
      <c r="BL84" s="331">
        <v>4</v>
      </c>
    </row>
    <row r="85" spans="1:64" ht="110.7" x14ac:dyDescent="0.55000000000000004">
      <c r="A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5" s="316" t="s">
        <v>236</v>
      </c>
      <c r="C85" s="317" t="s">
        <v>237</v>
      </c>
      <c r="D85" s="317" t="s">
        <v>240</v>
      </c>
      <c r="E85" s="105" t="s">
        <v>241</v>
      </c>
      <c r="F85" s="100"/>
      <c r="G85" s="34"/>
      <c r="H85" s="34"/>
      <c r="I85" s="97">
        <v>165087.87496325735</v>
      </c>
      <c r="J85" s="97" t="s">
        <v>413</v>
      </c>
      <c r="K85" s="318">
        <v>0</v>
      </c>
      <c r="L85" s="319">
        <v>0</v>
      </c>
      <c r="M85" s="319">
        <v>0</v>
      </c>
      <c r="N85" s="319">
        <v>0</v>
      </c>
      <c r="O85" s="319">
        <v>0</v>
      </c>
      <c r="P85" s="319">
        <v>0</v>
      </c>
      <c r="Q85" s="320">
        <v>0</v>
      </c>
      <c r="R85" s="319">
        <v>0</v>
      </c>
      <c r="S85" s="319"/>
      <c r="T85" s="319"/>
      <c r="U85" s="319"/>
      <c r="V85" s="319"/>
      <c r="W85" s="321">
        <f>IFERROR(IF(tblPiNAnalysis512[[#This Row],[CCCM]]="", "", MROUND(tblPiNAnalysis512[[#This Row],[CCCM]]/tblPiNAnalysis512[[#This Row],[Affected population projection 2026]], 0.05)), "")</f>
        <v>0</v>
      </c>
      <c r="X85" s="322">
        <f>IFERROR(IF(tblPiNAnalysis512[[#This Row],[Education]]="", "", MROUND(tblPiNAnalysis512[[#This Row],[Education]]/tblPiNAnalysis512[[#This Row],[Affected population projection 2026]], 0.05)), "")</f>
        <v>0</v>
      </c>
      <c r="Y85" s="322">
        <f>IFERROR(IF(tblPiNAnalysis512[[#This Row],[Nutrition]]="", "", MROUND(tblPiNAnalysis512[[#This Row],[Nutrition]]/tblPiNAnalysis512[[#This Row],[Affected population projection 2026]], 0.05)), "")</f>
        <v>0</v>
      </c>
      <c r="Z85" s="322">
        <f>IFERROR(IF(tblPiNAnalysis512[[#This Row],[Food Security]]="", "", MROUND(tblPiNAnalysis512[[#This Row],[Food Security]]/tblPiNAnalysis512[[#This Row],[Affected population projection 2026]], 0.05)), "")</f>
        <v>0</v>
      </c>
      <c r="AA85" s="322">
        <f>IFERROR(IF(tblPiNAnalysis512[[#This Row],[Health]]="", "", MROUND(tblPiNAnalysis512[[#This Row],[Health]]/tblPiNAnalysis512[[#This Row],[Affected population projection 2026]], 0.05)), "")</f>
        <v>0</v>
      </c>
      <c r="AB85" s="323">
        <f>IFERROR(IF(tblPiNAnalysis512[[#This Row],[Overarching Protection]]="", "", MROUND(tblPiNAnalysis512[[#This Row],[Overarching Protection]]/tblPiNAnalysis512[[#This Row],[Affected population projection 2026]], 0.05)), "")</f>
        <v>0</v>
      </c>
      <c r="AC85" s="323">
        <f>IFERROR(IF(tblPiNAnalysis512[[#This Row],[Shelter]]="", "", MROUND(tblPiNAnalysis512[[#This Row],[Shelter]]/tblPiNAnalysis512[[#This Row],[Affected population projection 2026]], 0.05)), "")</f>
        <v>0</v>
      </c>
      <c r="AD85" s="324">
        <f>IFERROR(IF(tblPiNAnalysis512[[#This Row],[WASH]]="", "", MROUND(tblPiNAnalysis512[[#This Row],[WASH]]/tblPiNAnalysis512[[#This Row],[Affected population projection 2026]], 0.05)), "")</f>
        <v>0</v>
      </c>
      <c r="AE85" s="322">
        <f>IFERROR(MROUND(tblPiNAnalysis512[[#This Row],[CP]]/tblPiNAnalysis512[[#This Row],[Affected population projection 2026]], 0.05), "")</f>
        <v>0</v>
      </c>
      <c r="AF85" s="322">
        <f>IFERROR(MROUND(tblPiNAnalysis512[[#This Row],[GBV]]/tblPiNAnalysis512[[#This Row],[Affected population projection 2026]], 0.05), "")</f>
        <v>0</v>
      </c>
      <c r="AG85" s="322">
        <f>IFERROR(MROUND(tblPiNAnalysis512[[#This Row],[Mine Action]]/tblPiNAnalysis512[[#This Row],[Affected population projection 2026]], 0.05), "")</f>
        <v>0</v>
      </c>
      <c r="AH85" s="322">
        <f>IFERROR(MROUND(tblPiNAnalysis512[[#This Row],[HLP]]/tblPiNAnalysis512[[#This Row],[Affected population projection 2026]], 0.05), "")</f>
        <v>0</v>
      </c>
      <c r="AI85" s="325">
        <f>IFERROR(LARGE(tblPiNAnalysis512[[#This Row],[CCCM]:[WASH]], 1), "")</f>
        <v>0</v>
      </c>
      <c r="AJ85" s="326" t="str" cm="1">
        <f t="array" ref="AJ85">IF(tblPiNAnalysis512[[#This Row],[Highest Target]]="", "", _xlfn.TEXTJOIN(CHAR(10), TRUE, IF(tblPiNAnalysis512[[#This Row],[Highest Target]]=tblPiNAnalysis512[[#This Row],[CCCM]:[WASH]], tblPiNAnalysis512[[#Headers],[CCCM]:[WASH]], "")))</f>
        <v>CCCM
Education
Nutrition
Food Security
Health
Overarching Protection
Shelter
WASH</v>
      </c>
      <c r="AK85" s="327">
        <f>IF(tblPiNAnalysis512[[#This Row],[Highest Target]]="", "", tblPiNAnalysis512[[#This Row],[Highest Target]]/tblPiNAnalysis512[[#This Row],[Affected population projection 2026]])</f>
        <v>0</v>
      </c>
      <c r="AL85" s="328" t="str">
        <f>IF(SUM(tblPiNAnalysis512[[#This Row],[CCCM]:[WASH]])=0, "",IF(COUNTIF(tblPiNAnalysis512[[#This Row],[CCCM]:[WASH]],"=0")+COUNTIF(tblPiNAnalysis512[[#This Row],[CCCM]:[WASH]],"")&gt;=zero_pin_thresh, "Flagged", ""))</f>
        <v/>
      </c>
      <c r="AM85" s="329" t="str">
        <f>IFERROR(IF(tblPiNAnalysis512[[#This Row],[Highest Target]]="", "", IF(tblPiNAnalysis512[[#This Row],[Highest sector(s'') Target %]]&gt;=flag_pin_perc, "Flagged", "")), "")</f>
        <v/>
      </c>
      <c r="AN85" s="330" t="str" cm="1">
        <f t="array" ref="AN85">IF(tblPiNAnalysis512[[#This Row],[Highest Target]]=0, "",  IF(OR(COUNTIF(tblPiNAnalysis512[[#This Row],[Highest sector(s)]],tblSubSectorPopulation[Sector])), "Flagged", ""))</f>
        <v/>
      </c>
      <c r="AO85" s="46" cm="1">
        <f t="array" ref="AO8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5" s="331" t="str" cm="1">
        <f t="array" ref="AP85">IF(tblPiNAnalysis512[[#This Row],[2nd Highest Target]]="", "", _xlfn.TEXTJOIN(CHAR(10), TRUE, IF(tblPiNAnalysis512[[#This Row],[2nd Highest Target]]=tblPiNAnalysis512[[#This Row],[CCCM]:[WASH]], tblPiNAnalysis512[[#Headers],[CCCM]:[WASH]], "")))</f>
        <v>CCCM
Education
Nutrition
Food Security
Health
Overarching Protection
Shelter
WASH</v>
      </c>
      <c r="AQ85" s="36">
        <f>IFERROR(tblPiNAnalysis512[[#This Row],[2nd Highest Target]]/tblPiNAnalysis512[[#This Row],[Affected population projection 2026]], "")</f>
        <v>0</v>
      </c>
      <c r="AR85" s="46">
        <f>IFERROR(tblPiNAnalysis512[[#This Row],[Highest Target]]-tblPiNAnalysis512[[#This Row],[2nd Highest Target]], "")</f>
        <v>0</v>
      </c>
      <c r="AS85" s="39" t="str">
        <f>IFERROR(((tblPiNAnalysis512[[#This Row],[Highest Target]]-tblPiNAnalysis512[[#This Row],[2nd Highest Target]])/tblPiNAnalysis512[[#This Row],[2nd Highest Target]]),"")</f>
        <v/>
      </c>
      <c r="AT85" s="39" t="str" cm="1">
        <f t="array" ref="AT8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5" s="332" cm="1">
        <f t="array" ref="AU8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5" s="190" t="str" cm="1">
        <f t="array" ref="AV85">IF(tblPiNAnalysis512[[#This Row],[3rd Highest Target]]="", "", _xlfn.TEXTJOIN(CHAR(10), TRUE, IF(tblPiNAnalysis512[[#This Row],[3rd Highest Target]]=tblPiNAnalysis512[[#This Row],[CCCM]:[WASH]], tblPiNAnalysis512[[#Headers],[CCCM]:[WASH]], "")))</f>
        <v>CCCM
Education
Nutrition
Food Security
Health
Overarching Protection
Shelter
WASH</v>
      </c>
      <c r="AW85" s="190">
        <f>IFERROR(tblPiNAnalysis512[[#This Row],[3rd Highest Target]]/tblPiNAnalysis512[[#This Row],[Affected population projection 2026]], "")</f>
        <v>0</v>
      </c>
      <c r="AX85" s="45">
        <f>IFERROR(tblPiNAnalysis512[[#This Row],[Highest Target]]-tblPiNAnalysis512[[#This Row],[3rd Highest Target]],"")</f>
        <v>0</v>
      </c>
      <c r="AY85" s="39" t="str">
        <f>IFERROR(tblPiNAnalysis512[[#This Row],[Difference of Target between Highest and 3rd Highest]]/tblPiNAnalysis512[[#This Row],[3rd Highest Target]], "")</f>
        <v/>
      </c>
      <c r="AZ85" s="330" t="str" cm="1">
        <f t="array" ref="AZ8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5" s="300" t="str" cm="1">
        <f t="array" ref="BA8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5" s="333" t="str" cm="1">
        <f t="array" ref="BB8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5" s="276" t="str" cm="1">
        <f t="array" ref="BC8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5" s="334" t="str" cm="1">
        <f t="array" ref="BD8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5" s="277" t="e">
        <f>INDEX(tblSeverityAnalysis[Final Severity], MATCH(tblPiNAnalysis512[[#This Row],[ID]],tblSeverityAnalysis[ID], 0))</f>
        <v>#N/A</v>
      </c>
      <c r="BF85" s="61" t="e">
        <f>IF(tblPiNAnalysis512[[#This Row],[Severity]]&gt;2,tblPiNAnalysis512[[#This Row],[Highest Target]],)</f>
        <v>#N/A</v>
      </c>
      <c r="BG85" s="191"/>
      <c r="BH85" s="192"/>
      <c r="BI85" s="193">
        <f>COUNTIFS(tblPiNAnalysis512[[#This Row],[Number of missing / zero PiNs greater than threshold - Data quality]:[Manual Flag]],"Flagged")</f>
        <v>2</v>
      </c>
      <c r="BJ85" s="96" t="str">
        <f>IF(tblPiNAnalysis512[[#This Row],['# Flags]]&gt;0, "Flagged", "")</f>
        <v>Flagged</v>
      </c>
      <c r="BK85" s="326" t="e">
        <f>tblPiNAnalysis512[[#This Row],[Preliminary Target]]</f>
        <v>#N/A</v>
      </c>
      <c r="BL85" s="331">
        <v>5</v>
      </c>
    </row>
    <row r="86" spans="1:64" ht="110.7" x14ac:dyDescent="0.55000000000000004">
      <c r="A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6" s="316" t="s">
        <v>236</v>
      </c>
      <c r="C86" s="317" t="s">
        <v>237</v>
      </c>
      <c r="D86" s="317" t="s">
        <v>242</v>
      </c>
      <c r="E86" s="105" t="s">
        <v>243</v>
      </c>
      <c r="F86" s="100"/>
      <c r="G86" s="34"/>
      <c r="H86" s="34"/>
      <c r="I86" s="97">
        <v>81323.353354623177</v>
      </c>
      <c r="J86" s="97" t="s">
        <v>413</v>
      </c>
      <c r="K86" s="318">
        <v>0</v>
      </c>
      <c r="L86" s="319">
        <v>0</v>
      </c>
      <c r="M86" s="319">
        <v>0</v>
      </c>
      <c r="N86" s="319">
        <v>0</v>
      </c>
      <c r="O86" s="319">
        <v>0</v>
      </c>
      <c r="P86" s="319">
        <v>0</v>
      </c>
      <c r="Q86" s="320">
        <v>0</v>
      </c>
      <c r="R86" s="319">
        <v>0</v>
      </c>
      <c r="S86" s="319"/>
      <c r="T86" s="319"/>
      <c r="U86" s="319"/>
      <c r="V86" s="319"/>
      <c r="W86" s="321">
        <f>IFERROR(IF(tblPiNAnalysis512[[#This Row],[CCCM]]="", "", MROUND(tblPiNAnalysis512[[#This Row],[CCCM]]/tblPiNAnalysis512[[#This Row],[Affected population projection 2026]], 0.05)), "")</f>
        <v>0</v>
      </c>
      <c r="X86" s="322">
        <f>IFERROR(IF(tblPiNAnalysis512[[#This Row],[Education]]="", "", MROUND(tblPiNAnalysis512[[#This Row],[Education]]/tblPiNAnalysis512[[#This Row],[Affected population projection 2026]], 0.05)), "")</f>
        <v>0</v>
      </c>
      <c r="Y86" s="322">
        <f>IFERROR(IF(tblPiNAnalysis512[[#This Row],[Nutrition]]="", "", MROUND(tblPiNAnalysis512[[#This Row],[Nutrition]]/tblPiNAnalysis512[[#This Row],[Affected population projection 2026]], 0.05)), "")</f>
        <v>0</v>
      </c>
      <c r="Z86" s="322">
        <f>IFERROR(IF(tblPiNAnalysis512[[#This Row],[Food Security]]="", "", MROUND(tblPiNAnalysis512[[#This Row],[Food Security]]/tblPiNAnalysis512[[#This Row],[Affected population projection 2026]], 0.05)), "")</f>
        <v>0</v>
      </c>
      <c r="AA86" s="322">
        <f>IFERROR(IF(tblPiNAnalysis512[[#This Row],[Health]]="", "", MROUND(tblPiNAnalysis512[[#This Row],[Health]]/tblPiNAnalysis512[[#This Row],[Affected population projection 2026]], 0.05)), "")</f>
        <v>0</v>
      </c>
      <c r="AB86" s="323">
        <f>IFERROR(IF(tblPiNAnalysis512[[#This Row],[Overarching Protection]]="", "", MROUND(tblPiNAnalysis512[[#This Row],[Overarching Protection]]/tblPiNAnalysis512[[#This Row],[Affected population projection 2026]], 0.05)), "")</f>
        <v>0</v>
      </c>
      <c r="AC86" s="323">
        <f>IFERROR(IF(tblPiNAnalysis512[[#This Row],[Shelter]]="", "", MROUND(tblPiNAnalysis512[[#This Row],[Shelter]]/tblPiNAnalysis512[[#This Row],[Affected population projection 2026]], 0.05)), "")</f>
        <v>0</v>
      </c>
      <c r="AD86" s="324">
        <f>IFERROR(IF(tblPiNAnalysis512[[#This Row],[WASH]]="", "", MROUND(tblPiNAnalysis512[[#This Row],[WASH]]/tblPiNAnalysis512[[#This Row],[Affected population projection 2026]], 0.05)), "")</f>
        <v>0</v>
      </c>
      <c r="AE86" s="322">
        <f>IFERROR(MROUND(tblPiNAnalysis512[[#This Row],[CP]]/tblPiNAnalysis512[[#This Row],[Affected population projection 2026]], 0.05), "")</f>
        <v>0</v>
      </c>
      <c r="AF86" s="322">
        <f>IFERROR(MROUND(tblPiNAnalysis512[[#This Row],[GBV]]/tblPiNAnalysis512[[#This Row],[Affected population projection 2026]], 0.05), "")</f>
        <v>0</v>
      </c>
      <c r="AG86" s="322">
        <f>IFERROR(MROUND(tblPiNAnalysis512[[#This Row],[Mine Action]]/tblPiNAnalysis512[[#This Row],[Affected population projection 2026]], 0.05), "")</f>
        <v>0</v>
      </c>
      <c r="AH86" s="322">
        <f>IFERROR(MROUND(tblPiNAnalysis512[[#This Row],[HLP]]/tblPiNAnalysis512[[#This Row],[Affected population projection 2026]], 0.05), "")</f>
        <v>0</v>
      </c>
      <c r="AI86" s="325">
        <f>IFERROR(LARGE(tblPiNAnalysis512[[#This Row],[CCCM]:[WASH]], 1), "")</f>
        <v>0</v>
      </c>
      <c r="AJ86" s="326" t="str" cm="1">
        <f t="array" ref="AJ86">IF(tblPiNAnalysis512[[#This Row],[Highest Target]]="", "", _xlfn.TEXTJOIN(CHAR(10), TRUE, IF(tblPiNAnalysis512[[#This Row],[Highest Target]]=tblPiNAnalysis512[[#This Row],[CCCM]:[WASH]], tblPiNAnalysis512[[#Headers],[CCCM]:[WASH]], "")))</f>
        <v>CCCM
Education
Nutrition
Food Security
Health
Overarching Protection
Shelter
WASH</v>
      </c>
      <c r="AK86" s="327">
        <f>IF(tblPiNAnalysis512[[#This Row],[Highest Target]]="", "", tblPiNAnalysis512[[#This Row],[Highest Target]]/tblPiNAnalysis512[[#This Row],[Affected population projection 2026]])</f>
        <v>0</v>
      </c>
      <c r="AL86" s="328" t="str">
        <f>IF(SUM(tblPiNAnalysis512[[#This Row],[CCCM]:[WASH]])=0, "",IF(COUNTIF(tblPiNAnalysis512[[#This Row],[CCCM]:[WASH]],"=0")+COUNTIF(tblPiNAnalysis512[[#This Row],[CCCM]:[WASH]],"")&gt;=zero_pin_thresh, "Flagged", ""))</f>
        <v/>
      </c>
      <c r="AM86" s="329" t="str">
        <f>IFERROR(IF(tblPiNAnalysis512[[#This Row],[Highest Target]]="", "", IF(tblPiNAnalysis512[[#This Row],[Highest sector(s'') Target %]]&gt;=flag_pin_perc, "Flagged", "")), "")</f>
        <v/>
      </c>
      <c r="AN86" s="330" t="str" cm="1">
        <f t="array" ref="AN86">IF(tblPiNAnalysis512[[#This Row],[Highest Target]]=0, "",  IF(OR(COUNTIF(tblPiNAnalysis512[[#This Row],[Highest sector(s)]],tblSubSectorPopulation[Sector])), "Flagged", ""))</f>
        <v/>
      </c>
      <c r="AO86" s="46" cm="1">
        <f t="array" ref="AO8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6" s="331" t="str" cm="1">
        <f t="array" ref="AP86">IF(tblPiNAnalysis512[[#This Row],[2nd Highest Target]]="", "", _xlfn.TEXTJOIN(CHAR(10), TRUE, IF(tblPiNAnalysis512[[#This Row],[2nd Highest Target]]=tblPiNAnalysis512[[#This Row],[CCCM]:[WASH]], tblPiNAnalysis512[[#Headers],[CCCM]:[WASH]], "")))</f>
        <v>CCCM
Education
Nutrition
Food Security
Health
Overarching Protection
Shelter
WASH</v>
      </c>
      <c r="AQ86" s="36">
        <f>IFERROR(tblPiNAnalysis512[[#This Row],[2nd Highest Target]]/tblPiNAnalysis512[[#This Row],[Affected population projection 2026]], "")</f>
        <v>0</v>
      </c>
      <c r="AR86" s="46">
        <f>IFERROR(tblPiNAnalysis512[[#This Row],[Highest Target]]-tblPiNAnalysis512[[#This Row],[2nd Highest Target]], "")</f>
        <v>0</v>
      </c>
      <c r="AS86" s="39" t="str">
        <f>IFERROR(((tblPiNAnalysis512[[#This Row],[Highest Target]]-tblPiNAnalysis512[[#This Row],[2nd Highest Target]])/tblPiNAnalysis512[[#This Row],[2nd Highest Target]]),"")</f>
        <v/>
      </c>
      <c r="AT86" s="39" t="str" cm="1">
        <f t="array" ref="AT8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6" s="332" cm="1">
        <f t="array" ref="AU8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6" s="190" t="str" cm="1">
        <f t="array" ref="AV86">IF(tblPiNAnalysis512[[#This Row],[3rd Highest Target]]="", "", _xlfn.TEXTJOIN(CHAR(10), TRUE, IF(tblPiNAnalysis512[[#This Row],[3rd Highest Target]]=tblPiNAnalysis512[[#This Row],[CCCM]:[WASH]], tblPiNAnalysis512[[#Headers],[CCCM]:[WASH]], "")))</f>
        <v>CCCM
Education
Nutrition
Food Security
Health
Overarching Protection
Shelter
WASH</v>
      </c>
      <c r="AW86" s="190">
        <f>IFERROR(tblPiNAnalysis512[[#This Row],[3rd Highest Target]]/tblPiNAnalysis512[[#This Row],[Affected population projection 2026]], "")</f>
        <v>0</v>
      </c>
      <c r="AX86" s="45">
        <f>IFERROR(tblPiNAnalysis512[[#This Row],[Highest Target]]-tblPiNAnalysis512[[#This Row],[3rd Highest Target]],"")</f>
        <v>0</v>
      </c>
      <c r="AY86" s="39" t="str">
        <f>IFERROR(tblPiNAnalysis512[[#This Row],[Difference of Target between Highest and 3rd Highest]]/tblPiNAnalysis512[[#This Row],[3rd Highest Target]], "")</f>
        <v/>
      </c>
      <c r="AZ86" s="330" t="str" cm="1">
        <f t="array" ref="AZ8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6" s="300" t="str" cm="1">
        <f t="array" ref="BA8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6" s="333" t="str" cm="1">
        <f t="array" ref="BB8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6" s="276" t="str" cm="1">
        <f t="array" ref="BC8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6" s="334" t="str" cm="1">
        <f t="array" ref="BD8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6" s="277" t="e">
        <f>INDEX(tblSeverityAnalysis[Final Severity], MATCH(tblPiNAnalysis512[[#This Row],[ID]],tblSeverityAnalysis[ID], 0))</f>
        <v>#N/A</v>
      </c>
      <c r="BF86" s="61" t="e">
        <f>IF(tblPiNAnalysis512[[#This Row],[Severity]]&gt;2,tblPiNAnalysis512[[#This Row],[Highest Target]],)</f>
        <v>#N/A</v>
      </c>
      <c r="BG86" s="191"/>
      <c r="BH86" s="192"/>
      <c r="BI86" s="193">
        <f>COUNTIFS(tblPiNAnalysis512[[#This Row],[Number of missing / zero PiNs greater than threshold - Data quality]:[Manual Flag]],"Flagged")</f>
        <v>2</v>
      </c>
      <c r="BJ86" s="96" t="str">
        <f>IF(tblPiNAnalysis512[[#This Row],['# Flags]]&gt;0, "Flagged", "")</f>
        <v>Flagged</v>
      </c>
      <c r="BK86" s="326" t="e">
        <f>tblPiNAnalysis512[[#This Row],[Preliminary Target]]</f>
        <v>#N/A</v>
      </c>
      <c r="BL86" s="331">
        <v>5</v>
      </c>
    </row>
    <row r="87" spans="1:64" ht="110.7" x14ac:dyDescent="0.55000000000000004">
      <c r="A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7" s="316" t="s">
        <v>236</v>
      </c>
      <c r="C87" s="317" t="s">
        <v>237</v>
      </c>
      <c r="D87" s="317" t="s">
        <v>244</v>
      </c>
      <c r="E87" s="105" t="s">
        <v>245</v>
      </c>
      <c r="F87" s="100"/>
      <c r="G87" s="34"/>
      <c r="H87" s="34"/>
      <c r="I87" s="97">
        <v>76038.235545987191</v>
      </c>
      <c r="J87" s="97" t="s">
        <v>413</v>
      </c>
      <c r="K87" s="318">
        <v>0</v>
      </c>
      <c r="L87" s="319">
        <v>0</v>
      </c>
      <c r="M87" s="319">
        <v>0</v>
      </c>
      <c r="N87" s="319">
        <v>0</v>
      </c>
      <c r="O87" s="319">
        <v>0</v>
      </c>
      <c r="P87" s="319">
        <v>0</v>
      </c>
      <c r="Q87" s="320">
        <v>0</v>
      </c>
      <c r="R87" s="319">
        <v>0</v>
      </c>
      <c r="S87" s="319"/>
      <c r="T87" s="319"/>
      <c r="U87" s="319"/>
      <c r="V87" s="319"/>
      <c r="W87" s="321">
        <f>IFERROR(IF(tblPiNAnalysis512[[#This Row],[CCCM]]="", "", MROUND(tblPiNAnalysis512[[#This Row],[CCCM]]/tblPiNAnalysis512[[#This Row],[Affected population projection 2026]], 0.05)), "")</f>
        <v>0</v>
      </c>
      <c r="X87" s="322">
        <f>IFERROR(IF(tblPiNAnalysis512[[#This Row],[Education]]="", "", MROUND(tblPiNAnalysis512[[#This Row],[Education]]/tblPiNAnalysis512[[#This Row],[Affected population projection 2026]], 0.05)), "")</f>
        <v>0</v>
      </c>
      <c r="Y87" s="322">
        <f>IFERROR(IF(tblPiNAnalysis512[[#This Row],[Nutrition]]="", "", MROUND(tblPiNAnalysis512[[#This Row],[Nutrition]]/tblPiNAnalysis512[[#This Row],[Affected population projection 2026]], 0.05)), "")</f>
        <v>0</v>
      </c>
      <c r="Z87" s="322">
        <f>IFERROR(IF(tblPiNAnalysis512[[#This Row],[Food Security]]="", "", MROUND(tblPiNAnalysis512[[#This Row],[Food Security]]/tblPiNAnalysis512[[#This Row],[Affected population projection 2026]], 0.05)), "")</f>
        <v>0</v>
      </c>
      <c r="AA87" s="322">
        <f>IFERROR(IF(tblPiNAnalysis512[[#This Row],[Health]]="", "", MROUND(tblPiNAnalysis512[[#This Row],[Health]]/tblPiNAnalysis512[[#This Row],[Affected population projection 2026]], 0.05)), "")</f>
        <v>0</v>
      </c>
      <c r="AB87" s="323">
        <f>IFERROR(IF(tblPiNAnalysis512[[#This Row],[Overarching Protection]]="", "", MROUND(tblPiNAnalysis512[[#This Row],[Overarching Protection]]/tblPiNAnalysis512[[#This Row],[Affected population projection 2026]], 0.05)), "")</f>
        <v>0</v>
      </c>
      <c r="AC87" s="323">
        <f>IFERROR(IF(tblPiNAnalysis512[[#This Row],[Shelter]]="", "", MROUND(tblPiNAnalysis512[[#This Row],[Shelter]]/tblPiNAnalysis512[[#This Row],[Affected population projection 2026]], 0.05)), "")</f>
        <v>0</v>
      </c>
      <c r="AD87" s="324">
        <f>IFERROR(IF(tblPiNAnalysis512[[#This Row],[WASH]]="", "", MROUND(tblPiNAnalysis512[[#This Row],[WASH]]/tblPiNAnalysis512[[#This Row],[Affected population projection 2026]], 0.05)), "")</f>
        <v>0</v>
      </c>
      <c r="AE87" s="322">
        <f>IFERROR(MROUND(tblPiNAnalysis512[[#This Row],[CP]]/tblPiNAnalysis512[[#This Row],[Affected population projection 2026]], 0.05), "")</f>
        <v>0</v>
      </c>
      <c r="AF87" s="322">
        <f>IFERROR(MROUND(tblPiNAnalysis512[[#This Row],[GBV]]/tblPiNAnalysis512[[#This Row],[Affected population projection 2026]], 0.05), "")</f>
        <v>0</v>
      </c>
      <c r="AG87" s="322">
        <f>IFERROR(MROUND(tblPiNAnalysis512[[#This Row],[Mine Action]]/tblPiNAnalysis512[[#This Row],[Affected population projection 2026]], 0.05), "")</f>
        <v>0</v>
      </c>
      <c r="AH87" s="322">
        <f>IFERROR(MROUND(tblPiNAnalysis512[[#This Row],[HLP]]/tblPiNAnalysis512[[#This Row],[Affected population projection 2026]], 0.05), "")</f>
        <v>0</v>
      </c>
      <c r="AI87" s="325">
        <f>IFERROR(LARGE(tblPiNAnalysis512[[#This Row],[CCCM]:[WASH]], 1), "")</f>
        <v>0</v>
      </c>
      <c r="AJ87" s="326" t="str" cm="1">
        <f t="array" ref="AJ87">IF(tblPiNAnalysis512[[#This Row],[Highest Target]]="", "", _xlfn.TEXTJOIN(CHAR(10), TRUE, IF(tblPiNAnalysis512[[#This Row],[Highest Target]]=tblPiNAnalysis512[[#This Row],[CCCM]:[WASH]], tblPiNAnalysis512[[#Headers],[CCCM]:[WASH]], "")))</f>
        <v>CCCM
Education
Nutrition
Food Security
Health
Overarching Protection
Shelter
WASH</v>
      </c>
      <c r="AK87" s="327">
        <f>IF(tblPiNAnalysis512[[#This Row],[Highest Target]]="", "", tblPiNAnalysis512[[#This Row],[Highest Target]]/tblPiNAnalysis512[[#This Row],[Affected population projection 2026]])</f>
        <v>0</v>
      </c>
      <c r="AL87" s="328" t="str">
        <f>IF(SUM(tblPiNAnalysis512[[#This Row],[CCCM]:[WASH]])=0, "",IF(COUNTIF(tblPiNAnalysis512[[#This Row],[CCCM]:[WASH]],"=0")+COUNTIF(tblPiNAnalysis512[[#This Row],[CCCM]:[WASH]],"")&gt;=zero_pin_thresh, "Flagged", ""))</f>
        <v/>
      </c>
      <c r="AM87" s="329" t="str">
        <f>IFERROR(IF(tblPiNAnalysis512[[#This Row],[Highest Target]]="", "", IF(tblPiNAnalysis512[[#This Row],[Highest sector(s'') Target %]]&gt;=flag_pin_perc, "Flagged", "")), "")</f>
        <v/>
      </c>
      <c r="AN87" s="330" t="str" cm="1">
        <f t="array" ref="AN87">IF(tblPiNAnalysis512[[#This Row],[Highest Target]]=0, "",  IF(OR(COUNTIF(tblPiNAnalysis512[[#This Row],[Highest sector(s)]],tblSubSectorPopulation[Sector])), "Flagged", ""))</f>
        <v/>
      </c>
      <c r="AO87" s="46" cm="1">
        <f t="array" ref="AO8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7" s="331" t="str" cm="1">
        <f t="array" ref="AP87">IF(tblPiNAnalysis512[[#This Row],[2nd Highest Target]]="", "", _xlfn.TEXTJOIN(CHAR(10), TRUE, IF(tblPiNAnalysis512[[#This Row],[2nd Highest Target]]=tblPiNAnalysis512[[#This Row],[CCCM]:[WASH]], tblPiNAnalysis512[[#Headers],[CCCM]:[WASH]], "")))</f>
        <v>CCCM
Education
Nutrition
Food Security
Health
Overarching Protection
Shelter
WASH</v>
      </c>
      <c r="AQ87" s="36">
        <f>IFERROR(tblPiNAnalysis512[[#This Row],[2nd Highest Target]]/tblPiNAnalysis512[[#This Row],[Affected population projection 2026]], "")</f>
        <v>0</v>
      </c>
      <c r="AR87" s="46">
        <f>IFERROR(tblPiNAnalysis512[[#This Row],[Highest Target]]-tblPiNAnalysis512[[#This Row],[2nd Highest Target]], "")</f>
        <v>0</v>
      </c>
      <c r="AS87" s="39" t="str">
        <f>IFERROR(((tblPiNAnalysis512[[#This Row],[Highest Target]]-tblPiNAnalysis512[[#This Row],[2nd Highest Target]])/tblPiNAnalysis512[[#This Row],[2nd Highest Target]]),"")</f>
        <v/>
      </c>
      <c r="AT87" s="39" t="str" cm="1">
        <f t="array" ref="AT8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7" s="332" cm="1">
        <f t="array" ref="AU8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7" s="190" t="str" cm="1">
        <f t="array" ref="AV87">IF(tblPiNAnalysis512[[#This Row],[3rd Highest Target]]="", "", _xlfn.TEXTJOIN(CHAR(10), TRUE, IF(tblPiNAnalysis512[[#This Row],[3rd Highest Target]]=tblPiNAnalysis512[[#This Row],[CCCM]:[WASH]], tblPiNAnalysis512[[#Headers],[CCCM]:[WASH]], "")))</f>
        <v>CCCM
Education
Nutrition
Food Security
Health
Overarching Protection
Shelter
WASH</v>
      </c>
      <c r="AW87" s="190">
        <f>IFERROR(tblPiNAnalysis512[[#This Row],[3rd Highest Target]]/tblPiNAnalysis512[[#This Row],[Affected population projection 2026]], "")</f>
        <v>0</v>
      </c>
      <c r="AX87" s="45">
        <f>IFERROR(tblPiNAnalysis512[[#This Row],[Highest Target]]-tblPiNAnalysis512[[#This Row],[3rd Highest Target]],"")</f>
        <v>0</v>
      </c>
      <c r="AY87" s="39" t="str">
        <f>IFERROR(tblPiNAnalysis512[[#This Row],[Difference of Target between Highest and 3rd Highest]]/tblPiNAnalysis512[[#This Row],[3rd Highest Target]], "")</f>
        <v/>
      </c>
      <c r="AZ87" s="330" t="str" cm="1">
        <f t="array" ref="AZ8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7" s="300" t="str" cm="1">
        <f t="array" ref="BA8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7" s="333" t="str" cm="1">
        <f t="array" ref="BB8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7" s="276" t="str" cm="1">
        <f t="array" ref="BC8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7" s="334" t="str" cm="1">
        <f t="array" ref="BD8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7" s="277" t="e">
        <f>INDEX(tblSeverityAnalysis[Final Severity], MATCH(tblPiNAnalysis512[[#This Row],[ID]],tblSeverityAnalysis[ID], 0))</f>
        <v>#N/A</v>
      </c>
      <c r="BF87" s="61" t="e">
        <f>IF(tblPiNAnalysis512[[#This Row],[Severity]]&gt;2,tblPiNAnalysis512[[#This Row],[Highest Target]],)</f>
        <v>#N/A</v>
      </c>
      <c r="BG87" s="191"/>
      <c r="BH87" s="192"/>
      <c r="BI87" s="193">
        <f>COUNTIFS(tblPiNAnalysis512[[#This Row],[Number of missing / zero PiNs greater than threshold - Data quality]:[Manual Flag]],"Flagged")</f>
        <v>2</v>
      </c>
      <c r="BJ87" s="96" t="str">
        <f>IF(tblPiNAnalysis512[[#This Row],['# Flags]]&gt;0, "Flagged", "")</f>
        <v>Flagged</v>
      </c>
      <c r="BK87" s="326" t="e">
        <f>tblPiNAnalysis512[[#This Row],[Preliminary Target]]</f>
        <v>#N/A</v>
      </c>
      <c r="BL87" s="331">
        <v>5</v>
      </c>
    </row>
    <row r="88" spans="1:64" ht="110.7" x14ac:dyDescent="0.55000000000000004">
      <c r="A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8" s="316" t="s">
        <v>236</v>
      </c>
      <c r="C88" s="317" t="s">
        <v>237</v>
      </c>
      <c r="D88" s="317" t="s">
        <v>246</v>
      </c>
      <c r="E88" s="105" t="s">
        <v>247</v>
      </c>
      <c r="F88" s="100"/>
      <c r="G88" s="34"/>
      <c r="H88" s="34"/>
      <c r="I88" s="97">
        <v>198861.49864411939</v>
      </c>
      <c r="J88" s="97" t="s">
        <v>413</v>
      </c>
      <c r="K88" s="318">
        <v>0</v>
      </c>
      <c r="L88" s="319">
        <v>0</v>
      </c>
      <c r="M88" s="319">
        <v>0</v>
      </c>
      <c r="N88" s="319">
        <v>0</v>
      </c>
      <c r="O88" s="319">
        <v>0</v>
      </c>
      <c r="P88" s="319">
        <v>0</v>
      </c>
      <c r="Q88" s="320">
        <v>0</v>
      </c>
      <c r="R88" s="319">
        <v>0</v>
      </c>
      <c r="S88" s="319"/>
      <c r="T88" s="319"/>
      <c r="U88" s="319"/>
      <c r="V88" s="319"/>
      <c r="W88" s="321">
        <f>IFERROR(IF(tblPiNAnalysis512[[#This Row],[CCCM]]="", "", MROUND(tblPiNAnalysis512[[#This Row],[CCCM]]/tblPiNAnalysis512[[#This Row],[Affected population projection 2026]], 0.05)), "")</f>
        <v>0</v>
      </c>
      <c r="X88" s="322">
        <f>IFERROR(IF(tblPiNAnalysis512[[#This Row],[Education]]="", "", MROUND(tblPiNAnalysis512[[#This Row],[Education]]/tblPiNAnalysis512[[#This Row],[Affected population projection 2026]], 0.05)), "")</f>
        <v>0</v>
      </c>
      <c r="Y88" s="322">
        <f>IFERROR(IF(tblPiNAnalysis512[[#This Row],[Nutrition]]="", "", MROUND(tblPiNAnalysis512[[#This Row],[Nutrition]]/tblPiNAnalysis512[[#This Row],[Affected population projection 2026]], 0.05)), "")</f>
        <v>0</v>
      </c>
      <c r="Z88" s="322">
        <f>IFERROR(IF(tblPiNAnalysis512[[#This Row],[Food Security]]="", "", MROUND(tblPiNAnalysis512[[#This Row],[Food Security]]/tblPiNAnalysis512[[#This Row],[Affected population projection 2026]], 0.05)), "")</f>
        <v>0</v>
      </c>
      <c r="AA88" s="322">
        <f>IFERROR(IF(tblPiNAnalysis512[[#This Row],[Health]]="", "", MROUND(tblPiNAnalysis512[[#This Row],[Health]]/tblPiNAnalysis512[[#This Row],[Affected population projection 2026]], 0.05)), "")</f>
        <v>0</v>
      </c>
      <c r="AB88" s="323">
        <f>IFERROR(IF(tblPiNAnalysis512[[#This Row],[Overarching Protection]]="", "", MROUND(tblPiNAnalysis512[[#This Row],[Overarching Protection]]/tblPiNAnalysis512[[#This Row],[Affected population projection 2026]], 0.05)), "")</f>
        <v>0</v>
      </c>
      <c r="AC88" s="323">
        <f>IFERROR(IF(tblPiNAnalysis512[[#This Row],[Shelter]]="", "", MROUND(tblPiNAnalysis512[[#This Row],[Shelter]]/tblPiNAnalysis512[[#This Row],[Affected population projection 2026]], 0.05)), "")</f>
        <v>0</v>
      </c>
      <c r="AD88" s="324">
        <f>IFERROR(IF(tblPiNAnalysis512[[#This Row],[WASH]]="", "", MROUND(tblPiNAnalysis512[[#This Row],[WASH]]/tblPiNAnalysis512[[#This Row],[Affected population projection 2026]], 0.05)), "")</f>
        <v>0</v>
      </c>
      <c r="AE88" s="322">
        <f>IFERROR(MROUND(tblPiNAnalysis512[[#This Row],[CP]]/tblPiNAnalysis512[[#This Row],[Affected population projection 2026]], 0.05), "")</f>
        <v>0</v>
      </c>
      <c r="AF88" s="322">
        <f>IFERROR(MROUND(tblPiNAnalysis512[[#This Row],[GBV]]/tblPiNAnalysis512[[#This Row],[Affected population projection 2026]], 0.05), "")</f>
        <v>0</v>
      </c>
      <c r="AG88" s="322">
        <f>IFERROR(MROUND(tblPiNAnalysis512[[#This Row],[Mine Action]]/tblPiNAnalysis512[[#This Row],[Affected population projection 2026]], 0.05), "")</f>
        <v>0</v>
      </c>
      <c r="AH88" s="322">
        <f>IFERROR(MROUND(tblPiNAnalysis512[[#This Row],[HLP]]/tblPiNAnalysis512[[#This Row],[Affected population projection 2026]], 0.05), "")</f>
        <v>0</v>
      </c>
      <c r="AI88" s="325">
        <f>IFERROR(LARGE(tblPiNAnalysis512[[#This Row],[CCCM]:[WASH]], 1), "")</f>
        <v>0</v>
      </c>
      <c r="AJ88" s="326" t="str" cm="1">
        <f t="array" ref="AJ88">IF(tblPiNAnalysis512[[#This Row],[Highest Target]]="", "", _xlfn.TEXTJOIN(CHAR(10), TRUE, IF(tblPiNAnalysis512[[#This Row],[Highest Target]]=tblPiNAnalysis512[[#This Row],[CCCM]:[WASH]], tblPiNAnalysis512[[#Headers],[CCCM]:[WASH]], "")))</f>
        <v>CCCM
Education
Nutrition
Food Security
Health
Overarching Protection
Shelter
WASH</v>
      </c>
      <c r="AK88" s="327">
        <f>IF(tblPiNAnalysis512[[#This Row],[Highest Target]]="", "", tblPiNAnalysis512[[#This Row],[Highest Target]]/tblPiNAnalysis512[[#This Row],[Affected population projection 2026]])</f>
        <v>0</v>
      </c>
      <c r="AL88" s="328" t="str">
        <f>IF(SUM(tblPiNAnalysis512[[#This Row],[CCCM]:[WASH]])=0, "",IF(COUNTIF(tblPiNAnalysis512[[#This Row],[CCCM]:[WASH]],"=0")+COUNTIF(tblPiNAnalysis512[[#This Row],[CCCM]:[WASH]],"")&gt;=zero_pin_thresh, "Flagged", ""))</f>
        <v/>
      </c>
      <c r="AM88" s="329" t="str">
        <f>IFERROR(IF(tblPiNAnalysis512[[#This Row],[Highest Target]]="", "", IF(tblPiNAnalysis512[[#This Row],[Highest sector(s'') Target %]]&gt;=flag_pin_perc, "Flagged", "")), "")</f>
        <v/>
      </c>
      <c r="AN88" s="330" t="str" cm="1">
        <f t="array" ref="AN88">IF(tblPiNAnalysis512[[#This Row],[Highest Target]]=0, "",  IF(OR(COUNTIF(tblPiNAnalysis512[[#This Row],[Highest sector(s)]],tblSubSectorPopulation[Sector])), "Flagged", ""))</f>
        <v/>
      </c>
      <c r="AO88" s="46" cm="1">
        <f t="array" ref="AO8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8" s="331" t="str" cm="1">
        <f t="array" ref="AP88">IF(tblPiNAnalysis512[[#This Row],[2nd Highest Target]]="", "", _xlfn.TEXTJOIN(CHAR(10), TRUE, IF(tblPiNAnalysis512[[#This Row],[2nd Highest Target]]=tblPiNAnalysis512[[#This Row],[CCCM]:[WASH]], tblPiNAnalysis512[[#Headers],[CCCM]:[WASH]], "")))</f>
        <v>CCCM
Education
Nutrition
Food Security
Health
Overarching Protection
Shelter
WASH</v>
      </c>
      <c r="AQ88" s="36">
        <f>IFERROR(tblPiNAnalysis512[[#This Row],[2nd Highest Target]]/tblPiNAnalysis512[[#This Row],[Affected population projection 2026]], "")</f>
        <v>0</v>
      </c>
      <c r="AR88" s="46">
        <f>IFERROR(tblPiNAnalysis512[[#This Row],[Highest Target]]-tblPiNAnalysis512[[#This Row],[2nd Highest Target]], "")</f>
        <v>0</v>
      </c>
      <c r="AS88" s="39" t="str">
        <f>IFERROR(((tblPiNAnalysis512[[#This Row],[Highest Target]]-tblPiNAnalysis512[[#This Row],[2nd Highest Target]])/tblPiNAnalysis512[[#This Row],[2nd Highest Target]]),"")</f>
        <v/>
      </c>
      <c r="AT88" s="39" t="str" cm="1">
        <f t="array" ref="AT8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8" s="332" cm="1">
        <f t="array" ref="AU8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8" s="190" t="str" cm="1">
        <f t="array" ref="AV88">IF(tblPiNAnalysis512[[#This Row],[3rd Highest Target]]="", "", _xlfn.TEXTJOIN(CHAR(10), TRUE, IF(tblPiNAnalysis512[[#This Row],[3rd Highest Target]]=tblPiNAnalysis512[[#This Row],[CCCM]:[WASH]], tblPiNAnalysis512[[#Headers],[CCCM]:[WASH]], "")))</f>
        <v>CCCM
Education
Nutrition
Food Security
Health
Overarching Protection
Shelter
WASH</v>
      </c>
      <c r="AW88" s="190">
        <f>IFERROR(tblPiNAnalysis512[[#This Row],[3rd Highest Target]]/tblPiNAnalysis512[[#This Row],[Affected population projection 2026]], "")</f>
        <v>0</v>
      </c>
      <c r="AX88" s="45">
        <f>IFERROR(tblPiNAnalysis512[[#This Row],[Highest Target]]-tblPiNAnalysis512[[#This Row],[3rd Highest Target]],"")</f>
        <v>0</v>
      </c>
      <c r="AY88" s="39" t="str">
        <f>IFERROR(tblPiNAnalysis512[[#This Row],[Difference of Target between Highest and 3rd Highest]]/tblPiNAnalysis512[[#This Row],[3rd Highest Target]], "")</f>
        <v/>
      </c>
      <c r="AZ88" s="330" t="str" cm="1">
        <f t="array" ref="AZ8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8" s="300" t="str" cm="1">
        <f t="array" ref="BA8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8" s="333" t="str" cm="1">
        <f t="array" ref="BB8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8" s="276" t="str" cm="1">
        <f t="array" ref="BC8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8" s="334" t="str" cm="1">
        <f t="array" ref="BD8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8" s="277" t="e">
        <f>INDEX(tblSeverityAnalysis[Final Severity], MATCH(tblPiNAnalysis512[[#This Row],[ID]],tblSeverityAnalysis[ID], 0))</f>
        <v>#N/A</v>
      </c>
      <c r="BF88" s="61" t="e">
        <f>IF(tblPiNAnalysis512[[#This Row],[Severity]]&gt;2,tblPiNAnalysis512[[#This Row],[Highest Target]],)</f>
        <v>#N/A</v>
      </c>
      <c r="BG88" s="191"/>
      <c r="BH88" s="192"/>
      <c r="BI88" s="193">
        <f>COUNTIFS(tblPiNAnalysis512[[#This Row],[Number of missing / zero PiNs greater than threshold - Data quality]:[Manual Flag]],"Flagged")</f>
        <v>2</v>
      </c>
      <c r="BJ88" s="96" t="str">
        <f>IF(tblPiNAnalysis512[[#This Row],['# Flags]]&gt;0, "Flagged", "")</f>
        <v>Flagged</v>
      </c>
      <c r="BK88" s="326" t="e">
        <f>tblPiNAnalysis512[[#This Row],[Preliminary Target]]</f>
        <v>#N/A</v>
      </c>
      <c r="BL88" s="331">
        <v>4</v>
      </c>
    </row>
    <row r="89" spans="1:64" ht="110.7" x14ac:dyDescent="0.55000000000000004">
      <c r="A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9" s="316" t="s">
        <v>236</v>
      </c>
      <c r="C89" s="317" t="s">
        <v>237</v>
      </c>
      <c r="D89" s="317" t="s">
        <v>248</v>
      </c>
      <c r="E89" s="105" t="s">
        <v>249</v>
      </c>
      <c r="F89" s="100"/>
      <c r="G89" s="34"/>
      <c r="H89" s="34"/>
      <c r="I89" s="97">
        <v>194205.26881302349</v>
      </c>
      <c r="J89" s="97" t="s">
        <v>413</v>
      </c>
      <c r="K89" s="318">
        <v>0</v>
      </c>
      <c r="L89" s="319">
        <v>0</v>
      </c>
      <c r="M89" s="319">
        <v>0</v>
      </c>
      <c r="N89" s="319">
        <v>0</v>
      </c>
      <c r="O89" s="319">
        <v>0</v>
      </c>
      <c r="P89" s="319">
        <v>0</v>
      </c>
      <c r="Q89" s="320">
        <v>0</v>
      </c>
      <c r="R89" s="319">
        <v>0</v>
      </c>
      <c r="S89" s="319"/>
      <c r="T89" s="319"/>
      <c r="U89" s="319"/>
      <c r="V89" s="319"/>
      <c r="W89" s="321">
        <f>IFERROR(IF(tblPiNAnalysis512[[#This Row],[CCCM]]="", "", MROUND(tblPiNAnalysis512[[#This Row],[CCCM]]/tblPiNAnalysis512[[#This Row],[Affected population projection 2026]], 0.05)), "")</f>
        <v>0</v>
      </c>
      <c r="X89" s="322">
        <f>IFERROR(IF(tblPiNAnalysis512[[#This Row],[Education]]="", "", MROUND(tblPiNAnalysis512[[#This Row],[Education]]/tblPiNAnalysis512[[#This Row],[Affected population projection 2026]], 0.05)), "")</f>
        <v>0</v>
      </c>
      <c r="Y89" s="322">
        <f>IFERROR(IF(tblPiNAnalysis512[[#This Row],[Nutrition]]="", "", MROUND(tblPiNAnalysis512[[#This Row],[Nutrition]]/tblPiNAnalysis512[[#This Row],[Affected population projection 2026]], 0.05)), "")</f>
        <v>0</v>
      </c>
      <c r="Z89" s="322">
        <f>IFERROR(IF(tblPiNAnalysis512[[#This Row],[Food Security]]="", "", MROUND(tblPiNAnalysis512[[#This Row],[Food Security]]/tblPiNAnalysis512[[#This Row],[Affected population projection 2026]], 0.05)), "")</f>
        <v>0</v>
      </c>
      <c r="AA89" s="322">
        <f>IFERROR(IF(tblPiNAnalysis512[[#This Row],[Health]]="", "", MROUND(tblPiNAnalysis512[[#This Row],[Health]]/tblPiNAnalysis512[[#This Row],[Affected population projection 2026]], 0.05)), "")</f>
        <v>0</v>
      </c>
      <c r="AB89" s="323">
        <f>IFERROR(IF(tblPiNAnalysis512[[#This Row],[Overarching Protection]]="", "", MROUND(tblPiNAnalysis512[[#This Row],[Overarching Protection]]/tblPiNAnalysis512[[#This Row],[Affected population projection 2026]], 0.05)), "")</f>
        <v>0</v>
      </c>
      <c r="AC89" s="323">
        <f>IFERROR(IF(tblPiNAnalysis512[[#This Row],[Shelter]]="", "", MROUND(tblPiNAnalysis512[[#This Row],[Shelter]]/tblPiNAnalysis512[[#This Row],[Affected population projection 2026]], 0.05)), "")</f>
        <v>0</v>
      </c>
      <c r="AD89" s="324">
        <f>IFERROR(IF(tblPiNAnalysis512[[#This Row],[WASH]]="", "", MROUND(tblPiNAnalysis512[[#This Row],[WASH]]/tblPiNAnalysis512[[#This Row],[Affected population projection 2026]], 0.05)), "")</f>
        <v>0</v>
      </c>
      <c r="AE89" s="322">
        <f>IFERROR(MROUND(tblPiNAnalysis512[[#This Row],[CP]]/tblPiNAnalysis512[[#This Row],[Affected population projection 2026]], 0.05), "")</f>
        <v>0</v>
      </c>
      <c r="AF89" s="322">
        <f>IFERROR(MROUND(tblPiNAnalysis512[[#This Row],[GBV]]/tblPiNAnalysis512[[#This Row],[Affected population projection 2026]], 0.05), "")</f>
        <v>0</v>
      </c>
      <c r="AG89" s="322">
        <f>IFERROR(MROUND(tblPiNAnalysis512[[#This Row],[Mine Action]]/tblPiNAnalysis512[[#This Row],[Affected population projection 2026]], 0.05), "")</f>
        <v>0</v>
      </c>
      <c r="AH89" s="322">
        <f>IFERROR(MROUND(tblPiNAnalysis512[[#This Row],[HLP]]/tblPiNAnalysis512[[#This Row],[Affected population projection 2026]], 0.05), "")</f>
        <v>0</v>
      </c>
      <c r="AI89" s="325">
        <f>IFERROR(LARGE(tblPiNAnalysis512[[#This Row],[CCCM]:[WASH]], 1), "")</f>
        <v>0</v>
      </c>
      <c r="AJ89" s="326" t="str" cm="1">
        <f t="array" ref="AJ89">IF(tblPiNAnalysis512[[#This Row],[Highest Target]]="", "", _xlfn.TEXTJOIN(CHAR(10), TRUE, IF(tblPiNAnalysis512[[#This Row],[Highest Target]]=tblPiNAnalysis512[[#This Row],[CCCM]:[WASH]], tblPiNAnalysis512[[#Headers],[CCCM]:[WASH]], "")))</f>
        <v>CCCM
Education
Nutrition
Food Security
Health
Overarching Protection
Shelter
WASH</v>
      </c>
      <c r="AK89" s="327">
        <f>IF(tblPiNAnalysis512[[#This Row],[Highest Target]]="", "", tblPiNAnalysis512[[#This Row],[Highest Target]]/tblPiNAnalysis512[[#This Row],[Affected population projection 2026]])</f>
        <v>0</v>
      </c>
      <c r="AL89" s="328" t="str">
        <f>IF(SUM(tblPiNAnalysis512[[#This Row],[CCCM]:[WASH]])=0, "",IF(COUNTIF(tblPiNAnalysis512[[#This Row],[CCCM]:[WASH]],"=0")+COUNTIF(tblPiNAnalysis512[[#This Row],[CCCM]:[WASH]],"")&gt;=zero_pin_thresh, "Flagged", ""))</f>
        <v/>
      </c>
      <c r="AM89" s="329" t="str">
        <f>IFERROR(IF(tblPiNAnalysis512[[#This Row],[Highest Target]]="", "", IF(tblPiNAnalysis512[[#This Row],[Highest sector(s'') Target %]]&gt;=flag_pin_perc, "Flagged", "")), "")</f>
        <v/>
      </c>
      <c r="AN89" s="330" t="str" cm="1">
        <f t="array" ref="AN89">IF(tblPiNAnalysis512[[#This Row],[Highest Target]]=0, "",  IF(OR(COUNTIF(tblPiNAnalysis512[[#This Row],[Highest sector(s)]],tblSubSectorPopulation[Sector])), "Flagged", ""))</f>
        <v/>
      </c>
      <c r="AO89" s="46" cm="1">
        <f t="array" ref="AO8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89" s="331" t="str" cm="1">
        <f t="array" ref="AP89">IF(tblPiNAnalysis512[[#This Row],[2nd Highest Target]]="", "", _xlfn.TEXTJOIN(CHAR(10), TRUE, IF(tblPiNAnalysis512[[#This Row],[2nd Highest Target]]=tblPiNAnalysis512[[#This Row],[CCCM]:[WASH]], tblPiNAnalysis512[[#Headers],[CCCM]:[WASH]], "")))</f>
        <v>CCCM
Education
Nutrition
Food Security
Health
Overarching Protection
Shelter
WASH</v>
      </c>
      <c r="AQ89" s="36">
        <f>IFERROR(tblPiNAnalysis512[[#This Row],[2nd Highest Target]]/tblPiNAnalysis512[[#This Row],[Affected population projection 2026]], "")</f>
        <v>0</v>
      </c>
      <c r="AR89" s="46">
        <f>IFERROR(tblPiNAnalysis512[[#This Row],[Highest Target]]-tblPiNAnalysis512[[#This Row],[2nd Highest Target]], "")</f>
        <v>0</v>
      </c>
      <c r="AS89" s="39" t="str">
        <f>IFERROR(((tblPiNAnalysis512[[#This Row],[Highest Target]]-tblPiNAnalysis512[[#This Row],[2nd Highest Target]])/tblPiNAnalysis512[[#This Row],[2nd Highest Target]]),"")</f>
        <v/>
      </c>
      <c r="AT89" s="39" t="str" cm="1">
        <f t="array" ref="AT8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89" s="332" cm="1">
        <f t="array" ref="AU8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89" s="190" t="str" cm="1">
        <f t="array" ref="AV89">IF(tblPiNAnalysis512[[#This Row],[3rd Highest Target]]="", "", _xlfn.TEXTJOIN(CHAR(10), TRUE, IF(tblPiNAnalysis512[[#This Row],[3rd Highest Target]]=tblPiNAnalysis512[[#This Row],[CCCM]:[WASH]], tblPiNAnalysis512[[#Headers],[CCCM]:[WASH]], "")))</f>
        <v>CCCM
Education
Nutrition
Food Security
Health
Overarching Protection
Shelter
WASH</v>
      </c>
      <c r="AW89" s="190">
        <f>IFERROR(tblPiNAnalysis512[[#This Row],[3rd Highest Target]]/tblPiNAnalysis512[[#This Row],[Affected population projection 2026]], "")</f>
        <v>0</v>
      </c>
      <c r="AX89" s="45">
        <f>IFERROR(tblPiNAnalysis512[[#This Row],[Highest Target]]-tblPiNAnalysis512[[#This Row],[3rd Highest Target]],"")</f>
        <v>0</v>
      </c>
      <c r="AY89" s="39" t="str">
        <f>IFERROR(tblPiNAnalysis512[[#This Row],[Difference of Target between Highest and 3rd Highest]]/tblPiNAnalysis512[[#This Row],[3rd Highest Target]], "")</f>
        <v/>
      </c>
      <c r="AZ89" s="330" t="str" cm="1">
        <f t="array" ref="AZ8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89" s="300" t="str" cm="1">
        <f t="array" ref="BA8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89" s="333" t="str" cm="1">
        <f t="array" ref="BB8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89" s="276" t="str" cm="1">
        <f t="array" ref="BC8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89" s="334" t="str" cm="1">
        <f t="array" ref="BD8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89" s="277" t="e">
        <f>INDEX(tblSeverityAnalysis[Final Severity], MATCH(tblPiNAnalysis512[[#This Row],[ID]],tblSeverityAnalysis[ID], 0))</f>
        <v>#N/A</v>
      </c>
      <c r="BF89" s="61" t="e">
        <f>IF(tblPiNAnalysis512[[#This Row],[Severity]]&gt;2,tblPiNAnalysis512[[#This Row],[Highest Target]],)</f>
        <v>#N/A</v>
      </c>
      <c r="BG89" s="191"/>
      <c r="BH89" s="192"/>
      <c r="BI89" s="193">
        <f>COUNTIFS(tblPiNAnalysis512[[#This Row],[Number of missing / zero PiNs greater than threshold - Data quality]:[Manual Flag]],"Flagged")</f>
        <v>2</v>
      </c>
      <c r="BJ89" s="96" t="str">
        <f>IF(tblPiNAnalysis512[[#This Row],['# Flags]]&gt;0, "Flagged", "")</f>
        <v>Flagged</v>
      </c>
      <c r="BK89" s="326" t="e">
        <f>tblPiNAnalysis512[[#This Row],[Preliminary Target]]</f>
        <v>#N/A</v>
      </c>
      <c r="BL89" s="331">
        <v>5</v>
      </c>
    </row>
    <row r="90" spans="1:64" ht="110.7" x14ac:dyDescent="0.55000000000000004">
      <c r="A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0" s="316" t="s">
        <v>250</v>
      </c>
      <c r="C90" s="317" t="s">
        <v>251</v>
      </c>
      <c r="D90" s="317" t="s">
        <v>252</v>
      </c>
      <c r="E90" s="105" t="s">
        <v>253</v>
      </c>
      <c r="F90" s="100"/>
      <c r="G90" s="34"/>
      <c r="H90" s="34"/>
      <c r="I90" s="97">
        <v>80977.342990929319</v>
      </c>
      <c r="J90" s="97" t="s">
        <v>413</v>
      </c>
      <c r="K90" s="318">
        <v>0</v>
      </c>
      <c r="L90" s="319">
        <v>0</v>
      </c>
      <c r="M90" s="319">
        <v>0</v>
      </c>
      <c r="N90" s="319">
        <v>0</v>
      </c>
      <c r="O90" s="319">
        <v>0</v>
      </c>
      <c r="P90" s="319">
        <v>0</v>
      </c>
      <c r="Q90" s="320">
        <v>0</v>
      </c>
      <c r="R90" s="319">
        <v>0</v>
      </c>
      <c r="S90" s="319"/>
      <c r="T90" s="319"/>
      <c r="U90" s="319"/>
      <c r="V90" s="319"/>
      <c r="W90" s="321">
        <f>IFERROR(IF(tblPiNAnalysis512[[#This Row],[CCCM]]="", "", MROUND(tblPiNAnalysis512[[#This Row],[CCCM]]/tblPiNAnalysis512[[#This Row],[Affected population projection 2026]], 0.05)), "")</f>
        <v>0</v>
      </c>
      <c r="X90" s="322">
        <f>IFERROR(IF(tblPiNAnalysis512[[#This Row],[Education]]="", "", MROUND(tblPiNAnalysis512[[#This Row],[Education]]/tblPiNAnalysis512[[#This Row],[Affected population projection 2026]], 0.05)), "")</f>
        <v>0</v>
      </c>
      <c r="Y90" s="322">
        <f>IFERROR(IF(tblPiNAnalysis512[[#This Row],[Nutrition]]="", "", MROUND(tblPiNAnalysis512[[#This Row],[Nutrition]]/tblPiNAnalysis512[[#This Row],[Affected population projection 2026]], 0.05)), "")</f>
        <v>0</v>
      </c>
      <c r="Z90" s="322">
        <f>IFERROR(IF(tblPiNAnalysis512[[#This Row],[Food Security]]="", "", MROUND(tblPiNAnalysis512[[#This Row],[Food Security]]/tblPiNAnalysis512[[#This Row],[Affected population projection 2026]], 0.05)), "")</f>
        <v>0</v>
      </c>
      <c r="AA90" s="322">
        <f>IFERROR(IF(tblPiNAnalysis512[[#This Row],[Health]]="", "", MROUND(tblPiNAnalysis512[[#This Row],[Health]]/tblPiNAnalysis512[[#This Row],[Affected population projection 2026]], 0.05)), "")</f>
        <v>0</v>
      </c>
      <c r="AB90" s="323">
        <f>IFERROR(IF(tblPiNAnalysis512[[#This Row],[Overarching Protection]]="", "", MROUND(tblPiNAnalysis512[[#This Row],[Overarching Protection]]/tblPiNAnalysis512[[#This Row],[Affected population projection 2026]], 0.05)), "")</f>
        <v>0</v>
      </c>
      <c r="AC90" s="323">
        <f>IFERROR(IF(tblPiNAnalysis512[[#This Row],[Shelter]]="", "", MROUND(tblPiNAnalysis512[[#This Row],[Shelter]]/tblPiNAnalysis512[[#This Row],[Affected population projection 2026]], 0.05)), "")</f>
        <v>0</v>
      </c>
      <c r="AD90" s="324">
        <f>IFERROR(IF(tblPiNAnalysis512[[#This Row],[WASH]]="", "", MROUND(tblPiNAnalysis512[[#This Row],[WASH]]/tblPiNAnalysis512[[#This Row],[Affected population projection 2026]], 0.05)), "")</f>
        <v>0</v>
      </c>
      <c r="AE90" s="322">
        <f>IFERROR(MROUND(tblPiNAnalysis512[[#This Row],[CP]]/tblPiNAnalysis512[[#This Row],[Affected population projection 2026]], 0.05), "")</f>
        <v>0</v>
      </c>
      <c r="AF90" s="322">
        <f>IFERROR(MROUND(tblPiNAnalysis512[[#This Row],[GBV]]/tblPiNAnalysis512[[#This Row],[Affected population projection 2026]], 0.05), "")</f>
        <v>0</v>
      </c>
      <c r="AG90" s="322">
        <f>IFERROR(MROUND(tblPiNAnalysis512[[#This Row],[Mine Action]]/tblPiNAnalysis512[[#This Row],[Affected population projection 2026]], 0.05), "")</f>
        <v>0</v>
      </c>
      <c r="AH90" s="322">
        <f>IFERROR(MROUND(tblPiNAnalysis512[[#This Row],[HLP]]/tblPiNAnalysis512[[#This Row],[Affected population projection 2026]], 0.05), "")</f>
        <v>0</v>
      </c>
      <c r="AI90" s="325">
        <f>IFERROR(LARGE(tblPiNAnalysis512[[#This Row],[CCCM]:[WASH]], 1), "")</f>
        <v>0</v>
      </c>
      <c r="AJ90" s="326" t="str" cm="1">
        <f t="array" ref="AJ90">IF(tblPiNAnalysis512[[#This Row],[Highest Target]]="", "", _xlfn.TEXTJOIN(CHAR(10), TRUE, IF(tblPiNAnalysis512[[#This Row],[Highest Target]]=tblPiNAnalysis512[[#This Row],[CCCM]:[WASH]], tblPiNAnalysis512[[#Headers],[CCCM]:[WASH]], "")))</f>
        <v>CCCM
Education
Nutrition
Food Security
Health
Overarching Protection
Shelter
WASH</v>
      </c>
      <c r="AK90" s="327">
        <f>IF(tblPiNAnalysis512[[#This Row],[Highest Target]]="", "", tblPiNAnalysis512[[#This Row],[Highest Target]]/tblPiNAnalysis512[[#This Row],[Affected population projection 2026]])</f>
        <v>0</v>
      </c>
      <c r="AL90" s="328" t="str">
        <f>IF(SUM(tblPiNAnalysis512[[#This Row],[CCCM]:[WASH]])=0, "",IF(COUNTIF(tblPiNAnalysis512[[#This Row],[CCCM]:[WASH]],"=0")+COUNTIF(tblPiNAnalysis512[[#This Row],[CCCM]:[WASH]],"")&gt;=zero_pin_thresh, "Flagged", ""))</f>
        <v/>
      </c>
      <c r="AM90" s="329" t="str">
        <f>IFERROR(IF(tblPiNAnalysis512[[#This Row],[Highest Target]]="", "", IF(tblPiNAnalysis512[[#This Row],[Highest sector(s'') Target %]]&gt;=flag_pin_perc, "Flagged", "")), "")</f>
        <v/>
      </c>
      <c r="AN90" s="330" t="str" cm="1">
        <f t="array" ref="AN90">IF(tblPiNAnalysis512[[#This Row],[Highest Target]]=0, "",  IF(OR(COUNTIF(tblPiNAnalysis512[[#This Row],[Highest sector(s)]],tblSubSectorPopulation[Sector])), "Flagged", ""))</f>
        <v/>
      </c>
      <c r="AO90" s="46" cm="1">
        <f t="array" ref="AO9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90" s="331" t="str" cm="1">
        <f t="array" ref="AP90">IF(tblPiNAnalysis512[[#This Row],[2nd Highest Target]]="", "", _xlfn.TEXTJOIN(CHAR(10), TRUE, IF(tblPiNAnalysis512[[#This Row],[2nd Highest Target]]=tblPiNAnalysis512[[#This Row],[CCCM]:[WASH]], tblPiNAnalysis512[[#Headers],[CCCM]:[WASH]], "")))</f>
        <v>CCCM
Education
Nutrition
Food Security
Health
Overarching Protection
Shelter
WASH</v>
      </c>
      <c r="AQ90" s="36">
        <f>IFERROR(tblPiNAnalysis512[[#This Row],[2nd Highest Target]]/tblPiNAnalysis512[[#This Row],[Affected population projection 2026]], "")</f>
        <v>0</v>
      </c>
      <c r="AR90" s="46">
        <f>IFERROR(tblPiNAnalysis512[[#This Row],[Highest Target]]-tblPiNAnalysis512[[#This Row],[2nd Highest Target]], "")</f>
        <v>0</v>
      </c>
      <c r="AS90" s="39" t="str">
        <f>IFERROR(((tblPiNAnalysis512[[#This Row],[Highest Target]]-tblPiNAnalysis512[[#This Row],[2nd Highest Target]])/tblPiNAnalysis512[[#This Row],[2nd Highest Target]]),"")</f>
        <v/>
      </c>
      <c r="AT90" s="39" t="str" cm="1">
        <f t="array" ref="AT9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0" s="332" cm="1">
        <f t="array" ref="AU9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90" s="190" t="str" cm="1">
        <f t="array" ref="AV90">IF(tblPiNAnalysis512[[#This Row],[3rd Highest Target]]="", "", _xlfn.TEXTJOIN(CHAR(10), TRUE, IF(tblPiNAnalysis512[[#This Row],[3rd Highest Target]]=tblPiNAnalysis512[[#This Row],[CCCM]:[WASH]], tblPiNAnalysis512[[#Headers],[CCCM]:[WASH]], "")))</f>
        <v>CCCM
Education
Nutrition
Food Security
Health
Overarching Protection
Shelter
WASH</v>
      </c>
      <c r="AW90" s="190">
        <f>IFERROR(tblPiNAnalysis512[[#This Row],[3rd Highest Target]]/tblPiNAnalysis512[[#This Row],[Affected population projection 2026]], "")</f>
        <v>0</v>
      </c>
      <c r="AX90" s="45">
        <f>IFERROR(tblPiNAnalysis512[[#This Row],[Highest Target]]-tblPiNAnalysis512[[#This Row],[3rd Highest Target]],"")</f>
        <v>0</v>
      </c>
      <c r="AY90" s="39" t="str">
        <f>IFERROR(tblPiNAnalysis512[[#This Row],[Difference of Target between Highest and 3rd Highest]]/tblPiNAnalysis512[[#This Row],[3rd Highest Target]], "")</f>
        <v/>
      </c>
      <c r="AZ90" s="330" t="str" cm="1">
        <f t="array" ref="AZ9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0" s="300" t="str" cm="1">
        <f t="array" ref="BA9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0" s="333" t="str" cm="1">
        <f t="array" ref="BB9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0" s="276" t="str" cm="1">
        <f t="array" ref="BC9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0" s="334" t="str" cm="1">
        <f t="array" ref="BD9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0" s="277" t="e">
        <f>INDEX(tblSeverityAnalysis[Final Severity], MATCH(tblPiNAnalysis512[[#This Row],[ID]],tblSeverityAnalysis[ID], 0))</f>
        <v>#N/A</v>
      </c>
      <c r="BF90" s="61" t="e">
        <f>IF(tblPiNAnalysis512[[#This Row],[Severity]]&gt;2,tblPiNAnalysis512[[#This Row],[Highest Target]],)</f>
        <v>#N/A</v>
      </c>
      <c r="BG90" s="191"/>
      <c r="BH90" s="192"/>
      <c r="BI90" s="193">
        <f>COUNTIFS(tblPiNAnalysis512[[#This Row],[Number of missing / zero PiNs greater than threshold - Data quality]:[Manual Flag]],"Flagged")</f>
        <v>2</v>
      </c>
      <c r="BJ90" s="96" t="str">
        <f>IF(tblPiNAnalysis512[[#This Row],['# Flags]]&gt;0, "Flagged", "")</f>
        <v>Flagged</v>
      </c>
      <c r="BK90" s="326" t="e">
        <f>tblPiNAnalysis512[[#This Row],[Preliminary Target]]</f>
        <v>#N/A</v>
      </c>
      <c r="BL90" s="331">
        <v>4</v>
      </c>
    </row>
    <row r="91" spans="1:64" ht="110.7" x14ac:dyDescent="0.55000000000000004">
      <c r="A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1" s="316" t="s">
        <v>250</v>
      </c>
      <c r="C91" s="317" t="s">
        <v>251</v>
      </c>
      <c r="D91" s="317" t="s">
        <v>254</v>
      </c>
      <c r="E91" s="105" t="s">
        <v>255</v>
      </c>
      <c r="F91" s="100"/>
      <c r="G91" s="34"/>
      <c r="H91" s="34"/>
      <c r="I91" s="97">
        <v>79454.880620653479</v>
      </c>
      <c r="J91" s="97" t="s">
        <v>413</v>
      </c>
      <c r="K91" s="318">
        <v>0</v>
      </c>
      <c r="L91" s="319">
        <v>0</v>
      </c>
      <c r="M91" s="319">
        <v>0</v>
      </c>
      <c r="N91" s="319">
        <v>0</v>
      </c>
      <c r="O91" s="319">
        <v>0</v>
      </c>
      <c r="P91" s="319">
        <v>0</v>
      </c>
      <c r="Q91" s="320">
        <v>0</v>
      </c>
      <c r="R91" s="319">
        <v>0</v>
      </c>
      <c r="S91" s="319"/>
      <c r="T91" s="319"/>
      <c r="U91" s="319"/>
      <c r="V91" s="319"/>
      <c r="W91" s="321">
        <f>IFERROR(IF(tblPiNAnalysis512[[#This Row],[CCCM]]="", "", MROUND(tblPiNAnalysis512[[#This Row],[CCCM]]/tblPiNAnalysis512[[#This Row],[Affected population projection 2026]], 0.05)), "")</f>
        <v>0</v>
      </c>
      <c r="X91" s="322">
        <f>IFERROR(IF(tblPiNAnalysis512[[#This Row],[Education]]="", "", MROUND(tblPiNAnalysis512[[#This Row],[Education]]/tblPiNAnalysis512[[#This Row],[Affected population projection 2026]], 0.05)), "")</f>
        <v>0</v>
      </c>
      <c r="Y91" s="322">
        <f>IFERROR(IF(tblPiNAnalysis512[[#This Row],[Nutrition]]="", "", MROUND(tblPiNAnalysis512[[#This Row],[Nutrition]]/tblPiNAnalysis512[[#This Row],[Affected population projection 2026]], 0.05)), "")</f>
        <v>0</v>
      </c>
      <c r="Z91" s="322">
        <f>IFERROR(IF(tblPiNAnalysis512[[#This Row],[Food Security]]="", "", MROUND(tblPiNAnalysis512[[#This Row],[Food Security]]/tblPiNAnalysis512[[#This Row],[Affected population projection 2026]], 0.05)), "")</f>
        <v>0</v>
      </c>
      <c r="AA91" s="322">
        <f>IFERROR(IF(tblPiNAnalysis512[[#This Row],[Health]]="", "", MROUND(tblPiNAnalysis512[[#This Row],[Health]]/tblPiNAnalysis512[[#This Row],[Affected population projection 2026]], 0.05)), "")</f>
        <v>0</v>
      </c>
      <c r="AB91" s="323">
        <f>IFERROR(IF(tblPiNAnalysis512[[#This Row],[Overarching Protection]]="", "", MROUND(tblPiNAnalysis512[[#This Row],[Overarching Protection]]/tblPiNAnalysis512[[#This Row],[Affected population projection 2026]], 0.05)), "")</f>
        <v>0</v>
      </c>
      <c r="AC91" s="323">
        <f>IFERROR(IF(tblPiNAnalysis512[[#This Row],[Shelter]]="", "", MROUND(tblPiNAnalysis512[[#This Row],[Shelter]]/tblPiNAnalysis512[[#This Row],[Affected population projection 2026]], 0.05)), "")</f>
        <v>0</v>
      </c>
      <c r="AD91" s="324">
        <f>IFERROR(IF(tblPiNAnalysis512[[#This Row],[WASH]]="", "", MROUND(tblPiNAnalysis512[[#This Row],[WASH]]/tblPiNAnalysis512[[#This Row],[Affected population projection 2026]], 0.05)), "")</f>
        <v>0</v>
      </c>
      <c r="AE91" s="322">
        <f>IFERROR(MROUND(tblPiNAnalysis512[[#This Row],[CP]]/tblPiNAnalysis512[[#This Row],[Affected population projection 2026]], 0.05), "")</f>
        <v>0</v>
      </c>
      <c r="AF91" s="322">
        <f>IFERROR(MROUND(tblPiNAnalysis512[[#This Row],[GBV]]/tblPiNAnalysis512[[#This Row],[Affected population projection 2026]], 0.05), "")</f>
        <v>0</v>
      </c>
      <c r="AG91" s="322">
        <f>IFERROR(MROUND(tblPiNAnalysis512[[#This Row],[Mine Action]]/tblPiNAnalysis512[[#This Row],[Affected population projection 2026]], 0.05), "")</f>
        <v>0</v>
      </c>
      <c r="AH91" s="322">
        <f>IFERROR(MROUND(tblPiNAnalysis512[[#This Row],[HLP]]/tblPiNAnalysis512[[#This Row],[Affected population projection 2026]], 0.05), "")</f>
        <v>0</v>
      </c>
      <c r="AI91" s="325">
        <f>IFERROR(LARGE(tblPiNAnalysis512[[#This Row],[CCCM]:[WASH]], 1), "")</f>
        <v>0</v>
      </c>
      <c r="AJ91" s="326" t="str" cm="1">
        <f t="array" ref="AJ91">IF(tblPiNAnalysis512[[#This Row],[Highest Target]]="", "", _xlfn.TEXTJOIN(CHAR(10), TRUE, IF(tblPiNAnalysis512[[#This Row],[Highest Target]]=tblPiNAnalysis512[[#This Row],[CCCM]:[WASH]], tblPiNAnalysis512[[#Headers],[CCCM]:[WASH]], "")))</f>
        <v>CCCM
Education
Nutrition
Food Security
Health
Overarching Protection
Shelter
WASH</v>
      </c>
      <c r="AK91" s="327">
        <f>IF(tblPiNAnalysis512[[#This Row],[Highest Target]]="", "", tblPiNAnalysis512[[#This Row],[Highest Target]]/tblPiNAnalysis512[[#This Row],[Affected population projection 2026]])</f>
        <v>0</v>
      </c>
      <c r="AL91" s="328" t="str">
        <f>IF(SUM(tblPiNAnalysis512[[#This Row],[CCCM]:[WASH]])=0, "",IF(COUNTIF(tblPiNAnalysis512[[#This Row],[CCCM]:[WASH]],"=0")+COUNTIF(tblPiNAnalysis512[[#This Row],[CCCM]:[WASH]],"")&gt;=zero_pin_thresh, "Flagged", ""))</f>
        <v/>
      </c>
      <c r="AM91" s="329" t="str">
        <f>IFERROR(IF(tblPiNAnalysis512[[#This Row],[Highest Target]]="", "", IF(tblPiNAnalysis512[[#This Row],[Highest sector(s'') Target %]]&gt;=flag_pin_perc, "Flagged", "")), "")</f>
        <v/>
      </c>
      <c r="AN91" s="330" t="str" cm="1">
        <f t="array" ref="AN91">IF(tblPiNAnalysis512[[#This Row],[Highest Target]]=0, "",  IF(OR(COUNTIF(tblPiNAnalysis512[[#This Row],[Highest sector(s)]],tblSubSectorPopulation[Sector])), "Flagged", ""))</f>
        <v/>
      </c>
      <c r="AO91" s="46" cm="1">
        <f t="array" ref="AO9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91" s="331" t="str" cm="1">
        <f t="array" ref="AP91">IF(tblPiNAnalysis512[[#This Row],[2nd Highest Target]]="", "", _xlfn.TEXTJOIN(CHAR(10), TRUE, IF(tblPiNAnalysis512[[#This Row],[2nd Highest Target]]=tblPiNAnalysis512[[#This Row],[CCCM]:[WASH]], tblPiNAnalysis512[[#Headers],[CCCM]:[WASH]], "")))</f>
        <v>CCCM
Education
Nutrition
Food Security
Health
Overarching Protection
Shelter
WASH</v>
      </c>
      <c r="AQ91" s="36">
        <f>IFERROR(tblPiNAnalysis512[[#This Row],[2nd Highest Target]]/tblPiNAnalysis512[[#This Row],[Affected population projection 2026]], "")</f>
        <v>0</v>
      </c>
      <c r="AR91" s="46">
        <f>IFERROR(tblPiNAnalysis512[[#This Row],[Highest Target]]-tblPiNAnalysis512[[#This Row],[2nd Highest Target]], "")</f>
        <v>0</v>
      </c>
      <c r="AS91" s="39" t="str">
        <f>IFERROR(((tblPiNAnalysis512[[#This Row],[Highest Target]]-tblPiNAnalysis512[[#This Row],[2nd Highest Target]])/tblPiNAnalysis512[[#This Row],[2nd Highest Target]]),"")</f>
        <v/>
      </c>
      <c r="AT91" s="39" t="str" cm="1">
        <f t="array" ref="AT9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1" s="332" cm="1">
        <f t="array" ref="AU9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91" s="190" t="str" cm="1">
        <f t="array" ref="AV91">IF(tblPiNAnalysis512[[#This Row],[3rd Highest Target]]="", "", _xlfn.TEXTJOIN(CHAR(10), TRUE, IF(tblPiNAnalysis512[[#This Row],[3rd Highest Target]]=tblPiNAnalysis512[[#This Row],[CCCM]:[WASH]], tblPiNAnalysis512[[#Headers],[CCCM]:[WASH]], "")))</f>
        <v>CCCM
Education
Nutrition
Food Security
Health
Overarching Protection
Shelter
WASH</v>
      </c>
      <c r="AW91" s="190">
        <f>IFERROR(tblPiNAnalysis512[[#This Row],[3rd Highest Target]]/tblPiNAnalysis512[[#This Row],[Affected population projection 2026]], "")</f>
        <v>0</v>
      </c>
      <c r="AX91" s="45">
        <f>IFERROR(tblPiNAnalysis512[[#This Row],[Highest Target]]-tblPiNAnalysis512[[#This Row],[3rd Highest Target]],"")</f>
        <v>0</v>
      </c>
      <c r="AY91" s="39" t="str">
        <f>IFERROR(tblPiNAnalysis512[[#This Row],[Difference of Target between Highest and 3rd Highest]]/tblPiNAnalysis512[[#This Row],[3rd Highest Target]], "")</f>
        <v/>
      </c>
      <c r="AZ91" s="330" t="str" cm="1">
        <f t="array" ref="AZ9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1" s="300" t="str" cm="1">
        <f t="array" ref="BA9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1" s="333" t="str" cm="1">
        <f t="array" ref="BB9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1" s="276" t="str" cm="1">
        <f t="array" ref="BC9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1" s="334" t="str" cm="1">
        <f t="array" ref="BD9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1" s="277" t="e">
        <f>INDEX(tblSeverityAnalysis[Final Severity], MATCH(tblPiNAnalysis512[[#This Row],[ID]],tblSeverityAnalysis[ID], 0))</f>
        <v>#N/A</v>
      </c>
      <c r="BF91" s="61" t="e">
        <f>IF(tblPiNAnalysis512[[#This Row],[Severity]]&gt;2,tblPiNAnalysis512[[#This Row],[Highest Target]],)</f>
        <v>#N/A</v>
      </c>
      <c r="BG91" s="191"/>
      <c r="BH91" s="192"/>
      <c r="BI91" s="193">
        <f>COUNTIFS(tblPiNAnalysis512[[#This Row],[Number of missing / zero PiNs greater than threshold - Data quality]:[Manual Flag]],"Flagged")</f>
        <v>2</v>
      </c>
      <c r="BJ91" s="96" t="str">
        <f>IF(tblPiNAnalysis512[[#This Row],['# Flags]]&gt;0, "Flagged", "")</f>
        <v>Flagged</v>
      </c>
      <c r="BK91" s="326" t="e">
        <f>tblPiNAnalysis512[[#This Row],[Preliminary Target]]</f>
        <v>#N/A</v>
      </c>
      <c r="BL91" s="331">
        <v>4</v>
      </c>
    </row>
    <row r="92" spans="1:64" x14ac:dyDescent="0.55000000000000004">
      <c r="A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2" s="316" t="s">
        <v>250</v>
      </c>
      <c r="C92" s="317" t="s">
        <v>251</v>
      </c>
      <c r="D92" s="317" t="s">
        <v>256</v>
      </c>
      <c r="E92" s="105" t="s">
        <v>257</v>
      </c>
      <c r="F92" s="100"/>
      <c r="G92" s="34"/>
      <c r="H92" s="34"/>
      <c r="I92" s="97">
        <v>135919.18209910189</v>
      </c>
      <c r="J92" s="97" t="s">
        <v>413</v>
      </c>
      <c r="K92" s="318">
        <v>0</v>
      </c>
      <c r="L92" s="319">
        <v>9285.9985210106443</v>
      </c>
      <c r="M92" s="319">
        <v>39397.422947361774</v>
      </c>
      <c r="N92" s="319">
        <v>54978.271363370288</v>
      </c>
      <c r="O92" s="319">
        <v>36905.722333005782</v>
      </c>
      <c r="P92" s="319">
        <v>27605.384287703775</v>
      </c>
      <c r="Q92" s="320">
        <v>7022.4910751202642</v>
      </c>
      <c r="R92" s="319">
        <v>76163.217952651743</v>
      </c>
      <c r="S92" s="319"/>
      <c r="T92" s="319"/>
      <c r="U92" s="319"/>
      <c r="V92" s="319"/>
      <c r="W92" s="321">
        <f>IFERROR(IF(tblPiNAnalysis512[[#This Row],[CCCM]]="", "", MROUND(tblPiNAnalysis512[[#This Row],[CCCM]]/tblPiNAnalysis512[[#This Row],[Affected population projection 2026]], 0.05)), "")</f>
        <v>0</v>
      </c>
      <c r="X92" s="322">
        <f>IFERROR(IF(tblPiNAnalysis512[[#This Row],[Education]]="", "", MROUND(tblPiNAnalysis512[[#This Row],[Education]]/tblPiNAnalysis512[[#This Row],[Affected population projection 2026]], 0.05)), "")</f>
        <v>0.05</v>
      </c>
      <c r="Y92" s="322">
        <f>IFERROR(IF(tblPiNAnalysis512[[#This Row],[Nutrition]]="", "", MROUND(tblPiNAnalysis512[[#This Row],[Nutrition]]/tblPiNAnalysis512[[#This Row],[Affected population projection 2026]], 0.05)), "")</f>
        <v>0.30000000000000004</v>
      </c>
      <c r="Z92" s="322">
        <f>IFERROR(IF(tblPiNAnalysis512[[#This Row],[Food Security]]="", "", MROUND(tblPiNAnalysis512[[#This Row],[Food Security]]/tblPiNAnalysis512[[#This Row],[Affected population projection 2026]], 0.05)), "")</f>
        <v>0.4</v>
      </c>
      <c r="AA92" s="322">
        <f>IFERROR(IF(tblPiNAnalysis512[[#This Row],[Health]]="", "", MROUND(tblPiNAnalysis512[[#This Row],[Health]]/tblPiNAnalysis512[[#This Row],[Affected population projection 2026]], 0.05)), "")</f>
        <v>0.25</v>
      </c>
      <c r="AB92" s="323">
        <f>IFERROR(IF(tblPiNAnalysis512[[#This Row],[Overarching Protection]]="", "", MROUND(tblPiNAnalysis512[[#This Row],[Overarching Protection]]/tblPiNAnalysis512[[#This Row],[Affected population projection 2026]], 0.05)), "")</f>
        <v>0.2</v>
      </c>
      <c r="AC92" s="323">
        <f>IFERROR(IF(tblPiNAnalysis512[[#This Row],[Shelter]]="", "", MROUND(tblPiNAnalysis512[[#This Row],[Shelter]]/tblPiNAnalysis512[[#This Row],[Affected population projection 2026]], 0.05)), "")</f>
        <v>0.05</v>
      </c>
      <c r="AD92" s="324">
        <f>IFERROR(IF(tblPiNAnalysis512[[#This Row],[WASH]]="", "", MROUND(tblPiNAnalysis512[[#This Row],[WASH]]/tblPiNAnalysis512[[#This Row],[Affected population projection 2026]], 0.05)), "")</f>
        <v>0.55000000000000004</v>
      </c>
      <c r="AE92" s="322">
        <f>IFERROR(MROUND(tblPiNAnalysis512[[#This Row],[CP]]/tblPiNAnalysis512[[#This Row],[Affected population projection 2026]], 0.05), "")</f>
        <v>0</v>
      </c>
      <c r="AF92" s="322">
        <f>IFERROR(MROUND(tblPiNAnalysis512[[#This Row],[GBV]]/tblPiNAnalysis512[[#This Row],[Affected population projection 2026]], 0.05), "")</f>
        <v>0</v>
      </c>
      <c r="AG92" s="322">
        <f>IFERROR(MROUND(tblPiNAnalysis512[[#This Row],[Mine Action]]/tblPiNAnalysis512[[#This Row],[Affected population projection 2026]], 0.05), "")</f>
        <v>0</v>
      </c>
      <c r="AH92" s="322">
        <f>IFERROR(MROUND(tblPiNAnalysis512[[#This Row],[HLP]]/tblPiNAnalysis512[[#This Row],[Affected population projection 2026]], 0.05), "")</f>
        <v>0</v>
      </c>
      <c r="AI92" s="325">
        <f>IFERROR(LARGE(tblPiNAnalysis512[[#This Row],[CCCM]:[WASH]], 1), "")</f>
        <v>76163.217952651743</v>
      </c>
      <c r="AJ92" s="326" t="str" cm="1">
        <f t="array" ref="AJ92">IF(tblPiNAnalysis512[[#This Row],[Highest Target]]="", "", _xlfn.TEXTJOIN(CHAR(10), TRUE, IF(tblPiNAnalysis512[[#This Row],[Highest Target]]=tblPiNAnalysis512[[#This Row],[CCCM]:[WASH]], tblPiNAnalysis512[[#Headers],[CCCM]:[WASH]], "")))</f>
        <v>WASH</v>
      </c>
      <c r="AK92" s="327">
        <f>IF(tblPiNAnalysis512[[#This Row],[Highest Target]]="", "", tblPiNAnalysis512[[#This Row],[Highest Target]]/tblPiNAnalysis512[[#This Row],[Affected population projection 2026]])</f>
        <v>0.56035665294924553</v>
      </c>
      <c r="AL92" s="328" t="str">
        <f>IF(SUM(tblPiNAnalysis512[[#This Row],[CCCM]:[WASH]])=0, "",IF(COUNTIF(tblPiNAnalysis512[[#This Row],[CCCM]:[WASH]],"=0")+COUNTIF(tblPiNAnalysis512[[#This Row],[CCCM]:[WASH]],"")&gt;=zero_pin_thresh, "Flagged", ""))</f>
        <v/>
      </c>
      <c r="AM92" s="329" t="str">
        <f>IFERROR(IF(tblPiNAnalysis512[[#This Row],[Highest Target]]="", "", IF(tblPiNAnalysis512[[#This Row],[Highest sector(s'') Target %]]&gt;=flag_pin_perc, "Flagged", "")), "")</f>
        <v/>
      </c>
      <c r="AN92" s="330" t="str" cm="1">
        <f t="array" ref="AN92">IF(tblPiNAnalysis512[[#This Row],[Highest Target]]=0, "",  IF(OR(COUNTIF(tblPiNAnalysis512[[#This Row],[Highest sector(s)]],tblSubSectorPopulation[Sector])), "Flagged", ""))</f>
        <v/>
      </c>
      <c r="AO92" s="46" cm="1">
        <f t="array" ref="AO9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54978.271363370288</v>
      </c>
      <c r="AP92" s="331" t="str" cm="1">
        <f t="array" ref="AP92">IF(tblPiNAnalysis512[[#This Row],[2nd Highest Target]]="", "", _xlfn.TEXTJOIN(CHAR(10), TRUE, IF(tblPiNAnalysis512[[#This Row],[2nd Highest Target]]=tblPiNAnalysis512[[#This Row],[CCCM]:[WASH]], tblPiNAnalysis512[[#Headers],[CCCM]:[WASH]], "")))</f>
        <v>Food Security</v>
      </c>
      <c r="AQ92" s="36">
        <f>IFERROR(tblPiNAnalysis512[[#This Row],[2nd Highest Target]]/tblPiNAnalysis512[[#This Row],[Affected population projection 2026]], "")</f>
        <v>0.40449236461182003</v>
      </c>
      <c r="AR92" s="46">
        <f>IFERROR(tblPiNAnalysis512[[#This Row],[Highest Target]]-tblPiNAnalysis512[[#This Row],[2nd Highest Target]], "")</f>
        <v>21184.946589281455</v>
      </c>
      <c r="AS92" s="39">
        <f>IFERROR(((tblPiNAnalysis512[[#This Row],[Highest Target]]-tblPiNAnalysis512[[#This Row],[2nd Highest Target]])/tblPiNAnalysis512[[#This Row],[2nd Highest Target]]),"")</f>
        <v>0.3853330791225294</v>
      </c>
      <c r="AT92" s="39" t="str" cm="1">
        <f t="array" ref="AT9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92" s="332" cm="1">
        <f t="array" ref="AU9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39397.422947361774</v>
      </c>
      <c r="AV92" s="190" t="str" cm="1">
        <f t="array" ref="AV92">IF(tblPiNAnalysis512[[#This Row],[3rd Highest Target]]="", "", _xlfn.TEXTJOIN(CHAR(10), TRUE, IF(tblPiNAnalysis512[[#This Row],[3rd Highest Target]]=tblPiNAnalysis512[[#This Row],[CCCM]:[WASH]], tblPiNAnalysis512[[#Headers],[CCCM]:[WASH]], "")))</f>
        <v>Nutrition</v>
      </c>
      <c r="AW92" s="190">
        <f>IFERROR(tblPiNAnalysis512[[#This Row],[3rd Highest Target]]/tblPiNAnalysis512[[#This Row],[Affected population projection 2026]], "")</f>
        <v>0.28985918204419581</v>
      </c>
      <c r="AX92" s="45">
        <f>IFERROR(tblPiNAnalysis512[[#This Row],[Highest Target]]-tblPiNAnalysis512[[#This Row],[3rd Highest Target]],"")</f>
        <v>36765.795005289969</v>
      </c>
      <c r="AY92" s="39">
        <f>IFERROR(tblPiNAnalysis512[[#This Row],[Difference of Target between Highest and 3rd Highest]]/tblPiNAnalysis512[[#This Row],[3rd Highest Target]], "")</f>
        <v>0.93320304362069872</v>
      </c>
      <c r="AZ92" s="330" t="str" cm="1">
        <f t="array" ref="AZ9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92" s="300" t="str" cm="1">
        <f t="array" ref="BA9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2" s="333" t="str" cm="1">
        <f t="array" ref="BB9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92" s="276" t="str" cm="1">
        <f t="array" ref="BC9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2" s="334" t="str" cm="1">
        <f t="array" ref="BD9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92" s="277" t="e">
        <f>INDEX(tblSeverityAnalysis[Final Severity], MATCH(tblPiNAnalysis512[[#This Row],[ID]],tblSeverityAnalysis[ID], 0))</f>
        <v>#N/A</v>
      </c>
      <c r="BF92" s="61" t="e">
        <f>IF(tblPiNAnalysis512[[#This Row],[Severity]]&gt;2,tblPiNAnalysis512[[#This Row],[Highest Target]],)</f>
        <v>#N/A</v>
      </c>
      <c r="BG92" s="191"/>
      <c r="BH92" s="192"/>
      <c r="BI92" s="193">
        <f>COUNTIFS(tblPiNAnalysis512[[#This Row],[Number of missing / zero PiNs greater than threshold - Data quality]:[Manual Flag]],"Flagged")</f>
        <v>2</v>
      </c>
      <c r="BJ92" s="96" t="str">
        <f>IF(tblPiNAnalysis512[[#This Row],['# Flags]]&gt;0, "Flagged", "")</f>
        <v>Flagged</v>
      </c>
      <c r="BK92" s="326" t="e">
        <f>tblPiNAnalysis512[[#This Row],[Preliminary Target]]</f>
        <v>#N/A</v>
      </c>
      <c r="BL92" s="331">
        <v>2</v>
      </c>
    </row>
    <row r="93" spans="1:64" x14ac:dyDescent="0.55000000000000004">
      <c r="A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3" s="316" t="s">
        <v>250</v>
      </c>
      <c r="C93" s="317" t="s">
        <v>251</v>
      </c>
      <c r="D93" s="317" t="s">
        <v>258</v>
      </c>
      <c r="E93" s="105" t="s">
        <v>259</v>
      </c>
      <c r="F93" s="100"/>
      <c r="G93" s="34"/>
      <c r="H93" s="34"/>
      <c r="I93" s="97">
        <v>121484.03458105327</v>
      </c>
      <c r="J93" s="97" t="s">
        <v>413</v>
      </c>
      <c r="K93" s="318"/>
      <c r="L93" s="319"/>
      <c r="M93" s="319"/>
      <c r="N93" s="319"/>
      <c r="O93" s="319"/>
      <c r="P93" s="319"/>
      <c r="Q93" s="320"/>
      <c r="R93" s="319"/>
      <c r="S93" s="319"/>
      <c r="T93" s="319"/>
      <c r="U93" s="319"/>
      <c r="V93" s="319"/>
      <c r="W93" s="321" t="str">
        <f>IFERROR(IF(tblPiNAnalysis512[[#This Row],[CCCM]]="", "", MROUND(tblPiNAnalysis512[[#This Row],[CCCM]]/tblPiNAnalysis512[[#This Row],[Affected population projection 2026]], 0.05)), "")</f>
        <v/>
      </c>
      <c r="X93" s="322" t="str">
        <f>IFERROR(IF(tblPiNAnalysis512[[#This Row],[Education]]="", "", MROUND(tblPiNAnalysis512[[#This Row],[Education]]/tblPiNAnalysis512[[#This Row],[Affected population projection 2026]], 0.05)), "")</f>
        <v/>
      </c>
      <c r="Y93" s="322" t="str">
        <f>IFERROR(IF(tblPiNAnalysis512[[#This Row],[Nutrition]]="", "", MROUND(tblPiNAnalysis512[[#This Row],[Nutrition]]/tblPiNAnalysis512[[#This Row],[Affected population projection 2026]], 0.05)), "")</f>
        <v/>
      </c>
      <c r="Z93" s="322" t="str">
        <f>IFERROR(IF(tblPiNAnalysis512[[#This Row],[Food Security]]="", "", MROUND(tblPiNAnalysis512[[#This Row],[Food Security]]/tblPiNAnalysis512[[#This Row],[Affected population projection 2026]], 0.05)), "")</f>
        <v/>
      </c>
      <c r="AA93" s="322" t="str">
        <f>IFERROR(IF(tblPiNAnalysis512[[#This Row],[Health]]="", "", MROUND(tblPiNAnalysis512[[#This Row],[Health]]/tblPiNAnalysis512[[#This Row],[Affected population projection 2026]], 0.05)), "")</f>
        <v/>
      </c>
      <c r="AB93" s="323" t="str">
        <f>IFERROR(IF(tblPiNAnalysis512[[#This Row],[Overarching Protection]]="", "", MROUND(tblPiNAnalysis512[[#This Row],[Overarching Protection]]/tblPiNAnalysis512[[#This Row],[Affected population projection 2026]], 0.05)), "")</f>
        <v/>
      </c>
      <c r="AC93" s="323" t="str">
        <f>IFERROR(IF(tblPiNAnalysis512[[#This Row],[Shelter]]="", "", MROUND(tblPiNAnalysis512[[#This Row],[Shelter]]/tblPiNAnalysis512[[#This Row],[Affected population projection 2026]], 0.05)), "")</f>
        <v/>
      </c>
      <c r="AD93" s="324" t="str">
        <f>IFERROR(IF(tblPiNAnalysis512[[#This Row],[WASH]]="", "", MROUND(tblPiNAnalysis512[[#This Row],[WASH]]/tblPiNAnalysis512[[#This Row],[Affected population projection 2026]], 0.05)), "")</f>
        <v/>
      </c>
      <c r="AE93" s="322">
        <f>IFERROR(MROUND(tblPiNAnalysis512[[#This Row],[CP]]/tblPiNAnalysis512[[#This Row],[Affected population projection 2026]], 0.05), "")</f>
        <v>0</v>
      </c>
      <c r="AF93" s="322">
        <f>IFERROR(MROUND(tblPiNAnalysis512[[#This Row],[GBV]]/tblPiNAnalysis512[[#This Row],[Affected population projection 2026]], 0.05), "")</f>
        <v>0</v>
      </c>
      <c r="AG93" s="322">
        <f>IFERROR(MROUND(tblPiNAnalysis512[[#This Row],[Mine Action]]/tblPiNAnalysis512[[#This Row],[Affected population projection 2026]], 0.05), "")</f>
        <v>0</v>
      </c>
      <c r="AH93" s="322">
        <f>IFERROR(MROUND(tblPiNAnalysis512[[#This Row],[HLP]]/tblPiNAnalysis512[[#This Row],[Affected population projection 2026]], 0.05), "")</f>
        <v>0</v>
      </c>
      <c r="AI93" s="325" t="str">
        <f>IFERROR(LARGE(tblPiNAnalysis512[[#This Row],[CCCM]:[WASH]], 1), "")</f>
        <v/>
      </c>
      <c r="AJ93" s="326" t="str" cm="1">
        <f t="array" ref="AJ93">IF(tblPiNAnalysis512[[#This Row],[Highest Target]]="", "", _xlfn.TEXTJOIN(CHAR(10), TRUE, IF(tblPiNAnalysis512[[#This Row],[Highest Target]]=tblPiNAnalysis512[[#This Row],[CCCM]:[WASH]], tblPiNAnalysis512[[#Headers],[CCCM]:[WASH]], "")))</f>
        <v/>
      </c>
      <c r="AK93" s="327" t="str">
        <f>IF(tblPiNAnalysis512[[#This Row],[Highest Target]]="", "", tblPiNAnalysis512[[#This Row],[Highest Target]]/tblPiNAnalysis512[[#This Row],[Affected population projection 2026]])</f>
        <v/>
      </c>
      <c r="AL93" s="328" t="str">
        <f>IF(SUM(tblPiNAnalysis512[[#This Row],[CCCM]:[WASH]])=0, "",IF(COUNTIF(tblPiNAnalysis512[[#This Row],[CCCM]:[WASH]],"=0")+COUNTIF(tblPiNAnalysis512[[#This Row],[CCCM]:[WASH]],"")&gt;=zero_pin_thresh, "Flagged", ""))</f>
        <v/>
      </c>
      <c r="AM93" s="329" t="str">
        <f>IFERROR(IF(tblPiNAnalysis512[[#This Row],[Highest Target]]="", "", IF(tblPiNAnalysis512[[#This Row],[Highest sector(s'') Target %]]&gt;=flag_pin_perc, "Flagged", "")), "")</f>
        <v/>
      </c>
      <c r="AN93" s="330" t="str" cm="1">
        <f t="array" ref="AN93">IF(tblPiNAnalysis512[[#This Row],[Highest Target]]=0, "",  IF(OR(COUNTIF(tblPiNAnalysis512[[#This Row],[Highest sector(s)]],tblSubSectorPopulation[Sector])), "Flagged", ""))</f>
        <v/>
      </c>
      <c r="AO93" s="46" t="str" cm="1">
        <f t="array" ref="AO9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93" s="331" t="str" cm="1">
        <f t="array" ref="AP93">IF(tblPiNAnalysis512[[#This Row],[2nd Highest Target]]="", "", _xlfn.TEXTJOIN(CHAR(10), TRUE, IF(tblPiNAnalysis512[[#This Row],[2nd Highest Target]]=tblPiNAnalysis512[[#This Row],[CCCM]:[WASH]], tblPiNAnalysis512[[#Headers],[CCCM]:[WASH]], "")))</f>
        <v/>
      </c>
      <c r="AQ93" s="36" t="str">
        <f>IFERROR(tblPiNAnalysis512[[#This Row],[2nd Highest Target]]/tblPiNAnalysis512[[#This Row],[Affected population projection 2026]], "")</f>
        <v/>
      </c>
      <c r="AR93" s="46" t="str">
        <f>IFERROR(tblPiNAnalysis512[[#This Row],[Highest Target]]-tblPiNAnalysis512[[#This Row],[2nd Highest Target]], "")</f>
        <v/>
      </c>
      <c r="AS93" s="39" t="str">
        <f>IFERROR(((tblPiNAnalysis512[[#This Row],[Highest Target]]-tblPiNAnalysis512[[#This Row],[2nd Highest Target]])/tblPiNAnalysis512[[#This Row],[2nd Highest Target]]),"")</f>
        <v/>
      </c>
      <c r="AT93" s="39" t="str" cm="1">
        <f t="array" ref="AT9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3" s="332" t="str" cm="1">
        <f t="array" ref="AU9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93" s="190" t="str" cm="1">
        <f t="array" ref="AV93">IF(tblPiNAnalysis512[[#This Row],[3rd Highest Target]]="", "", _xlfn.TEXTJOIN(CHAR(10), TRUE, IF(tblPiNAnalysis512[[#This Row],[3rd Highest Target]]=tblPiNAnalysis512[[#This Row],[CCCM]:[WASH]], tblPiNAnalysis512[[#Headers],[CCCM]:[WASH]], "")))</f>
        <v/>
      </c>
      <c r="AW93" s="190" t="str">
        <f>IFERROR(tblPiNAnalysis512[[#This Row],[3rd Highest Target]]/tblPiNAnalysis512[[#This Row],[Affected population projection 2026]], "")</f>
        <v/>
      </c>
      <c r="AX93" s="45" t="str">
        <f>IFERROR(tblPiNAnalysis512[[#This Row],[Highest Target]]-tblPiNAnalysis512[[#This Row],[3rd Highest Target]],"")</f>
        <v/>
      </c>
      <c r="AY93" s="39" t="str">
        <f>IFERROR(tblPiNAnalysis512[[#This Row],[Difference of Target between Highest and 3rd Highest]]/tblPiNAnalysis512[[#This Row],[3rd Highest Target]], "")</f>
        <v/>
      </c>
      <c r="AZ93" s="330" t="str" cm="1">
        <f t="array" ref="AZ9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3" s="300" t="str" cm="1">
        <f t="array" ref="BA9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3" s="333" t="str" cm="1">
        <f t="array" ref="BB9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3" s="276" t="str" cm="1">
        <f t="array" ref="BC9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3" s="334" t="str" cm="1">
        <f t="array" ref="BD9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3" s="277" t="e">
        <f>INDEX(tblSeverityAnalysis[Final Severity], MATCH(tblPiNAnalysis512[[#This Row],[ID]],tblSeverityAnalysis[ID], 0))</f>
        <v>#N/A</v>
      </c>
      <c r="BF93" s="61" t="e">
        <f>IF(tblPiNAnalysis512[[#This Row],[Severity]]&gt;2,tblPiNAnalysis512[[#This Row],[Highest Target]],)</f>
        <v>#N/A</v>
      </c>
      <c r="BG93" s="191"/>
      <c r="BH93" s="192"/>
      <c r="BI93" s="193">
        <f>COUNTIFS(tblPiNAnalysis512[[#This Row],[Number of missing / zero PiNs greater than threshold - Data quality]:[Manual Flag]],"Flagged")</f>
        <v>2</v>
      </c>
      <c r="BJ93" s="96" t="str">
        <f>IF(tblPiNAnalysis512[[#This Row],['# Flags]]&gt;0, "Flagged", "")</f>
        <v>Flagged</v>
      </c>
      <c r="BK93" s="326" t="e">
        <f>tblPiNAnalysis512[[#This Row],[Preliminary Target]]</f>
        <v>#N/A</v>
      </c>
      <c r="BL93" s="331">
        <v>3</v>
      </c>
    </row>
    <row r="94" spans="1:64" x14ac:dyDescent="0.55000000000000004">
      <c r="A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4" s="316" t="s">
        <v>250</v>
      </c>
      <c r="C94" s="317" t="s">
        <v>251</v>
      </c>
      <c r="D94" s="317" t="s">
        <v>260</v>
      </c>
      <c r="E94" s="105" t="s">
        <v>261</v>
      </c>
      <c r="F94" s="100"/>
      <c r="G94" s="34"/>
      <c r="H94" s="34"/>
      <c r="I94" s="97">
        <v>79271.088602523028</v>
      </c>
      <c r="J94" s="97" t="s">
        <v>413</v>
      </c>
      <c r="K94" s="318"/>
      <c r="L94" s="319"/>
      <c r="M94" s="319"/>
      <c r="N94" s="319"/>
      <c r="O94" s="319"/>
      <c r="P94" s="319"/>
      <c r="Q94" s="320"/>
      <c r="R94" s="319"/>
      <c r="S94" s="319"/>
      <c r="T94" s="319"/>
      <c r="U94" s="319"/>
      <c r="V94" s="319"/>
      <c r="W94" s="321" t="str">
        <f>IFERROR(IF(tblPiNAnalysis512[[#This Row],[CCCM]]="", "", MROUND(tblPiNAnalysis512[[#This Row],[CCCM]]/tblPiNAnalysis512[[#This Row],[Affected population projection 2026]], 0.05)), "")</f>
        <v/>
      </c>
      <c r="X94" s="322" t="str">
        <f>IFERROR(IF(tblPiNAnalysis512[[#This Row],[Education]]="", "", MROUND(tblPiNAnalysis512[[#This Row],[Education]]/tblPiNAnalysis512[[#This Row],[Affected population projection 2026]], 0.05)), "")</f>
        <v/>
      </c>
      <c r="Y94" s="322" t="str">
        <f>IFERROR(IF(tblPiNAnalysis512[[#This Row],[Nutrition]]="", "", MROUND(tblPiNAnalysis512[[#This Row],[Nutrition]]/tblPiNAnalysis512[[#This Row],[Affected population projection 2026]], 0.05)), "")</f>
        <v/>
      </c>
      <c r="Z94" s="322" t="str">
        <f>IFERROR(IF(tblPiNAnalysis512[[#This Row],[Food Security]]="", "", MROUND(tblPiNAnalysis512[[#This Row],[Food Security]]/tblPiNAnalysis512[[#This Row],[Affected population projection 2026]], 0.05)), "")</f>
        <v/>
      </c>
      <c r="AA94" s="322" t="str">
        <f>IFERROR(IF(tblPiNAnalysis512[[#This Row],[Health]]="", "", MROUND(tblPiNAnalysis512[[#This Row],[Health]]/tblPiNAnalysis512[[#This Row],[Affected population projection 2026]], 0.05)), "")</f>
        <v/>
      </c>
      <c r="AB94" s="323" t="str">
        <f>IFERROR(IF(tblPiNAnalysis512[[#This Row],[Overarching Protection]]="", "", MROUND(tblPiNAnalysis512[[#This Row],[Overarching Protection]]/tblPiNAnalysis512[[#This Row],[Affected population projection 2026]], 0.05)), "")</f>
        <v/>
      </c>
      <c r="AC94" s="323" t="str">
        <f>IFERROR(IF(tblPiNAnalysis512[[#This Row],[Shelter]]="", "", MROUND(tblPiNAnalysis512[[#This Row],[Shelter]]/tblPiNAnalysis512[[#This Row],[Affected population projection 2026]], 0.05)), "")</f>
        <v/>
      </c>
      <c r="AD94" s="324" t="str">
        <f>IFERROR(IF(tblPiNAnalysis512[[#This Row],[WASH]]="", "", MROUND(tblPiNAnalysis512[[#This Row],[WASH]]/tblPiNAnalysis512[[#This Row],[Affected population projection 2026]], 0.05)), "")</f>
        <v/>
      </c>
      <c r="AE94" s="322">
        <f>IFERROR(MROUND(tblPiNAnalysis512[[#This Row],[CP]]/tblPiNAnalysis512[[#This Row],[Affected population projection 2026]], 0.05), "")</f>
        <v>0</v>
      </c>
      <c r="AF94" s="322">
        <f>IFERROR(MROUND(tblPiNAnalysis512[[#This Row],[GBV]]/tblPiNAnalysis512[[#This Row],[Affected population projection 2026]], 0.05), "")</f>
        <v>0</v>
      </c>
      <c r="AG94" s="322">
        <f>IFERROR(MROUND(tblPiNAnalysis512[[#This Row],[Mine Action]]/tblPiNAnalysis512[[#This Row],[Affected population projection 2026]], 0.05), "")</f>
        <v>0</v>
      </c>
      <c r="AH94" s="322">
        <f>IFERROR(MROUND(tblPiNAnalysis512[[#This Row],[HLP]]/tblPiNAnalysis512[[#This Row],[Affected population projection 2026]], 0.05), "")</f>
        <v>0</v>
      </c>
      <c r="AI94" s="325" t="str">
        <f>IFERROR(LARGE(tblPiNAnalysis512[[#This Row],[CCCM]:[WASH]], 1), "")</f>
        <v/>
      </c>
      <c r="AJ94" s="326" t="str" cm="1">
        <f t="array" ref="AJ94">IF(tblPiNAnalysis512[[#This Row],[Highest Target]]="", "", _xlfn.TEXTJOIN(CHAR(10), TRUE, IF(tblPiNAnalysis512[[#This Row],[Highest Target]]=tblPiNAnalysis512[[#This Row],[CCCM]:[WASH]], tblPiNAnalysis512[[#Headers],[CCCM]:[WASH]], "")))</f>
        <v/>
      </c>
      <c r="AK94" s="327" t="str">
        <f>IF(tblPiNAnalysis512[[#This Row],[Highest Target]]="", "", tblPiNAnalysis512[[#This Row],[Highest Target]]/tblPiNAnalysis512[[#This Row],[Affected population projection 2026]])</f>
        <v/>
      </c>
      <c r="AL94" s="328" t="str">
        <f>IF(SUM(tblPiNAnalysis512[[#This Row],[CCCM]:[WASH]])=0, "",IF(COUNTIF(tblPiNAnalysis512[[#This Row],[CCCM]:[WASH]],"=0")+COUNTIF(tblPiNAnalysis512[[#This Row],[CCCM]:[WASH]],"")&gt;=zero_pin_thresh, "Flagged", ""))</f>
        <v/>
      </c>
      <c r="AM94" s="329" t="str">
        <f>IFERROR(IF(tblPiNAnalysis512[[#This Row],[Highest Target]]="", "", IF(tblPiNAnalysis512[[#This Row],[Highest sector(s'') Target %]]&gt;=flag_pin_perc, "Flagged", "")), "")</f>
        <v/>
      </c>
      <c r="AN94" s="330" t="str" cm="1">
        <f t="array" ref="AN94">IF(tblPiNAnalysis512[[#This Row],[Highest Target]]=0, "",  IF(OR(COUNTIF(tblPiNAnalysis512[[#This Row],[Highest sector(s)]],tblSubSectorPopulation[Sector])), "Flagged", ""))</f>
        <v/>
      </c>
      <c r="AO94" s="46" t="str" cm="1">
        <f t="array" ref="AO9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94" s="331" t="str" cm="1">
        <f t="array" ref="AP94">IF(tblPiNAnalysis512[[#This Row],[2nd Highest Target]]="", "", _xlfn.TEXTJOIN(CHAR(10), TRUE, IF(tblPiNAnalysis512[[#This Row],[2nd Highest Target]]=tblPiNAnalysis512[[#This Row],[CCCM]:[WASH]], tblPiNAnalysis512[[#Headers],[CCCM]:[WASH]], "")))</f>
        <v/>
      </c>
      <c r="AQ94" s="36" t="str">
        <f>IFERROR(tblPiNAnalysis512[[#This Row],[2nd Highest Target]]/tblPiNAnalysis512[[#This Row],[Affected population projection 2026]], "")</f>
        <v/>
      </c>
      <c r="AR94" s="46" t="str">
        <f>IFERROR(tblPiNAnalysis512[[#This Row],[Highest Target]]-tblPiNAnalysis512[[#This Row],[2nd Highest Target]], "")</f>
        <v/>
      </c>
      <c r="AS94" s="39" t="str">
        <f>IFERROR(((tblPiNAnalysis512[[#This Row],[Highest Target]]-tblPiNAnalysis512[[#This Row],[2nd Highest Target]])/tblPiNAnalysis512[[#This Row],[2nd Highest Target]]),"")</f>
        <v/>
      </c>
      <c r="AT94" s="39" t="str" cm="1">
        <f t="array" ref="AT9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4" s="332" t="str" cm="1">
        <f t="array" ref="AU9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94" s="190" t="str" cm="1">
        <f t="array" ref="AV94">IF(tblPiNAnalysis512[[#This Row],[3rd Highest Target]]="", "", _xlfn.TEXTJOIN(CHAR(10), TRUE, IF(tblPiNAnalysis512[[#This Row],[3rd Highest Target]]=tblPiNAnalysis512[[#This Row],[CCCM]:[WASH]], tblPiNAnalysis512[[#Headers],[CCCM]:[WASH]], "")))</f>
        <v/>
      </c>
      <c r="AW94" s="190" t="str">
        <f>IFERROR(tblPiNAnalysis512[[#This Row],[3rd Highest Target]]/tblPiNAnalysis512[[#This Row],[Affected population projection 2026]], "")</f>
        <v/>
      </c>
      <c r="AX94" s="45" t="str">
        <f>IFERROR(tblPiNAnalysis512[[#This Row],[Highest Target]]-tblPiNAnalysis512[[#This Row],[3rd Highest Target]],"")</f>
        <v/>
      </c>
      <c r="AY94" s="39" t="str">
        <f>IFERROR(tblPiNAnalysis512[[#This Row],[Difference of Target between Highest and 3rd Highest]]/tblPiNAnalysis512[[#This Row],[3rd Highest Target]], "")</f>
        <v/>
      </c>
      <c r="AZ94" s="330" t="str" cm="1">
        <f t="array" ref="AZ9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4" s="300" t="str" cm="1">
        <f t="array" ref="BA9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4" s="333" t="str" cm="1">
        <f t="array" ref="BB9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4" s="276" t="str" cm="1">
        <f t="array" ref="BC9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4" s="334" t="str" cm="1">
        <f t="array" ref="BD9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4" s="277" t="e">
        <f>INDEX(tblSeverityAnalysis[Final Severity], MATCH(tblPiNAnalysis512[[#This Row],[ID]],tblSeverityAnalysis[ID], 0))</f>
        <v>#N/A</v>
      </c>
      <c r="BF94" s="61" t="e">
        <f>IF(tblPiNAnalysis512[[#This Row],[Severity]]&gt;2,tblPiNAnalysis512[[#This Row],[Highest Target]],)</f>
        <v>#N/A</v>
      </c>
      <c r="BG94" s="191"/>
      <c r="BH94" s="192"/>
      <c r="BI94" s="193">
        <f>COUNTIFS(tblPiNAnalysis512[[#This Row],[Number of missing / zero PiNs greater than threshold - Data quality]:[Manual Flag]],"Flagged")</f>
        <v>2</v>
      </c>
      <c r="BJ94" s="96" t="str">
        <f>IF(tblPiNAnalysis512[[#This Row],['# Flags]]&gt;0, "Flagged", "")</f>
        <v>Flagged</v>
      </c>
      <c r="BK94" s="326" t="e">
        <f>tblPiNAnalysis512[[#This Row],[Preliminary Target]]</f>
        <v>#N/A</v>
      </c>
      <c r="BL94" s="331">
        <v>3</v>
      </c>
    </row>
    <row r="95" spans="1:64" x14ac:dyDescent="0.55000000000000004">
      <c r="A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5" s="316" t="s">
        <v>250</v>
      </c>
      <c r="C95" s="317" t="s">
        <v>251</v>
      </c>
      <c r="D95" s="317" t="s">
        <v>262</v>
      </c>
      <c r="E95" s="105" t="s">
        <v>263</v>
      </c>
      <c r="F95" s="100"/>
      <c r="G95" s="34"/>
      <c r="H95" s="34"/>
      <c r="I95" s="97">
        <v>107170.91979145796</v>
      </c>
      <c r="J95" s="97" t="s">
        <v>413</v>
      </c>
      <c r="K95" s="318"/>
      <c r="L95" s="319"/>
      <c r="M95" s="319"/>
      <c r="N95" s="319"/>
      <c r="O95" s="319"/>
      <c r="P95" s="319"/>
      <c r="Q95" s="320"/>
      <c r="R95" s="319"/>
      <c r="S95" s="319"/>
      <c r="T95" s="319"/>
      <c r="U95" s="319"/>
      <c r="V95" s="319"/>
      <c r="W95" s="321" t="str">
        <f>IFERROR(IF(tblPiNAnalysis512[[#This Row],[CCCM]]="", "", MROUND(tblPiNAnalysis512[[#This Row],[CCCM]]/tblPiNAnalysis512[[#This Row],[Affected population projection 2026]], 0.05)), "")</f>
        <v/>
      </c>
      <c r="X95" s="322" t="str">
        <f>IFERROR(IF(tblPiNAnalysis512[[#This Row],[Education]]="", "", MROUND(tblPiNAnalysis512[[#This Row],[Education]]/tblPiNAnalysis512[[#This Row],[Affected population projection 2026]], 0.05)), "")</f>
        <v/>
      </c>
      <c r="Y95" s="322" t="str">
        <f>IFERROR(IF(tblPiNAnalysis512[[#This Row],[Nutrition]]="", "", MROUND(tblPiNAnalysis512[[#This Row],[Nutrition]]/tblPiNAnalysis512[[#This Row],[Affected population projection 2026]], 0.05)), "")</f>
        <v/>
      </c>
      <c r="Z95" s="322" t="str">
        <f>IFERROR(IF(tblPiNAnalysis512[[#This Row],[Food Security]]="", "", MROUND(tblPiNAnalysis512[[#This Row],[Food Security]]/tblPiNAnalysis512[[#This Row],[Affected population projection 2026]], 0.05)), "")</f>
        <v/>
      </c>
      <c r="AA95" s="322" t="str">
        <f>IFERROR(IF(tblPiNAnalysis512[[#This Row],[Health]]="", "", MROUND(tblPiNAnalysis512[[#This Row],[Health]]/tblPiNAnalysis512[[#This Row],[Affected population projection 2026]], 0.05)), "")</f>
        <v/>
      </c>
      <c r="AB95" s="323" t="str">
        <f>IFERROR(IF(tblPiNAnalysis512[[#This Row],[Overarching Protection]]="", "", MROUND(tblPiNAnalysis512[[#This Row],[Overarching Protection]]/tblPiNAnalysis512[[#This Row],[Affected population projection 2026]], 0.05)), "")</f>
        <v/>
      </c>
      <c r="AC95" s="323" t="str">
        <f>IFERROR(IF(tblPiNAnalysis512[[#This Row],[Shelter]]="", "", MROUND(tblPiNAnalysis512[[#This Row],[Shelter]]/tblPiNAnalysis512[[#This Row],[Affected population projection 2026]], 0.05)), "")</f>
        <v/>
      </c>
      <c r="AD95" s="324" t="str">
        <f>IFERROR(IF(tblPiNAnalysis512[[#This Row],[WASH]]="", "", MROUND(tblPiNAnalysis512[[#This Row],[WASH]]/tblPiNAnalysis512[[#This Row],[Affected population projection 2026]], 0.05)), "")</f>
        <v/>
      </c>
      <c r="AE95" s="322">
        <f>IFERROR(MROUND(tblPiNAnalysis512[[#This Row],[CP]]/tblPiNAnalysis512[[#This Row],[Affected population projection 2026]], 0.05), "")</f>
        <v>0</v>
      </c>
      <c r="AF95" s="322">
        <f>IFERROR(MROUND(tblPiNAnalysis512[[#This Row],[GBV]]/tblPiNAnalysis512[[#This Row],[Affected population projection 2026]], 0.05), "")</f>
        <v>0</v>
      </c>
      <c r="AG95" s="322">
        <f>IFERROR(MROUND(tblPiNAnalysis512[[#This Row],[Mine Action]]/tblPiNAnalysis512[[#This Row],[Affected population projection 2026]], 0.05), "")</f>
        <v>0</v>
      </c>
      <c r="AH95" s="322">
        <f>IFERROR(MROUND(tblPiNAnalysis512[[#This Row],[HLP]]/tblPiNAnalysis512[[#This Row],[Affected population projection 2026]], 0.05), "")</f>
        <v>0</v>
      </c>
      <c r="AI95" s="325" t="str">
        <f>IFERROR(LARGE(tblPiNAnalysis512[[#This Row],[CCCM]:[WASH]], 1), "")</f>
        <v/>
      </c>
      <c r="AJ95" s="326" t="str" cm="1">
        <f t="array" ref="AJ95">IF(tblPiNAnalysis512[[#This Row],[Highest Target]]="", "", _xlfn.TEXTJOIN(CHAR(10), TRUE, IF(tblPiNAnalysis512[[#This Row],[Highest Target]]=tblPiNAnalysis512[[#This Row],[CCCM]:[WASH]], tblPiNAnalysis512[[#Headers],[CCCM]:[WASH]], "")))</f>
        <v/>
      </c>
      <c r="AK95" s="327" t="str">
        <f>IF(tblPiNAnalysis512[[#This Row],[Highest Target]]="", "", tblPiNAnalysis512[[#This Row],[Highest Target]]/tblPiNAnalysis512[[#This Row],[Affected population projection 2026]])</f>
        <v/>
      </c>
      <c r="AL95" s="328" t="str">
        <f>IF(SUM(tblPiNAnalysis512[[#This Row],[CCCM]:[WASH]])=0, "",IF(COUNTIF(tblPiNAnalysis512[[#This Row],[CCCM]:[WASH]],"=0")+COUNTIF(tblPiNAnalysis512[[#This Row],[CCCM]:[WASH]],"")&gt;=zero_pin_thresh, "Flagged", ""))</f>
        <v/>
      </c>
      <c r="AM95" s="329" t="str">
        <f>IFERROR(IF(tblPiNAnalysis512[[#This Row],[Highest Target]]="", "", IF(tblPiNAnalysis512[[#This Row],[Highest sector(s'') Target %]]&gt;=flag_pin_perc, "Flagged", "")), "")</f>
        <v/>
      </c>
      <c r="AN95" s="330" t="str" cm="1">
        <f t="array" ref="AN95">IF(tblPiNAnalysis512[[#This Row],[Highest Target]]=0, "",  IF(OR(COUNTIF(tblPiNAnalysis512[[#This Row],[Highest sector(s)]],tblSubSectorPopulation[Sector])), "Flagged", ""))</f>
        <v/>
      </c>
      <c r="AO95" s="46" t="str" cm="1">
        <f t="array" ref="AO9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95" s="331" t="str" cm="1">
        <f t="array" ref="AP95">IF(tblPiNAnalysis512[[#This Row],[2nd Highest Target]]="", "", _xlfn.TEXTJOIN(CHAR(10), TRUE, IF(tblPiNAnalysis512[[#This Row],[2nd Highest Target]]=tblPiNAnalysis512[[#This Row],[CCCM]:[WASH]], tblPiNAnalysis512[[#Headers],[CCCM]:[WASH]], "")))</f>
        <v/>
      </c>
      <c r="AQ95" s="36" t="str">
        <f>IFERROR(tblPiNAnalysis512[[#This Row],[2nd Highest Target]]/tblPiNAnalysis512[[#This Row],[Affected population projection 2026]], "")</f>
        <v/>
      </c>
      <c r="AR95" s="46" t="str">
        <f>IFERROR(tblPiNAnalysis512[[#This Row],[Highest Target]]-tblPiNAnalysis512[[#This Row],[2nd Highest Target]], "")</f>
        <v/>
      </c>
      <c r="AS95" s="39" t="str">
        <f>IFERROR(((tblPiNAnalysis512[[#This Row],[Highest Target]]-tblPiNAnalysis512[[#This Row],[2nd Highest Target]])/tblPiNAnalysis512[[#This Row],[2nd Highest Target]]),"")</f>
        <v/>
      </c>
      <c r="AT95" s="39" t="str" cm="1">
        <f t="array" ref="AT9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5" s="332" t="str" cm="1">
        <f t="array" ref="AU9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95" s="190" t="str" cm="1">
        <f t="array" ref="AV95">IF(tblPiNAnalysis512[[#This Row],[3rd Highest Target]]="", "", _xlfn.TEXTJOIN(CHAR(10), TRUE, IF(tblPiNAnalysis512[[#This Row],[3rd Highest Target]]=tblPiNAnalysis512[[#This Row],[CCCM]:[WASH]], tblPiNAnalysis512[[#Headers],[CCCM]:[WASH]], "")))</f>
        <v/>
      </c>
      <c r="AW95" s="190" t="str">
        <f>IFERROR(tblPiNAnalysis512[[#This Row],[3rd Highest Target]]/tblPiNAnalysis512[[#This Row],[Affected population projection 2026]], "")</f>
        <v/>
      </c>
      <c r="AX95" s="45" t="str">
        <f>IFERROR(tblPiNAnalysis512[[#This Row],[Highest Target]]-tblPiNAnalysis512[[#This Row],[3rd Highest Target]],"")</f>
        <v/>
      </c>
      <c r="AY95" s="39" t="str">
        <f>IFERROR(tblPiNAnalysis512[[#This Row],[Difference of Target between Highest and 3rd Highest]]/tblPiNAnalysis512[[#This Row],[3rd Highest Target]], "")</f>
        <v/>
      </c>
      <c r="AZ95" s="330" t="str" cm="1">
        <f t="array" ref="AZ9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5" s="300" t="str" cm="1">
        <f t="array" ref="BA9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5" s="333" t="str" cm="1">
        <f t="array" ref="BB9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5" s="276" t="str" cm="1">
        <f t="array" ref="BC9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5" s="334" t="str" cm="1">
        <f t="array" ref="BD9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5" s="277" t="e">
        <f>INDEX(tblSeverityAnalysis[Final Severity], MATCH(tblPiNAnalysis512[[#This Row],[ID]],tblSeverityAnalysis[ID], 0))</f>
        <v>#N/A</v>
      </c>
      <c r="BF95" s="61" t="e">
        <f>IF(tblPiNAnalysis512[[#This Row],[Severity]]&gt;2,tblPiNAnalysis512[[#This Row],[Highest Target]],)</f>
        <v>#N/A</v>
      </c>
      <c r="BG95" s="191"/>
      <c r="BH95" s="192"/>
      <c r="BI95" s="193">
        <f>COUNTIFS(tblPiNAnalysis512[[#This Row],[Number of missing / zero PiNs greater than threshold - Data quality]:[Manual Flag]],"Flagged")</f>
        <v>2</v>
      </c>
      <c r="BJ95" s="96" t="str">
        <f>IF(tblPiNAnalysis512[[#This Row],['# Flags]]&gt;0, "Flagged", "")</f>
        <v>Flagged</v>
      </c>
      <c r="BK95" s="326" t="e">
        <f>tblPiNAnalysis512[[#This Row],[Preliminary Target]]</f>
        <v>#N/A</v>
      </c>
      <c r="BL95" s="331">
        <v>3</v>
      </c>
    </row>
    <row r="96" spans="1:64" ht="110.7" x14ac:dyDescent="0.55000000000000004">
      <c r="A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6" s="316" t="s">
        <v>250</v>
      </c>
      <c r="C96" s="317" t="s">
        <v>251</v>
      </c>
      <c r="D96" s="317" t="s">
        <v>264</v>
      </c>
      <c r="E96" s="105" t="s">
        <v>265</v>
      </c>
      <c r="F96" s="100"/>
      <c r="G96" s="34"/>
      <c r="H96" s="34"/>
      <c r="I96" s="97">
        <v>159337.28264572358</v>
      </c>
      <c r="J96" s="97" t="s">
        <v>413</v>
      </c>
      <c r="K96" s="318">
        <v>0</v>
      </c>
      <c r="L96" s="319">
        <v>0</v>
      </c>
      <c r="M96" s="319">
        <v>0</v>
      </c>
      <c r="N96" s="319">
        <v>0</v>
      </c>
      <c r="O96" s="319">
        <v>0</v>
      </c>
      <c r="P96" s="319">
        <v>0</v>
      </c>
      <c r="Q96" s="320">
        <v>0</v>
      </c>
      <c r="R96" s="319">
        <v>0</v>
      </c>
      <c r="S96" s="319"/>
      <c r="T96" s="319"/>
      <c r="U96" s="319"/>
      <c r="V96" s="319"/>
      <c r="W96" s="321">
        <f>IFERROR(IF(tblPiNAnalysis512[[#This Row],[CCCM]]="", "", MROUND(tblPiNAnalysis512[[#This Row],[CCCM]]/tblPiNAnalysis512[[#This Row],[Affected population projection 2026]], 0.05)), "")</f>
        <v>0</v>
      </c>
      <c r="X96" s="322">
        <f>IFERROR(IF(tblPiNAnalysis512[[#This Row],[Education]]="", "", MROUND(tblPiNAnalysis512[[#This Row],[Education]]/tblPiNAnalysis512[[#This Row],[Affected population projection 2026]], 0.05)), "")</f>
        <v>0</v>
      </c>
      <c r="Y96" s="322">
        <f>IFERROR(IF(tblPiNAnalysis512[[#This Row],[Nutrition]]="", "", MROUND(tblPiNAnalysis512[[#This Row],[Nutrition]]/tblPiNAnalysis512[[#This Row],[Affected population projection 2026]], 0.05)), "")</f>
        <v>0</v>
      </c>
      <c r="Z96" s="322">
        <f>IFERROR(IF(tblPiNAnalysis512[[#This Row],[Food Security]]="", "", MROUND(tblPiNAnalysis512[[#This Row],[Food Security]]/tblPiNAnalysis512[[#This Row],[Affected population projection 2026]], 0.05)), "")</f>
        <v>0</v>
      </c>
      <c r="AA96" s="322">
        <f>IFERROR(IF(tblPiNAnalysis512[[#This Row],[Health]]="", "", MROUND(tblPiNAnalysis512[[#This Row],[Health]]/tblPiNAnalysis512[[#This Row],[Affected population projection 2026]], 0.05)), "")</f>
        <v>0</v>
      </c>
      <c r="AB96" s="323">
        <f>IFERROR(IF(tblPiNAnalysis512[[#This Row],[Overarching Protection]]="", "", MROUND(tblPiNAnalysis512[[#This Row],[Overarching Protection]]/tblPiNAnalysis512[[#This Row],[Affected population projection 2026]], 0.05)), "")</f>
        <v>0</v>
      </c>
      <c r="AC96" s="323">
        <f>IFERROR(IF(tblPiNAnalysis512[[#This Row],[Shelter]]="", "", MROUND(tblPiNAnalysis512[[#This Row],[Shelter]]/tblPiNAnalysis512[[#This Row],[Affected population projection 2026]], 0.05)), "")</f>
        <v>0</v>
      </c>
      <c r="AD96" s="324">
        <f>IFERROR(IF(tblPiNAnalysis512[[#This Row],[WASH]]="", "", MROUND(tblPiNAnalysis512[[#This Row],[WASH]]/tblPiNAnalysis512[[#This Row],[Affected population projection 2026]], 0.05)), "")</f>
        <v>0</v>
      </c>
      <c r="AE96" s="322">
        <f>IFERROR(MROUND(tblPiNAnalysis512[[#This Row],[CP]]/tblPiNAnalysis512[[#This Row],[Affected population projection 2026]], 0.05), "")</f>
        <v>0</v>
      </c>
      <c r="AF96" s="322">
        <f>IFERROR(MROUND(tblPiNAnalysis512[[#This Row],[GBV]]/tblPiNAnalysis512[[#This Row],[Affected population projection 2026]], 0.05), "")</f>
        <v>0</v>
      </c>
      <c r="AG96" s="322">
        <f>IFERROR(MROUND(tblPiNAnalysis512[[#This Row],[Mine Action]]/tblPiNAnalysis512[[#This Row],[Affected population projection 2026]], 0.05), "")</f>
        <v>0</v>
      </c>
      <c r="AH96" s="322">
        <f>IFERROR(MROUND(tblPiNAnalysis512[[#This Row],[HLP]]/tblPiNAnalysis512[[#This Row],[Affected population projection 2026]], 0.05), "")</f>
        <v>0</v>
      </c>
      <c r="AI96" s="325">
        <f>IFERROR(LARGE(tblPiNAnalysis512[[#This Row],[CCCM]:[WASH]], 1), "")</f>
        <v>0</v>
      </c>
      <c r="AJ96" s="326" t="str" cm="1">
        <f t="array" ref="AJ96">IF(tblPiNAnalysis512[[#This Row],[Highest Target]]="", "", _xlfn.TEXTJOIN(CHAR(10), TRUE, IF(tblPiNAnalysis512[[#This Row],[Highest Target]]=tblPiNAnalysis512[[#This Row],[CCCM]:[WASH]], tblPiNAnalysis512[[#Headers],[CCCM]:[WASH]], "")))</f>
        <v>CCCM
Education
Nutrition
Food Security
Health
Overarching Protection
Shelter
WASH</v>
      </c>
      <c r="AK96" s="327">
        <f>IF(tblPiNAnalysis512[[#This Row],[Highest Target]]="", "", tblPiNAnalysis512[[#This Row],[Highest Target]]/tblPiNAnalysis512[[#This Row],[Affected population projection 2026]])</f>
        <v>0</v>
      </c>
      <c r="AL96" s="328" t="str">
        <f>IF(SUM(tblPiNAnalysis512[[#This Row],[CCCM]:[WASH]])=0, "",IF(COUNTIF(tblPiNAnalysis512[[#This Row],[CCCM]:[WASH]],"=0")+COUNTIF(tblPiNAnalysis512[[#This Row],[CCCM]:[WASH]],"")&gt;=zero_pin_thresh, "Flagged", ""))</f>
        <v/>
      </c>
      <c r="AM96" s="329" t="str">
        <f>IFERROR(IF(tblPiNAnalysis512[[#This Row],[Highest Target]]="", "", IF(tblPiNAnalysis512[[#This Row],[Highest sector(s'') Target %]]&gt;=flag_pin_perc, "Flagged", "")), "")</f>
        <v/>
      </c>
      <c r="AN96" s="330" t="str" cm="1">
        <f t="array" ref="AN96">IF(tblPiNAnalysis512[[#This Row],[Highest Target]]=0, "",  IF(OR(COUNTIF(tblPiNAnalysis512[[#This Row],[Highest sector(s)]],tblSubSectorPopulation[Sector])), "Flagged", ""))</f>
        <v/>
      </c>
      <c r="AO96" s="46" cm="1">
        <f t="array" ref="AO9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96" s="331" t="str" cm="1">
        <f t="array" ref="AP96">IF(tblPiNAnalysis512[[#This Row],[2nd Highest Target]]="", "", _xlfn.TEXTJOIN(CHAR(10), TRUE, IF(tblPiNAnalysis512[[#This Row],[2nd Highest Target]]=tblPiNAnalysis512[[#This Row],[CCCM]:[WASH]], tblPiNAnalysis512[[#Headers],[CCCM]:[WASH]], "")))</f>
        <v>CCCM
Education
Nutrition
Food Security
Health
Overarching Protection
Shelter
WASH</v>
      </c>
      <c r="AQ96" s="36">
        <f>IFERROR(tblPiNAnalysis512[[#This Row],[2nd Highest Target]]/tblPiNAnalysis512[[#This Row],[Affected population projection 2026]], "")</f>
        <v>0</v>
      </c>
      <c r="AR96" s="46">
        <f>IFERROR(tblPiNAnalysis512[[#This Row],[Highest Target]]-tblPiNAnalysis512[[#This Row],[2nd Highest Target]], "")</f>
        <v>0</v>
      </c>
      <c r="AS96" s="39" t="str">
        <f>IFERROR(((tblPiNAnalysis512[[#This Row],[Highest Target]]-tblPiNAnalysis512[[#This Row],[2nd Highest Target]])/tblPiNAnalysis512[[#This Row],[2nd Highest Target]]),"")</f>
        <v/>
      </c>
      <c r="AT96" s="39" t="str" cm="1">
        <f t="array" ref="AT9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6" s="332" cm="1">
        <f t="array" ref="AU9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96" s="190" t="str" cm="1">
        <f t="array" ref="AV96">IF(tblPiNAnalysis512[[#This Row],[3rd Highest Target]]="", "", _xlfn.TEXTJOIN(CHAR(10), TRUE, IF(tblPiNAnalysis512[[#This Row],[3rd Highest Target]]=tblPiNAnalysis512[[#This Row],[CCCM]:[WASH]], tblPiNAnalysis512[[#Headers],[CCCM]:[WASH]], "")))</f>
        <v>CCCM
Education
Nutrition
Food Security
Health
Overarching Protection
Shelter
WASH</v>
      </c>
      <c r="AW96" s="190">
        <f>IFERROR(tblPiNAnalysis512[[#This Row],[3rd Highest Target]]/tblPiNAnalysis512[[#This Row],[Affected population projection 2026]], "")</f>
        <v>0</v>
      </c>
      <c r="AX96" s="45">
        <f>IFERROR(tblPiNAnalysis512[[#This Row],[Highest Target]]-tblPiNAnalysis512[[#This Row],[3rd Highest Target]],"")</f>
        <v>0</v>
      </c>
      <c r="AY96" s="39" t="str">
        <f>IFERROR(tblPiNAnalysis512[[#This Row],[Difference of Target between Highest and 3rd Highest]]/tblPiNAnalysis512[[#This Row],[3rd Highest Target]], "")</f>
        <v/>
      </c>
      <c r="AZ96" s="330" t="str" cm="1">
        <f t="array" ref="AZ9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6" s="300" t="str" cm="1">
        <f t="array" ref="BA9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6" s="333" t="str" cm="1">
        <f t="array" ref="BB9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6" s="276" t="str" cm="1">
        <f t="array" ref="BC9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6" s="334" t="str" cm="1">
        <f t="array" ref="BD9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6" s="277" t="e">
        <f>INDEX(tblSeverityAnalysis[Final Severity], MATCH(tblPiNAnalysis512[[#This Row],[ID]],tblSeverityAnalysis[ID], 0))</f>
        <v>#N/A</v>
      </c>
      <c r="BF96" s="61" t="e">
        <f>IF(tblPiNAnalysis512[[#This Row],[Severity]]&gt;2,tblPiNAnalysis512[[#This Row],[Highest Target]],)</f>
        <v>#N/A</v>
      </c>
      <c r="BG96" s="191"/>
      <c r="BH96" s="192"/>
      <c r="BI96" s="193">
        <f>COUNTIFS(tblPiNAnalysis512[[#This Row],[Number of missing / zero PiNs greater than threshold - Data quality]:[Manual Flag]],"Flagged")</f>
        <v>2</v>
      </c>
      <c r="BJ96" s="96" t="str">
        <f>IF(tblPiNAnalysis512[[#This Row],['# Flags]]&gt;0, "Flagged", "")</f>
        <v>Flagged</v>
      </c>
      <c r="BK96" s="326" t="e">
        <f>tblPiNAnalysis512[[#This Row],[Preliminary Target]]</f>
        <v>#N/A</v>
      </c>
      <c r="BL96" s="331">
        <v>4</v>
      </c>
    </row>
    <row r="97" spans="1:64" ht="110.7" x14ac:dyDescent="0.55000000000000004">
      <c r="A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7" s="316" t="s">
        <v>250</v>
      </c>
      <c r="C97" s="317" t="s">
        <v>251</v>
      </c>
      <c r="D97" s="317" t="s">
        <v>266</v>
      </c>
      <c r="E97" s="105" t="s">
        <v>267</v>
      </c>
      <c r="F97" s="100"/>
      <c r="G97" s="34"/>
      <c r="H97" s="34"/>
      <c r="I97" s="97">
        <v>47474.399116158442</v>
      </c>
      <c r="J97" s="97" t="s">
        <v>413</v>
      </c>
      <c r="K97" s="318">
        <v>0</v>
      </c>
      <c r="L97" s="319">
        <v>0</v>
      </c>
      <c r="M97" s="319">
        <v>0</v>
      </c>
      <c r="N97" s="319">
        <v>0</v>
      </c>
      <c r="O97" s="319">
        <v>0</v>
      </c>
      <c r="P97" s="319">
        <v>0</v>
      </c>
      <c r="Q97" s="320">
        <v>0</v>
      </c>
      <c r="R97" s="319">
        <v>0</v>
      </c>
      <c r="S97" s="319"/>
      <c r="T97" s="319"/>
      <c r="U97" s="319"/>
      <c r="V97" s="319"/>
      <c r="W97" s="321">
        <f>IFERROR(IF(tblPiNAnalysis512[[#This Row],[CCCM]]="", "", MROUND(tblPiNAnalysis512[[#This Row],[CCCM]]/tblPiNAnalysis512[[#This Row],[Affected population projection 2026]], 0.05)), "")</f>
        <v>0</v>
      </c>
      <c r="X97" s="322">
        <f>IFERROR(IF(tblPiNAnalysis512[[#This Row],[Education]]="", "", MROUND(tblPiNAnalysis512[[#This Row],[Education]]/tblPiNAnalysis512[[#This Row],[Affected population projection 2026]], 0.05)), "")</f>
        <v>0</v>
      </c>
      <c r="Y97" s="322">
        <f>IFERROR(IF(tblPiNAnalysis512[[#This Row],[Nutrition]]="", "", MROUND(tblPiNAnalysis512[[#This Row],[Nutrition]]/tblPiNAnalysis512[[#This Row],[Affected population projection 2026]], 0.05)), "")</f>
        <v>0</v>
      </c>
      <c r="Z97" s="322">
        <f>IFERROR(IF(tblPiNAnalysis512[[#This Row],[Food Security]]="", "", MROUND(tblPiNAnalysis512[[#This Row],[Food Security]]/tblPiNAnalysis512[[#This Row],[Affected population projection 2026]], 0.05)), "")</f>
        <v>0</v>
      </c>
      <c r="AA97" s="322">
        <f>IFERROR(IF(tblPiNAnalysis512[[#This Row],[Health]]="", "", MROUND(tblPiNAnalysis512[[#This Row],[Health]]/tblPiNAnalysis512[[#This Row],[Affected population projection 2026]], 0.05)), "")</f>
        <v>0</v>
      </c>
      <c r="AB97" s="323">
        <f>IFERROR(IF(tblPiNAnalysis512[[#This Row],[Overarching Protection]]="", "", MROUND(tblPiNAnalysis512[[#This Row],[Overarching Protection]]/tblPiNAnalysis512[[#This Row],[Affected population projection 2026]], 0.05)), "")</f>
        <v>0</v>
      </c>
      <c r="AC97" s="323">
        <f>IFERROR(IF(tblPiNAnalysis512[[#This Row],[Shelter]]="", "", MROUND(tblPiNAnalysis512[[#This Row],[Shelter]]/tblPiNAnalysis512[[#This Row],[Affected population projection 2026]], 0.05)), "")</f>
        <v>0</v>
      </c>
      <c r="AD97" s="324">
        <f>IFERROR(IF(tblPiNAnalysis512[[#This Row],[WASH]]="", "", MROUND(tblPiNAnalysis512[[#This Row],[WASH]]/tblPiNAnalysis512[[#This Row],[Affected population projection 2026]], 0.05)), "")</f>
        <v>0</v>
      </c>
      <c r="AE97" s="322">
        <f>IFERROR(MROUND(tblPiNAnalysis512[[#This Row],[CP]]/tblPiNAnalysis512[[#This Row],[Affected population projection 2026]], 0.05), "")</f>
        <v>0</v>
      </c>
      <c r="AF97" s="322">
        <f>IFERROR(MROUND(tblPiNAnalysis512[[#This Row],[GBV]]/tblPiNAnalysis512[[#This Row],[Affected population projection 2026]], 0.05), "")</f>
        <v>0</v>
      </c>
      <c r="AG97" s="322">
        <f>IFERROR(MROUND(tblPiNAnalysis512[[#This Row],[Mine Action]]/tblPiNAnalysis512[[#This Row],[Affected population projection 2026]], 0.05), "")</f>
        <v>0</v>
      </c>
      <c r="AH97" s="322">
        <f>IFERROR(MROUND(tblPiNAnalysis512[[#This Row],[HLP]]/tblPiNAnalysis512[[#This Row],[Affected population projection 2026]], 0.05), "")</f>
        <v>0</v>
      </c>
      <c r="AI97" s="325">
        <f>IFERROR(LARGE(tblPiNAnalysis512[[#This Row],[CCCM]:[WASH]], 1), "")</f>
        <v>0</v>
      </c>
      <c r="AJ97" s="326" t="str" cm="1">
        <f t="array" ref="AJ97">IF(tblPiNAnalysis512[[#This Row],[Highest Target]]="", "", _xlfn.TEXTJOIN(CHAR(10), TRUE, IF(tblPiNAnalysis512[[#This Row],[Highest Target]]=tblPiNAnalysis512[[#This Row],[CCCM]:[WASH]], tblPiNAnalysis512[[#Headers],[CCCM]:[WASH]], "")))</f>
        <v>CCCM
Education
Nutrition
Food Security
Health
Overarching Protection
Shelter
WASH</v>
      </c>
      <c r="AK97" s="327">
        <f>IF(tblPiNAnalysis512[[#This Row],[Highest Target]]="", "", tblPiNAnalysis512[[#This Row],[Highest Target]]/tblPiNAnalysis512[[#This Row],[Affected population projection 2026]])</f>
        <v>0</v>
      </c>
      <c r="AL97" s="328" t="str">
        <f>IF(SUM(tblPiNAnalysis512[[#This Row],[CCCM]:[WASH]])=0, "",IF(COUNTIF(tblPiNAnalysis512[[#This Row],[CCCM]:[WASH]],"=0")+COUNTIF(tblPiNAnalysis512[[#This Row],[CCCM]:[WASH]],"")&gt;=zero_pin_thresh, "Flagged", ""))</f>
        <v/>
      </c>
      <c r="AM97" s="329" t="str">
        <f>IFERROR(IF(tblPiNAnalysis512[[#This Row],[Highest Target]]="", "", IF(tblPiNAnalysis512[[#This Row],[Highest sector(s'') Target %]]&gt;=flag_pin_perc, "Flagged", "")), "")</f>
        <v/>
      </c>
      <c r="AN97" s="330" t="str" cm="1">
        <f t="array" ref="AN97">IF(tblPiNAnalysis512[[#This Row],[Highest Target]]=0, "",  IF(OR(COUNTIF(tblPiNAnalysis512[[#This Row],[Highest sector(s)]],tblSubSectorPopulation[Sector])), "Flagged", ""))</f>
        <v/>
      </c>
      <c r="AO97" s="46" cm="1">
        <f t="array" ref="AO9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97" s="331" t="str" cm="1">
        <f t="array" ref="AP97">IF(tblPiNAnalysis512[[#This Row],[2nd Highest Target]]="", "", _xlfn.TEXTJOIN(CHAR(10), TRUE, IF(tblPiNAnalysis512[[#This Row],[2nd Highest Target]]=tblPiNAnalysis512[[#This Row],[CCCM]:[WASH]], tblPiNAnalysis512[[#Headers],[CCCM]:[WASH]], "")))</f>
        <v>CCCM
Education
Nutrition
Food Security
Health
Overarching Protection
Shelter
WASH</v>
      </c>
      <c r="AQ97" s="36">
        <f>IFERROR(tblPiNAnalysis512[[#This Row],[2nd Highest Target]]/tblPiNAnalysis512[[#This Row],[Affected population projection 2026]], "")</f>
        <v>0</v>
      </c>
      <c r="AR97" s="46">
        <f>IFERROR(tblPiNAnalysis512[[#This Row],[Highest Target]]-tblPiNAnalysis512[[#This Row],[2nd Highest Target]], "")</f>
        <v>0</v>
      </c>
      <c r="AS97" s="39" t="str">
        <f>IFERROR(((tblPiNAnalysis512[[#This Row],[Highest Target]]-tblPiNAnalysis512[[#This Row],[2nd Highest Target]])/tblPiNAnalysis512[[#This Row],[2nd Highest Target]]),"")</f>
        <v/>
      </c>
      <c r="AT97" s="39" t="str" cm="1">
        <f t="array" ref="AT9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7" s="332" cm="1">
        <f t="array" ref="AU9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97" s="190" t="str" cm="1">
        <f t="array" ref="AV97">IF(tblPiNAnalysis512[[#This Row],[3rd Highest Target]]="", "", _xlfn.TEXTJOIN(CHAR(10), TRUE, IF(tblPiNAnalysis512[[#This Row],[3rd Highest Target]]=tblPiNAnalysis512[[#This Row],[CCCM]:[WASH]], tblPiNAnalysis512[[#Headers],[CCCM]:[WASH]], "")))</f>
        <v>CCCM
Education
Nutrition
Food Security
Health
Overarching Protection
Shelter
WASH</v>
      </c>
      <c r="AW97" s="190">
        <f>IFERROR(tblPiNAnalysis512[[#This Row],[3rd Highest Target]]/tblPiNAnalysis512[[#This Row],[Affected population projection 2026]], "")</f>
        <v>0</v>
      </c>
      <c r="AX97" s="45">
        <f>IFERROR(tblPiNAnalysis512[[#This Row],[Highest Target]]-tblPiNAnalysis512[[#This Row],[3rd Highest Target]],"")</f>
        <v>0</v>
      </c>
      <c r="AY97" s="39" t="str">
        <f>IFERROR(tblPiNAnalysis512[[#This Row],[Difference of Target between Highest and 3rd Highest]]/tblPiNAnalysis512[[#This Row],[3rd Highest Target]], "")</f>
        <v/>
      </c>
      <c r="AZ97" s="330" t="str" cm="1">
        <f t="array" ref="AZ9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7" s="300" t="str" cm="1">
        <f t="array" ref="BA9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7" s="333" t="str" cm="1">
        <f t="array" ref="BB9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97" s="276" t="str" cm="1">
        <f t="array" ref="BC9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7" s="334" t="str" cm="1">
        <f t="array" ref="BD9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7" s="277" t="e">
        <f>INDEX(tblSeverityAnalysis[Final Severity], MATCH(tblPiNAnalysis512[[#This Row],[ID]],tblSeverityAnalysis[ID], 0))</f>
        <v>#N/A</v>
      </c>
      <c r="BF97" s="61" t="e">
        <f>IF(tblPiNAnalysis512[[#This Row],[Severity]]&gt;2,tblPiNAnalysis512[[#This Row],[Highest Target]],)</f>
        <v>#N/A</v>
      </c>
      <c r="BG97" s="191"/>
      <c r="BH97" s="192"/>
      <c r="BI97" s="193">
        <f>COUNTIFS(tblPiNAnalysis512[[#This Row],[Number of missing / zero PiNs greater than threshold - Data quality]:[Manual Flag]],"Flagged")</f>
        <v>2</v>
      </c>
      <c r="BJ97" s="96" t="str">
        <f>IF(tblPiNAnalysis512[[#This Row],['# Flags]]&gt;0, "Flagged", "")</f>
        <v>Flagged</v>
      </c>
      <c r="BK97" s="326" t="e">
        <f>tblPiNAnalysis512[[#This Row],[Preliminary Target]]</f>
        <v>#N/A</v>
      </c>
      <c r="BL97" s="331">
        <v>4</v>
      </c>
    </row>
    <row r="98" spans="1:64" x14ac:dyDescent="0.55000000000000004">
      <c r="A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8" s="316" t="s">
        <v>268</v>
      </c>
      <c r="C98" s="317" t="s">
        <v>269</v>
      </c>
      <c r="D98" s="317" t="s">
        <v>270</v>
      </c>
      <c r="E98" s="105" t="s">
        <v>271</v>
      </c>
      <c r="F98" s="100"/>
      <c r="G98" s="34"/>
      <c r="H98" s="34"/>
      <c r="I98" s="97">
        <v>146807.46329287597</v>
      </c>
      <c r="J98" s="97" t="s">
        <v>413</v>
      </c>
      <c r="K98" s="318">
        <v>0</v>
      </c>
      <c r="L98" s="319">
        <v>8686.5388800541532</v>
      </c>
      <c r="M98" s="319">
        <v>50135.129326768183</v>
      </c>
      <c r="N98" s="319">
        <v>71357.403009888134</v>
      </c>
      <c r="O98" s="319">
        <v>70728.71066493931</v>
      </c>
      <c r="P98" s="319">
        <v>36704.950852891365</v>
      </c>
      <c r="Q98" s="320">
        <v>10163.593612583722</v>
      </c>
      <c r="R98" s="319">
        <v>25147.574730724125</v>
      </c>
      <c r="S98" s="319"/>
      <c r="T98" s="319"/>
      <c r="U98" s="319"/>
      <c r="V98" s="319"/>
      <c r="W98" s="321">
        <f>IFERROR(IF(tblPiNAnalysis512[[#This Row],[CCCM]]="", "", MROUND(tblPiNAnalysis512[[#This Row],[CCCM]]/tblPiNAnalysis512[[#This Row],[Affected population projection 2026]], 0.05)), "")</f>
        <v>0</v>
      </c>
      <c r="X98" s="322">
        <f>IFERROR(IF(tblPiNAnalysis512[[#This Row],[Education]]="", "", MROUND(tblPiNAnalysis512[[#This Row],[Education]]/tblPiNAnalysis512[[#This Row],[Affected population projection 2026]], 0.05)), "")</f>
        <v>0.05</v>
      </c>
      <c r="Y98" s="322">
        <f>IFERROR(IF(tblPiNAnalysis512[[#This Row],[Nutrition]]="", "", MROUND(tblPiNAnalysis512[[#This Row],[Nutrition]]/tblPiNAnalysis512[[#This Row],[Affected population projection 2026]], 0.05)), "")</f>
        <v>0.35000000000000003</v>
      </c>
      <c r="Z98" s="322">
        <f>IFERROR(IF(tblPiNAnalysis512[[#This Row],[Food Security]]="", "", MROUND(tblPiNAnalysis512[[#This Row],[Food Security]]/tblPiNAnalysis512[[#This Row],[Affected population projection 2026]], 0.05)), "")</f>
        <v>0.5</v>
      </c>
      <c r="AA98" s="322">
        <f>IFERROR(IF(tblPiNAnalysis512[[#This Row],[Health]]="", "", MROUND(tblPiNAnalysis512[[#This Row],[Health]]/tblPiNAnalysis512[[#This Row],[Affected population projection 2026]], 0.05)), "")</f>
        <v>0.5</v>
      </c>
      <c r="AB98" s="323">
        <f>IFERROR(IF(tblPiNAnalysis512[[#This Row],[Overarching Protection]]="", "", MROUND(tblPiNAnalysis512[[#This Row],[Overarching Protection]]/tblPiNAnalysis512[[#This Row],[Affected population projection 2026]], 0.05)), "")</f>
        <v>0.25</v>
      </c>
      <c r="AC98" s="323">
        <f>IFERROR(IF(tblPiNAnalysis512[[#This Row],[Shelter]]="", "", MROUND(tblPiNAnalysis512[[#This Row],[Shelter]]/tblPiNAnalysis512[[#This Row],[Affected population projection 2026]], 0.05)), "")</f>
        <v>0.05</v>
      </c>
      <c r="AD98" s="324">
        <f>IFERROR(IF(tblPiNAnalysis512[[#This Row],[WASH]]="", "", MROUND(tblPiNAnalysis512[[#This Row],[WASH]]/tblPiNAnalysis512[[#This Row],[Affected population projection 2026]], 0.05)), "")</f>
        <v>0.15000000000000002</v>
      </c>
      <c r="AE98" s="322">
        <f>IFERROR(MROUND(tblPiNAnalysis512[[#This Row],[CP]]/tblPiNAnalysis512[[#This Row],[Affected population projection 2026]], 0.05), "")</f>
        <v>0</v>
      </c>
      <c r="AF98" s="322">
        <f>IFERROR(MROUND(tblPiNAnalysis512[[#This Row],[GBV]]/tblPiNAnalysis512[[#This Row],[Affected population projection 2026]], 0.05), "")</f>
        <v>0</v>
      </c>
      <c r="AG98" s="322">
        <f>IFERROR(MROUND(tblPiNAnalysis512[[#This Row],[Mine Action]]/tblPiNAnalysis512[[#This Row],[Affected population projection 2026]], 0.05), "")</f>
        <v>0</v>
      </c>
      <c r="AH98" s="322">
        <f>IFERROR(MROUND(tblPiNAnalysis512[[#This Row],[HLP]]/tblPiNAnalysis512[[#This Row],[Affected population projection 2026]], 0.05), "")</f>
        <v>0</v>
      </c>
      <c r="AI98" s="325">
        <f>IFERROR(LARGE(tblPiNAnalysis512[[#This Row],[CCCM]:[WASH]], 1), "")</f>
        <v>71357.403009888134</v>
      </c>
      <c r="AJ98" s="326" t="str" cm="1">
        <f t="array" ref="AJ98">IF(tblPiNAnalysis512[[#This Row],[Highest Target]]="", "", _xlfn.TEXTJOIN(CHAR(10), TRUE, IF(tblPiNAnalysis512[[#This Row],[Highest Target]]=tblPiNAnalysis512[[#This Row],[CCCM]:[WASH]], tblPiNAnalysis512[[#Headers],[CCCM]:[WASH]], "")))</f>
        <v>Food Security</v>
      </c>
      <c r="AK98" s="327">
        <f>IF(tblPiNAnalysis512[[#This Row],[Highest Target]]="", "", tblPiNAnalysis512[[#This Row],[Highest Target]]/tblPiNAnalysis512[[#This Row],[Affected population projection 2026]])</f>
        <v>0.4860611402809441</v>
      </c>
      <c r="AL98" s="328" t="str">
        <f>IF(SUM(tblPiNAnalysis512[[#This Row],[CCCM]:[WASH]])=0, "",IF(COUNTIF(tblPiNAnalysis512[[#This Row],[CCCM]:[WASH]],"=0")+COUNTIF(tblPiNAnalysis512[[#This Row],[CCCM]:[WASH]],"")&gt;=zero_pin_thresh, "Flagged", ""))</f>
        <v/>
      </c>
      <c r="AM98" s="329" t="str">
        <f>IFERROR(IF(tblPiNAnalysis512[[#This Row],[Highest Target]]="", "", IF(tblPiNAnalysis512[[#This Row],[Highest sector(s'') Target %]]&gt;=flag_pin_perc, "Flagged", "")), "")</f>
        <v/>
      </c>
      <c r="AN98" s="330" t="str" cm="1">
        <f t="array" ref="AN98">IF(tblPiNAnalysis512[[#This Row],[Highest Target]]=0, "",  IF(OR(COUNTIF(tblPiNAnalysis512[[#This Row],[Highest sector(s)]],tblSubSectorPopulation[Sector])), "Flagged", ""))</f>
        <v/>
      </c>
      <c r="AO98" s="46" cm="1">
        <f t="array" ref="AO9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70728.71066493931</v>
      </c>
      <c r="AP98" s="331" t="str" cm="1">
        <f t="array" ref="AP98">IF(tblPiNAnalysis512[[#This Row],[2nd Highest Target]]="", "", _xlfn.TEXTJOIN(CHAR(10), TRUE, IF(tblPiNAnalysis512[[#This Row],[2nd Highest Target]]=tblPiNAnalysis512[[#This Row],[CCCM]:[WASH]], tblPiNAnalysis512[[#Headers],[CCCM]:[WASH]], "")))</f>
        <v>Health</v>
      </c>
      <c r="AQ98" s="36">
        <f>IFERROR(tblPiNAnalysis512[[#This Row],[2nd Highest Target]]/tblPiNAnalysis512[[#This Row],[Affected population projection 2026]], "")</f>
        <v>0.48177871259745086</v>
      </c>
      <c r="AR98" s="46">
        <f>IFERROR(tblPiNAnalysis512[[#This Row],[Highest Target]]-tblPiNAnalysis512[[#This Row],[2nd Highest Target]], "")</f>
        <v>628.69234494882403</v>
      </c>
      <c r="AS98" s="39">
        <f>IFERROR(((tblPiNAnalysis512[[#This Row],[Highest Target]]-tblPiNAnalysis512[[#This Row],[2nd Highest Target]])/tblPiNAnalysis512[[#This Row],[2nd Highest Target]]),"")</f>
        <v>8.8887856011840329E-3</v>
      </c>
      <c r="AT98" s="39" t="str" cm="1">
        <f t="array" ref="AT9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98" s="332" cm="1">
        <f t="array" ref="AU9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50135.129326768183</v>
      </c>
      <c r="AV98" s="190" t="str" cm="1">
        <f t="array" ref="AV98">IF(tblPiNAnalysis512[[#This Row],[3rd Highest Target]]="", "", _xlfn.TEXTJOIN(CHAR(10), TRUE, IF(tblPiNAnalysis512[[#This Row],[3rd Highest Target]]=tblPiNAnalysis512[[#This Row],[CCCM]:[WASH]], tblPiNAnalysis512[[#Headers],[CCCM]:[WASH]], "")))</f>
        <v>Nutrition</v>
      </c>
      <c r="AW98" s="190">
        <f>IFERROR(tblPiNAnalysis512[[#This Row],[3rd Highest Target]]/tblPiNAnalysis512[[#This Row],[Affected population projection 2026]], "")</f>
        <v>0.34150259259469856</v>
      </c>
      <c r="AX98" s="45">
        <f>IFERROR(tblPiNAnalysis512[[#This Row],[Highest Target]]-tblPiNAnalysis512[[#This Row],[3rd Highest Target]],"")</f>
        <v>21222.273683119951</v>
      </c>
      <c r="AY98" s="39">
        <f>IFERROR(tblPiNAnalysis512[[#This Row],[Difference of Target between Highest and 3rd Highest]]/tblPiNAnalysis512[[#This Row],[3rd Highest Target]], "")</f>
        <v>0.42330146482316822</v>
      </c>
      <c r="AZ98" s="330" t="str" cm="1">
        <f t="array" ref="AZ9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98" s="300" t="str" cm="1">
        <f t="array" ref="BA9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8" s="333" t="str" cm="1">
        <f t="array" ref="BB9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98" s="276" t="str" cm="1">
        <f t="array" ref="BC9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8" s="334" t="str" cm="1">
        <f t="array" ref="BD9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98" s="277" t="e">
        <f>INDEX(tblSeverityAnalysis[Final Severity], MATCH(tblPiNAnalysis512[[#This Row],[ID]],tblSeverityAnalysis[ID], 0))</f>
        <v>#N/A</v>
      </c>
      <c r="BF98" s="61" t="e">
        <f>IF(tblPiNAnalysis512[[#This Row],[Severity]]&gt;2,tblPiNAnalysis512[[#This Row],[Highest Target]],)</f>
        <v>#N/A</v>
      </c>
      <c r="BG98" s="191"/>
      <c r="BH98" s="192"/>
      <c r="BI98" s="193">
        <f>COUNTIFS(tblPiNAnalysis512[[#This Row],[Number of missing / zero PiNs greater than threshold - Data quality]:[Manual Flag]],"Flagged")</f>
        <v>1</v>
      </c>
      <c r="BJ98" s="96" t="str">
        <f>IF(tblPiNAnalysis512[[#This Row],['# Flags]]&gt;0, "Flagged", "")</f>
        <v>Flagged</v>
      </c>
      <c r="BK98" s="326" t="e">
        <f>tblPiNAnalysis512[[#This Row],[Preliminary Target]]</f>
        <v>#N/A</v>
      </c>
      <c r="BL98" s="331">
        <v>1</v>
      </c>
    </row>
    <row r="99" spans="1:64" x14ac:dyDescent="0.55000000000000004">
      <c r="A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9" s="316" t="s">
        <v>268</v>
      </c>
      <c r="C99" s="317" t="s">
        <v>269</v>
      </c>
      <c r="D99" s="317" t="s">
        <v>272</v>
      </c>
      <c r="E99" s="105" t="s">
        <v>273</v>
      </c>
      <c r="F99" s="100"/>
      <c r="G99" s="34"/>
      <c r="H99" s="34"/>
      <c r="I99" s="97">
        <v>126785.47631993188</v>
      </c>
      <c r="J99" s="97" t="s">
        <v>413</v>
      </c>
      <c r="K99" s="318">
        <v>0</v>
      </c>
      <c r="L99" s="319">
        <v>5241.6158762091518</v>
      </c>
      <c r="M99" s="319">
        <v>29343.305071128358</v>
      </c>
      <c r="N99" s="319">
        <v>54404.084525413884</v>
      </c>
      <c r="O99" s="319">
        <v>51234.416560604725</v>
      </c>
      <c r="P99" s="319">
        <v>22983.164053660905</v>
      </c>
      <c r="Q99" s="320">
        <v>5582.34559916118</v>
      </c>
      <c r="R99" s="319">
        <v>87773.110093587602</v>
      </c>
      <c r="S99" s="319"/>
      <c r="T99" s="319"/>
      <c r="U99" s="319"/>
      <c r="V99" s="319"/>
      <c r="W99" s="321">
        <f>IFERROR(IF(tblPiNAnalysis512[[#This Row],[CCCM]]="", "", MROUND(tblPiNAnalysis512[[#This Row],[CCCM]]/tblPiNAnalysis512[[#This Row],[Affected population projection 2026]], 0.05)), "")</f>
        <v>0</v>
      </c>
      <c r="X99" s="322">
        <f>IFERROR(IF(tblPiNAnalysis512[[#This Row],[Education]]="", "", MROUND(tblPiNAnalysis512[[#This Row],[Education]]/tblPiNAnalysis512[[#This Row],[Affected population projection 2026]], 0.05)), "")</f>
        <v>0.05</v>
      </c>
      <c r="Y99" s="322">
        <f>IFERROR(IF(tblPiNAnalysis512[[#This Row],[Nutrition]]="", "", MROUND(tblPiNAnalysis512[[#This Row],[Nutrition]]/tblPiNAnalysis512[[#This Row],[Affected population projection 2026]], 0.05)), "")</f>
        <v>0.25</v>
      </c>
      <c r="Z99" s="322">
        <f>IFERROR(IF(tblPiNAnalysis512[[#This Row],[Food Security]]="", "", MROUND(tblPiNAnalysis512[[#This Row],[Food Security]]/tblPiNAnalysis512[[#This Row],[Affected population projection 2026]], 0.05)), "")</f>
        <v>0.45</v>
      </c>
      <c r="AA99" s="322">
        <f>IFERROR(IF(tblPiNAnalysis512[[#This Row],[Health]]="", "", MROUND(tblPiNAnalysis512[[#This Row],[Health]]/tblPiNAnalysis512[[#This Row],[Affected population projection 2026]], 0.05)), "")</f>
        <v>0.4</v>
      </c>
      <c r="AB99" s="323">
        <f>IFERROR(IF(tblPiNAnalysis512[[#This Row],[Overarching Protection]]="", "", MROUND(tblPiNAnalysis512[[#This Row],[Overarching Protection]]/tblPiNAnalysis512[[#This Row],[Affected population projection 2026]], 0.05)), "")</f>
        <v>0.2</v>
      </c>
      <c r="AC99" s="323">
        <f>IFERROR(IF(tblPiNAnalysis512[[#This Row],[Shelter]]="", "", MROUND(tblPiNAnalysis512[[#This Row],[Shelter]]/tblPiNAnalysis512[[#This Row],[Affected population projection 2026]], 0.05)), "")</f>
        <v>0.05</v>
      </c>
      <c r="AD99" s="324">
        <f>IFERROR(IF(tblPiNAnalysis512[[#This Row],[WASH]]="", "", MROUND(tblPiNAnalysis512[[#This Row],[WASH]]/tblPiNAnalysis512[[#This Row],[Affected population projection 2026]], 0.05)), "")</f>
        <v>0.70000000000000007</v>
      </c>
      <c r="AE99" s="322">
        <f>IFERROR(MROUND(tblPiNAnalysis512[[#This Row],[CP]]/tblPiNAnalysis512[[#This Row],[Affected population projection 2026]], 0.05), "")</f>
        <v>0</v>
      </c>
      <c r="AF99" s="322">
        <f>IFERROR(MROUND(tblPiNAnalysis512[[#This Row],[GBV]]/tblPiNAnalysis512[[#This Row],[Affected population projection 2026]], 0.05), "")</f>
        <v>0</v>
      </c>
      <c r="AG99" s="322">
        <f>IFERROR(MROUND(tblPiNAnalysis512[[#This Row],[Mine Action]]/tblPiNAnalysis512[[#This Row],[Affected population projection 2026]], 0.05), "")</f>
        <v>0</v>
      </c>
      <c r="AH99" s="322">
        <f>IFERROR(MROUND(tblPiNAnalysis512[[#This Row],[HLP]]/tblPiNAnalysis512[[#This Row],[Affected population projection 2026]], 0.05), "")</f>
        <v>0</v>
      </c>
      <c r="AI99" s="325">
        <f>IFERROR(LARGE(tblPiNAnalysis512[[#This Row],[CCCM]:[WASH]], 1), "")</f>
        <v>87773.110093587602</v>
      </c>
      <c r="AJ99" s="326" t="str" cm="1">
        <f t="array" ref="AJ99">IF(tblPiNAnalysis512[[#This Row],[Highest Target]]="", "", _xlfn.TEXTJOIN(CHAR(10), TRUE, IF(tblPiNAnalysis512[[#This Row],[Highest Target]]=tblPiNAnalysis512[[#This Row],[CCCM]:[WASH]], tblPiNAnalysis512[[#Headers],[CCCM]:[WASH]], "")))</f>
        <v>WASH</v>
      </c>
      <c r="AK99" s="327">
        <f>IF(tblPiNAnalysis512[[#This Row],[Highest Target]]="", "", tblPiNAnalysis512[[#This Row],[Highest Target]]/tblPiNAnalysis512[[#This Row],[Affected population projection 2026]])</f>
        <v>0.69229625223081515</v>
      </c>
      <c r="AL99" s="328" t="str">
        <f>IF(SUM(tblPiNAnalysis512[[#This Row],[CCCM]:[WASH]])=0, "",IF(COUNTIF(tblPiNAnalysis512[[#This Row],[CCCM]:[WASH]],"=0")+COUNTIF(tblPiNAnalysis512[[#This Row],[CCCM]:[WASH]],"")&gt;=zero_pin_thresh, "Flagged", ""))</f>
        <v/>
      </c>
      <c r="AM99" s="329" t="str">
        <f>IFERROR(IF(tblPiNAnalysis512[[#This Row],[Highest Target]]="", "", IF(tblPiNAnalysis512[[#This Row],[Highest sector(s'') Target %]]&gt;=flag_pin_perc, "Flagged", "")), "")</f>
        <v/>
      </c>
      <c r="AN99" s="330" t="str" cm="1">
        <f t="array" ref="AN99">IF(tblPiNAnalysis512[[#This Row],[Highest Target]]=0, "",  IF(OR(COUNTIF(tblPiNAnalysis512[[#This Row],[Highest sector(s)]],tblSubSectorPopulation[Sector])), "Flagged", ""))</f>
        <v/>
      </c>
      <c r="AO99" s="46" cm="1">
        <f t="array" ref="AO9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54404.084525413884</v>
      </c>
      <c r="AP99" s="331" t="str" cm="1">
        <f t="array" ref="AP99">IF(tblPiNAnalysis512[[#This Row],[2nd Highest Target]]="", "", _xlfn.TEXTJOIN(CHAR(10), TRUE, IF(tblPiNAnalysis512[[#This Row],[2nd Highest Target]]=tblPiNAnalysis512[[#This Row],[CCCM]:[WASH]], tblPiNAnalysis512[[#Headers],[CCCM]:[WASH]], "")))</f>
        <v>Food Security</v>
      </c>
      <c r="AQ99" s="36">
        <f>IFERROR(tblPiNAnalysis512[[#This Row],[2nd Highest Target]]/tblPiNAnalysis512[[#This Row],[Affected population projection 2026]], "")</f>
        <v>0.42910344390023042</v>
      </c>
      <c r="AR99" s="46">
        <f>IFERROR(tblPiNAnalysis512[[#This Row],[Highest Target]]-tblPiNAnalysis512[[#This Row],[2nd Highest Target]], "")</f>
        <v>33369.025568173718</v>
      </c>
      <c r="AS99" s="39">
        <f>IFERROR(((tblPiNAnalysis512[[#This Row],[Highest Target]]-tblPiNAnalysis512[[#This Row],[2nd Highest Target]])/tblPiNAnalysis512[[#This Row],[2nd Highest Target]]),"")</f>
        <v>0.61335515263722495</v>
      </c>
      <c r="AT99" s="39" t="str" cm="1">
        <f t="array" ref="AT9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99" s="332" cm="1">
        <f t="array" ref="AU9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51234.416560604725</v>
      </c>
      <c r="AV99" s="190" t="str" cm="1">
        <f t="array" ref="AV99">IF(tblPiNAnalysis512[[#This Row],[3rd Highest Target]]="", "", _xlfn.TEXTJOIN(CHAR(10), TRUE, IF(tblPiNAnalysis512[[#This Row],[3rd Highest Target]]=tblPiNAnalysis512[[#This Row],[CCCM]:[WASH]], tblPiNAnalysis512[[#Headers],[CCCM]:[WASH]], "")))</f>
        <v>Health</v>
      </c>
      <c r="AW99" s="190">
        <f>IFERROR(tblPiNAnalysis512[[#This Row],[3rd Highest Target]]/tblPiNAnalysis512[[#This Row],[Affected population projection 2026]], "")</f>
        <v>0.40410319894464275</v>
      </c>
      <c r="AX99" s="45">
        <f>IFERROR(tblPiNAnalysis512[[#This Row],[Highest Target]]-tblPiNAnalysis512[[#This Row],[3rd Highest Target]],"")</f>
        <v>36538.693532982878</v>
      </c>
      <c r="AY99" s="39">
        <f>IFERROR(tblPiNAnalysis512[[#This Row],[Difference of Target between Highest and 3rd Highest]]/tblPiNAnalysis512[[#This Row],[3rd Highest Target]], "")</f>
        <v>0.71316696833585658</v>
      </c>
      <c r="AZ99" s="330" t="str" cm="1">
        <f t="array" ref="AZ9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99" s="300" t="str" cm="1">
        <f t="array" ref="BA9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99" s="333" t="str" cm="1">
        <f t="array" ref="BB9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99" s="276" t="str" cm="1">
        <f t="array" ref="BC9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99" s="334" t="str" cm="1">
        <f t="array" ref="BD9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99" s="277" t="e">
        <f>INDEX(tblSeverityAnalysis[Final Severity], MATCH(tblPiNAnalysis512[[#This Row],[ID]],tblSeverityAnalysis[ID], 0))</f>
        <v>#N/A</v>
      </c>
      <c r="BF99" s="61" t="e">
        <f>IF(tblPiNAnalysis512[[#This Row],[Severity]]&gt;2,tblPiNAnalysis512[[#This Row],[Highest Target]],)</f>
        <v>#N/A</v>
      </c>
      <c r="BG99" s="191"/>
      <c r="BH99" s="192"/>
      <c r="BI99" s="193">
        <f>COUNTIFS(tblPiNAnalysis512[[#This Row],[Number of missing / zero PiNs greater than threshold - Data quality]:[Manual Flag]],"Flagged")</f>
        <v>2</v>
      </c>
      <c r="BJ99" s="96" t="str">
        <f>IF(tblPiNAnalysis512[[#This Row],['# Flags]]&gt;0, "Flagged", "")</f>
        <v>Flagged</v>
      </c>
      <c r="BK99" s="326" t="e">
        <f>tblPiNAnalysis512[[#This Row],[Preliminary Target]]</f>
        <v>#N/A</v>
      </c>
      <c r="BL99" s="331">
        <v>2</v>
      </c>
    </row>
    <row r="100" spans="1:64" ht="110.7" x14ac:dyDescent="0.55000000000000004">
      <c r="A1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0" s="316" t="s">
        <v>268</v>
      </c>
      <c r="C100" s="317" t="s">
        <v>269</v>
      </c>
      <c r="D100" s="317" t="s">
        <v>274</v>
      </c>
      <c r="E100" s="105" t="s">
        <v>275</v>
      </c>
      <c r="F100" s="100"/>
      <c r="G100" s="34"/>
      <c r="H100" s="34"/>
      <c r="I100" s="97">
        <v>191777.77641387403</v>
      </c>
      <c r="J100" s="97" t="s">
        <v>413</v>
      </c>
      <c r="K100" s="318">
        <v>0</v>
      </c>
      <c r="L100" s="319">
        <v>0</v>
      </c>
      <c r="M100" s="319">
        <v>0</v>
      </c>
      <c r="N100" s="319">
        <v>0</v>
      </c>
      <c r="O100" s="319">
        <v>0</v>
      </c>
      <c r="P100" s="319">
        <v>0</v>
      </c>
      <c r="Q100" s="320">
        <v>0</v>
      </c>
      <c r="R100" s="319">
        <v>0</v>
      </c>
      <c r="S100" s="319"/>
      <c r="T100" s="319"/>
      <c r="U100" s="319"/>
      <c r="V100" s="319"/>
      <c r="W100" s="321">
        <f>IFERROR(IF(tblPiNAnalysis512[[#This Row],[CCCM]]="", "", MROUND(tblPiNAnalysis512[[#This Row],[CCCM]]/tblPiNAnalysis512[[#This Row],[Affected population projection 2026]], 0.05)), "")</f>
        <v>0</v>
      </c>
      <c r="X100" s="322">
        <f>IFERROR(IF(tblPiNAnalysis512[[#This Row],[Education]]="", "", MROUND(tblPiNAnalysis512[[#This Row],[Education]]/tblPiNAnalysis512[[#This Row],[Affected population projection 2026]], 0.05)), "")</f>
        <v>0</v>
      </c>
      <c r="Y100" s="322">
        <f>IFERROR(IF(tblPiNAnalysis512[[#This Row],[Nutrition]]="", "", MROUND(tblPiNAnalysis512[[#This Row],[Nutrition]]/tblPiNAnalysis512[[#This Row],[Affected population projection 2026]], 0.05)), "")</f>
        <v>0</v>
      </c>
      <c r="Z100" s="322">
        <f>IFERROR(IF(tblPiNAnalysis512[[#This Row],[Food Security]]="", "", MROUND(tblPiNAnalysis512[[#This Row],[Food Security]]/tblPiNAnalysis512[[#This Row],[Affected population projection 2026]], 0.05)), "")</f>
        <v>0</v>
      </c>
      <c r="AA100" s="322">
        <f>IFERROR(IF(tblPiNAnalysis512[[#This Row],[Health]]="", "", MROUND(tblPiNAnalysis512[[#This Row],[Health]]/tblPiNAnalysis512[[#This Row],[Affected population projection 2026]], 0.05)), "")</f>
        <v>0</v>
      </c>
      <c r="AB100" s="323">
        <f>IFERROR(IF(tblPiNAnalysis512[[#This Row],[Overarching Protection]]="", "", MROUND(tblPiNAnalysis512[[#This Row],[Overarching Protection]]/tblPiNAnalysis512[[#This Row],[Affected population projection 2026]], 0.05)), "")</f>
        <v>0</v>
      </c>
      <c r="AC100" s="323">
        <f>IFERROR(IF(tblPiNAnalysis512[[#This Row],[Shelter]]="", "", MROUND(tblPiNAnalysis512[[#This Row],[Shelter]]/tblPiNAnalysis512[[#This Row],[Affected population projection 2026]], 0.05)), "")</f>
        <v>0</v>
      </c>
      <c r="AD100" s="324">
        <f>IFERROR(IF(tblPiNAnalysis512[[#This Row],[WASH]]="", "", MROUND(tblPiNAnalysis512[[#This Row],[WASH]]/tblPiNAnalysis512[[#This Row],[Affected population projection 2026]], 0.05)), "")</f>
        <v>0</v>
      </c>
      <c r="AE100" s="322">
        <f>IFERROR(MROUND(tblPiNAnalysis512[[#This Row],[CP]]/tblPiNAnalysis512[[#This Row],[Affected population projection 2026]], 0.05), "")</f>
        <v>0</v>
      </c>
      <c r="AF100" s="322">
        <f>IFERROR(MROUND(tblPiNAnalysis512[[#This Row],[GBV]]/tblPiNAnalysis512[[#This Row],[Affected population projection 2026]], 0.05), "")</f>
        <v>0</v>
      </c>
      <c r="AG100" s="322">
        <f>IFERROR(MROUND(tblPiNAnalysis512[[#This Row],[Mine Action]]/tblPiNAnalysis512[[#This Row],[Affected population projection 2026]], 0.05), "")</f>
        <v>0</v>
      </c>
      <c r="AH100" s="322">
        <f>IFERROR(MROUND(tblPiNAnalysis512[[#This Row],[HLP]]/tblPiNAnalysis512[[#This Row],[Affected population projection 2026]], 0.05), "")</f>
        <v>0</v>
      </c>
      <c r="AI100" s="325">
        <f>IFERROR(LARGE(tblPiNAnalysis512[[#This Row],[CCCM]:[WASH]], 1), "")</f>
        <v>0</v>
      </c>
      <c r="AJ100" s="326" t="str" cm="1">
        <f t="array" ref="AJ100">IF(tblPiNAnalysis512[[#This Row],[Highest Target]]="", "", _xlfn.TEXTJOIN(CHAR(10), TRUE, IF(tblPiNAnalysis512[[#This Row],[Highest Target]]=tblPiNAnalysis512[[#This Row],[CCCM]:[WASH]], tblPiNAnalysis512[[#Headers],[CCCM]:[WASH]], "")))</f>
        <v>CCCM
Education
Nutrition
Food Security
Health
Overarching Protection
Shelter
WASH</v>
      </c>
      <c r="AK100" s="327">
        <f>IF(tblPiNAnalysis512[[#This Row],[Highest Target]]="", "", tblPiNAnalysis512[[#This Row],[Highest Target]]/tblPiNAnalysis512[[#This Row],[Affected population projection 2026]])</f>
        <v>0</v>
      </c>
      <c r="AL100" s="328" t="str">
        <f>IF(SUM(tblPiNAnalysis512[[#This Row],[CCCM]:[WASH]])=0, "",IF(COUNTIF(tblPiNAnalysis512[[#This Row],[CCCM]:[WASH]],"=0")+COUNTIF(tblPiNAnalysis512[[#This Row],[CCCM]:[WASH]],"")&gt;=zero_pin_thresh, "Flagged", ""))</f>
        <v/>
      </c>
      <c r="AM100" s="329" t="str">
        <f>IFERROR(IF(tblPiNAnalysis512[[#This Row],[Highest Target]]="", "", IF(tblPiNAnalysis512[[#This Row],[Highest sector(s'') Target %]]&gt;=flag_pin_perc, "Flagged", "")), "")</f>
        <v/>
      </c>
      <c r="AN100" s="330" t="str" cm="1">
        <f t="array" ref="AN100">IF(tblPiNAnalysis512[[#This Row],[Highest Target]]=0, "",  IF(OR(COUNTIF(tblPiNAnalysis512[[#This Row],[Highest sector(s)]],tblSubSectorPopulation[Sector])), "Flagged", ""))</f>
        <v/>
      </c>
      <c r="AO100" s="46" cm="1">
        <f t="array" ref="AO10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00" s="331" t="str" cm="1">
        <f t="array" ref="AP100">IF(tblPiNAnalysis512[[#This Row],[2nd Highest Target]]="", "", _xlfn.TEXTJOIN(CHAR(10), TRUE, IF(tblPiNAnalysis512[[#This Row],[2nd Highest Target]]=tblPiNAnalysis512[[#This Row],[CCCM]:[WASH]], tblPiNAnalysis512[[#Headers],[CCCM]:[WASH]], "")))</f>
        <v>CCCM
Education
Nutrition
Food Security
Health
Overarching Protection
Shelter
WASH</v>
      </c>
      <c r="AQ100" s="36">
        <f>IFERROR(tblPiNAnalysis512[[#This Row],[2nd Highest Target]]/tblPiNAnalysis512[[#This Row],[Affected population projection 2026]], "")</f>
        <v>0</v>
      </c>
      <c r="AR100" s="46">
        <f>IFERROR(tblPiNAnalysis512[[#This Row],[Highest Target]]-tblPiNAnalysis512[[#This Row],[2nd Highest Target]], "")</f>
        <v>0</v>
      </c>
      <c r="AS100" s="39" t="str">
        <f>IFERROR(((tblPiNAnalysis512[[#This Row],[Highest Target]]-tblPiNAnalysis512[[#This Row],[2nd Highest Target]])/tblPiNAnalysis512[[#This Row],[2nd Highest Target]]),"")</f>
        <v/>
      </c>
      <c r="AT100" s="39" t="str" cm="1">
        <f t="array" ref="AT10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0" s="332" cm="1">
        <f t="array" ref="AU10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00" s="190" t="str" cm="1">
        <f t="array" ref="AV100">IF(tblPiNAnalysis512[[#This Row],[3rd Highest Target]]="", "", _xlfn.TEXTJOIN(CHAR(10), TRUE, IF(tblPiNAnalysis512[[#This Row],[3rd Highest Target]]=tblPiNAnalysis512[[#This Row],[CCCM]:[WASH]], tblPiNAnalysis512[[#Headers],[CCCM]:[WASH]], "")))</f>
        <v>CCCM
Education
Nutrition
Food Security
Health
Overarching Protection
Shelter
WASH</v>
      </c>
      <c r="AW100" s="190">
        <f>IFERROR(tblPiNAnalysis512[[#This Row],[3rd Highest Target]]/tblPiNAnalysis512[[#This Row],[Affected population projection 2026]], "")</f>
        <v>0</v>
      </c>
      <c r="AX100" s="45">
        <f>IFERROR(tblPiNAnalysis512[[#This Row],[Highest Target]]-tblPiNAnalysis512[[#This Row],[3rd Highest Target]],"")</f>
        <v>0</v>
      </c>
      <c r="AY100" s="39" t="str">
        <f>IFERROR(tblPiNAnalysis512[[#This Row],[Difference of Target between Highest and 3rd Highest]]/tblPiNAnalysis512[[#This Row],[3rd Highest Target]], "")</f>
        <v/>
      </c>
      <c r="AZ100" s="330" t="str" cm="1">
        <f t="array" ref="AZ10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0" s="300" t="str" cm="1">
        <f t="array" ref="BA10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0" s="333" t="str" cm="1">
        <f t="array" ref="BB10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0" s="276" t="str" cm="1">
        <f t="array" ref="BC10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0" s="334" t="str" cm="1">
        <f t="array" ref="BD10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0" s="277" t="e">
        <f>INDEX(tblSeverityAnalysis[Final Severity], MATCH(tblPiNAnalysis512[[#This Row],[ID]],tblSeverityAnalysis[ID], 0))</f>
        <v>#N/A</v>
      </c>
      <c r="BF100" s="61" t="e">
        <f>IF(tblPiNAnalysis512[[#This Row],[Severity]]&gt;2,tblPiNAnalysis512[[#This Row],[Highest Target]],)</f>
        <v>#N/A</v>
      </c>
      <c r="BG100" s="191"/>
      <c r="BH100" s="192"/>
      <c r="BI100" s="193">
        <f>COUNTIFS(tblPiNAnalysis512[[#This Row],[Number of missing / zero PiNs greater than threshold - Data quality]:[Manual Flag]],"Flagged")</f>
        <v>2</v>
      </c>
      <c r="BJ100" s="96" t="str">
        <f>IF(tblPiNAnalysis512[[#This Row],['# Flags]]&gt;0, "Flagged", "")</f>
        <v>Flagged</v>
      </c>
      <c r="BK100" s="326" t="e">
        <f>tblPiNAnalysis512[[#This Row],[Preliminary Target]]</f>
        <v>#N/A</v>
      </c>
      <c r="BL100" s="331">
        <v>4</v>
      </c>
    </row>
    <row r="101" spans="1:64" x14ac:dyDescent="0.55000000000000004">
      <c r="A1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1" s="316" t="s">
        <v>268</v>
      </c>
      <c r="C101" s="317" t="s">
        <v>269</v>
      </c>
      <c r="D101" s="317" t="s">
        <v>276</v>
      </c>
      <c r="E101" s="105" t="s">
        <v>277</v>
      </c>
      <c r="F101" s="100"/>
      <c r="G101" s="34"/>
      <c r="H101" s="34"/>
      <c r="I101" s="97">
        <v>32762.733973342118</v>
      </c>
      <c r="J101" s="97" t="s">
        <v>413</v>
      </c>
      <c r="K101" s="318">
        <v>0</v>
      </c>
      <c r="L101" s="319">
        <v>1377.2634294043694</v>
      </c>
      <c r="M101" s="319">
        <v>9279.5970762729612</v>
      </c>
      <c r="N101" s="319">
        <v>16839.399520814484</v>
      </c>
      <c r="O101" s="319">
        <v>21721.54972837575</v>
      </c>
      <c r="P101" s="319">
        <v>6433.919090339441</v>
      </c>
      <c r="Q101" s="320">
        <v>2548.2126423710538</v>
      </c>
      <c r="R101" s="319">
        <v>30234.745240831155</v>
      </c>
      <c r="S101" s="319"/>
      <c r="T101" s="319"/>
      <c r="U101" s="319"/>
      <c r="V101" s="319"/>
      <c r="W101" s="321">
        <f>IFERROR(IF(tblPiNAnalysis512[[#This Row],[CCCM]]="", "", MROUND(tblPiNAnalysis512[[#This Row],[CCCM]]/tblPiNAnalysis512[[#This Row],[Affected population projection 2026]], 0.05)), "")</f>
        <v>0</v>
      </c>
      <c r="X101" s="322">
        <f>IFERROR(IF(tblPiNAnalysis512[[#This Row],[Education]]="", "", MROUND(tblPiNAnalysis512[[#This Row],[Education]]/tblPiNAnalysis512[[#This Row],[Affected population projection 2026]], 0.05)), "")</f>
        <v>0.05</v>
      </c>
      <c r="Y101" s="322">
        <f>IFERROR(IF(tblPiNAnalysis512[[#This Row],[Nutrition]]="", "", MROUND(tblPiNAnalysis512[[#This Row],[Nutrition]]/tblPiNAnalysis512[[#This Row],[Affected population projection 2026]], 0.05)), "")</f>
        <v>0.30000000000000004</v>
      </c>
      <c r="Z101" s="322">
        <f>IFERROR(IF(tblPiNAnalysis512[[#This Row],[Food Security]]="", "", MROUND(tblPiNAnalysis512[[#This Row],[Food Security]]/tblPiNAnalysis512[[#This Row],[Affected population projection 2026]], 0.05)), "")</f>
        <v>0.5</v>
      </c>
      <c r="AA101" s="322">
        <f>IFERROR(IF(tblPiNAnalysis512[[#This Row],[Health]]="", "", MROUND(tblPiNAnalysis512[[#This Row],[Health]]/tblPiNAnalysis512[[#This Row],[Affected population projection 2026]], 0.05)), "")</f>
        <v>0.65</v>
      </c>
      <c r="AB101" s="323">
        <f>IFERROR(IF(tblPiNAnalysis512[[#This Row],[Overarching Protection]]="", "", MROUND(tblPiNAnalysis512[[#This Row],[Overarching Protection]]/tblPiNAnalysis512[[#This Row],[Affected population projection 2026]], 0.05)), "")</f>
        <v>0.2</v>
      </c>
      <c r="AC101" s="323">
        <f>IFERROR(IF(tblPiNAnalysis512[[#This Row],[Shelter]]="", "", MROUND(tblPiNAnalysis512[[#This Row],[Shelter]]/tblPiNAnalysis512[[#This Row],[Affected population projection 2026]], 0.05)), "")</f>
        <v>0.1</v>
      </c>
      <c r="AD101" s="324">
        <f>IFERROR(IF(tblPiNAnalysis512[[#This Row],[WASH]]="", "", MROUND(tblPiNAnalysis512[[#This Row],[WASH]]/tblPiNAnalysis512[[#This Row],[Affected population projection 2026]], 0.05)), "")</f>
        <v>0.9</v>
      </c>
      <c r="AE101" s="322">
        <f>IFERROR(MROUND(tblPiNAnalysis512[[#This Row],[CP]]/tblPiNAnalysis512[[#This Row],[Affected population projection 2026]], 0.05), "")</f>
        <v>0</v>
      </c>
      <c r="AF101" s="322">
        <f>IFERROR(MROUND(tblPiNAnalysis512[[#This Row],[GBV]]/tblPiNAnalysis512[[#This Row],[Affected population projection 2026]], 0.05), "")</f>
        <v>0</v>
      </c>
      <c r="AG101" s="322">
        <f>IFERROR(MROUND(tblPiNAnalysis512[[#This Row],[Mine Action]]/tblPiNAnalysis512[[#This Row],[Affected population projection 2026]], 0.05), "")</f>
        <v>0</v>
      </c>
      <c r="AH101" s="322">
        <f>IFERROR(MROUND(tblPiNAnalysis512[[#This Row],[HLP]]/tblPiNAnalysis512[[#This Row],[Affected population projection 2026]], 0.05), "")</f>
        <v>0</v>
      </c>
      <c r="AI101" s="325">
        <f>IFERROR(LARGE(tblPiNAnalysis512[[#This Row],[CCCM]:[WASH]], 1), "")</f>
        <v>30234.745240831155</v>
      </c>
      <c r="AJ101" s="326" t="str" cm="1">
        <f t="array" ref="AJ101">IF(tblPiNAnalysis512[[#This Row],[Highest Target]]="", "", _xlfn.TEXTJOIN(CHAR(10), TRUE, IF(tblPiNAnalysis512[[#This Row],[Highest Target]]=tblPiNAnalysis512[[#This Row],[CCCM]:[WASH]], tblPiNAnalysis512[[#Headers],[CCCM]:[WASH]], "")))</f>
        <v>WASH</v>
      </c>
      <c r="AK101" s="327">
        <f>IF(tblPiNAnalysis512[[#This Row],[Highest Target]]="", "", tblPiNAnalysis512[[#This Row],[Highest Target]]/tblPiNAnalysis512[[#This Row],[Affected population projection 2026]])</f>
        <v>0.92283950617283961</v>
      </c>
      <c r="AL101" s="328" t="str">
        <f>IF(SUM(tblPiNAnalysis512[[#This Row],[CCCM]:[WASH]])=0, "",IF(COUNTIF(tblPiNAnalysis512[[#This Row],[CCCM]:[WASH]],"=0")+COUNTIF(tblPiNAnalysis512[[#This Row],[CCCM]:[WASH]],"")&gt;=zero_pin_thresh, "Flagged", ""))</f>
        <v/>
      </c>
      <c r="AM101" s="329" t="str">
        <f>IFERROR(IF(tblPiNAnalysis512[[#This Row],[Highest Target]]="", "", IF(tblPiNAnalysis512[[#This Row],[Highest sector(s'') Target %]]&gt;=flag_pin_perc, "Flagged", "")), "")</f>
        <v>Flagged</v>
      </c>
      <c r="AN101" s="330" t="str" cm="1">
        <f t="array" ref="AN101">IF(tblPiNAnalysis512[[#This Row],[Highest Target]]=0, "",  IF(OR(COUNTIF(tblPiNAnalysis512[[#This Row],[Highest sector(s)]],tblSubSectorPopulation[Sector])), "Flagged", ""))</f>
        <v/>
      </c>
      <c r="AO101" s="46" cm="1">
        <f t="array" ref="AO10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21721.54972837575</v>
      </c>
      <c r="AP101" s="331" t="str" cm="1">
        <f t="array" ref="AP101">IF(tblPiNAnalysis512[[#This Row],[2nd Highest Target]]="", "", _xlfn.TEXTJOIN(CHAR(10), TRUE, IF(tblPiNAnalysis512[[#This Row],[2nd Highest Target]]=tblPiNAnalysis512[[#This Row],[CCCM]:[WASH]], tblPiNAnalysis512[[#Headers],[CCCM]:[WASH]], "")))</f>
        <v>Health</v>
      </c>
      <c r="AQ101" s="36">
        <f>IFERROR(tblPiNAnalysis512[[#This Row],[2nd Highest Target]]/tblPiNAnalysis512[[#This Row],[Affected population projection 2026]], "")</f>
        <v>0.66299563846075271</v>
      </c>
      <c r="AR101" s="46">
        <f>IFERROR(tblPiNAnalysis512[[#This Row],[Highest Target]]-tblPiNAnalysis512[[#This Row],[2nd Highest Target]], "")</f>
        <v>8513.1955124554042</v>
      </c>
      <c r="AS101" s="39">
        <f>IFERROR(((tblPiNAnalysis512[[#This Row],[Highest Target]]-tblPiNAnalysis512[[#This Row],[2nd Highest Target]])/tblPiNAnalysis512[[#This Row],[2nd Highest Target]]),"")</f>
        <v>0.39192394736616182</v>
      </c>
      <c r="AT101" s="39" t="str" cm="1">
        <f t="array" ref="AT10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01" s="332" cm="1">
        <f t="array" ref="AU10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16839.399520814484</v>
      </c>
      <c r="AV101" s="190" t="str" cm="1">
        <f t="array" ref="AV101">IF(tblPiNAnalysis512[[#This Row],[3rd Highest Target]]="", "", _xlfn.TEXTJOIN(CHAR(10), TRUE, IF(tblPiNAnalysis512[[#This Row],[3rd Highest Target]]=tblPiNAnalysis512[[#This Row],[CCCM]:[WASH]], tblPiNAnalysis512[[#Headers],[CCCM]:[WASH]], "")))</f>
        <v>Food Security</v>
      </c>
      <c r="AW101" s="190">
        <f>IFERROR(tblPiNAnalysis512[[#This Row],[3rd Highest Target]]/tblPiNAnalysis512[[#This Row],[Affected population projection 2026]], "")</f>
        <v>0.51398029036636905</v>
      </c>
      <c r="AX101" s="45">
        <f>IFERROR(tblPiNAnalysis512[[#This Row],[Highest Target]]-tblPiNAnalysis512[[#This Row],[3rd Highest Target]],"")</f>
        <v>13395.34572001667</v>
      </c>
      <c r="AY101" s="39">
        <f>IFERROR(tblPiNAnalysis512[[#This Row],[Difference of Target between Highest and 3rd Highest]]/tblPiNAnalysis512[[#This Row],[3rd Highest Target]], "")</f>
        <v>0.79547644816308549</v>
      </c>
      <c r="AZ101" s="330" t="str" cm="1">
        <f t="array" ref="AZ10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01" s="300" t="str" cm="1">
        <f t="array" ref="BA10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1" s="333" t="str" cm="1">
        <f t="array" ref="BB10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01" s="276" t="str" cm="1">
        <f t="array" ref="BC10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1" s="334" t="str" cm="1">
        <f t="array" ref="BD10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1" s="277" t="e">
        <f>INDEX(tblSeverityAnalysis[Final Severity], MATCH(tblPiNAnalysis512[[#This Row],[ID]],tblSeverityAnalysis[ID], 0))</f>
        <v>#N/A</v>
      </c>
      <c r="BF101" s="61" t="e">
        <f>IF(tblPiNAnalysis512[[#This Row],[Severity]]&gt;2,tblPiNAnalysis512[[#This Row],[Highest Target]],)</f>
        <v>#N/A</v>
      </c>
      <c r="BG101" s="191"/>
      <c r="BH101" s="192"/>
      <c r="BI101" s="193">
        <f>COUNTIFS(tblPiNAnalysis512[[#This Row],[Number of missing / zero PiNs greater than threshold - Data quality]:[Manual Flag]],"Flagged")</f>
        <v>4</v>
      </c>
      <c r="BJ101" s="96" t="str">
        <f>IF(tblPiNAnalysis512[[#This Row],['# Flags]]&gt;0, "Flagged", "")</f>
        <v>Flagged</v>
      </c>
      <c r="BK101" s="326" t="e">
        <f>tblPiNAnalysis512[[#This Row],[Preliminary Target]]</f>
        <v>#N/A</v>
      </c>
      <c r="BL101" s="331">
        <v>1</v>
      </c>
    </row>
    <row r="102" spans="1:64" x14ac:dyDescent="0.55000000000000004">
      <c r="A1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2" s="316" t="s">
        <v>268</v>
      </c>
      <c r="C102" s="317" t="s">
        <v>269</v>
      </c>
      <c r="D102" s="317" t="s">
        <v>278</v>
      </c>
      <c r="E102" s="105" t="s">
        <v>279</v>
      </c>
      <c r="F102" s="100"/>
      <c r="G102" s="34"/>
      <c r="H102" s="34"/>
      <c r="I102" s="97">
        <v>95901.718428606313</v>
      </c>
      <c r="J102" s="97" t="s">
        <v>413</v>
      </c>
      <c r="K102" s="318">
        <v>0</v>
      </c>
      <c r="L102" s="319">
        <v>3238.409227897178</v>
      </c>
      <c r="M102" s="319">
        <v>27224.60497860179</v>
      </c>
      <c r="N102" s="319">
        <v>38799.117265337714</v>
      </c>
      <c r="O102" s="319">
        <v>57411.330673761615</v>
      </c>
      <c r="P102" s="319">
        <v>18379.553794587879</v>
      </c>
      <c r="Q102" s="320">
        <v>9080.0563193042162</v>
      </c>
      <c r="R102" s="319">
        <v>11741.0540051483</v>
      </c>
      <c r="S102" s="319"/>
      <c r="T102" s="319"/>
      <c r="U102" s="319"/>
      <c r="V102" s="319"/>
      <c r="W102" s="321">
        <f>IFERROR(IF(tblPiNAnalysis512[[#This Row],[CCCM]]="", "", MROUND(tblPiNAnalysis512[[#This Row],[CCCM]]/tblPiNAnalysis512[[#This Row],[Affected population projection 2026]], 0.05)), "")</f>
        <v>0</v>
      </c>
      <c r="X102" s="322">
        <f>IFERROR(IF(tblPiNAnalysis512[[#This Row],[Education]]="", "", MROUND(tblPiNAnalysis512[[#This Row],[Education]]/tblPiNAnalysis512[[#This Row],[Affected population projection 2026]], 0.05)), "")</f>
        <v>0.05</v>
      </c>
      <c r="Y102" s="322">
        <f>IFERROR(IF(tblPiNAnalysis512[[#This Row],[Nutrition]]="", "", MROUND(tblPiNAnalysis512[[#This Row],[Nutrition]]/tblPiNAnalysis512[[#This Row],[Affected population projection 2026]], 0.05)), "")</f>
        <v>0.30000000000000004</v>
      </c>
      <c r="Z102" s="322">
        <f>IFERROR(IF(tblPiNAnalysis512[[#This Row],[Food Security]]="", "", MROUND(tblPiNAnalysis512[[#This Row],[Food Security]]/tblPiNAnalysis512[[#This Row],[Affected population projection 2026]], 0.05)), "")</f>
        <v>0.4</v>
      </c>
      <c r="AA102" s="322">
        <f>IFERROR(IF(tblPiNAnalysis512[[#This Row],[Health]]="", "", MROUND(tblPiNAnalysis512[[#This Row],[Health]]/tblPiNAnalysis512[[#This Row],[Affected population projection 2026]], 0.05)), "")</f>
        <v>0.60000000000000009</v>
      </c>
      <c r="AB102" s="323">
        <f>IFERROR(IF(tblPiNAnalysis512[[#This Row],[Overarching Protection]]="", "", MROUND(tblPiNAnalysis512[[#This Row],[Overarching Protection]]/tblPiNAnalysis512[[#This Row],[Affected population projection 2026]], 0.05)), "")</f>
        <v>0.2</v>
      </c>
      <c r="AC102" s="323">
        <f>IFERROR(IF(tblPiNAnalysis512[[#This Row],[Shelter]]="", "", MROUND(tblPiNAnalysis512[[#This Row],[Shelter]]/tblPiNAnalysis512[[#This Row],[Affected population projection 2026]], 0.05)), "")</f>
        <v>0.1</v>
      </c>
      <c r="AD102" s="324">
        <f>IFERROR(IF(tblPiNAnalysis512[[#This Row],[WASH]]="", "", MROUND(tblPiNAnalysis512[[#This Row],[WASH]]/tblPiNAnalysis512[[#This Row],[Affected population projection 2026]], 0.05)), "")</f>
        <v>0.1</v>
      </c>
      <c r="AE102" s="322">
        <f>IFERROR(MROUND(tblPiNAnalysis512[[#This Row],[CP]]/tblPiNAnalysis512[[#This Row],[Affected population projection 2026]], 0.05), "")</f>
        <v>0</v>
      </c>
      <c r="AF102" s="322">
        <f>IFERROR(MROUND(tblPiNAnalysis512[[#This Row],[GBV]]/tblPiNAnalysis512[[#This Row],[Affected population projection 2026]], 0.05), "")</f>
        <v>0</v>
      </c>
      <c r="AG102" s="322">
        <f>IFERROR(MROUND(tblPiNAnalysis512[[#This Row],[Mine Action]]/tblPiNAnalysis512[[#This Row],[Affected population projection 2026]], 0.05), "")</f>
        <v>0</v>
      </c>
      <c r="AH102" s="322">
        <f>IFERROR(MROUND(tblPiNAnalysis512[[#This Row],[HLP]]/tblPiNAnalysis512[[#This Row],[Affected population projection 2026]], 0.05), "")</f>
        <v>0</v>
      </c>
      <c r="AI102" s="325">
        <f>IFERROR(LARGE(tblPiNAnalysis512[[#This Row],[CCCM]:[WASH]], 1), "")</f>
        <v>57411.330673761615</v>
      </c>
      <c r="AJ102" s="326" t="str" cm="1">
        <f t="array" ref="AJ102">IF(tblPiNAnalysis512[[#This Row],[Highest Target]]="", "", _xlfn.TEXTJOIN(CHAR(10), TRUE, IF(tblPiNAnalysis512[[#This Row],[Highest Target]]=tblPiNAnalysis512[[#This Row],[CCCM]:[WASH]], tblPiNAnalysis512[[#Headers],[CCCM]:[WASH]], "")))</f>
        <v>Health</v>
      </c>
      <c r="AK102" s="327">
        <f>IF(tblPiNAnalysis512[[#This Row],[Highest Target]]="", "", tblPiNAnalysis512[[#This Row],[Highest Target]]/tblPiNAnalysis512[[#This Row],[Affected population projection 2026]])</f>
        <v>0.59864756976697209</v>
      </c>
      <c r="AL102" s="328" t="str">
        <f>IF(SUM(tblPiNAnalysis512[[#This Row],[CCCM]:[WASH]])=0, "",IF(COUNTIF(tblPiNAnalysis512[[#This Row],[CCCM]:[WASH]],"=0")+COUNTIF(tblPiNAnalysis512[[#This Row],[CCCM]:[WASH]],"")&gt;=zero_pin_thresh, "Flagged", ""))</f>
        <v/>
      </c>
      <c r="AM102" s="329" t="str">
        <f>IFERROR(IF(tblPiNAnalysis512[[#This Row],[Highest Target]]="", "", IF(tblPiNAnalysis512[[#This Row],[Highest sector(s'') Target %]]&gt;=flag_pin_perc, "Flagged", "")), "")</f>
        <v/>
      </c>
      <c r="AN102" s="330" t="str" cm="1">
        <f t="array" ref="AN102">IF(tblPiNAnalysis512[[#This Row],[Highest Target]]=0, "",  IF(OR(COUNTIF(tblPiNAnalysis512[[#This Row],[Highest sector(s)]],tblSubSectorPopulation[Sector])), "Flagged", ""))</f>
        <v/>
      </c>
      <c r="AO102" s="46" cm="1">
        <f t="array" ref="AO10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38799.117265337714</v>
      </c>
      <c r="AP102" s="331" t="str" cm="1">
        <f t="array" ref="AP102">IF(tblPiNAnalysis512[[#This Row],[2nd Highest Target]]="", "", _xlfn.TEXTJOIN(CHAR(10), TRUE, IF(tblPiNAnalysis512[[#This Row],[2nd Highest Target]]=tblPiNAnalysis512[[#This Row],[CCCM]:[WASH]], tblPiNAnalysis512[[#Headers],[CCCM]:[WASH]], "")))</f>
        <v>Food Security</v>
      </c>
      <c r="AQ102" s="36">
        <f>IFERROR(tblPiNAnalysis512[[#This Row],[2nd Highest Target]]/tblPiNAnalysis512[[#This Row],[Affected population projection 2026]], "")</f>
        <v>0.40457165837149806</v>
      </c>
      <c r="AR102" s="46">
        <f>IFERROR(tblPiNAnalysis512[[#This Row],[Highest Target]]-tblPiNAnalysis512[[#This Row],[2nd Highest Target]], "")</f>
        <v>18612.213408423901</v>
      </c>
      <c r="AS102" s="39">
        <f>IFERROR(((tblPiNAnalysis512[[#This Row],[Highest Target]]-tblPiNAnalysis512[[#This Row],[2nd Highest Target]])/tblPiNAnalysis512[[#This Row],[2nd Highest Target]]),"")</f>
        <v>0.47970713563248119</v>
      </c>
      <c r="AT102" s="39" t="str" cm="1">
        <f t="array" ref="AT10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02" s="332" cm="1">
        <f t="array" ref="AU10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27224.60497860179</v>
      </c>
      <c r="AV102" s="190" t="str" cm="1">
        <f t="array" ref="AV102">IF(tblPiNAnalysis512[[#This Row],[3rd Highest Target]]="", "", _xlfn.TEXTJOIN(CHAR(10), TRUE, IF(tblPiNAnalysis512[[#This Row],[3rd Highest Target]]=tblPiNAnalysis512[[#This Row],[CCCM]:[WASH]], tblPiNAnalysis512[[#Headers],[CCCM]:[WASH]], "")))</f>
        <v>Nutrition</v>
      </c>
      <c r="AW102" s="190">
        <f>IFERROR(tblPiNAnalysis512[[#This Row],[3rd Highest Target]]/tblPiNAnalysis512[[#This Row],[Affected population projection 2026]], "")</f>
        <v>0.2838802622590027</v>
      </c>
      <c r="AX102" s="45">
        <f>IFERROR(tblPiNAnalysis512[[#This Row],[Highest Target]]-tblPiNAnalysis512[[#This Row],[3rd Highest Target]],"")</f>
        <v>30186.725695159825</v>
      </c>
      <c r="AY102" s="39">
        <f>IFERROR(tblPiNAnalysis512[[#This Row],[Difference of Target between Highest and 3rd Highest]]/tblPiNAnalysis512[[#This Row],[3rd Highest Target]], "")</f>
        <v>1.1088030742369348</v>
      </c>
      <c r="AZ102" s="330" t="str" cm="1">
        <f t="array" ref="AZ10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02" s="300" t="str" cm="1">
        <f t="array" ref="BA10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2" s="333" t="str" cm="1">
        <f t="array" ref="BB10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2" s="276" t="str" cm="1">
        <f t="array" ref="BC10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2" s="334" t="str" cm="1">
        <f t="array" ref="BD10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02" s="277" t="e">
        <f>INDEX(tblSeverityAnalysis[Final Severity], MATCH(tblPiNAnalysis512[[#This Row],[ID]],tblSeverityAnalysis[ID], 0))</f>
        <v>#N/A</v>
      </c>
      <c r="BF102" s="61" t="e">
        <f>IF(tblPiNAnalysis512[[#This Row],[Severity]]&gt;2,tblPiNAnalysis512[[#This Row],[Highest Target]],)</f>
        <v>#N/A</v>
      </c>
      <c r="BG102" s="191"/>
      <c r="BH102" s="192"/>
      <c r="BI102" s="193">
        <f>COUNTIFS(tblPiNAnalysis512[[#This Row],[Number of missing / zero PiNs greater than threshold - Data quality]:[Manual Flag]],"Flagged")</f>
        <v>3</v>
      </c>
      <c r="BJ102" s="96" t="str">
        <f>IF(tblPiNAnalysis512[[#This Row],['# Flags]]&gt;0, "Flagged", "")</f>
        <v>Flagged</v>
      </c>
      <c r="BK102" s="326" t="e">
        <f>tblPiNAnalysis512[[#This Row],[Preliminary Target]]</f>
        <v>#N/A</v>
      </c>
      <c r="BL102" s="331">
        <v>2</v>
      </c>
    </row>
    <row r="103" spans="1:64" x14ac:dyDescent="0.55000000000000004">
      <c r="A1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3" s="316" t="s">
        <v>268</v>
      </c>
      <c r="C103" s="317" t="s">
        <v>269</v>
      </c>
      <c r="D103" s="317" t="s">
        <v>280</v>
      </c>
      <c r="E103" s="105" t="s">
        <v>281</v>
      </c>
      <c r="F103" s="100"/>
      <c r="G103" s="34"/>
      <c r="H103" s="34"/>
      <c r="I103" s="97">
        <v>57313.644275077953</v>
      </c>
      <c r="J103" s="97" t="s">
        <v>413</v>
      </c>
      <c r="K103" s="318">
        <v>0</v>
      </c>
      <c r="L103" s="319">
        <v>5255.9362855171694</v>
      </c>
      <c r="M103" s="319">
        <v>13972.628139294504</v>
      </c>
      <c r="N103" s="319">
        <v>30578.531678809632</v>
      </c>
      <c r="O103" s="319">
        <v>33596.005628936007</v>
      </c>
      <c r="P103" s="319">
        <v>12044.436527762007</v>
      </c>
      <c r="Q103" s="320">
        <v>3086.1193071195821</v>
      </c>
      <c r="R103" s="319">
        <v>33204.471123871677</v>
      </c>
      <c r="S103" s="319"/>
      <c r="T103" s="319"/>
      <c r="U103" s="319"/>
      <c r="V103" s="319"/>
      <c r="W103" s="321">
        <f>IFERROR(IF(tblPiNAnalysis512[[#This Row],[CCCM]]="", "", MROUND(tblPiNAnalysis512[[#This Row],[CCCM]]/tblPiNAnalysis512[[#This Row],[Affected population projection 2026]], 0.05)), "")</f>
        <v>0</v>
      </c>
      <c r="X103" s="322">
        <f>IFERROR(IF(tblPiNAnalysis512[[#This Row],[Education]]="", "", MROUND(tblPiNAnalysis512[[#This Row],[Education]]/tblPiNAnalysis512[[#This Row],[Affected population projection 2026]], 0.05)), "")</f>
        <v>0.1</v>
      </c>
      <c r="Y103" s="322">
        <f>IFERROR(IF(tblPiNAnalysis512[[#This Row],[Nutrition]]="", "", MROUND(tblPiNAnalysis512[[#This Row],[Nutrition]]/tblPiNAnalysis512[[#This Row],[Affected population projection 2026]], 0.05)), "")</f>
        <v>0.25</v>
      </c>
      <c r="Z103" s="322">
        <f>IFERROR(IF(tblPiNAnalysis512[[#This Row],[Food Security]]="", "", MROUND(tblPiNAnalysis512[[#This Row],[Food Security]]/tblPiNAnalysis512[[#This Row],[Affected population projection 2026]], 0.05)), "")</f>
        <v>0.55000000000000004</v>
      </c>
      <c r="AA103" s="322">
        <f>IFERROR(IF(tblPiNAnalysis512[[#This Row],[Health]]="", "", MROUND(tblPiNAnalysis512[[#This Row],[Health]]/tblPiNAnalysis512[[#This Row],[Affected population projection 2026]], 0.05)), "")</f>
        <v>0.60000000000000009</v>
      </c>
      <c r="AB103" s="323">
        <f>IFERROR(IF(tblPiNAnalysis512[[#This Row],[Overarching Protection]]="", "", MROUND(tblPiNAnalysis512[[#This Row],[Overarching Protection]]/tblPiNAnalysis512[[#This Row],[Affected population projection 2026]], 0.05)), "")</f>
        <v>0.2</v>
      </c>
      <c r="AC103" s="323">
        <f>IFERROR(IF(tblPiNAnalysis512[[#This Row],[Shelter]]="", "", MROUND(tblPiNAnalysis512[[#This Row],[Shelter]]/tblPiNAnalysis512[[#This Row],[Affected population projection 2026]], 0.05)), "")</f>
        <v>0.05</v>
      </c>
      <c r="AD103" s="324">
        <f>IFERROR(IF(tblPiNAnalysis512[[#This Row],[WASH]]="", "", MROUND(tblPiNAnalysis512[[#This Row],[WASH]]/tblPiNAnalysis512[[#This Row],[Affected population projection 2026]], 0.05)), "")</f>
        <v>0.60000000000000009</v>
      </c>
      <c r="AE103" s="322">
        <f>IFERROR(MROUND(tblPiNAnalysis512[[#This Row],[CP]]/tblPiNAnalysis512[[#This Row],[Affected population projection 2026]], 0.05), "")</f>
        <v>0</v>
      </c>
      <c r="AF103" s="322">
        <f>IFERROR(MROUND(tblPiNAnalysis512[[#This Row],[GBV]]/tblPiNAnalysis512[[#This Row],[Affected population projection 2026]], 0.05), "")</f>
        <v>0</v>
      </c>
      <c r="AG103" s="322">
        <f>IFERROR(MROUND(tblPiNAnalysis512[[#This Row],[Mine Action]]/tblPiNAnalysis512[[#This Row],[Affected population projection 2026]], 0.05), "")</f>
        <v>0</v>
      </c>
      <c r="AH103" s="322">
        <f>IFERROR(MROUND(tblPiNAnalysis512[[#This Row],[HLP]]/tblPiNAnalysis512[[#This Row],[Affected population projection 2026]], 0.05), "")</f>
        <v>0</v>
      </c>
      <c r="AI103" s="325">
        <f>IFERROR(LARGE(tblPiNAnalysis512[[#This Row],[CCCM]:[WASH]], 1), "")</f>
        <v>33596.005628936007</v>
      </c>
      <c r="AJ103" s="326" t="str" cm="1">
        <f t="array" ref="AJ103">IF(tblPiNAnalysis512[[#This Row],[Highest Target]]="", "", _xlfn.TEXTJOIN(CHAR(10), TRUE, IF(tblPiNAnalysis512[[#This Row],[Highest Target]]=tblPiNAnalysis512[[#This Row],[CCCM]:[WASH]], tblPiNAnalysis512[[#Headers],[CCCM]:[WASH]], "")))</f>
        <v>Health</v>
      </c>
      <c r="AK103" s="327">
        <f>IF(tblPiNAnalysis512[[#This Row],[Highest Target]]="", "", tblPiNAnalysis512[[#This Row],[Highest Target]]/tblPiNAnalysis512[[#This Row],[Affected population projection 2026]])</f>
        <v>0.58617814403305646</v>
      </c>
      <c r="AL103" s="328" t="str">
        <f>IF(SUM(tblPiNAnalysis512[[#This Row],[CCCM]:[WASH]])=0, "",IF(COUNTIF(tblPiNAnalysis512[[#This Row],[CCCM]:[WASH]],"=0")+COUNTIF(tblPiNAnalysis512[[#This Row],[CCCM]:[WASH]],"")&gt;=zero_pin_thresh, "Flagged", ""))</f>
        <v/>
      </c>
      <c r="AM103" s="329" t="str">
        <f>IFERROR(IF(tblPiNAnalysis512[[#This Row],[Highest Target]]="", "", IF(tblPiNAnalysis512[[#This Row],[Highest sector(s'') Target %]]&gt;=flag_pin_perc, "Flagged", "")), "")</f>
        <v/>
      </c>
      <c r="AN103" s="330" t="str" cm="1">
        <f t="array" ref="AN103">IF(tblPiNAnalysis512[[#This Row],[Highest Target]]=0, "",  IF(OR(COUNTIF(tblPiNAnalysis512[[#This Row],[Highest sector(s)]],tblSubSectorPopulation[Sector])), "Flagged", ""))</f>
        <v/>
      </c>
      <c r="AO103" s="46" cm="1">
        <f t="array" ref="AO10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33204.471123871677</v>
      </c>
      <c r="AP103" s="331" t="str" cm="1">
        <f t="array" ref="AP103">IF(tblPiNAnalysis512[[#This Row],[2nd Highest Target]]="", "", _xlfn.TEXTJOIN(CHAR(10), TRUE, IF(tblPiNAnalysis512[[#This Row],[2nd Highest Target]]=tblPiNAnalysis512[[#This Row],[CCCM]:[WASH]], tblPiNAnalysis512[[#Headers],[CCCM]:[WASH]], "")))</f>
        <v>WASH</v>
      </c>
      <c r="AQ103" s="36">
        <f>IFERROR(tblPiNAnalysis512[[#This Row],[2nd Highest Target]]/tblPiNAnalysis512[[#This Row],[Affected population projection 2026]], "")</f>
        <v>0.57934670781893005</v>
      </c>
      <c r="AR103" s="46">
        <f>IFERROR(tblPiNAnalysis512[[#This Row],[Highest Target]]-tblPiNAnalysis512[[#This Row],[2nd Highest Target]], "")</f>
        <v>391.53450506433001</v>
      </c>
      <c r="AS103" s="39">
        <f>IFERROR(((tblPiNAnalysis512[[#This Row],[Highest Target]]-tblPiNAnalysis512[[#This Row],[2nd Highest Target]])/tblPiNAnalysis512[[#This Row],[2nd Highest Target]]),"")</f>
        <v>1.1791619978034953E-2</v>
      </c>
      <c r="AT103" s="39" t="str" cm="1">
        <f t="array" ref="AT10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3" s="332" cm="1">
        <f t="array" ref="AU10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30578.531678809632</v>
      </c>
      <c r="AV103" s="190" t="str" cm="1">
        <f t="array" ref="AV103">IF(tblPiNAnalysis512[[#This Row],[3rd Highest Target]]="", "", _xlfn.TEXTJOIN(CHAR(10), TRUE, IF(tblPiNAnalysis512[[#This Row],[3rd Highest Target]]=tblPiNAnalysis512[[#This Row],[CCCM]:[WASH]], tblPiNAnalysis512[[#Headers],[CCCM]:[WASH]], "")))</f>
        <v>Food Security</v>
      </c>
      <c r="AW103" s="190">
        <f>IFERROR(tblPiNAnalysis512[[#This Row],[3rd Highest Target]]/tblPiNAnalysis512[[#This Row],[Affected population projection 2026]], "")</f>
        <v>0.53352970423669754</v>
      </c>
      <c r="AX103" s="45">
        <f>IFERROR(tblPiNAnalysis512[[#This Row],[Highest Target]]-tblPiNAnalysis512[[#This Row],[3rd Highest Target]],"")</f>
        <v>3017.4739501263757</v>
      </c>
      <c r="AY103" s="39">
        <f>IFERROR(tblPiNAnalysis512[[#This Row],[Difference of Target between Highest and 3rd Highest]]/tblPiNAnalysis512[[#This Row],[3rd Highest Target]], "")</f>
        <v>9.8679491279086845E-2</v>
      </c>
      <c r="AZ103" s="330" t="str" cm="1">
        <f t="array" ref="AZ10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3" s="300" t="str" cm="1">
        <f t="array" ref="BA10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3" s="333" t="str" cm="1">
        <f t="array" ref="BB10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3" s="276" t="str" cm="1">
        <f t="array" ref="BC10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3" s="334" t="str" cm="1">
        <f t="array" ref="BD10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03" s="277" t="e">
        <f>INDEX(tblSeverityAnalysis[Final Severity], MATCH(tblPiNAnalysis512[[#This Row],[ID]],tblSeverityAnalysis[ID], 0))</f>
        <v>#N/A</v>
      </c>
      <c r="BF103" s="61" t="e">
        <f>IF(tblPiNAnalysis512[[#This Row],[Severity]]&gt;2,tblPiNAnalysis512[[#This Row],[Highest Target]],)</f>
        <v>#N/A</v>
      </c>
      <c r="BG103" s="191"/>
      <c r="BH103" s="192"/>
      <c r="BI103" s="193">
        <f>COUNTIFS(tblPiNAnalysis512[[#This Row],[Number of missing / zero PiNs greater than threshold - Data quality]:[Manual Flag]],"Flagged")</f>
        <v>1</v>
      </c>
      <c r="BJ103" s="96" t="str">
        <f>IF(tblPiNAnalysis512[[#This Row],['# Flags]]&gt;0, "Flagged", "")</f>
        <v>Flagged</v>
      </c>
      <c r="BK103" s="326" t="e">
        <f>tblPiNAnalysis512[[#This Row],[Preliminary Target]]</f>
        <v>#N/A</v>
      </c>
      <c r="BL103" s="331">
        <v>1</v>
      </c>
    </row>
    <row r="104" spans="1:64" x14ac:dyDescent="0.55000000000000004">
      <c r="A1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4" s="316" t="s">
        <v>268</v>
      </c>
      <c r="C104" s="317" t="s">
        <v>269</v>
      </c>
      <c r="D104" s="317" t="s">
        <v>282</v>
      </c>
      <c r="E104" s="105" t="s">
        <v>283</v>
      </c>
      <c r="F104" s="100"/>
      <c r="G104" s="34"/>
      <c r="H104" s="34"/>
      <c r="I104" s="97">
        <v>65001.764922770279</v>
      </c>
      <c r="J104" s="97" t="s">
        <v>413</v>
      </c>
      <c r="K104" s="318">
        <v>0</v>
      </c>
      <c r="L104" s="319">
        <v>4518.6704905830802</v>
      </c>
      <c r="M104" s="319">
        <v>20418.80632528372</v>
      </c>
      <c r="N104" s="319">
        <v>28777.60413193081</v>
      </c>
      <c r="O104" s="319">
        <v>41243.786952148606</v>
      </c>
      <c r="P104" s="319">
        <v>10289.488012646001</v>
      </c>
      <c r="Q104" s="320">
        <v>4789.6037311514947</v>
      </c>
      <c r="R104" s="319">
        <v>24331.079016873722</v>
      </c>
      <c r="S104" s="319"/>
      <c r="T104" s="319"/>
      <c r="U104" s="319"/>
      <c r="V104" s="319"/>
      <c r="W104" s="321">
        <f>IFERROR(IF(tblPiNAnalysis512[[#This Row],[CCCM]]="", "", MROUND(tblPiNAnalysis512[[#This Row],[CCCM]]/tblPiNAnalysis512[[#This Row],[Affected population projection 2026]], 0.05)), "")</f>
        <v>0</v>
      </c>
      <c r="X104" s="322">
        <f>IFERROR(IF(tblPiNAnalysis512[[#This Row],[Education]]="", "", MROUND(tblPiNAnalysis512[[#This Row],[Education]]/tblPiNAnalysis512[[#This Row],[Affected population projection 2026]], 0.05)), "")</f>
        <v>0.05</v>
      </c>
      <c r="Y104" s="322">
        <f>IFERROR(IF(tblPiNAnalysis512[[#This Row],[Nutrition]]="", "", MROUND(tblPiNAnalysis512[[#This Row],[Nutrition]]/tblPiNAnalysis512[[#This Row],[Affected population projection 2026]], 0.05)), "")</f>
        <v>0.30000000000000004</v>
      </c>
      <c r="Z104" s="322">
        <f>IFERROR(IF(tblPiNAnalysis512[[#This Row],[Food Security]]="", "", MROUND(tblPiNAnalysis512[[#This Row],[Food Security]]/tblPiNAnalysis512[[#This Row],[Affected population projection 2026]], 0.05)), "")</f>
        <v>0.45</v>
      </c>
      <c r="AA104" s="322">
        <f>IFERROR(IF(tblPiNAnalysis512[[#This Row],[Health]]="", "", MROUND(tblPiNAnalysis512[[#This Row],[Health]]/tblPiNAnalysis512[[#This Row],[Affected population projection 2026]], 0.05)), "")</f>
        <v>0.65</v>
      </c>
      <c r="AB104" s="323">
        <f>IFERROR(IF(tblPiNAnalysis512[[#This Row],[Overarching Protection]]="", "", MROUND(tblPiNAnalysis512[[#This Row],[Overarching Protection]]/tblPiNAnalysis512[[#This Row],[Affected population projection 2026]], 0.05)), "")</f>
        <v>0.15000000000000002</v>
      </c>
      <c r="AC104" s="323">
        <f>IFERROR(IF(tblPiNAnalysis512[[#This Row],[Shelter]]="", "", MROUND(tblPiNAnalysis512[[#This Row],[Shelter]]/tblPiNAnalysis512[[#This Row],[Affected population projection 2026]], 0.05)), "")</f>
        <v>0.05</v>
      </c>
      <c r="AD104" s="324">
        <f>IFERROR(IF(tblPiNAnalysis512[[#This Row],[WASH]]="", "", MROUND(tblPiNAnalysis512[[#This Row],[WASH]]/tblPiNAnalysis512[[#This Row],[Affected population projection 2026]], 0.05)), "")</f>
        <v>0.35000000000000003</v>
      </c>
      <c r="AE104" s="322">
        <f>IFERROR(MROUND(tblPiNAnalysis512[[#This Row],[CP]]/tblPiNAnalysis512[[#This Row],[Affected population projection 2026]], 0.05), "")</f>
        <v>0</v>
      </c>
      <c r="AF104" s="322">
        <f>IFERROR(MROUND(tblPiNAnalysis512[[#This Row],[GBV]]/tblPiNAnalysis512[[#This Row],[Affected population projection 2026]], 0.05), "")</f>
        <v>0</v>
      </c>
      <c r="AG104" s="322">
        <f>IFERROR(MROUND(tblPiNAnalysis512[[#This Row],[Mine Action]]/tblPiNAnalysis512[[#This Row],[Affected population projection 2026]], 0.05), "")</f>
        <v>0</v>
      </c>
      <c r="AH104" s="322">
        <f>IFERROR(MROUND(tblPiNAnalysis512[[#This Row],[HLP]]/tblPiNAnalysis512[[#This Row],[Affected population projection 2026]], 0.05), "")</f>
        <v>0</v>
      </c>
      <c r="AI104" s="325">
        <f>IFERROR(LARGE(tblPiNAnalysis512[[#This Row],[CCCM]:[WASH]], 1), "")</f>
        <v>41243.786952148606</v>
      </c>
      <c r="AJ104" s="326" t="str" cm="1">
        <f t="array" ref="AJ104">IF(tblPiNAnalysis512[[#This Row],[Highest Target]]="", "", _xlfn.TEXTJOIN(CHAR(10), TRUE, IF(tblPiNAnalysis512[[#This Row],[Highest Target]]=tblPiNAnalysis512[[#This Row],[CCCM]:[WASH]], tblPiNAnalysis512[[#Headers],[CCCM]:[WASH]], "")))</f>
        <v>Health</v>
      </c>
      <c r="AK104" s="327">
        <f>IF(tblPiNAnalysis512[[#This Row],[Highest Target]]="", "", tblPiNAnalysis512[[#This Row],[Highest Target]]/tblPiNAnalysis512[[#This Row],[Affected population projection 2026]])</f>
        <v>0.63450257083251604</v>
      </c>
      <c r="AL104" s="328" t="str">
        <f>IF(SUM(tblPiNAnalysis512[[#This Row],[CCCM]:[WASH]])=0, "",IF(COUNTIF(tblPiNAnalysis512[[#This Row],[CCCM]:[WASH]],"=0")+COUNTIF(tblPiNAnalysis512[[#This Row],[CCCM]:[WASH]],"")&gt;=zero_pin_thresh, "Flagged", ""))</f>
        <v/>
      </c>
      <c r="AM104" s="329" t="str">
        <f>IFERROR(IF(tblPiNAnalysis512[[#This Row],[Highest Target]]="", "", IF(tblPiNAnalysis512[[#This Row],[Highest sector(s'') Target %]]&gt;=flag_pin_perc, "Flagged", "")), "")</f>
        <v/>
      </c>
      <c r="AN104" s="330" t="str" cm="1">
        <f t="array" ref="AN104">IF(tblPiNAnalysis512[[#This Row],[Highest Target]]=0, "",  IF(OR(COUNTIF(tblPiNAnalysis512[[#This Row],[Highest sector(s)]],tblSubSectorPopulation[Sector])), "Flagged", ""))</f>
        <v/>
      </c>
      <c r="AO104" s="46" cm="1">
        <f t="array" ref="AO10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28777.60413193081</v>
      </c>
      <c r="AP104" s="331" t="str" cm="1">
        <f t="array" ref="AP104">IF(tblPiNAnalysis512[[#This Row],[2nd Highest Target]]="", "", _xlfn.TEXTJOIN(CHAR(10), TRUE, IF(tblPiNAnalysis512[[#This Row],[2nd Highest Target]]=tblPiNAnalysis512[[#This Row],[CCCM]:[WASH]], tblPiNAnalysis512[[#Headers],[CCCM]:[WASH]], "")))</f>
        <v>Food Security</v>
      </c>
      <c r="AQ104" s="36">
        <f>IFERROR(tblPiNAnalysis512[[#This Row],[2nd Highest Target]]/tblPiNAnalysis512[[#This Row],[Affected population projection 2026]], "")</f>
        <v>0.44272035022621276</v>
      </c>
      <c r="AR104" s="46">
        <f>IFERROR(tblPiNAnalysis512[[#This Row],[Highest Target]]-tblPiNAnalysis512[[#This Row],[2nd Highest Target]], "")</f>
        <v>12466.182820217797</v>
      </c>
      <c r="AS104" s="39">
        <f>IFERROR(((tblPiNAnalysis512[[#This Row],[Highest Target]]-tblPiNAnalysis512[[#This Row],[2nd Highest Target]])/tblPiNAnalysis512[[#This Row],[2nd Highest Target]]),"")</f>
        <v>0.43319043388972311</v>
      </c>
      <c r="AT104" s="39" t="str" cm="1">
        <f t="array" ref="AT10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04" s="332" cm="1">
        <f t="array" ref="AU10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24331.079016873722</v>
      </c>
      <c r="AV104" s="190" t="str" cm="1">
        <f t="array" ref="AV104">IF(tblPiNAnalysis512[[#This Row],[3rd Highest Target]]="", "", _xlfn.TEXTJOIN(CHAR(10), TRUE, IF(tblPiNAnalysis512[[#This Row],[3rd Highest Target]]=tblPiNAnalysis512[[#This Row],[CCCM]:[WASH]], tblPiNAnalysis512[[#Headers],[CCCM]:[WASH]], "")))</f>
        <v>WASH</v>
      </c>
      <c r="AW104" s="190">
        <f>IFERROR(tblPiNAnalysis512[[#This Row],[3rd Highest Target]]/tblPiNAnalysis512[[#This Row],[Affected population projection 2026]], "")</f>
        <v>0.37431412894375865</v>
      </c>
      <c r="AX104" s="45">
        <f>IFERROR(tblPiNAnalysis512[[#This Row],[Highest Target]]-tblPiNAnalysis512[[#This Row],[3rd Highest Target]],"")</f>
        <v>16912.707935274884</v>
      </c>
      <c r="AY104" s="39">
        <f>IFERROR(tblPiNAnalysis512[[#This Row],[Difference of Target between Highest and 3rd Highest]]/tblPiNAnalysis512[[#This Row],[3rd Highest Target]], "")</f>
        <v>0.69510718877472877</v>
      </c>
      <c r="AZ104" s="330" t="str" cm="1">
        <f t="array" ref="AZ10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04" s="300" t="str" cm="1">
        <f t="array" ref="BA10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4" s="333" t="str" cm="1">
        <f t="array" ref="BB10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4" s="276" t="str" cm="1">
        <f t="array" ref="BC10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4" s="334" t="str" cm="1">
        <f t="array" ref="BD10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04" s="277" t="e">
        <f>INDEX(tblSeverityAnalysis[Final Severity], MATCH(tblPiNAnalysis512[[#This Row],[ID]],tblSeverityAnalysis[ID], 0))</f>
        <v>#N/A</v>
      </c>
      <c r="BF104" s="61" t="e">
        <f>IF(tblPiNAnalysis512[[#This Row],[Severity]]&gt;2,tblPiNAnalysis512[[#This Row],[Highest Target]],)</f>
        <v>#N/A</v>
      </c>
      <c r="BG104" s="191"/>
      <c r="BH104" s="192"/>
      <c r="BI104" s="193">
        <f>COUNTIFS(tblPiNAnalysis512[[#This Row],[Number of missing / zero PiNs greater than threshold - Data quality]:[Manual Flag]],"Flagged")</f>
        <v>3</v>
      </c>
      <c r="BJ104" s="96" t="str">
        <f>IF(tblPiNAnalysis512[[#This Row],['# Flags]]&gt;0, "Flagged", "")</f>
        <v>Flagged</v>
      </c>
      <c r="BK104" s="326" t="e">
        <f>tblPiNAnalysis512[[#This Row],[Preliminary Target]]</f>
        <v>#N/A</v>
      </c>
      <c r="BL104" s="331">
        <v>2</v>
      </c>
    </row>
    <row r="105" spans="1:64" x14ac:dyDescent="0.55000000000000004">
      <c r="A1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5" s="316" t="s">
        <v>268</v>
      </c>
      <c r="C105" s="317" t="s">
        <v>269</v>
      </c>
      <c r="D105" s="317" t="s">
        <v>284</v>
      </c>
      <c r="E105" s="105" t="s">
        <v>285</v>
      </c>
      <c r="F105" s="100"/>
      <c r="G105" s="34"/>
      <c r="H105" s="34"/>
      <c r="I105" s="97">
        <v>146214.98577625639</v>
      </c>
      <c r="J105" s="97" t="s">
        <v>413</v>
      </c>
      <c r="K105" s="318">
        <v>0</v>
      </c>
      <c r="L105" s="319">
        <v>12569.546710238808</v>
      </c>
      <c r="M105" s="319">
        <v>53365.626885617348</v>
      </c>
      <c r="N105" s="319">
        <v>71165.043792546785</v>
      </c>
      <c r="O105" s="319">
        <v>80152.72350238348</v>
      </c>
      <c r="P105" s="319">
        <v>26075.318061025955</v>
      </c>
      <c r="Q105" s="320">
        <v>7730.9072939170046</v>
      </c>
      <c r="R105" s="319">
        <v>95972.387783180646</v>
      </c>
      <c r="S105" s="319"/>
      <c r="T105" s="319"/>
      <c r="U105" s="319"/>
      <c r="V105" s="319"/>
      <c r="W105" s="321">
        <f>IFERROR(IF(tblPiNAnalysis512[[#This Row],[CCCM]]="", "", MROUND(tblPiNAnalysis512[[#This Row],[CCCM]]/tblPiNAnalysis512[[#This Row],[Affected population projection 2026]], 0.05)), "")</f>
        <v>0</v>
      </c>
      <c r="X105" s="322">
        <f>IFERROR(IF(tblPiNAnalysis512[[#This Row],[Education]]="", "", MROUND(tblPiNAnalysis512[[#This Row],[Education]]/tblPiNAnalysis512[[#This Row],[Affected population projection 2026]], 0.05)), "")</f>
        <v>0.1</v>
      </c>
      <c r="Y105" s="322">
        <f>IFERROR(IF(tblPiNAnalysis512[[#This Row],[Nutrition]]="", "", MROUND(tblPiNAnalysis512[[#This Row],[Nutrition]]/tblPiNAnalysis512[[#This Row],[Affected population projection 2026]], 0.05)), "")</f>
        <v>0.35000000000000003</v>
      </c>
      <c r="Z105" s="322">
        <f>IFERROR(IF(tblPiNAnalysis512[[#This Row],[Food Security]]="", "", MROUND(tblPiNAnalysis512[[#This Row],[Food Security]]/tblPiNAnalysis512[[#This Row],[Affected population projection 2026]], 0.05)), "")</f>
        <v>0.5</v>
      </c>
      <c r="AA105" s="322">
        <f>IFERROR(IF(tblPiNAnalysis512[[#This Row],[Health]]="", "", MROUND(tblPiNAnalysis512[[#This Row],[Health]]/tblPiNAnalysis512[[#This Row],[Affected population projection 2026]], 0.05)), "")</f>
        <v>0.55000000000000004</v>
      </c>
      <c r="AB105" s="323">
        <f>IFERROR(IF(tblPiNAnalysis512[[#This Row],[Overarching Protection]]="", "", MROUND(tblPiNAnalysis512[[#This Row],[Overarching Protection]]/tblPiNAnalysis512[[#This Row],[Affected population projection 2026]], 0.05)), "")</f>
        <v>0.2</v>
      </c>
      <c r="AC105" s="323">
        <f>IFERROR(IF(tblPiNAnalysis512[[#This Row],[Shelter]]="", "", MROUND(tblPiNAnalysis512[[#This Row],[Shelter]]/tblPiNAnalysis512[[#This Row],[Affected population projection 2026]], 0.05)), "")</f>
        <v>0.05</v>
      </c>
      <c r="AD105" s="324">
        <f>IFERROR(IF(tblPiNAnalysis512[[#This Row],[WASH]]="", "", MROUND(tblPiNAnalysis512[[#This Row],[WASH]]/tblPiNAnalysis512[[#This Row],[Affected population projection 2026]], 0.05)), "")</f>
        <v>0.65</v>
      </c>
      <c r="AE105" s="322">
        <f>IFERROR(MROUND(tblPiNAnalysis512[[#This Row],[CP]]/tblPiNAnalysis512[[#This Row],[Affected population projection 2026]], 0.05), "")</f>
        <v>0</v>
      </c>
      <c r="AF105" s="322">
        <f>IFERROR(MROUND(tblPiNAnalysis512[[#This Row],[GBV]]/tblPiNAnalysis512[[#This Row],[Affected population projection 2026]], 0.05), "")</f>
        <v>0</v>
      </c>
      <c r="AG105" s="322">
        <f>IFERROR(MROUND(tblPiNAnalysis512[[#This Row],[Mine Action]]/tblPiNAnalysis512[[#This Row],[Affected population projection 2026]], 0.05), "")</f>
        <v>0</v>
      </c>
      <c r="AH105" s="322">
        <f>IFERROR(MROUND(tblPiNAnalysis512[[#This Row],[HLP]]/tblPiNAnalysis512[[#This Row],[Affected population projection 2026]], 0.05), "")</f>
        <v>0</v>
      </c>
      <c r="AI105" s="325">
        <f>IFERROR(LARGE(tblPiNAnalysis512[[#This Row],[CCCM]:[WASH]], 1), "")</f>
        <v>95972.387783180646</v>
      </c>
      <c r="AJ105" s="326" t="str" cm="1">
        <f t="array" ref="AJ105">IF(tblPiNAnalysis512[[#This Row],[Highest Target]]="", "", _xlfn.TEXTJOIN(CHAR(10), TRUE, IF(tblPiNAnalysis512[[#This Row],[Highest Target]]=tblPiNAnalysis512[[#This Row],[CCCM]:[WASH]], tblPiNAnalysis512[[#Headers],[CCCM]:[WASH]], "")))</f>
        <v>WASH</v>
      </c>
      <c r="AK105" s="327">
        <f>IF(tblPiNAnalysis512[[#This Row],[Highest Target]]="", "", tblPiNAnalysis512[[#This Row],[Highest Target]]/tblPiNAnalysis512[[#This Row],[Affected population projection 2026]])</f>
        <v>0.65637860082304533</v>
      </c>
      <c r="AL105" s="328" t="str">
        <f>IF(SUM(tblPiNAnalysis512[[#This Row],[CCCM]:[WASH]])=0, "",IF(COUNTIF(tblPiNAnalysis512[[#This Row],[CCCM]:[WASH]],"=0")+COUNTIF(tblPiNAnalysis512[[#This Row],[CCCM]:[WASH]],"")&gt;=zero_pin_thresh, "Flagged", ""))</f>
        <v/>
      </c>
      <c r="AM105" s="329" t="str">
        <f>IFERROR(IF(tblPiNAnalysis512[[#This Row],[Highest Target]]="", "", IF(tblPiNAnalysis512[[#This Row],[Highest sector(s'') Target %]]&gt;=flag_pin_perc, "Flagged", "")), "")</f>
        <v/>
      </c>
      <c r="AN105" s="330" t="str" cm="1">
        <f t="array" ref="AN105">IF(tblPiNAnalysis512[[#This Row],[Highest Target]]=0, "",  IF(OR(COUNTIF(tblPiNAnalysis512[[#This Row],[Highest sector(s)]],tblSubSectorPopulation[Sector])), "Flagged", ""))</f>
        <v/>
      </c>
      <c r="AO105" s="46" cm="1">
        <f t="array" ref="AO10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80152.72350238348</v>
      </c>
      <c r="AP105" s="331" t="str" cm="1">
        <f t="array" ref="AP105">IF(tblPiNAnalysis512[[#This Row],[2nd Highest Target]]="", "", _xlfn.TEXTJOIN(CHAR(10), TRUE, IF(tblPiNAnalysis512[[#This Row],[2nd Highest Target]]=tblPiNAnalysis512[[#This Row],[CCCM]:[WASH]], tblPiNAnalysis512[[#Headers],[CCCM]:[WASH]], "")))</f>
        <v>Health</v>
      </c>
      <c r="AQ105" s="36">
        <f>IFERROR(tblPiNAnalysis512[[#This Row],[2nd Highest Target]]/tblPiNAnalysis512[[#This Row],[Affected population projection 2026]], "")</f>
        <v>0.5481840529330978</v>
      </c>
      <c r="AR105" s="46">
        <f>IFERROR(tblPiNAnalysis512[[#This Row],[Highest Target]]-tblPiNAnalysis512[[#This Row],[2nd Highest Target]], "")</f>
        <v>15819.664280797166</v>
      </c>
      <c r="AS105" s="39">
        <f>IFERROR(((tblPiNAnalysis512[[#This Row],[Highest Target]]-tblPiNAnalysis512[[#This Row],[2nd Highest Target]])/tblPiNAnalysis512[[#This Row],[2nd Highest Target]]),"")</f>
        <v>0.19736901741494461</v>
      </c>
      <c r="AT105" s="39" t="str" cm="1">
        <f t="array" ref="AT10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5" s="332" cm="1">
        <f t="array" ref="AU10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71165.043792546785</v>
      </c>
      <c r="AV105" s="190" t="str" cm="1">
        <f t="array" ref="AV105">IF(tblPiNAnalysis512[[#This Row],[3rd Highest Target]]="", "", _xlfn.TEXTJOIN(CHAR(10), TRUE, IF(tblPiNAnalysis512[[#This Row],[3rd Highest Target]]=tblPiNAnalysis512[[#This Row],[CCCM]:[WASH]], tblPiNAnalysis512[[#Headers],[CCCM]:[WASH]], "")))</f>
        <v>Food Security</v>
      </c>
      <c r="AW105" s="190">
        <f>IFERROR(tblPiNAnalysis512[[#This Row],[3rd Highest Target]]/tblPiNAnalysis512[[#This Row],[Affected population projection 2026]], "")</f>
        <v>0.48671511620187946</v>
      </c>
      <c r="AX105" s="45">
        <f>IFERROR(tblPiNAnalysis512[[#This Row],[Highest Target]]-tblPiNAnalysis512[[#This Row],[3rd Highest Target]],"")</f>
        <v>24807.343990633861</v>
      </c>
      <c r="AY105" s="39">
        <f>IFERROR(tblPiNAnalysis512[[#This Row],[Difference of Target between Highest and 3rd Highest]]/tblPiNAnalysis512[[#This Row],[3rd Highest Target]], "")</f>
        <v>0.3485888951737281</v>
      </c>
      <c r="AZ105" s="330" t="str" cm="1">
        <f t="array" ref="AZ10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5" s="300" t="str" cm="1">
        <f t="array" ref="BA10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5" s="333" t="str" cm="1">
        <f t="array" ref="BB10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05" s="276" t="str" cm="1">
        <f t="array" ref="BC10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5" s="334" t="str" cm="1">
        <f t="array" ref="BD10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5" s="277" t="e">
        <f>INDEX(tblSeverityAnalysis[Final Severity], MATCH(tblPiNAnalysis512[[#This Row],[ID]],tblSeverityAnalysis[ID], 0))</f>
        <v>#N/A</v>
      </c>
      <c r="BF105" s="61" t="e">
        <f>IF(tblPiNAnalysis512[[#This Row],[Severity]]&gt;2,tblPiNAnalysis512[[#This Row],[Highest Target]],)</f>
        <v>#N/A</v>
      </c>
      <c r="BG105" s="191"/>
      <c r="BH105" s="192"/>
      <c r="BI105" s="193">
        <f>COUNTIFS(tblPiNAnalysis512[[#This Row],[Number of missing / zero PiNs greater than threshold - Data quality]:[Manual Flag]],"Flagged")</f>
        <v>1</v>
      </c>
      <c r="BJ105" s="96" t="str">
        <f>IF(tblPiNAnalysis512[[#This Row],['# Flags]]&gt;0, "Flagged", "")</f>
        <v>Flagged</v>
      </c>
      <c r="BK105" s="326" t="e">
        <f>tblPiNAnalysis512[[#This Row],[Preliminary Target]]</f>
        <v>#N/A</v>
      </c>
      <c r="BL105" s="331">
        <v>1</v>
      </c>
    </row>
    <row r="106" spans="1:64" x14ac:dyDescent="0.55000000000000004">
      <c r="A1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6" s="316" t="s">
        <v>268</v>
      </c>
      <c r="C106" s="317" t="s">
        <v>269</v>
      </c>
      <c r="D106" s="317" t="s">
        <v>286</v>
      </c>
      <c r="E106" s="105" t="s">
        <v>287</v>
      </c>
      <c r="F106" s="100"/>
      <c r="G106" s="34"/>
      <c r="H106" s="34"/>
      <c r="I106" s="97">
        <v>50788.148876183637</v>
      </c>
      <c r="J106" s="97" t="s">
        <v>413</v>
      </c>
      <c r="K106" s="318"/>
      <c r="L106" s="319"/>
      <c r="M106" s="319"/>
      <c r="N106" s="319"/>
      <c r="O106" s="319"/>
      <c r="P106" s="319"/>
      <c r="Q106" s="320"/>
      <c r="R106" s="319"/>
      <c r="S106" s="319"/>
      <c r="T106" s="319"/>
      <c r="U106" s="319"/>
      <c r="V106" s="319"/>
      <c r="W106" s="321" t="str">
        <f>IFERROR(IF(tblPiNAnalysis512[[#This Row],[CCCM]]="", "", MROUND(tblPiNAnalysis512[[#This Row],[CCCM]]/tblPiNAnalysis512[[#This Row],[Affected population projection 2026]], 0.05)), "")</f>
        <v/>
      </c>
      <c r="X106" s="322" t="str">
        <f>IFERROR(IF(tblPiNAnalysis512[[#This Row],[Education]]="", "", MROUND(tblPiNAnalysis512[[#This Row],[Education]]/tblPiNAnalysis512[[#This Row],[Affected population projection 2026]], 0.05)), "")</f>
        <v/>
      </c>
      <c r="Y106" s="322" t="str">
        <f>IFERROR(IF(tblPiNAnalysis512[[#This Row],[Nutrition]]="", "", MROUND(tblPiNAnalysis512[[#This Row],[Nutrition]]/tblPiNAnalysis512[[#This Row],[Affected population projection 2026]], 0.05)), "")</f>
        <v/>
      </c>
      <c r="Z106" s="322" t="str">
        <f>IFERROR(IF(tblPiNAnalysis512[[#This Row],[Food Security]]="", "", MROUND(tblPiNAnalysis512[[#This Row],[Food Security]]/tblPiNAnalysis512[[#This Row],[Affected population projection 2026]], 0.05)), "")</f>
        <v/>
      </c>
      <c r="AA106" s="322" t="str">
        <f>IFERROR(IF(tblPiNAnalysis512[[#This Row],[Health]]="", "", MROUND(tblPiNAnalysis512[[#This Row],[Health]]/tblPiNAnalysis512[[#This Row],[Affected population projection 2026]], 0.05)), "")</f>
        <v/>
      </c>
      <c r="AB106" s="323" t="str">
        <f>IFERROR(IF(tblPiNAnalysis512[[#This Row],[Overarching Protection]]="", "", MROUND(tblPiNAnalysis512[[#This Row],[Overarching Protection]]/tblPiNAnalysis512[[#This Row],[Affected population projection 2026]], 0.05)), "")</f>
        <v/>
      </c>
      <c r="AC106" s="323" t="str">
        <f>IFERROR(IF(tblPiNAnalysis512[[#This Row],[Shelter]]="", "", MROUND(tblPiNAnalysis512[[#This Row],[Shelter]]/tblPiNAnalysis512[[#This Row],[Affected population projection 2026]], 0.05)), "")</f>
        <v/>
      </c>
      <c r="AD106" s="324" t="str">
        <f>IFERROR(IF(tblPiNAnalysis512[[#This Row],[WASH]]="", "", MROUND(tblPiNAnalysis512[[#This Row],[WASH]]/tblPiNAnalysis512[[#This Row],[Affected population projection 2026]], 0.05)), "")</f>
        <v/>
      </c>
      <c r="AE106" s="322">
        <f>IFERROR(MROUND(tblPiNAnalysis512[[#This Row],[CP]]/tblPiNAnalysis512[[#This Row],[Affected population projection 2026]], 0.05), "")</f>
        <v>0</v>
      </c>
      <c r="AF106" s="322">
        <f>IFERROR(MROUND(tblPiNAnalysis512[[#This Row],[GBV]]/tblPiNAnalysis512[[#This Row],[Affected population projection 2026]], 0.05), "")</f>
        <v>0</v>
      </c>
      <c r="AG106" s="322">
        <f>IFERROR(MROUND(tblPiNAnalysis512[[#This Row],[Mine Action]]/tblPiNAnalysis512[[#This Row],[Affected population projection 2026]], 0.05), "")</f>
        <v>0</v>
      </c>
      <c r="AH106" s="322">
        <f>IFERROR(MROUND(tblPiNAnalysis512[[#This Row],[HLP]]/tblPiNAnalysis512[[#This Row],[Affected population projection 2026]], 0.05), "")</f>
        <v>0</v>
      </c>
      <c r="AI106" s="325" t="str">
        <f>IFERROR(LARGE(tblPiNAnalysis512[[#This Row],[CCCM]:[WASH]], 1), "")</f>
        <v/>
      </c>
      <c r="AJ106" s="326" t="str" cm="1">
        <f t="array" ref="AJ106">IF(tblPiNAnalysis512[[#This Row],[Highest Target]]="", "", _xlfn.TEXTJOIN(CHAR(10), TRUE, IF(tblPiNAnalysis512[[#This Row],[Highest Target]]=tblPiNAnalysis512[[#This Row],[CCCM]:[WASH]], tblPiNAnalysis512[[#Headers],[CCCM]:[WASH]], "")))</f>
        <v/>
      </c>
      <c r="AK106" s="327" t="str">
        <f>IF(tblPiNAnalysis512[[#This Row],[Highest Target]]="", "", tblPiNAnalysis512[[#This Row],[Highest Target]]/tblPiNAnalysis512[[#This Row],[Affected population projection 2026]])</f>
        <v/>
      </c>
      <c r="AL106" s="328" t="str">
        <f>IF(SUM(tblPiNAnalysis512[[#This Row],[CCCM]:[WASH]])=0, "",IF(COUNTIF(tblPiNAnalysis512[[#This Row],[CCCM]:[WASH]],"=0")+COUNTIF(tblPiNAnalysis512[[#This Row],[CCCM]:[WASH]],"")&gt;=zero_pin_thresh, "Flagged", ""))</f>
        <v/>
      </c>
      <c r="AM106" s="329" t="str">
        <f>IFERROR(IF(tblPiNAnalysis512[[#This Row],[Highest Target]]="", "", IF(tblPiNAnalysis512[[#This Row],[Highest sector(s'') Target %]]&gt;=flag_pin_perc, "Flagged", "")), "")</f>
        <v/>
      </c>
      <c r="AN106" s="330" t="str" cm="1">
        <f t="array" ref="AN106">IF(tblPiNAnalysis512[[#This Row],[Highest Target]]=0, "",  IF(OR(COUNTIF(tblPiNAnalysis512[[#This Row],[Highest sector(s)]],tblSubSectorPopulation[Sector])), "Flagged", ""))</f>
        <v/>
      </c>
      <c r="AO106" s="46" t="str" cm="1">
        <f t="array" ref="AO10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06" s="331" t="str" cm="1">
        <f t="array" ref="AP106">IF(tblPiNAnalysis512[[#This Row],[2nd Highest Target]]="", "", _xlfn.TEXTJOIN(CHAR(10), TRUE, IF(tblPiNAnalysis512[[#This Row],[2nd Highest Target]]=tblPiNAnalysis512[[#This Row],[CCCM]:[WASH]], tblPiNAnalysis512[[#Headers],[CCCM]:[WASH]], "")))</f>
        <v/>
      </c>
      <c r="AQ106" s="36" t="str">
        <f>IFERROR(tblPiNAnalysis512[[#This Row],[2nd Highest Target]]/tblPiNAnalysis512[[#This Row],[Affected population projection 2026]], "")</f>
        <v/>
      </c>
      <c r="AR106" s="46" t="str">
        <f>IFERROR(tblPiNAnalysis512[[#This Row],[Highest Target]]-tblPiNAnalysis512[[#This Row],[2nd Highest Target]], "")</f>
        <v/>
      </c>
      <c r="AS106" s="39" t="str">
        <f>IFERROR(((tblPiNAnalysis512[[#This Row],[Highest Target]]-tblPiNAnalysis512[[#This Row],[2nd Highest Target]])/tblPiNAnalysis512[[#This Row],[2nd Highest Target]]),"")</f>
        <v/>
      </c>
      <c r="AT106" s="39" t="str" cm="1">
        <f t="array" ref="AT10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6" s="332" t="str" cm="1">
        <f t="array" ref="AU10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06" s="190" t="str" cm="1">
        <f t="array" ref="AV106">IF(tblPiNAnalysis512[[#This Row],[3rd Highest Target]]="", "", _xlfn.TEXTJOIN(CHAR(10), TRUE, IF(tblPiNAnalysis512[[#This Row],[3rd Highest Target]]=tblPiNAnalysis512[[#This Row],[CCCM]:[WASH]], tblPiNAnalysis512[[#Headers],[CCCM]:[WASH]], "")))</f>
        <v/>
      </c>
      <c r="AW106" s="190" t="str">
        <f>IFERROR(tblPiNAnalysis512[[#This Row],[3rd Highest Target]]/tblPiNAnalysis512[[#This Row],[Affected population projection 2026]], "")</f>
        <v/>
      </c>
      <c r="AX106" s="45" t="str">
        <f>IFERROR(tblPiNAnalysis512[[#This Row],[Highest Target]]-tblPiNAnalysis512[[#This Row],[3rd Highest Target]],"")</f>
        <v/>
      </c>
      <c r="AY106" s="39" t="str">
        <f>IFERROR(tblPiNAnalysis512[[#This Row],[Difference of Target between Highest and 3rd Highest]]/tblPiNAnalysis512[[#This Row],[3rd Highest Target]], "")</f>
        <v/>
      </c>
      <c r="AZ106" s="330" t="str" cm="1">
        <f t="array" ref="AZ10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6" s="300" t="str" cm="1">
        <f t="array" ref="BA10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6" s="333" t="str" cm="1">
        <f t="array" ref="BB10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6" s="276" t="str" cm="1">
        <f t="array" ref="BC10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6" s="334" t="str" cm="1">
        <f t="array" ref="BD10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6" s="277" t="e">
        <f>INDEX(tblSeverityAnalysis[Final Severity], MATCH(tblPiNAnalysis512[[#This Row],[ID]],tblSeverityAnalysis[ID], 0))</f>
        <v>#N/A</v>
      </c>
      <c r="BF106" s="61" t="e">
        <f>IF(tblPiNAnalysis512[[#This Row],[Severity]]&gt;2,tblPiNAnalysis512[[#This Row],[Highest Target]],)</f>
        <v>#N/A</v>
      </c>
      <c r="BG106" s="191"/>
      <c r="BH106" s="192"/>
      <c r="BI106" s="193">
        <f>COUNTIFS(tblPiNAnalysis512[[#This Row],[Number of missing / zero PiNs greater than threshold - Data quality]:[Manual Flag]],"Flagged")</f>
        <v>2</v>
      </c>
      <c r="BJ106" s="96" t="str">
        <f>IF(tblPiNAnalysis512[[#This Row],['# Flags]]&gt;0, "Flagged", "")</f>
        <v>Flagged</v>
      </c>
      <c r="BK106" s="326" t="e">
        <f>tblPiNAnalysis512[[#This Row],[Preliminary Target]]</f>
        <v>#N/A</v>
      </c>
      <c r="BL106" s="331">
        <v>3</v>
      </c>
    </row>
    <row r="107" spans="1:64" x14ac:dyDescent="0.55000000000000004">
      <c r="A1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7" s="316" t="s">
        <v>268</v>
      </c>
      <c r="C107" s="317" t="s">
        <v>269</v>
      </c>
      <c r="D107" s="317" t="s">
        <v>288</v>
      </c>
      <c r="E107" s="105" t="s">
        <v>289</v>
      </c>
      <c r="F107" s="100"/>
      <c r="G107" s="34"/>
      <c r="H107" s="34"/>
      <c r="I107" s="97">
        <v>77537.996273544151</v>
      </c>
      <c r="J107" s="97" t="s">
        <v>413</v>
      </c>
      <c r="K107" s="318">
        <v>0</v>
      </c>
      <c r="L107" s="319">
        <v>6494.001032900007</v>
      </c>
      <c r="M107" s="319">
        <v>22266.572815189596</v>
      </c>
      <c r="N107" s="319">
        <v>32935.581375528054</v>
      </c>
      <c r="O107" s="319">
        <v>38902.984813593641</v>
      </c>
      <c r="P107" s="319">
        <v>9439.019676549864</v>
      </c>
      <c r="Q107" s="320">
        <v>7393.157784221652</v>
      </c>
      <c r="R107" s="319">
        <v>25845.99875784805</v>
      </c>
      <c r="S107" s="319"/>
      <c r="T107" s="319"/>
      <c r="U107" s="319"/>
      <c r="V107" s="319"/>
      <c r="W107" s="321">
        <f>IFERROR(IF(tblPiNAnalysis512[[#This Row],[CCCM]]="", "", MROUND(tblPiNAnalysis512[[#This Row],[CCCM]]/tblPiNAnalysis512[[#This Row],[Affected population projection 2026]], 0.05)), "")</f>
        <v>0</v>
      </c>
      <c r="X107" s="322">
        <f>IFERROR(IF(tblPiNAnalysis512[[#This Row],[Education]]="", "", MROUND(tblPiNAnalysis512[[#This Row],[Education]]/tblPiNAnalysis512[[#This Row],[Affected population projection 2026]], 0.05)), "")</f>
        <v>0.1</v>
      </c>
      <c r="Y107" s="322">
        <f>IFERROR(IF(tblPiNAnalysis512[[#This Row],[Nutrition]]="", "", MROUND(tblPiNAnalysis512[[#This Row],[Nutrition]]/tblPiNAnalysis512[[#This Row],[Affected population projection 2026]], 0.05)), "")</f>
        <v>0.30000000000000004</v>
      </c>
      <c r="Z107" s="322">
        <f>IFERROR(IF(tblPiNAnalysis512[[#This Row],[Food Security]]="", "", MROUND(tblPiNAnalysis512[[#This Row],[Food Security]]/tblPiNAnalysis512[[#This Row],[Affected population projection 2026]], 0.05)), "")</f>
        <v>0.4</v>
      </c>
      <c r="AA107" s="322">
        <f>IFERROR(IF(tblPiNAnalysis512[[#This Row],[Health]]="", "", MROUND(tblPiNAnalysis512[[#This Row],[Health]]/tblPiNAnalysis512[[#This Row],[Affected population projection 2026]], 0.05)), "")</f>
        <v>0.5</v>
      </c>
      <c r="AB107" s="323">
        <f>IFERROR(IF(tblPiNAnalysis512[[#This Row],[Overarching Protection]]="", "", MROUND(tblPiNAnalysis512[[#This Row],[Overarching Protection]]/tblPiNAnalysis512[[#This Row],[Affected population projection 2026]], 0.05)), "")</f>
        <v>0.1</v>
      </c>
      <c r="AC107" s="323">
        <f>IFERROR(IF(tblPiNAnalysis512[[#This Row],[Shelter]]="", "", MROUND(tblPiNAnalysis512[[#This Row],[Shelter]]/tblPiNAnalysis512[[#This Row],[Affected population projection 2026]], 0.05)), "")</f>
        <v>0.1</v>
      </c>
      <c r="AD107" s="324">
        <f>IFERROR(IF(tblPiNAnalysis512[[#This Row],[WASH]]="", "", MROUND(tblPiNAnalysis512[[#This Row],[WASH]]/tblPiNAnalysis512[[#This Row],[Affected population projection 2026]], 0.05)), "")</f>
        <v>0.35000000000000003</v>
      </c>
      <c r="AE107" s="322">
        <f>IFERROR(MROUND(tblPiNAnalysis512[[#This Row],[CP]]/tblPiNAnalysis512[[#This Row],[Affected population projection 2026]], 0.05), "")</f>
        <v>0</v>
      </c>
      <c r="AF107" s="322">
        <f>IFERROR(MROUND(tblPiNAnalysis512[[#This Row],[GBV]]/tblPiNAnalysis512[[#This Row],[Affected population projection 2026]], 0.05), "")</f>
        <v>0</v>
      </c>
      <c r="AG107" s="322">
        <f>IFERROR(MROUND(tblPiNAnalysis512[[#This Row],[Mine Action]]/tblPiNAnalysis512[[#This Row],[Affected population projection 2026]], 0.05), "")</f>
        <v>0</v>
      </c>
      <c r="AH107" s="322">
        <f>IFERROR(MROUND(tblPiNAnalysis512[[#This Row],[HLP]]/tblPiNAnalysis512[[#This Row],[Affected population projection 2026]], 0.05), "")</f>
        <v>0</v>
      </c>
      <c r="AI107" s="325">
        <f>IFERROR(LARGE(tblPiNAnalysis512[[#This Row],[CCCM]:[WASH]], 1), "")</f>
        <v>38902.984813593641</v>
      </c>
      <c r="AJ107" s="326" t="str" cm="1">
        <f t="array" ref="AJ107">IF(tblPiNAnalysis512[[#This Row],[Highest Target]]="", "", _xlfn.TEXTJOIN(CHAR(10), TRUE, IF(tblPiNAnalysis512[[#This Row],[Highest Target]]=tblPiNAnalysis512[[#This Row],[CCCM]:[WASH]], tblPiNAnalysis512[[#Headers],[CCCM]:[WASH]], "")))</f>
        <v>Health</v>
      </c>
      <c r="AK107" s="327">
        <f>IF(tblPiNAnalysis512[[#This Row],[Highest Target]]="", "", tblPiNAnalysis512[[#This Row],[Highest Target]]/tblPiNAnalysis512[[#This Row],[Affected population projection 2026]])</f>
        <v>0.50172801314530846</v>
      </c>
      <c r="AL107" s="328" t="str">
        <f>IF(SUM(tblPiNAnalysis512[[#This Row],[CCCM]:[WASH]])=0, "",IF(COUNTIF(tblPiNAnalysis512[[#This Row],[CCCM]:[WASH]],"=0")+COUNTIF(tblPiNAnalysis512[[#This Row],[CCCM]:[WASH]],"")&gt;=zero_pin_thresh, "Flagged", ""))</f>
        <v/>
      </c>
      <c r="AM107" s="329" t="str">
        <f>IFERROR(IF(tblPiNAnalysis512[[#This Row],[Highest Target]]="", "", IF(tblPiNAnalysis512[[#This Row],[Highest sector(s'') Target %]]&gt;=flag_pin_perc, "Flagged", "")), "")</f>
        <v/>
      </c>
      <c r="AN107" s="330" t="str" cm="1">
        <f t="array" ref="AN107">IF(tblPiNAnalysis512[[#This Row],[Highest Target]]=0, "",  IF(OR(COUNTIF(tblPiNAnalysis512[[#This Row],[Highest sector(s)]],tblSubSectorPopulation[Sector])), "Flagged", ""))</f>
        <v/>
      </c>
      <c r="AO107" s="46" cm="1">
        <f t="array" ref="AO10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32935.581375528054</v>
      </c>
      <c r="AP107" s="331" t="str" cm="1">
        <f t="array" ref="AP107">IF(tblPiNAnalysis512[[#This Row],[2nd Highest Target]]="", "", _xlfn.TEXTJOIN(CHAR(10), TRUE, IF(tblPiNAnalysis512[[#This Row],[2nd Highest Target]]=tblPiNAnalysis512[[#This Row],[CCCM]:[WASH]], tblPiNAnalysis512[[#Headers],[CCCM]:[WASH]], "")))</f>
        <v>Food Security</v>
      </c>
      <c r="AQ107" s="36">
        <f>IFERROR(tblPiNAnalysis512[[#This Row],[2nd Highest Target]]/tblPiNAnalysis512[[#This Row],[Affected population projection 2026]], "")</f>
        <v>0.42476699113213512</v>
      </c>
      <c r="AR107" s="46">
        <f>IFERROR(tblPiNAnalysis512[[#This Row],[Highest Target]]-tblPiNAnalysis512[[#This Row],[2nd Highest Target]], "")</f>
        <v>5967.4034380655867</v>
      </c>
      <c r="AS107" s="39">
        <f>IFERROR(((tblPiNAnalysis512[[#This Row],[Highest Target]]-tblPiNAnalysis512[[#This Row],[2nd Highest Target]])/tblPiNAnalysis512[[#This Row],[2nd Highest Target]]),"")</f>
        <v>0.1811840929730639</v>
      </c>
      <c r="AT107" s="39" t="str" cm="1">
        <f t="array" ref="AT10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7" s="332" cm="1">
        <f t="array" ref="AU10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25845.99875784805</v>
      </c>
      <c r="AV107" s="190" t="str" cm="1">
        <f t="array" ref="AV107">IF(tblPiNAnalysis512[[#This Row],[3rd Highest Target]]="", "", _xlfn.TEXTJOIN(CHAR(10), TRUE, IF(tblPiNAnalysis512[[#This Row],[3rd Highest Target]]=tblPiNAnalysis512[[#This Row],[CCCM]:[WASH]], tblPiNAnalysis512[[#Headers],[CCCM]:[WASH]], "")))</f>
        <v>WASH</v>
      </c>
      <c r="AW107" s="190">
        <f>IFERROR(tblPiNAnalysis512[[#This Row],[3rd Highest Target]]/tblPiNAnalysis512[[#This Row],[Affected population projection 2026]], "")</f>
        <v>0.33333333333333331</v>
      </c>
      <c r="AX107" s="45">
        <f>IFERROR(tblPiNAnalysis512[[#This Row],[Highest Target]]-tblPiNAnalysis512[[#This Row],[3rd Highest Target]],"")</f>
        <v>13056.98605574559</v>
      </c>
      <c r="AY107" s="39">
        <f>IFERROR(tblPiNAnalysis512[[#This Row],[Difference of Target between Highest and 3rd Highest]]/tblPiNAnalysis512[[#This Row],[3rd Highest Target]], "")</f>
        <v>0.50518403943592549</v>
      </c>
      <c r="AZ107" s="330" t="str" cm="1">
        <f t="array" ref="AZ10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07" s="300" t="str" cm="1">
        <f t="array" ref="BA10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7" s="333" t="str" cm="1">
        <f t="array" ref="BB10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7" s="276" t="str" cm="1">
        <f t="array" ref="BC10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7" s="334" t="str" cm="1">
        <f t="array" ref="BD10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07" s="277" t="e">
        <f>INDEX(tblSeverityAnalysis[Final Severity], MATCH(tblPiNAnalysis512[[#This Row],[ID]],tblSeverityAnalysis[ID], 0))</f>
        <v>#N/A</v>
      </c>
      <c r="BF107" s="61" t="e">
        <f>IF(tblPiNAnalysis512[[#This Row],[Severity]]&gt;2,tblPiNAnalysis512[[#This Row],[Highest Target]],)</f>
        <v>#N/A</v>
      </c>
      <c r="BG107" s="191"/>
      <c r="BH107" s="192"/>
      <c r="BI107" s="193">
        <f>COUNTIFS(tblPiNAnalysis512[[#This Row],[Number of missing / zero PiNs greater than threshold - Data quality]:[Manual Flag]],"Flagged")</f>
        <v>2</v>
      </c>
      <c r="BJ107" s="96" t="str">
        <f>IF(tblPiNAnalysis512[[#This Row],['# Flags]]&gt;0, "Flagged", "")</f>
        <v>Flagged</v>
      </c>
      <c r="BK107" s="326" t="e">
        <f>tblPiNAnalysis512[[#This Row],[Preliminary Target]]</f>
        <v>#N/A</v>
      </c>
      <c r="BL107" s="331">
        <v>2</v>
      </c>
    </row>
    <row r="108" spans="1:64" x14ac:dyDescent="0.55000000000000004">
      <c r="A1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8" s="316" t="s">
        <v>268</v>
      </c>
      <c r="C108" s="317" t="s">
        <v>269</v>
      </c>
      <c r="D108" s="317" t="s">
        <v>290</v>
      </c>
      <c r="E108" s="105" t="s">
        <v>291</v>
      </c>
      <c r="F108" s="100"/>
      <c r="G108" s="34"/>
      <c r="H108" s="34"/>
      <c r="I108" s="97">
        <v>136551.06257292113</v>
      </c>
      <c r="J108" s="97" t="s">
        <v>413</v>
      </c>
      <c r="K108" s="318">
        <v>0</v>
      </c>
      <c r="L108" s="319">
        <v>10051.414475142667</v>
      </c>
      <c r="M108" s="319">
        <v>55178.941958325748</v>
      </c>
      <c r="N108" s="319">
        <v>65745.240818137798</v>
      </c>
      <c r="O108" s="319">
        <v>45826.862089451446</v>
      </c>
      <c r="P108" s="319">
        <v>21719.692165966542</v>
      </c>
      <c r="Q108" s="320">
        <v>2958.6063557466246</v>
      </c>
      <c r="R108" s="319">
        <v>78495.78828458814</v>
      </c>
      <c r="S108" s="319"/>
      <c r="T108" s="319"/>
      <c r="U108" s="319"/>
      <c r="V108" s="319"/>
      <c r="W108" s="321">
        <f>IFERROR(IF(tblPiNAnalysis512[[#This Row],[CCCM]]="", "", MROUND(tblPiNAnalysis512[[#This Row],[CCCM]]/tblPiNAnalysis512[[#This Row],[Affected population projection 2026]], 0.05)), "")</f>
        <v>0</v>
      </c>
      <c r="X108" s="322">
        <f>IFERROR(IF(tblPiNAnalysis512[[#This Row],[Education]]="", "", MROUND(tblPiNAnalysis512[[#This Row],[Education]]/tblPiNAnalysis512[[#This Row],[Affected population projection 2026]], 0.05)), "")</f>
        <v>0.05</v>
      </c>
      <c r="Y108" s="322">
        <f>IFERROR(IF(tblPiNAnalysis512[[#This Row],[Nutrition]]="", "", MROUND(tblPiNAnalysis512[[#This Row],[Nutrition]]/tblPiNAnalysis512[[#This Row],[Affected population projection 2026]], 0.05)), "")</f>
        <v>0.4</v>
      </c>
      <c r="Z108" s="322">
        <f>IFERROR(IF(tblPiNAnalysis512[[#This Row],[Food Security]]="", "", MROUND(tblPiNAnalysis512[[#This Row],[Food Security]]/tblPiNAnalysis512[[#This Row],[Affected population projection 2026]], 0.05)), "")</f>
        <v>0.5</v>
      </c>
      <c r="AA108" s="322">
        <f>IFERROR(IF(tblPiNAnalysis512[[#This Row],[Health]]="", "", MROUND(tblPiNAnalysis512[[#This Row],[Health]]/tblPiNAnalysis512[[#This Row],[Affected population projection 2026]], 0.05)), "")</f>
        <v>0.35000000000000003</v>
      </c>
      <c r="AB108" s="323">
        <f>IFERROR(IF(tblPiNAnalysis512[[#This Row],[Overarching Protection]]="", "", MROUND(tblPiNAnalysis512[[#This Row],[Overarching Protection]]/tblPiNAnalysis512[[#This Row],[Affected population projection 2026]], 0.05)), "")</f>
        <v>0.15000000000000002</v>
      </c>
      <c r="AC108" s="323">
        <f>IFERROR(IF(tblPiNAnalysis512[[#This Row],[Shelter]]="", "", MROUND(tblPiNAnalysis512[[#This Row],[Shelter]]/tblPiNAnalysis512[[#This Row],[Affected population projection 2026]], 0.05)), "")</f>
        <v>0</v>
      </c>
      <c r="AD108" s="324">
        <f>IFERROR(IF(tblPiNAnalysis512[[#This Row],[WASH]]="", "", MROUND(tblPiNAnalysis512[[#This Row],[WASH]]/tblPiNAnalysis512[[#This Row],[Affected population projection 2026]], 0.05)), "")</f>
        <v>0.55000000000000004</v>
      </c>
      <c r="AE108" s="322">
        <f>IFERROR(MROUND(tblPiNAnalysis512[[#This Row],[CP]]/tblPiNAnalysis512[[#This Row],[Affected population projection 2026]], 0.05), "")</f>
        <v>0</v>
      </c>
      <c r="AF108" s="322">
        <f>IFERROR(MROUND(tblPiNAnalysis512[[#This Row],[GBV]]/tblPiNAnalysis512[[#This Row],[Affected population projection 2026]], 0.05), "")</f>
        <v>0</v>
      </c>
      <c r="AG108" s="322">
        <f>IFERROR(MROUND(tblPiNAnalysis512[[#This Row],[Mine Action]]/tblPiNAnalysis512[[#This Row],[Affected population projection 2026]], 0.05), "")</f>
        <v>0</v>
      </c>
      <c r="AH108" s="322">
        <f>IFERROR(MROUND(tblPiNAnalysis512[[#This Row],[HLP]]/tblPiNAnalysis512[[#This Row],[Affected population projection 2026]], 0.05), "")</f>
        <v>0</v>
      </c>
      <c r="AI108" s="325">
        <f>IFERROR(LARGE(tblPiNAnalysis512[[#This Row],[CCCM]:[WASH]], 1), "")</f>
        <v>78495.78828458814</v>
      </c>
      <c r="AJ108" s="326" t="str" cm="1">
        <f t="array" ref="AJ108">IF(tblPiNAnalysis512[[#This Row],[Highest Target]]="", "", _xlfn.TEXTJOIN(CHAR(10), TRUE, IF(tblPiNAnalysis512[[#This Row],[Highest Target]]=tblPiNAnalysis512[[#This Row],[CCCM]:[WASH]], tblPiNAnalysis512[[#Headers],[CCCM]:[WASH]], "")))</f>
        <v>WASH</v>
      </c>
      <c r="AK108" s="327">
        <f>IF(tblPiNAnalysis512[[#This Row],[Highest Target]]="", "", tblPiNAnalysis512[[#This Row],[Highest Target]]/tblPiNAnalysis512[[#This Row],[Affected population projection 2026]])</f>
        <v>0.57484567901234562</v>
      </c>
      <c r="AL108" s="328" t="str">
        <f>IF(SUM(tblPiNAnalysis512[[#This Row],[CCCM]:[WASH]])=0, "",IF(COUNTIF(tblPiNAnalysis512[[#This Row],[CCCM]:[WASH]],"=0")+COUNTIF(tblPiNAnalysis512[[#This Row],[CCCM]:[WASH]],"")&gt;=zero_pin_thresh, "Flagged", ""))</f>
        <v/>
      </c>
      <c r="AM108" s="329" t="str">
        <f>IFERROR(IF(tblPiNAnalysis512[[#This Row],[Highest Target]]="", "", IF(tblPiNAnalysis512[[#This Row],[Highest sector(s'') Target %]]&gt;=flag_pin_perc, "Flagged", "")), "")</f>
        <v/>
      </c>
      <c r="AN108" s="330" t="str" cm="1">
        <f t="array" ref="AN108">IF(tblPiNAnalysis512[[#This Row],[Highest Target]]=0, "",  IF(OR(COUNTIF(tblPiNAnalysis512[[#This Row],[Highest sector(s)]],tblSubSectorPopulation[Sector])), "Flagged", ""))</f>
        <v/>
      </c>
      <c r="AO108" s="46" cm="1">
        <f t="array" ref="AO10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65745.240818137798</v>
      </c>
      <c r="AP108" s="331" t="str" cm="1">
        <f t="array" ref="AP108">IF(tblPiNAnalysis512[[#This Row],[2nd Highest Target]]="", "", _xlfn.TEXTJOIN(CHAR(10), TRUE, IF(tblPiNAnalysis512[[#This Row],[2nd Highest Target]]=tblPiNAnalysis512[[#This Row],[CCCM]:[WASH]], tblPiNAnalysis512[[#Headers],[CCCM]:[WASH]], "")))</f>
        <v>Food Security</v>
      </c>
      <c r="AQ108" s="36">
        <f>IFERROR(tblPiNAnalysis512[[#This Row],[2nd Highest Target]]/tblPiNAnalysis512[[#This Row],[Affected population projection 2026]], "")</f>
        <v>0.48147000528119993</v>
      </c>
      <c r="AR108" s="46">
        <f>IFERROR(tblPiNAnalysis512[[#This Row],[Highest Target]]-tblPiNAnalysis512[[#This Row],[2nd Highest Target]], "")</f>
        <v>12750.547466450342</v>
      </c>
      <c r="AS108" s="39">
        <f>IFERROR(((tblPiNAnalysis512[[#This Row],[Highest Target]]-tblPiNAnalysis512[[#This Row],[2nd Highest Target]])/tblPiNAnalysis512[[#This Row],[2nd Highest Target]]),"")</f>
        <v>0.19393871416062591</v>
      </c>
      <c r="AT108" s="39" t="str" cm="1">
        <f t="array" ref="AT10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8" s="332" cm="1">
        <f t="array" ref="AU10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55178.941958325748</v>
      </c>
      <c r="AV108" s="190" t="str" cm="1">
        <f t="array" ref="AV108">IF(tblPiNAnalysis512[[#This Row],[3rd Highest Target]]="", "", _xlfn.TEXTJOIN(CHAR(10), TRUE, IF(tblPiNAnalysis512[[#This Row],[3rd Highest Target]]=tblPiNAnalysis512[[#This Row],[CCCM]:[WASH]], tblPiNAnalysis512[[#Headers],[CCCM]:[WASH]], "")))</f>
        <v>Nutrition</v>
      </c>
      <c r="AW108" s="190">
        <f>IFERROR(tblPiNAnalysis512[[#This Row],[3rd Highest Target]]/tblPiNAnalysis512[[#This Row],[Affected population projection 2026]], "")</f>
        <v>0.40409016904470468</v>
      </c>
      <c r="AX108" s="45">
        <f>IFERROR(tblPiNAnalysis512[[#This Row],[Highest Target]]-tblPiNAnalysis512[[#This Row],[3rd Highest Target]],"")</f>
        <v>23316.846326262392</v>
      </c>
      <c r="AY108" s="39">
        <f>IFERROR(tblPiNAnalysis512[[#This Row],[Difference of Target between Highest and 3rd Highest]]/tblPiNAnalysis512[[#This Row],[3rd Highest Target]], "")</f>
        <v>0.42256784017121224</v>
      </c>
      <c r="AZ108" s="330" t="str" cm="1">
        <f t="array" ref="AZ10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8" s="300" t="str" cm="1">
        <f t="array" ref="BA10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8" s="333" t="str" cm="1">
        <f t="array" ref="BB10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08" s="276" t="str" cm="1">
        <f t="array" ref="BC10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8" s="334" t="str" cm="1">
        <f t="array" ref="BD10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08" s="277" t="e">
        <f>INDEX(tblSeverityAnalysis[Final Severity], MATCH(tblPiNAnalysis512[[#This Row],[ID]],tblSeverityAnalysis[ID], 0))</f>
        <v>#N/A</v>
      </c>
      <c r="BF108" s="61" t="e">
        <f>IF(tblPiNAnalysis512[[#This Row],[Severity]]&gt;2,tblPiNAnalysis512[[#This Row],[Highest Target]],)</f>
        <v>#N/A</v>
      </c>
      <c r="BG108" s="191"/>
      <c r="BH108" s="192"/>
      <c r="BI108" s="193">
        <f>COUNTIFS(tblPiNAnalysis512[[#This Row],[Number of missing / zero PiNs greater than threshold - Data quality]:[Manual Flag]],"Flagged")</f>
        <v>0</v>
      </c>
      <c r="BJ108" s="96" t="str">
        <f>IF(tblPiNAnalysis512[[#This Row],['# Flags]]&gt;0, "Flagged", "")</f>
        <v/>
      </c>
      <c r="BK108" s="326" t="e">
        <f>tblPiNAnalysis512[[#This Row],[Preliminary Target]]</f>
        <v>#N/A</v>
      </c>
      <c r="BL108" s="331">
        <v>2</v>
      </c>
    </row>
    <row r="109" spans="1:64" x14ac:dyDescent="0.55000000000000004">
      <c r="A1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9" s="316" t="s">
        <v>292</v>
      </c>
      <c r="C109" s="317" t="s">
        <v>293</v>
      </c>
      <c r="D109" s="317" t="s">
        <v>294</v>
      </c>
      <c r="E109" s="105" t="s">
        <v>295</v>
      </c>
      <c r="F109" s="100"/>
      <c r="G109" s="34"/>
      <c r="H109" s="34"/>
      <c r="I109" s="97">
        <v>73916.557684246116</v>
      </c>
      <c r="J109" s="97" t="s">
        <v>413</v>
      </c>
      <c r="K109" s="318"/>
      <c r="L109" s="319"/>
      <c r="M109" s="319"/>
      <c r="N109" s="319"/>
      <c r="O109" s="319"/>
      <c r="P109" s="319"/>
      <c r="Q109" s="320"/>
      <c r="R109" s="319"/>
      <c r="S109" s="319"/>
      <c r="T109" s="319"/>
      <c r="U109" s="319"/>
      <c r="V109" s="319"/>
      <c r="W109" s="321" t="str">
        <f>IFERROR(IF(tblPiNAnalysis512[[#This Row],[CCCM]]="", "", MROUND(tblPiNAnalysis512[[#This Row],[CCCM]]/tblPiNAnalysis512[[#This Row],[Affected population projection 2026]], 0.05)), "")</f>
        <v/>
      </c>
      <c r="X109" s="322" t="str">
        <f>IFERROR(IF(tblPiNAnalysis512[[#This Row],[Education]]="", "", MROUND(tblPiNAnalysis512[[#This Row],[Education]]/tblPiNAnalysis512[[#This Row],[Affected population projection 2026]], 0.05)), "")</f>
        <v/>
      </c>
      <c r="Y109" s="322" t="str">
        <f>IFERROR(IF(tblPiNAnalysis512[[#This Row],[Nutrition]]="", "", MROUND(tblPiNAnalysis512[[#This Row],[Nutrition]]/tblPiNAnalysis512[[#This Row],[Affected population projection 2026]], 0.05)), "")</f>
        <v/>
      </c>
      <c r="Z109" s="322" t="str">
        <f>IFERROR(IF(tblPiNAnalysis512[[#This Row],[Food Security]]="", "", MROUND(tblPiNAnalysis512[[#This Row],[Food Security]]/tblPiNAnalysis512[[#This Row],[Affected population projection 2026]], 0.05)), "")</f>
        <v/>
      </c>
      <c r="AA109" s="322" t="str">
        <f>IFERROR(IF(tblPiNAnalysis512[[#This Row],[Health]]="", "", MROUND(tblPiNAnalysis512[[#This Row],[Health]]/tblPiNAnalysis512[[#This Row],[Affected population projection 2026]], 0.05)), "")</f>
        <v/>
      </c>
      <c r="AB109" s="323" t="str">
        <f>IFERROR(IF(tblPiNAnalysis512[[#This Row],[Overarching Protection]]="", "", MROUND(tblPiNAnalysis512[[#This Row],[Overarching Protection]]/tblPiNAnalysis512[[#This Row],[Affected population projection 2026]], 0.05)), "")</f>
        <v/>
      </c>
      <c r="AC109" s="323" t="str">
        <f>IFERROR(IF(tblPiNAnalysis512[[#This Row],[Shelter]]="", "", MROUND(tblPiNAnalysis512[[#This Row],[Shelter]]/tblPiNAnalysis512[[#This Row],[Affected population projection 2026]], 0.05)), "")</f>
        <v/>
      </c>
      <c r="AD109" s="324" t="str">
        <f>IFERROR(IF(tblPiNAnalysis512[[#This Row],[WASH]]="", "", MROUND(tblPiNAnalysis512[[#This Row],[WASH]]/tblPiNAnalysis512[[#This Row],[Affected population projection 2026]], 0.05)), "")</f>
        <v/>
      </c>
      <c r="AE109" s="322">
        <f>IFERROR(MROUND(tblPiNAnalysis512[[#This Row],[CP]]/tblPiNAnalysis512[[#This Row],[Affected population projection 2026]], 0.05), "")</f>
        <v>0</v>
      </c>
      <c r="AF109" s="322">
        <f>IFERROR(MROUND(tblPiNAnalysis512[[#This Row],[GBV]]/tblPiNAnalysis512[[#This Row],[Affected population projection 2026]], 0.05), "")</f>
        <v>0</v>
      </c>
      <c r="AG109" s="322">
        <f>IFERROR(MROUND(tblPiNAnalysis512[[#This Row],[Mine Action]]/tblPiNAnalysis512[[#This Row],[Affected population projection 2026]], 0.05), "")</f>
        <v>0</v>
      </c>
      <c r="AH109" s="322">
        <f>IFERROR(MROUND(tblPiNAnalysis512[[#This Row],[HLP]]/tblPiNAnalysis512[[#This Row],[Affected population projection 2026]], 0.05), "")</f>
        <v>0</v>
      </c>
      <c r="AI109" s="325" t="str">
        <f>IFERROR(LARGE(tblPiNAnalysis512[[#This Row],[CCCM]:[WASH]], 1), "")</f>
        <v/>
      </c>
      <c r="AJ109" s="326" t="str" cm="1">
        <f t="array" ref="AJ109">IF(tblPiNAnalysis512[[#This Row],[Highest Target]]="", "", _xlfn.TEXTJOIN(CHAR(10), TRUE, IF(tblPiNAnalysis512[[#This Row],[Highest Target]]=tblPiNAnalysis512[[#This Row],[CCCM]:[WASH]], tblPiNAnalysis512[[#Headers],[CCCM]:[WASH]], "")))</f>
        <v/>
      </c>
      <c r="AK109" s="327" t="str">
        <f>IF(tblPiNAnalysis512[[#This Row],[Highest Target]]="", "", tblPiNAnalysis512[[#This Row],[Highest Target]]/tblPiNAnalysis512[[#This Row],[Affected population projection 2026]])</f>
        <v/>
      </c>
      <c r="AL109" s="328" t="str">
        <f>IF(SUM(tblPiNAnalysis512[[#This Row],[CCCM]:[WASH]])=0, "",IF(COUNTIF(tblPiNAnalysis512[[#This Row],[CCCM]:[WASH]],"=0")+COUNTIF(tblPiNAnalysis512[[#This Row],[CCCM]:[WASH]],"")&gt;=zero_pin_thresh, "Flagged", ""))</f>
        <v/>
      </c>
      <c r="AM109" s="329" t="str">
        <f>IFERROR(IF(tblPiNAnalysis512[[#This Row],[Highest Target]]="", "", IF(tblPiNAnalysis512[[#This Row],[Highest sector(s'') Target %]]&gt;=flag_pin_perc, "Flagged", "")), "")</f>
        <v/>
      </c>
      <c r="AN109" s="330" t="str" cm="1">
        <f t="array" ref="AN109">IF(tblPiNAnalysis512[[#This Row],[Highest Target]]=0, "",  IF(OR(COUNTIF(tblPiNAnalysis512[[#This Row],[Highest sector(s)]],tblSubSectorPopulation[Sector])), "Flagged", ""))</f>
        <v/>
      </c>
      <c r="AO109" s="46" t="str" cm="1">
        <f t="array" ref="AO10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09" s="331" t="str" cm="1">
        <f t="array" ref="AP109">IF(tblPiNAnalysis512[[#This Row],[2nd Highest Target]]="", "", _xlfn.TEXTJOIN(CHAR(10), TRUE, IF(tblPiNAnalysis512[[#This Row],[2nd Highest Target]]=tblPiNAnalysis512[[#This Row],[CCCM]:[WASH]], tblPiNAnalysis512[[#Headers],[CCCM]:[WASH]], "")))</f>
        <v/>
      </c>
      <c r="AQ109" s="36" t="str">
        <f>IFERROR(tblPiNAnalysis512[[#This Row],[2nd Highest Target]]/tblPiNAnalysis512[[#This Row],[Affected population projection 2026]], "")</f>
        <v/>
      </c>
      <c r="AR109" s="46" t="str">
        <f>IFERROR(tblPiNAnalysis512[[#This Row],[Highest Target]]-tblPiNAnalysis512[[#This Row],[2nd Highest Target]], "")</f>
        <v/>
      </c>
      <c r="AS109" s="39" t="str">
        <f>IFERROR(((tblPiNAnalysis512[[#This Row],[Highest Target]]-tblPiNAnalysis512[[#This Row],[2nd Highest Target]])/tblPiNAnalysis512[[#This Row],[2nd Highest Target]]),"")</f>
        <v/>
      </c>
      <c r="AT109" s="39" t="str" cm="1">
        <f t="array" ref="AT10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09" s="332" t="str" cm="1">
        <f t="array" ref="AU10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09" s="190" t="str" cm="1">
        <f t="array" ref="AV109">IF(tblPiNAnalysis512[[#This Row],[3rd Highest Target]]="", "", _xlfn.TEXTJOIN(CHAR(10), TRUE, IF(tblPiNAnalysis512[[#This Row],[3rd Highest Target]]=tblPiNAnalysis512[[#This Row],[CCCM]:[WASH]], tblPiNAnalysis512[[#Headers],[CCCM]:[WASH]], "")))</f>
        <v/>
      </c>
      <c r="AW109" s="190" t="str">
        <f>IFERROR(tblPiNAnalysis512[[#This Row],[3rd Highest Target]]/tblPiNAnalysis512[[#This Row],[Affected population projection 2026]], "")</f>
        <v/>
      </c>
      <c r="AX109" s="45" t="str">
        <f>IFERROR(tblPiNAnalysis512[[#This Row],[Highest Target]]-tblPiNAnalysis512[[#This Row],[3rd Highest Target]],"")</f>
        <v/>
      </c>
      <c r="AY109" s="39" t="str">
        <f>IFERROR(tblPiNAnalysis512[[#This Row],[Difference of Target between Highest and 3rd Highest]]/tblPiNAnalysis512[[#This Row],[3rd Highest Target]], "")</f>
        <v/>
      </c>
      <c r="AZ109" s="330" t="str" cm="1">
        <f t="array" ref="AZ10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09" s="300" t="str" cm="1">
        <f t="array" ref="BA10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09" s="333" t="str" cm="1">
        <f t="array" ref="BB10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09" s="276" t="str" cm="1">
        <f t="array" ref="BC10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09" s="334" t="str" cm="1">
        <f t="array" ref="BD10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09" s="277" t="e">
        <f>INDEX(tblSeverityAnalysis[Final Severity], MATCH(tblPiNAnalysis512[[#This Row],[ID]],tblSeverityAnalysis[ID], 0))</f>
        <v>#N/A</v>
      </c>
      <c r="BF109" s="61" t="e">
        <f>IF(tblPiNAnalysis512[[#This Row],[Severity]]&gt;2,tblPiNAnalysis512[[#This Row],[Highest Target]],)</f>
        <v>#N/A</v>
      </c>
      <c r="BG109" s="191"/>
      <c r="BH109" s="192"/>
      <c r="BI109" s="193">
        <f>COUNTIFS(tblPiNAnalysis512[[#This Row],[Number of missing / zero PiNs greater than threshold - Data quality]:[Manual Flag]],"Flagged")</f>
        <v>2</v>
      </c>
      <c r="BJ109" s="96" t="str">
        <f>IF(tblPiNAnalysis512[[#This Row],['# Flags]]&gt;0, "Flagged", "")</f>
        <v>Flagged</v>
      </c>
      <c r="BK109" s="326" t="e">
        <f>tblPiNAnalysis512[[#This Row],[Preliminary Target]]</f>
        <v>#N/A</v>
      </c>
      <c r="BL109" s="331">
        <v>3</v>
      </c>
    </row>
    <row r="110" spans="1:64" ht="110.7" x14ac:dyDescent="0.55000000000000004">
      <c r="A1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0" s="316" t="s">
        <v>292</v>
      </c>
      <c r="C110" s="317" t="s">
        <v>293</v>
      </c>
      <c r="D110" s="317" t="s">
        <v>296</v>
      </c>
      <c r="E110" s="105" t="s">
        <v>297</v>
      </c>
      <c r="F110" s="100"/>
      <c r="G110" s="34"/>
      <c r="H110" s="34"/>
      <c r="I110" s="97">
        <v>143892.97660154747</v>
      </c>
      <c r="J110" s="97" t="s">
        <v>413</v>
      </c>
      <c r="K110" s="318">
        <v>0</v>
      </c>
      <c r="L110" s="319">
        <v>0</v>
      </c>
      <c r="M110" s="319">
        <v>0</v>
      </c>
      <c r="N110" s="319">
        <v>0</v>
      </c>
      <c r="O110" s="319">
        <v>0</v>
      </c>
      <c r="P110" s="319">
        <v>0</v>
      </c>
      <c r="Q110" s="320">
        <v>0</v>
      </c>
      <c r="R110" s="319">
        <v>0</v>
      </c>
      <c r="S110" s="319"/>
      <c r="T110" s="319"/>
      <c r="U110" s="319"/>
      <c r="V110" s="319"/>
      <c r="W110" s="321">
        <f>IFERROR(IF(tblPiNAnalysis512[[#This Row],[CCCM]]="", "", MROUND(tblPiNAnalysis512[[#This Row],[CCCM]]/tblPiNAnalysis512[[#This Row],[Affected population projection 2026]], 0.05)), "")</f>
        <v>0</v>
      </c>
      <c r="X110" s="322">
        <f>IFERROR(IF(tblPiNAnalysis512[[#This Row],[Education]]="", "", MROUND(tblPiNAnalysis512[[#This Row],[Education]]/tblPiNAnalysis512[[#This Row],[Affected population projection 2026]], 0.05)), "")</f>
        <v>0</v>
      </c>
      <c r="Y110" s="322">
        <f>IFERROR(IF(tblPiNAnalysis512[[#This Row],[Nutrition]]="", "", MROUND(tblPiNAnalysis512[[#This Row],[Nutrition]]/tblPiNAnalysis512[[#This Row],[Affected population projection 2026]], 0.05)), "")</f>
        <v>0</v>
      </c>
      <c r="Z110" s="322">
        <f>IFERROR(IF(tblPiNAnalysis512[[#This Row],[Food Security]]="", "", MROUND(tblPiNAnalysis512[[#This Row],[Food Security]]/tblPiNAnalysis512[[#This Row],[Affected population projection 2026]], 0.05)), "")</f>
        <v>0</v>
      </c>
      <c r="AA110" s="322">
        <f>IFERROR(IF(tblPiNAnalysis512[[#This Row],[Health]]="", "", MROUND(tblPiNAnalysis512[[#This Row],[Health]]/tblPiNAnalysis512[[#This Row],[Affected population projection 2026]], 0.05)), "")</f>
        <v>0</v>
      </c>
      <c r="AB110" s="323">
        <f>IFERROR(IF(tblPiNAnalysis512[[#This Row],[Overarching Protection]]="", "", MROUND(tblPiNAnalysis512[[#This Row],[Overarching Protection]]/tblPiNAnalysis512[[#This Row],[Affected population projection 2026]], 0.05)), "")</f>
        <v>0</v>
      </c>
      <c r="AC110" s="323">
        <f>IFERROR(IF(tblPiNAnalysis512[[#This Row],[Shelter]]="", "", MROUND(tblPiNAnalysis512[[#This Row],[Shelter]]/tblPiNAnalysis512[[#This Row],[Affected population projection 2026]], 0.05)), "")</f>
        <v>0</v>
      </c>
      <c r="AD110" s="324">
        <f>IFERROR(IF(tblPiNAnalysis512[[#This Row],[WASH]]="", "", MROUND(tblPiNAnalysis512[[#This Row],[WASH]]/tblPiNAnalysis512[[#This Row],[Affected population projection 2026]], 0.05)), "")</f>
        <v>0</v>
      </c>
      <c r="AE110" s="322">
        <f>IFERROR(MROUND(tblPiNAnalysis512[[#This Row],[CP]]/tblPiNAnalysis512[[#This Row],[Affected population projection 2026]], 0.05), "")</f>
        <v>0</v>
      </c>
      <c r="AF110" s="322">
        <f>IFERROR(MROUND(tblPiNAnalysis512[[#This Row],[GBV]]/tblPiNAnalysis512[[#This Row],[Affected population projection 2026]], 0.05), "")</f>
        <v>0</v>
      </c>
      <c r="AG110" s="322">
        <f>IFERROR(MROUND(tblPiNAnalysis512[[#This Row],[Mine Action]]/tblPiNAnalysis512[[#This Row],[Affected population projection 2026]], 0.05), "")</f>
        <v>0</v>
      </c>
      <c r="AH110" s="322">
        <f>IFERROR(MROUND(tblPiNAnalysis512[[#This Row],[HLP]]/tblPiNAnalysis512[[#This Row],[Affected population projection 2026]], 0.05), "")</f>
        <v>0</v>
      </c>
      <c r="AI110" s="325">
        <f>IFERROR(LARGE(tblPiNAnalysis512[[#This Row],[CCCM]:[WASH]], 1), "")</f>
        <v>0</v>
      </c>
      <c r="AJ110" s="326" t="str" cm="1">
        <f t="array" ref="AJ110">IF(tblPiNAnalysis512[[#This Row],[Highest Target]]="", "", _xlfn.TEXTJOIN(CHAR(10), TRUE, IF(tblPiNAnalysis512[[#This Row],[Highest Target]]=tblPiNAnalysis512[[#This Row],[CCCM]:[WASH]], tblPiNAnalysis512[[#Headers],[CCCM]:[WASH]], "")))</f>
        <v>CCCM
Education
Nutrition
Food Security
Health
Overarching Protection
Shelter
WASH</v>
      </c>
      <c r="AK110" s="327">
        <f>IF(tblPiNAnalysis512[[#This Row],[Highest Target]]="", "", tblPiNAnalysis512[[#This Row],[Highest Target]]/tblPiNAnalysis512[[#This Row],[Affected population projection 2026]])</f>
        <v>0</v>
      </c>
      <c r="AL110" s="328" t="str">
        <f>IF(SUM(tblPiNAnalysis512[[#This Row],[CCCM]:[WASH]])=0, "",IF(COUNTIF(tblPiNAnalysis512[[#This Row],[CCCM]:[WASH]],"=0")+COUNTIF(tblPiNAnalysis512[[#This Row],[CCCM]:[WASH]],"")&gt;=zero_pin_thresh, "Flagged", ""))</f>
        <v/>
      </c>
      <c r="AM110" s="329" t="str">
        <f>IFERROR(IF(tblPiNAnalysis512[[#This Row],[Highest Target]]="", "", IF(tblPiNAnalysis512[[#This Row],[Highest sector(s'') Target %]]&gt;=flag_pin_perc, "Flagged", "")), "")</f>
        <v/>
      </c>
      <c r="AN110" s="330" t="str" cm="1">
        <f t="array" ref="AN110">IF(tblPiNAnalysis512[[#This Row],[Highest Target]]=0, "",  IF(OR(COUNTIF(tblPiNAnalysis512[[#This Row],[Highest sector(s)]],tblSubSectorPopulation[Sector])), "Flagged", ""))</f>
        <v/>
      </c>
      <c r="AO110" s="46" cm="1">
        <f t="array" ref="AO11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0" s="331" t="str" cm="1">
        <f t="array" ref="AP110">IF(tblPiNAnalysis512[[#This Row],[2nd Highest Target]]="", "", _xlfn.TEXTJOIN(CHAR(10), TRUE, IF(tblPiNAnalysis512[[#This Row],[2nd Highest Target]]=tblPiNAnalysis512[[#This Row],[CCCM]:[WASH]], tblPiNAnalysis512[[#Headers],[CCCM]:[WASH]], "")))</f>
        <v>CCCM
Education
Nutrition
Food Security
Health
Overarching Protection
Shelter
WASH</v>
      </c>
      <c r="AQ110" s="36">
        <f>IFERROR(tblPiNAnalysis512[[#This Row],[2nd Highest Target]]/tblPiNAnalysis512[[#This Row],[Affected population projection 2026]], "")</f>
        <v>0</v>
      </c>
      <c r="AR110" s="46">
        <f>IFERROR(tblPiNAnalysis512[[#This Row],[Highest Target]]-tblPiNAnalysis512[[#This Row],[2nd Highest Target]], "")</f>
        <v>0</v>
      </c>
      <c r="AS110" s="39" t="str">
        <f>IFERROR(((tblPiNAnalysis512[[#This Row],[Highest Target]]-tblPiNAnalysis512[[#This Row],[2nd Highest Target]])/tblPiNAnalysis512[[#This Row],[2nd Highest Target]]),"")</f>
        <v/>
      </c>
      <c r="AT110" s="39" t="str" cm="1">
        <f t="array" ref="AT11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0" s="332" cm="1">
        <f t="array" ref="AU11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0" s="190" t="str" cm="1">
        <f t="array" ref="AV110">IF(tblPiNAnalysis512[[#This Row],[3rd Highest Target]]="", "", _xlfn.TEXTJOIN(CHAR(10), TRUE, IF(tblPiNAnalysis512[[#This Row],[3rd Highest Target]]=tblPiNAnalysis512[[#This Row],[CCCM]:[WASH]], tblPiNAnalysis512[[#Headers],[CCCM]:[WASH]], "")))</f>
        <v>CCCM
Education
Nutrition
Food Security
Health
Overarching Protection
Shelter
WASH</v>
      </c>
      <c r="AW110" s="190">
        <f>IFERROR(tblPiNAnalysis512[[#This Row],[3rd Highest Target]]/tblPiNAnalysis512[[#This Row],[Affected population projection 2026]], "")</f>
        <v>0</v>
      </c>
      <c r="AX110" s="45">
        <f>IFERROR(tblPiNAnalysis512[[#This Row],[Highest Target]]-tblPiNAnalysis512[[#This Row],[3rd Highest Target]],"")</f>
        <v>0</v>
      </c>
      <c r="AY110" s="39" t="str">
        <f>IFERROR(tblPiNAnalysis512[[#This Row],[Difference of Target between Highest and 3rd Highest]]/tblPiNAnalysis512[[#This Row],[3rd Highest Target]], "")</f>
        <v/>
      </c>
      <c r="AZ110" s="330" t="str" cm="1">
        <f t="array" ref="AZ11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0" s="300" t="str" cm="1">
        <f t="array" ref="BA11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0" s="333" t="str" cm="1">
        <f t="array" ref="BB11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0" s="276" t="str" cm="1">
        <f t="array" ref="BC11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0" s="334" t="str" cm="1">
        <f t="array" ref="BD11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0" s="277" t="e">
        <f>INDEX(tblSeverityAnalysis[Final Severity], MATCH(tblPiNAnalysis512[[#This Row],[ID]],tblSeverityAnalysis[ID], 0))</f>
        <v>#N/A</v>
      </c>
      <c r="BF110" s="61" t="e">
        <f>IF(tblPiNAnalysis512[[#This Row],[Severity]]&gt;2,tblPiNAnalysis512[[#This Row],[Highest Target]],)</f>
        <v>#N/A</v>
      </c>
      <c r="BG110" s="191"/>
      <c r="BH110" s="192"/>
      <c r="BI110" s="193">
        <f>COUNTIFS(tblPiNAnalysis512[[#This Row],[Number of missing / zero PiNs greater than threshold - Data quality]:[Manual Flag]],"Flagged")</f>
        <v>2</v>
      </c>
      <c r="BJ110" s="96" t="str">
        <f>IF(tblPiNAnalysis512[[#This Row],['# Flags]]&gt;0, "Flagged", "")</f>
        <v>Flagged</v>
      </c>
      <c r="BK110" s="326" t="e">
        <f>tblPiNAnalysis512[[#This Row],[Preliminary Target]]</f>
        <v>#N/A</v>
      </c>
      <c r="BL110" s="331">
        <v>5</v>
      </c>
    </row>
    <row r="111" spans="1:64" ht="110.7" x14ac:dyDescent="0.55000000000000004">
      <c r="A1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1" s="316" t="s">
        <v>292</v>
      </c>
      <c r="C111" s="317" t="s">
        <v>293</v>
      </c>
      <c r="D111" s="317" t="s">
        <v>298</v>
      </c>
      <c r="E111" s="105" t="s">
        <v>299</v>
      </c>
      <c r="F111" s="100"/>
      <c r="G111" s="34"/>
      <c r="H111" s="34"/>
      <c r="I111" s="97">
        <v>170865.34327385121</v>
      </c>
      <c r="J111" s="97" t="s">
        <v>413</v>
      </c>
      <c r="K111" s="318">
        <v>0</v>
      </c>
      <c r="L111" s="319">
        <v>0</v>
      </c>
      <c r="M111" s="319">
        <v>0</v>
      </c>
      <c r="N111" s="319">
        <v>0</v>
      </c>
      <c r="O111" s="319">
        <v>0</v>
      </c>
      <c r="P111" s="319">
        <v>0</v>
      </c>
      <c r="Q111" s="320">
        <v>0</v>
      </c>
      <c r="R111" s="319">
        <v>0</v>
      </c>
      <c r="S111" s="319"/>
      <c r="T111" s="319"/>
      <c r="U111" s="319"/>
      <c r="V111" s="319"/>
      <c r="W111" s="321">
        <f>IFERROR(IF(tblPiNAnalysis512[[#This Row],[CCCM]]="", "", MROUND(tblPiNAnalysis512[[#This Row],[CCCM]]/tblPiNAnalysis512[[#This Row],[Affected population projection 2026]], 0.05)), "")</f>
        <v>0</v>
      </c>
      <c r="X111" s="322">
        <f>IFERROR(IF(tblPiNAnalysis512[[#This Row],[Education]]="", "", MROUND(tblPiNAnalysis512[[#This Row],[Education]]/tblPiNAnalysis512[[#This Row],[Affected population projection 2026]], 0.05)), "")</f>
        <v>0</v>
      </c>
      <c r="Y111" s="322">
        <f>IFERROR(IF(tblPiNAnalysis512[[#This Row],[Nutrition]]="", "", MROUND(tblPiNAnalysis512[[#This Row],[Nutrition]]/tblPiNAnalysis512[[#This Row],[Affected population projection 2026]], 0.05)), "")</f>
        <v>0</v>
      </c>
      <c r="Z111" s="322">
        <f>IFERROR(IF(tblPiNAnalysis512[[#This Row],[Food Security]]="", "", MROUND(tblPiNAnalysis512[[#This Row],[Food Security]]/tblPiNAnalysis512[[#This Row],[Affected population projection 2026]], 0.05)), "")</f>
        <v>0</v>
      </c>
      <c r="AA111" s="322">
        <f>IFERROR(IF(tblPiNAnalysis512[[#This Row],[Health]]="", "", MROUND(tblPiNAnalysis512[[#This Row],[Health]]/tblPiNAnalysis512[[#This Row],[Affected population projection 2026]], 0.05)), "")</f>
        <v>0</v>
      </c>
      <c r="AB111" s="323">
        <f>IFERROR(IF(tblPiNAnalysis512[[#This Row],[Overarching Protection]]="", "", MROUND(tblPiNAnalysis512[[#This Row],[Overarching Protection]]/tblPiNAnalysis512[[#This Row],[Affected population projection 2026]], 0.05)), "")</f>
        <v>0</v>
      </c>
      <c r="AC111" s="323">
        <f>IFERROR(IF(tblPiNAnalysis512[[#This Row],[Shelter]]="", "", MROUND(tblPiNAnalysis512[[#This Row],[Shelter]]/tblPiNAnalysis512[[#This Row],[Affected population projection 2026]], 0.05)), "")</f>
        <v>0</v>
      </c>
      <c r="AD111" s="324">
        <f>IFERROR(IF(tblPiNAnalysis512[[#This Row],[WASH]]="", "", MROUND(tblPiNAnalysis512[[#This Row],[WASH]]/tblPiNAnalysis512[[#This Row],[Affected population projection 2026]], 0.05)), "")</f>
        <v>0</v>
      </c>
      <c r="AE111" s="322">
        <f>IFERROR(MROUND(tblPiNAnalysis512[[#This Row],[CP]]/tblPiNAnalysis512[[#This Row],[Affected population projection 2026]], 0.05), "")</f>
        <v>0</v>
      </c>
      <c r="AF111" s="322">
        <f>IFERROR(MROUND(tblPiNAnalysis512[[#This Row],[GBV]]/tblPiNAnalysis512[[#This Row],[Affected population projection 2026]], 0.05), "")</f>
        <v>0</v>
      </c>
      <c r="AG111" s="322">
        <f>IFERROR(MROUND(tblPiNAnalysis512[[#This Row],[Mine Action]]/tblPiNAnalysis512[[#This Row],[Affected population projection 2026]], 0.05), "")</f>
        <v>0</v>
      </c>
      <c r="AH111" s="322">
        <f>IFERROR(MROUND(tblPiNAnalysis512[[#This Row],[HLP]]/tblPiNAnalysis512[[#This Row],[Affected population projection 2026]], 0.05), "")</f>
        <v>0</v>
      </c>
      <c r="AI111" s="325">
        <f>IFERROR(LARGE(tblPiNAnalysis512[[#This Row],[CCCM]:[WASH]], 1), "")</f>
        <v>0</v>
      </c>
      <c r="AJ111" s="326" t="str" cm="1">
        <f t="array" ref="AJ111">IF(tblPiNAnalysis512[[#This Row],[Highest Target]]="", "", _xlfn.TEXTJOIN(CHAR(10), TRUE, IF(tblPiNAnalysis512[[#This Row],[Highest Target]]=tblPiNAnalysis512[[#This Row],[CCCM]:[WASH]], tblPiNAnalysis512[[#Headers],[CCCM]:[WASH]], "")))</f>
        <v>CCCM
Education
Nutrition
Food Security
Health
Overarching Protection
Shelter
WASH</v>
      </c>
      <c r="AK111" s="327">
        <f>IF(tblPiNAnalysis512[[#This Row],[Highest Target]]="", "", tblPiNAnalysis512[[#This Row],[Highest Target]]/tblPiNAnalysis512[[#This Row],[Affected population projection 2026]])</f>
        <v>0</v>
      </c>
      <c r="AL111" s="328" t="str">
        <f>IF(SUM(tblPiNAnalysis512[[#This Row],[CCCM]:[WASH]])=0, "",IF(COUNTIF(tblPiNAnalysis512[[#This Row],[CCCM]:[WASH]],"=0")+COUNTIF(tblPiNAnalysis512[[#This Row],[CCCM]:[WASH]],"")&gt;=zero_pin_thresh, "Flagged", ""))</f>
        <v/>
      </c>
      <c r="AM111" s="329" t="str">
        <f>IFERROR(IF(tblPiNAnalysis512[[#This Row],[Highest Target]]="", "", IF(tblPiNAnalysis512[[#This Row],[Highest sector(s'') Target %]]&gt;=flag_pin_perc, "Flagged", "")), "")</f>
        <v/>
      </c>
      <c r="AN111" s="330" t="str" cm="1">
        <f t="array" ref="AN111">IF(tblPiNAnalysis512[[#This Row],[Highest Target]]=0, "",  IF(OR(COUNTIF(tblPiNAnalysis512[[#This Row],[Highest sector(s)]],tblSubSectorPopulation[Sector])), "Flagged", ""))</f>
        <v/>
      </c>
      <c r="AO111" s="46" cm="1">
        <f t="array" ref="AO11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1" s="331" t="str" cm="1">
        <f t="array" ref="AP111">IF(tblPiNAnalysis512[[#This Row],[2nd Highest Target]]="", "", _xlfn.TEXTJOIN(CHAR(10), TRUE, IF(tblPiNAnalysis512[[#This Row],[2nd Highest Target]]=tblPiNAnalysis512[[#This Row],[CCCM]:[WASH]], tblPiNAnalysis512[[#Headers],[CCCM]:[WASH]], "")))</f>
        <v>CCCM
Education
Nutrition
Food Security
Health
Overarching Protection
Shelter
WASH</v>
      </c>
      <c r="AQ111" s="36">
        <f>IFERROR(tblPiNAnalysis512[[#This Row],[2nd Highest Target]]/tblPiNAnalysis512[[#This Row],[Affected population projection 2026]], "")</f>
        <v>0</v>
      </c>
      <c r="AR111" s="46">
        <f>IFERROR(tblPiNAnalysis512[[#This Row],[Highest Target]]-tblPiNAnalysis512[[#This Row],[2nd Highest Target]], "")</f>
        <v>0</v>
      </c>
      <c r="AS111" s="39" t="str">
        <f>IFERROR(((tblPiNAnalysis512[[#This Row],[Highest Target]]-tblPiNAnalysis512[[#This Row],[2nd Highest Target]])/tblPiNAnalysis512[[#This Row],[2nd Highest Target]]),"")</f>
        <v/>
      </c>
      <c r="AT111" s="39" t="str" cm="1">
        <f t="array" ref="AT11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1" s="332" cm="1">
        <f t="array" ref="AU11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1" s="190" t="str" cm="1">
        <f t="array" ref="AV111">IF(tblPiNAnalysis512[[#This Row],[3rd Highest Target]]="", "", _xlfn.TEXTJOIN(CHAR(10), TRUE, IF(tblPiNAnalysis512[[#This Row],[3rd Highest Target]]=tblPiNAnalysis512[[#This Row],[CCCM]:[WASH]], tblPiNAnalysis512[[#Headers],[CCCM]:[WASH]], "")))</f>
        <v>CCCM
Education
Nutrition
Food Security
Health
Overarching Protection
Shelter
WASH</v>
      </c>
      <c r="AW111" s="190">
        <f>IFERROR(tblPiNAnalysis512[[#This Row],[3rd Highest Target]]/tblPiNAnalysis512[[#This Row],[Affected population projection 2026]], "")</f>
        <v>0</v>
      </c>
      <c r="AX111" s="45">
        <f>IFERROR(tblPiNAnalysis512[[#This Row],[Highest Target]]-tblPiNAnalysis512[[#This Row],[3rd Highest Target]],"")</f>
        <v>0</v>
      </c>
      <c r="AY111" s="39" t="str">
        <f>IFERROR(tblPiNAnalysis512[[#This Row],[Difference of Target between Highest and 3rd Highest]]/tblPiNAnalysis512[[#This Row],[3rd Highest Target]], "")</f>
        <v/>
      </c>
      <c r="AZ111" s="330" t="str" cm="1">
        <f t="array" ref="AZ11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1" s="300" t="str" cm="1">
        <f t="array" ref="BA11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1" s="333" t="str" cm="1">
        <f t="array" ref="BB11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1" s="276" t="str" cm="1">
        <f t="array" ref="BC11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1" s="334" t="str" cm="1">
        <f t="array" ref="BD11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1" s="277" t="e">
        <f>INDEX(tblSeverityAnalysis[Final Severity], MATCH(tblPiNAnalysis512[[#This Row],[ID]],tblSeverityAnalysis[ID], 0))</f>
        <v>#N/A</v>
      </c>
      <c r="BF111" s="61" t="e">
        <f>IF(tblPiNAnalysis512[[#This Row],[Severity]]&gt;2,tblPiNAnalysis512[[#This Row],[Highest Target]],)</f>
        <v>#N/A</v>
      </c>
      <c r="BG111" s="191"/>
      <c r="BH111" s="192"/>
      <c r="BI111" s="193">
        <f>COUNTIFS(tblPiNAnalysis512[[#This Row],[Number of missing / zero PiNs greater than threshold - Data quality]:[Manual Flag]],"Flagged")</f>
        <v>2</v>
      </c>
      <c r="BJ111" s="96" t="str">
        <f>IF(tblPiNAnalysis512[[#This Row],['# Flags]]&gt;0, "Flagged", "")</f>
        <v>Flagged</v>
      </c>
      <c r="BK111" s="326" t="e">
        <f>tblPiNAnalysis512[[#This Row],[Preliminary Target]]</f>
        <v>#N/A</v>
      </c>
      <c r="BL111" s="331">
        <v>4</v>
      </c>
    </row>
    <row r="112" spans="1:64" ht="110.7" x14ac:dyDescent="0.55000000000000004">
      <c r="A1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2" s="316" t="s">
        <v>292</v>
      </c>
      <c r="C112" s="317" t="s">
        <v>293</v>
      </c>
      <c r="D112" s="317" t="s">
        <v>300</v>
      </c>
      <c r="E112" s="105" t="s">
        <v>301</v>
      </c>
      <c r="F112" s="100"/>
      <c r="G112" s="34"/>
      <c r="H112" s="34"/>
      <c r="I112" s="97">
        <v>131576.89060543224</v>
      </c>
      <c r="J112" s="97" t="s">
        <v>413</v>
      </c>
      <c r="K112" s="318">
        <v>0</v>
      </c>
      <c r="L112" s="319">
        <v>0</v>
      </c>
      <c r="M112" s="319">
        <v>0</v>
      </c>
      <c r="N112" s="319">
        <v>0</v>
      </c>
      <c r="O112" s="319">
        <v>0</v>
      </c>
      <c r="P112" s="319">
        <v>0</v>
      </c>
      <c r="Q112" s="320">
        <v>0</v>
      </c>
      <c r="R112" s="319">
        <v>0</v>
      </c>
      <c r="S112" s="319"/>
      <c r="T112" s="319"/>
      <c r="U112" s="319"/>
      <c r="V112" s="319"/>
      <c r="W112" s="321">
        <f>IFERROR(IF(tblPiNAnalysis512[[#This Row],[CCCM]]="", "", MROUND(tblPiNAnalysis512[[#This Row],[CCCM]]/tblPiNAnalysis512[[#This Row],[Affected population projection 2026]], 0.05)), "")</f>
        <v>0</v>
      </c>
      <c r="X112" s="322">
        <f>IFERROR(IF(tblPiNAnalysis512[[#This Row],[Education]]="", "", MROUND(tblPiNAnalysis512[[#This Row],[Education]]/tblPiNAnalysis512[[#This Row],[Affected population projection 2026]], 0.05)), "")</f>
        <v>0</v>
      </c>
      <c r="Y112" s="322">
        <f>IFERROR(IF(tblPiNAnalysis512[[#This Row],[Nutrition]]="", "", MROUND(tblPiNAnalysis512[[#This Row],[Nutrition]]/tblPiNAnalysis512[[#This Row],[Affected population projection 2026]], 0.05)), "")</f>
        <v>0</v>
      </c>
      <c r="Z112" s="322">
        <f>IFERROR(IF(tblPiNAnalysis512[[#This Row],[Food Security]]="", "", MROUND(tblPiNAnalysis512[[#This Row],[Food Security]]/tblPiNAnalysis512[[#This Row],[Affected population projection 2026]], 0.05)), "")</f>
        <v>0</v>
      </c>
      <c r="AA112" s="322">
        <f>IFERROR(IF(tblPiNAnalysis512[[#This Row],[Health]]="", "", MROUND(tblPiNAnalysis512[[#This Row],[Health]]/tblPiNAnalysis512[[#This Row],[Affected population projection 2026]], 0.05)), "")</f>
        <v>0</v>
      </c>
      <c r="AB112" s="323">
        <f>IFERROR(IF(tblPiNAnalysis512[[#This Row],[Overarching Protection]]="", "", MROUND(tblPiNAnalysis512[[#This Row],[Overarching Protection]]/tblPiNAnalysis512[[#This Row],[Affected population projection 2026]], 0.05)), "")</f>
        <v>0</v>
      </c>
      <c r="AC112" s="323">
        <f>IFERROR(IF(tblPiNAnalysis512[[#This Row],[Shelter]]="", "", MROUND(tblPiNAnalysis512[[#This Row],[Shelter]]/tblPiNAnalysis512[[#This Row],[Affected population projection 2026]], 0.05)), "")</f>
        <v>0</v>
      </c>
      <c r="AD112" s="324">
        <f>IFERROR(IF(tblPiNAnalysis512[[#This Row],[WASH]]="", "", MROUND(tblPiNAnalysis512[[#This Row],[WASH]]/tblPiNAnalysis512[[#This Row],[Affected population projection 2026]], 0.05)), "")</f>
        <v>0</v>
      </c>
      <c r="AE112" s="322">
        <f>IFERROR(MROUND(tblPiNAnalysis512[[#This Row],[CP]]/tblPiNAnalysis512[[#This Row],[Affected population projection 2026]], 0.05), "")</f>
        <v>0</v>
      </c>
      <c r="AF112" s="322">
        <f>IFERROR(MROUND(tblPiNAnalysis512[[#This Row],[GBV]]/tblPiNAnalysis512[[#This Row],[Affected population projection 2026]], 0.05), "")</f>
        <v>0</v>
      </c>
      <c r="AG112" s="322">
        <f>IFERROR(MROUND(tblPiNAnalysis512[[#This Row],[Mine Action]]/tblPiNAnalysis512[[#This Row],[Affected population projection 2026]], 0.05), "")</f>
        <v>0</v>
      </c>
      <c r="AH112" s="322">
        <f>IFERROR(MROUND(tblPiNAnalysis512[[#This Row],[HLP]]/tblPiNAnalysis512[[#This Row],[Affected population projection 2026]], 0.05), "")</f>
        <v>0</v>
      </c>
      <c r="AI112" s="325">
        <f>IFERROR(LARGE(tblPiNAnalysis512[[#This Row],[CCCM]:[WASH]], 1), "")</f>
        <v>0</v>
      </c>
      <c r="AJ112" s="326" t="str" cm="1">
        <f t="array" ref="AJ112">IF(tblPiNAnalysis512[[#This Row],[Highest Target]]="", "", _xlfn.TEXTJOIN(CHAR(10), TRUE, IF(tblPiNAnalysis512[[#This Row],[Highest Target]]=tblPiNAnalysis512[[#This Row],[CCCM]:[WASH]], tblPiNAnalysis512[[#Headers],[CCCM]:[WASH]], "")))</f>
        <v>CCCM
Education
Nutrition
Food Security
Health
Overarching Protection
Shelter
WASH</v>
      </c>
      <c r="AK112" s="327">
        <f>IF(tblPiNAnalysis512[[#This Row],[Highest Target]]="", "", tblPiNAnalysis512[[#This Row],[Highest Target]]/tblPiNAnalysis512[[#This Row],[Affected population projection 2026]])</f>
        <v>0</v>
      </c>
      <c r="AL112" s="328" t="str">
        <f>IF(SUM(tblPiNAnalysis512[[#This Row],[CCCM]:[WASH]])=0, "",IF(COUNTIF(tblPiNAnalysis512[[#This Row],[CCCM]:[WASH]],"=0")+COUNTIF(tblPiNAnalysis512[[#This Row],[CCCM]:[WASH]],"")&gt;=zero_pin_thresh, "Flagged", ""))</f>
        <v/>
      </c>
      <c r="AM112" s="329" t="str">
        <f>IFERROR(IF(tblPiNAnalysis512[[#This Row],[Highest Target]]="", "", IF(tblPiNAnalysis512[[#This Row],[Highest sector(s'') Target %]]&gt;=flag_pin_perc, "Flagged", "")), "")</f>
        <v/>
      </c>
      <c r="AN112" s="330" t="str" cm="1">
        <f t="array" ref="AN112">IF(tblPiNAnalysis512[[#This Row],[Highest Target]]=0, "",  IF(OR(COUNTIF(tblPiNAnalysis512[[#This Row],[Highest sector(s)]],tblSubSectorPopulation[Sector])), "Flagged", ""))</f>
        <v/>
      </c>
      <c r="AO112" s="46" cm="1">
        <f t="array" ref="AO11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2" s="331" t="str" cm="1">
        <f t="array" ref="AP112">IF(tblPiNAnalysis512[[#This Row],[2nd Highest Target]]="", "", _xlfn.TEXTJOIN(CHAR(10), TRUE, IF(tblPiNAnalysis512[[#This Row],[2nd Highest Target]]=tblPiNAnalysis512[[#This Row],[CCCM]:[WASH]], tblPiNAnalysis512[[#Headers],[CCCM]:[WASH]], "")))</f>
        <v>CCCM
Education
Nutrition
Food Security
Health
Overarching Protection
Shelter
WASH</v>
      </c>
      <c r="AQ112" s="36">
        <f>IFERROR(tblPiNAnalysis512[[#This Row],[2nd Highest Target]]/tblPiNAnalysis512[[#This Row],[Affected population projection 2026]], "")</f>
        <v>0</v>
      </c>
      <c r="AR112" s="46">
        <f>IFERROR(tblPiNAnalysis512[[#This Row],[Highest Target]]-tblPiNAnalysis512[[#This Row],[2nd Highest Target]], "")</f>
        <v>0</v>
      </c>
      <c r="AS112" s="39" t="str">
        <f>IFERROR(((tblPiNAnalysis512[[#This Row],[Highest Target]]-tblPiNAnalysis512[[#This Row],[2nd Highest Target]])/tblPiNAnalysis512[[#This Row],[2nd Highest Target]]),"")</f>
        <v/>
      </c>
      <c r="AT112" s="39" t="str" cm="1">
        <f t="array" ref="AT11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2" s="332" cm="1">
        <f t="array" ref="AU11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2" s="190" t="str" cm="1">
        <f t="array" ref="AV112">IF(tblPiNAnalysis512[[#This Row],[3rd Highest Target]]="", "", _xlfn.TEXTJOIN(CHAR(10), TRUE, IF(tblPiNAnalysis512[[#This Row],[3rd Highest Target]]=tblPiNAnalysis512[[#This Row],[CCCM]:[WASH]], tblPiNAnalysis512[[#Headers],[CCCM]:[WASH]], "")))</f>
        <v>CCCM
Education
Nutrition
Food Security
Health
Overarching Protection
Shelter
WASH</v>
      </c>
      <c r="AW112" s="190">
        <f>IFERROR(tblPiNAnalysis512[[#This Row],[3rd Highest Target]]/tblPiNAnalysis512[[#This Row],[Affected population projection 2026]], "")</f>
        <v>0</v>
      </c>
      <c r="AX112" s="45">
        <f>IFERROR(tblPiNAnalysis512[[#This Row],[Highest Target]]-tblPiNAnalysis512[[#This Row],[3rd Highest Target]],"")</f>
        <v>0</v>
      </c>
      <c r="AY112" s="39" t="str">
        <f>IFERROR(tblPiNAnalysis512[[#This Row],[Difference of Target between Highest and 3rd Highest]]/tblPiNAnalysis512[[#This Row],[3rd Highest Target]], "")</f>
        <v/>
      </c>
      <c r="AZ112" s="330" t="str" cm="1">
        <f t="array" ref="AZ11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2" s="300" t="str" cm="1">
        <f t="array" ref="BA11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2" s="333" t="str" cm="1">
        <f t="array" ref="BB11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2" s="276" t="str" cm="1">
        <f t="array" ref="BC11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2" s="334" t="str" cm="1">
        <f t="array" ref="BD11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2" s="277" t="e">
        <f>INDEX(tblSeverityAnalysis[Final Severity], MATCH(tblPiNAnalysis512[[#This Row],[ID]],tblSeverityAnalysis[ID], 0))</f>
        <v>#N/A</v>
      </c>
      <c r="BF112" s="61" t="e">
        <f>IF(tblPiNAnalysis512[[#This Row],[Severity]]&gt;2,tblPiNAnalysis512[[#This Row],[Highest Target]],)</f>
        <v>#N/A</v>
      </c>
      <c r="BG112" s="191"/>
      <c r="BH112" s="192"/>
      <c r="BI112" s="193">
        <f>COUNTIFS(tblPiNAnalysis512[[#This Row],[Number of missing / zero PiNs greater than threshold - Data quality]:[Manual Flag]],"Flagged")</f>
        <v>2</v>
      </c>
      <c r="BJ112" s="96" t="str">
        <f>IF(tblPiNAnalysis512[[#This Row],['# Flags]]&gt;0, "Flagged", "")</f>
        <v>Flagged</v>
      </c>
      <c r="BK112" s="326" t="e">
        <f>tblPiNAnalysis512[[#This Row],[Preliminary Target]]</f>
        <v>#N/A</v>
      </c>
      <c r="BL112" s="331">
        <v>4</v>
      </c>
    </row>
    <row r="113" spans="1:64" x14ac:dyDescent="0.55000000000000004">
      <c r="A1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3" s="316" t="s">
        <v>292</v>
      </c>
      <c r="C113" s="317" t="s">
        <v>293</v>
      </c>
      <c r="D113" s="317" t="s">
        <v>302</v>
      </c>
      <c r="E113" s="105" t="s">
        <v>303</v>
      </c>
      <c r="F113" s="100"/>
      <c r="G113" s="34"/>
      <c r="H113" s="34"/>
      <c r="I113" s="97">
        <v>38561.747092505328</v>
      </c>
      <c r="J113" s="97" t="s">
        <v>413</v>
      </c>
      <c r="K113" s="318"/>
      <c r="L113" s="319"/>
      <c r="M113" s="319"/>
      <c r="N113" s="319"/>
      <c r="O113" s="319"/>
      <c r="P113" s="319"/>
      <c r="Q113" s="320"/>
      <c r="R113" s="319"/>
      <c r="S113" s="319"/>
      <c r="T113" s="319"/>
      <c r="U113" s="319"/>
      <c r="V113" s="319"/>
      <c r="W113" s="321" t="str">
        <f>IFERROR(IF(tblPiNAnalysis512[[#This Row],[CCCM]]="", "", MROUND(tblPiNAnalysis512[[#This Row],[CCCM]]/tblPiNAnalysis512[[#This Row],[Affected population projection 2026]], 0.05)), "")</f>
        <v/>
      </c>
      <c r="X113" s="322" t="str">
        <f>IFERROR(IF(tblPiNAnalysis512[[#This Row],[Education]]="", "", MROUND(tblPiNAnalysis512[[#This Row],[Education]]/tblPiNAnalysis512[[#This Row],[Affected population projection 2026]], 0.05)), "")</f>
        <v/>
      </c>
      <c r="Y113" s="322" t="str">
        <f>IFERROR(IF(tblPiNAnalysis512[[#This Row],[Nutrition]]="", "", MROUND(tblPiNAnalysis512[[#This Row],[Nutrition]]/tblPiNAnalysis512[[#This Row],[Affected population projection 2026]], 0.05)), "")</f>
        <v/>
      </c>
      <c r="Z113" s="322" t="str">
        <f>IFERROR(IF(tblPiNAnalysis512[[#This Row],[Food Security]]="", "", MROUND(tblPiNAnalysis512[[#This Row],[Food Security]]/tblPiNAnalysis512[[#This Row],[Affected population projection 2026]], 0.05)), "")</f>
        <v/>
      </c>
      <c r="AA113" s="322" t="str">
        <f>IFERROR(IF(tblPiNAnalysis512[[#This Row],[Health]]="", "", MROUND(tblPiNAnalysis512[[#This Row],[Health]]/tblPiNAnalysis512[[#This Row],[Affected population projection 2026]], 0.05)), "")</f>
        <v/>
      </c>
      <c r="AB113" s="323" t="str">
        <f>IFERROR(IF(tblPiNAnalysis512[[#This Row],[Overarching Protection]]="", "", MROUND(tblPiNAnalysis512[[#This Row],[Overarching Protection]]/tblPiNAnalysis512[[#This Row],[Affected population projection 2026]], 0.05)), "")</f>
        <v/>
      </c>
      <c r="AC113" s="323" t="str">
        <f>IFERROR(IF(tblPiNAnalysis512[[#This Row],[Shelter]]="", "", MROUND(tblPiNAnalysis512[[#This Row],[Shelter]]/tblPiNAnalysis512[[#This Row],[Affected population projection 2026]], 0.05)), "")</f>
        <v/>
      </c>
      <c r="AD113" s="324" t="str">
        <f>IFERROR(IF(tblPiNAnalysis512[[#This Row],[WASH]]="", "", MROUND(tblPiNAnalysis512[[#This Row],[WASH]]/tblPiNAnalysis512[[#This Row],[Affected population projection 2026]], 0.05)), "")</f>
        <v/>
      </c>
      <c r="AE113" s="322">
        <f>IFERROR(MROUND(tblPiNAnalysis512[[#This Row],[CP]]/tblPiNAnalysis512[[#This Row],[Affected population projection 2026]], 0.05), "")</f>
        <v>0</v>
      </c>
      <c r="AF113" s="322">
        <f>IFERROR(MROUND(tblPiNAnalysis512[[#This Row],[GBV]]/tblPiNAnalysis512[[#This Row],[Affected population projection 2026]], 0.05), "")</f>
        <v>0</v>
      </c>
      <c r="AG113" s="322">
        <f>IFERROR(MROUND(tblPiNAnalysis512[[#This Row],[Mine Action]]/tblPiNAnalysis512[[#This Row],[Affected population projection 2026]], 0.05), "")</f>
        <v>0</v>
      </c>
      <c r="AH113" s="322">
        <f>IFERROR(MROUND(tblPiNAnalysis512[[#This Row],[HLP]]/tblPiNAnalysis512[[#This Row],[Affected population projection 2026]], 0.05), "")</f>
        <v>0</v>
      </c>
      <c r="AI113" s="325" t="str">
        <f>IFERROR(LARGE(tblPiNAnalysis512[[#This Row],[CCCM]:[WASH]], 1), "")</f>
        <v/>
      </c>
      <c r="AJ113" s="326" t="str" cm="1">
        <f t="array" ref="AJ113">IF(tblPiNAnalysis512[[#This Row],[Highest Target]]="", "", _xlfn.TEXTJOIN(CHAR(10), TRUE, IF(tblPiNAnalysis512[[#This Row],[Highest Target]]=tblPiNAnalysis512[[#This Row],[CCCM]:[WASH]], tblPiNAnalysis512[[#Headers],[CCCM]:[WASH]], "")))</f>
        <v/>
      </c>
      <c r="AK113" s="327" t="str">
        <f>IF(tblPiNAnalysis512[[#This Row],[Highest Target]]="", "", tblPiNAnalysis512[[#This Row],[Highest Target]]/tblPiNAnalysis512[[#This Row],[Affected population projection 2026]])</f>
        <v/>
      </c>
      <c r="AL113" s="328" t="str">
        <f>IF(SUM(tblPiNAnalysis512[[#This Row],[CCCM]:[WASH]])=0, "",IF(COUNTIF(tblPiNAnalysis512[[#This Row],[CCCM]:[WASH]],"=0")+COUNTIF(tblPiNAnalysis512[[#This Row],[CCCM]:[WASH]],"")&gt;=zero_pin_thresh, "Flagged", ""))</f>
        <v/>
      </c>
      <c r="AM113" s="329" t="str">
        <f>IFERROR(IF(tblPiNAnalysis512[[#This Row],[Highest Target]]="", "", IF(tblPiNAnalysis512[[#This Row],[Highest sector(s'') Target %]]&gt;=flag_pin_perc, "Flagged", "")), "")</f>
        <v/>
      </c>
      <c r="AN113" s="330" t="str" cm="1">
        <f t="array" ref="AN113">IF(tblPiNAnalysis512[[#This Row],[Highest Target]]=0, "",  IF(OR(COUNTIF(tblPiNAnalysis512[[#This Row],[Highest sector(s)]],tblSubSectorPopulation[Sector])), "Flagged", ""))</f>
        <v/>
      </c>
      <c r="AO113" s="46" t="str" cm="1">
        <f t="array" ref="AO11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13" s="331" t="str" cm="1">
        <f t="array" ref="AP113">IF(tblPiNAnalysis512[[#This Row],[2nd Highest Target]]="", "", _xlfn.TEXTJOIN(CHAR(10), TRUE, IF(tblPiNAnalysis512[[#This Row],[2nd Highest Target]]=tblPiNAnalysis512[[#This Row],[CCCM]:[WASH]], tblPiNAnalysis512[[#Headers],[CCCM]:[WASH]], "")))</f>
        <v/>
      </c>
      <c r="AQ113" s="36" t="str">
        <f>IFERROR(tblPiNAnalysis512[[#This Row],[2nd Highest Target]]/tblPiNAnalysis512[[#This Row],[Affected population projection 2026]], "")</f>
        <v/>
      </c>
      <c r="AR113" s="46" t="str">
        <f>IFERROR(tblPiNAnalysis512[[#This Row],[Highest Target]]-tblPiNAnalysis512[[#This Row],[2nd Highest Target]], "")</f>
        <v/>
      </c>
      <c r="AS113" s="39" t="str">
        <f>IFERROR(((tblPiNAnalysis512[[#This Row],[Highest Target]]-tblPiNAnalysis512[[#This Row],[2nd Highest Target]])/tblPiNAnalysis512[[#This Row],[2nd Highest Target]]),"")</f>
        <v/>
      </c>
      <c r="AT113" s="39" t="str" cm="1">
        <f t="array" ref="AT11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3" s="332" t="str" cm="1">
        <f t="array" ref="AU11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13" s="190" t="str" cm="1">
        <f t="array" ref="AV113">IF(tblPiNAnalysis512[[#This Row],[3rd Highest Target]]="", "", _xlfn.TEXTJOIN(CHAR(10), TRUE, IF(tblPiNAnalysis512[[#This Row],[3rd Highest Target]]=tblPiNAnalysis512[[#This Row],[CCCM]:[WASH]], tblPiNAnalysis512[[#Headers],[CCCM]:[WASH]], "")))</f>
        <v/>
      </c>
      <c r="AW113" s="190" t="str">
        <f>IFERROR(tblPiNAnalysis512[[#This Row],[3rd Highest Target]]/tblPiNAnalysis512[[#This Row],[Affected population projection 2026]], "")</f>
        <v/>
      </c>
      <c r="AX113" s="45" t="str">
        <f>IFERROR(tblPiNAnalysis512[[#This Row],[Highest Target]]-tblPiNAnalysis512[[#This Row],[3rd Highest Target]],"")</f>
        <v/>
      </c>
      <c r="AY113" s="39" t="str">
        <f>IFERROR(tblPiNAnalysis512[[#This Row],[Difference of Target between Highest and 3rd Highest]]/tblPiNAnalysis512[[#This Row],[3rd Highest Target]], "")</f>
        <v/>
      </c>
      <c r="AZ113" s="330" t="str" cm="1">
        <f t="array" ref="AZ11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3" s="300" t="str" cm="1">
        <f t="array" ref="BA11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3" s="333" t="str" cm="1">
        <f t="array" ref="BB11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3" s="276" t="str" cm="1">
        <f t="array" ref="BC11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3" s="334" t="str" cm="1">
        <f t="array" ref="BD11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3" s="277" t="e">
        <f>INDEX(tblSeverityAnalysis[Final Severity], MATCH(tblPiNAnalysis512[[#This Row],[ID]],tblSeverityAnalysis[ID], 0))</f>
        <v>#N/A</v>
      </c>
      <c r="BF113" s="61" t="e">
        <f>IF(tblPiNAnalysis512[[#This Row],[Severity]]&gt;2,tblPiNAnalysis512[[#This Row],[Highest Target]],)</f>
        <v>#N/A</v>
      </c>
      <c r="BG113" s="191"/>
      <c r="BH113" s="192"/>
      <c r="BI113" s="193">
        <f>COUNTIFS(tblPiNAnalysis512[[#This Row],[Number of missing / zero PiNs greater than threshold - Data quality]:[Manual Flag]],"Flagged")</f>
        <v>2</v>
      </c>
      <c r="BJ113" s="96" t="str">
        <f>IF(tblPiNAnalysis512[[#This Row],['# Flags]]&gt;0, "Flagged", "")</f>
        <v>Flagged</v>
      </c>
      <c r="BK113" s="326" t="e">
        <f>tblPiNAnalysis512[[#This Row],[Preliminary Target]]</f>
        <v>#N/A</v>
      </c>
      <c r="BL113" s="331">
        <v>3</v>
      </c>
    </row>
    <row r="114" spans="1:64" ht="110.7" x14ac:dyDescent="0.55000000000000004">
      <c r="A1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4" s="316" t="s">
        <v>292</v>
      </c>
      <c r="C114" s="317" t="s">
        <v>293</v>
      </c>
      <c r="D114" s="317" t="s">
        <v>304</v>
      </c>
      <c r="E114" s="105" t="s">
        <v>305</v>
      </c>
      <c r="F114" s="100"/>
      <c r="G114" s="34"/>
      <c r="H114" s="34"/>
      <c r="I114" s="97">
        <v>62742.537670413069</v>
      </c>
      <c r="J114" s="97" t="s">
        <v>413</v>
      </c>
      <c r="K114" s="318">
        <v>0</v>
      </c>
      <c r="L114" s="319">
        <v>0</v>
      </c>
      <c r="M114" s="319">
        <v>0</v>
      </c>
      <c r="N114" s="319">
        <v>0</v>
      </c>
      <c r="O114" s="319">
        <v>0</v>
      </c>
      <c r="P114" s="319">
        <v>0</v>
      </c>
      <c r="Q114" s="320">
        <v>0</v>
      </c>
      <c r="R114" s="319">
        <v>0</v>
      </c>
      <c r="S114" s="319"/>
      <c r="T114" s="319"/>
      <c r="U114" s="319"/>
      <c r="V114" s="319"/>
      <c r="W114" s="321">
        <f>IFERROR(IF(tblPiNAnalysis512[[#This Row],[CCCM]]="", "", MROUND(tblPiNAnalysis512[[#This Row],[CCCM]]/tblPiNAnalysis512[[#This Row],[Affected population projection 2026]], 0.05)), "")</f>
        <v>0</v>
      </c>
      <c r="X114" s="322">
        <f>IFERROR(IF(tblPiNAnalysis512[[#This Row],[Education]]="", "", MROUND(tblPiNAnalysis512[[#This Row],[Education]]/tblPiNAnalysis512[[#This Row],[Affected population projection 2026]], 0.05)), "")</f>
        <v>0</v>
      </c>
      <c r="Y114" s="322">
        <f>IFERROR(IF(tblPiNAnalysis512[[#This Row],[Nutrition]]="", "", MROUND(tblPiNAnalysis512[[#This Row],[Nutrition]]/tblPiNAnalysis512[[#This Row],[Affected population projection 2026]], 0.05)), "")</f>
        <v>0</v>
      </c>
      <c r="Z114" s="322">
        <f>IFERROR(IF(tblPiNAnalysis512[[#This Row],[Food Security]]="", "", MROUND(tblPiNAnalysis512[[#This Row],[Food Security]]/tblPiNAnalysis512[[#This Row],[Affected population projection 2026]], 0.05)), "")</f>
        <v>0</v>
      </c>
      <c r="AA114" s="322">
        <f>IFERROR(IF(tblPiNAnalysis512[[#This Row],[Health]]="", "", MROUND(tblPiNAnalysis512[[#This Row],[Health]]/tblPiNAnalysis512[[#This Row],[Affected population projection 2026]], 0.05)), "")</f>
        <v>0</v>
      </c>
      <c r="AB114" s="323">
        <f>IFERROR(IF(tblPiNAnalysis512[[#This Row],[Overarching Protection]]="", "", MROUND(tblPiNAnalysis512[[#This Row],[Overarching Protection]]/tblPiNAnalysis512[[#This Row],[Affected population projection 2026]], 0.05)), "")</f>
        <v>0</v>
      </c>
      <c r="AC114" s="323">
        <f>IFERROR(IF(tblPiNAnalysis512[[#This Row],[Shelter]]="", "", MROUND(tblPiNAnalysis512[[#This Row],[Shelter]]/tblPiNAnalysis512[[#This Row],[Affected population projection 2026]], 0.05)), "")</f>
        <v>0</v>
      </c>
      <c r="AD114" s="324">
        <f>IFERROR(IF(tblPiNAnalysis512[[#This Row],[WASH]]="", "", MROUND(tblPiNAnalysis512[[#This Row],[WASH]]/tblPiNAnalysis512[[#This Row],[Affected population projection 2026]], 0.05)), "")</f>
        <v>0</v>
      </c>
      <c r="AE114" s="322">
        <f>IFERROR(MROUND(tblPiNAnalysis512[[#This Row],[CP]]/tblPiNAnalysis512[[#This Row],[Affected population projection 2026]], 0.05), "")</f>
        <v>0</v>
      </c>
      <c r="AF114" s="322">
        <f>IFERROR(MROUND(tblPiNAnalysis512[[#This Row],[GBV]]/tblPiNAnalysis512[[#This Row],[Affected population projection 2026]], 0.05), "")</f>
        <v>0</v>
      </c>
      <c r="AG114" s="322">
        <f>IFERROR(MROUND(tblPiNAnalysis512[[#This Row],[Mine Action]]/tblPiNAnalysis512[[#This Row],[Affected population projection 2026]], 0.05), "")</f>
        <v>0</v>
      </c>
      <c r="AH114" s="322">
        <f>IFERROR(MROUND(tblPiNAnalysis512[[#This Row],[HLP]]/tblPiNAnalysis512[[#This Row],[Affected population projection 2026]], 0.05), "")</f>
        <v>0</v>
      </c>
      <c r="AI114" s="325">
        <f>IFERROR(LARGE(tblPiNAnalysis512[[#This Row],[CCCM]:[WASH]], 1), "")</f>
        <v>0</v>
      </c>
      <c r="AJ114" s="326" t="str" cm="1">
        <f t="array" ref="AJ114">IF(tblPiNAnalysis512[[#This Row],[Highest Target]]="", "", _xlfn.TEXTJOIN(CHAR(10), TRUE, IF(tblPiNAnalysis512[[#This Row],[Highest Target]]=tblPiNAnalysis512[[#This Row],[CCCM]:[WASH]], tblPiNAnalysis512[[#Headers],[CCCM]:[WASH]], "")))</f>
        <v>CCCM
Education
Nutrition
Food Security
Health
Overarching Protection
Shelter
WASH</v>
      </c>
      <c r="AK114" s="327">
        <f>IF(tblPiNAnalysis512[[#This Row],[Highest Target]]="", "", tblPiNAnalysis512[[#This Row],[Highest Target]]/tblPiNAnalysis512[[#This Row],[Affected population projection 2026]])</f>
        <v>0</v>
      </c>
      <c r="AL114" s="328" t="str">
        <f>IF(SUM(tblPiNAnalysis512[[#This Row],[CCCM]:[WASH]])=0, "",IF(COUNTIF(tblPiNAnalysis512[[#This Row],[CCCM]:[WASH]],"=0")+COUNTIF(tblPiNAnalysis512[[#This Row],[CCCM]:[WASH]],"")&gt;=zero_pin_thresh, "Flagged", ""))</f>
        <v/>
      </c>
      <c r="AM114" s="329" t="str">
        <f>IFERROR(IF(tblPiNAnalysis512[[#This Row],[Highest Target]]="", "", IF(tblPiNAnalysis512[[#This Row],[Highest sector(s'') Target %]]&gt;=flag_pin_perc, "Flagged", "")), "")</f>
        <v/>
      </c>
      <c r="AN114" s="330" t="str" cm="1">
        <f t="array" ref="AN114">IF(tblPiNAnalysis512[[#This Row],[Highest Target]]=0, "",  IF(OR(COUNTIF(tblPiNAnalysis512[[#This Row],[Highest sector(s)]],tblSubSectorPopulation[Sector])), "Flagged", ""))</f>
        <v/>
      </c>
      <c r="AO114" s="46" cm="1">
        <f t="array" ref="AO11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4" s="331" t="str" cm="1">
        <f t="array" ref="AP114">IF(tblPiNAnalysis512[[#This Row],[2nd Highest Target]]="", "", _xlfn.TEXTJOIN(CHAR(10), TRUE, IF(tblPiNAnalysis512[[#This Row],[2nd Highest Target]]=tblPiNAnalysis512[[#This Row],[CCCM]:[WASH]], tblPiNAnalysis512[[#Headers],[CCCM]:[WASH]], "")))</f>
        <v>CCCM
Education
Nutrition
Food Security
Health
Overarching Protection
Shelter
WASH</v>
      </c>
      <c r="AQ114" s="36">
        <f>IFERROR(tblPiNAnalysis512[[#This Row],[2nd Highest Target]]/tblPiNAnalysis512[[#This Row],[Affected population projection 2026]], "")</f>
        <v>0</v>
      </c>
      <c r="AR114" s="46">
        <f>IFERROR(tblPiNAnalysis512[[#This Row],[Highest Target]]-tblPiNAnalysis512[[#This Row],[2nd Highest Target]], "")</f>
        <v>0</v>
      </c>
      <c r="AS114" s="39" t="str">
        <f>IFERROR(((tblPiNAnalysis512[[#This Row],[Highest Target]]-tblPiNAnalysis512[[#This Row],[2nd Highest Target]])/tblPiNAnalysis512[[#This Row],[2nd Highest Target]]),"")</f>
        <v/>
      </c>
      <c r="AT114" s="39" t="str" cm="1">
        <f t="array" ref="AT11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4" s="332" cm="1">
        <f t="array" ref="AU11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4" s="190" t="str" cm="1">
        <f t="array" ref="AV114">IF(tblPiNAnalysis512[[#This Row],[3rd Highest Target]]="", "", _xlfn.TEXTJOIN(CHAR(10), TRUE, IF(tblPiNAnalysis512[[#This Row],[3rd Highest Target]]=tblPiNAnalysis512[[#This Row],[CCCM]:[WASH]], tblPiNAnalysis512[[#Headers],[CCCM]:[WASH]], "")))</f>
        <v>CCCM
Education
Nutrition
Food Security
Health
Overarching Protection
Shelter
WASH</v>
      </c>
      <c r="AW114" s="190">
        <f>IFERROR(tblPiNAnalysis512[[#This Row],[3rd Highest Target]]/tblPiNAnalysis512[[#This Row],[Affected population projection 2026]], "")</f>
        <v>0</v>
      </c>
      <c r="AX114" s="45">
        <f>IFERROR(tblPiNAnalysis512[[#This Row],[Highest Target]]-tblPiNAnalysis512[[#This Row],[3rd Highest Target]],"")</f>
        <v>0</v>
      </c>
      <c r="AY114" s="39" t="str">
        <f>IFERROR(tblPiNAnalysis512[[#This Row],[Difference of Target between Highest and 3rd Highest]]/tblPiNAnalysis512[[#This Row],[3rd Highest Target]], "")</f>
        <v/>
      </c>
      <c r="AZ114" s="330" t="str" cm="1">
        <f t="array" ref="AZ11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4" s="300" t="str" cm="1">
        <f t="array" ref="BA11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4" s="333" t="str" cm="1">
        <f t="array" ref="BB11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4" s="276" t="str" cm="1">
        <f t="array" ref="BC11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4" s="334" t="str" cm="1">
        <f t="array" ref="BD11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4" s="277" t="e">
        <f>INDEX(tblSeverityAnalysis[Final Severity], MATCH(tblPiNAnalysis512[[#This Row],[ID]],tblSeverityAnalysis[ID], 0))</f>
        <v>#N/A</v>
      </c>
      <c r="BF114" s="61" t="e">
        <f>IF(tblPiNAnalysis512[[#This Row],[Severity]]&gt;2,tblPiNAnalysis512[[#This Row],[Highest Target]],)</f>
        <v>#N/A</v>
      </c>
      <c r="BG114" s="191"/>
      <c r="BH114" s="192"/>
      <c r="BI114" s="193">
        <f>COUNTIFS(tblPiNAnalysis512[[#This Row],[Number of missing / zero PiNs greater than threshold - Data quality]:[Manual Flag]],"Flagged")</f>
        <v>2</v>
      </c>
      <c r="BJ114" s="96" t="str">
        <f>IF(tblPiNAnalysis512[[#This Row],['# Flags]]&gt;0, "Flagged", "")</f>
        <v>Flagged</v>
      </c>
      <c r="BK114" s="326" t="e">
        <f>tblPiNAnalysis512[[#This Row],[Preliminary Target]]</f>
        <v>#N/A</v>
      </c>
      <c r="BL114" s="331">
        <v>5</v>
      </c>
    </row>
    <row r="115" spans="1:64" x14ac:dyDescent="0.55000000000000004">
      <c r="A1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5" s="316" t="s">
        <v>292</v>
      </c>
      <c r="C115" s="317" t="s">
        <v>293</v>
      </c>
      <c r="D115" s="317" t="s">
        <v>306</v>
      </c>
      <c r="E115" s="105" t="s">
        <v>307</v>
      </c>
      <c r="F115" s="100"/>
      <c r="G115" s="34"/>
      <c r="H115" s="34"/>
      <c r="I115" s="97">
        <v>110327.5657380367</v>
      </c>
      <c r="J115" s="97" t="s">
        <v>413</v>
      </c>
      <c r="K115" s="318"/>
      <c r="L115" s="319"/>
      <c r="M115" s="319"/>
      <c r="N115" s="319"/>
      <c r="O115" s="319"/>
      <c r="P115" s="319"/>
      <c r="Q115" s="320"/>
      <c r="R115" s="319"/>
      <c r="S115" s="319"/>
      <c r="T115" s="319"/>
      <c r="U115" s="319"/>
      <c r="V115" s="319"/>
      <c r="W115" s="321" t="str">
        <f>IFERROR(IF(tblPiNAnalysis512[[#This Row],[CCCM]]="", "", MROUND(tblPiNAnalysis512[[#This Row],[CCCM]]/tblPiNAnalysis512[[#This Row],[Affected population projection 2026]], 0.05)), "")</f>
        <v/>
      </c>
      <c r="X115" s="322" t="str">
        <f>IFERROR(IF(tblPiNAnalysis512[[#This Row],[Education]]="", "", MROUND(tblPiNAnalysis512[[#This Row],[Education]]/tblPiNAnalysis512[[#This Row],[Affected population projection 2026]], 0.05)), "")</f>
        <v/>
      </c>
      <c r="Y115" s="322" t="str">
        <f>IFERROR(IF(tblPiNAnalysis512[[#This Row],[Nutrition]]="", "", MROUND(tblPiNAnalysis512[[#This Row],[Nutrition]]/tblPiNAnalysis512[[#This Row],[Affected population projection 2026]], 0.05)), "")</f>
        <v/>
      </c>
      <c r="Z115" s="322" t="str">
        <f>IFERROR(IF(tblPiNAnalysis512[[#This Row],[Food Security]]="", "", MROUND(tblPiNAnalysis512[[#This Row],[Food Security]]/tblPiNAnalysis512[[#This Row],[Affected population projection 2026]], 0.05)), "")</f>
        <v/>
      </c>
      <c r="AA115" s="322" t="str">
        <f>IFERROR(IF(tblPiNAnalysis512[[#This Row],[Health]]="", "", MROUND(tblPiNAnalysis512[[#This Row],[Health]]/tblPiNAnalysis512[[#This Row],[Affected population projection 2026]], 0.05)), "")</f>
        <v/>
      </c>
      <c r="AB115" s="323" t="str">
        <f>IFERROR(IF(tblPiNAnalysis512[[#This Row],[Overarching Protection]]="", "", MROUND(tblPiNAnalysis512[[#This Row],[Overarching Protection]]/tblPiNAnalysis512[[#This Row],[Affected population projection 2026]], 0.05)), "")</f>
        <v/>
      </c>
      <c r="AC115" s="323" t="str">
        <f>IFERROR(IF(tblPiNAnalysis512[[#This Row],[Shelter]]="", "", MROUND(tblPiNAnalysis512[[#This Row],[Shelter]]/tblPiNAnalysis512[[#This Row],[Affected population projection 2026]], 0.05)), "")</f>
        <v/>
      </c>
      <c r="AD115" s="324" t="str">
        <f>IFERROR(IF(tblPiNAnalysis512[[#This Row],[WASH]]="", "", MROUND(tblPiNAnalysis512[[#This Row],[WASH]]/tblPiNAnalysis512[[#This Row],[Affected population projection 2026]], 0.05)), "")</f>
        <v/>
      </c>
      <c r="AE115" s="322">
        <f>IFERROR(MROUND(tblPiNAnalysis512[[#This Row],[CP]]/tblPiNAnalysis512[[#This Row],[Affected population projection 2026]], 0.05), "")</f>
        <v>0</v>
      </c>
      <c r="AF115" s="322">
        <f>IFERROR(MROUND(tblPiNAnalysis512[[#This Row],[GBV]]/tblPiNAnalysis512[[#This Row],[Affected population projection 2026]], 0.05), "")</f>
        <v>0</v>
      </c>
      <c r="AG115" s="322">
        <f>IFERROR(MROUND(tblPiNAnalysis512[[#This Row],[Mine Action]]/tblPiNAnalysis512[[#This Row],[Affected population projection 2026]], 0.05), "")</f>
        <v>0</v>
      </c>
      <c r="AH115" s="322">
        <f>IFERROR(MROUND(tblPiNAnalysis512[[#This Row],[HLP]]/tblPiNAnalysis512[[#This Row],[Affected population projection 2026]], 0.05), "")</f>
        <v>0</v>
      </c>
      <c r="AI115" s="325" t="str">
        <f>IFERROR(LARGE(tblPiNAnalysis512[[#This Row],[CCCM]:[WASH]], 1), "")</f>
        <v/>
      </c>
      <c r="AJ115" s="326" t="str" cm="1">
        <f t="array" ref="AJ115">IF(tblPiNAnalysis512[[#This Row],[Highest Target]]="", "", _xlfn.TEXTJOIN(CHAR(10), TRUE, IF(tblPiNAnalysis512[[#This Row],[Highest Target]]=tblPiNAnalysis512[[#This Row],[CCCM]:[WASH]], tblPiNAnalysis512[[#Headers],[CCCM]:[WASH]], "")))</f>
        <v/>
      </c>
      <c r="AK115" s="327" t="str">
        <f>IF(tblPiNAnalysis512[[#This Row],[Highest Target]]="", "", tblPiNAnalysis512[[#This Row],[Highest Target]]/tblPiNAnalysis512[[#This Row],[Affected population projection 2026]])</f>
        <v/>
      </c>
      <c r="AL115" s="328" t="str">
        <f>IF(SUM(tblPiNAnalysis512[[#This Row],[CCCM]:[WASH]])=0, "",IF(COUNTIF(tblPiNAnalysis512[[#This Row],[CCCM]:[WASH]],"=0")+COUNTIF(tblPiNAnalysis512[[#This Row],[CCCM]:[WASH]],"")&gt;=zero_pin_thresh, "Flagged", ""))</f>
        <v/>
      </c>
      <c r="AM115" s="329" t="str">
        <f>IFERROR(IF(tblPiNAnalysis512[[#This Row],[Highest Target]]="", "", IF(tblPiNAnalysis512[[#This Row],[Highest sector(s'') Target %]]&gt;=flag_pin_perc, "Flagged", "")), "")</f>
        <v/>
      </c>
      <c r="AN115" s="330" t="str" cm="1">
        <f t="array" ref="AN115">IF(tblPiNAnalysis512[[#This Row],[Highest Target]]=0, "",  IF(OR(COUNTIF(tblPiNAnalysis512[[#This Row],[Highest sector(s)]],tblSubSectorPopulation[Sector])), "Flagged", ""))</f>
        <v/>
      </c>
      <c r="AO115" s="46" t="str" cm="1">
        <f t="array" ref="AO11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15" s="331" t="str" cm="1">
        <f t="array" ref="AP115">IF(tblPiNAnalysis512[[#This Row],[2nd Highest Target]]="", "", _xlfn.TEXTJOIN(CHAR(10), TRUE, IF(tblPiNAnalysis512[[#This Row],[2nd Highest Target]]=tblPiNAnalysis512[[#This Row],[CCCM]:[WASH]], tblPiNAnalysis512[[#Headers],[CCCM]:[WASH]], "")))</f>
        <v/>
      </c>
      <c r="AQ115" s="36" t="str">
        <f>IFERROR(tblPiNAnalysis512[[#This Row],[2nd Highest Target]]/tblPiNAnalysis512[[#This Row],[Affected population projection 2026]], "")</f>
        <v/>
      </c>
      <c r="AR115" s="46" t="str">
        <f>IFERROR(tblPiNAnalysis512[[#This Row],[Highest Target]]-tblPiNAnalysis512[[#This Row],[2nd Highest Target]], "")</f>
        <v/>
      </c>
      <c r="AS115" s="39" t="str">
        <f>IFERROR(((tblPiNAnalysis512[[#This Row],[Highest Target]]-tblPiNAnalysis512[[#This Row],[2nd Highest Target]])/tblPiNAnalysis512[[#This Row],[2nd Highest Target]]),"")</f>
        <v/>
      </c>
      <c r="AT115" s="39" t="str" cm="1">
        <f t="array" ref="AT11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5" s="332" t="str" cm="1">
        <f t="array" ref="AU11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15" s="190" t="str" cm="1">
        <f t="array" ref="AV115">IF(tblPiNAnalysis512[[#This Row],[3rd Highest Target]]="", "", _xlfn.TEXTJOIN(CHAR(10), TRUE, IF(tblPiNAnalysis512[[#This Row],[3rd Highest Target]]=tblPiNAnalysis512[[#This Row],[CCCM]:[WASH]], tblPiNAnalysis512[[#Headers],[CCCM]:[WASH]], "")))</f>
        <v/>
      </c>
      <c r="AW115" s="190" t="str">
        <f>IFERROR(tblPiNAnalysis512[[#This Row],[3rd Highest Target]]/tblPiNAnalysis512[[#This Row],[Affected population projection 2026]], "")</f>
        <v/>
      </c>
      <c r="AX115" s="45" t="str">
        <f>IFERROR(tblPiNAnalysis512[[#This Row],[Highest Target]]-tblPiNAnalysis512[[#This Row],[3rd Highest Target]],"")</f>
        <v/>
      </c>
      <c r="AY115" s="39" t="str">
        <f>IFERROR(tblPiNAnalysis512[[#This Row],[Difference of Target between Highest and 3rd Highest]]/tblPiNAnalysis512[[#This Row],[3rd Highest Target]], "")</f>
        <v/>
      </c>
      <c r="AZ115" s="330" t="str" cm="1">
        <f t="array" ref="AZ11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5" s="300" t="str" cm="1">
        <f t="array" ref="BA11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5" s="333" t="str" cm="1">
        <f t="array" ref="BB11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5" s="276" t="str" cm="1">
        <f t="array" ref="BC11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5" s="334" t="str" cm="1">
        <f t="array" ref="BD11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5" s="277" t="e">
        <f>INDEX(tblSeverityAnalysis[Final Severity], MATCH(tblPiNAnalysis512[[#This Row],[ID]],tblSeverityAnalysis[ID], 0))</f>
        <v>#N/A</v>
      </c>
      <c r="BF115" s="61" t="e">
        <f>IF(tblPiNAnalysis512[[#This Row],[Severity]]&gt;2,tblPiNAnalysis512[[#This Row],[Highest Target]],)</f>
        <v>#N/A</v>
      </c>
      <c r="BG115" s="191"/>
      <c r="BH115" s="192"/>
      <c r="BI115" s="193">
        <f>COUNTIFS(tblPiNAnalysis512[[#This Row],[Number of missing / zero PiNs greater than threshold - Data quality]:[Manual Flag]],"Flagged")</f>
        <v>2</v>
      </c>
      <c r="BJ115" s="96" t="str">
        <f>IF(tblPiNAnalysis512[[#This Row],['# Flags]]&gt;0, "Flagged", "")</f>
        <v>Flagged</v>
      </c>
      <c r="BK115" s="326" t="e">
        <f>tblPiNAnalysis512[[#This Row],[Preliminary Target]]</f>
        <v>#N/A</v>
      </c>
      <c r="BL115" s="331">
        <v>3</v>
      </c>
    </row>
    <row r="116" spans="1:64" ht="110.7" x14ac:dyDescent="0.55000000000000004">
      <c r="A1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6" s="316" t="s">
        <v>292</v>
      </c>
      <c r="C116" s="317" t="s">
        <v>293</v>
      </c>
      <c r="D116" s="317" t="s">
        <v>308</v>
      </c>
      <c r="E116" s="105" t="s">
        <v>309</v>
      </c>
      <c r="F116" s="100"/>
      <c r="G116" s="34"/>
      <c r="H116" s="34"/>
      <c r="I116" s="97">
        <v>128918.60101552917</v>
      </c>
      <c r="J116" s="97" t="s">
        <v>413</v>
      </c>
      <c r="K116" s="318">
        <v>0</v>
      </c>
      <c r="L116" s="319">
        <v>0</v>
      </c>
      <c r="M116" s="319">
        <v>0</v>
      </c>
      <c r="N116" s="319">
        <v>0</v>
      </c>
      <c r="O116" s="319">
        <v>0</v>
      </c>
      <c r="P116" s="319">
        <v>0</v>
      </c>
      <c r="Q116" s="320">
        <v>0</v>
      </c>
      <c r="R116" s="319">
        <v>0</v>
      </c>
      <c r="S116" s="319"/>
      <c r="T116" s="319"/>
      <c r="U116" s="319"/>
      <c r="V116" s="319"/>
      <c r="W116" s="321">
        <f>IFERROR(IF(tblPiNAnalysis512[[#This Row],[CCCM]]="", "", MROUND(tblPiNAnalysis512[[#This Row],[CCCM]]/tblPiNAnalysis512[[#This Row],[Affected population projection 2026]], 0.05)), "")</f>
        <v>0</v>
      </c>
      <c r="X116" s="322">
        <f>IFERROR(IF(tblPiNAnalysis512[[#This Row],[Education]]="", "", MROUND(tblPiNAnalysis512[[#This Row],[Education]]/tblPiNAnalysis512[[#This Row],[Affected population projection 2026]], 0.05)), "")</f>
        <v>0</v>
      </c>
      <c r="Y116" s="322">
        <f>IFERROR(IF(tblPiNAnalysis512[[#This Row],[Nutrition]]="", "", MROUND(tblPiNAnalysis512[[#This Row],[Nutrition]]/tblPiNAnalysis512[[#This Row],[Affected population projection 2026]], 0.05)), "")</f>
        <v>0</v>
      </c>
      <c r="Z116" s="322">
        <f>IFERROR(IF(tblPiNAnalysis512[[#This Row],[Food Security]]="", "", MROUND(tblPiNAnalysis512[[#This Row],[Food Security]]/tblPiNAnalysis512[[#This Row],[Affected population projection 2026]], 0.05)), "")</f>
        <v>0</v>
      </c>
      <c r="AA116" s="322">
        <f>IFERROR(IF(tblPiNAnalysis512[[#This Row],[Health]]="", "", MROUND(tblPiNAnalysis512[[#This Row],[Health]]/tblPiNAnalysis512[[#This Row],[Affected population projection 2026]], 0.05)), "")</f>
        <v>0</v>
      </c>
      <c r="AB116" s="323">
        <f>IFERROR(IF(tblPiNAnalysis512[[#This Row],[Overarching Protection]]="", "", MROUND(tblPiNAnalysis512[[#This Row],[Overarching Protection]]/tblPiNAnalysis512[[#This Row],[Affected population projection 2026]], 0.05)), "")</f>
        <v>0</v>
      </c>
      <c r="AC116" s="323">
        <f>IFERROR(IF(tblPiNAnalysis512[[#This Row],[Shelter]]="", "", MROUND(tblPiNAnalysis512[[#This Row],[Shelter]]/tblPiNAnalysis512[[#This Row],[Affected population projection 2026]], 0.05)), "")</f>
        <v>0</v>
      </c>
      <c r="AD116" s="324">
        <f>IFERROR(IF(tblPiNAnalysis512[[#This Row],[WASH]]="", "", MROUND(tblPiNAnalysis512[[#This Row],[WASH]]/tblPiNAnalysis512[[#This Row],[Affected population projection 2026]], 0.05)), "")</f>
        <v>0</v>
      </c>
      <c r="AE116" s="322">
        <f>IFERROR(MROUND(tblPiNAnalysis512[[#This Row],[CP]]/tblPiNAnalysis512[[#This Row],[Affected population projection 2026]], 0.05), "")</f>
        <v>0</v>
      </c>
      <c r="AF116" s="322">
        <f>IFERROR(MROUND(tblPiNAnalysis512[[#This Row],[GBV]]/tblPiNAnalysis512[[#This Row],[Affected population projection 2026]], 0.05), "")</f>
        <v>0</v>
      </c>
      <c r="AG116" s="322">
        <f>IFERROR(MROUND(tblPiNAnalysis512[[#This Row],[Mine Action]]/tblPiNAnalysis512[[#This Row],[Affected population projection 2026]], 0.05), "")</f>
        <v>0</v>
      </c>
      <c r="AH116" s="322">
        <f>IFERROR(MROUND(tblPiNAnalysis512[[#This Row],[HLP]]/tblPiNAnalysis512[[#This Row],[Affected population projection 2026]], 0.05), "")</f>
        <v>0</v>
      </c>
      <c r="AI116" s="325">
        <f>IFERROR(LARGE(tblPiNAnalysis512[[#This Row],[CCCM]:[WASH]], 1), "")</f>
        <v>0</v>
      </c>
      <c r="AJ116" s="326" t="str" cm="1">
        <f t="array" ref="AJ116">IF(tblPiNAnalysis512[[#This Row],[Highest Target]]="", "", _xlfn.TEXTJOIN(CHAR(10), TRUE, IF(tblPiNAnalysis512[[#This Row],[Highest Target]]=tblPiNAnalysis512[[#This Row],[CCCM]:[WASH]], tblPiNAnalysis512[[#Headers],[CCCM]:[WASH]], "")))</f>
        <v>CCCM
Education
Nutrition
Food Security
Health
Overarching Protection
Shelter
WASH</v>
      </c>
      <c r="AK116" s="327">
        <f>IF(tblPiNAnalysis512[[#This Row],[Highest Target]]="", "", tblPiNAnalysis512[[#This Row],[Highest Target]]/tblPiNAnalysis512[[#This Row],[Affected population projection 2026]])</f>
        <v>0</v>
      </c>
      <c r="AL116" s="328" t="str">
        <f>IF(SUM(tblPiNAnalysis512[[#This Row],[CCCM]:[WASH]])=0, "",IF(COUNTIF(tblPiNAnalysis512[[#This Row],[CCCM]:[WASH]],"=0")+COUNTIF(tblPiNAnalysis512[[#This Row],[CCCM]:[WASH]],"")&gt;=zero_pin_thresh, "Flagged", ""))</f>
        <v/>
      </c>
      <c r="AM116" s="329" t="str">
        <f>IFERROR(IF(tblPiNAnalysis512[[#This Row],[Highest Target]]="", "", IF(tblPiNAnalysis512[[#This Row],[Highest sector(s'') Target %]]&gt;=flag_pin_perc, "Flagged", "")), "")</f>
        <v/>
      </c>
      <c r="AN116" s="330" t="str" cm="1">
        <f t="array" ref="AN116">IF(tblPiNAnalysis512[[#This Row],[Highest Target]]=0, "",  IF(OR(COUNTIF(tblPiNAnalysis512[[#This Row],[Highest sector(s)]],tblSubSectorPopulation[Sector])), "Flagged", ""))</f>
        <v/>
      </c>
      <c r="AO116" s="46" cm="1">
        <f t="array" ref="AO11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6" s="331" t="str" cm="1">
        <f t="array" ref="AP116">IF(tblPiNAnalysis512[[#This Row],[2nd Highest Target]]="", "", _xlfn.TEXTJOIN(CHAR(10), TRUE, IF(tblPiNAnalysis512[[#This Row],[2nd Highest Target]]=tblPiNAnalysis512[[#This Row],[CCCM]:[WASH]], tblPiNAnalysis512[[#Headers],[CCCM]:[WASH]], "")))</f>
        <v>CCCM
Education
Nutrition
Food Security
Health
Overarching Protection
Shelter
WASH</v>
      </c>
      <c r="AQ116" s="36">
        <f>IFERROR(tblPiNAnalysis512[[#This Row],[2nd Highest Target]]/tblPiNAnalysis512[[#This Row],[Affected population projection 2026]], "")</f>
        <v>0</v>
      </c>
      <c r="AR116" s="46">
        <f>IFERROR(tblPiNAnalysis512[[#This Row],[Highest Target]]-tblPiNAnalysis512[[#This Row],[2nd Highest Target]], "")</f>
        <v>0</v>
      </c>
      <c r="AS116" s="39" t="str">
        <f>IFERROR(((tblPiNAnalysis512[[#This Row],[Highest Target]]-tblPiNAnalysis512[[#This Row],[2nd Highest Target]])/tblPiNAnalysis512[[#This Row],[2nd Highest Target]]),"")</f>
        <v/>
      </c>
      <c r="AT116" s="39" t="str" cm="1">
        <f t="array" ref="AT11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6" s="332" cm="1">
        <f t="array" ref="AU11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6" s="190" t="str" cm="1">
        <f t="array" ref="AV116">IF(tblPiNAnalysis512[[#This Row],[3rd Highest Target]]="", "", _xlfn.TEXTJOIN(CHAR(10), TRUE, IF(tblPiNAnalysis512[[#This Row],[3rd Highest Target]]=tblPiNAnalysis512[[#This Row],[CCCM]:[WASH]], tblPiNAnalysis512[[#Headers],[CCCM]:[WASH]], "")))</f>
        <v>CCCM
Education
Nutrition
Food Security
Health
Overarching Protection
Shelter
WASH</v>
      </c>
      <c r="AW116" s="190">
        <f>IFERROR(tblPiNAnalysis512[[#This Row],[3rd Highest Target]]/tblPiNAnalysis512[[#This Row],[Affected population projection 2026]], "")</f>
        <v>0</v>
      </c>
      <c r="AX116" s="45">
        <f>IFERROR(tblPiNAnalysis512[[#This Row],[Highest Target]]-tblPiNAnalysis512[[#This Row],[3rd Highest Target]],"")</f>
        <v>0</v>
      </c>
      <c r="AY116" s="39" t="str">
        <f>IFERROR(tblPiNAnalysis512[[#This Row],[Difference of Target between Highest and 3rd Highest]]/tblPiNAnalysis512[[#This Row],[3rd Highest Target]], "")</f>
        <v/>
      </c>
      <c r="AZ116" s="330" t="str" cm="1">
        <f t="array" ref="AZ11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6" s="300" t="str" cm="1">
        <f t="array" ref="BA11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6" s="333" t="str" cm="1">
        <f t="array" ref="BB11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6" s="276" t="str" cm="1">
        <f t="array" ref="BC11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6" s="334" t="str" cm="1">
        <f t="array" ref="BD11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6" s="277" t="e">
        <f>INDEX(tblSeverityAnalysis[Final Severity], MATCH(tblPiNAnalysis512[[#This Row],[ID]],tblSeverityAnalysis[ID], 0))</f>
        <v>#N/A</v>
      </c>
      <c r="BF116" s="61" t="e">
        <f>IF(tblPiNAnalysis512[[#This Row],[Severity]]&gt;2,tblPiNAnalysis512[[#This Row],[Highest Target]],)</f>
        <v>#N/A</v>
      </c>
      <c r="BG116" s="191"/>
      <c r="BH116" s="192"/>
      <c r="BI116" s="193">
        <f>COUNTIFS(tblPiNAnalysis512[[#This Row],[Number of missing / zero PiNs greater than threshold - Data quality]:[Manual Flag]],"Flagged")</f>
        <v>2</v>
      </c>
      <c r="BJ116" s="96" t="str">
        <f>IF(tblPiNAnalysis512[[#This Row],['# Flags]]&gt;0, "Flagged", "")</f>
        <v>Flagged</v>
      </c>
      <c r="BK116" s="326" t="e">
        <f>tblPiNAnalysis512[[#This Row],[Preliminary Target]]</f>
        <v>#N/A</v>
      </c>
      <c r="BL116" s="331">
        <v>4</v>
      </c>
    </row>
    <row r="117" spans="1:64" ht="110.7" x14ac:dyDescent="0.55000000000000004">
      <c r="A1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7" s="316" t="s">
        <v>310</v>
      </c>
      <c r="C117" s="317" t="s">
        <v>311</v>
      </c>
      <c r="D117" s="317" t="s">
        <v>312</v>
      </c>
      <c r="E117" s="105" t="s">
        <v>313</v>
      </c>
      <c r="F117" s="100"/>
      <c r="G117" s="34"/>
      <c r="H117" s="34"/>
      <c r="I117" s="97">
        <v>53097.621318074722</v>
      </c>
      <c r="J117" s="97" t="s">
        <v>413</v>
      </c>
      <c r="K117" s="318">
        <v>0</v>
      </c>
      <c r="L117" s="319">
        <v>0</v>
      </c>
      <c r="M117" s="319">
        <v>0</v>
      </c>
      <c r="N117" s="319">
        <v>0</v>
      </c>
      <c r="O117" s="319">
        <v>0</v>
      </c>
      <c r="P117" s="319">
        <v>0</v>
      </c>
      <c r="Q117" s="320">
        <v>0</v>
      </c>
      <c r="R117" s="319">
        <v>0</v>
      </c>
      <c r="S117" s="319"/>
      <c r="T117" s="319"/>
      <c r="U117" s="319"/>
      <c r="V117" s="319"/>
      <c r="W117" s="321">
        <f>IFERROR(IF(tblPiNAnalysis512[[#This Row],[CCCM]]="", "", MROUND(tblPiNAnalysis512[[#This Row],[CCCM]]/tblPiNAnalysis512[[#This Row],[Affected population projection 2026]], 0.05)), "")</f>
        <v>0</v>
      </c>
      <c r="X117" s="322">
        <f>IFERROR(IF(tblPiNAnalysis512[[#This Row],[Education]]="", "", MROUND(tblPiNAnalysis512[[#This Row],[Education]]/tblPiNAnalysis512[[#This Row],[Affected population projection 2026]], 0.05)), "")</f>
        <v>0</v>
      </c>
      <c r="Y117" s="322">
        <f>IFERROR(IF(tblPiNAnalysis512[[#This Row],[Nutrition]]="", "", MROUND(tblPiNAnalysis512[[#This Row],[Nutrition]]/tblPiNAnalysis512[[#This Row],[Affected population projection 2026]], 0.05)), "")</f>
        <v>0</v>
      </c>
      <c r="Z117" s="322">
        <f>IFERROR(IF(tblPiNAnalysis512[[#This Row],[Food Security]]="", "", MROUND(tblPiNAnalysis512[[#This Row],[Food Security]]/tblPiNAnalysis512[[#This Row],[Affected population projection 2026]], 0.05)), "")</f>
        <v>0</v>
      </c>
      <c r="AA117" s="322">
        <f>IFERROR(IF(tblPiNAnalysis512[[#This Row],[Health]]="", "", MROUND(tblPiNAnalysis512[[#This Row],[Health]]/tblPiNAnalysis512[[#This Row],[Affected population projection 2026]], 0.05)), "")</f>
        <v>0</v>
      </c>
      <c r="AB117" s="323">
        <f>IFERROR(IF(tblPiNAnalysis512[[#This Row],[Overarching Protection]]="", "", MROUND(tblPiNAnalysis512[[#This Row],[Overarching Protection]]/tblPiNAnalysis512[[#This Row],[Affected population projection 2026]], 0.05)), "")</f>
        <v>0</v>
      </c>
      <c r="AC117" s="323">
        <f>IFERROR(IF(tblPiNAnalysis512[[#This Row],[Shelter]]="", "", MROUND(tblPiNAnalysis512[[#This Row],[Shelter]]/tblPiNAnalysis512[[#This Row],[Affected population projection 2026]], 0.05)), "")</f>
        <v>0</v>
      </c>
      <c r="AD117" s="324">
        <f>IFERROR(IF(tblPiNAnalysis512[[#This Row],[WASH]]="", "", MROUND(tblPiNAnalysis512[[#This Row],[WASH]]/tblPiNAnalysis512[[#This Row],[Affected population projection 2026]], 0.05)), "")</f>
        <v>0</v>
      </c>
      <c r="AE117" s="322">
        <f>IFERROR(MROUND(tblPiNAnalysis512[[#This Row],[CP]]/tblPiNAnalysis512[[#This Row],[Affected population projection 2026]], 0.05), "")</f>
        <v>0</v>
      </c>
      <c r="AF117" s="322">
        <f>IFERROR(MROUND(tblPiNAnalysis512[[#This Row],[GBV]]/tblPiNAnalysis512[[#This Row],[Affected population projection 2026]], 0.05), "")</f>
        <v>0</v>
      </c>
      <c r="AG117" s="322">
        <f>IFERROR(MROUND(tblPiNAnalysis512[[#This Row],[Mine Action]]/tblPiNAnalysis512[[#This Row],[Affected population projection 2026]], 0.05), "")</f>
        <v>0</v>
      </c>
      <c r="AH117" s="322">
        <f>IFERROR(MROUND(tblPiNAnalysis512[[#This Row],[HLP]]/tblPiNAnalysis512[[#This Row],[Affected population projection 2026]], 0.05), "")</f>
        <v>0</v>
      </c>
      <c r="AI117" s="325">
        <f>IFERROR(LARGE(tblPiNAnalysis512[[#This Row],[CCCM]:[WASH]], 1), "")</f>
        <v>0</v>
      </c>
      <c r="AJ117" s="326" t="str" cm="1">
        <f t="array" ref="AJ117">IF(tblPiNAnalysis512[[#This Row],[Highest Target]]="", "", _xlfn.TEXTJOIN(CHAR(10), TRUE, IF(tblPiNAnalysis512[[#This Row],[Highest Target]]=tblPiNAnalysis512[[#This Row],[CCCM]:[WASH]], tblPiNAnalysis512[[#Headers],[CCCM]:[WASH]], "")))</f>
        <v>CCCM
Education
Nutrition
Food Security
Health
Overarching Protection
Shelter
WASH</v>
      </c>
      <c r="AK117" s="327">
        <f>IF(tblPiNAnalysis512[[#This Row],[Highest Target]]="", "", tblPiNAnalysis512[[#This Row],[Highest Target]]/tblPiNAnalysis512[[#This Row],[Affected population projection 2026]])</f>
        <v>0</v>
      </c>
      <c r="AL117" s="328" t="str">
        <f>IF(SUM(tblPiNAnalysis512[[#This Row],[CCCM]:[WASH]])=0, "",IF(COUNTIF(tblPiNAnalysis512[[#This Row],[CCCM]:[WASH]],"=0")+COUNTIF(tblPiNAnalysis512[[#This Row],[CCCM]:[WASH]],"")&gt;=zero_pin_thresh, "Flagged", ""))</f>
        <v/>
      </c>
      <c r="AM117" s="329" t="str">
        <f>IFERROR(IF(tblPiNAnalysis512[[#This Row],[Highest Target]]="", "", IF(tblPiNAnalysis512[[#This Row],[Highest sector(s'') Target %]]&gt;=flag_pin_perc, "Flagged", "")), "")</f>
        <v/>
      </c>
      <c r="AN117" s="330" t="str" cm="1">
        <f t="array" ref="AN117">IF(tblPiNAnalysis512[[#This Row],[Highest Target]]=0, "",  IF(OR(COUNTIF(tblPiNAnalysis512[[#This Row],[Highest sector(s)]],tblSubSectorPopulation[Sector])), "Flagged", ""))</f>
        <v/>
      </c>
      <c r="AO117" s="46" cm="1">
        <f t="array" ref="AO11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17" s="331" t="str" cm="1">
        <f t="array" ref="AP117">IF(tblPiNAnalysis512[[#This Row],[2nd Highest Target]]="", "", _xlfn.TEXTJOIN(CHAR(10), TRUE, IF(tblPiNAnalysis512[[#This Row],[2nd Highest Target]]=tblPiNAnalysis512[[#This Row],[CCCM]:[WASH]], tblPiNAnalysis512[[#Headers],[CCCM]:[WASH]], "")))</f>
        <v>CCCM
Education
Nutrition
Food Security
Health
Overarching Protection
Shelter
WASH</v>
      </c>
      <c r="AQ117" s="36">
        <f>IFERROR(tblPiNAnalysis512[[#This Row],[2nd Highest Target]]/tblPiNAnalysis512[[#This Row],[Affected population projection 2026]], "")</f>
        <v>0</v>
      </c>
      <c r="AR117" s="46">
        <f>IFERROR(tblPiNAnalysis512[[#This Row],[Highest Target]]-tblPiNAnalysis512[[#This Row],[2nd Highest Target]], "")</f>
        <v>0</v>
      </c>
      <c r="AS117" s="39" t="str">
        <f>IFERROR(((tblPiNAnalysis512[[#This Row],[Highest Target]]-tblPiNAnalysis512[[#This Row],[2nd Highest Target]])/tblPiNAnalysis512[[#This Row],[2nd Highest Target]]),"")</f>
        <v/>
      </c>
      <c r="AT117" s="39" t="str" cm="1">
        <f t="array" ref="AT11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7" s="332" cm="1">
        <f t="array" ref="AU11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17" s="190" t="str" cm="1">
        <f t="array" ref="AV117">IF(tblPiNAnalysis512[[#This Row],[3rd Highest Target]]="", "", _xlfn.TEXTJOIN(CHAR(10), TRUE, IF(tblPiNAnalysis512[[#This Row],[3rd Highest Target]]=tblPiNAnalysis512[[#This Row],[CCCM]:[WASH]], tblPiNAnalysis512[[#Headers],[CCCM]:[WASH]], "")))</f>
        <v>CCCM
Education
Nutrition
Food Security
Health
Overarching Protection
Shelter
WASH</v>
      </c>
      <c r="AW117" s="190">
        <f>IFERROR(tblPiNAnalysis512[[#This Row],[3rd Highest Target]]/tblPiNAnalysis512[[#This Row],[Affected population projection 2026]], "")</f>
        <v>0</v>
      </c>
      <c r="AX117" s="45">
        <f>IFERROR(tblPiNAnalysis512[[#This Row],[Highest Target]]-tblPiNAnalysis512[[#This Row],[3rd Highest Target]],"")</f>
        <v>0</v>
      </c>
      <c r="AY117" s="39" t="str">
        <f>IFERROR(tblPiNAnalysis512[[#This Row],[Difference of Target between Highest and 3rd Highest]]/tblPiNAnalysis512[[#This Row],[3rd Highest Target]], "")</f>
        <v/>
      </c>
      <c r="AZ117" s="330" t="str" cm="1">
        <f t="array" ref="AZ11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7" s="300" t="str" cm="1">
        <f t="array" ref="BA11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7" s="333" t="str" cm="1">
        <f t="array" ref="BB11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17" s="276" t="str" cm="1">
        <f t="array" ref="BC11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7" s="334" t="str" cm="1">
        <f t="array" ref="BD11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7" s="277" t="e">
        <f>INDEX(tblSeverityAnalysis[Final Severity], MATCH(tblPiNAnalysis512[[#This Row],[ID]],tblSeverityAnalysis[ID], 0))</f>
        <v>#N/A</v>
      </c>
      <c r="BF117" s="61" t="e">
        <f>IF(tblPiNAnalysis512[[#This Row],[Severity]]&gt;2,tblPiNAnalysis512[[#This Row],[Highest Target]],)</f>
        <v>#N/A</v>
      </c>
      <c r="BG117" s="191"/>
      <c r="BH117" s="192"/>
      <c r="BI117" s="193">
        <f>COUNTIFS(tblPiNAnalysis512[[#This Row],[Number of missing / zero PiNs greater than threshold - Data quality]:[Manual Flag]],"Flagged")</f>
        <v>2</v>
      </c>
      <c r="BJ117" s="96" t="str">
        <f>IF(tblPiNAnalysis512[[#This Row],['# Flags]]&gt;0, "Flagged", "")</f>
        <v>Flagged</v>
      </c>
      <c r="BK117" s="326" t="e">
        <f>tblPiNAnalysis512[[#This Row],[Preliminary Target]]</f>
        <v>#N/A</v>
      </c>
      <c r="BL117" s="331">
        <v>4</v>
      </c>
    </row>
    <row r="118" spans="1:64" x14ac:dyDescent="0.55000000000000004">
      <c r="A1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8" s="316" t="s">
        <v>310</v>
      </c>
      <c r="C118" s="317" t="s">
        <v>311</v>
      </c>
      <c r="D118" s="317" t="s">
        <v>314</v>
      </c>
      <c r="E118" s="105" t="s">
        <v>315</v>
      </c>
      <c r="F118" s="100"/>
      <c r="G118" s="34"/>
      <c r="H118" s="34"/>
      <c r="I118" s="97">
        <v>211899.62896361714</v>
      </c>
      <c r="J118" s="97" t="s">
        <v>413</v>
      </c>
      <c r="K118" s="318">
        <v>0</v>
      </c>
      <c r="L118" s="319">
        <v>23313.34127032485</v>
      </c>
      <c r="M118" s="319">
        <v>60683.262481643316</v>
      </c>
      <c r="N118" s="319">
        <v>93441.707568261045</v>
      </c>
      <c r="O118" s="319">
        <v>80561.488242433319</v>
      </c>
      <c r="P118" s="319">
        <v>22754.824430047061</v>
      </c>
      <c r="Q118" s="320">
        <v>17514.153006176519</v>
      </c>
      <c r="R118" s="319">
        <v>22781.390150923864</v>
      </c>
      <c r="S118" s="319"/>
      <c r="T118" s="319"/>
      <c r="U118" s="319"/>
      <c r="V118" s="319"/>
      <c r="W118" s="321">
        <f>IFERROR(IF(tblPiNAnalysis512[[#This Row],[CCCM]]="", "", MROUND(tblPiNAnalysis512[[#This Row],[CCCM]]/tblPiNAnalysis512[[#This Row],[Affected population projection 2026]], 0.05)), "")</f>
        <v>0</v>
      </c>
      <c r="X118" s="322">
        <f>IFERROR(IF(tblPiNAnalysis512[[#This Row],[Education]]="", "", MROUND(tblPiNAnalysis512[[#This Row],[Education]]/tblPiNAnalysis512[[#This Row],[Affected population projection 2026]], 0.05)), "")</f>
        <v>0.1</v>
      </c>
      <c r="Y118" s="322">
        <f>IFERROR(IF(tblPiNAnalysis512[[#This Row],[Nutrition]]="", "", MROUND(tblPiNAnalysis512[[#This Row],[Nutrition]]/tblPiNAnalysis512[[#This Row],[Affected population projection 2026]], 0.05)), "")</f>
        <v>0.30000000000000004</v>
      </c>
      <c r="Z118" s="322">
        <f>IFERROR(IF(tblPiNAnalysis512[[#This Row],[Food Security]]="", "", MROUND(tblPiNAnalysis512[[#This Row],[Food Security]]/tblPiNAnalysis512[[#This Row],[Affected population projection 2026]], 0.05)), "")</f>
        <v>0.45</v>
      </c>
      <c r="AA118" s="322">
        <f>IFERROR(IF(tblPiNAnalysis512[[#This Row],[Health]]="", "", MROUND(tblPiNAnalysis512[[#This Row],[Health]]/tblPiNAnalysis512[[#This Row],[Affected population projection 2026]], 0.05)), "")</f>
        <v>0.4</v>
      </c>
      <c r="AB118" s="323">
        <f>IFERROR(IF(tblPiNAnalysis512[[#This Row],[Overarching Protection]]="", "", MROUND(tblPiNAnalysis512[[#This Row],[Overarching Protection]]/tblPiNAnalysis512[[#This Row],[Affected population projection 2026]], 0.05)), "")</f>
        <v>0.1</v>
      </c>
      <c r="AC118" s="323">
        <f>IFERROR(IF(tblPiNAnalysis512[[#This Row],[Shelter]]="", "", MROUND(tblPiNAnalysis512[[#This Row],[Shelter]]/tblPiNAnalysis512[[#This Row],[Affected population projection 2026]], 0.05)), "")</f>
        <v>0.1</v>
      </c>
      <c r="AD118" s="324">
        <f>IFERROR(IF(tblPiNAnalysis512[[#This Row],[WASH]]="", "", MROUND(tblPiNAnalysis512[[#This Row],[WASH]]/tblPiNAnalysis512[[#This Row],[Affected population projection 2026]], 0.05)), "")</f>
        <v>0.1</v>
      </c>
      <c r="AE118" s="322">
        <f>IFERROR(MROUND(tblPiNAnalysis512[[#This Row],[CP]]/tblPiNAnalysis512[[#This Row],[Affected population projection 2026]], 0.05), "")</f>
        <v>0</v>
      </c>
      <c r="AF118" s="322">
        <f>IFERROR(MROUND(tblPiNAnalysis512[[#This Row],[GBV]]/tblPiNAnalysis512[[#This Row],[Affected population projection 2026]], 0.05), "")</f>
        <v>0</v>
      </c>
      <c r="AG118" s="322">
        <f>IFERROR(MROUND(tblPiNAnalysis512[[#This Row],[Mine Action]]/tblPiNAnalysis512[[#This Row],[Affected population projection 2026]], 0.05), "")</f>
        <v>0</v>
      </c>
      <c r="AH118" s="322">
        <f>IFERROR(MROUND(tblPiNAnalysis512[[#This Row],[HLP]]/tblPiNAnalysis512[[#This Row],[Affected population projection 2026]], 0.05), "")</f>
        <v>0</v>
      </c>
      <c r="AI118" s="325">
        <f>IFERROR(LARGE(tblPiNAnalysis512[[#This Row],[CCCM]:[WASH]], 1), "")</f>
        <v>93441.707568261045</v>
      </c>
      <c r="AJ118" s="326" t="str" cm="1">
        <f t="array" ref="AJ118">IF(tblPiNAnalysis512[[#This Row],[Highest Target]]="", "", _xlfn.TEXTJOIN(CHAR(10), TRUE, IF(tblPiNAnalysis512[[#This Row],[Highest Target]]=tblPiNAnalysis512[[#This Row],[CCCM]:[WASH]], tblPiNAnalysis512[[#Headers],[CCCM]:[WASH]], "")))</f>
        <v>Food Security</v>
      </c>
      <c r="AK118" s="327">
        <f>IF(tblPiNAnalysis512[[#This Row],[Highest Target]]="", "", tblPiNAnalysis512[[#This Row],[Highest Target]]/tblPiNAnalysis512[[#This Row],[Affected population projection 2026]])</f>
        <v>0.44097154877182371</v>
      </c>
      <c r="AL118" s="328" t="str">
        <f>IF(SUM(tblPiNAnalysis512[[#This Row],[CCCM]:[WASH]])=0, "",IF(COUNTIF(tblPiNAnalysis512[[#This Row],[CCCM]:[WASH]],"=0")+COUNTIF(tblPiNAnalysis512[[#This Row],[CCCM]:[WASH]],"")&gt;=zero_pin_thresh, "Flagged", ""))</f>
        <v/>
      </c>
      <c r="AM118" s="329" t="str">
        <f>IFERROR(IF(tblPiNAnalysis512[[#This Row],[Highest Target]]="", "", IF(tblPiNAnalysis512[[#This Row],[Highest sector(s'') Target %]]&gt;=flag_pin_perc, "Flagged", "")), "")</f>
        <v/>
      </c>
      <c r="AN118" s="330" t="str" cm="1">
        <f t="array" ref="AN118">IF(tblPiNAnalysis512[[#This Row],[Highest Target]]=0, "",  IF(OR(COUNTIF(tblPiNAnalysis512[[#This Row],[Highest sector(s)]],tblSubSectorPopulation[Sector])), "Flagged", ""))</f>
        <v/>
      </c>
      <c r="AO118" s="46" cm="1">
        <f t="array" ref="AO11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80561.488242433319</v>
      </c>
      <c r="AP118" s="331" t="str" cm="1">
        <f t="array" ref="AP118">IF(tblPiNAnalysis512[[#This Row],[2nd Highest Target]]="", "", _xlfn.TEXTJOIN(CHAR(10), TRUE, IF(tblPiNAnalysis512[[#This Row],[2nd Highest Target]]=tblPiNAnalysis512[[#This Row],[CCCM]:[WASH]], tblPiNAnalysis512[[#Headers],[CCCM]:[WASH]], "")))</f>
        <v>Health</v>
      </c>
      <c r="AQ118" s="36">
        <f>IFERROR(tblPiNAnalysis512[[#This Row],[2nd Highest Target]]/tblPiNAnalysis512[[#This Row],[Affected population projection 2026]], "")</f>
        <v>0.38018701890349044</v>
      </c>
      <c r="AR118" s="46">
        <f>IFERROR(tblPiNAnalysis512[[#This Row],[Highest Target]]-tblPiNAnalysis512[[#This Row],[2nd Highest Target]], "")</f>
        <v>12880.219325827726</v>
      </c>
      <c r="AS118" s="39">
        <f>IFERROR(((tblPiNAnalysis512[[#This Row],[Highest Target]]-tblPiNAnalysis512[[#This Row],[2nd Highest Target]])/tblPiNAnalysis512[[#This Row],[2nd Highest Target]]),"")</f>
        <v>0.15988060308751176</v>
      </c>
      <c r="AT118" s="39" t="str" cm="1">
        <f t="array" ref="AT11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8" s="332" cm="1">
        <f t="array" ref="AU11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60683.262481643316</v>
      </c>
      <c r="AV118" s="190" t="str" cm="1">
        <f t="array" ref="AV118">IF(tblPiNAnalysis512[[#This Row],[3rd Highest Target]]="", "", _xlfn.TEXTJOIN(CHAR(10), TRUE, IF(tblPiNAnalysis512[[#This Row],[3rd Highest Target]]=tblPiNAnalysis512[[#This Row],[CCCM]:[WASH]], tblPiNAnalysis512[[#Headers],[CCCM]:[WASH]], "")))</f>
        <v>Nutrition</v>
      </c>
      <c r="AW118" s="190">
        <f>IFERROR(tblPiNAnalysis512[[#This Row],[3rd Highest Target]]/tblPiNAnalysis512[[#This Row],[Affected population projection 2026]], "")</f>
        <v>0.28637738904234961</v>
      </c>
      <c r="AX118" s="45">
        <f>IFERROR(tblPiNAnalysis512[[#This Row],[Highest Target]]-tblPiNAnalysis512[[#This Row],[3rd Highest Target]],"")</f>
        <v>32758.445086617729</v>
      </c>
      <c r="AY118" s="39">
        <f>IFERROR(tblPiNAnalysis512[[#This Row],[Difference of Target between Highest and 3rd Highest]]/tblPiNAnalysis512[[#This Row],[3rd Highest Target]], "")</f>
        <v>0.53982669597777733</v>
      </c>
      <c r="AZ118" s="330" t="str" cm="1">
        <f t="array" ref="AZ11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18" s="300" t="str" cm="1">
        <f t="array" ref="BA11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8" s="333" t="str" cm="1">
        <f t="array" ref="BB11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18" s="276" t="str" cm="1">
        <f t="array" ref="BC11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8" s="334" t="str" cm="1">
        <f t="array" ref="BD11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8" s="277" t="e">
        <f>INDEX(tblSeverityAnalysis[Final Severity], MATCH(tblPiNAnalysis512[[#This Row],[ID]],tblSeverityAnalysis[ID], 0))</f>
        <v>#N/A</v>
      </c>
      <c r="BF118" s="61" t="e">
        <f>IF(tblPiNAnalysis512[[#This Row],[Severity]]&gt;2,tblPiNAnalysis512[[#This Row],[Highest Target]],)</f>
        <v>#N/A</v>
      </c>
      <c r="BG118" s="191"/>
      <c r="BH118" s="192"/>
      <c r="BI118" s="193">
        <f>COUNTIFS(tblPiNAnalysis512[[#This Row],[Number of missing / zero PiNs greater than threshold - Data quality]:[Manual Flag]],"Flagged")</f>
        <v>2</v>
      </c>
      <c r="BJ118" s="96" t="str">
        <f>IF(tblPiNAnalysis512[[#This Row],['# Flags]]&gt;0, "Flagged", "")</f>
        <v>Flagged</v>
      </c>
      <c r="BK118" s="326" t="e">
        <f>tblPiNAnalysis512[[#This Row],[Preliminary Target]]</f>
        <v>#N/A</v>
      </c>
      <c r="BL118" s="331">
        <v>2</v>
      </c>
    </row>
    <row r="119" spans="1:64" x14ac:dyDescent="0.55000000000000004">
      <c r="A1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9" s="316" t="s">
        <v>310</v>
      </c>
      <c r="C119" s="317" t="s">
        <v>311</v>
      </c>
      <c r="D119" s="317" t="s">
        <v>316</v>
      </c>
      <c r="E119" s="105" t="s">
        <v>317</v>
      </c>
      <c r="F119" s="100"/>
      <c r="G119" s="34"/>
      <c r="H119" s="34"/>
      <c r="I119" s="97">
        <v>109801.05355905752</v>
      </c>
      <c r="J119" s="97" t="s">
        <v>413</v>
      </c>
      <c r="K119" s="318">
        <v>0</v>
      </c>
      <c r="L119" s="319">
        <v>5744.9097073477342</v>
      </c>
      <c r="M119" s="319">
        <v>51087.260668412309</v>
      </c>
      <c r="N119" s="319">
        <v>44165.640241204113</v>
      </c>
      <c r="O119" s="319">
        <v>45205.040373118449</v>
      </c>
      <c r="P119" s="319">
        <v>14130.379641323567</v>
      </c>
      <c r="Q119" s="320">
        <v>6475.4467483546741</v>
      </c>
      <c r="R119" s="319">
        <v>4447.9593455636723</v>
      </c>
      <c r="S119" s="319"/>
      <c r="T119" s="319"/>
      <c r="U119" s="319"/>
      <c r="V119" s="319"/>
      <c r="W119" s="321">
        <f>IFERROR(IF(tblPiNAnalysis512[[#This Row],[CCCM]]="", "", MROUND(tblPiNAnalysis512[[#This Row],[CCCM]]/tblPiNAnalysis512[[#This Row],[Affected population projection 2026]], 0.05)), "")</f>
        <v>0</v>
      </c>
      <c r="X119" s="322">
        <f>IFERROR(IF(tblPiNAnalysis512[[#This Row],[Education]]="", "", MROUND(tblPiNAnalysis512[[#This Row],[Education]]/tblPiNAnalysis512[[#This Row],[Affected population projection 2026]], 0.05)), "")</f>
        <v>0.05</v>
      </c>
      <c r="Y119" s="322">
        <f>IFERROR(IF(tblPiNAnalysis512[[#This Row],[Nutrition]]="", "", MROUND(tblPiNAnalysis512[[#This Row],[Nutrition]]/tblPiNAnalysis512[[#This Row],[Affected population projection 2026]], 0.05)), "")</f>
        <v>0.45</v>
      </c>
      <c r="Z119" s="322">
        <f>IFERROR(IF(tblPiNAnalysis512[[#This Row],[Food Security]]="", "", MROUND(tblPiNAnalysis512[[#This Row],[Food Security]]/tblPiNAnalysis512[[#This Row],[Affected population projection 2026]], 0.05)), "")</f>
        <v>0.4</v>
      </c>
      <c r="AA119" s="322">
        <f>IFERROR(IF(tblPiNAnalysis512[[#This Row],[Health]]="", "", MROUND(tblPiNAnalysis512[[#This Row],[Health]]/tblPiNAnalysis512[[#This Row],[Affected population projection 2026]], 0.05)), "")</f>
        <v>0.4</v>
      </c>
      <c r="AB119" s="323">
        <f>IFERROR(IF(tblPiNAnalysis512[[#This Row],[Overarching Protection]]="", "", MROUND(tblPiNAnalysis512[[#This Row],[Overarching Protection]]/tblPiNAnalysis512[[#This Row],[Affected population projection 2026]], 0.05)), "")</f>
        <v>0.15000000000000002</v>
      </c>
      <c r="AC119" s="323">
        <f>IFERROR(IF(tblPiNAnalysis512[[#This Row],[Shelter]]="", "", MROUND(tblPiNAnalysis512[[#This Row],[Shelter]]/tblPiNAnalysis512[[#This Row],[Affected population projection 2026]], 0.05)), "")</f>
        <v>0.05</v>
      </c>
      <c r="AD119" s="324">
        <f>IFERROR(IF(tblPiNAnalysis512[[#This Row],[WASH]]="", "", MROUND(tblPiNAnalysis512[[#This Row],[WASH]]/tblPiNAnalysis512[[#This Row],[Affected population projection 2026]], 0.05)), "")</f>
        <v>0.05</v>
      </c>
      <c r="AE119" s="322">
        <f>IFERROR(MROUND(tblPiNAnalysis512[[#This Row],[CP]]/tblPiNAnalysis512[[#This Row],[Affected population projection 2026]], 0.05), "")</f>
        <v>0</v>
      </c>
      <c r="AF119" s="322">
        <f>IFERROR(MROUND(tblPiNAnalysis512[[#This Row],[GBV]]/tblPiNAnalysis512[[#This Row],[Affected population projection 2026]], 0.05), "")</f>
        <v>0</v>
      </c>
      <c r="AG119" s="322">
        <f>IFERROR(MROUND(tblPiNAnalysis512[[#This Row],[Mine Action]]/tblPiNAnalysis512[[#This Row],[Affected population projection 2026]], 0.05), "")</f>
        <v>0</v>
      </c>
      <c r="AH119" s="322">
        <f>IFERROR(MROUND(tblPiNAnalysis512[[#This Row],[HLP]]/tblPiNAnalysis512[[#This Row],[Affected population projection 2026]], 0.05), "")</f>
        <v>0</v>
      </c>
      <c r="AI119" s="325">
        <f>IFERROR(LARGE(tblPiNAnalysis512[[#This Row],[CCCM]:[WASH]], 1), "")</f>
        <v>51087.260668412309</v>
      </c>
      <c r="AJ119" s="326" t="str" cm="1">
        <f t="array" ref="AJ119">IF(tblPiNAnalysis512[[#This Row],[Highest Target]]="", "", _xlfn.TEXTJOIN(CHAR(10), TRUE, IF(tblPiNAnalysis512[[#This Row],[Highest Target]]=tblPiNAnalysis512[[#This Row],[CCCM]:[WASH]], tblPiNAnalysis512[[#Headers],[CCCM]:[WASH]], "")))</f>
        <v>Nutrition</v>
      </c>
      <c r="AK119" s="327">
        <f>IF(tblPiNAnalysis512[[#This Row],[Highest Target]]="", "", tblPiNAnalysis512[[#This Row],[Highest Target]]/tblPiNAnalysis512[[#This Row],[Affected population projection 2026]])</f>
        <v>0.46527113367755213</v>
      </c>
      <c r="AL119" s="328" t="str">
        <f>IF(SUM(tblPiNAnalysis512[[#This Row],[CCCM]:[WASH]])=0, "",IF(COUNTIF(tblPiNAnalysis512[[#This Row],[CCCM]:[WASH]],"=0")+COUNTIF(tblPiNAnalysis512[[#This Row],[CCCM]:[WASH]],"")&gt;=zero_pin_thresh, "Flagged", ""))</f>
        <v/>
      </c>
      <c r="AM119" s="329" t="str">
        <f>IFERROR(IF(tblPiNAnalysis512[[#This Row],[Highest Target]]="", "", IF(tblPiNAnalysis512[[#This Row],[Highest sector(s'') Target %]]&gt;=flag_pin_perc, "Flagged", "")), "")</f>
        <v/>
      </c>
      <c r="AN119" s="330" t="str" cm="1">
        <f t="array" ref="AN119">IF(tblPiNAnalysis512[[#This Row],[Highest Target]]=0, "",  IF(OR(COUNTIF(tblPiNAnalysis512[[#This Row],[Highest sector(s)]],tblSubSectorPopulation[Sector])), "Flagged", ""))</f>
        <v/>
      </c>
      <c r="AO119" s="46" cm="1">
        <f t="array" ref="AO11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45205.040373118449</v>
      </c>
      <c r="AP119" s="331" t="str" cm="1">
        <f t="array" ref="AP119">IF(tblPiNAnalysis512[[#This Row],[2nd Highest Target]]="", "", _xlfn.TEXTJOIN(CHAR(10), TRUE, IF(tblPiNAnalysis512[[#This Row],[2nd Highest Target]]=tblPiNAnalysis512[[#This Row],[CCCM]:[WASH]], tblPiNAnalysis512[[#Headers],[CCCM]:[WASH]], "")))</f>
        <v>Health</v>
      </c>
      <c r="AQ119" s="36">
        <f>IFERROR(tblPiNAnalysis512[[#This Row],[2nd Highest Target]]/tblPiNAnalysis512[[#This Row],[Affected population projection 2026]], "")</f>
        <v>0.41169951387401305</v>
      </c>
      <c r="AR119" s="46">
        <f>IFERROR(tblPiNAnalysis512[[#This Row],[Highest Target]]-tblPiNAnalysis512[[#This Row],[2nd Highest Target]], "")</f>
        <v>5882.2202952938605</v>
      </c>
      <c r="AS119" s="39">
        <f>IFERROR(((tblPiNAnalysis512[[#This Row],[Highest Target]]-tblPiNAnalysis512[[#This Row],[2nd Highest Target]])/tblPiNAnalysis512[[#This Row],[2nd Highest Target]]),"")</f>
        <v>0.13012310677620303</v>
      </c>
      <c r="AT119" s="39" t="str" cm="1">
        <f t="array" ref="AT11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19" s="332" cm="1">
        <f t="array" ref="AU11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44165.640241204113</v>
      </c>
      <c r="AV119" s="190" t="str" cm="1">
        <f t="array" ref="AV119">IF(tblPiNAnalysis512[[#This Row],[3rd Highest Target]]="", "", _xlfn.TEXTJOIN(CHAR(10), TRUE, IF(tblPiNAnalysis512[[#This Row],[3rd Highest Target]]=tblPiNAnalysis512[[#This Row],[CCCM]:[WASH]], tblPiNAnalysis512[[#Headers],[CCCM]:[WASH]], "")))</f>
        <v>Food Security</v>
      </c>
      <c r="AW119" s="190">
        <f>IFERROR(tblPiNAnalysis512[[#This Row],[3rd Highest Target]]/tblPiNAnalysis512[[#This Row],[Affected population projection 2026]], "")</f>
        <v>0.4022333011353959</v>
      </c>
      <c r="AX119" s="45">
        <f>IFERROR(tblPiNAnalysis512[[#This Row],[Highest Target]]-tblPiNAnalysis512[[#This Row],[3rd Highest Target]],"")</f>
        <v>6921.6204272081959</v>
      </c>
      <c r="AY119" s="39">
        <f>IFERROR(tblPiNAnalysis512[[#This Row],[Difference of Target between Highest and 3rd Highest]]/tblPiNAnalysis512[[#This Row],[3rd Highest Target]], "")</f>
        <v>0.15671957633596592</v>
      </c>
      <c r="AZ119" s="330" t="str" cm="1">
        <f t="array" ref="AZ11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19" s="300" t="str" cm="1">
        <f t="array" ref="BA11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19" s="333" t="str" cm="1">
        <f t="array" ref="BB11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19" s="276" t="str" cm="1">
        <f t="array" ref="BC11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19" s="334" t="str" cm="1">
        <f t="array" ref="BD11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19" s="277" t="e">
        <f>INDEX(tblSeverityAnalysis[Final Severity], MATCH(tblPiNAnalysis512[[#This Row],[ID]],tblSeverityAnalysis[ID], 0))</f>
        <v>#N/A</v>
      </c>
      <c r="BF119" s="61" t="e">
        <f>IF(tblPiNAnalysis512[[#This Row],[Severity]]&gt;2,tblPiNAnalysis512[[#This Row],[Highest Target]],)</f>
        <v>#N/A</v>
      </c>
      <c r="BG119" s="191"/>
      <c r="BH119" s="192"/>
      <c r="BI119" s="193">
        <f>COUNTIFS(tblPiNAnalysis512[[#This Row],[Number of missing / zero PiNs greater than threshold - Data quality]:[Manual Flag]],"Flagged")</f>
        <v>1</v>
      </c>
      <c r="BJ119" s="96" t="str">
        <f>IF(tblPiNAnalysis512[[#This Row],['# Flags]]&gt;0, "Flagged", "")</f>
        <v>Flagged</v>
      </c>
      <c r="BK119" s="326" t="e">
        <f>tblPiNAnalysis512[[#This Row],[Preliminary Target]]</f>
        <v>#N/A</v>
      </c>
      <c r="BL119" s="331">
        <v>2</v>
      </c>
    </row>
    <row r="120" spans="1:64" x14ac:dyDescent="0.55000000000000004">
      <c r="A1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0" s="316" t="s">
        <v>310</v>
      </c>
      <c r="C120" s="317" t="s">
        <v>311</v>
      </c>
      <c r="D120" s="317" t="s">
        <v>318</v>
      </c>
      <c r="E120" s="105" t="s">
        <v>319</v>
      </c>
      <c r="F120" s="100"/>
      <c r="G120" s="34"/>
      <c r="H120" s="34"/>
      <c r="I120" s="97">
        <v>105778.12989801918</v>
      </c>
      <c r="J120" s="97" t="s">
        <v>413</v>
      </c>
      <c r="K120" s="318">
        <v>0</v>
      </c>
      <c r="L120" s="319">
        <v>3859.5795146539758</v>
      </c>
      <c r="M120" s="319">
        <v>38338.054769520058</v>
      </c>
      <c r="N120" s="319">
        <v>44990.666204413006</v>
      </c>
      <c r="O120" s="319">
        <v>34918.92102826466</v>
      </c>
      <c r="P120" s="319">
        <v>12438.363895046818</v>
      </c>
      <c r="Q120" s="320">
        <v>4134.9632596498404</v>
      </c>
      <c r="R120" s="319">
        <v>24783.553575279697</v>
      </c>
      <c r="S120" s="319"/>
      <c r="T120" s="319"/>
      <c r="U120" s="319"/>
      <c r="V120" s="319"/>
      <c r="W120" s="321">
        <f>IFERROR(IF(tblPiNAnalysis512[[#This Row],[CCCM]]="", "", MROUND(tblPiNAnalysis512[[#This Row],[CCCM]]/tblPiNAnalysis512[[#This Row],[Affected population projection 2026]], 0.05)), "")</f>
        <v>0</v>
      </c>
      <c r="X120" s="322">
        <f>IFERROR(IF(tblPiNAnalysis512[[#This Row],[Education]]="", "", MROUND(tblPiNAnalysis512[[#This Row],[Education]]/tblPiNAnalysis512[[#This Row],[Affected population projection 2026]], 0.05)), "")</f>
        <v>0.05</v>
      </c>
      <c r="Y120" s="322">
        <f>IFERROR(IF(tblPiNAnalysis512[[#This Row],[Nutrition]]="", "", MROUND(tblPiNAnalysis512[[#This Row],[Nutrition]]/tblPiNAnalysis512[[#This Row],[Affected population projection 2026]], 0.05)), "")</f>
        <v>0.35000000000000003</v>
      </c>
      <c r="Z120" s="322">
        <f>IFERROR(IF(tblPiNAnalysis512[[#This Row],[Food Security]]="", "", MROUND(tblPiNAnalysis512[[#This Row],[Food Security]]/tblPiNAnalysis512[[#This Row],[Affected population projection 2026]], 0.05)), "")</f>
        <v>0.45</v>
      </c>
      <c r="AA120" s="322">
        <f>IFERROR(IF(tblPiNAnalysis512[[#This Row],[Health]]="", "", MROUND(tblPiNAnalysis512[[#This Row],[Health]]/tblPiNAnalysis512[[#This Row],[Affected population projection 2026]], 0.05)), "")</f>
        <v>0.35000000000000003</v>
      </c>
      <c r="AB120" s="323">
        <f>IFERROR(IF(tblPiNAnalysis512[[#This Row],[Overarching Protection]]="", "", MROUND(tblPiNAnalysis512[[#This Row],[Overarching Protection]]/tblPiNAnalysis512[[#This Row],[Affected population projection 2026]], 0.05)), "")</f>
        <v>0.1</v>
      </c>
      <c r="AC120" s="323">
        <f>IFERROR(IF(tblPiNAnalysis512[[#This Row],[Shelter]]="", "", MROUND(tblPiNAnalysis512[[#This Row],[Shelter]]/tblPiNAnalysis512[[#This Row],[Affected population projection 2026]], 0.05)), "")</f>
        <v>0.05</v>
      </c>
      <c r="AD120" s="324">
        <f>IFERROR(IF(tblPiNAnalysis512[[#This Row],[WASH]]="", "", MROUND(tblPiNAnalysis512[[#This Row],[WASH]]/tblPiNAnalysis512[[#This Row],[Affected population projection 2026]], 0.05)), "")</f>
        <v>0.25</v>
      </c>
      <c r="AE120" s="322">
        <f>IFERROR(MROUND(tblPiNAnalysis512[[#This Row],[CP]]/tblPiNAnalysis512[[#This Row],[Affected population projection 2026]], 0.05), "")</f>
        <v>0</v>
      </c>
      <c r="AF120" s="322">
        <f>IFERROR(MROUND(tblPiNAnalysis512[[#This Row],[GBV]]/tblPiNAnalysis512[[#This Row],[Affected population projection 2026]], 0.05), "")</f>
        <v>0</v>
      </c>
      <c r="AG120" s="322">
        <f>IFERROR(MROUND(tblPiNAnalysis512[[#This Row],[Mine Action]]/tblPiNAnalysis512[[#This Row],[Affected population projection 2026]], 0.05), "")</f>
        <v>0</v>
      </c>
      <c r="AH120" s="322">
        <f>IFERROR(MROUND(tblPiNAnalysis512[[#This Row],[HLP]]/tblPiNAnalysis512[[#This Row],[Affected population projection 2026]], 0.05), "")</f>
        <v>0</v>
      </c>
      <c r="AI120" s="325">
        <f>IFERROR(LARGE(tblPiNAnalysis512[[#This Row],[CCCM]:[WASH]], 1), "")</f>
        <v>44990.666204413006</v>
      </c>
      <c r="AJ120" s="326" t="str" cm="1">
        <f t="array" ref="AJ120">IF(tblPiNAnalysis512[[#This Row],[Highest Target]]="", "", _xlfn.TEXTJOIN(CHAR(10), TRUE, IF(tblPiNAnalysis512[[#This Row],[Highest Target]]=tblPiNAnalysis512[[#This Row],[CCCM]:[WASH]], tblPiNAnalysis512[[#Headers],[CCCM]:[WASH]], "")))</f>
        <v>Food Security</v>
      </c>
      <c r="AK120" s="327">
        <f>IF(tblPiNAnalysis512[[#This Row],[Highest Target]]="", "", tblPiNAnalysis512[[#This Row],[Highest Target]]/tblPiNAnalysis512[[#This Row],[Affected population projection 2026]])</f>
        <v>0.42533051253400456</v>
      </c>
      <c r="AL120" s="328" t="str">
        <f>IF(SUM(tblPiNAnalysis512[[#This Row],[CCCM]:[WASH]])=0, "",IF(COUNTIF(tblPiNAnalysis512[[#This Row],[CCCM]:[WASH]],"=0")+COUNTIF(tblPiNAnalysis512[[#This Row],[CCCM]:[WASH]],"")&gt;=zero_pin_thresh, "Flagged", ""))</f>
        <v/>
      </c>
      <c r="AM120" s="329" t="str">
        <f>IFERROR(IF(tblPiNAnalysis512[[#This Row],[Highest Target]]="", "", IF(tblPiNAnalysis512[[#This Row],[Highest sector(s'') Target %]]&gt;=flag_pin_perc, "Flagged", "")), "")</f>
        <v/>
      </c>
      <c r="AN120" s="330" t="str" cm="1">
        <f t="array" ref="AN120">IF(tblPiNAnalysis512[[#This Row],[Highest Target]]=0, "",  IF(OR(COUNTIF(tblPiNAnalysis512[[#This Row],[Highest sector(s)]],tblSubSectorPopulation[Sector])), "Flagged", ""))</f>
        <v/>
      </c>
      <c r="AO120" s="46" cm="1">
        <f t="array" ref="AO12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38338.054769520058</v>
      </c>
      <c r="AP120" s="331" t="str" cm="1">
        <f t="array" ref="AP120">IF(tblPiNAnalysis512[[#This Row],[2nd Highest Target]]="", "", _xlfn.TEXTJOIN(CHAR(10), TRUE, IF(tblPiNAnalysis512[[#This Row],[2nd Highest Target]]=tblPiNAnalysis512[[#This Row],[CCCM]:[WASH]], tblPiNAnalysis512[[#Headers],[CCCM]:[WASH]], "")))</f>
        <v>Nutrition</v>
      </c>
      <c r="AQ120" s="36">
        <f>IFERROR(tblPiNAnalysis512[[#This Row],[2nd Highest Target]]/tblPiNAnalysis512[[#This Row],[Affected population projection 2026]], "")</f>
        <v>0.36243838689984237</v>
      </c>
      <c r="AR120" s="46">
        <f>IFERROR(tblPiNAnalysis512[[#This Row],[Highest Target]]-tblPiNAnalysis512[[#This Row],[2nd Highest Target]], "")</f>
        <v>6652.6114348929477</v>
      </c>
      <c r="AS120" s="39">
        <f>IFERROR(((tblPiNAnalysis512[[#This Row],[Highest Target]]-tblPiNAnalysis512[[#This Row],[2nd Highest Target]])/tblPiNAnalysis512[[#This Row],[2nd Highest Target]]),"")</f>
        <v>0.17352501254659325</v>
      </c>
      <c r="AT120" s="39" t="str" cm="1">
        <f t="array" ref="AT12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0" s="332" cm="1">
        <f t="array" ref="AU12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34918.92102826466</v>
      </c>
      <c r="AV120" s="190" t="str" cm="1">
        <f t="array" ref="AV120">IF(tblPiNAnalysis512[[#This Row],[3rd Highest Target]]="", "", _xlfn.TEXTJOIN(CHAR(10), TRUE, IF(tblPiNAnalysis512[[#This Row],[3rd Highest Target]]=tblPiNAnalysis512[[#This Row],[CCCM]:[WASH]], tblPiNAnalysis512[[#Headers],[CCCM]:[WASH]], "")))</f>
        <v>Health</v>
      </c>
      <c r="AW120" s="190">
        <f>IFERROR(tblPiNAnalysis512[[#This Row],[3rd Highest Target]]/tblPiNAnalysis512[[#This Row],[Affected population projection 2026]], "")</f>
        <v>0.33011475114874911</v>
      </c>
      <c r="AX120" s="45">
        <f>IFERROR(tblPiNAnalysis512[[#This Row],[Highest Target]]-tblPiNAnalysis512[[#This Row],[3rd Highest Target]],"")</f>
        <v>10071.745176148346</v>
      </c>
      <c r="AY120" s="39">
        <f>IFERROR(tblPiNAnalysis512[[#This Row],[Difference of Target between Highest and 3rd Highest]]/tblPiNAnalysis512[[#This Row],[3rd Highest Target]], "")</f>
        <v>0.28843231347256992</v>
      </c>
      <c r="AZ120" s="330" t="str" cm="1">
        <f t="array" ref="AZ12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0" s="300" t="str" cm="1">
        <f t="array" ref="BA12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0" s="333" t="str" cm="1">
        <f t="array" ref="BB12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20" s="276" t="str" cm="1">
        <f t="array" ref="BC12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0" s="334" t="str" cm="1">
        <f t="array" ref="BD12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20" s="277" t="e">
        <f>INDEX(tblSeverityAnalysis[Final Severity], MATCH(tblPiNAnalysis512[[#This Row],[ID]],tblSeverityAnalysis[ID], 0))</f>
        <v>#N/A</v>
      </c>
      <c r="BF120" s="61" t="e">
        <f>IF(tblPiNAnalysis512[[#This Row],[Severity]]&gt;2,tblPiNAnalysis512[[#This Row],[Highest Target]],)</f>
        <v>#N/A</v>
      </c>
      <c r="BG120" s="191"/>
      <c r="BH120" s="192"/>
      <c r="BI120" s="193">
        <f>COUNTIFS(tblPiNAnalysis512[[#This Row],[Number of missing / zero PiNs greater than threshold - Data quality]:[Manual Flag]],"Flagged")</f>
        <v>0</v>
      </c>
      <c r="BJ120" s="96" t="str">
        <f>IF(tblPiNAnalysis512[[#This Row],['# Flags]]&gt;0, "Flagged", "")</f>
        <v/>
      </c>
      <c r="BK120" s="326" t="e">
        <f>tblPiNAnalysis512[[#This Row],[Preliminary Target]]</f>
        <v>#N/A</v>
      </c>
      <c r="BL120" s="331">
        <v>2</v>
      </c>
    </row>
    <row r="121" spans="1:64" x14ac:dyDescent="0.55000000000000004">
      <c r="A1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1" s="316" t="s">
        <v>310</v>
      </c>
      <c r="C121" s="317" t="s">
        <v>311</v>
      </c>
      <c r="D121" s="317" t="s">
        <v>320</v>
      </c>
      <c r="E121" s="105" t="s">
        <v>321</v>
      </c>
      <c r="F121" s="100"/>
      <c r="G121" s="34"/>
      <c r="H121" s="34"/>
      <c r="I121" s="97">
        <v>138670.80517744401</v>
      </c>
      <c r="J121" s="97" t="s">
        <v>413</v>
      </c>
      <c r="K121" s="318"/>
      <c r="L121" s="319"/>
      <c r="M121" s="319"/>
      <c r="N121" s="319"/>
      <c r="O121" s="319"/>
      <c r="P121" s="319"/>
      <c r="Q121" s="320"/>
      <c r="R121" s="319"/>
      <c r="S121" s="319"/>
      <c r="T121" s="319"/>
      <c r="U121" s="319"/>
      <c r="V121" s="319"/>
      <c r="W121" s="321" t="str">
        <f>IFERROR(IF(tblPiNAnalysis512[[#This Row],[CCCM]]="", "", MROUND(tblPiNAnalysis512[[#This Row],[CCCM]]/tblPiNAnalysis512[[#This Row],[Affected population projection 2026]], 0.05)), "")</f>
        <v/>
      </c>
      <c r="X121" s="322" t="str">
        <f>IFERROR(IF(tblPiNAnalysis512[[#This Row],[Education]]="", "", MROUND(tblPiNAnalysis512[[#This Row],[Education]]/tblPiNAnalysis512[[#This Row],[Affected population projection 2026]], 0.05)), "")</f>
        <v/>
      </c>
      <c r="Y121" s="322" t="str">
        <f>IFERROR(IF(tblPiNAnalysis512[[#This Row],[Nutrition]]="", "", MROUND(tblPiNAnalysis512[[#This Row],[Nutrition]]/tblPiNAnalysis512[[#This Row],[Affected population projection 2026]], 0.05)), "")</f>
        <v/>
      </c>
      <c r="Z121" s="322" t="str">
        <f>IFERROR(IF(tblPiNAnalysis512[[#This Row],[Food Security]]="", "", MROUND(tblPiNAnalysis512[[#This Row],[Food Security]]/tblPiNAnalysis512[[#This Row],[Affected population projection 2026]], 0.05)), "")</f>
        <v/>
      </c>
      <c r="AA121" s="322" t="str">
        <f>IFERROR(IF(tblPiNAnalysis512[[#This Row],[Health]]="", "", MROUND(tblPiNAnalysis512[[#This Row],[Health]]/tblPiNAnalysis512[[#This Row],[Affected population projection 2026]], 0.05)), "")</f>
        <v/>
      </c>
      <c r="AB121" s="323" t="str">
        <f>IFERROR(IF(tblPiNAnalysis512[[#This Row],[Overarching Protection]]="", "", MROUND(tblPiNAnalysis512[[#This Row],[Overarching Protection]]/tblPiNAnalysis512[[#This Row],[Affected population projection 2026]], 0.05)), "")</f>
        <v/>
      </c>
      <c r="AC121" s="323" t="str">
        <f>IFERROR(IF(tblPiNAnalysis512[[#This Row],[Shelter]]="", "", MROUND(tblPiNAnalysis512[[#This Row],[Shelter]]/tblPiNAnalysis512[[#This Row],[Affected population projection 2026]], 0.05)), "")</f>
        <v/>
      </c>
      <c r="AD121" s="324" t="str">
        <f>IFERROR(IF(tblPiNAnalysis512[[#This Row],[WASH]]="", "", MROUND(tblPiNAnalysis512[[#This Row],[WASH]]/tblPiNAnalysis512[[#This Row],[Affected population projection 2026]], 0.05)), "")</f>
        <v/>
      </c>
      <c r="AE121" s="322">
        <f>IFERROR(MROUND(tblPiNAnalysis512[[#This Row],[CP]]/tblPiNAnalysis512[[#This Row],[Affected population projection 2026]], 0.05), "")</f>
        <v>0</v>
      </c>
      <c r="AF121" s="322">
        <f>IFERROR(MROUND(tblPiNAnalysis512[[#This Row],[GBV]]/tblPiNAnalysis512[[#This Row],[Affected population projection 2026]], 0.05), "")</f>
        <v>0</v>
      </c>
      <c r="AG121" s="322">
        <f>IFERROR(MROUND(tblPiNAnalysis512[[#This Row],[Mine Action]]/tblPiNAnalysis512[[#This Row],[Affected population projection 2026]], 0.05), "")</f>
        <v>0</v>
      </c>
      <c r="AH121" s="322">
        <f>IFERROR(MROUND(tblPiNAnalysis512[[#This Row],[HLP]]/tblPiNAnalysis512[[#This Row],[Affected population projection 2026]], 0.05), "")</f>
        <v>0</v>
      </c>
      <c r="AI121" s="325" t="str">
        <f>IFERROR(LARGE(tblPiNAnalysis512[[#This Row],[CCCM]:[WASH]], 1), "")</f>
        <v/>
      </c>
      <c r="AJ121" s="326" t="str" cm="1">
        <f t="array" ref="AJ121">IF(tblPiNAnalysis512[[#This Row],[Highest Target]]="", "", _xlfn.TEXTJOIN(CHAR(10), TRUE, IF(tblPiNAnalysis512[[#This Row],[Highest Target]]=tblPiNAnalysis512[[#This Row],[CCCM]:[WASH]], tblPiNAnalysis512[[#Headers],[CCCM]:[WASH]], "")))</f>
        <v/>
      </c>
      <c r="AK121" s="327" t="str">
        <f>IF(tblPiNAnalysis512[[#This Row],[Highest Target]]="", "", tblPiNAnalysis512[[#This Row],[Highest Target]]/tblPiNAnalysis512[[#This Row],[Affected population projection 2026]])</f>
        <v/>
      </c>
      <c r="AL121" s="328" t="str">
        <f>IF(SUM(tblPiNAnalysis512[[#This Row],[CCCM]:[WASH]])=0, "",IF(COUNTIF(tblPiNAnalysis512[[#This Row],[CCCM]:[WASH]],"=0")+COUNTIF(tblPiNAnalysis512[[#This Row],[CCCM]:[WASH]],"")&gt;=zero_pin_thresh, "Flagged", ""))</f>
        <v/>
      </c>
      <c r="AM121" s="329" t="str">
        <f>IFERROR(IF(tblPiNAnalysis512[[#This Row],[Highest Target]]="", "", IF(tblPiNAnalysis512[[#This Row],[Highest sector(s'') Target %]]&gt;=flag_pin_perc, "Flagged", "")), "")</f>
        <v/>
      </c>
      <c r="AN121" s="330" t="str" cm="1">
        <f t="array" ref="AN121">IF(tblPiNAnalysis512[[#This Row],[Highest Target]]=0, "",  IF(OR(COUNTIF(tblPiNAnalysis512[[#This Row],[Highest sector(s)]],tblSubSectorPopulation[Sector])), "Flagged", ""))</f>
        <v/>
      </c>
      <c r="AO121" s="46" t="str" cm="1">
        <f t="array" ref="AO12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21" s="331" t="str" cm="1">
        <f t="array" ref="AP121">IF(tblPiNAnalysis512[[#This Row],[2nd Highest Target]]="", "", _xlfn.TEXTJOIN(CHAR(10), TRUE, IF(tblPiNAnalysis512[[#This Row],[2nd Highest Target]]=tblPiNAnalysis512[[#This Row],[CCCM]:[WASH]], tblPiNAnalysis512[[#Headers],[CCCM]:[WASH]], "")))</f>
        <v/>
      </c>
      <c r="AQ121" s="36" t="str">
        <f>IFERROR(tblPiNAnalysis512[[#This Row],[2nd Highest Target]]/tblPiNAnalysis512[[#This Row],[Affected population projection 2026]], "")</f>
        <v/>
      </c>
      <c r="AR121" s="46" t="str">
        <f>IFERROR(tblPiNAnalysis512[[#This Row],[Highest Target]]-tblPiNAnalysis512[[#This Row],[2nd Highest Target]], "")</f>
        <v/>
      </c>
      <c r="AS121" s="39" t="str">
        <f>IFERROR(((tblPiNAnalysis512[[#This Row],[Highest Target]]-tblPiNAnalysis512[[#This Row],[2nd Highest Target]])/tblPiNAnalysis512[[#This Row],[2nd Highest Target]]),"")</f>
        <v/>
      </c>
      <c r="AT121" s="39" t="str" cm="1">
        <f t="array" ref="AT12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1" s="332" t="str" cm="1">
        <f t="array" ref="AU12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21" s="190" t="str" cm="1">
        <f t="array" ref="AV121">IF(tblPiNAnalysis512[[#This Row],[3rd Highest Target]]="", "", _xlfn.TEXTJOIN(CHAR(10), TRUE, IF(tblPiNAnalysis512[[#This Row],[3rd Highest Target]]=tblPiNAnalysis512[[#This Row],[CCCM]:[WASH]], tblPiNAnalysis512[[#Headers],[CCCM]:[WASH]], "")))</f>
        <v/>
      </c>
      <c r="AW121" s="190" t="str">
        <f>IFERROR(tblPiNAnalysis512[[#This Row],[3rd Highest Target]]/tblPiNAnalysis512[[#This Row],[Affected population projection 2026]], "")</f>
        <v/>
      </c>
      <c r="AX121" s="45" t="str">
        <f>IFERROR(tblPiNAnalysis512[[#This Row],[Highest Target]]-tblPiNAnalysis512[[#This Row],[3rd Highest Target]],"")</f>
        <v/>
      </c>
      <c r="AY121" s="39" t="str">
        <f>IFERROR(tblPiNAnalysis512[[#This Row],[Difference of Target between Highest and 3rd Highest]]/tblPiNAnalysis512[[#This Row],[3rd Highest Target]], "")</f>
        <v/>
      </c>
      <c r="AZ121" s="330" t="str" cm="1">
        <f t="array" ref="AZ12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1" s="300" t="str" cm="1">
        <f t="array" ref="BA12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1" s="333" t="str" cm="1">
        <f t="array" ref="BB12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1" s="276" t="str" cm="1">
        <f t="array" ref="BC12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1" s="334" t="str" cm="1">
        <f t="array" ref="BD12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1" s="277" t="e">
        <f>INDEX(tblSeverityAnalysis[Final Severity], MATCH(tblPiNAnalysis512[[#This Row],[ID]],tblSeverityAnalysis[ID], 0))</f>
        <v>#N/A</v>
      </c>
      <c r="BF121" s="61" t="e">
        <f>IF(tblPiNAnalysis512[[#This Row],[Severity]]&gt;2,tblPiNAnalysis512[[#This Row],[Highest Target]],)</f>
        <v>#N/A</v>
      </c>
      <c r="BG121" s="191"/>
      <c r="BH121" s="192"/>
      <c r="BI121" s="193">
        <f>COUNTIFS(tblPiNAnalysis512[[#This Row],[Number of missing / zero PiNs greater than threshold - Data quality]:[Manual Flag]],"Flagged")</f>
        <v>2</v>
      </c>
      <c r="BJ121" s="96" t="str">
        <f>IF(tblPiNAnalysis512[[#This Row],['# Flags]]&gt;0, "Flagged", "")</f>
        <v>Flagged</v>
      </c>
      <c r="BK121" s="326" t="e">
        <f>tblPiNAnalysis512[[#This Row],[Preliminary Target]]</f>
        <v>#N/A</v>
      </c>
      <c r="BL121" s="331">
        <v>3</v>
      </c>
    </row>
    <row r="122" spans="1:64" ht="110.7" x14ac:dyDescent="0.55000000000000004">
      <c r="A1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2" s="316" t="s">
        <v>322</v>
      </c>
      <c r="C122" s="317" t="s">
        <v>323</v>
      </c>
      <c r="D122" s="317" t="s">
        <v>324</v>
      </c>
      <c r="E122" s="105" t="s">
        <v>325</v>
      </c>
      <c r="F122" s="100"/>
      <c r="G122" s="34"/>
      <c r="H122" s="34"/>
      <c r="I122" s="97">
        <v>39195.118555506007</v>
      </c>
      <c r="J122" s="97" t="s">
        <v>413</v>
      </c>
      <c r="K122" s="318">
        <v>0</v>
      </c>
      <c r="L122" s="319">
        <v>0</v>
      </c>
      <c r="M122" s="319">
        <v>0</v>
      </c>
      <c r="N122" s="319">
        <v>0</v>
      </c>
      <c r="O122" s="319">
        <v>0</v>
      </c>
      <c r="P122" s="319">
        <v>0</v>
      </c>
      <c r="Q122" s="320">
        <v>0</v>
      </c>
      <c r="R122" s="319">
        <v>0</v>
      </c>
      <c r="S122" s="319"/>
      <c r="T122" s="319"/>
      <c r="U122" s="319"/>
      <c r="V122" s="319"/>
      <c r="W122" s="321">
        <f>IFERROR(IF(tblPiNAnalysis512[[#This Row],[CCCM]]="", "", MROUND(tblPiNAnalysis512[[#This Row],[CCCM]]/tblPiNAnalysis512[[#This Row],[Affected population projection 2026]], 0.05)), "")</f>
        <v>0</v>
      </c>
      <c r="X122" s="322">
        <f>IFERROR(IF(tblPiNAnalysis512[[#This Row],[Education]]="", "", MROUND(tblPiNAnalysis512[[#This Row],[Education]]/tblPiNAnalysis512[[#This Row],[Affected population projection 2026]], 0.05)), "")</f>
        <v>0</v>
      </c>
      <c r="Y122" s="322">
        <f>IFERROR(IF(tblPiNAnalysis512[[#This Row],[Nutrition]]="", "", MROUND(tblPiNAnalysis512[[#This Row],[Nutrition]]/tblPiNAnalysis512[[#This Row],[Affected population projection 2026]], 0.05)), "")</f>
        <v>0</v>
      </c>
      <c r="Z122" s="322">
        <f>IFERROR(IF(tblPiNAnalysis512[[#This Row],[Food Security]]="", "", MROUND(tblPiNAnalysis512[[#This Row],[Food Security]]/tblPiNAnalysis512[[#This Row],[Affected population projection 2026]], 0.05)), "")</f>
        <v>0</v>
      </c>
      <c r="AA122" s="322">
        <f>IFERROR(IF(tblPiNAnalysis512[[#This Row],[Health]]="", "", MROUND(tblPiNAnalysis512[[#This Row],[Health]]/tblPiNAnalysis512[[#This Row],[Affected population projection 2026]], 0.05)), "")</f>
        <v>0</v>
      </c>
      <c r="AB122" s="323">
        <f>IFERROR(IF(tblPiNAnalysis512[[#This Row],[Overarching Protection]]="", "", MROUND(tblPiNAnalysis512[[#This Row],[Overarching Protection]]/tblPiNAnalysis512[[#This Row],[Affected population projection 2026]], 0.05)), "")</f>
        <v>0</v>
      </c>
      <c r="AC122" s="323">
        <f>IFERROR(IF(tblPiNAnalysis512[[#This Row],[Shelter]]="", "", MROUND(tblPiNAnalysis512[[#This Row],[Shelter]]/tblPiNAnalysis512[[#This Row],[Affected population projection 2026]], 0.05)), "")</f>
        <v>0</v>
      </c>
      <c r="AD122" s="324">
        <f>IFERROR(IF(tblPiNAnalysis512[[#This Row],[WASH]]="", "", MROUND(tblPiNAnalysis512[[#This Row],[WASH]]/tblPiNAnalysis512[[#This Row],[Affected population projection 2026]], 0.05)), "")</f>
        <v>0</v>
      </c>
      <c r="AE122" s="322">
        <f>IFERROR(MROUND(tblPiNAnalysis512[[#This Row],[CP]]/tblPiNAnalysis512[[#This Row],[Affected population projection 2026]], 0.05), "")</f>
        <v>0</v>
      </c>
      <c r="AF122" s="322">
        <f>IFERROR(MROUND(tblPiNAnalysis512[[#This Row],[GBV]]/tblPiNAnalysis512[[#This Row],[Affected population projection 2026]], 0.05), "")</f>
        <v>0</v>
      </c>
      <c r="AG122" s="322">
        <f>IFERROR(MROUND(tblPiNAnalysis512[[#This Row],[Mine Action]]/tblPiNAnalysis512[[#This Row],[Affected population projection 2026]], 0.05), "")</f>
        <v>0</v>
      </c>
      <c r="AH122" s="322">
        <f>IFERROR(MROUND(tblPiNAnalysis512[[#This Row],[HLP]]/tblPiNAnalysis512[[#This Row],[Affected population projection 2026]], 0.05), "")</f>
        <v>0</v>
      </c>
      <c r="AI122" s="325">
        <f>IFERROR(LARGE(tblPiNAnalysis512[[#This Row],[CCCM]:[WASH]], 1), "")</f>
        <v>0</v>
      </c>
      <c r="AJ122" s="326" t="str" cm="1">
        <f t="array" ref="AJ122">IF(tblPiNAnalysis512[[#This Row],[Highest Target]]="", "", _xlfn.TEXTJOIN(CHAR(10), TRUE, IF(tblPiNAnalysis512[[#This Row],[Highest Target]]=tblPiNAnalysis512[[#This Row],[CCCM]:[WASH]], tblPiNAnalysis512[[#Headers],[CCCM]:[WASH]], "")))</f>
        <v>CCCM
Education
Nutrition
Food Security
Health
Overarching Protection
Shelter
WASH</v>
      </c>
      <c r="AK122" s="327">
        <f>IF(tblPiNAnalysis512[[#This Row],[Highest Target]]="", "", tblPiNAnalysis512[[#This Row],[Highest Target]]/tblPiNAnalysis512[[#This Row],[Affected population projection 2026]])</f>
        <v>0</v>
      </c>
      <c r="AL122" s="328" t="str">
        <f>IF(SUM(tblPiNAnalysis512[[#This Row],[CCCM]:[WASH]])=0, "",IF(COUNTIF(tblPiNAnalysis512[[#This Row],[CCCM]:[WASH]],"=0")+COUNTIF(tblPiNAnalysis512[[#This Row],[CCCM]:[WASH]],"")&gt;=zero_pin_thresh, "Flagged", ""))</f>
        <v/>
      </c>
      <c r="AM122" s="329" t="str">
        <f>IFERROR(IF(tblPiNAnalysis512[[#This Row],[Highest Target]]="", "", IF(tblPiNAnalysis512[[#This Row],[Highest sector(s'') Target %]]&gt;=flag_pin_perc, "Flagged", "")), "")</f>
        <v/>
      </c>
      <c r="AN122" s="330" t="str" cm="1">
        <f t="array" ref="AN122">IF(tblPiNAnalysis512[[#This Row],[Highest Target]]=0, "",  IF(OR(COUNTIF(tblPiNAnalysis512[[#This Row],[Highest sector(s)]],tblSubSectorPopulation[Sector])), "Flagged", ""))</f>
        <v/>
      </c>
      <c r="AO122" s="46" cm="1">
        <f t="array" ref="AO12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22" s="331" t="str" cm="1">
        <f t="array" ref="AP122">IF(tblPiNAnalysis512[[#This Row],[2nd Highest Target]]="", "", _xlfn.TEXTJOIN(CHAR(10), TRUE, IF(tblPiNAnalysis512[[#This Row],[2nd Highest Target]]=tblPiNAnalysis512[[#This Row],[CCCM]:[WASH]], tblPiNAnalysis512[[#Headers],[CCCM]:[WASH]], "")))</f>
        <v>CCCM
Education
Nutrition
Food Security
Health
Overarching Protection
Shelter
WASH</v>
      </c>
      <c r="AQ122" s="36">
        <f>IFERROR(tblPiNAnalysis512[[#This Row],[2nd Highest Target]]/tblPiNAnalysis512[[#This Row],[Affected population projection 2026]], "")</f>
        <v>0</v>
      </c>
      <c r="AR122" s="46">
        <f>IFERROR(tblPiNAnalysis512[[#This Row],[Highest Target]]-tblPiNAnalysis512[[#This Row],[2nd Highest Target]], "")</f>
        <v>0</v>
      </c>
      <c r="AS122" s="39" t="str">
        <f>IFERROR(((tblPiNAnalysis512[[#This Row],[Highest Target]]-tblPiNAnalysis512[[#This Row],[2nd Highest Target]])/tblPiNAnalysis512[[#This Row],[2nd Highest Target]]),"")</f>
        <v/>
      </c>
      <c r="AT122" s="39" t="str" cm="1">
        <f t="array" ref="AT12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2" s="332" cm="1">
        <f t="array" ref="AU12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22" s="190" t="str" cm="1">
        <f t="array" ref="AV122">IF(tblPiNAnalysis512[[#This Row],[3rd Highest Target]]="", "", _xlfn.TEXTJOIN(CHAR(10), TRUE, IF(tblPiNAnalysis512[[#This Row],[3rd Highest Target]]=tblPiNAnalysis512[[#This Row],[CCCM]:[WASH]], tblPiNAnalysis512[[#Headers],[CCCM]:[WASH]], "")))</f>
        <v>CCCM
Education
Nutrition
Food Security
Health
Overarching Protection
Shelter
WASH</v>
      </c>
      <c r="AW122" s="190">
        <f>IFERROR(tblPiNAnalysis512[[#This Row],[3rd Highest Target]]/tblPiNAnalysis512[[#This Row],[Affected population projection 2026]], "")</f>
        <v>0</v>
      </c>
      <c r="AX122" s="45">
        <f>IFERROR(tblPiNAnalysis512[[#This Row],[Highest Target]]-tblPiNAnalysis512[[#This Row],[3rd Highest Target]],"")</f>
        <v>0</v>
      </c>
      <c r="AY122" s="39" t="str">
        <f>IFERROR(tblPiNAnalysis512[[#This Row],[Difference of Target between Highest and 3rd Highest]]/tblPiNAnalysis512[[#This Row],[3rd Highest Target]], "")</f>
        <v/>
      </c>
      <c r="AZ122" s="330" t="str" cm="1">
        <f t="array" ref="AZ12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2" s="300" t="str" cm="1">
        <f t="array" ref="BA12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2" s="333" t="str" cm="1">
        <f t="array" ref="BB12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2" s="276" t="str" cm="1">
        <f t="array" ref="BC12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2" s="334" t="str" cm="1">
        <f t="array" ref="BD12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2" s="277" t="e">
        <f>INDEX(tblSeverityAnalysis[Final Severity], MATCH(tblPiNAnalysis512[[#This Row],[ID]],tblSeverityAnalysis[ID], 0))</f>
        <v>#N/A</v>
      </c>
      <c r="BF122" s="61" t="e">
        <f>IF(tblPiNAnalysis512[[#This Row],[Severity]]&gt;2,tblPiNAnalysis512[[#This Row],[Highest Target]],)</f>
        <v>#N/A</v>
      </c>
      <c r="BG122" s="191"/>
      <c r="BH122" s="192"/>
      <c r="BI122" s="193">
        <f>COUNTIFS(tblPiNAnalysis512[[#This Row],[Number of missing / zero PiNs greater than threshold - Data quality]:[Manual Flag]],"Flagged")</f>
        <v>2</v>
      </c>
      <c r="BJ122" s="96" t="str">
        <f>IF(tblPiNAnalysis512[[#This Row],['# Flags]]&gt;0, "Flagged", "")</f>
        <v>Flagged</v>
      </c>
      <c r="BK122" s="326" t="e">
        <f>tblPiNAnalysis512[[#This Row],[Preliminary Target]]</f>
        <v>#N/A</v>
      </c>
      <c r="BL122" s="331">
        <v>4</v>
      </c>
    </row>
    <row r="123" spans="1:64" x14ac:dyDescent="0.55000000000000004">
      <c r="A1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3" s="316" t="s">
        <v>322</v>
      </c>
      <c r="C123" s="317" t="s">
        <v>323</v>
      </c>
      <c r="D123" s="317" t="s">
        <v>326</v>
      </c>
      <c r="E123" s="105" t="s">
        <v>327</v>
      </c>
      <c r="F123" s="100"/>
      <c r="G123" s="34"/>
      <c r="H123" s="34"/>
      <c r="I123" s="97">
        <v>37012.158261154211</v>
      </c>
      <c r="J123" s="97" t="s">
        <v>413</v>
      </c>
      <c r="K123" s="318"/>
      <c r="L123" s="319"/>
      <c r="M123" s="319"/>
      <c r="N123" s="319"/>
      <c r="O123" s="319"/>
      <c r="P123" s="319"/>
      <c r="Q123" s="320"/>
      <c r="R123" s="319"/>
      <c r="S123" s="319"/>
      <c r="T123" s="319"/>
      <c r="U123" s="319"/>
      <c r="V123" s="319"/>
      <c r="W123" s="321" t="str">
        <f>IFERROR(IF(tblPiNAnalysis512[[#This Row],[CCCM]]="", "", MROUND(tblPiNAnalysis512[[#This Row],[CCCM]]/tblPiNAnalysis512[[#This Row],[Affected population projection 2026]], 0.05)), "")</f>
        <v/>
      </c>
      <c r="X123" s="322" t="str">
        <f>IFERROR(IF(tblPiNAnalysis512[[#This Row],[Education]]="", "", MROUND(tblPiNAnalysis512[[#This Row],[Education]]/tblPiNAnalysis512[[#This Row],[Affected population projection 2026]], 0.05)), "")</f>
        <v/>
      </c>
      <c r="Y123" s="322" t="str">
        <f>IFERROR(IF(tblPiNAnalysis512[[#This Row],[Nutrition]]="", "", MROUND(tblPiNAnalysis512[[#This Row],[Nutrition]]/tblPiNAnalysis512[[#This Row],[Affected population projection 2026]], 0.05)), "")</f>
        <v/>
      </c>
      <c r="Z123" s="322" t="str">
        <f>IFERROR(IF(tblPiNAnalysis512[[#This Row],[Food Security]]="", "", MROUND(tblPiNAnalysis512[[#This Row],[Food Security]]/tblPiNAnalysis512[[#This Row],[Affected population projection 2026]], 0.05)), "")</f>
        <v/>
      </c>
      <c r="AA123" s="322" t="str">
        <f>IFERROR(IF(tblPiNAnalysis512[[#This Row],[Health]]="", "", MROUND(tblPiNAnalysis512[[#This Row],[Health]]/tblPiNAnalysis512[[#This Row],[Affected population projection 2026]], 0.05)), "")</f>
        <v/>
      </c>
      <c r="AB123" s="323" t="str">
        <f>IFERROR(IF(tblPiNAnalysis512[[#This Row],[Overarching Protection]]="", "", MROUND(tblPiNAnalysis512[[#This Row],[Overarching Protection]]/tblPiNAnalysis512[[#This Row],[Affected population projection 2026]], 0.05)), "")</f>
        <v/>
      </c>
      <c r="AC123" s="323" t="str">
        <f>IFERROR(IF(tblPiNAnalysis512[[#This Row],[Shelter]]="", "", MROUND(tblPiNAnalysis512[[#This Row],[Shelter]]/tblPiNAnalysis512[[#This Row],[Affected population projection 2026]], 0.05)), "")</f>
        <v/>
      </c>
      <c r="AD123" s="324" t="str">
        <f>IFERROR(IF(tblPiNAnalysis512[[#This Row],[WASH]]="", "", MROUND(tblPiNAnalysis512[[#This Row],[WASH]]/tblPiNAnalysis512[[#This Row],[Affected population projection 2026]], 0.05)), "")</f>
        <v/>
      </c>
      <c r="AE123" s="322">
        <f>IFERROR(MROUND(tblPiNAnalysis512[[#This Row],[CP]]/tblPiNAnalysis512[[#This Row],[Affected population projection 2026]], 0.05), "")</f>
        <v>0</v>
      </c>
      <c r="AF123" s="322">
        <f>IFERROR(MROUND(tblPiNAnalysis512[[#This Row],[GBV]]/tblPiNAnalysis512[[#This Row],[Affected population projection 2026]], 0.05), "")</f>
        <v>0</v>
      </c>
      <c r="AG123" s="322">
        <f>IFERROR(MROUND(tblPiNAnalysis512[[#This Row],[Mine Action]]/tblPiNAnalysis512[[#This Row],[Affected population projection 2026]], 0.05), "")</f>
        <v>0</v>
      </c>
      <c r="AH123" s="322">
        <f>IFERROR(MROUND(tblPiNAnalysis512[[#This Row],[HLP]]/tblPiNAnalysis512[[#This Row],[Affected population projection 2026]], 0.05), "")</f>
        <v>0</v>
      </c>
      <c r="AI123" s="325" t="str">
        <f>IFERROR(LARGE(tblPiNAnalysis512[[#This Row],[CCCM]:[WASH]], 1), "")</f>
        <v/>
      </c>
      <c r="AJ123" s="326" t="str" cm="1">
        <f t="array" ref="AJ123">IF(tblPiNAnalysis512[[#This Row],[Highest Target]]="", "", _xlfn.TEXTJOIN(CHAR(10), TRUE, IF(tblPiNAnalysis512[[#This Row],[Highest Target]]=tblPiNAnalysis512[[#This Row],[CCCM]:[WASH]], tblPiNAnalysis512[[#Headers],[CCCM]:[WASH]], "")))</f>
        <v/>
      </c>
      <c r="AK123" s="327" t="str">
        <f>IF(tblPiNAnalysis512[[#This Row],[Highest Target]]="", "", tblPiNAnalysis512[[#This Row],[Highest Target]]/tblPiNAnalysis512[[#This Row],[Affected population projection 2026]])</f>
        <v/>
      </c>
      <c r="AL123" s="328" t="str">
        <f>IF(SUM(tblPiNAnalysis512[[#This Row],[CCCM]:[WASH]])=0, "",IF(COUNTIF(tblPiNAnalysis512[[#This Row],[CCCM]:[WASH]],"=0")+COUNTIF(tblPiNAnalysis512[[#This Row],[CCCM]:[WASH]],"")&gt;=zero_pin_thresh, "Flagged", ""))</f>
        <v/>
      </c>
      <c r="AM123" s="329" t="str">
        <f>IFERROR(IF(tblPiNAnalysis512[[#This Row],[Highest Target]]="", "", IF(tblPiNAnalysis512[[#This Row],[Highest sector(s'') Target %]]&gt;=flag_pin_perc, "Flagged", "")), "")</f>
        <v/>
      </c>
      <c r="AN123" s="330" t="str" cm="1">
        <f t="array" ref="AN123">IF(tblPiNAnalysis512[[#This Row],[Highest Target]]=0, "",  IF(OR(COUNTIF(tblPiNAnalysis512[[#This Row],[Highest sector(s)]],tblSubSectorPopulation[Sector])), "Flagged", ""))</f>
        <v/>
      </c>
      <c r="AO123" s="46" t="str" cm="1">
        <f t="array" ref="AO12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23" s="331" t="str" cm="1">
        <f t="array" ref="AP123">IF(tblPiNAnalysis512[[#This Row],[2nd Highest Target]]="", "", _xlfn.TEXTJOIN(CHAR(10), TRUE, IF(tblPiNAnalysis512[[#This Row],[2nd Highest Target]]=tblPiNAnalysis512[[#This Row],[CCCM]:[WASH]], tblPiNAnalysis512[[#Headers],[CCCM]:[WASH]], "")))</f>
        <v/>
      </c>
      <c r="AQ123" s="36" t="str">
        <f>IFERROR(tblPiNAnalysis512[[#This Row],[2nd Highest Target]]/tblPiNAnalysis512[[#This Row],[Affected population projection 2026]], "")</f>
        <v/>
      </c>
      <c r="AR123" s="46" t="str">
        <f>IFERROR(tblPiNAnalysis512[[#This Row],[Highest Target]]-tblPiNAnalysis512[[#This Row],[2nd Highest Target]], "")</f>
        <v/>
      </c>
      <c r="AS123" s="39" t="str">
        <f>IFERROR(((tblPiNAnalysis512[[#This Row],[Highest Target]]-tblPiNAnalysis512[[#This Row],[2nd Highest Target]])/tblPiNAnalysis512[[#This Row],[2nd Highest Target]]),"")</f>
        <v/>
      </c>
      <c r="AT123" s="39" t="str" cm="1">
        <f t="array" ref="AT12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3" s="332" t="str" cm="1">
        <f t="array" ref="AU12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23" s="190" t="str" cm="1">
        <f t="array" ref="AV123">IF(tblPiNAnalysis512[[#This Row],[3rd Highest Target]]="", "", _xlfn.TEXTJOIN(CHAR(10), TRUE, IF(tblPiNAnalysis512[[#This Row],[3rd Highest Target]]=tblPiNAnalysis512[[#This Row],[CCCM]:[WASH]], tblPiNAnalysis512[[#Headers],[CCCM]:[WASH]], "")))</f>
        <v/>
      </c>
      <c r="AW123" s="190" t="str">
        <f>IFERROR(tblPiNAnalysis512[[#This Row],[3rd Highest Target]]/tblPiNAnalysis512[[#This Row],[Affected population projection 2026]], "")</f>
        <v/>
      </c>
      <c r="AX123" s="45" t="str">
        <f>IFERROR(tblPiNAnalysis512[[#This Row],[Highest Target]]-tblPiNAnalysis512[[#This Row],[3rd Highest Target]],"")</f>
        <v/>
      </c>
      <c r="AY123" s="39" t="str">
        <f>IFERROR(tblPiNAnalysis512[[#This Row],[Difference of Target between Highest and 3rd Highest]]/tblPiNAnalysis512[[#This Row],[3rd Highest Target]], "")</f>
        <v/>
      </c>
      <c r="AZ123" s="330" t="str" cm="1">
        <f t="array" ref="AZ12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3" s="300" t="str" cm="1">
        <f t="array" ref="BA12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3" s="333" t="str" cm="1">
        <f t="array" ref="BB12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3" s="276" t="str" cm="1">
        <f t="array" ref="BC12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3" s="334" t="str" cm="1">
        <f t="array" ref="BD12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3" s="277" t="e">
        <f>INDEX(tblSeverityAnalysis[Final Severity], MATCH(tblPiNAnalysis512[[#This Row],[ID]],tblSeverityAnalysis[ID], 0))</f>
        <v>#N/A</v>
      </c>
      <c r="BF123" s="61" t="e">
        <f>IF(tblPiNAnalysis512[[#This Row],[Severity]]&gt;2,tblPiNAnalysis512[[#This Row],[Highest Target]],)</f>
        <v>#N/A</v>
      </c>
      <c r="BG123" s="191"/>
      <c r="BH123" s="192"/>
      <c r="BI123" s="193">
        <f>COUNTIFS(tblPiNAnalysis512[[#This Row],[Number of missing / zero PiNs greater than threshold - Data quality]:[Manual Flag]],"Flagged")</f>
        <v>2</v>
      </c>
      <c r="BJ123" s="96" t="str">
        <f>IF(tblPiNAnalysis512[[#This Row],['# Flags]]&gt;0, "Flagged", "")</f>
        <v>Flagged</v>
      </c>
      <c r="BK123" s="326" t="e">
        <f>tblPiNAnalysis512[[#This Row],[Preliminary Target]]</f>
        <v>#N/A</v>
      </c>
      <c r="BL123" s="331">
        <v>3</v>
      </c>
    </row>
    <row r="124" spans="1:64" x14ac:dyDescent="0.55000000000000004">
      <c r="A1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4" s="316" t="s">
        <v>322</v>
      </c>
      <c r="C124" s="317" t="s">
        <v>323</v>
      </c>
      <c r="D124" s="317" t="s">
        <v>328</v>
      </c>
      <c r="E124" s="105" t="s">
        <v>329</v>
      </c>
      <c r="F124" s="100"/>
      <c r="G124" s="34"/>
      <c r="H124" s="34"/>
      <c r="I124" s="97">
        <v>52356.268586149592</v>
      </c>
      <c r="J124" s="97" t="s">
        <v>413</v>
      </c>
      <c r="K124" s="318"/>
      <c r="L124" s="319"/>
      <c r="M124" s="319"/>
      <c r="N124" s="319"/>
      <c r="O124" s="319"/>
      <c r="P124" s="319"/>
      <c r="Q124" s="320"/>
      <c r="R124" s="319"/>
      <c r="S124" s="319"/>
      <c r="T124" s="319"/>
      <c r="U124" s="319"/>
      <c r="V124" s="319"/>
      <c r="W124" s="321" t="str">
        <f>IFERROR(IF(tblPiNAnalysis512[[#This Row],[CCCM]]="", "", MROUND(tblPiNAnalysis512[[#This Row],[CCCM]]/tblPiNAnalysis512[[#This Row],[Affected population projection 2026]], 0.05)), "")</f>
        <v/>
      </c>
      <c r="X124" s="322" t="str">
        <f>IFERROR(IF(tblPiNAnalysis512[[#This Row],[Education]]="", "", MROUND(tblPiNAnalysis512[[#This Row],[Education]]/tblPiNAnalysis512[[#This Row],[Affected population projection 2026]], 0.05)), "")</f>
        <v/>
      </c>
      <c r="Y124" s="322" t="str">
        <f>IFERROR(IF(tblPiNAnalysis512[[#This Row],[Nutrition]]="", "", MROUND(tblPiNAnalysis512[[#This Row],[Nutrition]]/tblPiNAnalysis512[[#This Row],[Affected population projection 2026]], 0.05)), "")</f>
        <v/>
      </c>
      <c r="Z124" s="322" t="str">
        <f>IFERROR(IF(tblPiNAnalysis512[[#This Row],[Food Security]]="", "", MROUND(tblPiNAnalysis512[[#This Row],[Food Security]]/tblPiNAnalysis512[[#This Row],[Affected population projection 2026]], 0.05)), "")</f>
        <v/>
      </c>
      <c r="AA124" s="322" t="str">
        <f>IFERROR(IF(tblPiNAnalysis512[[#This Row],[Health]]="", "", MROUND(tblPiNAnalysis512[[#This Row],[Health]]/tblPiNAnalysis512[[#This Row],[Affected population projection 2026]], 0.05)), "")</f>
        <v/>
      </c>
      <c r="AB124" s="323" t="str">
        <f>IFERROR(IF(tblPiNAnalysis512[[#This Row],[Overarching Protection]]="", "", MROUND(tblPiNAnalysis512[[#This Row],[Overarching Protection]]/tblPiNAnalysis512[[#This Row],[Affected population projection 2026]], 0.05)), "")</f>
        <v/>
      </c>
      <c r="AC124" s="323" t="str">
        <f>IFERROR(IF(tblPiNAnalysis512[[#This Row],[Shelter]]="", "", MROUND(tblPiNAnalysis512[[#This Row],[Shelter]]/tblPiNAnalysis512[[#This Row],[Affected population projection 2026]], 0.05)), "")</f>
        <v/>
      </c>
      <c r="AD124" s="324" t="str">
        <f>IFERROR(IF(tblPiNAnalysis512[[#This Row],[WASH]]="", "", MROUND(tblPiNAnalysis512[[#This Row],[WASH]]/tblPiNAnalysis512[[#This Row],[Affected population projection 2026]], 0.05)), "")</f>
        <v/>
      </c>
      <c r="AE124" s="322">
        <f>IFERROR(MROUND(tblPiNAnalysis512[[#This Row],[CP]]/tblPiNAnalysis512[[#This Row],[Affected population projection 2026]], 0.05), "")</f>
        <v>0</v>
      </c>
      <c r="AF124" s="322">
        <f>IFERROR(MROUND(tblPiNAnalysis512[[#This Row],[GBV]]/tblPiNAnalysis512[[#This Row],[Affected population projection 2026]], 0.05), "")</f>
        <v>0</v>
      </c>
      <c r="AG124" s="322">
        <f>IFERROR(MROUND(tblPiNAnalysis512[[#This Row],[Mine Action]]/tblPiNAnalysis512[[#This Row],[Affected population projection 2026]], 0.05), "")</f>
        <v>0</v>
      </c>
      <c r="AH124" s="322">
        <f>IFERROR(MROUND(tblPiNAnalysis512[[#This Row],[HLP]]/tblPiNAnalysis512[[#This Row],[Affected population projection 2026]], 0.05), "")</f>
        <v>0</v>
      </c>
      <c r="AI124" s="325" t="str">
        <f>IFERROR(LARGE(tblPiNAnalysis512[[#This Row],[CCCM]:[WASH]], 1), "")</f>
        <v/>
      </c>
      <c r="AJ124" s="326" t="str" cm="1">
        <f t="array" ref="AJ124">IF(tblPiNAnalysis512[[#This Row],[Highest Target]]="", "", _xlfn.TEXTJOIN(CHAR(10), TRUE, IF(tblPiNAnalysis512[[#This Row],[Highest Target]]=tblPiNAnalysis512[[#This Row],[CCCM]:[WASH]], tblPiNAnalysis512[[#Headers],[CCCM]:[WASH]], "")))</f>
        <v/>
      </c>
      <c r="AK124" s="327" t="str">
        <f>IF(tblPiNAnalysis512[[#This Row],[Highest Target]]="", "", tblPiNAnalysis512[[#This Row],[Highest Target]]/tblPiNAnalysis512[[#This Row],[Affected population projection 2026]])</f>
        <v/>
      </c>
      <c r="AL124" s="328" t="str">
        <f>IF(SUM(tblPiNAnalysis512[[#This Row],[CCCM]:[WASH]])=0, "",IF(COUNTIF(tblPiNAnalysis512[[#This Row],[CCCM]:[WASH]],"=0")+COUNTIF(tblPiNAnalysis512[[#This Row],[CCCM]:[WASH]],"")&gt;=zero_pin_thresh, "Flagged", ""))</f>
        <v/>
      </c>
      <c r="AM124" s="329" t="str">
        <f>IFERROR(IF(tblPiNAnalysis512[[#This Row],[Highest Target]]="", "", IF(tblPiNAnalysis512[[#This Row],[Highest sector(s'') Target %]]&gt;=flag_pin_perc, "Flagged", "")), "")</f>
        <v/>
      </c>
      <c r="AN124" s="330" t="str" cm="1">
        <f t="array" ref="AN124">IF(tblPiNAnalysis512[[#This Row],[Highest Target]]=0, "",  IF(OR(COUNTIF(tblPiNAnalysis512[[#This Row],[Highest sector(s)]],tblSubSectorPopulation[Sector])), "Flagged", ""))</f>
        <v/>
      </c>
      <c r="AO124" s="46" t="str" cm="1">
        <f t="array" ref="AO12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24" s="331" t="str" cm="1">
        <f t="array" ref="AP124">IF(tblPiNAnalysis512[[#This Row],[2nd Highest Target]]="", "", _xlfn.TEXTJOIN(CHAR(10), TRUE, IF(tblPiNAnalysis512[[#This Row],[2nd Highest Target]]=tblPiNAnalysis512[[#This Row],[CCCM]:[WASH]], tblPiNAnalysis512[[#Headers],[CCCM]:[WASH]], "")))</f>
        <v/>
      </c>
      <c r="AQ124" s="36" t="str">
        <f>IFERROR(tblPiNAnalysis512[[#This Row],[2nd Highest Target]]/tblPiNAnalysis512[[#This Row],[Affected population projection 2026]], "")</f>
        <v/>
      </c>
      <c r="AR124" s="46" t="str">
        <f>IFERROR(tblPiNAnalysis512[[#This Row],[Highest Target]]-tblPiNAnalysis512[[#This Row],[2nd Highest Target]], "")</f>
        <v/>
      </c>
      <c r="AS124" s="39" t="str">
        <f>IFERROR(((tblPiNAnalysis512[[#This Row],[Highest Target]]-tblPiNAnalysis512[[#This Row],[2nd Highest Target]])/tblPiNAnalysis512[[#This Row],[2nd Highest Target]]),"")</f>
        <v/>
      </c>
      <c r="AT124" s="39" t="str" cm="1">
        <f t="array" ref="AT12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4" s="332" t="str" cm="1">
        <f t="array" ref="AU12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24" s="190" t="str" cm="1">
        <f t="array" ref="AV124">IF(tblPiNAnalysis512[[#This Row],[3rd Highest Target]]="", "", _xlfn.TEXTJOIN(CHAR(10), TRUE, IF(tblPiNAnalysis512[[#This Row],[3rd Highest Target]]=tblPiNAnalysis512[[#This Row],[CCCM]:[WASH]], tblPiNAnalysis512[[#Headers],[CCCM]:[WASH]], "")))</f>
        <v/>
      </c>
      <c r="AW124" s="190" t="str">
        <f>IFERROR(tblPiNAnalysis512[[#This Row],[3rd Highest Target]]/tblPiNAnalysis512[[#This Row],[Affected population projection 2026]], "")</f>
        <v/>
      </c>
      <c r="AX124" s="45" t="str">
        <f>IFERROR(tblPiNAnalysis512[[#This Row],[Highest Target]]-tblPiNAnalysis512[[#This Row],[3rd Highest Target]],"")</f>
        <v/>
      </c>
      <c r="AY124" s="39" t="str">
        <f>IFERROR(tblPiNAnalysis512[[#This Row],[Difference of Target between Highest and 3rd Highest]]/tblPiNAnalysis512[[#This Row],[3rd Highest Target]], "")</f>
        <v/>
      </c>
      <c r="AZ124" s="330" t="str" cm="1">
        <f t="array" ref="AZ12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4" s="300" t="str" cm="1">
        <f t="array" ref="BA12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4" s="333" t="str" cm="1">
        <f t="array" ref="BB12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4" s="276" t="str" cm="1">
        <f t="array" ref="BC12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4" s="334" t="str" cm="1">
        <f t="array" ref="BD12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4" s="277" t="e">
        <f>INDEX(tblSeverityAnalysis[Final Severity], MATCH(tblPiNAnalysis512[[#This Row],[ID]],tblSeverityAnalysis[ID], 0))</f>
        <v>#N/A</v>
      </c>
      <c r="BF124" s="61" t="e">
        <f>IF(tblPiNAnalysis512[[#This Row],[Severity]]&gt;2,tblPiNAnalysis512[[#This Row],[Highest Target]],)</f>
        <v>#N/A</v>
      </c>
      <c r="BG124" s="191"/>
      <c r="BH124" s="192"/>
      <c r="BI124" s="193">
        <f>COUNTIFS(tblPiNAnalysis512[[#This Row],[Number of missing / zero PiNs greater than threshold - Data quality]:[Manual Flag]],"Flagged")</f>
        <v>2</v>
      </c>
      <c r="BJ124" s="96" t="str">
        <f>IF(tblPiNAnalysis512[[#This Row],['# Flags]]&gt;0, "Flagged", "")</f>
        <v>Flagged</v>
      </c>
      <c r="BK124" s="326" t="e">
        <f>tblPiNAnalysis512[[#This Row],[Preliminary Target]]</f>
        <v>#N/A</v>
      </c>
      <c r="BL124" s="331">
        <v>3</v>
      </c>
    </row>
    <row r="125" spans="1:64" x14ac:dyDescent="0.55000000000000004">
      <c r="A1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5" s="316" t="s">
        <v>322</v>
      </c>
      <c r="C125" s="317" t="s">
        <v>323</v>
      </c>
      <c r="D125" s="317" t="s">
        <v>330</v>
      </c>
      <c r="E125" s="105" t="s">
        <v>331</v>
      </c>
      <c r="F125" s="100"/>
      <c r="G125" s="34"/>
      <c r="H125" s="34"/>
      <c r="I125" s="97">
        <v>27460.602325830623</v>
      </c>
      <c r="J125" s="97" t="s">
        <v>413</v>
      </c>
      <c r="K125" s="318">
        <v>0</v>
      </c>
      <c r="L125" s="319">
        <v>1071.4632736697245</v>
      </c>
      <c r="M125" s="319">
        <v>6764.4180032334552</v>
      </c>
      <c r="N125" s="319">
        <v>10968.254931412208</v>
      </c>
      <c r="O125" s="319">
        <v>13708.290932726555</v>
      </c>
      <c r="P125" s="319">
        <v>2527.9369206420979</v>
      </c>
      <c r="Q125" s="320">
        <v>2562.9895504108586</v>
      </c>
      <c r="R125" s="319">
        <v>2984.080371055411</v>
      </c>
      <c r="S125" s="319"/>
      <c r="T125" s="319"/>
      <c r="U125" s="319"/>
      <c r="V125" s="319"/>
      <c r="W125" s="321">
        <f>IFERROR(IF(tblPiNAnalysis512[[#This Row],[CCCM]]="", "", MROUND(tblPiNAnalysis512[[#This Row],[CCCM]]/tblPiNAnalysis512[[#This Row],[Affected population projection 2026]], 0.05)), "")</f>
        <v>0</v>
      </c>
      <c r="X125" s="322">
        <f>IFERROR(IF(tblPiNAnalysis512[[#This Row],[Education]]="", "", MROUND(tblPiNAnalysis512[[#This Row],[Education]]/tblPiNAnalysis512[[#This Row],[Affected population projection 2026]], 0.05)), "")</f>
        <v>0.05</v>
      </c>
      <c r="Y125" s="322">
        <f>IFERROR(IF(tblPiNAnalysis512[[#This Row],[Nutrition]]="", "", MROUND(tblPiNAnalysis512[[#This Row],[Nutrition]]/tblPiNAnalysis512[[#This Row],[Affected population projection 2026]], 0.05)), "")</f>
        <v>0.25</v>
      </c>
      <c r="Z125" s="322">
        <f>IFERROR(IF(tblPiNAnalysis512[[#This Row],[Food Security]]="", "", MROUND(tblPiNAnalysis512[[#This Row],[Food Security]]/tblPiNAnalysis512[[#This Row],[Affected population projection 2026]], 0.05)), "")</f>
        <v>0.4</v>
      </c>
      <c r="AA125" s="322">
        <f>IFERROR(IF(tblPiNAnalysis512[[#This Row],[Health]]="", "", MROUND(tblPiNAnalysis512[[#This Row],[Health]]/tblPiNAnalysis512[[#This Row],[Affected population projection 2026]], 0.05)), "")</f>
        <v>0.5</v>
      </c>
      <c r="AB125" s="323">
        <f>IFERROR(IF(tblPiNAnalysis512[[#This Row],[Overarching Protection]]="", "", MROUND(tblPiNAnalysis512[[#This Row],[Overarching Protection]]/tblPiNAnalysis512[[#This Row],[Affected population projection 2026]], 0.05)), "")</f>
        <v>0.1</v>
      </c>
      <c r="AC125" s="323">
        <f>IFERROR(IF(tblPiNAnalysis512[[#This Row],[Shelter]]="", "", MROUND(tblPiNAnalysis512[[#This Row],[Shelter]]/tblPiNAnalysis512[[#This Row],[Affected population projection 2026]], 0.05)), "")</f>
        <v>0.1</v>
      </c>
      <c r="AD125" s="324">
        <f>IFERROR(IF(tblPiNAnalysis512[[#This Row],[WASH]]="", "", MROUND(tblPiNAnalysis512[[#This Row],[WASH]]/tblPiNAnalysis512[[#This Row],[Affected population projection 2026]], 0.05)), "")</f>
        <v>0.1</v>
      </c>
      <c r="AE125" s="322">
        <f>IFERROR(MROUND(tblPiNAnalysis512[[#This Row],[CP]]/tblPiNAnalysis512[[#This Row],[Affected population projection 2026]], 0.05), "")</f>
        <v>0</v>
      </c>
      <c r="AF125" s="322">
        <f>IFERROR(MROUND(tblPiNAnalysis512[[#This Row],[GBV]]/tblPiNAnalysis512[[#This Row],[Affected population projection 2026]], 0.05), "")</f>
        <v>0</v>
      </c>
      <c r="AG125" s="322">
        <f>IFERROR(MROUND(tblPiNAnalysis512[[#This Row],[Mine Action]]/tblPiNAnalysis512[[#This Row],[Affected population projection 2026]], 0.05), "")</f>
        <v>0</v>
      </c>
      <c r="AH125" s="322">
        <f>IFERROR(MROUND(tblPiNAnalysis512[[#This Row],[HLP]]/tblPiNAnalysis512[[#This Row],[Affected population projection 2026]], 0.05), "")</f>
        <v>0</v>
      </c>
      <c r="AI125" s="325">
        <f>IFERROR(LARGE(tblPiNAnalysis512[[#This Row],[CCCM]:[WASH]], 1), "")</f>
        <v>13708.290932726555</v>
      </c>
      <c r="AJ125" s="326" t="str" cm="1">
        <f t="array" ref="AJ125">IF(tblPiNAnalysis512[[#This Row],[Highest Target]]="", "", _xlfn.TEXTJOIN(CHAR(10), TRUE, IF(tblPiNAnalysis512[[#This Row],[Highest Target]]=tblPiNAnalysis512[[#This Row],[CCCM]:[WASH]], tblPiNAnalysis512[[#Headers],[CCCM]:[WASH]], "")))</f>
        <v>Health</v>
      </c>
      <c r="AK125" s="327">
        <f>IF(tblPiNAnalysis512[[#This Row],[Highest Target]]="", "", tblPiNAnalysis512[[#This Row],[Highest Target]]/tblPiNAnalysis512[[#This Row],[Affected population projection 2026]])</f>
        <v>0.49919847970093312</v>
      </c>
      <c r="AL125" s="328" t="str">
        <f>IF(SUM(tblPiNAnalysis512[[#This Row],[CCCM]:[WASH]])=0, "",IF(COUNTIF(tblPiNAnalysis512[[#This Row],[CCCM]:[WASH]],"=0")+COUNTIF(tblPiNAnalysis512[[#This Row],[CCCM]:[WASH]],"")&gt;=zero_pin_thresh, "Flagged", ""))</f>
        <v/>
      </c>
      <c r="AM125" s="329" t="str">
        <f>IFERROR(IF(tblPiNAnalysis512[[#This Row],[Highest Target]]="", "", IF(tblPiNAnalysis512[[#This Row],[Highest sector(s'') Target %]]&gt;=flag_pin_perc, "Flagged", "")), "")</f>
        <v/>
      </c>
      <c r="AN125" s="330" t="str" cm="1">
        <f t="array" ref="AN125">IF(tblPiNAnalysis512[[#This Row],[Highest Target]]=0, "",  IF(OR(COUNTIF(tblPiNAnalysis512[[#This Row],[Highest sector(s)]],tblSubSectorPopulation[Sector])), "Flagged", ""))</f>
        <v/>
      </c>
      <c r="AO125" s="46" cm="1">
        <f t="array" ref="AO12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10968.254931412208</v>
      </c>
      <c r="AP125" s="331" t="str" cm="1">
        <f t="array" ref="AP125">IF(tblPiNAnalysis512[[#This Row],[2nd Highest Target]]="", "", _xlfn.TEXTJOIN(CHAR(10), TRUE, IF(tblPiNAnalysis512[[#This Row],[2nd Highest Target]]=tblPiNAnalysis512[[#This Row],[CCCM]:[WASH]], tblPiNAnalysis512[[#Headers],[CCCM]:[WASH]], "")))</f>
        <v>Food Security</v>
      </c>
      <c r="AQ125" s="36">
        <f>IFERROR(tblPiNAnalysis512[[#This Row],[2nd Highest Target]]/tblPiNAnalysis512[[#This Row],[Affected population projection 2026]], "")</f>
        <v>0.39941785694536625</v>
      </c>
      <c r="AR125" s="46">
        <f>IFERROR(tblPiNAnalysis512[[#This Row],[Highest Target]]-tblPiNAnalysis512[[#This Row],[2nd Highest Target]], "")</f>
        <v>2740.0360013143472</v>
      </c>
      <c r="AS125" s="39">
        <f>IFERROR(((tblPiNAnalysis512[[#This Row],[Highest Target]]-tblPiNAnalysis512[[#This Row],[2nd Highest Target]])/tblPiNAnalysis512[[#This Row],[2nd Highest Target]]),"")</f>
        <v>0.24981512724208318</v>
      </c>
      <c r="AT125" s="39" t="str" cm="1">
        <f t="array" ref="AT12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5" s="332" cm="1">
        <f t="array" ref="AU12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6764.4180032334552</v>
      </c>
      <c r="AV125" s="190" t="str" cm="1">
        <f t="array" ref="AV125">IF(tblPiNAnalysis512[[#This Row],[3rd Highest Target]]="", "", _xlfn.TEXTJOIN(CHAR(10), TRUE, IF(tblPiNAnalysis512[[#This Row],[3rd Highest Target]]=tblPiNAnalysis512[[#This Row],[CCCM]:[WASH]], tblPiNAnalysis512[[#Headers],[CCCM]:[WASH]], "")))</f>
        <v>Nutrition</v>
      </c>
      <c r="AW125" s="190">
        <f>IFERROR(tblPiNAnalysis512[[#This Row],[3rd Highest Target]]/tblPiNAnalysis512[[#This Row],[Affected population projection 2026]], "")</f>
        <v>0.24633174185223727</v>
      </c>
      <c r="AX125" s="45">
        <f>IFERROR(tblPiNAnalysis512[[#This Row],[Highest Target]]-tblPiNAnalysis512[[#This Row],[3rd Highest Target]],"")</f>
        <v>6943.8729294930999</v>
      </c>
      <c r="AY125" s="39">
        <f>IFERROR(tblPiNAnalysis512[[#This Row],[Difference of Target between Highest and 3rd Highest]]/tblPiNAnalysis512[[#This Row],[3rd Highest Target]], "")</f>
        <v>1.0265292485138948</v>
      </c>
      <c r="AZ125" s="330" t="str" cm="1">
        <f t="array" ref="AZ12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25" s="300" t="str" cm="1">
        <f t="array" ref="BA12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5" s="333" t="str" cm="1">
        <f t="array" ref="BB12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5" s="276" t="str" cm="1">
        <f t="array" ref="BC12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5" s="334" t="str" cm="1">
        <f t="array" ref="BD12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25" s="277" t="e">
        <f>INDEX(tblSeverityAnalysis[Final Severity], MATCH(tblPiNAnalysis512[[#This Row],[ID]],tblSeverityAnalysis[ID], 0))</f>
        <v>#N/A</v>
      </c>
      <c r="BF125" s="61" t="e">
        <f>IF(tblPiNAnalysis512[[#This Row],[Severity]]&gt;2,tblPiNAnalysis512[[#This Row],[Highest Target]],)</f>
        <v>#N/A</v>
      </c>
      <c r="BG125" s="191"/>
      <c r="BH125" s="192"/>
      <c r="BI125" s="193">
        <f>COUNTIFS(tblPiNAnalysis512[[#This Row],[Number of missing / zero PiNs greater than threshold - Data quality]:[Manual Flag]],"Flagged")</f>
        <v>2</v>
      </c>
      <c r="BJ125" s="96" t="str">
        <f>IF(tblPiNAnalysis512[[#This Row],['# Flags]]&gt;0, "Flagged", "")</f>
        <v>Flagged</v>
      </c>
      <c r="BK125" s="326" t="e">
        <f>tblPiNAnalysis512[[#This Row],[Preliminary Target]]</f>
        <v>#N/A</v>
      </c>
      <c r="BL125" s="331">
        <v>2</v>
      </c>
    </row>
    <row r="126" spans="1:64" x14ac:dyDescent="0.55000000000000004">
      <c r="A1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6" s="316" t="s">
        <v>322</v>
      </c>
      <c r="C126" s="317" t="s">
        <v>323</v>
      </c>
      <c r="D126" s="317" t="s">
        <v>332</v>
      </c>
      <c r="E126" s="105" t="s">
        <v>333</v>
      </c>
      <c r="F126" s="100"/>
      <c r="G126" s="34"/>
      <c r="H126" s="34"/>
      <c r="I126" s="97">
        <v>32690.293010704088</v>
      </c>
      <c r="J126" s="97" t="s">
        <v>413</v>
      </c>
      <c r="K126" s="318">
        <v>0</v>
      </c>
      <c r="L126" s="319">
        <v>1211.5735238154566</v>
      </c>
      <c r="M126" s="319">
        <v>10286.161451833896</v>
      </c>
      <c r="N126" s="319">
        <v>13565.03394556789</v>
      </c>
      <c r="O126" s="319">
        <v>14120.844859922978</v>
      </c>
      <c r="P126" s="319">
        <v>2944.3992123536118</v>
      </c>
      <c r="Q126" s="320">
        <v>1885.9784429252359</v>
      </c>
      <c r="R126" s="319">
        <v>3144.5909429020912</v>
      </c>
      <c r="S126" s="319"/>
      <c r="T126" s="319"/>
      <c r="U126" s="319"/>
      <c r="V126" s="319"/>
      <c r="W126" s="321">
        <f>IFERROR(IF(tblPiNAnalysis512[[#This Row],[CCCM]]="", "", MROUND(tblPiNAnalysis512[[#This Row],[CCCM]]/tblPiNAnalysis512[[#This Row],[Affected population projection 2026]], 0.05)), "")</f>
        <v>0</v>
      </c>
      <c r="X126" s="322">
        <f>IFERROR(IF(tblPiNAnalysis512[[#This Row],[Education]]="", "", MROUND(tblPiNAnalysis512[[#This Row],[Education]]/tblPiNAnalysis512[[#This Row],[Affected population projection 2026]], 0.05)), "")</f>
        <v>0.05</v>
      </c>
      <c r="Y126" s="322">
        <f>IFERROR(IF(tblPiNAnalysis512[[#This Row],[Nutrition]]="", "", MROUND(tblPiNAnalysis512[[#This Row],[Nutrition]]/tblPiNAnalysis512[[#This Row],[Affected population projection 2026]], 0.05)), "")</f>
        <v>0.30000000000000004</v>
      </c>
      <c r="Z126" s="322">
        <f>IFERROR(IF(tblPiNAnalysis512[[#This Row],[Food Security]]="", "", MROUND(tblPiNAnalysis512[[#This Row],[Food Security]]/tblPiNAnalysis512[[#This Row],[Affected population projection 2026]], 0.05)), "")</f>
        <v>0.4</v>
      </c>
      <c r="AA126" s="322">
        <f>IFERROR(IF(tblPiNAnalysis512[[#This Row],[Health]]="", "", MROUND(tblPiNAnalysis512[[#This Row],[Health]]/tblPiNAnalysis512[[#This Row],[Affected population projection 2026]], 0.05)), "")</f>
        <v>0.45</v>
      </c>
      <c r="AB126" s="323">
        <f>IFERROR(IF(tblPiNAnalysis512[[#This Row],[Overarching Protection]]="", "", MROUND(tblPiNAnalysis512[[#This Row],[Overarching Protection]]/tblPiNAnalysis512[[#This Row],[Affected population projection 2026]], 0.05)), "")</f>
        <v>0.1</v>
      </c>
      <c r="AC126" s="323">
        <f>IFERROR(IF(tblPiNAnalysis512[[#This Row],[Shelter]]="", "", MROUND(tblPiNAnalysis512[[#This Row],[Shelter]]/tblPiNAnalysis512[[#This Row],[Affected population projection 2026]], 0.05)), "")</f>
        <v>0.05</v>
      </c>
      <c r="AD126" s="324">
        <f>IFERROR(IF(tblPiNAnalysis512[[#This Row],[WASH]]="", "", MROUND(tblPiNAnalysis512[[#This Row],[WASH]]/tblPiNAnalysis512[[#This Row],[Affected population projection 2026]], 0.05)), "")</f>
        <v>0.1</v>
      </c>
      <c r="AE126" s="322">
        <f>IFERROR(MROUND(tblPiNAnalysis512[[#This Row],[CP]]/tblPiNAnalysis512[[#This Row],[Affected population projection 2026]], 0.05), "")</f>
        <v>0</v>
      </c>
      <c r="AF126" s="322">
        <f>IFERROR(MROUND(tblPiNAnalysis512[[#This Row],[GBV]]/tblPiNAnalysis512[[#This Row],[Affected population projection 2026]], 0.05), "")</f>
        <v>0</v>
      </c>
      <c r="AG126" s="322">
        <f>IFERROR(MROUND(tblPiNAnalysis512[[#This Row],[Mine Action]]/tblPiNAnalysis512[[#This Row],[Affected population projection 2026]], 0.05), "")</f>
        <v>0</v>
      </c>
      <c r="AH126" s="322">
        <f>IFERROR(MROUND(tblPiNAnalysis512[[#This Row],[HLP]]/tblPiNAnalysis512[[#This Row],[Affected population projection 2026]], 0.05), "")</f>
        <v>0</v>
      </c>
      <c r="AI126" s="325">
        <f>IFERROR(LARGE(tblPiNAnalysis512[[#This Row],[CCCM]:[WASH]], 1), "")</f>
        <v>14120.844859922978</v>
      </c>
      <c r="AJ126" s="326" t="str" cm="1">
        <f t="array" ref="AJ126">IF(tblPiNAnalysis512[[#This Row],[Highest Target]]="", "", _xlfn.TEXTJOIN(CHAR(10), TRUE, IF(tblPiNAnalysis512[[#This Row],[Highest Target]]=tblPiNAnalysis512[[#This Row],[CCCM]:[WASH]], tblPiNAnalysis512[[#Headers],[CCCM]:[WASH]], "")))</f>
        <v>Health</v>
      </c>
      <c r="AK126" s="327">
        <f>IF(tblPiNAnalysis512[[#This Row],[Highest Target]]="", "", tblPiNAnalysis512[[#This Row],[Highest Target]]/tblPiNAnalysis512[[#This Row],[Affected population projection 2026]])</f>
        <v>0.43195834479976236</v>
      </c>
      <c r="AL126" s="328" t="str">
        <f>IF(SUM(tblPiNAnalysis512[[#This Row],[CCCM]:[WASH]])=0, "",IF(COUNTIF(tblPiNAnalysis512[[#This Row],[CCCM]:[WASH]],"=0")+COUNTIF(tblPiNAnalysis512[[#This Row],[CCCM]:[WASH]],"")&gt;=zero_pin_thresh, "Flagged", ""))</f>
        <v/>
      </c>
      <c r="AM126" s="329" t="str">
        <f>IFERROR(IF(tblPiNAnalysis512[[#This Row],[Highest Target]]="", "", IF(tblPiNAnalysis512[[#This Row],[Highest sector(s'') Target %]]&gt;=flag_pin_perc, "Flagged", "")), "")</f>
        <v/>
      </c>
      <c r="AN126" s="330" t="str" cm="1">
        <f t="array" ref="AN126">IF(tblPiNAnalysis512[[#This Row],[Highest Target]]=0, "",  IF(OR(COUNTIF(tblPiNAnalysis512[[#This Row],[Highest sector(s)]],tblSubSectorPopulation[Sector])), "Flagged", ""))</f>
        <v/>
      </c>
      <c r="AO126" s="46" cm="1">
        <f t="array" ref="AO12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13565.03394556789</v>
      </c>
      <c r="AP126" s="331" t="str" cm="1">
        <f t="array" ref="AP126">IF(tblPiNAnalysis512[[#This Row],[2nd Highest Target]]="", "", _xlfn.TEXTJOIN(CHAR(10), TRUE, IF(tblPiNAnalysis512[[#This Row],[2nd Highest Target]]=tblPiNAnalysis512[[#This Row],[CCCM]:[WASH]], tblPiNAnalysis512[[#Headers],[CCCM]:[WASH]], "")))</f>
        <v>Food Security</v>
      </c>
      <c r="AQ126" s="36">
        <f>IFERROR(tblPiNAnalysis512[[#This Row],[2nd Highest Target]]/tblPiNAnalysis512[[#This Row],[Affected population projection 2026]], "")</f>
        <v>0.41495602199485221</v>
      </c>
      <c r="AR126" s="46">
        <f>IFERROR(tblPiNAnalysis512[[#This Row],[Highest Target]]-tblPiNAnalysis512[[#This Row],[2nd Highest Target]], "")</f>
        <v>555.81091435508824</v>
      </c>
      <c r="AS126" s="39">
        <f>IFERROR(((tblPiNAnalysis512[[#This Row],[Highest Target]]-tblPiNAnalysis512[[#This Row],[2nd Highest Target]])/tblPiNAnalysis512[[#This Row],[2nd Highest Target]]),"")</f>
        <v>4.0973794579901412E-2</v>
      </c>
      <c r="AT126" s="39" t="str" cm="1">
        <f t="array" ref="AT12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6" s="332" cm="1">
        <f t="array" ref="AU12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10286.161451833896</v>
      </c>
      <c r="AV126" s="190" t="str" cm="1">
        <f t="array" ref="AV126">IF(tblPiNAnalysis512[[#This Row],[3rd Highest Target]]="", "", _xlfn.TEXTJOIN(CHAR(10), TRUE, IF(tblPiNAnalysis512[[#This Row],[3rd Highest Target]]=tblPiNAnalysis512[[#This Row],[CCCM]:[WASH]], tblPiNAnalysis512[[#Headers],[CCCM]:[WASH]], "")))</f>
        <v>Nutrition</v>
      </c>
      <c r="AW126" s="190">
        <f>IFERROR(tblPiNAnalysis512[[#This Row],[3rd Highest Target]]/tblPiNAnalysis512[[#This Row],[Affected population projection 2026]], "")</f>
        <v>0.31465491754588437</v>
      </c>
      <c r="AX126" s="45">
        <f>IFERROR(tblPiNAnalysis512[[#This Row],[Highest Target]]-tblPiNAnalysis512[[#This Row],[3rd Highest Target]],"")</f>
        <v>3834.6834080890821</v>
      </c>
      <c r="AY126" s="39">
        <f>IFERROR(tblPiNAnalysis512[[#This Row],[Difference of Target between Highest and 3rd Highest]]/tblPiNAnalysis512[[#This Row],[3rd Highest Target]], "")</f>
        <v>0.37280023515530231</v>
      </c>
      <c r="AZ126" s="330" t="str" cm="1">
        <f t="array" ref="AZ12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6" s="300" t="str" cm="1">
        <f t="array" ref="BA12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6" s="333" t="str" cm="1">
        <f t="array" ref="BB12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6" s="276" t="str" cm="1">
        <f t="array" ref="BC12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6" s="334" t="str" cm="1">
        <f t="array" ref="BD12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26" s="277" t="e">
        <f>INDEX(tblSeverityAnalysis[Final Severity], MATCH(tblPiNAnalysis512[[#This Row],[ID]],tblSeverityAnalysis[ID], 0))</f>
        <v>#N/A</v>
      </c>
      <c r="BF126" s="61" t="e">
        <f>IF(tblPiNAnalysis512[[#This Row],[Severity]]&gt;2,tblPiNAnalysis512[[#This Row],[Highest Target]],)</f>
        <v>#N/A</v>
      </c>
      <c r="BG126" s="191"/>
      <c r="BH126" s="192"/>
      <c r="BI126" s="193">
        <f>COUNTIFS(tblPiNAnalysis512[[#This Row],[Number of missing / zero PiNs greater than threshold - Data quality]:[Manual Flag]],"Flagged")</f>
        <v>1</v>
      </c>
      <c r="BJ126" s="96" t="str">
        <f>IF(tblPiNAnalysis512[[#This Row],['# Flags]]&gt;0, "Flagged", "")</f>
        <v>Flagged</v>
      </c>
      <c r="BK126" s="326" t="e">
        <f>tblPiNAnalysis512[[#This Row],[Preliminary Target]]</f>
        <v>#N/A</v>
      </c>
      <c r="BL126" s="331">
        <v>2</v>
      </c>
    </row>
    <row r="127" spans="1:64" x14ac:dyDescent="0.55000000000000004">
      <c r="A1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7" s="316" t="s">
        <v>322</v>
      </c>
      <c r="C127" s="317" t="s">
        <v>323</v>
      </c>
      <c r="D127" s="317" t="s">
        <v>334</v>
      </c>
      <c r="E127" s="105" t="s">
        <v>335</v>
      </c>
      <c r="F127" s="100"/>
      <c r="G127" s="34"/>
      <c r="H127" s="34"/>
      <c r="I127" s="97">
        <v>95120.28021781116</v>
      </c>
      <c r="J127" s="97" t="s">
        <v>413</v>
      </c>
      <c r="K127" s="318"/>
      <c r="L127" s="319"/>
      <c r="M127" s="319"/>
      <c r="N127" s="319"/>
      <c r="O127" s="319"/>
      <c r="P127" s="319"/>
      <c r="Q127" s="320"/>
      <c r="R127" s="319"/>
      <c r="S127" s="319"/>
      <c r="T127" s="319"/>
      <c r="U127" s="319"/>
      <c r="V127" s="319"/>
      <c r="W127" s="321" t="str">
        <f>IFERROR(IF(tblPiNAnalysis512[[#This Row],[CCCM]]="", "", MROUND(tblPiNAnalysis512[[#This Row],[CCCM]]/tblPiNAnalysis512[[#This Row],[Affected population projection 2026]], 0.05)), "")</f>
        <v/>
      </c>
      <c r="X127" s="322" t="str">
        <f>IFERROR(IF(tblPiNAnalysis512[[#This Row],[Education]]="", "", MROUND(tblPiNAnalysis512[[#This Row],[Education]]/tblPiNAnalysis512[[#This Row],[Affected population projection 2026]], 0.05)), "")</f>
        <v/>
      </c>
      <c r="Y127" s="322" t="str">
        <f>IFERROR(IF(tblPiNAnalysis512[[#This Row],[Nutrition]]="", "", MROUND(tblPiNAnalysis512[[#This Row],[Nutrition]]/tblPiNAnalysis512[[#This Row],[Affected population projection 2026]], 0.05)), "")</f>
        <v/>
      </c>
      <c r="Z127" s="322" t="str">
        <f>IFERROR(IF(tblPiNAnalysis512[[#This Row],[Food Security]]="", "", MROUND(tblPiNAnalysis512[[#This Row],[Food Security]]/tblPiNAnalysis512[[#This Row],[Affected population projection 2026]], 0.05)), "")</f>
        <v/>
      </c>
      <c r="AA127" s="322" t="str">
        <f>IFERROR(IF(tblPiNAnalysis512[[#This Row],[Health]]="", "", MROUND(tblPiNAnalysis512[[#This Row],[Health]]/tblPiNAnalysis512[[#This Row],[Affected population projection 2026]], 0.05)), "")</f>
        <v/>
      </c>
      <c r="AB127" s="323" t="str">
        <f>IFERROR(IF(tblPiNAnalysis512[[#This Row],[Overarching Protection]]="", "", MROUND(tblPiNAnalysis512[[#This Row],[Overarching Protection]]/tblPiNAnalysis512[[#This Row],[Affected population projection 2026]], 0.05)), "")</f>
        <v/>
      </c>
      <c r="AC127" s="323" t="str">
        <f>IFERROR(IF(tblPiNAnalysis512[[#This Row],[Shelter]]="", "", MROUND(tblPiNAnalysis512[[#This Row],[Shelter]]/tblPiNAnalysis512[[#This Row],[Affected population projection 2026]], 0.05)), "")</f>
        <v/>
      </c>
      <c r="AD127" s="324" t="str">
        <f>IFERROR(IF(tblPiNAnalysis512[[#This Row],[WASH]]="", "", MROUND(tblPiNAnalysis512[[#This Row],[WASH]]/tblPiNAnalysis512[[#This Row],[Affected population projection 2026]], 0.05)), "")</f>
        <v/>
      </c>
      <c r="AE127" s="322">
        <f>IFERROR(MROUND(tblPiNAnalysis512[[#This Row],[CP]]/tblPiNAnalysis512[[#This Row],[Affected population projection 2026]], 0.05), "")</f>
        <v>0</v>
      </c>
      <c r="AF127" s="322">
        <f>IFERROR(MROUND(tblPiNAnalysis512[[#This Row],[GBV]]/tblPiNAnalysis512[[#This Row],[Affected population projection 2026]], 0.05), "")</f>
        <v>0</v>
      </c>
      <c r="AG127" s="322">
        <f>IFERROR(MROUND(tblPiNAnalysis512[[#This Row],[Mine Action]]/tblPiNAnalysis512[[#This Row],[Affected population projection 2026]], 0.05), "")</f>
        <v>0</v>
      </c>
      <c r="AH127" s="322">
        <f>IFERROR(MROUND(tblPiNAnalysis512[[#This Row],[HLP]]/tblPiNAnalysis512[[#This Row],[Affected population projection 2026]], 0.05), "")</f>
        <v>0</v>
      </c>
      <c r="AI127" s="325" t="str">
        <f>IFERROR(LARGE(tblPiNAnalysis512[[#This Row],[CCCM]:[WASH]], 1), "")</f>
        <v/>
      </c>
      <c r="AJ127" s="326" t="str" cm="1">
        <f t="array" ref="AJ127">IF(tblPiNAnalysis512[[#This Row],[Highest Target]]="", "", _xlfn.TEXTJOIN(CHAR(10), TRUE, IF(tblPiNAnalysis512[[#This Row],[Highest Target]]=tblPiNAnalysis512[[#This Row],[CCCM]:[WASH]], tblPiNAnalysis512[[#Headers],[CCCM]:[WASH]], "")))</f>
        <v/>
      </c>
      <c r="AK127" s="327" t="str">
        <f>IF(tblPiNAnalysis512[[#This Row],[Highest Target]]="", "", tblPiNAnalysis512[[#This Row],[Highest Target]]/tblPiNAnalysis512[[#This Row],[Affected population projection 2026]])</f>
        <v/>
      </c>
      <c r="AL127" s="328" t="str">
        <f>IF(SUM(tblPiNAnalysis512[[#This Row],[CCCM]:[WASH]])=0, "",IF(COUNTIF(tblPiNAnalysis512[[#This Row],[CCCM]:[WASH]],"=0")+COUNTIF(tblPiNAnalysis512[[#This Row],[CCCM]:[WASH]],"")&gt;=zero_pin_thresh, "Flagged", ""))</f>
        <v/>
      </c>
      <c r="AM127" s="329" t="str">
        <f>IFERROR(IF(tblPiNAnalysis512[[#This Row],[Highest Target]]="", "", IF(tblPiNAnalysis512[[#This Row],[Highest sector(s'') Target %]]&gt;=flag_pin_perc, "Flagged", "")), "")</f>
        <v/>
      </c>
      <c r="AN127" s="330" t="str" cm="1">
        <f t="array" ref="AN127">IF(tblPiNAnalysis512[[#This Row],[Highest Target]]=0, "",  IF(OR(COUNTIF(tblPiNAnalysis512[[#This Row],[Highest sector(s)]],tblSubSectorPopulation[Sector])), "Flagged", ""))</f>
        <v/>
      </c>
      <c r="AO127" s="46" t="str" cm="1">
        <f t="array" ref="AO12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27" s="331" t="str" cm="1">
        <f t="array" ref="AP127">IF(tblPiNAnalysis512[[#This Row],[2nd Highest Target]]="", "", _xlfn.TEXTJOIN(CHAR(10), TRUE, IF(tblPiNAnalysis512[[#This Row],[2nd Highest Target]]=tblPiNAnalysis512[[#This Row],[CCCM]:[WASH]], tblPiNAnalysis512[[#Headers],[CCCM]:[WASH]], "")))</f>
        <v/>
      </c>
      <c r="AQ127" s="36" t="str">
        <f>IFERROR(tblPiNAnalysis512[[#This Row],[2nd Highest Target]]/tblPiNAnalysis512[[#This Row],[Affected population projection 2026]], "")</f>
        <v/>
      </c>
      <c r="AR127" s="46" t="str">
        <f>IFERROR(tblPiNAnalysis512[[#This Row],[Highest Target]]-tblPiNAnalysis512[[#This Row],[2nd Highest Target]], "")</f>
        <v/>
      </c>
      <c r="AS127" s="39" t="str">
        <f>IFERROR(((tblPiNAnalysis512[[#This Row],[Highest Target]]-tblPiNAnalysis512[[#This Row],[2nd Highest Target]])/tblPiNAnalysis512[[#This Row],[2nd Highest Target]]),"")</f>
        <v/>
      </c>
      <c r="AT127" s="39" t="str" cm="1">
        <f t="array" ref="AT12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27" s="332" t="str" cm="1">
        <f t="array" ref="AU12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27" s="190" t="str" cm="1">
        <f t="array" ref="AV127">IF(tblPiNAnalysis512[[#This Row],[3rd Highest Target]]="", "", _xlfn.TEXTJOIN(CHAR(10), TRUE, IF(tblPiNAnalysis512[[#This Row],[3rd Highest Target]]=tblPiNAnalysis512[[#This Row],[CCCM]:[WASH]], tblPiNAnalysis512[[#Headers],[CCCM]:[WASH]], "")))</f>
        <v/>
      </c>
      <c r="AW127" s="190" t="str">
        <f>IFERROR(tblPiNAnalysis512[[#This Row],[3rd Highest Target]]/tblPiNAnalysis512[[#This Row],[Affected population projection 2026]], "")</f>
        <v/>
      </c>
      <c r="AX127" s="45" t="str">
        <f>IFERROR(tblPiNAnalysis512[[#This Row],[Highest Target]]-tblPiNAnalysis512[[#This Row],[3rd Highest Target]],"")</f>
        <v/>
      </c>
      <c r="AY127" s="39" t="str">
        <f>IFERROR(tblPiNAnalysis512[[#This Row],[Difference of Target between Highest and 3rd Highest]]/tblPiNAnalysis512[[#This Row],[3rd Highest Target]], "")</f>
        <v/>
      </c>
      <c r="AZ127" s="330" t="str" cm="1">
        <f t="array" ref="AZ12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27" s="300" t="str" cm="1">
        <f t="array" ref="BA12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7" s="333" t="str" cm="1">
        <f t="array" ref="BB12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7" s="276" t="str" cm="1">
        <f t="array" ref="BC12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7" s="334" t="str" cm="1">
        <f t="array" ref="BD12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27" s="277" t="e">
        <f>INDEX(tblSeverityAnalysis[Final Severity], MATCH(tblPiNAnalysis512[[#This Row],[ID]],tblSeverityAnalysis[ID], 0))</f>
        <v>#N/A</v>
      </c>
      <c r="BF127" s="61" t="e">
        <f>IF(tblPiNAnalysis512[[#This Row],[Severity]]&gt;2,tblPiNAnalysis512[[#This Row],[Highest Target]],)</f>
        <v>#N/A</v>
      </c>
      <c r="BG127" s="191"/>
      <c r="BH127" s="192"/>
      <c r="BI127" s="193">
        <f>COUNTIFS(tblPiNAnalysis512[[#This Row],[Number of missing / zero PiNs greater than threshold - Data quality]:[Manual Flag]],"Flagged")</f>
        <v>2</v>
      </c>
      <c r="BJ127" s="96" t="str">
        <f>IF(tblPiNAnalysis512[[#This Row],['# Flags]]&gt;0, "Flagged", "")</f>
        <v>Flagged</v>
      </c>
      <c r="BK127" s="326" t="e">
        <f>tblPiNAnalysis512[[#This Row],[Preliminary Target]]</f>
        <v>#N/A</v>
      </c>
      <c r="BL127" s="331">
        <v>3</v>
      </c>
    </row>
    <row r="128" spans="1:64" x14ac:dyDescent="0.55000000000000004">
      <c r="A1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8" s="316" t="s">
        <v>322</v>
      </c>
      <c r="C128" s="317" t="s">
        <v>323</v>
      </c>
      <c r="D128" s="317" t="s">
        <v>336</v>
      </c>
      <c r="E128" s="105" t="s">
        <v>337</v>
      </c>
      <c r="F128" s="100"/>
      <c r="G128" s="34"/>
      <c r="H128" s="34"/>
      <c r="I128" s="97">
        <v>46967.678081984632</v>
      </c>
      <c r="J128" s="97" t="s">
        <v>413</v>
      </c>
      <c r="K128" s="318">
        <v>0</v>
      </c>
      <c r="L128" s="319">
        <v>4280.2283796534512</v>
      </c>
      <c r="M128" s="319">
        <v>13520.696823211947</v>
      </c>
      <c r="N128" s="319">
        <v>19066.573842383557</v>
      </c>
      <c r="O128" s="319">
        <v>27160.533337712492</v>
      </c>
      <c r="P128" s="319">
        <v>7702.1820869621115</v>
      </c>
      <c r="Q128" s="320">
        <v>3195.7389210422534</v>
      </c>
      <c r="R128" s="319">
        <v>12164.725264546945</v>
      </c>
      <c r="S128" s="319"/>
      <c r="T128" s="319"/>
      <c r="U128" s="319"/>
      <c r="V128" s="319"/>
      <c r="W128" s="321">
        <f>IFERROR(IF(tblPiNAnalysis512[[#This Row],[CCCM]]="", "", MROUND(tblPiNAnalysis512[[#This Row],[CCCM]]/tblPiNAnalysis512[[#This Row],[Affected population projection 2026]], 0.05)), "")</f>
        <v>0</v>
      </c>
      <c r="X128" s="322">
        <f>IFERROR(IF(tblPiNAnalysis512[[#This Row],[Education]]="", "", MROUND(tblPiNAnalysis512[[#This Row],[Education]]/tblPiNAnalysis512[[#This Row],[Affected population projection 2026]], 0.05)), "")</f>
        <v>0.1</v>
      </c>
      <c r="Y128" s="322">
        <f>IFERROR(IF(tblPiNAnalysis512[[#This Row],[Nutrition]]="", "", MROUND(tblPiNAnalysis512[[#This Row],[Nutrition]]/tblPiNAnalysis512[[#This Row],[Affected population projection 2026]], 0.05)), "")</f>
        <v>0.30000000000000004</v>
      </c>
      <c r="Z128" s="322">
        <f>IFERROR(IF(tblPiNAnalysis512[[#This Row],[Food Security]]="", "", MROUND(tblPiNAnalysis512[[#This Row],[Food Security]]/tblPiNAnalysis512[[#This Row],[Affected population projection 2026]], 0.05)), "")</f>
        <v>0.4</v>
      </c>
      <c r="AA128" s="322">
        <f>IFERROR(IF(tblPiNAnalysis512[[#This Row],[Health]]="", "", MROUND(tblPiNAnalysis512[[#This Row],[Health]]/tblPiNAnalysis512[[#This Row],[Affected population projection 2026]], 0.05)), "")</f>
        <v>0.60000000000000009</v>
      </c>
      <c r="AB128" s="323">
        <f>IFERROR(IF(tblPiNAnalysis512[[#This Row],[Overarching Protection]]="", "", MROUND(tblPiNAnalysis512[[#This Row],[Overarching Protection]]/tblPiNAnalysis512[[#This Row],[Affected population projection 2026]], 0.05)), "")</f>
        <v>0.15000000000000002</v>
      </c>
      <c r="AC128" s="323">
        <f>IFERROR(IF(tblPiNAnalysis512[[#This Row],[Shelter]]="", "", MROUND(tblPiNAnalysis512[[#This Row],[Shelter]]/tblPiNAnalysis512[[#This Row],[Affected population projection 2026]], 0.05)), "")</f>
        <v>0.05</v>
      </c>
      <c r="AD128" s="324">
        <f>IFERROR(IF(tblPiNAnalysis512[[#This Row],[WASH]]="", "", MROUND(tblPiNAnalysis512[[#This Row],[WASH]]/tblPiNAnalysis512[[#This Row],[Affected population projection 2026]], 0.05)), "")</f>
        <v>0.25</v>
      </c>
      <c r="AE128" s="322">
        <f>IFERROR(MROUND(tblPiNAnalysis512[[#This Row],[CP]]/tblPiNAnalysis512[[#This Row],[Affected population projection 2026]], 0.05), "")</f>
        <v>0</v>
      </c>
      <c r="AF128" s="322">
        <f>IFERROR(MROUND(tblPiNAnalysis512[[#This Row],[GBV]]/tblPiNAnalysis512[[#This Row],[Affected population projection 2026]], 0.05), "")</f>
        <v>0</v>
      </c>
      <c r="AG128" s="322">
        <f>IFERROR(MROUND(tblPiNAnalysis512[[#This Row],[Mine Action]]/tblPiNAnalysis512[[#This Row],[Affected population projection 2026]], 0.05), "")</f>
        <v>0</v>
      </c>
      <c r="AH128" s="322">
        <f>IFERROR(MROUND(tblPiNAnalysis512[[#This Row],[HLP]]/tblPiNAnalysis512[[#This Row],[Affected population projection 2026]], 0.05), "")</f>
        <v>0</v>
      </c>
      <c r="AI128" s="325">
        <f>IFERROR(LARGE(tblPiNAnalysis512[[#This Row],[CCCM]:[WASH]], 1), "")</f>
        <v>27160.533337712492</v>
      </c>
      <c r="AJ128" s="326" t="str" cm="1">
        <f t="array" ref="AJ128">IF(tblPiNAnalysis512[[#This Row],[Highest Target]]="", "", _xlfn.TEXTJOIN(CHAR(10), TRUE, IF(tblPiNAnalysis512[[#This Row],[Highest Target]]=tblPiNAnalysis512[[#This Row],[CCCM]:[WASH]], tblPiNAnalysis512[[#Headers],[CCCM]:[WASH]], "")))</f>
        <v>Health</v>
      </c>
      <c r="AK128" s="327">
        <f>IF(tblPiNAnalysis512[[#This Row],[Highest Target]]="", "", tblPiNAnalysis512[[#This Row],[Highest Target]]/tblPiNAnalysis512[[#This Row],[Affected population projection 2026]])</f>
        <v>0.57828137235786503</v>
      </c>
      <c r="AL128" s="328" t="str">
        <f>IF(SUM(tblPiNAnalysis512[[#This Row],[CCCM]:[WASH]])=0, "",IF(COUNTIF(tblPiNAnalysis512[[#This Row],[CCCM]:[WASH]],"=0")+COUNTIF(tblPiNAnalysis512[[#This Row],[CCCM]:[WASH]],"")&gt;=zero_pin_thresh, "Flagged", ""))</f>
        <v/>
      </c>
      <c r="AM128" s="329" t="str">
        <f>IFERROR(IF(tblPiNAnalysis512[[#This Row],[Highest Target]]="", "", IF(tblPiNAnalysis512[[#This Row],[Highest sector(s'') Target %]]&gt;=flag_pin_perc, "Flagged", "")), "")</f>
        <v/>
      </c>
      <c r="AN128" s="330" t="str" cm="1">
        <f t="array" ref="AN128">IF(tblPiNAnalysis512[[#This Row],[Highest Target]]=0, "",  IF(OR(COUNTIF(tblPiNAnalysis512[[#This Row],[Highest sector(s)]],tblSubSectorPopulation[Sector])), "Flagged", ""))</f>
        <v/>
      </c>
      <c r="AO128" s="46" cm="1">
        <f t="array" ref="AO12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19066.573842383557</v>
      </c>
      <c r="AP128" s="331" t="str" cm="1">
        <f t="array" ref="AP128">IF(tblPiNAnalysis512[[#This Row],[2nd Highest Target]]="", "", _xlfn.TEXTJOIN(CHAR(10), TRUE, IF(tblPiNAnalysis512[[#This Row],[2nd Highest Target]]=tblPiNAnalysis512[[#This Row],[CCCM]:[WASH]], tblPiNAnalysis512[[#Headers],[CCCM]:[WASH]], "")))</f>
        <v>Food Security</v>
      </c>
      <c r="AQ128" s="36">
        <f>IFERROR(tblPiNAnalysis512[[#This Row],[2nd Highest Target]]/tblPiNAnalysis512[[#This Row],[Affected population projection 2026]], "")</f>
        <v>0.40595095650889573</v>
      </c>
      <c r="AR128" s="46">
        <f>IFERROR(tblPiNAnalysis512[[#This Row],[Highest Target]]-tblPiNAnalysis512[[#This Row],[2nd Highest Target]], "")</f>
        <v>8093.9594953289343</v>
      </c>
      <c r="AS128" s="39">
        <f>IFERROR(((tblPiNAnalysis512[[#This Row],[Highest Target]]-tblPiNAnalysis512[[#This Row],[2nd Highest Target]])/tblPiNAnalysis512[[#This Row],[2nd Highest Target]]),"")</f>
        <v>0.4245104318289567</v>
      </c>
      <c r="AT128" s="39" t="str" cm="1">
        <f t="array" ref="AT12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28" s="332" cm="1">
        <f t="array" ref="AU12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13520.696823211947</v>
      </c>
      <c r="AV128" s="190" t="str" cm="1">
        <f t="array" ref="AV128">IF(tblPiNAnalysis512[[#This Row],[3rd Highest Target]]="", "", _xlfn.TEXTJOIN(CHAR(10), TRUE, IF(tblPiNAnalysis512[[#This Row],[3rd Highest Target]]=tblPiNAnalysis512[[#This Row],[CCCM]:[WASH]], tblPiNAnalysis512[[#Headers],[CCCM]:[WASH]], "")))</f>
        <v>Nutrition</v>
      </c>
      <c r="AW128" s="190">
        <f>IFERROR(tblPiNAnalysis512[[#This Row],[3rd Highest Target]]/tblPiNAnalysis512[[#This Row],[Affected population projection 2026]], "")</f>
        <v>0.28787237043336134</v>
      </c>
      <c r="AX128" s="45">
        <f>IFERROR(tblPiNAnalysis512[[#This Row],[Highest Target]]-tblPiNAnalysis512[[#This Row],[3rd Highest Target]],"")</f>
        <v>13639.836514500545</v>
      </c>
      <c r="AY128" s="39">
        <f>IFERROR(tblPiNAnalysis512[[#This Row],[Difference of Target between Highest and 3rd Highest]]/tblPiNAnalysis512[[#This Row],[3rd Highest Target]], "")</f>
        <v>1.0088116531896538</v>
      </c>
      <c r="AZ128" s="330" t="str" cm="1">
        <f t="array" ref="AZ12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28" s="300" t="str" cm="1">
        <f t="array" ref="BA12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8" s="333" t="str" cm="1">
        <f t="array" ref="BB12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8" s="276" t="str" cm="1">
        <f t="array" ref="BC12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8" s="334" t="str" cm="1">
        <f t="array" ref="BD12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28" s="277" t="e">
        <f>INDEX(tblSeverityAnalysis[Final Severity], MATCH(tblPiNAnalysis512[[#This Row],[ID]],tblSeverityAnalysis[ID], 0))</f>
        <v>#N/A</v>
      </c>
      <c r="BF128" s="61" t="e">
        <f>IF(tblPiNAnalysis512[[#This Row],[Severity]]&gt;2,tblPiNAnalysis512[[#This Row],[Highest Target]],)</f>
        <v>#N/A</v>
      </c>
      <c r="BG128" s="191"/>
      <c r="BH128" s="192"/>
      <c r="BI128" s="193">
        <f>COUNTIFS(tblPiNAnalysis512[[#This Row],[Number of missing / zero PiNs greater than threshold - Data quality]:[Manual Flag]],"Flagged")</f>
        <v>3</v>
      </c>
      <c r="BJ128" s="96" t="str">
        <f>IF(tblPiNAnalysis512[[#This Row],['# Flags]]&gt;0, "Flagged", "")</f>
        <v>Flagged</v>
      </c>
      <c r="BK128" s="326" t="e">
        <f>tblPiNAnalysis512[[#This Row],[Preliminary Target]]</f>
        <v>#N/A</v>
      </c>
      <c r="BL128" s="331">
        <v>1</v>
      </c>
    </row>
    <row r="129" spans="1:64" x14ac:dyDescent="0.55000000000000004">
      <c r="A1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9" s="316" t="s">
        <v>322</v>
      </c>
      <c r="C129" s="317" t="s">
        <v>323</v>
      </c>
      <c r="D129" s="317" t="s">
        <v>338</v>
      </c>
      <c r="E129" s="105" t="s">
        <v>339</v>
      </c>
      <c r="F129" s="100"/>
      <c r="G129" s="34"/>
      <c r="H129" s="34"/>
      <c r="I129" s="97">
        <v>96392.652760116689</v>
      </c>
      <c r="J129" s="97" t="s">
        <v>413</v>
      </c>
      <c r="K129" s="318">
        <v>0</v>
      </c>
      <c r="L129" s="319">
        <v>2254.4120842230577</v>
      </c>
      <c r="M129" s="319">
        <v>27154.919948448758</v>
      </c>
      <c r="N129" s="319">
        <v>32203.115122920968</v>
      </c>
      <c r="O129" s="319">
        <v>60308.079776676626</v>
      </c>
      <c r="P129" s="319">
        <v>12709.411364181253</v>
      </c>
      <c r="Q129" s="320">
        <v>1695.7966689279788</v>
      </c>
      <c r="R129" s="319">
        <v>13248.817604349008</v>
      </c>
      <c r="S129" s="319"/>
      <c r="T129" s="319"/>
      <c r="U129" s="319"/>
      <c r="V129" s="319"/>
      <c r="W129" s="321">
        <f>IFERROR(IF(tblPiNAnalysis512[[#This Row],[CCCM]]="", "", MROUND(tblPiNAnalysis512[[#This Row],[CCCM]]/tblPiNAnalysis512[[#This Row],[Affected population projection 2026]], 0.05)), "")</f>
        <v>0</v>
      </c>
      <c r="X129" s="322">
        <f>IFERROR(IF(tblPiNAnalysis512[[#This Row],[Education]]="", "", MROUND(tblPiNAnalysis512[[#This Row],[Education]]/tblPiNAnalysis512[[#This Row],[Affected population projection 2026]], 0.05)), "")</f>
        <v>0</v>
      </c>
      <c r="Y129" s="322">
        <f>IFERROR(IF(tblPiNAnalysis512[[#This Row],[Nutrition]]="", "", MROUND(tblPiNAnalysis512[[#This Row],[Nutrition]]/tblPiNAnalysis512[[#This Row],[Affected population projection 2026]], 0.05)), "")</f>
        <v>0.30000000000000004</v>
      </c>
      <c r="Z129" s="322">
        <f>IFERROR(IF(tblPiNAnalysis512[[#This Row],[Food Security]]="", "", MROUND(tblPiNAnalysis512[[#This Row],[Food Security]]/tblPiNAnalysis512[[#This Row],[Affected population projection 2026]], 0.05)), "")</f>
        <v>0.35000000000000003</v>
      </c>
      <c r="AA129" s="322">
        <f>IFERROR(IF(tblPiNAnalysis512[[#This Row],[Health]]="", "", MROUND(tblPiNAnalysis512[[#This Row],[Health]]/tblPiNAnalysis512[[#This Row],[Affected population projection 2026]], 0.05)), "")</f>
        <v>0.65</v>
      </c>
      <c r="AB129" s="323">
        <f>IFERROR(IF(tblPiNAnalysis512[[#This Row],[Overarching Protection]]="", "", MROUND(tblPiNAnalysis512[[#This Row],[Overarching Protection]]/tblPiNAnalysis512[[#This Row],[Affected population projection 2026]], 0.05)), "")</f>
        <v>0.15000000000000002</v>
      </c>
      <c r="AC129" s="323">
        <f>IFERROR(IF(tblPiNAnalysis512[[#This Row],[Shelter]]="", "", MROUND(tblPiNAnalysis512[[#This Row],[Shelter]]/tblPiNAnalysis512[[#This Row],[Affected population projection 2026]], 0.05)), "")</f>
        <v>0</v>
      </c>
      <c r="AD129" s="324">
        <f>IFERROR(IF(tblPiNAnalysis512[[#This Row],[WASH]]="", "", MROUND(tblPiNAnalysis512[[#This Row],[WASH]]/tblPiNAnalysis512[[#This Row],[Affected population projection 2026]], 0.05)), "")</f>
        <v>0.15000000000000002</v>
      </c>
      <c r="AE129" s="322">
        <f>IFERROR(MROUND(tblPiNAnalysis512[[#This Row],[CP]]/tblPiNAnalysis512[[#This Row],[Affected population projection 2026]], 0.05), "")</f>
        <v>0</v>
      </c>
      <c r="AF129" s="322">
        <f>IFERROR(MROUND(tblPiNAnalysis512[[#This Row],[GBV]]/tblPiNAnalysis512[[#This Row],[Affected population projection 2026]], 0.05), "")</f>
        <v>0</v>
      </c>
      <c r="AG129" s="322">
        <f>IFERROR(MROUND(tblPiNAnalysis512[[#This Row],[Mine Action]]/tblPiNAnalysis512[[#This Row],[Affected population projection 2026]], 0.05), "")</f>
        <v>0</v>
      </c>
      <c r="AH129" s="322">
        <f>IFERROR(MROUND(tblPiNAnalysis512[[#This Row],[HLP]]/tblPiNAnalysis512[[#This Row],[Affected population projection 2026]], 0.05), "")</f>
        <v>0</v>
      </c>
      <c r="AI129" s="325">
        <f>IFERROR(LARGE(tblPiNAnalysis512[[#This Row],[CCCM]:[WASH]], 1), "")</f>
        <v>60308.079776676626</v>
      </c>
      <c r="AJ129" s="326" t="str" cm="1">
        <f t="array" ref="AJ129">IF(tblPiNAnalysis512[[#This Row],[Highest Target]]="", "", _xlfn.TEXTJOIN(CHAR(10), TRUE, IF(tblPiNAnalysis512[[#This Row],[Highest Target]]=tblPiNAnalysis512[[#This Row],[CCCM]:[WASH]], tblPiNAnalysis512[[#Headers],[CCCM]:[WASH]], "")))</f>
        <v>Health</v>
      </c>
      <c r="AK129" s="327">
        <f>IF(tblPiNAnalysis512[[#This Row],[Highest Target]]="", "", tblPiNAnalysis512[[#This Row],[Highest Target]]/tblPiNAnalysis512[[#This Row],[Affected population projection 2026]])</f>
        <v>0.6256501719769002</v>
      </c>
      <c r="AL129" s="328" t="str">
        <f>IF(SUM(tblPiNAnalysis512[[#This Row],[CCCM]:[WASH]])=0, "",IF(COUNTIF(tblPiNAnalysis512[[#This Row],[CCCM]:[WASH]],"=0")+COUNTIF(tblPiNAnalysis512[[#This Row],[CCCM]:[WASH]],"")&gt;=zero_pin_thresh, "Flagged", ""))</f>
        <v/>
      </c>
      <c r="AM129" s="329" t="str">
        <f>IFERROR(IF(tblPiNAnalysis512[[#This Row],[Highest Target]]="", "", IF(tblPiNAnalysis512[[#This Row],[Highest sector(s'') Target %]]&gt;=flag_pin_perc, "Flagged", "")), "")</f>
        <v/>
      </c>
      <c r="AN129" s="330" t="str" cm="1">
        <f t="array" ref="AN129">IF(tblPiNAnalysis512[[#This Row],[Highest Target]]=0, "",  IF(OR(COUNTIF(tblPiNAnalysis512[[#This Row],[Highest sector(s)]],tblSubSectorPopulation[Sector])), "Flagged", ""))</f>
        <v/>
      </c>
      <c r="AO129" s="46" cm="1">
        <f t="array" ref="AO12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32203.115122920968</v>
      </c>
      <c r="AP129" s="331" t="str" cm="1">
        <f t="array" ref="AP129">IF(tblPiNAnalysis512[[#This Row],[2nd Highest Target]]="", "", _xlfn.TEXTJOIN(CHAR(10), TRUE, IF(tblPiNAnalysis512[[#This Row],[2nd Highest Target]]=tblPiNAnalysis512[[#This Row],[CCCM]:[WASH]], tblPiNAnalysis512[[#Headers],[CCCM]:[WASH]], "")))</f>
        <v>Food Security</v>
      </c>
      <c r="AQ129" s="36">
        <f>IFERROR(tblPiNAnalysis512[[#This Row],[2nd Highest Target]]/tblPiNAnalysis512[[#This Row],[Affected population projection 2026]], "")</f>
        <v>0.3340826733243023</v>
      </c>
      <c r="AR129" s="46">
        <f>IFERROR(tblPiNAnalysis512[[#This Row],[Highest Target]]-tblPiNAnalysis512[[#This Row],[2nd Highest Target]], "")</f>
        <v>28104.964653755658</v>
      </c>
      <c r="AS129" s="39">
        <f>IFERROR(((tblPiNAnalysis512[[#This Row],[Highest Target]]-tblPiNAnalysis512[[#This Row],[2nd Highest Target]])/tblPiNAnalysis512[[#This Row],[2nd Highest Target]]),"")</f>
        <v>0.87274055775279946</v>
      </c>
      <c r="AT129" s="39" t="str" cm="1">
        <f t="array" ref="AT12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29" s="332" cm="1">
        <f t="array" ref="AU12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27154.919948448758</v>
      </c>
      <c r="AV129" s="190" t="str" cm="1">
        <f t="array" ref="AV129">IF(tblPiNAnalysis512[[#This Row],[3rd Highest Target]]="", "", _xlfn.TEXTJOIN(CHAR(10), TRUE, IF(tblPiNAnalysis512[[#This Row],[3rd Highest Target]]=tblPiNAnalysis512[[#This Row],[CCCM]:[WASH]], tblPiNAnalysis512[[#Headers],[CCCM]:[WASH]], "")))</f>
        <v>Nutrition</v>
      </c>
      <c r="AW129" s="190">
        <f>IFERROR(tblPiNAnalysis512[[#This Row],[3rd Highest Target]]/tblPiNAnalysis512[[#This Row],[Affected population projection 2026]], "")</f>
        <v>0.28171151193469746</v>
      </c>
      <c r="AX129" s="45">
        <f>IFERROR(tblPiNAnalysis512[[#This Row],[Highest Target]]-tblPiNAnalysis512[[#This Row],[3rd Highest Target]],"")</f>
        <v>33153.159828227872</v>
      </c>
      <c r="AY129" s="39">
        <f>IFERROR(tblPiNAnalysis512[[#This Row],[Difference of Target between Highest and 3rd Highest]]/tblPiNAnalysis512[[#This Row],[3rd Highest Target]], "")</f>
        <v>1.2208896174677093</v>
      </c>
      <c r="AZ129" s="330" t="str" cm="1">
        <f t="array" ref="AZ12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29" s="300" t="str" cm="1">
        <f t="array" ref="BA12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29" s="333" t="str" cm="1">
        <f t="array" ref="BB12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29" s="276" t="str" cm="1">
        <f t="array" ref="BC12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29" s="334" t="str" cm="1">
        <f t="array" ref="BD12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29" s="277" t="e">
        <f>INDEX(tblSeverityAnalysis[Final Severity], MATCH(tblPiNAnalysis512[[#This Row],[ID]],tblSeverityAnalysis[ID], 0))</f>
        <v>#N/A</v>
      </c>
      <c r="BF129" s="61" t="e">
        <f>IF(tblPiNAnalysis512[[#This Row],[Severity]]&gt;2,tblPiNAnalysis512[[#This Row],[Highest Target]],)</f>
        <v>#N/A</v>
      </c>
      <c r="BG129" s="191"/>
      <c r="BH129" s="192"/>
      <c r="BI129" s="193">
        <f>COUNTIFS(tblPiNAnalysis512[[#This Row],[Number of missing / zero PiNs greater than threshold - Data quality]:[Manual Flag]],"Flagged")</f>
        <v>3</v>
      </c>
      <c r="BJ129" s="96" t="str">
        <f>IF(tblPiNAnalysis512[[#This Row],['# Flags]]&gt;0, "Flagged", "")</f>
        <v>Flagged</v>
      </c>
      <c r="BK129" s="326" t="e">
        <f>tblPiNAnalysis512[[#This Row],[Preliminary Target]]</f>
        <v>#N/A</v>
      </c>
      <c r="BL129" s="331">
        <v>2</v>
      </c>
    </row>
    <row r="130" spans="1:64" x14ac:dyDescent="0.55000000000000004">
      <c r="A1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0" s="316" t="s">
        <v>322</v>
      </c>
      <c r="C130" s="317" t="s">
        <v>323</v>
      </c>
      <c r="D130" s="317" t="s">
        <v>340</v>
      </c>
      <c r="E130" s="105" t="s">
        <v>341</v>
      </c>
      <c r="F130" s="100"/>
      <c r="G130" s="34"/>
      <c r="H130" s="34"/>
      <c r="I130" s="97">
        <v>128065.73135408323</v>
      </c>
      <c r="J130" s="97" t="s">
        <v>413</v>
      </c>
      <c r="K130" s="318">
        <v>0</v>
      </c>
      <c r="L130" s="319">
        <v>10579.246251754224</v>
      </c>
      <c r="M130" s="319">
        <v>29548.754558209097</v>
      </c>
      <c r="N130" s="319">
        <v>59467.210306405665</v>
      </c>
      <c r="O130" s="319">
        <v>72884.705316643594</v>
      </c>
      <c r="P130" s="319">
        <v>12567.398569265311</v>
      </c>
      <c r="Q130" s="320">
        <v>9486.3504706728309</v>
      </c>
      <c r="R130" s="319">
        <v>20998.432031437256</v>
      </c>
      <c r="S130" s="319"/>
      <c r="T130" s="319"/>
      <c r="U130" s="319"/>
      <c r="V130" s="319"/>
      <c r="W130" s="321">
        <f>IFERROR(IF(tblPiNAnalysis512[[#This Row],[CCCM]]="", "", MROUND(tblPiNAnalysis512[[#This Row],[CCCM]]/tblPiNAnalysis512[[#This Row],[Affected population projection 2026]], 0.05)), "")</f>
        <v>0</v>
      </c>
      <c r="X130" s="322">
        <f>IFERROR(IF(tblPiNAnalysis512[[#This Row],[Education]]="", "", MROUND(tblPiNAnalysis512[[#This Row],[Education]]/tblPiNAnalysis512[[#This Row],[Affected population projection 2026]], 0.05)), "")</f>
        <v>0.1</v>
      </c>
      <c r="Y130" s="322">
        <f>IFERROR(IF(tblPiNAnalysis512[[#This Row],[Nutrition]]="", "", MROUND(tblPiNAnalysis512[[#This Row],[Nutrition]]/tblPiNAnalysis512[[#This Row],[Affected population projection 2026]], 0.05)), "")</f>
        <v>0.25</v>
      </c>
      <c r="Z130" s="322">
        <f>IFERROR(IF(tblPiNAnalysis512[[#This Row],[Food Security]]="", "", MROUND(tblPiNAnalysis512[[#This Row],[Food Security]]/tblPiNAnalysis512[[#This Row],[Affected population projection 2026]], 0.05)), "")</f>
        <v>0.45</v>
      </c>
      <c r="AA130" s="322">
        <f>IFERROR(IF(tblPiNAnalysis512[[#This Row],[Health]]="", "", MROUND(tblPiNAnalysis512[[#This Row],[Health]]/tblPiNAnalysis512[[#This Row],[Affected population projection 2026]], 0.05)), "")</f>
        <v>0.55000000000000004</v>
      </c>
      <c r="AB130" s="323">
        <f>IFERROR(IF(tblPiNAnalysis512[[#This Row],[Overarching Protection]]="", "", MROUND(tblPiNAnalysis512[[#This Row],[Overarching Protection]]/tblPiNAnalysis512[[#This Row],[Affected population projection 2026]], 0.05)), "")</f>
        <v>0.1</v>
      </c>
      <c r="AC130" s="323">
        <f>IFERROR(IF(tblPiNAnalysis512[[#This Row],[Shelter]]="", "", MROUND(tblPiNAnalysis512[[#This Row],[Shelter]]/tblPiNAnalysis512[[#This Row],[Affected population projection 2026]], 0.05)), "")</f>
        <v>0.05</v>
      </c>
      <c r="AD130" s="324">
        <f>IFERROR(IF(tblPiNAnalysis512[[#This Row],[WASH]]="", "", MROUND(tblPiNAnalysis512[[#This Row],[WASH]]/tblPiNAnalysis512[[#This Row],[Affected population projection 2026]], 0.05)), "")</f>
        <v>0.15000000000000002</v>
      </c>
      <c r="AE130" s="322">
        <f>IFERROR(MROUND(tblPiNAnalysis512[[#This Row],[CP]]/tblPiNAnalysis512[[#This Row],[Affected population projection 2026]], 0.05), "")</f>
        <v>0</v>
      </c>
      <c r="AF130" s="322">
        <f>IFERROR(MROUND(tblPiNAnalysis512[[#This Row],[GBV]]/tblPiNAnalysis512[[#This Row],[Affected population projection 2026]], 0.05), "")</f>
        <v>0</v>
      </c>
      <c r="AG130" s="322">
        <f>IFERROR(MROUND(tblPiNAnalysis512[[#This Row],[Mine Action]]/tblPiNAnalysis512[[#This Row],[Affected population projection 2026]], 0.05), "")</f>
        <v>0</v>
      </c>
      <c r="AH130" s="322">
        <f>IFERROR(MROUND(tblPiNAnalysis512[[#This Row],[HLP]]/tblPiNAnalysis512[[#This Row],[Affected population projection 2026]], 0.05), "")</f>
        <v>0</v>
      </c>
      <c r="AI130" s="325">
        <f>IFERROR(LARGE(tblPiNAnalysis512[[#This Row],[CCCM]:[WASH]], 1), "")</f>
        <v>72884.705316643594</v>
      </c>
      <c r="AJ130" s="326" t="str" cm="1">
        <f t="array" ref="AJ130">IF(tblPiNAnalysis512[[#This Row],[Highest Target]]="", "", _xlfn.TEXTJOIN(CHAR(10), TRUE, IF(tblPiNAnalysis512[[#This Row],[Highest Target]]=tblPiNAnalysis512[[#This Row],[CCCM]:[WASH]], tblPiNAnalysis512[[#Headers],[CCCM]:[WASH]], "")))</f>
        <v>Health</v>
      </c>
      <c r="AK130" s="327">
        <f>IF(tblPiNAnalysis512[[#This Row],[Highest Target]]="", "", tblPiNAnalysis512[[#This Row],[Highest Target]]/tblPiNAnalysis512[[#This Row],[Affected population projection 2026]])</f>
        <v>0.56911950250866039</v>
      </c>
      <c r="AL130" s="328" t="str">
        <f>IF(SUM(tblPiNAnalysis512[[#This Row],[CCCM]:[WASH]])=0, "",IF(COUNTIF(tblPiNAnalysis512[[#This Row],[CCCM]:[WASH]],"=0")+COUNTIF(tblPiNAnalysis512[[#This Row],[CCCM]:[WASH]],"")&gt;=zero_pin_thresh, "Flagged", ""))</f>
        <v/>
      </c>
      <c r="AM130" s="329" t="str">
        <f>IFERROR(IF(tblPiNAnalysis512[[#This Row],[Highest Target]]="", "", IF(tblPiNAnalysis512[[#This Row],[Highest sector(s'') Target %]]&gt;=flag_pin_perc, "Flagged", "")), "")</f>
        <v/>
      </c>
      <c r="AN130" s="330" t="str" cm="1">
        <f t="array" ref="AN130">IF(tblPiNAnalysis512[[#This Row],[Highest Target]]=0, "",  IF(OR(COUNTIF(tblPiNAnalysis512[[#This Row],[Highest sector(s)]],tblSubSectorPopulation[Sector])), "Flagged", ""))</f>
        <v/>
      </c>
      <c r="AO130" s="46" cm="1">
        <f t="array" ref="AO13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59467.210306405665</v>
      </c>
      <c r="AP130" s="331" t="str" cm="1">
        <f t="array" ref="AP130">IF(tblPiNAnalysis512[[#This Row],[2nd Highest Target]]="", "", _xlfn.TEXTJOIN(CHAR(10), TRUE, IF(tblPiNAnalysis512[[#This Row],[2nd Highest Target]]=tblPiNAnalysis512[[#This Row],[CCCM]:[WASH]], tblPiNAnalysis512[[#Headers],[CCCM]:[WASH]], "")))</f>
        <v>Food Security</v>
      </c>
      <c r="AQ130" s="36">
        <f>IFERROR(tblPiNAnalysis512[[#This Row],[2nd Highest Target]]/tblPiNAnalysis512[[#This Row],[Affected population projection 2026]], "")</f>
        <v>0.46434912507536796</v>
      </c>
      <c r="AR130" s="46">
        <f>IFERROR(tblPiNAnalysis512[[#This Row],[Highest Target]]-tblPiNAnalysis512[[#This Row],[2nd Highest Target]], "")</f>
        <v>13417.49501023793</v>
      </c>
      <c r="AS130" s="39">
        <f>IFERROR(((tblPiNAnalysis512[[#This Row],[Highest Target]]-tblPiNAnalysis512[[#This Row],[2nd Highest Target]])/tblPiNAnalysis512[[#This Row],[2nd Highest Target]]),"")</f>
        <v>0.22562845879441951</v>
      </c>
      <c r="AT130" s="39" t="str" cm="1">
        <f t="array" ref="AT13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0" s="332" cm="1">
        <f t="array" ref="AU13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29548.754558209097</v>
      </c>
      <c r="AV130" s="190" t="str" cm="1">
        <f t="array" ref="AV130">IF(tblPiNAnalysis512[[#This Row],[3rd Highest Target]]="", "", _xlfn.TEXTJOIN(CHAR(10), TRUE, IF(tblPiNAnalysis512[[#This Row],[3rd Highest Target]]=tblPiNAnalysis512[[#This Row],[CCCM]:[WASH]], tblPiNAnalysis512[[#Headers],[CCCM]:[WASH]], "")))</f>
        <v>Nutrition</v>
      </c>
      <c r="AW130" s="190">
        <f>IFERROR(tblPiNAnalysis512[[#This Row],[3rd Highest Target]]/tblPiNAnalysis512[[#This Row],[Affected population projection 2026]], "")</f>
        <v>0.23073115849009651</v>
      </c>
      <c r="AX130" s="45">
        <f>IFERROR(tblPiNAnalysis512[[#This Row],[Highest Target]]-tblPiNAnalysis512[[#This Row],[3rd Highest Target]],"")</f>
        <v>43335.950758434497</v>
      </c>
      <c r="AY130" s="39">
        <f>IFERROR(tblPiNAnalysis512[[#This Row],[Difference of Target between Highest and 3rd Highest]]/tblPiNAnalysis512[[#This Row],[3rd Highest Target]], "")</f>
        <v>1.466591448822844</v>
      </c>
      <c r="AZ130" s="330" t="str" cm="1">
        <f t="array" ref="AZ13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30" s="300" t="str" cm="1">
        <f t="array" ref="BA13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0" s="333" t="str" cm="1">
        <f t="array" ref="BB13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30" s="276" t="str" cm="1">
        <f t="array" ref="BC13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0" s="334" t="str" cm="1">
        <f t="array" ref="BD13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30" s="277" t="e">
        <f>INDEX(tblSeverityAnalysis[Final Severity], MATCH(tblPiNAnalysis512[[#This Row],[ID]],tblSeverityAnalysis[ID], 0))</f>
        <v>#N/A</v>
      </c>
      <c r="BF130" s="61" t="e">
        <f>IF(tblPiNAnalysis512[[#This Row],[Severity]]&gt;2,tblPiNAnalysis512[[#This Row],[Highest Target]],)</f>
        <v>#N/A</v>
      </c>
      <c r="BG130" s="191"/>
      <c r="BH130" s="192"/>
      <c r="BI130" s="193">
        <f>COUNTIFS(tblPiNAnalysis512[[#This Row],[Number of missing / zero PiNs greater than threshold - Data quality]:[Manual Flag]],"Flagged")</f>
        <v>2</v>
      </c>
      <c r="BJ130" s="96" t="str">
        <f>IF(tblPiNAnalysis512[[#This Row],['# Flags]]&gt;0, "Flagged", "")</f>
        <v>Flagged</v>
      </c>
      <c r="BK130" s="326" t="e">
        <f>tblPiNAnalysis512[[#This Row],[Preliminary Target]]</f>
        <v>#N/A</v>
      </c>
      <c r="BL130" s="331">
        <v>1</v>
      </c>
    </row>
    <row r="131" spans="1:64" x14ac:dyDescent="0.55000000000000004">
      <c r="A1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1" s="316" t="s">
        <v>342</v>
      </c>
      <c r="C131" s="317" t="s">
        <v>343</v>
      </c>
      <c r="D131" s="317" t="s">
        <v>344</v>
      </c>
      <c r="E131" s="105" t="s">
        <v>345</v>
      </c>
      <c r="F131" s="100"/>
      <c r="G131" s="34"/>
      <c r="H131" s="34"/>
      <c r="I131" s="97">
        <v>38631.891660273708</v>
      </c>
      <c r="J131" s="97" t="s">
        <v>413</v>
      </c>
      <c r="K131" s="318">
        <v>0</v>
      </c>
      <c r="L131" s="319">
        <v>928.74158102630827</v>
      </c>
      <c r="M131" s="319">
        <v>16808.57557577873</v>
      </c>
      <c r="N131" s="319">
        <v>17248.961839678679</v>
      </c>
      <c r="O131" s="319">
        <v>17177.184197164377</v>
      </c>
      <c r="P131" s="319">
        <v>5222.2274564138088</v>
      </c>
      <c r="Q131" s="320">
        <v>1229.1965528268909</v>
      </c>
      <c r="R131" s="319">
        <v>31163.191755102478</v>
      </c>
      <c r="S131" s="319"/>
      <c r="T131" s="319"/>
      <c r="U131" s="319"/>
      <c r="V131" s="319"/>
      <c r="W131" s="321">
        <f>IFERROR(IF(tblPiNAnalysis512[[#This Row],[CCCM]]="", "", MROUND(tblPiNAnalysis512[[#This Row],[CCCM]]/tblPiNAnalysis512[[#This Row],[Affected population projection 2026]], 0.05)), "")</f>
        <v>0</v>
      </c>
      <c r="X131" s="322">
        <f>IFERROR(IF(tblPiNAnalysis512[[#This Row],[Education]]="", "", MROUND(tblPiNAnalysis512[[#This Row],[Education]]/tblPiNAnalysis512[[#This Row],[Affected population projection 2026]], 0.05)), "")</f>
        <v>0</v>
      </c>
      <c r="Y131" s="322">
        <f>IFERROR(IF(tblPiNAnalysis512[[#This Row],[Nutrition]]="", "", MROUND(tblPiNAnalysis512[[#This Row],[Nutrition]]/tblPiNAnalysis512[[#This Row],[Affected population projection 2026]], 0.05)), "")</f>
        <v>0.45</v>
      </c>
      <c r="Z131" s="322">
        <f>IFERROR(IF(tblPiNAnalysis512[[#This Row],[Food Security]]="", "", MROUND(tblPiNAnalysis512[[#This Row],[Food Security]]/tblPiNAnalysis512[[#This Row],[Affected population projection 2026]], 0.05)), "")</f>
        <v>0.45</v>
      </c>
      <c r="AA131" s="322">
        <f>IFERROR(IF(tblPiNAnalysis512[[#This Row],[Health]]="", "", MROUND(tblPiNAnalysis512[[#This Row],[Health]]/tblPiNAnalysis512[[#This Row],[Affected population projection 2026]], 0.05)), "")</f>
        <v>0.45</v>
      </c>
      <c r="AB131" s="323">
        <f>IFERROR(IF(tblPiNAnalysis512[[#This Row],[Overarching Protection]]="", "", MROUND(tblPiNAnalysis512[[#This Row],[Overarching Protection]]/tblPiNAnalysis512[[#This Row],[Affected population projection 2026]], 0.05)), "")</f>
        <v>0.15000000000000002</v>
      </c>
      <c r="AC131" s="323">
        <f>IFERROR(IF(tblPiNAnalysis512[[#This Row],[Shelter]]="", "", MROUND(tblPiNAnalysis512[[#This Row],[Shelter]]/tblPiNAnalysis512[[#This Row],[Affected population projection 2026]], 0.05)), "")</f>
        <v>0.05</v>
      </c>
      <c r="AD131" s="324">
        <f>IFERROR(IF(tblPiNAnalysis512[[#This Row],[WASH]]="", "", MROUND(tblPiNAnalysis512[[#This Row],[WASH]]/tblPiNAnalysis512[[#This Row],[Affected population projection 2026]], 0.05)), "")</f>
        <v>0.8</v>
      </c>
      <c r="AE131" s="322">
        <f>IFERROR(MROUND(tblPiNAnalysis512[[#This Row],[CP]]/tblPiNAnalysis512[[#This Row],[Affected population projection 2026]], 0.05), "")</f>
        <v>0</v>
      </c>
      <c r="AF131" s="322">
        <f>IFERROR(MROUND(tblPiNAnalysis512[[#This Row],[GBV]]/tblPiNAnalysis512[[#This Row],[Affected population projection 2026]], 0.05), "")</f>
        <v>0</v>
      </c>
      <c r="AG131" s="322">
        <f>IFERROR(MROUND(tblPiNAnalysis512[[#This Row],[Mine Action]]/tblPiNAnalysis512[[#This Row],[Affected population projection 2026]], 0.05), "")</f>
        <v>0</v>
      </c>
      <c r="AH131" s="322">
        <f>IFERROR(MROUND(tblPiNAnalysis512[[#This Row],[HLP]]/tblPiNAnalysis512[[#This Row],[Affected population projection 2026]], 0.05), "")</f>
        <v>0</v>
      </c>
      <c r="AI131" s="325">
        <f>IFERROR(LARGE(tblPiNAnalysis512[[#This Row],[CCCM]:[WASH]], 1), "")</f>
        <v>31163.191755102478</v>
      </c>
      <c r="AJ131" s="326" t="str" cm="1">
        <f t="array" ref="AJ131">IF(tblPiNAnalysis512[[#This Row],[Highest Target]]="", "", _xlfn.TEXTJOIN(CHAR(10), TRUE, IF(tblPiNAnalysis512[[#This Row],[Highest Target]]=tblPiNAnalysis512[[#This Row],[CCCM]:[WASH]], tblPiNAnalysis512[[#Headers],[CCCM]:[WASH]], "")))</f>
        <v>WASH</v>
      </c>
      <c r="AK131" s="327">
        <f>IF(tblPiNAnalysis512[[#This Row],[Highest Target]]="", "", tblPiNAnalysis512[[#This Row],[Highest Target]]/tblPiNAnalysis512[[#This Row],[Affected population projection 2026]])</f>
        <v>0.80667009602194784</v>
      </c>
      <c r="AL131" s="328" t="str">
        <f>IF(SUM(tblPiNAnalysis512[[#This Row],[CCCM]:[WASH]])=0, "",IF(COUNTIF(tblPiNAnalysis512[[#This Row],[CCCM]:[WASH]],"=0")+COUNTIF(tblPiNAnalysis512[[#This Row],[CCCM]:[WASH]],"")&gt;=zero_pin_thresh, "Flagged", ""))</f>
        <v/>
      </c>
      <c r="AM131" s="329" t="str">
        <f>IFERROR(IF(tblPiNAnalysis512[[#This Row],[Highest Target]]="", "", IF(tblPiNAnalysis512[[#This Row],[Highest sector(s'') Target %]]&gt;=flag_pin_perc, "Flagged", "")), "")</f>
        <v/>
      </c>
      <c r="AN131" s="330" t="str" cm="1">
        <f t="array" ref="AN131">IF(tblPiNAnalysis512[[#This Row],[Highest Target]]=0, "",  IF(OR(COUNTIF(tblPiNAnalysis512[[#This Row],[Highest sector(s)]],tblSubSectorPopulation[Sector])), "Flagged", ""))</f>
        <v/>
      </c>
      <c r="AO131" s="46" cm="1">
        <f t="array" ref="AO13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17248.961839678679</v>
      </c>
      <c r="AP131" s="331" t="str" cm="1">
        <f t="array" ref="AP131">IF(tblPiNAnalysis512[[#This Row],[2nd Highest Target]]="", "", _xlfn.TEXTJOIN(CHAR(10), TRUE, IF(tblPiNAnalysis512[[#This Row],[2nd Highest Target]]=tblPiNAnalysis512[[#This Row],[CCCM]:[WASH]], tblPiNAnalysis512[[#Headers],[CCCM]:[WASH]], "")))</f>
        <v>Food Security</v>
      </c>
      <c r="AQ131" s="36">
        <f>IFERROR(tblPiNAnalysis512[[#This Row],[2nd Highest Target]]/tblPiNAnalysis512[[#This Row],[Affected population projection 2026]], "")</f>
        <v>0.44649539793093501</v>
      </c>
      <c r="AR131" s="46">
        <f>IFERROR(tblPiNAnalysis512[[#This Row],[Highest Target]]-tblPiNAnalysis512[[#This Row],[2nd Highest Target]], "")</f>
        <v>13914.229915423799</v>
      </c>
      <c r="AS131" s="39">
        <f>IFERROR(((tblPiNAnalysis512[[#This Row],[Highest Target]]-tblPiNAnalysis512[[#This Row],[2nd Highest Target]])/tblPiNAnalysis512[[#This Row],[2nd Highest Target]]),"")</f>
        <v>0.80667057210458759</v>
      </c>
      <c r="AT131" s="39" t="str" cm="1">
        <f t="array" ref="AT13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31" s="332" cm="1">
        <f t="array" ref="AU13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17177.184197164377</v>
      </c>
      <c r="AV131" s="190" t="str" cm="1">
        <f t="array" ref="AV131">IF(tblPiNAnalysis512[[#This Row],[3rd Highest Target]]="", "", _xlfn.TEXTJOIN(CHAR(10), TRUE, IF(tblPiNAnalysis512[[#This Row],[3rd Highest Target]]=tblPiNAnalysis512[[#This Row],[CCCM]:[WASH]], tblPiNAnalysis512[[#Headers],[CCCM]:[WASH]], "")))</f>
        <v>Health</v>
      </c>
      <c r="AW131" s="190">
        <f>IFERROR(tblPiNAnalysis512[[#This Row],[3rd Highest Target]]/tblPiNAnalysis512[[#This Row],[Affected population projection 2026]], "")</f>
        <v>0.44463740860062961</v>
      </c>
      <c r="AX131" s="45">
        <f>IFERROR(tblPiNAnalysis512[[#This Row],[Highest Target]]-tblPiNAnalysis512[[#This Row],[3rd Highest Target]],"")</f>
        <v>13986.007557938101</v>
      </c>
      <c r="AY131" s="39">
        <f>IFERROR(tblPiNAnalysis512[[#This Row],[Difference of Target between Highest and 3rd Highest]]/tblPiNAnalysis512[[#This Row],[3rd Highest Target]], "")</f>
        <v>0.81422003731245551</v>
      </c>
      <c r="AZ131" s="330" t="str" cm="1">
        <f t="array" ref="AZ13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31" s="300" t="str" cm="1">
        <f t="array" ref="BA13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1" s="333" t="str" cm="1">
        <f t="array" ref="BB13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1" s="276" t="str" cm="1">
        <f t="array" ref="BC13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1" s="334" t="str" cm="1">
        <f t="array" ref="BD13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31" s="277" t="e">
        <f>INDEX(tblSeverityAnalysis[Final Severity], MATCH(tblPiNAnalysis512[[#This Row],[ID]],tblSeverityAnalysis[ID], 0))</f>
        <v>#N/A</v>
      </c>
      <c r="BF131" s="61" t="e">
        <f>IF(tblPiNAnalysis512[[#This Row],[Severity]]&gt;2,tblPiNAnalysis512[[#This Row],[Highest Target]],)</f>
        <v>#N/A</v>
      </c>
      <c r="BG131" s="191"/>
      <c r="BH131" s="192"/>
      <c r="BI131" s="193">
        <f>COUNTIFS(tblPiNAnalysis512[[#This Row],[Number of missing / zero PiNs greater than threshold - Data quality]:[Manual Flag]],"Flagged")</f>
        <v>2</v>
      </c>
      <c r="BJ131" s="96" t="str">
        <f>IF(tblPiNAnalysis512[[#This Row],['# Flags]]&gt;0, "Flagged", "")</f>
        <v>Flagged</v>
      </c>
      <c r="BK131" s="326" t="e">
        <f>tblPiNAnalysis512[[#This Row],[Preliminary Target]]</f>
        <v>#N/A</v>
      </c>
      <c r="BL131" s="331">
        <v>2</v>
      </c>
    </row>
    <row r="132" spans="1:64" x14ac:dyDescent="0.55000000000000004">
      <c r="A1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2" s="316" t="s">
        <v>342</v>
      </c>
      <c r="C132" s="317" t="s">
        <v>343</v>
      </c>
      <c r="D132" s="317" t="s">
        <v>346</v>
      </c>
      <c r="E132" s="105" t="s">
        <v>347</v>
      </c>
      <c r="F132" s="100"/>
      <c r="G132" s="34"/>
      <c r="H132" s="34"/>
      <c r="I132" s="97">
        <v>44904.26104030956</v>
      </c>
      <c r="J132" s="97" t="s">
        <v>413</v>
      </c>
      <c r="K132" s="318">
        <v>0</v>
      </c>
      <c r="L132" s="319">
        <v>4594.3525257826486</v>
      </c>
      <c r="M132" s="319">
        <v>10419.049491088002</v>
      </c>
      <c r="N132" s="319">
        <v>17412.318752540163</v>
      </c>
      <c r="O132" s="319">
        <v>13837.966186267111</v>
      </c>
      <c r="P132" s="319">
        <v>5332.4303445324203</v>
      </c>
      <c r="Q132" s="320">
        <v>2634.383314364828</v>
      </c>
      <c r="R132" s="319">
        <v>40879.091609459501</v>
      </c>
      <c r="S132" s="319"/>
      <c r="T132" s="319"/>
      <c r="U132" s="319"/>
      <c r="V132" s="319"/>
      <c r="W132" s="321">
        <f>IFERROR(IF(tblPiNAnalysis512[[#This Row],[CCCM]]="", "", MROUND(tblPiNAnalysis512[[#This Row],[CCCM]]/tblPiNAnalysis512[[#This Row],[Affected population projection 2026]], 0.05)), "")</f>
        <v>0</v>
      </c>
      <c r="X132" s="322">
        <f>IFERROR(IF(tblPiNAnalysis512[[#This Row],[Education]]="", "", MROUND(tblPiNAnalysis512[[#This Row],[Education]]/tblPiNAnalysis512[[#This Row],[Affected population projection 2026]], 0.05)), "")</f>
        <v>0.1</v>
      </c>
      <c r="Y132" s="322">
        <f>IFERROR(IF(tblPiNAnalysis512[[#This Row],[Nutrition]]="", "", MROUND(tblPiNAnalysis512[[#This Row],[Nutrition]]/tblPiNAnalysis512[[#This Row],[Affected population projection 2026]], 0.05)), "")</f>
        <v>0.25</v>
      </c>
      <c r="Z132" s="322">
        <f>IFERROR(IF(tblPiNAnalysis512[[#This Row],[Food Security]]="", "", MROUND(tblPiNAnalysis512[[#This Row],[Food Security]]/tblPiNAnalysis512[[#This Row],[Affected population projection 2026]], 0.05)), "")</f>
        <v>0.4</v>
      </c>
      <c r="AA132" s="322">
        <f>IFERROR(IF(tblPiNAnalysis512[[#This Row],[Health]]="", "", MROUND(tblPiNAnalysis512[[#This Row],[Health]]/tblPiNAnalysis512[[#This Row],[Affected population projection 2026]], 0.05)), "")</f>
        <v>0.30000000000000004</v>
      </c>
      <c r="AB132" s="323">
        <f>IFERROR(IF(tblPiNAnalysis512[[#This Row],[Overarching Protection]]="", "", MROUND(tblPiNAnalysis512[[#This Row],[Overarching Protection]]/tblPiNAnalysis512[[#This Row],[Affected population projection 2026]], 0.05)), "")</f>
        <v>0.1</v>
      </c>
      <c r="AC132" s="323">
        <f>IFERROR(IF(tblPiNAnalysis512[[#This Row],[Shelter]]="", "", MROUND(tblPiNAnalysis512[[#This Row],[Shelter]]/tblPiNAnalysis512[[#This Row],[Affected population projection 2026]], 0.05)), "")</f>
        <v>0.05</v>
      </c>
      <c r="AD132" s="324">
        <f>IFERROR(IF(tblPiNAnalysis512[[#This Row],[WASH]]="", "", MROUND(tblPiNAnalysis512[[#This Row],[WASH]]/tblPiNAnalysis512[[#This Row],[Affected population projection 2026]], 0.05)), "")</f>
        <v>0.9</v>
      </c>
      <c r="AE132" s="322">
        <f>IFERROR(MROUND(tblPiNAnalysis512[[#This Row],[CP]]/tblPiNAnalysis512[[#This Row],[Affected population projection 2026]], 0.05), "")</f>
        <v>0</v>
      </c>
      <c r="AF132" s="322">
        <f>IFERROR(MROUND(tblPiNAnalysis512[[#This Row],[GBV]]/tblPiNAnalysis512[[#This Row],[Affected population projection 2026]], 0.05), "")</f>
        <v>0</v>
      </c>
      <c r="AG132" s="322">
        <f>IFERROR(MROUND(tblPiNAnalysis512[[#This Row],[Mine Action]]/tblPiNAnalysis512[[#This Row],[Affected population projection 2026]], 0.05), "")</f>
        <v>0</v>
      </c>
      <c r="AH132" s="322">
        <f>IFERROR(MROUND(tblPiNAnalysis512[[#This Row],[HLP]]/tblPiNAnalysis512[[#This Row],[Affected population projection 2026]], 0.05), "")</f>
        <v>0</v>
      </c>
      <c r="AI132" s="325">
        <f>IFERROR(LARGE(tblPiNAnalysis512[[#This Row],[CCCM]:[WASH]], 1), "")</f>
        <v>40879.091609459501</v>
      </c>
      <c r="AJ132" s="326" t="str" cm="1">
        <f t="array" ref="AJ132">IF(tblPiNAnalysis512[[#This Row],[Highest Target]]="", "", _xlfn.TEXTJOIN(CHAR(10), TRUE, IF(tblPiNAnalysis512[[#This Row],[Highest Target]]=tblPiNAnalysis512[[#This Row],[CCCM]:[WASH]], tblPiNAnalysis512[[#Headers],[CCCM]:[WASH]], "")))</f>
        <v>WASH</v>
      </c>
      <c r="AK132" s="327">
        <f>IF(tblPiNAnalysis512[[#This Row],[Highest Target]]="", "", tblPiNAnalysis512[[#This Row],[Highest Target]]/tblPiNAnalysis512[[#This Row],[Affected population projection 2026]])</f>
        <v>0.91036108071711164</v>
      </c>
      <c r="AL132" s="328" t="str">
        <f>IF(SUM(tblPiNAnalysis512[[#This Row],[CCCM]:[WASH]])=0, "",IF(COUNTIF(tblPiNAnalysis512[[#This Row],[CCCM]:[WASH]],"=0")+COUNTIF(tblPiNAnalysis512[[#This Row],[CCCM]:[WASH]],"")&gt;=zero_pin_thresh, "Flagged", ""))</f>
        <v/>
      </c>
      <c r="AM132" s="329" t="str">
        <f>IFERROR(IF(tblPiNAnalysis512[[#This Row],[Highest Target]]="", "", IF(tblPiNAnalysis512[[#This Row],[Highest sector(s'') Target %]]&gt;=flag_pin_perc, "Flagged", "")), "")</f>
        <v>Flagged</v>
      </c>
      <c r="AN132" s="330" t="str" cm="1">
        <f t="array" ref="AN132">IF(tblPiNAnalysis512[[#This Row],[Highest Target]]=0, "",  IF(OR(COUNTIF(tblPiNAnalysis512[[#This Row],[Highest sector(s)]],tblSubSectorPopulation[Sector])), "Flagged", ""))</f>
        <v/>
      </c>
      <c r="AO132" s="46" cm="1">
        <f t="array" ref="AO13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17412.318752540163</v>
      </c>
      <c r="AP132" s="331" t="str" cm="1">
        <f t="array" ref="AP132">IF(tblPiNAnalysis512[[#This Row],[2nd Highest Target]]="", "", _xlfn.TEXTJOIN(CHAR(10), TRUE, IF(tblPiNAnalysis512[[#This Row],[2nd Highest Target]]=tblPiNAnalysis512[[#This Row],[CCCM]:[WASH]], tblPiNAnalysis512[[#Headers],[CCCM]:[WASH]], "")))</f>
        <v>Food Security</v>
      </c>
      <c r="AQ132" s="36">
        <f>IFERROR(tblPiNAnalysis512[[#This Row],[2nd Highest Target]]/tblPiNAnalysis512[[#This Row],[Affected population projection 2026]], "")</f>
        <v>0.38776540019018485</v>
      </c>
      <c r="AR132" s="46">
        <f>IFERROR(tblPiNAnalysis512[[#This Row],[Highest Target]]-tblPiNAnalysis512[[#This Row],[2nd Highest Target]], "")</f>
        <v>23466.772856919339</v>
      </c>
      <c r="AS132" s="39">
        <f>IFERROR(((tblPiNAnalysis512[[#This Row],[Highest Target]]-tblPiNAnalysis512[[#This Row],[2nd Highest Target]])/tblPiNAnalysis512[[#This Row],[2nd Highest Target]]),"")</f>
        <v>1.3477109620162411</v>
      </c>
      <c r="AT132" s="39" t="str" cm="1">
        <f t="array" ref="AT13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32" s="332" cm="1">
        <f t="array" ref="AU13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13837.966186267111</v>
      </c>
      <c r="AV132" s="190" t="str" cm="1">
        <f t="array" ref="AV132">IF(tblPiNAnalysis512[[#This Row],[3rd Highest Target]]="", "", _xlfn.TEXTJOIN(CHAR(10), TRUE, IF(tblPiNAnalysis512[[#This Row],[3rd Highest Target]]=tblPiNAnalysis512[[#This Row],[CCCM]:[WASH]], tblPiNAnalysis512[[#Headers],[CCCM]:[WASH]], "")))</f>
        <v>Health</v>
      </c>
      <c r="AW132" s="190">
        <f>IFERROR(tblPiNAnalysis512[[#This Row],[3rd Highest Target]]/tblPiNAnalysis512[[#This Row],[Affected population projection 2026]], "")</f>
        <v>0.30816599284074792</v>
      </c>
      <c r="AX132" s="45">
        <f>IFERROR(tblPiNAnalysis512[[#This Row],[Highest Target]]-tblPiNAnalysis512[[#This Row],[3rd Highest Target]],"")</f>
        <v>27041.125423192389</v>
      </c>
      <c r="AY132" s="39">
        <f>IFERROR(tblPiNAnalysis512[[#This Row],[Difference of Target between Highest and 3rd Highest]]/tblPiNAnalysis512[[#This Row],[3rd Highest Target]], "")</f>
        <v>1.9541257045437921</v>
      </c>
      <c r="AZ132" s="330" t="str" cm="1">
        <f t="array" ref="AZ13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32" s="300" t="str" cm="1">
        <f t="array" ref="BA13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2" s="333" t="str" cm="1">
        <f t="array" ref="BB13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2" s="276" t="str" cm="1">
        <f t="array" ref="BC13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2" s="334" t="str" cm="1">
        <f t="array" ref="BD13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32" s="277" t="e">
        <f>INDEX(tblSeverityAnalysis[Final Severity], MATCH(tblPiNAnalysis512[[#This Row],[ID]],tblSeverityAnalysis[ID], 0))</f>
        <v>#N/A</v>
      </c>
      <c r="BF132" s="61" t="e">
        <f>IF(tblPiNAnalysis512[[#This Row],[Severity]]&gt;2,tblPiNAnalysis512[[#This Row],[Highest Target]],)</f>
        <v>#N/A</v>
      </c>
      <c r="BG132" s="191"/>
      <c r="BH132" s="192"/>
      <c r="BI132" s="193">
        <f>COUNTIFS(tblPiNAnalysis512[[#This Row],[Number of missing / zero PiNs greater than threshold - Data quality]:[Manual Flag]],"Flagged")</f>
        <v>3</v>
      </c>
      <c r="BJ132" s="96" t="str">
        <f>IF(tblPiNAnalysis512[[#This Row],['# Flags]]&gt;0, "Flagged", "")</f>
        <v>Flagged</v>
      </c>
      <c r="BK132" s="326" t="e">
        <f>tblPiNAnalysis512[[#This Row],[Preliminary Target]]</f>
        <v>#N/A</v>
      </c>
      <c r="BL132" s="331">
        <v>1</v>
      </c>
    </row>
    <row r="133" spans="1:64" x14ac:dyDescent="0.55000000000000004">
      <c r="A1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3" s="316" t="s">
        <v>342</v>
      </c>
      <c r="C133" s="317" t="s">
        <v>343</v>
      </c>
      <c r="D133" s="317" t="s">
        <v>348</v>
      </c>
      <c r="E133" s="105" t="s">
        <v>349</v>
      </c>
      <c r="F133" s="100"/>
      <c r="G133" s="34"/>
      <c r="H133" s="34"/>
      <c r="I133" s="97">
        <v>45380.431986163101</v>
      </c>
      <c r="J133" s="97" t="s">
        <v>413</v>
      </c>
      <c r="K133" s="318">
        <v>0</v>
      </c>
      <c r="L133" s="319">
        <v>4690.6326321481838</v>
      </c>
      <c r="M133" s="319">
        <v>11171.193416788352</v>
      </c>
      <c r="N133" s="319">
        <v>23775.539670418675</v>
      </c>
      <c r="O133" s="319">
        <v>13795.741463467401</v>
      </c>
      <c r="P133" s="319">
        <v>7898.9953601484749</v>
      </c>
      <c r="Q133" s="320">
        <v>4468.2271494068291</v>
      </c>
      <c r="R133" s="319">
        <v>3815.7605886858805</v>
      </c>
      <c r="S133" s="319"/>
      <c r="T133" s="319"/>
      <c r="U133" s="319"/>
      <c r="V133" s="319"/>
      <c r="W133" s="321">
        <f>IFERROR(IF(tblPiNAnalysis512[[#This Row],[CCCM]]="", "", MROUND(tblPiNAnalysis512[[#This Row],[CCCM]]/tblPiNAnalysis512[[#This Row],[Affected population projection 2026]], 0.05)), "")</f>
        <v>0</v>
      </c>
      <c r="X133" s="322">
        <f>IFERROR(IF(tblPiNAnalysis512[[#This Row],[Education]]="", "", MROUND(tblPiNAnalysis512[[#This Row],[Education]]/tblPiNAnalysis512[[#This Row],[Affected population projection 2026]], 0.05)), "")</f>
        <v>0.1</v>
      </c>
      <c r="Y133" s="322">
        <f>IFERROR(IF(tblPiNAnalysis512[[#This Row],[Nutrition]]="", "", MROUND(tblPiNAnalysis512[[#This Row],[Nutrition]]/tblPiNAnalysis512[[#This Row],[Affected population projection 2026]], 0.05)), "")</f>
        <v>0.25</v>
      </c>
      <c r="Z133" s="322">
        <f>IFERROR(IF(tblPiNAnalysis512[[#This Row],[Food Security]]="", "", MROUND(tblPiNAnalysis512[[#This Row],[Food Security]]/tblPiNAnalysis512[[#This Row],[Affected population projection 2026]], 0.05)), "")</f>
        <v>0.5</v>
      </c>
      <c r="AA133" s="322">
        <f>IFERROR(IF(tblPiNAnalysis512[[#This Row],[Health]]="", "", MROUND(tblPiNAnalysis512[[#This Row],[Health]]/tblPiNAnalysis512[[#This Row],[Affected population projection 2026]], 0.05)), "")</f>
        <v>0.30000000000000004</v>
      </c>
      <c r="AB133" s="323">
        <f>IFERROR(IF(tblPiNAnalysis512[[#This Row],[Overarching Protection]]="", "", MROUND(tblPiNAnalysis512[[#This Row],[Overarching Protection]]/tblPiNAnalysis512[[#This Row],[Affected population projection 2026]], 0.05)), "")</f>
        <v>0.15000000000000002</v>
      </c>
      <c r="AC133" s="323">
        <f>IFERROR(IF(tblPiNAnalysis512[[#This Row],[Shelter]]="", "", MROUND(tblPiNAnalysis512[[#This Row],[Shelter]]/tblPiNAnalysis512[[#This Row],[Affected population projection 2026]], 0.05)), "")</f>
        <v>0.1</v>
      </c>
      <c r="AD133" s="324">
        <f>IFERROR(IF(tblPiNAnalysis512[[#This Row],[WASH]]="", "", MROUND(tblPiNAnalysis512[[#This Row],[WASH]]/tblPiNAnalysis512[[#This Row],[Affected population projection 2026]], 0.05)), "")</f>
        <v>0.1</v>
      </c>
      <c r="AE133" s="322">
        <f>IFERROR(MROUND(tblPiNAnalysis512[[#This Row],[CP]]/tblPiNAnalysis512[[#This Row],[Affected population projection 2026]], 0.05), "")</f>
        <v>0</v>
      </c>
      <c r="AF133" s="322">
        <f>IFERROR(MROUND(tblPiNAnalysis512[[#This Row],[GBV]]/tblPiNAnalysis512[[#This Row],[Affected population projection 2026]], 0.05), "")</f>
        <v>0</v>
      </c>
      <c r="AG133" s="322">
        <f>IFERROR(MROUND(tblPiNAnalysis512[[#This Row],[Mine Action]]/tblPiNAnalysis512[[#This Row],[Affected population projection 2026]], 0.05), "")</f>
        <v>0</v>
      </c>
      <c r="AH133" s="322">
        <f>IFERROR(MROUND(tblPiNAnalysis512[[#This Row],[HLP]]/tblPiNAnalysis512[[#This Row],[Affected population projection 2026]], 0.05), "")</f>
        <v>0</v>
      </c>
      <c r="AI133" s="325">
        <f>IFERROR(LARGE(tblPiNAnalysis512[[#This Row],[CCCM]:[WASH]], 1), "")</f>
        <v>23775.539670418675</v>
      </c>
      <c r="AJ133" s="326" t="str" cm="1">
        <f t="array" ref="AJ133">IF(tblPiNAnalysis512[[#This Row],[Highest Target]]="", "", _xlfn.TEXTJOIN(CHAR(10), TRUE, IF(tblPiNAnalysis512[[#This Row],[Highest Target]]=tblPiNAnalysis512[[#This Row],[CCCM]:[WASH]], tblPiNAnalysis512[[#Headers],[CCCM]:[WASH]], "")))</f>
        <v>Food Security</v>
      </c>
      <c r="AK133" s="327">
        <f>IF(tblPiNAnalysis512[[#This Row],[Highest Target]]="", "", tblPiNAnalysis512[[#This Row],[Highest Target]]/tblPiNAnalysis512[[#This Row],[Affected population projection 2026]])</f>
        <v>0.52391611604023625</v>
      </c>
      <c r="AL133" s="328" t="str">
        <f>IF(SUM(tblPiNAnalysis512[[#This Row],[CCCM]:[WASH]])=0, "",IF(COUNTIF(tblPiNAnalysis512[[#This Row],[CCCM]:[WASH]],"=0")+COUNTIF(tblPiNAnalysis512[[#This Row],[CCCM]:[WASH]],"")&gt;=zero_pin_thresh, "Flagged", ""))</f>
        <v/>
      </c>
      <c r="AM133" s="329" t="str">
        <f>IFERROR(IF(tblPiNAnalysis512[[#This Row],[Highest Target]]="", "", IF(tblPiNAnalysis512[[#This Row],[Highest sector(s'') Target %]]&gt;=flag_pin_perc, "Flagged", "")), "")</f>
        <v/>
      </c>
      <c r="AN133" s="330" t="str" cm="1">
        <f t="array" ref="AN133">IF(tblPiNAnalysis512[[#This Row],[Highest Target]]=0, "",  IF(OR(COUNTIF(tblPiNAnalysis512[[#This Row],[Highest sector(s)]],tblSubSectorPopulation[Sector])), "Flagged", ""))</f>
        <v/>
      </c>
      <c r="AO133" s="46" cm="1">
        <f t="array" ref="AO13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13795.741463467401</v>
      </c>
      <c r="AP133" s="331" t="str" cm="1">
        <f t="array" ref="AP133">IF(tblPiNAnalysis512[[#This Row],[2nd Highest Target]]="", "", _xlfn.TEXTJOIN(CHAR(10), TRUE, IF(tblPiNAnalysis512[[#This Row],[2nd Highest Target]]=tblPiNAnalysis512[[#This Row],[CCCM]:[WASH]], tblPiNAnalysis512[[#Headers],[CCCM]:[WASH]], "")))</f>
        <v>Health</v>
      </c>
      <c r="AQ133" s="36">
        <f>IFERROR(tblPiNAnalysis512[[#This Row],[2nd Highest Target]]/tblPiNAnalysis512[[#This Row],[Affected population projection 2026]], "")</f>
        <v>0.30400198631149755</v>
      </c>
      <c r="AR133" s="46">
        <f>IFERROR(tblPiNAnalysis512[[#This Row],[Highest Target]]-tblPiNAnalysis512[[#This Row],[2nd Highest Target]], "")</f>
        <v>9979.7982069512746</v>
      </c>
      <c r="AS133" s="39">
        <f>IFERROR(((tblPiNAnalysis512[[#This Row],[Highest Target]]-tblPiNAnalysis512[[#This Row],[2nd Highest Target]])/tblPiNAnalysis512[[#This Row],[2nd Highest Target]]),"")</f>
        <v>0.72339701591094963</v>
      </c>
      <c r="AT133" s="39" t="str" cm="1">
        <f t="array" ref="AT13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33" s="332" cm="1">
        <f t="array" ref="AU13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11171.193416788352</v>
      </c>
      <c r="AV133" s="190" t="str" cm="1">
        <f t="array" ref="AV133">IF(tblPiNAnalysis512[[#This Row],[3rd Highest Target]]="", "", _xlfn.TEXTJOIN(CHAR(10), TRUE, IF(tblPiNAnalysis512[[#This Row],[3rd Highest Target]]=tblPiNAnalysis512[[#This Row],[CCCM]:[WASH]], tblPiNAnalysis512[[#Headers],[CCCM]:[WASH]], "")))</f>
        <v>Nutrition</v>
      </c>
      <c r="AW133" s="190">
        <f>IFERROR(tblPiNAnalysis512[[#This Row],[3rd Highest Target]]/tblPiNAnalysis512[[#This Row],[Affected population projection 2026]], "")</f>
        <v>0.24616763058127231</v>
      </c>
      <c r="AX133" s="45">
        <f>IFERROR(tblPiNAnalysis512[[#This Row],[Highest Target]]-tblPiNAnalysis512[[#This Row],[3rd Highest Target]],"")</f>
        <v>12604.346253630323</v>
      </c>
      <c r="AY133" s="39">
        <f>IFERROR(tblPiNAnalysis512[[#This Row],[Difference of Target between Highest and 3rd Highest]]/tblPiNAnalysis512[[#This Row],[3rd Highest Target]], "")</f>
        <v>1.1282900387964094</v>
      </c>
      <c r="AZ133" s="330" t="str" cm="1">
        <f t="array" ref="AZ13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33" s="300" t="str" cm="1">
        <f t="array" ref="BA13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3" s="333" t="str" cm="1">
        <f t="array" ref="BB13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3" s="276" t="str" cm="1">
        <f t="array" ref="BC13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3" s="334" t="str" cm="1">
        <f t="array" ref="BD13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3" s="277" t="e">
        <f>INDEX(tblSeverityAnalysis[Final Severity], MATCH(tblPiNAnalysis512[[#This Row],[ID]],tblSeverityAnalysis[ID], 0))</f>
        <v>#N/A</v>
      </c>
      <c r="BF133" s="61" t="e">
        <f>IF(tblPiNAnalysis512[[#This Row],[Severity]]&gt;2,tblPiNAnalysis512[[#This Row],[Highest Target]],)</f>
        <v>#N/A</v>
      </c>
      <c r="BG133" s="191"/>
      <c r="BH133" s="192"/>
      <c r="BI133" s="193">
        <f>COUNTIFS(tblPiNAnalysis512[[#This Row],[Number of missing / zero PiNs greater than threshold - Data quality]:[Manual Flag]],"Flagged")</f>
        <v>3</v>
      </c>
      <c r="BJ133" s="96" t="str">
        <f>IF(tblPiNAnalysis512[[#This Row],['# Flags]]&gt;0, "Flagged", "")</f>
        <v>Flagged</v>
      </c>
      <c r="BK133" s="326" t="e">
        <f>tblPiNAnalysis512[[#This Row],[Preliminary Target]]</f>
        <v>#N/A</v>
      </c>
      <c r="BL133" s="331">
        <v>2</v>
      </c>
    </row>
    <row r="134" spans="1:64" x14ac:dyDescent="0.55000000000000004">
      <c r="A1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4" s="316" t="s">
        <v>342</v>
      </c>
      <c r="C134" s="317" t="s">
        <v>343</v>
      </c>
      <c r="D134" s="317" t="s">
        <v>350</v>
      </c>
      <c r="E134" s="105" t="s">
        <v>351</v>
      </c>
      <c r="F134" s="100"/>
      <c r="G134" s="34"/>
      <c r="H134" s="34"/>
      <c r="I134" s="97">
        <v>117681.01108725299</v>
      </c>
      <c r="J134" s="97" t="s">
        <v>413</v>
      </c>
      <c r="K134" s="318">
        <v>0</v>
      </c>
      <c r="L134" s="319">
        <v>11499.717794839709</v>
      </c>
      <c r="M134" s="319">
        <v>32666.073710915625</v>
      </c>
      <c r="N134" s="319">
        <v>63487.448364839125</v>
      </c>
      <c r="O134" s="319">
        <v>65400.972763241043</v>
      </c>
      <c r="P134" s="319">
        <v>24453.688413391221</v>
      </c>
      <c r="Q134" s="320">
        <v>3922.7003695750996</v>
      </c>
      <c r="R134" s="319">
        <v>88260.758315439714</v>
      </c>
      <c r="S134" s="319"/>
      <c r="T134" s="319"/>
      <c r="U134" s="319"/>
      <c r="V134" s="319"/>
      <c r="W134" s="321">
        <f>IFERROR(IF(tblPiNAnalysis512[[#This Row],[CCCM]]="", "", MROUND(tblPiNAnalysis512[[#This Row],[CCCM]]/tblPiNAnalysis512[[#This Row],[Affected population projection 2026]], 0.05)), "")</f>
        <v>0</v>
      </c>
      <c r="X134" s="322">
        <f>IFERROR(IF(tblPiNAnalysis512[[#This Row],[Education]]="", "", MROUND(tblPiNAnalysis512[[#This Row],[Education]]/tblPiNAnalysis512[[#This Row],[Affected population projection 2026]], 0.05)), "")</f>
        <v>0.1</v>
      </c>
      <c r="Y134" s="322">
        <f>IFERROR(IF(tblPiNAnalysis512[[#This Row],[Nutrition]]="", "", MROUND(tblPiNAnalysis512[[#This Row],[Nutrition]]/tblPiNAnalysis512[[#This Row],[Affected population projection 2026]], 0.05)), "")</f>
        <v>0.30000000000000004</v>
      </c>
      <c r="Z134" s="322">
        <f>IFERROR(IF(tblPiNAnalysis512[[#This Row],[Food Security]]="", "", MROUND(tblPiNAnalysis512[[#This Row],[Food Security]]/tblPiNAnalysis512[[#This Row],[Affected population projection 2026]], 0.05)), "")</f>
        <v>0.55000000000000004</v>
      </c>
      <c r="AA134" s="322">
        <f>IFERROR(IF(tblPiNAnalysis512[[#This Row],[Health]]="", "", MROUND(tblPiNAnalysis512[[#This Row],[Health]]/tblPiNAnalysis512[[#This Row],[Affected population projection 2026]], 0.05)), "")</f>
        <v>0.55000000000000004</v>
      </c>
      <c r="AB134" s="323">
        <f>IFERROR(IF(tblPiNAnalysis512[[#This Row],[Overarching Protection]]="", "", MROUND(tblPiNAnalysis512[[#This Row],[Overarching Protection]]/tblPiNAnalysis512[[#This Row],[Affected population projection 2026]], 0.05)), "")</f>
        <v>0.2</v>
      </c>
      <c r="AC134" s="323">
        <f>IFERROR(IF(tblPiNAnalysis512[[#This Row],[Shelter]]="", "", MROUND(tblPiNAnalysis512[[#This Row],[Shelter]]/tblPiNAnalysis512[[#This Row],[Affected population projection 2026]], 0.05)), "")</f>
        <v>0.05</v>
      </c>
      <c r="AD134" s="324">
        <f>IFERROR(IF(tblPiNAnalysis512[[#This Row],[WASH]]="", "", MROUND(tblPiNAnalysis512[[#This Row],[WASH]]/tblPiNAnalysis512[[#This Row],[Affected population projection 2026]], 0.05)), "")</f>
        <v>0.75</v>
      </c>
      <c r="AE134" s="322">
        <f>IFERROR(MROUND(tblPiNAnalysis512[[#This Row],[CP]]/tblPiNAnalysis512[[#This Row],[Affected population projection 2026]], 0.05), "")</f>
        <v>0</v>
      </c>
      <c r="AF134" s="322">
        <f>IFERROR(MROUND(tblPiNAnalysis512[[#This Row],[GBV]]/tblPiNAnalysis512[[#This Row],[Affected population projection 2026]], 0.05), "")</f>
        <v>0</v>
      </c>
      <c r="AG134" s="322">
        <f>IFERROR(MROUND(tblPiNAnalysis512[[#This Row],[Mine Action]]/tblPiNAnalysis512[[#This Row],[Affected population projection 2026]], 0.05), "")</f>
        <v>0</v>
      </c>
      <c r="AH134" s="322">
        <f>IFERROR(MROUND(tblPiNAnalysis512[[#This Row],[HLP]]/tblPiNAnalysis512[[#This Row],[Affected population projection 2026]], 0.05), "")</f>
        <v>0</v>
      </c>
      <c r="AI134" s="325">
        <f>IFERROR(LARGE(tblPiNAnalysis512[[#This Row],[CCCM]:[WASH]], 1), "")</f>
        <v>88260.758315439714</v>
      </c>
      <c r="AJ134" s="326" t="str" cm="1">
        <f t="array" ref="AJ134">IF(tblPiNAnalysis512[[#This Row],[Highest Target]]="", "", _xlfn.TEXTJOIN(CHAR(10), TRUE, IF(tblPiNAnalysis512[[#This Row],[Highest Target]]=tblPiNAnalysis512[[#This Row],[CCCM]:[WASH]], tblPiNAnalysis512[[#Headers],[CCCM]:[WASH]], "")))</f>
        <v>WASH</v>
      </c>
      <c r="AK134" s="327">
        <f>IF(tblPiNAnalysis512[[#This Row],[Highest Target]]="", "", tblPiNAnalysis512[[#This Row],[Highest Target]]/tblPiNAnalysis512[[#This Row],[Affected population projection 2026]])</f>
        <v>0.74999999999999978</v>
      </c>
      <c r="AL134" s="328" t="str">
        <f>IF(SUM(tblPiNAnalysis512[[#This Row],[CCCM]:[WASH]])=0, "",IF(COUNTIF(tblPiNAnalysis512[[#This Row],[CCCM]:[WASH]],"=0")+COUNTIF(tblPiNAnalysis512[[#This Row],[CCCM]:[WASH]],"")&gt;=zero_pin_thresh, "Flagged", ""))</f>
        <v/>
      </c>
      <c r="AM134" s="329" t="str">
        <f>IFERROR(IF(tblPiNAnalysis512[[#This Row],[Highest Target]]="", "", IF(tblPiNAnalysis512[[#This Row],[Highest sector(s'') Target %]]&gt;=flag_pin_perc, "Flagged", "")), "")</f>
        <v/>
      </c>
      <c r="AN134" s="330" t="str" cm="1">
        <f t="array" ref="AN134">IF(tblPiNAnalysis512[[#This Row],[Highest Target]]=0, "",  IF(OR(COUNTIF(tblPiNAnalysis512[[#This Row],[Highest sector(s)]],tblSubSectorPopulation[Sector])), "Flagged", ""))</f>
        <v/>
      </c>
      <c r="AO134" s="46" cm="1">
        <f t="array" ref="AO13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65400.972763241043</v>
      </c>
      <c r="AP134" s="331" t="str" cm="1">
        <f t="array" ref="AP134">IF(tblPiNAnalysis512[[#This Row],[2nd Highest Target]]="", "", _xlfn.TEXTJOIN(CHAR(10), TRUE, IF(tblPiNAnalysis512[[#This Row],[2nd Highest Target]]=tblPiNAnalysis512[[#This Row],[CCCM]:[WASH]], tblPiNAnalysis512[[#Headers],[CCCM]:[WASH]], "")))</f>
        <v>Health</v>
      </c>
      <c r="AQ134" s="36">
        <f>IFERROR(tblPiNAnalysis512[[#This Row],[2nd Highest Target]]/tblPiNAnalysis512[[#This Row],[Affected population projection 2026]], "")</f>
        <v>0.55574788284874932</v>
      </c>
      <c r="AR134" s="46">
        <f>IFERROR(tblPiNAnalysis512[[#This Row],[Highest Target]]-tblPiNAnalysis512[[#This Row],[2nd Highest Target]], "")</f>
        <v>22859.785552198671</v>
      </c>
      <c r="AS134" s="39">
        <f>IFERROR(((tblPiNAnalysis512[[#This Row],[Highest Target]]-tblPiNAnalysis512[[#This Row],[2nd Highest Target]])/tblPiNAnalysis512[[#This Row],[2nd Highest Target]]),"")</f>
        <v>0.34953280641487849</v>
      </c>
      <c r="AT134" s="39" t="str" cm="1">
        <f t="array" ref="AT13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34" s="332" cm="1">
        <f t="array" ref="AU13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63487.448364839125</v>
      </c>
      <c r="AV134" s="190" t="str" cm="1">
        <f t="array" ref="AV134">IF(tblPiNAnalysis512[[#This Row],[3rd Highest Target]]="", "", _xlfn.TEXTJOIN(CHAR(10), TRUE, IF(tblPiNAnalysis512[[#This Row],[3rd Highest Target]]=tblPiNAnalysis512[[#This Row],[CCCM]:[WASH]], tblPiNAnalysis512[[#Headers],[CCCM]:[WASH]], "")))</f>
        <v>Food Security</v>
      </c>
      <c r="AW134" s="190">
        <f>IFERROR(tblPiNAnalysis512[[#This Row],[3rd Highest Target]]/tblPiNAnalysis512[[#This Row],[Affected population projection 2026]], "")</f>
        <v>0.53948761808111267</v>
      </c>
      <c r="AX134" s="45">
        <f>IFERROR(tblPiNAnalysis512[[#This Row],[Highest Target]]-tblPiNAnalysis512[[#This Row],[3rd Highest Target]],"")</f>
        <v>24773.309950600589</v>
      </c>
      <c r="AY134" s="39">
        <f>IFERROR(tblPiNAnalysis512[[#This Row],[Difference of Target between Highest and 3rd Highest]]/tblPiNAnalysis512[[#This Row],[3rd Highest Target]], "")</f>
        <v>0.3902079952597472</v>
      </c>
      <c r="AZ134" s="330" t="str" cm="1">
        <f t="array" ref="AZ13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4" s="300" t="str" cm="1">
        <f t="array" ref="BA13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4" s="333" t="str" cm="1">
        <f t="array" ref="BB13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4" s="276" t="str" cm="1">
        <f t="array" ref="BC13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4" s="334" t="str" cm="1">
        <f t="array" ref="BD13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4" s="277" t="e">
        <f>INDEX(tblSeverityAnalysis[Final Severity], MATCH(tblPiNAnalysis512[[#This Row],[ID]],tblSeverityAnalysis[ID], 0))</f>
        <v>#N/A</v>
      </c>
      <c r="BF134" s="61" t="e">
        <f>IF(tblPiNAnalysis512[[#This Row],[Severity]]&gt;2,tblPiNAnalysis512[[#This Row],[Highest Target]],)</f>
        <v>#N/A</v>
      </c>
      <c r="BG134" s="191"/>
      <c r="BH134" s="192"/>
      <c r="BI134" s="193">
        <f>COUNTIFS(tblPiNAnalysis512[[#This Row],[Number of missing / zero PiNs greater than threshold - Data quality]:[Manual Flag]],"Flagged")</f>
        <v>2</v>
      </c>
      <c r="BJ134" s="96" t="str">
        <f>IF(tblPiNAnalysis512[[#This Row],['# Flags]]&gt;0, "Flagged", "")</f>
        <v>Flagged</v>
      </c>
      <c r="BK134" s="326" t="e">
        <f>tblPiNAnalysis512[[#This Row],[Preliminary Target]]</f>
        <v>#N/A</v>
      </c>
      <c r="BL134" s="331">
        <v>1</v>
      </c>
    </row>
    <row r="135" spans="1:64" x14ac:dyDescent="0.55000000000000004">
      <c r="A1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5" s="316" t="s">
        <v>342</v>
      </c>
      <c r="C135" s="317" t="s">
        <v>343</v>
      </c>
      <c r="D135" s="317" t="s">
        <v>352</v>
      </c>
      <c r="E135" s="105" t="s">
        <v>353</v>
      </c>
      <c r="F135" s="100"/>
      <c r="G135" s="34"/>
      <c r="H135" s="34"/>
      <c r="I135" s="97">
        <v>54056.787582147139</v>
      </c>
      <c r="J135" s="97" t="s">
        <v>413</v>
      </c>
      <c r="K135" s="318">
        <v>0</v>
      </c>
      <c r="L135" s="319">
        <v>5585.5608274124452</v>
      </c>
      <c r="M135" s="319">
        <v>11798.564091950871</v>
      </c>
      <c r="N135" s="319">
        <v>19975.542821535786</v>
      </c>
      <c r="O135" s="319">
        <v>21524.525191378929</v>
      </c>
      <c r="P135" s="319">
        <v>12133.334093717327</v>
      </c>
      <c r="Q135" s="320">
        <v>2993.9143891650729</v>
      </c>
      <c r="R135" s="319">
        <v>9009.4645970245219</v>
      </c>
      <c r="S135" s="319"/>
      <c r="T135" s="319"/>
      <c r="U135" s="319"/>
      <c r="V135" s="319"/>
      <c r="W135" s="321">
        <f>IFERROR(IF(tblPiNAnalysis512[[#This Row],[CCCM]]="", "", MROUND(tblPiNAnalysis512[[#This Row],[CCCM]]/tblPiNAnalysis512[[#This Row],[Affected population projection 2026]], 0.05)), "")</f>
        <v>0</v>
      </c>
      <c r="X135" s="322">
        <f>IFERROR(IF(tblPiNAnalysis512[[#This Row],[Education]]="", "", MROUND(tblPiNAnalysis512[[#This Row],[Education]]/tblPiNAnalysis512[[#This Row],[Affected population projection 2026]], 0.05)), "")</f>
        <v>0.1</v>
      </c>
      <c r="Y135" s="322">
        <f>IFERROR(IF(tblPiNAnalysis512[[#This Row],[Nutrition]]="", "", MROUND(tblPiNAnalysis512[[#This Row],[Nutrition]]/tblPiNAnalysis512[[#This Row],[Affected population projection 2026]], 0.05)), "")</f>
        <v>0.2</v>
      </c>
      <c r="Z135" s="322">
        <f>IFERROR(IF(tblPiNAnalysis512[[#This Row],[Food Security]]="", "", MROUND(tblPiNAnalysis512[[#This Row],[Food Security]]/tblPiNAnalysis512[[#This Row],[Affected population projection 2026]], 0.05)), "")</f>
        <v>0.35000000000000003</v>
      </c>
      <c r="AA135" s="322">
        <f>IFERROR(IF(tblPiNAnalysis512[[#This Row],[Health]]="", "", MROUND(tblPiNAnalysis512[[#This Row],[Health]]/tblPiNAnalysis512[[#This Row],[Affected population projection 2026]], 0.05)), "")</f>
        <v>0.4</v>
      </c>
      <c r="AB135" s="323">
        <f>IFERROR(IF(tblPiNAnalysis512[[#This Row],[Overarching Protection]]="", "", MROUND(tblPiNAnalysis512[[#This Row],[Overarching Protection]]/tblPiNAnalysis512[[#This Row],[Affected population projection 2026]], 0.05)), "")</f>
        <v>0.2</v>
      </c>
      <c r="AC135" s="323">
        <f>IFERROR(IF(tblPiNAnalysis512[[#This Row],[Shelter]]="", "", MROUND(tblPiNAnalysis512[[#This Row],[Shelter]]/tblPiNAnalysis512[[#This Row],[Affected population projection 2026]], 0.05)), "")</f>
        <v>0.05</v>
      </c>
      <c r="AD135" s="324">
        <f>IFERROR(IF(tblPiNAnalysis512[[#This Row],[WASH]]="", "", MROUND(tblPiNAnalysis512[[#This Row],[WASH]]/tblPiNAnalysis512[[#This Row],[Affected population projection 2026]], 0.05)), "")</f>
        <v>0.15000000000000002</v>
      </c>
      <c r="AE135" s="322">
        <f>IFERROR(MROUND(tblPiNAnalysis512[[#This Row],[CP]]/tblPiNAnalysis512[[#This Row],[Affected population projection 2026]], 0.05), "")</f>
        <v>0</v>
      </c>
      <c r="AF135" s="322">
        <f>IFERROR(MROUND(tblPiNAnalysis512[[#This Row],[GBV]]/tblPiNAnalysis512[[#This Row],[Affected population projection 2026]], 0.05), "")</f>
        <v>0</v>
      </c>
      <c r="AG135" s="322">
        <f>IFERROR(MROUND(tblPiNAnalysis512[[#This Row],[Mine Action]]/tblPiNAnalysis512[[#This Row],[Affected population projection 2026]], 0.05), "")</f>
        <v>0</v>
      </c>
      <c r="AH135" s="322">
        <f>IFERROR(MROUND(tblPiNAnalysis512[[#This Row],[HLP]]/tblPiNAnalysis512[[#This Row],[Affected population projection 2026]], 0.05), "")</f>
        <v>0</v>
      </c>
      <c r="AI135" s="325">
        <f>IFERROR(LARGE(tblPiNAnalysis512[[#This Row],[CCCM]:[WASH]], 1), "")</f>
        <v>21524.525191378929</v>
      </c>
      <c r="AJ135" s="326" t="str" cm="1">
        <f t="array" ref="AJ135">IF(tblPiNAnalysis512[[#This Row],[Highest Target]]="", "", _xlfn.TEXTJOIN(CHAR(10), TRUE, IF(tblPiNAnalysis512[[#This Row],[Highest Target]]=tblPiNAnalysis512[[#This Row],[CCCM]:[WASH]], tblPiNAnalysis512[[#Headers],[CCCM]:[WASH]], "")))</f>
        <v>Health</v>
      </c>
      <c r="AK135" s="327">
        <f>IF(tblPiNAnalysis512[[#This Row],[Highest Target]]="", "", tblPiNAnalysis512[[#This Row],[Highest Target]]/tblPiNAnalysis512[[#This Row],[Affected population projection 2026]])</f>
        <v>0.39818357978948132</v>
      </c>
      <c r="AL135" s="328" t="str">
        <f>IF(SUM(tblPiNAnalysis512[[#This Row],[CCCM]:[WASH]])=0, "",IF(COUNTIF(tblPiNAnalysis512[[#This Row],[CCCM]:[WASH]],"=0")+COUNTIF(tblPiNAnalysis512[[#This Row],[CCCM]:[WASH]],"")&gt;=zero_pin_thresh, "Flagged", ""))</f>
        <v/>
      </c>
      <c r="AM135" s="329" t="str">
        <f>IFERROR(IF(tblPiNAnalysis512[[#This Row],[Highest Target]]="", "", IF(tblPiNAnalysis512[[#This Row],[Highest sector(s'') Target %]]&gt;=flag_pin_perc, "Flagged", "")), "")</f>
        <v/>
      </c>
      <c r="AN135" s="330" t="str" cm="1">
        <f t="array" ref="AN135">IF(tblPiNAnalysis512[[#This Row],[Highest Target]]=0, "",  IF(OR(COUNTIF(tblPiNAnalysis512[[#This Row],[Highest sector(s)]],tblSubSectorPopulation[Sector])), "Flagged", ""))</f>
        <v/>
      </c>
      <c r="AO135" s="46" cm="1">
        <f t="array" ref="AO13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19975.542821535786</v>
      </c>
      <c r="AP135" s="331" t="str" cm="1">
        <f t="array" ref="AP135">IF(tblPiNAnalysis512[[#This Row],[2nd Highest Target]]="", "", _xlfn.TEXTJOIN(CHAR(10), TRUE, IF(tblPiNAnalysis512[[#This Row],[2nd Highest Target]]=tblPiNAnalysis512[[#This Row],[CCCM]:[WASH]], tblPiNAnalysis512[[#Headers],[CCCM]:[WASH]], "")))</f>
        <v>Food Security</v>
      </c>
      <c r="AQ135" s="36">
        <f>IFERROR(tblPiNAnalysis512[[#This Row],[2nd Highest Target]]/tblPiNAnalysis512[[#This Row],[Affected population projection 2026]], "")</f>
        <v>0.36952885502454336</v>
      </c>
      <c r="AR135" s="46">
        <f>IFERROR(tblPiNAnalysis512[[#This Row],[Highest Target]]-tblPiNAnalysis512[[#This Row],[2nd Highest Target]], "")</f>
        <v>1548.9823698431428</v>
      </c>
      <c r="AS135" s="39">
        <f>IFERROR(((tblPiNAnalysis512[[#This Row],[Highest Target]]-tblPiNAnalysis512[[#This Row],[2nd Highest Target]])/tblPiNAnalysis512[[#This Row],[2nd Highest Target]]),"")</f>
        <v>7.7543943795768747E-2</v>
      </c>
      <c r="AT135" s="39" t="str" cm="1">
        <f t="array" ref="AT13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5" s="332" cm="1">
        <f t="array" ref="AU13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12133.334093717327</v>
      </c>
      <c r="AV135" s="190" t="str" cm="1">
        <f t="array" ref="AV135">IF(tblPiNAnalysis512[[#This Row],[3rd Highest Target]]="", "", _xlfn.TEXTJOIN(CHAR(10), TRUE, IF(tblPiNAnalysis512[[#This Row],[3rd Highest Target]]=tblPiNAnalysis512[[#This Row],[CCCM]:[WASH]], tblPiNAnalysis512[[#Headers],[CCCM]:[WASH]], "")))</f>
        <v>Overarching Protection</v>
      </c>
      <c r="AW135" s="190">
        <f>IFERROR(tblPiNAnalysis512[[#This Row],[3rd Highest Target]]/tblPiNAnalysis512[[#This Row],[Affected population projection 2026]], "")</f>
        <v>0.22445532996719356</v>
      </c>
      <c r="AX135" s="45">
        <f>IFERROR(tblPiNAnalysis512[[#This Row],[Highest Target]]-tblPiNAnalysis512[[#This Row],[3rd Highest Target]],"")</f>
        <v>9391.1910976616018</v>
      </c>
      <c r="AY135" s="39">
        <f>IFERROR(tblPiNAnalysis512[[#This Row],[Difference of Target between Highest and 3rd Highest]]/tblPiNAnalysis512[[#This Row],[3rd Highest Target]], "")</f>
        <v>0.77399921778502623</v>
      </c>
      <c r="AZ135" s="330" t="str" cm="1">
        <f t="array" ref="AZ13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35" s="300" t="str" cm="1">
        <f t="array" ref="BA13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5" s="333" t="str" cm="1">
        <f t="array" ref="BB13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35" s="276" t="str" cm="1">
        <f t="array" ref="BC13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5" s="334" t="str" cm="1">
        <f t="array" ref="BD13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35" s="277" t="e">
        <f>INDEX(tblSeverityAnalysis[Final Severity], MATCH(tblPiNAnalysis512[[#This Row],[ID]],tblSeverityAnalysis[ID], 0))</f>
        <v>#N/A</v>
      </c>
      <c r="BF135" s="61" t="e">
        <f>IF(tblPiNAnalysis512[[#This Row],[Severity]]&gt;2,tblPiNAnalysis512[[#This Row],[Highest Target]],)</f>
        <v>#N/A</v>
      </c>
      <c r="BG135" s="191"/>
      <c r="BH135" s="192"/>
      <c r="BI135" s="193">
        <f>COUNTIFS(tblPiNAnalysis512[[#This Row],[Number of missing / zero PiNs greater than threshold - Data quality]:[Manual Flag]],"Flagged")</f>
        <v>2</v>
      </c>
      <c r="BJ135" s="96" t="str">
        <f>IF(tblPiNAnalysis512[[#This Row],['# Flags]]&gt;0, "Flagged", "")</f>
        <v>Flagged</v>
      </c>
      <c r="BK135" s="326" t="e">
        <f>tblPiNAnalysis512[[#This Row],[Preliminary Target]]</f>
        <v>#N/A</v>
      </c>
      <c r="BL135" s="331">
        <v>1</v>
      </c>
    </row>
    <row r="136" spans="1:64" ht="110.7" x14ac:dyDescent="0.55000000000000004">
      <c r="A1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6" s="316" t="s">
        <v>342</v>
      </c>
      <c r="C136" s="317" t="s">
        <v>343</v>
      </c>
      <c r="D136" s="317" t="s">
        <v>354</v>
      </c>
      <c r="E136" s="105" t="s">
        <v>355</v>
      </c>
      <c r="F136" s="100"/>
      <c r="G136" s="34"/>
      <c r="H136" s="34"/>
      <c r="I136" s="97">
        <v>75995.604930880276</v>
      </c>
      <c r="J136" s="97" t="s">
        <v>413</v>
      </c>
      <c r="K136" s="318">
        <v>0</v>
      </c>
      <c r="L136" s="319">
        <v>0</v>
      </c>
      <c r="M136" s="319">
        <v>0</v>
      </c>
      <c r="N136" s="319">
        <v>0</v>
      </c>
      <c r="O136" s="319">
        <v>0</v>
      </c>
      <c r="P136" s="319">
        <v>0</v>
      </c>
      <c r="Q136" s="320">
        <v>0</v>
      </c>
      <c r="R136" s="319">
        <v>0</v>
      </c>
      <c r="S136" s="319"/>
      <c r="T136" s="319"/>
      <c r="U136" s="319"/>
      <c r="V136" s="319"/>
      <c r="W136" s="321">
        <f>IFERROR(IF(tblPiNAnalysis512[[#This Row],[CCCM]]="", "", MROUND(tblPiNAnalysis512[[#This Row],[CCCM]]/tblPiNAnalysis512[[#This Row],[Affected population projection 2026]], 0.05)), "")</f>
        <v>0</v>
      </c>
      <c r="X136" s="322">
        <f>IFERROR(IF(tblPiNAnalysis512[[#This Row],[Education]]="", "", MROUND(tblPiNAnalysis512[[#This Row],[Education]]/tblPiNAnalysis512[[#This Row],[Affected population projection 2026]], 0.05)), "")</f>
        <v>0</v>
      </c>
      <c r="Y136" s="322">
        <f>IFERROR(IF(tblPiNAnalysis512[[#This Row],[Nutrition]]="", "", MROUND(tblPiNAnalysis512[[#This Row],[Nutrition]]/tblPiNAnalysis512[[#This Row],[Affected population projection 2026]], 0.05)), "")</f>
        <v>0</v>
      </c>
      <c r="Z136" s="322">
        <f>IFERROR(IF(tblPiNAnalysis512[[#This Row],[Food Security]]="", "", MROUND(tblPiNAnalysis512[[#This Row],[Food Security]]/tblPiNAnalysis512[[#This Row],[Affected population projection 2026]], 0.05)), "")</f>
        <v>0</v>
      </c>
      <c r="AA136" s="322">
        <f>IFERROR(IF(tblPiNAnalysis512[[#This Row],[Health]]="", "", MROUND(tblPiNAnalysis512[[#This Row],[Health]]/tblPiNAnalysis512[[#This Row],[Affected population projection 2026]], 0.05)), "")</f>
        <v>0</v>
      </c>
      <c r="AB136" s="323">
        <f>IFERROR(IF(tblPiNAnalysis512[[#This Row],[Overarching Protection]]="", "", MROUND(tblPiNAnalysis512[[#This Row],[Overarching Protection]]/tblPiNAnalysis512[[#This Row],[Affected population projection 2026]], 0.05)), "")</f>
        <v>0</v>
      </c>
      <c r="AC136" s="323">
        <f>IFERROR(IF(tblPiNAnalysis512[[#This Row],[Shelter]]="", "", MROUND(tblPiNAnalysis512[[#This Row],[Shelter]]/tblPiNAnalysis512[[#This Row],[Affected population projection 2026]], 0.05)), "")</f>
        <v>0</v>
      </c>
      <c r="AD136" s="324">
        <f>IFERROR(IF(tblPiNAnalysis512[[#This Row],[WASH]]="", "", MROUND(tblPiNAnalysis512[[#This Row],[WASH]]/tblPiNAnalysis512[[#This Row],[Affected population projection 2026]], 0.05)), "")</f>
        <v>0</v>
      </c>
      <c r="AE136" s="322">
        <f>IFERROR(MROUND(tblPiNAnalysis512[[#This Row],[CP]]/tblPiNAnalysis512[[#This Row],[Affected population projection 2026]], 0.05), "")</f>
        <v>0</v>
      </c>
      <c r="AF136" s="322">
        <f>IFERROR(MROUND(tblPiNAnalysis512[[#This Row],[GBV]]/tblPiNAnalysis512[[#This Row],[Affected population projection 2026]], 0.05), "")</f>
        <v>0</v>
      </c>
      <c r="AG136" s="322">
        <f>IFERROR(MROUND(tblPiNAnalysis512[[#This Row],[Mine Action]]/tblPiNAnalysis512[[#This Row],[Affected population projection 2026]], 0.05), "")</f>
        <v>0</v>
      </c>
      <c r="AH136" s="322">
        <f>IFERROR(MROUND(tblPiNAnalysis512[[#This Row],[HLP]]/tblPiNAnalysis512[[#This Row],[Affected population projection 2026]], 0.05), "")</f>
        <v>0</v>
      </c>
      <c r="AI136" s="325">
        <f>IFERROR(LARGE(tblPiNAnalysis512[[#This Row],[CCCM]:[WASH]], 1), "")</f>
        <v>0</v>
      </c>
      <c r="AJ136" s="326" t="str" cm="1">
        <f t="array" ref="AJ136">IF(tblPiNAnalysis512[[#This Row],[Highest Target]]="", "", _xlfn.TEXTJOIN(CHAR(10), TRUE, IF(tblPiNAnalysis512[[#This Row],[Highest Target]]=tblPiNAnalysis512[[#This Row],[CCCM]:[WASH]], tblPiNAnalysis512[[#Headers],[CCCM]:[WASH]], "")))</f>
        <v>CCCM
Education
Nutrition
Food Security
Health
Overarching Protection
Shelter
WASH</v>
      </c>
      <c r="AK136" s="327">
        <f>IF(tblPiNAnalysis512[[#This Row],[Highest Target]]="", "", tblPiNAnalysis512[[#This Row],[Highest Target]]/tblPiNAnalysis512[[#This Row],[Affected population projection 2026]])</f>
        <v>0</v>
      </c>
      <c r="AL136" s="328" t="str">
        <f>IF(SUM(tblPiNAnalysis512[[#This Row],[CCCM]:[WASH]])=0, "",IF(COUNTIF(tblPiNAnalysis512[[#This Row],[CCCM]:[WASH]],"=0")+COUNTIF(tblPiNAnalysis512[[#This Row],[CCCM]:[WASH]],"")&gt;=zero_pin_thresh, "Flagged", ""))</f>
        <v/>
      </c>
      <c r="AM136" s="329" t="str">
        <f>IFERROR(IF(tblPiNAnalysis512[[#This Row],[Highest Target]]="", "", IF(tblPiNAnalysis512[[#This Row],[Highest sector(s'') Target %]]&gt;=flag_pin_perc, "Flagged", "")), "")</f>
        <v/>
      </c>
      <c r="AN136" s="330" t="str" cm="1">
        <f t="array" ref="AN136">IF(tblPiNAnalysis512[[#This Row],[Highest Target]]=0, "",  IF(OR(COUNTIF(tblPiNAnalysis512[[#This Row],[Highest sector(s)]],tblSubSectorPopulation[Sector])), "Flagged", ""))</f>
        <v/>
      </c>
      <c r="AO136" s="46" cm="1">
        <f t="array" ref="AO13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36" s="331" t="str" cm="1">
        <f t="array" ref="AP136">IF(tblPiNAnalysis512[[#This Row],[2nd Highest Target]]="", "", _xlfn.TEXTJOIN(CHAR(10), TRUE, IF(tblPiNAnalysis512[[#This Row],[2nd Highest Target]]=tblPiNAnalysis512[[#This Row],[CCCM]:[WASH]], tblPiNAnalysis512[[#Headers],[CCCM]:[WASH]], "")))</f>
        <v>CCCM
Education
Nutrition
Food Security
Health
Overarching Protection
Shelter
WASH</v>
      </c>
      <c r="AQ136" s="36">
        <f>IFERROR(tblPiNAnalysis512[[#This Row],[2nd Highest Target]]/tblPiNAnalysis512[[#This Row],[Affected population projection 2026]], "")</f>
        <v>0</v>
      </c>
      <c r="AR136" s="46">
        <f>IFERROR(tblPiNAnalysis512[[#This Row],[Highest Target]]-tblPiNAnalysis512[[#This Row],[2nd Highest Target]], "")</f>
        <v>0</v>
      </c>
      <c r="AS136" s="39" t="str">
        <f>IFERROR(((tblPiNAnalysis512[[#This Row],[Highest Target]]-tblPiNAnalysis512[[#This Row],[2nd Highest Target]])/tblPiNAnalysis512[[#This Row],[2nd Highest Target]]),"")</f>
        <v/>
      </c>
      <c r="AT136" s="39" t="str" cm="1">
        <f t="array" ref="AT13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6" s="332" cm="1">
        <f t="array" ref="AU13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36" s="190" t="str" cm="1">
        <f t="array" ref="AV136">IF(tblPiNAnalysis512[[#This Row],[3rd Highest Target]]="", "", _xlfn.TEXTJOIN(CHAR(10), TRUE, IF(tblPiNAnalysis512[[#This Row],[3rd Highest Target]]=tblPiNAnalysis512[[#This Row],[CCCM]:[WASH]], tblPiNAnalysis512[[#Headers],[CCCM]:[WASH]], "")))</f>
        <v>CCCM
Education
Nutrition
Food Security
Health
Overarching Protection
Shelter
WASH</v>
      </c>
      <c r="AW136" s="190">
        <f>IFERROR(tblPiNAnalysis512[[#This Row],[3rd Highest Target]]/tblPiNAnalysis512[[#This Row],[Affected population projection 2026]], "")</f>
        <v>0</v>
      </c>
      <c r="AX136" s="45">
        <f>IFERROR(tblPiNAnalysis512[[#This Row],[Highest Target]]-tblPiNAnalysis512[[#This Row],[3rd Highest Target]],"")</f>
        <v>0</v>
      </c>
      <c r="AY136" s="39" t="str">
        <f>IFERROR(tblPiNAnalysis512[[#This Row],[Difference of Target between Highest and 3rd Highest]]/tblPiNAnalysis512[[#This Row],[3rd Highest Target]], "")</f>
        <v/>
      </c>
      <c r="AZ136" s="330" t="str" cm="1">
        <f t="array" ref="AZ13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6" s="300" t="str" cm="1">
        <f t="array" ref="BA13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6" s="333" t="str" cm="1">
        <f t="array" ref="BB13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36" s="276" t="str" cm="1">
        <f t="array" ref="BC13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6" s="334" t="str" cm="1">
        <f t="array" ref="BD13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6" s="277" t="e">
        <f>INDEX(tblSeverityAnalysis[Final Severity], MATCH(tblPiNAnalysis512[[#This Row],[ID]],tblSeverityAnalysis[ID], 0))</f>
        <v>#N/A</v>
      </c>
      <c r="BF136" s="61" t="e">
        <f>IF(tblPiNAnalysis512[[#This Row],[Severity]]&gt;2,tblPiNAnalysis512[[#This Row],[Highest Target]],)</f>
        <v>#N/A</v>
      </c>
      <c r="BG136" s="191"/>
      <c r="BH136" s="192"/>
      <c r="BI136" s="193">
        <f>COUNTIFS(tblPiNAnalysis512[[#This Row],[Number of missing / zero PiNs greater than threshold - Data quality]:[Manual Flag]],"Flagged")</f>
        <v>2</v>
      </c>
      <c r="BJ136" s="96" t="str">
        <f>IF(tblPiNAnalysis512[[#This Row],['# Flags]]&gt;0, "Flagged", "")</f>
        <v>Flagged</v>
      </c>
      <c r="BK136" s="326" t="e">
        <f>tblPiNAnalysis512[[#This Row],[Preliminary Target]]</f>
        <v>#N/A</v>
      </c>
      <c r="BL136" s="331">
        <v>4</v>
      </c>
    </row>
    <row r="137" spans="1:64" x14ac:dyDescent="0.55000000000000004">
      <c r="A1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7" s="316" t="s">
        <v>342</v>
      </c>
      <c r="C137" s="317" t="s">
        <v>343</v>
      </c>
      <c r="D137" s="317" t="s">
        <v>356</v>
      </c>
      <c r="E137" s="105" t="s">
        <v>357</v>
      </c>
      <c r="F137" s="100"/>
      <c r="G137" s="34"/>
      <c r="H137" s="34"/>
      <c r="I137" s="97">
        <v>123133.14998785798</v>
      </c>
      <c r="J137" s="97" t="s">
        <v>413</v>
      </c>
      <c r="K137" s="318">
        <v>0</v>
      </c>
      <c r="L137" s="319">
        <v>1035.0277068419368</v>
      </c>
      <c r="M137" s="319">
        <v>33436.927896884066</v>
      </c>
      <c r="N137" s="319">
        <v>56380.997843816796</v>
      </c>
      <c r="O137" s="319">
        <v>74880.686534567067</v>
      </c>
      <c r="P137" s="319">
        <v>11291.688115511362</v>
      </c>
      <c r="Q137" s="320">
        <v>7508.1189016986573</v>
      </c>
      <c r="R137" s="319">
        <v>76951.972640735839</v>
      </c>
      <c r="S137" s="319"/>
      <c r="T137" s="319"/>
      <c r="U137" s="319"/>
      <c r="V137" s="319"/>
      <c r="W137" s="321">
        <f>IFERROR(IF(tblPiNAnalysis512[[#This Row],[CCCM]]="", "", MROUND(tblPiNAnalysis512[[#This Row],[CCCM]]/tblPiNAnalysis512[[#This Row],[Affected population projection 2026]], 0.05)), "")</f>
        <v>0</v>
      </c>
      <c r="X137" s="322">
        <f>IFERROR(IF(tblPiNAnalysis512[[#This Row],[Education]]="", "", MROUND(tblPiNAnalysis512[[#This Row],[Education]]/tblPiNAnalysis512[[#This Row],[Affected population projection 2026]], 0.05)), "")</f>
        <v>0</v>
      </c>
      <c r="Y137" s="322">
        <f>IFERROR(IF(tblPiNAnalysis512[[#This Row],[Nutrition]]="", "", MROUND(tblPiNAnalysis512[[#This Row],[Nutrition]]/tblPiNAnalysis512[[#This Row],[Affected population projection 2026]], 0.05)), "")</f>
        <v>0.25</v>
      </c>
      <c r="Z137" s="322">
        <f>IFERROR(IF(tblPiNAnalysis512[[#This Row],[Food Security]]="", "", MROUND(tblPiNAnalysis512[[#This Row],[Food Security]]/tblPiNAnalysis512[[#This Row],[Affected population projection 2026]], 0.05)), "")</f>
        <v>0.45</v>
      </c>
      <c r="AA137" s="322">
        <f>IFERROR(IF(tblPiNAnalysis512[[#This Row],[Health]]="", "", MROUND(tblPiNAnalysis512[[#This Row],[Health]]/tblPiNAnalysis512[[#This Row],[Affected population projection 2026]], 0.05)), "")</f>
        <v>0.60000000000000009</v>
      </c>
      <c r="AB137" s="323">
        <f>IFERROR(IF(tblPiNAnalysis512[[#This Row],[Overarching Protection]]="", "", MROUND(tblPiNAnalysis512[[#This Row],[Overarching Protection]]/tblPiNAnalysis512[[#This Row],[Affected population projection 2026]], 0.05)), "")</f>
        <v>0.1</v>
      </c>
      <c r="AC137" s="323">
        <f>IFERROR(IF(tblPiNAnalysis512[[#This Row],[Shelter]]="", "", MROUND(tblPiNAnalysis512[[#This Row],[Shelter]]/tblPiNAnalysis512[[#This Row],[Affected population projection 2026]], 0.05)), "")</f>
        <v>0.05</v>
      </c>
      <c r="AD137" s="324">
        <f>IFERROR(IF(tblPiNAnalysis512[[#This Row],[WASH]]="", "", MROUND(tblPiNAnalysis512[[#This Row],[WASH]]/tblPiNAnalysis512[[#This Row],[Affected population projection 2026]], 0.05)), "")</f>
        <v>0.60000000000000009</v>
      </c>
      <c r="AE137" s="322">
        <f>IFERROR(MROUND(tblPiNAnalysis512[[#This Row],[CP]]/tblPiNAnalysis512[[#This Row],[Affected population projection 2026]], 0.05), "")</f>
        <v>0</v>
      </c>
      <c r="AF137" s="322">
        <f>IFERROR(MROUND(tblPiNAnalysis512[[#This Row],[GBV]]/tblPiNAnalysis512[[#This Row],[Affected population projection 2026]], 0.05), "")</f>
        <v>0</v>
      </c>
      <c r="AG137" s="322">
        <f>IFERROR(MROUND(tblPiNAnalysis512[[#This Row],[Mine Action]]/tblPiNAnalysis512[[#This Row],[Affected population projection 2026]], 0.05), "")</f>
        <v>0</v>
      </c>
      <c r="AH137" s="322">
        <f>IFERROR(MROUND(tblPiNAnalysis512[[#This Row],[HLP]]/tblPiNAnalysis512[[#This Row],[Affected population projection 2026]], 0.05), "")</f>
        <v>0</v>
      </c>
      <c r="AI137" s="325">
        <f>IFERROR(LARGE(tblPiNAnalysis512[[#This Row],[CCCM]:[WASH]], 1), "")</f>
        <v>76951.972640735839</v>
      </c>
      <c r="AJ137" s="326" t="str" cm="1">
        <f t="array" ref="AJ137">IF(tblPiNAnalysis512[[#This Row],[Highest Target]]="", "", _xlfn.TEXTJOIN(CHAR(10), TRUE, IF(tblPiNAnalysis512[[#This Row],[Highest Target]]=tblPiNAnalysis512[[#This Row],[CCCM]:[WASH]], tblPiNAnalysis512[[#Headers],[CCCM]:[WASH]], "")))</f>
        <v>WASH</v>
      </c>
      <c r="AK137" s="327">
        <f>IF(tblPiNAnalysis512[[#This Row],[Highest Target]]="", "", tblPiNAnalysis512[[#This Row],[Highest Target]]/tblPiNAnalysis512[[#This Row],[Affected population projection 2026]])</f>
        <v>0.62494927359792218</v>
      </c>
      <c r="AL137" s="328" t="str">
        <f>IF(SUM(tblPiNAnalysis512[[#This Row],[CCCM]:[WASH]])=0, "",IF(COUNTIF(tblPiNAnalysis512[[#This Row],[CCCM]:[WASH]],"=0")+COUNTIF(tblPiNAnalysis512[[#This Row],[CCCM]:[WASH]],"")&gt;=zero_pin_thresh, "Flagged", ""))</f>
        <v/>
      </c>
      <c r="AM137" s="329" t="str">
        <f>IFERROR(IF(tblPiNAnalysis512[[#This Row],[Highest Target]]="", "", IF(tblPiNAnalysis512[[#This Row],[Highest sector(s'') Target %]]&gt;=flag_pin_perc, "Flagged", "")), "")</f>
        <v/>
      </c>
      <c r="AN137" s="330" t="str" cm="1">
        <f t="array" ref="AN137">IF(tblPiNAnalysis512[[#This Row],[Highest Target]]=0, "",  IF(OR(COUNTIF(tblPiNAnalysis512[[#This Row],[Highest sector(s)]],tblSubSectorPopulation[Sector])), "Flagged", ""))</f>
        <v/>
      </c>
      <c r="AO137" s="46" cm="1">
        <f t="array" ref="AO13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74880.686534567067</v>
      </c>
      <c r="AP137" s="331" t="str" cm="1">
        <f t="array" ref="AP137">IF(tblPiNAnalysis512[[#This Row],[2nd Highest Target]]="", "", _xlfn.TEXTJOIN(CHAR(10), TRUE, IF(tblPiNAnalysis512[[#This Row],[2nd Highest Target]]=tblPiNAnalysis512[[#This Row],[CCCM]:[WASH]], tblPiNAnalysis512[[#Headers],[CCCM]:[WASH]], "")))</f>
        <v>Health</v>
      </c>
      <c r="AQ137" s="36">
        <f>IFERROR(tblPiNAnalysis512[[#This Row],[2nd Highest Target]]/tblPiNAnalysis512[[#This Row],[Affected population projection 2026]], "")</f>
        <v>0.60812775878754799</v>
      </c>
      <c r="AR137" s="46">
        <f>IFERROR(tblPiNAnalysis512[[#This Row],[Highest Target]]-tblPiNAnalysis512[[#This Row],[2nd Highest Target]], "")</f>
        <v>2071.2861061687727</v>
      </c>
      <c r="AS137" s="39">
        <f>IFERROR(((tblPiNAnalysis512[[#This Row],[Highest Target]]-tblPiNAnalysis512[[#This Row],[2nd Highest Target]])/tblPiNAnalysis512[[#This Row],[2nd Highest Target]]),"")</f>
        <v>2.7661152722105557E-2</v>
      </c>
      <c r="AT137" s="39" t="str" cm="1">
        <f t="array" ref="AT13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7" s="332" cm="1">
        <f t="array" ref="AU13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56380.997843816796</v>
      </c>
      <c r="AV137" s="190" t="str" cm="1">
        <f t="array" ref="AV137">IF(tblPiNAnalysis512[[#This Row],[3rd Highest Target]]="", "", _xlfn.TEXTJOIN(CHAR(10), TRUE, IF(tblPiNAnalysis512[[#This Row],[3rd Highest Target]]=tblPiNAnalysis512[[#This Row],[CCCM]:[WASH]], tblPiNAnalysis512[[#Headers],[CCCM]:[WASH]], "")))</f>
        <v>Food Security</v>
      </c>
      <c r="AW137" s="190">
        <f>IFERROR(tblPiNAnalysis512[[#This Row],[3rd Highest Target]]/tblPiNAnalysis512[[#This Row],[Affected population projection 2026]], "")</f>
        <v>0.4578864249747242</v>
      </c>
      <c r="AX137" s="45">
        <f>IFERROR(tblPiNAnalysis512[[#This Row],[Highest Target]]-tblPiNAnalysis512[[#This Row],[3rd Highest Target]],"")</f>
        <v>20570.974796919043</v>
      </c>
      <c r="AY137" s="39">
        <f>IFERROR(tblPiNAnalysis512[[#This Row],[Difference of Target between Highest and 3rd Highest]]/tblPiNAnalysis512[[#This Row],[3rd Highest Target]], "")</f>
        <v>0.36485652229681181</v>
      </c>
      <c r="AZ137" s="330" t="str" cm="1">
        <f t="array" ref="AZ13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7" s="300" t="str" cm="1">
        <f t="array" ref="BA13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7" s="333" t="str" cm="1">
        <f t="array" ref="BB13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37" s="276" t="str" cm="1">
        <f t="array" ref="BC13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7" s="334" t="str" cm="1">
        <f t="array" ref="BD13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7" s="277" t="e">
        <f>INDEX(tblSeverityAnalysis[Final Severity], MATCH(tblPiNAnalysis512[[#This Row],[ID]],tblSeverityAnalysis[ID], 0))</f>
        <v>#N/A</v>
      </c>
      <c r="BF137" s="61" t="e">
        <f>IF(tblPiNAnalysis512[[#This Row],[Severity]]&gt;2,tblPiNAnalysis512[[#This Row],[Highest Target]],)</f>
        <v>#N/A</v>
      </c>
      <c r="BG137" s="191"/>
      <c r="BH137" s="192"/>
      <c r="BI137" s="193">
        <f>COUNTIFS(tblPiNAnalysis512[[#This Row],[Number of missing / zero PiNs greater than threshold - Data quality]:[Manual Flag]],"Flagged")</f>
        <v>1</v>
      </c>
      <c r="BJ137" s="96" t="str">
        <f>IF(tblPiNAnalysis512[[#This Row],['# Flags]]&gt;0, "Flagged", "")</f>
        <v>Flagged</v>
      </c>
      <c r="BK137" s="326" t="e">
        <f>tblPiNAnalysis512[[#This Row],[Preliminary Target]]</f>
        <v>#N/A</v>
      </c>
      <c r="BL137" s="331">
        <v>1</v>
      </c>
    </row>
    <row r="138" spans="1:64" x14ac:dyDescent="0.55000000000000004">
      <c r="A1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8" s="316" t="s">
        <v>342</v>
      </c>
      <c r="C138" s="317" t="s">
        <v>343</v>
      </c>
      <c r="D138" s="317" t="s">
        <v>358</v>
      </c>
      <c r="E138" s="105" t="s">
        <v>359</v>
      </c>
      <c r="F138" s="100"/>
      <c r="G138" s="34"/>
      <c r="H138" s="34"/>
      <c r="I138" s="97">
        <v>55774.82852003994</v>
      </c>
      <c r="J138" s="97" t="s">
        <v>413</v>
      </c>
      <c r="K138" s="318"/>
      <c r="L138" s="319"/>
      <c r="M138" s="319"/>
      <c r="N138" s="319"/>
      <c r="O138" s="319"/>
      <c r="P138" s="319"/>
      <c r="Q138" s="320"/>
      <c r="R138" s="319"/>
      <c r="S138" s="319"/>
      <c r="T138" s="319"/>
      <c r="U138" s="319"/>
      <c r="V138" s="319"/>
      <c r="W138" s="321" t="str">
        <f>IFERROR(IF(tblPiNAnalysis512[[#This Row],[CCCM]]="", "", MROUND(tblPiNAnalysis512[[#This Row],[CCCM]]/tblPiNAnalysis512[[#This Row],[Affected population projection 2026]], 0.05)), "")</f>
        <v/>
      </c>
      <c r="X138" s="322" t="str">
        <f>IFERROR(IF(tblPiNAnalysis512[[#This Row],[Education]]="", "", MROUND(tblPiNAnalysis512[[#This Row],[Education]]/tblPiNAnalysis512[[#This Row],[Affected population projection 2026]], 0.05)), "")</f>
        <v/>
      </c>
      <c r="Y138" s="322" t="str">
        <f>IFERROR(IF(tblPiNAnalysis512[[#This Row],[Nutrition]]="", "", MROUND(tblPiNAnalysis512[[#This Row],[Nutrition]]/tblPiNAnalysis512[[#This Row],[Affected population projection 2026]], 0.05)), "")</f>
        <v/>
      </c>
      <c r="Z138" s="322" t="str">
        <f>IFERROR(IF(tblPiNAnalysis512[[#This Row],[Food Security]]="", "", MROUND(tblPiNAnalysis512[[#This Row],[Food Security]]/tblPiNAnalysis512[[#This Row],[Affected population projection 2026]], 0.05)), "")</f>
        <v/>
      </c>
      <c r="AA138" s="322" t="str">
        <f>IFERROR(IF(tblPiNAnalysis512[[#This Row],[Health]]="", "", MROUND(tblPiNAnalysis512[[#This Row],[Health]]/tblPiNAnalysis512[[#This Row],[Affected population projection 2026]], 0.05)), "")</f>
        <v/>
      </c>
      <c r="AB138" s="323" t="str">
        <f>IFERROR(IF(tblPiNAnalysis512[[#This Row],[Overarching Protection]]="", "", MROUND(tblPiNAnalysis512[[#This Row],[Overarching Protection]]/tblPiNAnalysis512[[#This Row],[Affected population projection 2026]], 0.05)), "")</f>
        <v/>
      </c>
      <c r="AC138" s="323" t="str">
        <f>IFERROR(IF(tblPiNAnalysis512[[#This Row],[Shelter]]="", "", MROUND(tblPiNAnalysis512[[#This Row],[Shelter]]/tblPiNAnalysis512[[#This Row],[Affected population projection 2026]], 0.05)), "")</f>
        <v/>
      </c>
      <c r="AD138" s="324" t="str">
        <f>IFERROR(IF(tblPiNAnalysis512[[#This Row],[WASH]]="", "", MROUND(tblPiNAnalysis512[[#This Row],[WASH]]/tblPiNAnalysis512[[#This Row],[Affected population projection 2026]], 0.05)), "")</f>
        <v/>
      </c>
      <c r="AE138" s="322">
        <f>IFERROR(MROUND(tblPiNAnalysis512[[#This Row],[CP]]/tblPiNAnalysis512[[#This Row],[Affected population projection 2026]], 0.05), "")</f>
        <v>0</v>
      </c>
      <c r="AF138" s="322">
        <f>IFERROR(MROUND(tblPiNAnalysis512[[#This Row],[GBV]]/tblPiNAnalysis512[[#This Row],[Affected population projection 2026]], 0.05), "")</f>
        <v>0</v>
      </c>
      <c r="AG138" s="322">
        <f>IFERROR(MROUND(tblPiNAnalysis512[[#This Row],[Mine Action]]/tblPiNAnalysis512[[#This Row],[Affected population projection 2026]], 0.05), "")</f>
        <v>0</v>
      </c>
      <c r="AH138" s="322">
        <f>IFERROR(MROUND(tblPiNAnalysis512[[#This Row],[HLP]]/tblPiNAnalysis512[[#This Row],[Affected population projection 2026]], 0.05), "")</f>
        <v>0</v>
      </c>
      <c r="AI138" s="325" t="str">
        <f>IFERROR(LARGE(tblPiNAnalysis512[[#This Row],[CCCM]:[WASH]], 1), "")</f>
        <v/>
      </c>
      <c r="AJ138" s="326" t="str" cm="1">
        <f t="array" ref="AJ138">IF(tblPiNAnalysis512[[#This Row],[Highest Target]]="", "", _xlfn.TEXTJOIN(CHAR(10), TRUE, IF(tblPiNAnalysis512[[#This Row],[Highest Target]]=tblPiNAnalysis512[[#This Row],[CCCM]:[WASH]], tblPiNAnalysis512[[#Headers],[CCCM]:[WASH]], "")))</f>
        <v/>
      </c>
      <c r="AK138" s="327" t="str">
        <f>IF(tblPiNAnalysis512[[#This Row],[Highest Target]]="", "", tblPiNAnalysis512[[#This Row],[Highest Target]]/tblPiNAnalysis512[[#This Row],[Affected population projection 2026]])</f>
        <v/>
      </c>
      <c r="AL138" s="328" t="str">
        <f>IF(SUM(tblPiNAnalysis512[[#This Row],[CCCM]:[WASH]])=0, "",IF(COUNTIF(tblPiNAnalysis512[[#This Row],[CCCM]:[WASH]],"=0")+COUNTIF(tblPiNAnalysis512[[#This Row],[CCCM]:[WASH]],"")&gt;=zero_pin_thresh, "Flagged", ""))</f>
        <v/>
      </c>
      <c r="AM138" s="329" t="str">
        <f>IFERROR(IF(tblPiNAnalysis512[[#This Row],[Highest Target]]="", "", IF(tblPiNAnalysis512[[#This Row],[Highest sector(s'') Target %]]&gt;=flag_pin_perc, "Flagged", "")), "")</f>
        <v/>
      </c>
      <c r="AN138" s="330" t="str" cm="1">
        <f t="array" ref="AN138">IF(tblPiNAnalysis512[[#This Row],[Highest Target]]=0, "",  IF(OR(COUNTIF(tblPiNAnalysis512[[#This Row],[Highest sector(s)]],tblSubSectorPopulation[Sector])), "Flagged", ""))</f>
        <v/>
      </c>
      <c r="AO138" s="46" t="str" cm="1">
        <f t="array" ref="AO13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38" s="331" t="str" cm="1">
        <f t="array" ref="AP138">IF(tblPiNAnalysis512[[#This Row],[2nd Highest Target]]="", "", _xlfn.TEXTJOIN(CHAR(10), TRUE, IF(tblPiNAnalysis512[[#This Row],[2nd Highest Target]]=tblPiNAnalysis512[[#This Row],[CCCM]:[WASH]], tblPiNAnalysis512[[#Headers],[CCCM]:[WASH]], "")))</f>
        <v/>
      </c>
      <c r="AQ138" s="36" t="str">
        <f>IFERROR(tblPiNAnalysis512[[#This Row],[2nd Highest Target]]/tblPiNAnalysis512[[#This Row],[Affected population projection 2026]], "")</f>
        <v/>
      </c>
      <c r="AR138" s="46" t="str">
        <f>IFERROR(tblPiNAnalysis512[[#This Row],[Highest Target]]-tblPiNAnalysis512[[#This Row],[2nd Highest Target]], "")</f>
        <v/>
      </c>
      <c r="AS138" s="39" t="str">
        <f>IFERROR(((tblPiNAnalysis512[[#This Row],[Highest Target]]-tblPiNAnalysis512[[#This Row],[2nd Highest Target]])/tblPiNAnalysis512[[#This Row],[2nd Highest Target]]),"")</f>
        <v/>
      </c>
      <c r="AT138" s="39" t="str" cm="1">
        <f t="array" ref="AT13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8" s="332" t="str" cm="1">
        <f t="array" ref="AU13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38" s="190" t="str" cm="1">
        <f t="array" ref="AV138">IF(tblPiNAnalysis512[[#This Row],[3rd Highest Target]]="", "", _xlfn.TEXTJOIN(CHAR(10), TRUE, IF(tblPiNAnalysis512[[#This Row],[3rd Highest Target]]=tblPiNAnalysis512[[#This Row],[CCCM]:[WASH]], tblPiNAnalysis512[[#Headers],[CCCM]:[WASH]], "")))</f>
        <v/>
      </c>
      <c r="AW138" s="190" t="str">
        <f>IFERROR(tblPiNAnalysis512[[#This Row],[3rd Highest Target]]/tblPiNAnalysis512[[#This Row],[Affected population projection 2026]], "")</f>
        <v/>
      </c>
      <c r="AX138" s="45" t="str">
        <f>IFERROR(tblPiNAnalysis512[[#This Row],[Highest Target]]-tblPiNAnalysis512[[#This Row],[3rd Highest Target]],"")</f>
        <v/>
      </c>
      <c r="AY138" s="39" t="str">
        <f>IFERROR(tblPiNAnalysis512[[#This Row],[Difference of Target between Highest and 3rd Highest]]/tblPiNAnalysis512[[#This Row],[3rd Highest Target]], "")</f>
        <v/>
      </c>
      <c r="AZ138" s="330" t="str" cm="1">
        <f t="array" ref="AZ13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8" s="300" t="str" cm="1">
        <f t="array" ref="BA13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8" s="333" t="str" cm="1">
        <f t="array" ref="BB13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38" s="276" t="str" cm="1">
        <f t="array" ref="BC13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8" s="334" t="str" cm="1">
        <f t="array" ref="BD13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8" s="277" t="e">
        <f>INDEX(tblSeverityAnalysis[Final Severity], MATCH(tblPiNAnalysis512[[#This Row],[ID]],tblSeverityAnalysis[ID], 0))</f>
        <v>#N/A</v>
      </c>
      <c r="BF138" s="61" t="e">
        <f>IF(tblPiNAnalysis512[[#This Row],[Severity]]&gt;2,tblPiNAnalysis512[[#This Row],[Highest Target]],)</f>
        <v>#N/A</v>
      </c>
      <c r="BG138" s="191"/>
      <c r="BH138" s="192"/>
      <c r="BI138" s="193">
        <f>COUNTIFS(tblPiNAnalysis512[[#This Row],[Number of missing / zero PiNs greater than threshold - Data quality]:[Manual Flag]],"Flagged")</f>
        <v>2</v>
      </c>
      <c r="BJ138" s="96" t="str">
        <f>IF(tblPiNAnalysis512[[#This Row],['# Flags]]&gt;0, "Flagged", "")</f>
        <v>Flagged</v>
      </c>
      <c r="BK138" s="326" t="e">
        <f>tblPiNAnalysis512[[#This Row],[Preliminary Target]]</f>
        <v>#N/A</v>
      </c>
      <c r="BL138" s="331">
        <v>3</v>
      </c>
    </row>
    <row r="139" spans="1:64" ht="110.7" x14ac:dyDescent="0.55000000000000004">
      <c r="A1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9" s="316" t="s">
        <v>342</v>
      </c>
      <c r="C139" s="317" t="s">
        <v>343</v>
      </c>
      <c r="D139" s="317" t="s">
        <v>360</v>
      </c>
      <c r="E139" s="105" t="s">
        <v>361</v>
      </c>
      <c r="F139" s="100"/>
      <c r="G139" s="34"/>
      <c r="H139" s="34"/>
      <c r="I139" s="97">
        <v>84237.505871052446</v>
      </c>
      <c r="J139" s="97" t="s">
        <v>413</v>
      </c>
      <c r="K139" s="318">
        <v>0</v>
      </c>
      <c r="L139" s="319">
        <v>0</v>
      </c>
      <c r="M139" s="319">
        <v>0</v>
      </c>
      <c r="N139" s="319">
        <v>0</v>
      </c>
      <c r="O139" s="319">
        <v>0</v>
      </c>
      <c r="P139" s="319">
        <v>0</v>
      </c>
      <c r="Q139" s="320">
        <v>0</v>
      </c>
      <c r="R139" s="319">
        <v>0</v>
      </c>
      <c r="S139" s="319"/>
      <c r="T139" s="319"/>
      <c r="U139" s="319"/>
      <c r="V139" s="319"/>
      <c r="W139" s="321">
        <f>IFERROR(IF(tblPiNAnalysis512[[#This Row],[CCCM]]="", "", MROUND(tblPiNAnalysis512[[#This Row],[CCCM]]/tblPiNAnalysis512[[#This Row],[Affected population projection 2026]], 0.05)), "")</f>
        <v>0</v>
      </c>
      <c r="X139" s="322">
        <f>IFERROR(IF(tblPiNAnalysis512[[#This Row],[Education]]="", "", MROUND(tblPiNAnalysis512[[#This Row],[Education]]/tblPiNAnalysis512[[#This Row],[Affected population projection 2026]], 0.05)), "")</f>
        <v>0</v>
      </c>
      <c r="Y139" s="322">
        <f>IFERROR(IF(tblPiNAnalysis512[[#This Row],[Nutrition]]="", "", MROUND(tblPiNAnalysis512[[#This Row],[Nutrition]]/tblPiNAnalysis512[[#This Row],[Affected population projection 2026]], 0.05)), "")</f>
        <v>0</v>
      </c>
      <c r="Z139" s="322">
        <f>IFERROR(IF(tblPiNAnalysis512[[#This Row],[Food Security]]="", "", MROUND(tblPiNAnalysis512[[#This Row],[Food Security]]/tblPiNAnalysis512[[#This Row],[Affected population projection 2026]], 0.05)), "")</f>
        <v>0</v>
      </c>
      <c r="AA139" s="322">
        <f>IFERROR(IF(tblPiNAnalysis512[[#This Row],[Health]]="", "", MROUND(tblPiNAnalysis512[[#This Row],[Health]]/tblPiNAnalysis512[[#This Row],[Affected population projection 2026]], 0.05)), "")</f>
        <v>0</v>
      </c>
      <c r="AB139" s="323">
        <f>IFERROR(IF(tblPiNAnalysis512[[#This Row],[Overarching Protection]]="", "", MROUND(tblPiNAnalysis512[[#This Row],[Overarching Protection]]/tblPiNAnalysis512[[#This Row],[Affected population projection 2026]], 0.05)), "")</f>
        <v>0</v>
      </c>
      <c r="AC139" s="323">
        <f>IFERROR(IF(tblPiNAnalysis512[[#This Row],[Shelter]]="", "", MROUND(tblPiNAnalysis512[[#This Row],[Shelter]]/tblPiNAnalysis512[[#This Row],[Affected population projection 2026]], 0.05)), "")</f>
        <v>0</v>
      </c>
      <c r="AD139" s="324">
        <f>IFERROR(IF(tblPiNAnalysis512[[#This Row],[WASH]]="", "", MROUND(tblPiNAnalysis512[[#This Row],[WASH]]/tblPiNAnalysis512[[#This Row],[Affected population projection 2026]], 0.05)), "")</f>
        <v>0</v>
      </c>
      <c r="AE139" s="322">
        <f>IFERROR(MROUND(tblPiNAnalysis512[[#This Row],[CP]]/tblPiNAnalysis512[[#This Row],[Affected population projection 2026]], 0.05), "")</f>
        <v>0</v>
      </c>
      <c r="AF139" s="322">
        <f>IFERROR(MROUND(tblPiNAnalysis512[[#This Row],[GBV]]/tblPiNAnalysis512[[#This Row],[Affected population projection 2026]], 0.05), "")</f>
        <v>0</v>
      </c>
      <c r="AG139" s="322">
        <f>IFERROR(MROUND(tblPiNAnalysis512[[#This Row],[Mine Action]]/tblPiNAnalysis512[[#This Row],[Affected population projection 2026]], 0.05), "")</f>
        <v>0</v>
      </c>
      <c r="AH139" s="322">
        <f>IFERROR(MROUND(tblPiNAnalysis512[[#This Row],[HLP]]/tblPiNAnalysis512[[#This Row],[Affected population projection 2026]], 0.05), "")</f>
        <v>0</v>
      </c>
      <c r="AI139" s="325">
        <f>IFERROR(LARGE(tblPiNAnalysis512[[#This Row],[CCCM]:[WASH]], 1), "")</f>
        <v>0</v>
      </c>
      <c r="AJ139" s="326" t="str" cm="1">
        <f t="array" ref="AJ139">IF(tblPiNAnalysis512[[#This Row],[Highest Target]]="", "", _xlfn.TEXTJOIN(CHAR(10), TRUE, IF(tblPiNAnalysis512[[#This Row],[Highest Target]]=tblPiNAnalysis512[[#This Row],[CCCM]:[WASH]], tblPiNAnalysis512[[#Headers],[CCCM]:[WASH]], "")))</f>
        <v>CCCM
Education
Nutrition
Food Security
Health
Overarching Protection
Shelter
WASH</v>
      </c>
      <c r="AK139" s="327">
        <f>IF(tblPiNAnalysis512[[#This Row],[Highest Target]]="", "", tblPiNAnalysis512[[#This Row],[Highest Target]]/tblPiNAnalysis512[[#This Row],[Affected population projection 2026]])</f>
        <v>0</v>
      </c>
      <c r="AL139" s="328" t="str">
        <f>IF(SUM(tblPiNAnalysis512[[#This Row],[CCCM]:[WASH]])=0, "",IF(COUNTIF(tblPiNAnalysis512[[#This Row],[CCCM]:[WASH]],"=0")+COUNTIF(tblPiNAnalysis512[[#This Row],[CCCM]:[WASH]],"")&gt;=zero_pin_thresh, "Flagged", ""))</f>
        <v/>
      </c>
      <c r="AM139" s="329" t="str">
        <f>IFERROR(IF(tblPiNAnalysis512[[#This Row],[Highest Target]]="", "", IF(tblPiNAnalysis512[[#This Row],[Highest sector(s'') Target %]]&gt;=flag_pin_perc, "Flagged", "")), "")</f>
        <v/>
      </c>
      <c r="AN139" s="330" t="str" cm="1">
        <f t="array" ref="AN139">IF(tblPiNAnalysis512[[#This Row],[Highest Target]]=0, "",  IF(OR(COUNTIF(tblPiNAnalysis512[[#This Row],[Highest sector(s)]],tblSubSectorPopulation[Sector])), "Flagged", ""))</f>
        <v/>
      </c>
      <c r="AO139" s="46" cm="1">
        <f t="array" ref="AO13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39" s="331" t="str" cm="1">
        <f t="array" ref="AP139">IF(tblPiNAnalysis512[[#This Row],[2nd Highest Target]]="", "", _xlfn.TEXTJOIN(CHAR(10), TRUE, IF(tblPiNAnalysis512[[#This Row],[2nd Highest Target]]=tblPiNAnalysis512[[#This Row],[CCCM]:[WASH]], tblPiNAnalysis512[[#Headers],[CCCM]:[WASH]], "")))</f>
        <v>CCCM
Education
Nutrition
Food Security
Health
Overarching Protection
Shelter
WASH</v>
      </c>
      <c r="AQ139" s="36">
        <f>IFERROR(tblPiNAnalysis512[[#This Row],[2nd Highest Target]]/tblPiNAnalysis512[[#This Row],[Affected population projection 2026]], "")</f>
        <v>0</v>
      </c>
      <c r="AR139" s="46">
        <f>IFERROR(tblPiNAnalysis512[[#This Row],[Highest Target]]-tblPiNAnalysis512[[#This Row],[2nd Highest Target]], "")</f>
        <v>0</v>
      </c>
      <c r="AS139" s="39" t="str">
        <f>IFERROR(((tblPiNAnalysis512[[#This Row],[Highest Target]]-tblPiNAnalysis512[[#This Row],[2nd Highest Target]])/tblPiNAnalysis512[[#This Row],[2nd Highest Target]]),"")</f>
        <v/>
      </c>
      <c r="AT139" s="39" t="str" cm="1">
        <f t="array" ref="AT13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39" s="332" cm="1">
        <f t="array" ref="AU13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39" s="190" t="str" cm="1">
        <f t="array" ref="AV139">IF(tblPiNAnalysis512[[#This Row],[3rd Highest Target]]="", "", _xlfn.TEXTJOIN(CHAR(10), TRUE, IF(tblPiNAnalysis512[[#This Row],[3rd Highest Target]]=tblPiNAnalysis512[[#This Row],[CCCM]:[WASH]], tblPiNAnalysis512[[#Headers],[CCCM]:[WASH]], "")))</f>
        <v>CCCM
Education
Nutrition
Food Security
Health
Overarching Protection
Shelter
WASH</v>
      </c>
      <c r="AW139" s="190">
        <f>IFERROR(tblPiNAnalysis512[[#This Row],[3rd Highest Target]]/tblPiNAnalysis512[[#This Row],[Affected population projection 2026]], "")</f>
        <v>0</v>
      </c>
      <c r="AX139" s="45">
        <f>IFERROR(tblPiNAnalysis512[[#This Row],[Highest Target]]-tblPiNAnalysis512[[#This Row],[3rd Highest Target]],"")</f>
        <v>0</v>
      </c>
      <c r="AY139" s="39" t="str">
        <f>IFERROR(tblPiNAnalysis512[[#This Row],[Difference of Target between Highest and 3rd Highest]]/tblPiNAnalysis512[[#This Row],[3rd Highest Target]], "")</f>
        <v/>
      </c>
      <c r="AZ139" s="330" t="str" cm="1">
        <f t="array" ref="AZ13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39" s="300" t="str" cm="1">
        <f t="array" ref="BA13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39" s="333" t="str" cm="1">
        <f t="array" ref="BB13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39" s="276" t="str" cm="1">
        <f t="array" ref="BC13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39" s="334" t="str" cm="1">
        <f t="array" ref="BD13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39" s="277" t="e">
        <f>INDEX(tblSeverityAnalysis[Final Severity], MATCH(tblPiNAnalysis512[[#This Row],[ID]],tblSeverityAnalysis[ID], 0))</f>
        <v>#N/A</v>
      </c>
      <c r="BF139" s="61" t="e">
        <f>IF(tblPiNAnalysis512[[#This Row],[Severity]]&gt;2,tblPiNAnalysis512[[#This Row],[Highest Target]],)</f>
        <v>#N/A</v>
      </c>
      <c r="BG139" s="191"/>
      <c r="BH139" s="192"/>
      <c r="BI139" s="193">
        <f>COUNTIFS(tblPiNAnalysis512[[#This Row],[Number of missing / zero PiNs greater than threshold - Data quality]:[Manual Flag]],"Flagged")</f>
        <v>2</v>
      </c>
      <c r="BJ139" s="96" t="str">
        <f>IF(tblPiNAnalysis512[[#This Row],['# Flags]]&gt;0, "Flagged", "")</f>
        <v>Flagged</v>
      </c>
      <c r="BK139" s="326" t="e">
        <f>tblPiNAnalysis512[[#This Row],[Preliminary Target]]</f>
        <v>#N/A</v>
      </c>
      <c r="BL139" s="331">
        <v>4</v>
      </c>
    </row>
    <row r="140" spans="1:64" x14ac:dyDescent="0.55000000000000004">
      <c r="A1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0" s="316" t="s">
        <v>342</v>
      </c>
      <c r="C140" s="317" t="s">
        <v>343</v>
      </c>
      <c r="D140" s="317" t="s">
        <v>362</v>
      </c>
      <c r="E140" s="105" t="s">
        <v>363</v>
      </c>
      <c r="F140" s="100"/>
      <c r="G140" s="34"/>
      <c r="H140" s="34"/>
      <c r="I140" s="97">
        <v>39623.047823684894</v>
      </c>
      <c r="J140" s="97" t="s">
        <v>413</v>
      </c>
      <c r="K140" s="318">
        <v>0</v>
      </c>
      <c r="L140" s="319">
        <v>983.18808209491817</v>
      </c>
      <c r="M140" s="319">
        <v>14542.847759831051</v>
      </c>
      <c r="N140" s="319">
        <v>19387.85393590376</v>
      </c>
      <c r="O140" s="319">
        <v>21678.646543710714</v>
      </c>
      <c r="P140" s="319">
        <v>6971.6953980059106</v>
      </c>
      <c r="Q140" s="320">
        <v>2785.3825697837901</v>
      </c>
      <c r="R140" s="319">
        <v>36102.818368274864</v>
      </c>
      <c r="S140" s="319"/>
      <c r="T140" s="319"/>
      <c r="U140" s="319"/>
      <c r="V140" s="319"/>
      <c r="W140" s="321">
        <f>IFERROR(IF(tblPiNAnalysis512[[#This Row],[CCCM]]="", "", MROUND(tblPiNAnalysis512[[#This Row],[CCCM]]/tblPiNAnalysis512[[#This Row],[Affected population projection 2026]], 0.05)), "")</f>
        <v>0</v>
      </c>
      <c r="X140" s="322">
        <f>IFERROR(IF(tblPiNAnalysis512[[#This Row],[Education]]="", "", MROUND(tblPiNAnalysis512[[#This Row],[Education]]/tblPiNAnalysis512[[#This Row],[Affected population projection 2026]], 0.05)), "")</f>
        <v>0</v>
      </c>
      <c r="Y140" s="322">
        <f>IFERROR(IF(tblPiNAnalysis512[[#This Row],[Nutrition]]="", "", MROUND(tblPiNAnalysis512[[#This Row],[Nutrition]]/tblPiNAnalysis512[[#This Row],[Affected population projection 2026]], 0.05)), "")</f>
        <v>0.35000000000000003</v>
      </c>
      <c r="Z140" s="322">
        <f>IFERROR(IF(tblPiNAnalysis512[[#This Row],[Food Security]]="", "", MROUND(tblPiNAnalysis512[[#This Row],[Food Security]]/tblPiNAnalysis512[[#This Row],[Affected population projection 2026]], 0.05)), "")</f>
        <v>0.5</v>
      </c>
      <c r="AA140" s="322">
        <f>IFERROR(IF(tblPiNAnalysis512[[#This Row],[Health]]="", "", MROUND(tblPiNAnalysis512[[#This Row],[Health]]/tblPiNAnalysis512[[#This Row],[Affected population projection 2026]], 0.05)), "")</f>
        <v>0.55000000000000004</v>
      </c>
      <c r="AB140" s="323">
        <f>IFERROR(IF(tblPiNAnalysis512[[#This Row],[Overarching Protection]]="", "", MROUND(tblPiNAnalysis512[[#This Row],[Overarching Protection]]/tblPiNAnalysis512[[#This Row],[Affected population projection 2026]], 0.05)), "")</f>
        <v>0.2</v>
      </c>
      <c r="AC140" s="323">
        <f>IFERROR(IF(tblPiNAnalysis512[[#This Row],[Shelter]]="", "", MROUND(tblPiNAnalysis512[[#This Row],[Shelter]]/tblPiNAnalysis512[[#This Row],[Affected population projection 2026]], 0.05)), "")</f>
        <v>0.05</v>
      </c>
      <c r="AD140" s="324">
        <f>IFERROR(IF(tblPiNAnalysis512[[#This Row],[WASH]]="", "", MROUND(tblPiNAnalysis512[[#This Row],[WASH]]/tblPiNAnalysis512[[#This Row],[Affected population projection 2026]], 0.05)), "")</f>
        <v>0.9</v>
      </c>
      <c r="AE140" s="322">
        <f>IFERROR(MROUND(tblPiNAnalysis512[[#This Row],[CP]]/tblPiNAnalysis512[[#This Row],[Affected population projection 2026]], 0.05), "")</f>
        <v>0</v>
      </c>
      <c r="AF140" s="322">
        <f>IFERROR(MROUND(tblPiNAnalysis512[[#This Row],[GBV]]/tblPiNAnalysis512[[#This Row],[Affected population projection 2026]], 0.05), "")</f>
        <v>0</v>
      </c>
      <c r="AG140" s="322">
        <f>IFERROR(MROUND(tblPiNAnalysis512[[#This Row],[Mine Action]]/tblPiNAnalysis512[[#This Row],[Affected population projection 2026]], 0.05), "")</f>
        <v>0</v>
      </c>
      <c r="AH140" s="322">
        <f>IFERROR(MROUND(tblPiNAnalysis512[[#This Row],[HLP]]/tblPiNAnalysis512[[#This Row],[Affected population projection 2026]], 0.05), "")</f>
        <v>0</v>
      </c>
      <c r="AI140" s="325">
        <f>IFERROR(LARGE(tblPiNAnalysis512[[#This Row],[CCCM]:[WASH]], 1), "")</f>
        <v>36102.818368274864</v>
      </c>
      <c r="AJ140" s="326" t="str" cm="1">
        <f t="array" ref="AJ140">IF(tblPiNAnalysis512[[#This Row],[Highest Target]]="", "", _xlfn.TEXTJOIN(CHAR(10), TRUE, IF(tblPiNAnalysis512[[#This Row],[Highest Target]]=tblPiNAnalysis512[[#This Row],[CCCM]:[WASH]], tblPiNAnalysis512[[#Headers],[CCCM]:[WASH]], "")))</f>
        <v>WASH</v>
      </c>
      <c r="AK140" s="327">
        <f>IF(tblPiNAnalysis512[[#This Row],[Highest Target]]="", "", tblPiNAnalysis512[[#This Row],[Highest Target]]/tblPiNAnalysis512[[#This Row],[Affected population projection 2026]])</f>
        <v>0.91115702479338823</v>
      </c>
      <c r="AL140" s="328" t="str">
        <f>IF(SUM(tblPiNAnalysis512[[#This Row],[CCCM]:[WASH]])=0, "",IF(COUNTIF(tblPiNAnalysis512[[#This Row],[CCCM]:[WASH]],"=0")+COUNTIF(tblPiNAnalysis512[[#This Row],[CCCM]:[WASH]],"")&gt;=zero_pin_thresh, "Flagged", ""))</f>
        <v/>
      </c>
      <c r="AM140" s="329" t="str">
        <f>IFERROR(IF(tblPiNAnalysis512[[#This Row],[Highest Target]]="", "", IF(tblPiNAnalysis512[[#This Row],[Highest sector(s'') Target %]]&gt;=flag_pin_perc, "Flagged", "")), "")</f>
        <v>Flagged</v>
      </c>
      <c r="AN140" s="330" t="str" cm="1">
        <f t="array" ref="AN140">IF(tblPiNAnalysis512[[#This Row],[Highest Target]]=0, "",  IF(OR(COUNTIF(tblPiNAnalysis512[[#This Row],[Highest sector(s)]],tblSubSectorPopulation[Sector])), "Flagged", ""))</f>
        <v/>
      </c>
      <c r="AO140" s="46" cm="1">
        <f t="array" ref="AO14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21678.646543710714</v>
      </c>
      <c r="AP140" s="331" t="str" cm="1">
        <f t="array" ref="AP140">IF(tblPiNAnalysis512[[#This Row],[2nd Highest Target]]="", "", _xlfn.TEXTJOIN(CHAR(10), TRUE, IF(tblPiNAnalysis512[[#This Row],[2nd Highest Target]]=tblPiNAnalysis512[[#This Row],[CCCM]:[WASH]], tblPiNAnalysis512[[#Headers],[CCCM]:[WASH]], "")))</f>
        <v>Health</v>
      </c>
      <c r="AQ140" s="36">
        <f>IFERROR(tblPiNAnalysis512[[#This Row],[2nd Highest Target]]/tblPiNAnalysis512[[#This Row],[Affected population projection 2026]], "")</f>
        <v>0.54712213558574829</v>
      </c>
      <c r="AR140" s="46">
        <f>IFERROR(tblPiNAnalysis512[[#This Row],[Highest Target]]-tblPiNAnalysis512[[#This Row],[2nd Highest Target]], "")</f>
        <v>14424.17182456415</v>
      </c>
      <c r="AS140" s="39">
        <f>IFERROR(((tblPiNAnalysis512[[#This Row],[Highest Target]]-tblPiNAnalysis512[[#This Row],[2nd Highest Target]])/tblPiNAnalysis512[[#This Row],[2nd Highest Target]]),"")</f>
        <v>0.66536311644182455</v>
      </c>
      <c r="AT140" s="39" t="str" cm="1">
        <f t="array" ref="AT14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40" s="332" cm="1">
        <f t="array" ref="AU14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19387.85393590376</v>
      </c>
      <c r="AV140" s="190" t="str" cm="1">
        <f t="array" ref="AV140">IF(tblPiNAnalysis512[[#This Row],[3rd Highest Target]]="", "", _xlfn.TEXTJOIN(CHAR(10), TRUE, IF(tblPiNAnalysis512[[#This Row],[3rd Highest Target]]=tblPiNAnalysis512[[#This Row],[CCCM]:[WASH]], tblPiNAnalysis512[[#Headers],[CCCM]:[WASH]], "")))</f>
        <v>Food Security</v>
      </c>
      <c r="AW140" s="190">
        <f>IFERROR(tblPiNAnalysis512[[#This Row],[3rd Highest Target]]/tblPiNAnalysis512[[#This Row],[Affected population projection 2026]], "")</f>
        <v>0.48930748644516348</v>
      </c>
      <c r="AX140" s="45">
        <f>IFERROR(tblPiNAnalysis512[[#This Row],[Highest Target]]-tblPiNAnalysis512[[#This Row],[3rd Highest Target]],"")</f>
        <v>16714.964432371104</v>
      </c>
      <c r="AY140" s="39">
        <f>IFERROR(tblPiNAnalysis512[[#This Row],[Difference of Target between Highest and 3rd Highest]]/tblPiNAnalysis512[[#This Row],[3rd Highest Target]], "")</f>
        <v>0.86213587577205664</v>
      </c>
      <c r="AZ140" s="330" t="str" cm="1">
        <f t="array" ref="AZ14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40" s="300" t="str" cm="1">
        <f t="array" ref="BA14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0" s="333" t="str" cm="1">
        <f t="array" ref="BB14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40" s="276" t="str" cm="1">
        <f t="array" ref="BC14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0" s="334" t="str" cm="1">
        <f t="array" ref="BD14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0" s="277" t="e">
        <f>INDEX(tblSeverityAnalysis[Final Severity], MATCH(tblPiNAnalysis512[[#This Row],[ID]],tblSeverityAnalysis[ID], 0))</f>
        <v>#N/A</v>
      </c>
      <c r="BF140" s="61" t="e">
        <f>IF(tblPiNAnalysis512[[#This Row],[Severity]]&gt;2,tblPiNAnalysis512[[#This Row],[Highest Target]],)</f>
        <v>#N/A</v>
      </c>
      <c r="BG140" s="191"/>
      <c r="BH140" s="192"/>
      <c r="BI140" s="193">
        <f>COUNTIFS(tblPiNAnalysis512[[#This Row],[Number of missing / zero PiNs greater than threshold - Data quality]:[Manual Flag]],"Flagged")</f>
        <v>4</v>
      </c>
      <c r="BJ140" s="96" t="str">
        <f>IF(tblPiNAnalysis512[[#This Row],['# Flags]]&gt;0, "Flagged", "")</f>
        <v>Flagged</v>
      </c>
      <c r="BK140" s="326" t="e">
        <f>tblPiNAnalysis512[[#This Row],[Preliminary Target]]</f>
        <v>#N/A</v>
      </c>
      <c r="BL140" s="331">
        <v>2</v>
      </c>
    </row>
    <row r="141" spans="1:64" x14ac:dyDescent="0.55000000000000004">
      <c r="A1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1" s="316" t="s">
        <v>342</v>
      </c>
      <c r="C141" s="317" t="s">
        <v>343</v>
      </c>
      <c r="D141" s="317" t="s">
        <v>364</v>
      </c>
      <c r="E141" s="105" t="s">
        <v>365</v>
      </c>
      <c r="F141" s="100"/>
      <c r="G141" s="34"/>
      <c r="H141" s="34"/>
      <c r="I141" s="97">
        <v>208923.05518722511</v>
      </c>
      <c r="J141" s="97" t="s">
        <v>413</v>
      </c>
      <c r="K141" s="318">
        <v>0</v>
      </c>
      <c r="L141" s="319">
        <v>11479.277267262083</v>
      </c>
      <c r="M141" s="319">
        <v>44737.272451447789</v>
      </c>
      <c r="N141" s="319">
        <v>75445.052504270585</v>
      </c>
      <c r="O141" s="319">
        <v>61798.27326851344</v>
      </c>
      <c r="P141" s="319">
        <v>29800.64953507435</v>
      </c>
      <c r="Q141" s="320">
        <v>4398.3801092047388</v>
      </c>
      <c r="R141" s="319">
        <v>41447.869487589072</v>
      </c>
      <c r="S141" s="319"/>
      <c r="T141" s="319"/>
      <c r="U141" s="319"/>
      <c r="V141" s="319"/>
      <c r="W141" s="321">
        <f>IFERROR(IF(tblPiNAnalysis512[[#This Row],[CCCM]]="", "", MROUND(tblPiNAnalysis512[[#This Row],[CCCM]]/tblPiNAnalysis512[[#This Row],[Affected population projection 2026]], 0.05)), "")</f>
        <v>0</v>
      </c>
      <c r="X141" s="322">
        <f>IFERROR(IF(tblPiNAnalysis512[[#This Row],[Education]]="", "", MROUND(tblPiNAnalysis512[[#This Row],[Education]]/tblPiNAnalysis512[[#This Row],[Affected population projection 2026]], 0.05)), "")</f>
        <v>0.05</v>
      </c>
      <c r="Y141" s="322">
        <f>IFERROR(IF(tblPiNAnalysis512[[#This Row],[Nutrition]]="", "", MROUND(tblPiNAnalysis512[[#This Row],[Nutrition]]/tblPiNAnalysis512[[#This Row],[Affected population projection 2026]], 0.05)), "")</f>
        <v>0.2</v>
      </c>
      <c r="Z141" s="322">
        <f>IFERROR(IF(tblPiNAnalysis512[[#This Row],[Food Security]]="", "", MROUND(tblPiNAnalysis512[[#This Row],[Food Security]]/tblPiNAnalysis512[[#This Row],[Affected population projection 2026]], 0.05)), "")</f>
        <v>0.35000000000000003</v>
      </c>
      <c r="AA141" s="322">
        <f>IFERROR(IF(tblPiNAnalysis512[[#This Row],[Health]]="", "", MROUND(tblPiNAnalysis512[[#This Row],[Health]]/tblPiNAnalysis512[[#This Row],[Affected population projection 2026]], 0.05)), "")</f>
        <v>0.30000000000000004</v>
      </c>
      <c r="AB141" s="323">
        <f>IFERROR(IF(tblPiNAnalysis512[[#This Row],[Overarching Protection]]="", "", MROUND(tblPiNAnalysis512[[#This Row],[Overarching Protection]]/tblPiNAnalysis512[[#This Row],[Affected population projection 2026]], 0.05)), "")</f>
        <v>0.15000000000000002</v>
      </c>
      <c r="AC141" s="323">
        <f>IFERROR(IF(tblPiNAnalysis512[[#This Row],[Shelter]]="", "", MROUND(tblPiNAnalysis512[[#This Row],[Shelter]]/tblPiNAnalysis512[[#This Row],[Affected population projection 2026]], 0.05)), "")</f>
        <v>0</v>
      </c>
      <c r="AD141" s="324">
        <f>IFERROR(IF(tblPiNAnalysis512[[#This Row],[WASH]]="", "", MROUND(tblPiNAnalysis512[[#This Row],[WASH]]/tblPiNAnalysis512[[#This Row],[Affected population projection 2026]], 0.05)), "")</f>
        <v>0.2</v>
      </c>
      <c r="AE141" s="322">
        <f>IFERROR(MROUND(tblPiNAnalysis512[[#This Row],[CP]]/tblPiNAnalysis512[[#This Row],[Affected population projection 2026]], 0.05), "")</f>
        <v>0</v>
      </c>
      <c r="AF141" s="322">
        <f>IFERROR(MROUND(tblPiNAnalysis512[[#This Row],[GBV]]/tblPiNAnalysis512[[#This Row],[Affected population projection 2026]], 0.05), "")</f>
        <v>0</v>
      </c>
      <c r="AG141" s="322">
        <f>IFERROR(MROUND(tblPiNAnalysis512[[#This Row],[Mine Action]]/tblPiNAnalysis512[[#This Row],[Affected population projection 2026]], 0.05), "")</f>
        <v>0</v>
      </c>
      <c r="AH141" s="322">
        <f>IFERROR(MROUND(tblPiNAnalysis512[[#This Row],[HLP]]/tblPiNAnalysis512[[#This Row],[Affected population projection 2026]], 0.05), "")</f>
        <v>0</v>
      </c>
      <c r="AI141" s="325">
        <f>IFERROR(LARGE(tblPiNAnalysis512[[#This Row],[CCCM]:[WASH]], 1), "")</f>
        <v>75445.052504270585</v>
      </c>
      <c r="AJ141" s="326" t="str" cm="1">
        <f t="array" ref="AJ141">IF(tblPiNAnalysis512[[#This Row],[Highest Target]]="", "", _xlfn.TEXTJOIN(CHAR(10), TRUE, IF(tblPiNAnalysis512[[#This Row],[Highest Target]]=tblPiNAnalysis512[[#This Row],[CCCM]:[WASH]], tblPiNAnalysis512[[#Headers],[CCCM]:[WASH]], "")))</f>
        <v>Food Security</v>
      </c>
      <c r="AK141" s="327">
        <f>IF(tblPiNAnalysis512[[#This Row],[Highest Target]]="", "", tblPiNAnalysis512[[#This Row],[Highest Target]]/tblPiNAnalysis512[[#This Row],[Affected population projection 2026]])</f>
        <v>0.3611140591289026</v>
      </c>
      <c r="AL141" s="328" t="str">
        <f>IF(SUM(tblPiNAnalysis512[[#This Row],[CCCM]:[WASH]])=0, "",IF(COUNTIF(tblPiNAnalysis512[[#This Row],[CCCM]:[WASH]],"=0")+COUNTIF(tblPiNAnalysis512[[#This Row],[CCCM]:[WASH]],"")&gt;=zero_pin_thresh, "Flagged", ""))</f>
        <v/>
      </c>
      <c r="AM141" s="329" t="str">
        <f>IFERROR(IF(tblPiNAnalysis512[[#This Row],[Highest Target]]="", "", IF(tblPiNAnalysis512[[#This Row],[Highest sector(s'') Target %]]&gt;=flag_pin_perc, "Flagged", "")), "")</f>
        <v/>
      </c>
      <c r="AN141" s="330" t="str" cm="1">
        <f t="array" ref="AN141">IF(tblPiNAnalysis512[[#This Row],[Highest Target]]=0, "",  IF(OR(COUNTIF(tblPiNAnalysis512[[#This Row],[Highest sector(s)]],tblSubSectorPopulation[Sector])), "Flagged", ""))</f>
        <v/>
      </c>
      <c r="AO141" s="46" cm="1">
        <f t="array" ref="AO14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61798.27326851344</v>
      </c>
      <c r="AP141" s="331" t="str" cm="1">
        <f t="array" ref="AP141">IF(tblPiNAnalysis512[[#This Row],[2nd Highest Target]]="", "", _xlfn.TEXTJOIN(CHAR(10), TRUE, IF(tblPiNAnalysis512[[#This Row],[2nd Highest Target]]=tblPiNAnalysis512[[#This Row],[CCCM]:[WASH]], tblPiNAnalysis512[[#Headers],[CCCM]:[WASH]], "")))</f>
        <v>Health</v>
      </c>
      <c r="AQ141" s="36">
        <f>IFERROR(tblPiNAnalysis512[[#This Row],[2nd Highest Target]]/tblPiNAnalysis512[[#This Row],[Affected population projection 2026]], "")</f>
        <v>0.29579441681595792</v>
      </c>
      <c r="AR141" s="46">
        <f>IFERROR(tblPiNAnalysis512[[#This Row],[Highest Target]]-tblPiNAnalysis512[[#This Row],[2nd Highest Target]], "")</f>
        <v>13646.779235757145</v>
      </c>
      <c r="AS141" s="39">
        <f>IFERROR(((tblPiNAnalysis512[[#This Row],[Highest Target]]-tblPiNAnalysis512[[#This Row],[2nd Highest Target]])/tblPiNAnalysis512[[#This Row],[2nd Highest Target]]),"")</f>
        <v>0.22082784055246824</v>
      </c>
      <c r="AT141" s="39" t="str" cm="1">
        <f t="array" ref="AT14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1" s="332" cm="1">
        <f t="array" ref="AU14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44737.272451447789</v>
      </c>
      <c r="AV141" s="190" t="str" cm="1">
        <f t="array" ref="AV141">IF(tblPiNAnalysis512[[#This Row],[3rd Highest Target]]="", "", _xlfn.TEXTJOIN(CHAR(10), TRUE, IF(tblPiNAnalysis512[[#This Row],[3rd Highest Target]]=tblPiNAnalysis512[[#This Row],[CCCM]:[WASH]], tblPiNAnalysis512[[#Headers],[CCCM]:[WASH]], "")))</f>
        <v>Nutrition</v>
      </c>
      <c r="AW141" s="190">
        <f>IFERROR(tblPiNAnalysis512[[#This Row],[3rd Highest Target]]/tblPiNAnalysis512[[#This Row],[Affected population projection 2026]], "")</f>
        <v>0.21413276965223754</v>
      </c>
      <c r="AX141" s="45">
        <f>IFERROR(tblPiNAnalysis512[[#This Row],[Highest Target]]-tblPiNAnalysis512[[#This Row],[3rd Highest Target]],"")</f>
        <v>30707.780052822796</v>
      </c>
      <c r="AY141" s="39">
        <f>IFERROR(tblPiNAnalysis512[[#This Row],[Difference of Target between Highest and 3rd Highest]]/tblPiNAnalysis512[[#This Row],[3rd Highest Target]], "")</f>
        <v>0.68640259832892492</v>
      </c>
      <c r="AZ141" s="330" t="str" cm="1">
        <f t="array" ref="AZ14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41" s="300" t="str" cm="1">
        <f t="array" ref="BA14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1" s="333" t="str" cm="1">
        <f t="array" ref="BB14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41" s="276" t="str" cm="1">
        <f t="array" ref="BC14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1" s="334" t="str" cm="1">
        <f t="array" ref="BD14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1" s="277" t="e">
        <f>INDEX(tblSeverityAnalysis[Final Severity], MATCH(tblPiNAnalysis512[[#This Row],[ID]],tblSeverityAnalysis[ID], 0))</f>
        <v>#N/A</v>
      </c>
      <c r="BF141" s="61" t="e">
        <f>IF(tblPiNAnalysis512[[#This Row],[Severity]]&gt;2,tblPiNAnalysis512[[#This Row],[Highest Target]],)</f>
        <v>#N/A</v>
      </c>
      <c r="BG141" s="191"/>
      <c r="BH141" s="192"/>
      <c r="BI141" s="193">
        <f>COUNTIFS(tblPiNAnalysis512[[#This Row],[Number of missing / zero PiNs greater than threshold - Data quality]:[Manual Flag]],"Flagged")</f>
        <v>2</v>
      </c>
      <c r="BJ141" s="96" t="str">
        <f>IF(tblPiNAnalysis512[[#This Row],['# Flags]]&gt;0, "Flagged", "")</f>
        <v>Flagged</v>
      </c>
      <c r="BK141" s="326" t="e">
        <f>tblPiNAnalysis512[[#This Row],[Preliminary Target]]</f>
        <v>#N/A</v>
      </c>
      <c r="BL141" s="331">
        <v>1</v>
      </c>
    </row>
    <row r="142" spans="1:64" x14ac:dyDescent="0.55000000000000004">
      <c r="A1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2" s="316" t="s">
        <v>342</v>
      </c>
      <c r="C142" s="317" t="s">
        <v>343</v>
      </c>
      <c r="D142" s="317" t="s">
        <v>366</v>
      </c>
      <c r="E142" s="105" t="s">
        <v>367</v>
      </c>
      <c r="F142" s="100"/>
      <c r="G142" s="34"/>
      <c r="H142" s="34"/>
      <c r="I142" s="97">
        <v>68673.985334433135</v>
      </c>
      <c r="J142" s="97" t="s">
        <v>413</v>
      </c>
      <c r="K142" s="318">
        <v>0</v>
      </c>
      <c r="L142" s="319">
        <v>8923.7723502975805</v>
      </c>
      <c r="M142" s="319">
        <v>18074.431865468745</v>
      </c>
      <c r="N142" s="319">
        <v>35395.248476159017</v>
      </c>
      <c r="O142" s="319">
        <v>39845.83337107399</v>
      </c>
      <c r="P142" s="319">
        <v>6066.4278212871195</v>
      </c>
      <c r="Q142" s="320">
        <v>2980.1918163999289</v>
      </c>
      <c r="R142" s="319">
        <v>51505.489000824855</v>
      </c>
      <c r="S142" s="319"/>
      <c r="T142" s="319"/>
      <c r="U142" s="319"/>
      <c r="V142" s="319"/>
      <c r="W142" s="321">
        <f>IFERROR(IF(tblPiNAnalysis512[[#This Row],[CCCM]]="", "", MROUND(tblPiNAnalysis512[[#This Row],[CCCM]]/tblPiNAnalysis512[[#This Row],[Affected population projection 2026]], 0.05)), "")</f>
        <v>0</v>
      </c>
      <c r="X142" s="322">
        <f>IFERROR(IF(tblPiNAnalysis512[[#This Row],[Education]]="", "", MROUND(tblPiNAnalysis512[[#This Row],[Education]]/tblPiNAnalysis512[[#This Row],[Affected population projection 2026]], 0.05)), "")</f>
        <v>0.15000000000000002</v>
      </c>
      <c r="Y142" s="322">
        <f>IFERROR(IF(tblPiNAnalysis512[[#This Row],[Nutrition]]="", "", MROUND(tblPiNAnalysis512[[#This Row],[Nutrition]]/tblPiNAnalysis512[[#This Row],[Affected population projection 2026]], 0.05)), "")</f>
        <v>0.25</v>
      </c>
      <c r="Z142" s="322">
        <f>IFERROR(IF(tblPiNAnalysis512[[#This Row],[Food Security]]="", "", MROUND(tblPiNAnalysis512[[#This Row],[Food Security]]/tblPiNAnalysis512[[#This Row],[Affected population projection 2026]], 0.05)), "")</f>
        <v>0.5</v>
      </c>
      <c r="AA142" s="322">
        <f>IFERROR(IF(tblPiNAnalysis512[[#This Row],[Health]]="", "", MROUND(tblPiNAnalysis512[[#This Row],[Health]]/tblPiNAnalysis512[[#This Row],[Affected population projection 2026]], 0.05)), "")</f>
        <v>0.60000000000000009</v>
      </c>
      <c r="AB142" s="323">
        <f>IFERROR(IF(tblPiNAnalysis512[[#This Row],[Overarching Protection]]="", "", MROUND(tblPiNAnalysis512[[#This Row],[Overarching Protection]]/tblPiNAnalysis512[[#This Row],[Affected population projection 2026]], 0.05)), "")</f>
        <v>0.1</v>
      </c>
      <c r="AC142" s="323">
        <f>IFERROR(IF(tblPiNAnalysis512[[#This Row],[Shelter]]="", "", MROUND(tblPiNAnalysis512[[#This Row],[Shelter]]/tblPiNAnalysis512[[#This Row],[Affected population projection 2026]], 0.05)), "")</f>
        <v>0.05</v>
      </c>
      <c r="AD142" s="324">
        <f>IFERROR(IF(tblPiNAnalysis512[[#This Row],[WASH]]="", "", MROUND(tblPiNAnalysis512[[#This Row],[WASH]]/tblPiNAnalysis512[[#This Row],[Affected population projection 2026]], 0.05)), "")</f>
        <v>0.75</v>
      </c>
      <c r="AE142" s="322">
        <f>IFERROR(MROUND(tblPiNAnalysis512[[#This Row],[CP]]/tblPiNAnalysis512[[#This Row],[Affected population projection 2026]], 0.05), "")</f>
        <v>0</v>
      </c>
      <c r="AF142" s="322">
        <f>IFERROR(MROUND(tblPiNAnalysis512[[#This Row],[GBV]]/tblPiNAnalysis512[[#This Row],[Affected population projection 2026]], 0.05), "")</f>
        <v>0</v>
      </c>
      <c r="AG142" s="322">
        <f>IFERROR(MROUND(tblPiNAnalysis512[[#This Row],[Mine Action]]/tblPiNAnalysis512[[#This Row],[Affected population projection 2026]], 0.05), "")</f>
        <v>0</v>
      </c>
      <c r="AH142" s="322">
        <f>IFERROR(MROUND(tblPiNAnalysis512[[#This Row],[HLP]]/tblPiNAnalysis512[[#This Row],[Affected population projection 2026]], 0.05), "")</f>
        <v>0</v>
      </c>
      <c r="AI142" s="325">
        <f>IFERROR(LARGE(tblPiNAnalysis512[[#This Row],[CCCM]:[WASH]], 1), "")</f>
        <v>51505.489000824855</v>
      </c>
      <c r="AJ142" s="326" t="str" cm="1">
        <f t="array" ref="AJ142">IF(tblPiNAnalysis512[[#This Row],[Highest Target]]="", "", _xlfn.TEXTJOIN(CHAR(10), TRUE, IF(tblPiNAnalysis512[[#This Row],[Highest Target]]=tblPiNAnalysis512[[#This Row],[CCCM]:[WASH]], tblPiNAnalysis512[[#Headers],[CCCM]:[WASH]], "")))</f>
        <v>WASH</v>
      </c>
      <c r="AK142" s="327">
        <f>IF(tblPiNAnalysis512[[#This Row],[Highest Target]]="", "", tblPiNAnalysis512[[#This Row],[Highest Target]]/tblPiNAnalysis512[[#This Row],[Affected population projection 2026]])</f>
        <v>0.75</v>
      </c>
      <c r="AL142" s="328" t="str">
        <f>IF(SUM(tblPiNAnalysis512[[#This Row],[CCCM]:[WASH]])=0, "",IF(COUNTIF(tblPiNAnalysis512[[#This Row],[CCCM]:[WASH]],"=0")+COUNTIF(tblPiNAnalysis512[[#This Row],[CCCM]:[WASH]],"")&gt;=zero_pin_thresh, "Flagged", ""))</f>
        <v/>
      </c>
      <c r="AM142" s="329" t="str">
        <f>IFERROR(IF(tblPiNAnalysis512[[#This Row],[Highest Target]]="", "", IF(tblPiNAnalysis512[[#This Row],[Highest sector(s'') Target %]]&gt;=flag_pin_perc, "Flagged", "")), "")</f>
        <v/>
      </c>
      <c r="AN142" s="330" t="str" cm="1">
        <f t="array" ref="AN142">IF(tblPiNAnalysis512[[#This Row],[Highest Target]]=0, "",  IF(OR(COUNTIF(tblPiNAnalysis512[[#This Row],[Highest sector(s)]],tblSubSectorPopulation[Sector])), "Flagged", ""))</f>
        <v/>
      </c>
      <c r="AO142" s="46" cm="1">
        <f t="array" ref="AO14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39845.83337107399</v>
      </c>
      <c r="AP142" s="331" t="str" cm="1">
        <f t="array" ref="AP142">IF(tblPiNAnalysis512[[#This Row],[2nd Highest Target]]="", "", _xlfn.TEXTJOIN(CHAR(10), TRUE, IF(tblPiNAnalysis512[[#This Row],[2nd Highest Target]]=tblPiNAnalysis512[[#This Row],[CCCM]:[WASH]], tblPiNAnalysis512[[#Headers],[CCCM]:[WASH]], "")))</f>
        <v>Health</v>
      </c>
      <c r="AQ142" s="36">
        <f>IFERROR(tblPiNAnalysis512[[#This Row],[2nd Highest Target]]/tblPiNAnalysis512[[#This Row],[Affected population projection 2026]], "")</f>
        <v>0.58021728573098097</v>
      </c>
      <c r="AR142" s="46">
        <f>IFERROR(tblPiNAnalysis512[[#This Row],[Highest Target]]-tblPiNAnalysis512[[#This Row],[2nd Highest Target]], "")</f>
        <v>11659.655629750865</v>
      </c>
      <c r="AS142" s="39">
        <f>IFERROR(((tblPiNAnalysis512[[#This Row],[Highest Target]]-tblPiNAnalysis512[[#This Row],[2nd Highest Target]])/tblPiNAnalysis512[[#This Row],[2nd Highest Target]]),"")</f>
        <v>0.29261919360971805</v>
      </c>
      <c r="AT142" s="39" t="str" cm="1">
        <f t="array" ref="AT14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2" s="332" cm="1">
        <f t="array" ref="AU14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35395.248476159017</v>
      </c>
      <c r="AV142" s="190" t="str" cm="1">
        <f t="array" ref="AV142">IF(tblPiNAnalysis512[[#This Row],[3rd Highest Target]]="", "", _xlfn.TEXTJOIN(CHAR(10), TRUE, IF(tblPiNAnalysis512[[#This Row],[3rd Highest Target]]=tblPiNAnalysis512[[#This Row],[CCCM]:[WASH]], tblPiNAnalysis512[[#Headers],[CCCM]:[WASH]], "")))</f>
        <v>Food Security</v>
      </c>
      <c r="AW142" s="190">
        <f>IFERROR(tblPiNAnalysis512[[#This Row],[3rd Highest Target]]/tblPiNAnalysis512[[#This Row],[Affected population projection 2026]], "")</f>
        <v>0.51540984994228722</v>
      </c>
      <c r="AX142" s="45">
        <f>IFERROR(tblPiNAnalysis512[[#This Row],[Highest Target]]-tblPiNAnalysis512[[#This Row],[3rd Highest Target]],"")</f>
        <v>16110.240524665838</v>
      </c>
      <c r="AY142" s="39">
        <f>IFERROR(tblPiNAnalysis512[[#This Row],[Difference of Target between Highest and 3rd Highest]]/tblPiNAnalysis512[[#This Row],[3rd Highest Target]], "")</f>
        <v>0.45515263257770672</v>
      </c>
      <c r="AZ142" s="330" t="str" cm="1">
        <f t="array" ref="AZ14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2" s="300" t="str" cm="1">
        <f t="array" ref="BA14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2" s="333" t="str" cm="1">
        <f t="array" ref="BB14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42" s="276" t="str" cm="1">
        <f t="array" ref="BC14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2" s="334" t="str" cm="1">
        <f t="array" ref="BD14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2" s="277" t="e">
        <f>INDEX(tblSeverityAnalysis[Final Severity], MATCH(tblPiNAnalysis512[[#This Row],[ID]],tblSeverityAnalysis[ID], 0))</f>
        <v>#N/A</v>
      </c>
      <c r="BF142" s="61" t="e">
        <f>IF(tblPiNAnalysis512[[#This Row],[Severity]]&gt;2,tblPiNAnalysis512[[#This Row],[Highest Target]],)</f>
        <v>#N/A</v>
      </c>
      <c r="BG142" s="191"/>
      <c r="BH142" s="192"/>
      <c r="BI142" s="193">
        <f>COUNTIFS(tblPiNAnalysis512[[#This Row],[Number of missing / zero PiNs greater than threshold - Data quality]:[Manual Flag]],"Flagged")</f>
        <v>1</v>
      </c>
      <c r="BJ142" s="96" t="str">
        <f>IF(tblPiNAnalysis512[[#This Row],['# Flags]]&gt;0, "Flagged", "")</f>
        <v>Flagged</v>
      </c>
      <c r="BK142" s="326" t="e">
        <f>tblPiNAnalysis512[[#This Row],[Preliminary Target]]</f>
        <v>#N/A</v>
      </c>
      <c r="BL142" s="331">
        <v>1</v>
      </c>
    </row>
    <row r="143" spans="1:64" x14ac:dyDescent="0.55000000000000004">
      <c r="A1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3" s="316" t="s">
        <v>368</v>
      </c>
      <c r="C143" s="317" t="s">
        <v>369</v>
      </c>
      <c r="D143" s="317" t="s">
        <v>370</v>
      </c>
      <c r="E143" s="105" t="s">
        <v>371</v>
      </c>
      <c r="F143" s="100"/>
      <c r="G143" s="34"/>
      <c r="H143" s="34"/>
      <c r="I143" s="97">
        <v>66451.811981503241</v>
      </c>
      <c r="J143" s="97" t="s">
        <v>413</v>
      </c>
      <c r="K143" s="318"/>
      <c r="L143" s="319"/>
      <c r="M143" s="319"/>
      <c r="N143" s="319"/>
      <c r="O143" s="319"/>
      <c r="P143" s="319"/>
      <c r="Q143" s="320"/>
      <c r="R143" s="319"/>
      <c r="S143" s="319"/>
      <c r="T143" s="319"/>
      <c r="U143" s="319"/>
      <c r="V143" s="319"/>
      <c r="W143" s="321" t="str">
        <f>IFERROR(IF(tblPiNAnalysis512[[#This Row],[CCCM]]="", "", MROUND(tblPiNAnalysis512[[#This Row],[CCCM]]/tblPiNAnalysis512[[#This Row],[Affected population projection 2026]], 0.05)), "")</f>
        <v/>
      </c>
      <c r="X143" s="322" t="str">
        <f>IFERROR(IF(tblPiNAnalysis512[[#This Row],[Education]]="", "", MROUND(tblPiNAnalysis512[[#This Row],[Education]]/tblPiNAnalysis512[[#This Row],[Affected population projection 2026]], 0.05)), "")</f>
        <v/>
      </c>
      <c r="Y143" s="322" t="str">
        <f>IFERROR(IF(tblPiNAnalysis512[[#This Row],[Nutrition]]="", "", MROUND(tblPiNAnalysis512[[#This Row],[Nutrition]]/tblPiNAnalysis512[[#This Row],[Affected population projection 2026]], 0.05)), "")</f>
        <v/>
      </c>
      <c r="Z143" s="322" t="str">
        <f>IFERROR(IF(tblPiNAnalysis512[[#This Row],[Food Security]]="", "", MROUND(tblPiNAnalysis512[[#This Row],[Food Security]]/tblPiNAnalysis512[[#This Row],[Affected population projection 2026]], 0.05)), "")</f>
        <v/>
      </c>
      <c r="AA143" s="322" t="str">
        <f>IFERROR(IF(tblPiNAnalysis512[[#This Row],[Health]]="", "", MROUND(tblPiNAnalysis512[[#This Row],[Health]]/tblPiNAnalysis512[[#This Row],[Affected population projection 2026]], 0.05)), "")</f>
        <v/>
      </c>
      <c r="AB143" s="323" t="str">
        <f>IFERROR(IF(tblPiNAnalysis512[[#This Row],[Overarching Protection]]="", "", MROUND(tblPiNAnalysis512[[#This Row],[Overarching Protection]]/tblPiNAnalysis512[[#This Row],[Affected population projection 2026]], 0.05)), "")</f>
        <v/>
      </c>
      <c r="AC143" s="323" t="str">
        <f>IFERROR(IF(tblPiNAnalysis512[[#This Row],[Shelter]]="", "", MROUND(tblPiNAnalysis512[[#This Row],[Shelter]]/tblPiNAnalysis512[[#This Row],[Affected population projection 2026]], 0.05)), "")</f>
        <v/>
      </c>
      <c r="AD143" s="324" t="str">
        <f>IFERROR(IF(tblPiNAnalysis512[[#This Row],[WASH]]="", "", MROUND(tblPiNAnalysis512[[#This Row],[WASH]]/tblPiNAnalysis512[[#This Row],[Affected population projection 2026]], 0.05)), "")</f>
        <v/>
      </c>
      <c r="AE143" s="322">
        <f>IFERROR(MROUND(tblPiNAnalysis512[[#This Row],[CP]]/tblPiNAnalysis512[[#This Row],[Affected population projection 2026]], 0.05), "")</f>
        <v>0</v>
      </c>
      <c r="AF143" s="322">
        <f>IFERROR(MROUND(tblPiNAnalysis512[[#This Row],[GBV]]/tblPiNAnalysis512[[#This Row],[Affected population projection 2026]], 0.05), "")</f>
        <v>0</v>
      </c>
      <c r="AG143" s="322">
        <f>IFERROR(MROUND(tblPiNAnalysis512[[#This Row],[Mine Action]]/tblPiNAnalysis512[[#This Row],[Affected population projection 2026]], 0.05), "")</f>
        <v>0</v>
      </c>
      <c r="AH143" s="322">
        <f>IFERROR(MROUND(tblPiNAnalysis512[[#This Row],[HLP]]/tblPiNAnalysis512[[#This Row],[Affected population projection 2026]], 0.05), "")</f>
        <v>0</v>
      </c>
      <c r="AI143" s="325" t="str">
        <f>IFERROR(LARGE(tblPiNAnalysis512[[#This Row],[CCCM]:[WASH]], 1), "")</f>
        <v/>
      </c>
      <c r="AJ143" s="326" t="str" cm="1">
        <f t="array" ref="AJ143">IF(tblPiNAnalysis512[[#This Row],[Highest Target]]="", "", _xlfn.TEXTJOIN(CHAR(10), TRUE, IF(tblPiNAnalysis512[[#This Row],[Highest Target]]=tblPiNAnalysis512[[#This Row],[CCCM]:[WASH]], tblPiNAnalysis512[[#Headers],[CCCM]:[WASH]], "")))</f>
        <v/>
      </c>
      <c r="AK143" s="327" t="str">
        <f>IF(tblPiNAnalysis512[[#This Row],[Highest Target]]="", "", tblPiNAnalysis512[[#This Row],[Highest Target]]/tblPiNAnalysis512[[#This Row],[Affected population projection 2026]])</f>
        <v/>
      </c>
      <c r="AL143" s="328" t="str">
        <f>IF(SUM(tblPiNAnalysis512[[#This Row],[CCCM]:[WASH]])=0, "",IF(COUNTIF(tblPiNAnalysis512[[#This Row],[CCCM]:[WASH]],"=0")+COUNTIF(tblPiNAnalysis512[[#This Row],[CCCM]:[WASH]],"")&gt;=zero_pin_thresh, "Flagged", ""))</f>
        <v/>
      </c>
      <c r="AM143" s="329" t="str">
        <f>IFERROR(IF(tblPiNAnalysis512[[#This Row],[Highest Target]]="", "", IF(tblPiNAnalysis512[[#This Row],[Highest sector(s'') Target %]]&gt;=flag_pin_perc, "Flagged", "")), "")</f>
        <v/>
      </c>
      <c r="AN143" s="330" t="str" cm="1">
        <f t="array" ref="AN143">IF(tblPiNAnalysis512[[#This Row],[Highest Target]]=0, "",  IF(OR(COUNTIF(tblPiNAnalysis512[[#This Row],[Highest sector(s)]],tblSubSectorPopulation[Sector])), "Flagged", ""))</f>
        <v/>
      </c>
      <c r="AO143" s="46" t="str" cm="1">
        <f t="array" ref="AO14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43" s="331" t="str" cm="1">
        <f t="array" ref="AP143">IF(tblPiNAnalysis512[[#This Row],[2nd Highest Target]]="", "", _xlfn.TEXTJOIN(CHAR(10), TRUE, IF(tblPiNAnalysis512[[#This Row],[2nd Highest Target]]=tblPiNAnalysis512[[#This Row],[CCCM]:[WASH]], tblPiNAnalysis512[[#Headers],[CCCM]:[WASH]], "")))</f>
        <v/>
      </c>
      <c r="AQ143" s="36" t="str">
        <f>IFERROR(tblPiNAnalysis512[[#This Row],[2nd Highest Target]]/tblPiNAnalysis512[[#This Row],[Affected population projection 2026]], "")</f>
        <v/>
      </c>
      <c r="AR143" s="46" t="str">
        <f>IFERROR(tblPiNAnalysis512[[#This Row],[Highest Target]]-tblPiNAnalysis512[[#This Row],[2nd Highest Target]], "")</f>
        <v/>
      </c>
      <c r="AS143" s="39" t="str">
        <f>IFERROR(((tblPiNAnalysis512[[#This Row],[Highest Target]]-tblPiNAnalysis512[[#This Row],[2nd Highest Target]])/tblPiNAnalysis512[[#This Row],[2nd Highest Target]]),"")</f>
        <v/>
      </c>
      <c r="AT143" s="39" t="str" cm="1">
        <f t="array" ref="AT14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3" s="332" t="str" cm="1">
        <f t="array" ref="AU14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43" s="190" t="str" cm="1">
        <f t="array" ref="AV143">IF(tblPiNAnalysis512[[#This Row],[3rd Highest Target]]="", "", _xlfn.TEXTJOIN(CHAR(10), TRUE, IF(tblPiNAnalysis512[[#This Row],[3rd Highest Target]]=tblPiNAnalysis512[[#This Row],[CCCM]:[WASH]], tblPiNAnalysis512[[#Headers],[CCCM]:[WASH]], "")))</f>
        <v/>
      </c>
      <c r="AW143" s="190" t="str">
        <f>IFERROR(tblPiNAnalysis512[[#This Row],[3rd Highest Target]]/tblPiNAnalysis512[[#This Row],[Affected population projection 2026]], "")</f>
        <v/>
      </c>
      <c r="AX143" s="45" t="str">
        <f>IFERROR(tblPiNAnalysis512[[#This Row],[Highest Target]]-tblPiNAnalysis512[[#This Row],[3rd Highest Target]],"")</f>
        <v/>
      </c>
      <c r="AY143" s="39" t="str">
        <f>IFERROR(tblPiNAnalysis512[[#This Row],[Difference of Target between Highest and 3rd Highest]]/tblPiNAnalysis512[[#This Row],[3rd Highest Target]], "")</f>
        <v/>
      </c>
      <c r="AZ143" s="330" t="str" cm="1">
        <f t="array" ref="AZ14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3" s="300" t="str" cm="1">
        <f t="array" ref="BA14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3" s="333" t="str" cm="1">
        <f t="array" ref="BB14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3" s="276" t="str" cm="1">
        <f t="array" ref="BC14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3" s="334" t="str" cm="1">
        <f t="array" ref="BD14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3" s="277" t="e">
        <f>INDEX(tblSeverityAnalysis[Final Severity], MATCH(tblPiNAnalysis512[[#This Row],[ID]],tblSeverityAnalysis[ID], 0))</f>
        <v>#N/A</v>
      </c>
      <c r="BF143" s="61" t="e">
        <f>IF(tblPiNAnalysis512[[#This Row],[Severity]]&gt;2,tblPiNAnalysis512[[#This Row],[Highest Target]],)</f>
        <v>#N/A</v>
      </c>
      <c r="BG143" s="191"/>
      <c r="BH143" s="192"/>
      <c r="BI143" s="193">
        <f>COUNTIFS(tblPiNAnalysis512[[#This Row],[Number of missing / zero PiNs greater than threshold - Data quality]:[Manual Flag]],"Flagged")</f>
        <v>2</v>
      </c>
      <c r="BJ143" s="96" t="str">
        <f>IF(tblPiNAnalysis512[[#This Row],['# Flags]]&gt;0, "Flagged", "")</f>
        <v>Flagged</v>
      </c>
      <c r="BK143" s="326" t="e">
        <f>tblPiNAnalysis512[[#This Row],[Preliminary Target]]</f>
        <v>#N/A</v>
      </c>
      <c r="BL143" s="331">
        <v>3</v>
      </c>
    </row>
    <row r="144" spans="1:64" x14ac:dyDescent="0.55000000000000004">
      <c r="A1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4" s="316" t="s">
        <v>368</v>
      </c>
      <c r="C144" s="317" t="s">
        <v>369</v>
      </c>
      <c r="D144" s="317" t="s">
        <v>372</v>
      </c>
      <c r="E144" s="105" t="s">
        <v>373</v>
      </c>
      <c r="F144" s="100"/>
      <c r="G144" s="34"/>
      <c r="H144" s="34"/>
      <c r="I144" s="97">
        <v>175059.60932121321</v>
      </c>
      <c r="J144" s="97" t="s">
        <v>413</v>
      </c>
      <c r="K144" s="318"/>
      <c r="L144" s="319"/>
      <c r="M144" s="319"/>
      <c r="N144" s="319"/>
      <c r="O144" s="319"/>
      <c r="P144" s="319"/>
      <c r="Q144" s="320"/>
      <c r="R144" s="319"/>
      <c r="S144" s="319"/>
      <c r="T144" s="319"/>
      <c r="U144" s="319"/>
      <c r="V144" s="319"/>
      <c r="W144" s="321" t="str">
        <f>IFERROR(IF(tblPiNAnalysis512[[#This Row],[CCCM]]="", "", MROUND(tblPiNAnalysis512[[#This Row],[CCCM]]/tblPiNAnalysis512[[#This Row],[Affected population projection 2026]], 0.05)), "")</f>
        <v/>
      </c>
      <c r="X144" s="322" t="str">
        <f>IFERROR(IF(tblPiNAnalysis512[[#This Row],[Education]]="", "", MROUND(tblPiNAnalysis512[[#This Row],[Education]]/tblPiNAnalysis512[[#This Row],[Affected population projection 2026]], 0.05)), "")</f>
        <v/>
      </c>
      <c r="Y144" s="322" t="str">
        <f>IFERROR(IF(tblPiNAnalysis512[[#This Row],[Nutrition]]="", "", MROUND(tblPiNAnalysis512[[#This Row],[Nutrition]]/tblPiNAnalysis512[[#This Row],[Affected population projection 2026]], 0.05)), "")</f>
        <v/>
      </c>
      <c r="Z144" s="322" t="str">
        <f>IFERROR(IF(tblPiNAnalysis512[[#This Row],[Food Security]]="", "", MROUND(tblPiNAnalysis512[[#This Row],[Food Security]]/tblPiNAnalysis512[[#This Row],[Affected population projection 2026]], 0.05)), "")</f>
        <v/>
      </c>
      <c r="AA144" s="322" t="str">
        <f>IFERROR(IF(tblPiNAnalysis512[[#This Row],[Health]]="", "", MROUND(tblPiNAnalysis512[[#This Row],[Health]]/tblPiNAnalysis512[[#This Row],[Affected population projection 2026]], 0.05)), "")</f>
        <v/>
      </c>
      <c r="AB144" s="323" t="str">
        <f>IFERROR(IF(tblPiNAnalysis512[[#This Row],[Overarching Protection]]="", "", MROUND(tblPiNAnalysis512[[#This Row],[Overarching Protection]]/tblPiNAnalysis512[[#This Row],[Affected population projection 2026]], 0.05)), "")</f>
        <v/>
      </c>
      <c r="AC144" s="323" t="str">
        <f>IFERROR(IF(tblPiNAnalysis512[[#This Row],[Shelter]]="", "", MROUND(tblPiNAnalysis512[[#This Row],[Shelter]]/tblPiNAnalysis512[[#This Row],[Affected population projection 2026]], 0.05)), "")</f>
        <v/>
      </c>
      <c r="AD144" s="324" t="str">
        <f>IFERROR(IF(tblPiNAnalysis512[[#This Row],[WASH]]="", "", MROUND(tblPiNAnalysis512[[#This Row],[WASH]]/tblPiNAnalysis512[[#This Row],[Affected population projection 2026]], 0.05)), "")</f>
        <v/>
      </c>
      <c r="AE144" s="322">
        <f>IFERROR(MROUND(tblPiNAnalysis512[[#This Row],[CP]]/tblPiNAnalysis512[[#This Row],[Affected population projection 2026]], 0.05), "")</f>
        <v>0</v>
      </c>
      <c r="AF144" s="322">
        <f>IFERROR(MROUND(tblPiNAnalysis512[[#This Row],[GBV]]/tblPiNAnalysis512[[#This Row],[Affected population projection 2026]], 0.05), "")</f>
        <v>0</v>
      </c>
      <c r="AG144" s="322">
        <f>IFERROR(MROUND(tblPiNAnalysis512[[#This Row],[Mine Action]]/tblPiNAnalysis512[[#This Row],[Affected population projection 2026]], 0.05), "")</f>
        <v>0</v>
      </c>
      <c r="AH144" s="322">
        <f>IFERROR(MROUND(tblPiNAnalysis512[[#This Row],[HLP]]/tblPiNAnalysis512[[#This Row],[Affected population projection 2026]], 0.05), "")</f>
        <v>0</v>
      </c>
      <c r="AI144" s="325" t="str">
        <f>IFERROR(LARGE(tblPiNAnalysis512[[#This Row],[CCCM]:[WASH]], 1), "")</f>
        <v/>
      </c>
      <c r="AJ144" s="326" t="str" cm="1">
        <f t="array" ref="AJ144">IF(tblPiNAnalysis512[[#This Row],[Highest Target]]="", "", _xlfn.TEXTJOIN(CHAR(10), TRUE, IF(tblPiNAnalysis512[[#This Row],[Highest Target]]=tblPiNAnalysis512[[#This Row],[CCCM]:[WASH]], tblPiNAnalysis512[[#Headers],[CCCM]:[WASH]], "")))</f>
        <v/>
      </c>
      <c r="AK144" s="327" t="str">
        <f>IF(tblPiNAnalysis512[[#This Row],[Highest Target]]="", "", tblPiNAnalysis512[[#This Row],[Highest Target]]/tblPiNAnalysis512[[#This Row],[Affected population projection 2026]])</f>
        <v/>
      </c>
      <c r="AL144" s="328" t="str">
        <f>IF(SUM(tblPiNAnalysis512[[#This Row],[CCCM]:[WASH]])=0, "",IF(COUNTIF(tblPiNAnalysis512[[#This Row],[CCCM]:[WASH]],"=0")+COUNTIF(tblPiNAnalysis512[[#This Row],[CCCM]:[WASH]],"")&gt;=zero_pin_thresh, "Flagged", ""))</f>
        <v/>
      </c>
      <c r="AM144" s="329" t="str">
        <f>IFERROR(IF(tblPiNAnalysis512[[#This Row],[Highest Target]]="", "", IF(tblPiNAnalysis512[[#This Row],[Highest sector(s'') Target %]]&gt;=flag_pin_perc, "Flagged", "")), "")</f>
        <v/>
      </c>
      <c r="AN144" s="330" t="str" cm="1">
        <f t="array" ref="AN144">IF(tblPiNAnalysis512[[#This Row],[Highest Target]]=0, "",  IF(OR(COUNTIF(tblPiNAnalysis512[[#This Row],[Highest sector(s)]],tblSubSectorPopulation[Sector])), "Flagged", ""))</f>
        <v/>
      </c>
      <c r="AO144" s="46" t="str" cm="1">
        <f t="array" ref="AO14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44" s="331" t="str" cm="1">
        <f t="array" ref="AP144">IF(tblPiNAnalysis512[[#This Row],[2nd Highest Target]]="", "", _xlfn.TEXTJOIN(CHAR(10), TRUE, IF(tblPiNAnalysis512[[#This Row],[2nd Highest Target]]=tblPiNAnalysis512[[#This Row],[CCCM]:[WASH]], tblPiNAnalysis512[[#Headers],[CCCM]:[WASH]], "")))</f>
        <v/>
      </c>
      <c r="AQ144" s="36" t="str">
        <f>IFERROR(tblPiNAnalysis512[[#This Row],[2nd Highest Target]]/tblPiNAnalysis512[[#This Row],[Affected population projection 2026]], "")</f>
        <v/>
      </c>
      <c r="AR144" s="46" t="str">
        <f>IFERROR(tblPiNAnalysis512[[#This Row],[Highest Target]]-tblPiNAnalysis512[[#This Row],[2nd Highest Target]], "")</f>
        <v/>
      </c>
      <c r="AS144" s="39" t="str">
        <f>IFERROR(((tblPiNAnalysis512[[#This Row],[Highest Target]]-tblPiNAnalysis512[[#This Row],[2nd Highest Target]])/tblPiNAnalysis512[[#This Row],[2nd Highest Target]]),"")</f>
        <v/>
      </c>
      <c r="AT144" s="39" t="str" cm="1">
        <f t="array" ref="AT14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4" s="332" t="str" cm="1">
        <f t="array" ref="AU14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44" s="190" t="str" cm="1">
        <f t="array" ref="AV144">IF(tblPiNAnalysis512[[#This Row],[3rd Highest Target]]="", "", _xlfn.TEXTJOIN(CHAR(10), TRUE, IF(tblPiNAnalysis512[[#This Row],[3rd Highest Target]]=tblPiNAnalysis512[[#This Row],[CCCM]:[WASH]], tblPiNAnalysis512[[#Headers],[CCCM]:[WASH]], "")))</f>
        <v/>
      </c>
      <c r="AW144" s="190" t="str">
        <f>IFERROR(tblPiNAnalysis512[[#This Row],[3rd Highest Target]]/tblPiNAnalysis512[[#This Row],[Affected population projection 2026]], "")</f>
        <v/>
      </c>
      <c r="AX144" s="45" t="str">
        <f>IFERROR(tblPiNAnalysis512[[#This Row],[Highest Target]]-tblPiNAnalysis512[[#This Row],[3rd Highest Target]],"")</f>
        <v/>
      </c>
      <c r="AY144" s="39" t="str">
        <f>IFERROR(tblPiNAnalysis512[[#This Row],[Difference of Target between Highest and 3rd Highest]]/tblPiNAnalysis512[[#This Row],[3rd Highest Target]], "")</f>
        <v/>
      </c>
      <c r="AZ144" s="330" t="str" cm="1">
        <f t="array" ref="AZ14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4" s="300" t="str" cm="1">
        <f t="array" ref="BA14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4" s="333" t="str" cm="1">
        <f t="array" ref="BB14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4" s="276" t="str" cm="1">
        <f t="array" ref="BC14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4" s="334" t="str" cm="1">
        <f t="array" ref="BD14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4" s="277" t="e">
        <f>INDEX(tblSeverityAnalysis[Final Severity], MATCH(tblPiNAnalysis512[[#This Row],[ID]],tblSeverityAnalysis[ID], 0))</f>
        <v>#N/A</v>
      </c>
      <c r="BF144" s="61" t="e">
        <f>IF(tblPiNAnalysis512[[#This Row],[Severity]]&gt;2,tblPiNAnalysis512[[#This Row],[Highest Target]],)</f>
        <v>#N/A</v>
      </c>
      <c r="BG144" s="191"/>
      <c r="BH144" s="192"/>
      <c r="BI144" s="193">
        <f>COUNTIFS(tblPiNAnalysis512[[#This Row],[Number of missing / zero PiNs greater than threshold - Data quality]:[Manual Flag]],"Flagged")</f>
        <v>2</v>
      </c>
      <c r="BJ144" s="96" t="str">
        <f>IF(tblPiNAnalysis512[[#This Row],['# Flags]]&gt;0, "Flagged", "")</f>
        <v>Flagged</v>
      </c>
      <c r="BK144" s="326" t="e">
        <f>tblPiNAnalysis512[[#This Row],[Preliminary Target]]</f>
        <v>#N/A</v>
      </c>
      <c r="BL144" s="331">
        <v>3</v>
      </c>
    </row>
    <row r="145" spans="1:64" x14ac:dyDescent="0.55000000000000004">
      <c r="A1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5" s="316" t="s">
        <v>368</v>
      </c>
      <c r="C145" s="317" t="s">
        <v>369</v>
      </c>
      <c r="D145" s="317" t="s">
        <v>374</v>
      </c>
      <c r="E145" s="105" t="s">
        <v>375</v>
      </c>
      <c r="F145" s="100"/>
      <c r="G145" s="34"/>
      <c r="H145" s="34"/>
      <c r="I145" s="97">
        <v>118674.00478882086</v>
      </c>
      <c r="J145" s="97" t="s">
        <v>413</v>
      </c>
      <c r="K145" s="318">
        <v>0</v>
      </c>
      <c r="L145" s="319">
        <v>11646.982502827619</v>
      </c>
      <c r="M145" s="319">
        <v>38876.18475235159</v>
      </c>
      <c r="N145" s="319">
        <v>49005.670346605686</v>
      </c>
      <c r="O145" s="319">
        <v>35534.568834791949</v>
      </c>
      <c r="P145" s="319">
        <v>21380.523975778735</v>
      </c>
      <c r="Q145" s="320">
        <v>7063.9288564774324</v>
      </c>
      <c r="R145" s="319">
        <v>17794.996088447162</v>
      </c>
      <c r="S145" s="319"/>
      <c r="T145" s="319"/>
      <c r="U145" s="319"/>
      <c r="V145" s="319"/>
      <c r="W145" s="321">
        <f>IFERROR(IF(tblPiNAnalysis512[[#This Row],[CCCM]]="", "", MROUND(tblPiNAnalysis512[[#This Row],[CCCM]]/tblPiNAnalysis512[[#This Row],[Affected population projection 2026]], 0.05)), "")</f>
        <v>0</v>
      </c>
      <c r="X145" s="322">
        <f>IFERROR(IF(tblPiNAnalysis512[[#This Row],[Education]]="", "", MROUND(tblPiNAnalysis512[[#This Row],[Education]]/tblPiNAnalysis512[[#This Row],[Affected population projection 2026]], 0.05)), "")</f>
        <v>0.1</v>
      </c>
      <c r="Y145" s="322">
        <f>IFERROR(IF(tblPiNAnalysis512[[#This Row],[Nutrition]]="", "", MROUND(tblPiNAnalysis512[[#This Row],[Nutrition]]/tblPiNAnalysis512[[#This Row],[Affected population projection 2026]], 0.05)), "")</f>
        <v>0.35000000000000003</v>
      </c>
      <c r="Z145" s="322">
        <f>IFERROR(IF(tblPiNAnalysis512[[#This Row],[Food Security]]="", "", MROUND(tblPiNAnalysis512[[#This Row],[Food Security]]/tblPiNAnalysis512[[#This Row],[Affected population projection 2026]], 0.05)), "")</f>
        <v>0.4</v>
      </c>
      <c r="AA145" s="322">
        <f>IFERROR(IF(tblPiNAnalysis512[[#This Row],[Health]]="", "", MROUND(tblPiNAnalysis512[[#This Row],[Health]]/tblPiNAnalysis512[[#This Row],[Affected population projection 2026]], 0.05)), "")</f>
        <v>0.30000000000000004</v>
      </c>
      <c r="AB145" s="323">
        <f>IFERROR(IF(tblPiNAnalysis512[[#This Row],[Overarching Protection]]="", "", MROUND(tblPiNAnalysis512[[#This Row],[Overarching Protection]]/tblPiNAnalysis512[[#This Row],[Affected population projection 2026]], 0.05)), "")</f>
        <v>0.2</v>
      </c>
      <c r="AC145" s="323">
        <f>IFERROR(IF(tblPiNAnalysis512[[#This Row],[Shelter]]="", "", MROUND(tblPiNAnalysis512[[#This Row],[Shelter]]/tblPiNAnalysis512[[#This Row],[Affected population projection 2026]], 0.05)), "")</f>
        <v>0.05</v>
      </c>
      <c r="AD145" s="324">
        <f>IFERROR(IF(tblPiNAnalysis512[[#This Row],[WASH]]="", "", MROUND(tblPiNAnalysis512[[#This Row],[WASH]]/tblPiNAnalysis512[[#This Row],[Affected population projection 2026]], 0.05)), "")</f>
        <v>0.15000000000000002</v>
      </c>
      <c r="AE145" s="322">
        <f>IFERROR(MROUND(tblPiNAnalysis512[[#This Row],[CP]]/tblPiNAnalysis512[[#This Row],[Affected population projection 2026]], 0.05), "")</f>
        <v>0</v>
      </c>
      <c r="AF145" s="322">
        <f>IFERROR(MROUND(tblPiNAnalysis512[[#This Row],[GBV]]/tblPiNAnalysis512[[#This Row],[Affected population projection 2026]], 0.05), "")</f>
        <v>0</v>
      </c>
      <c r="AG145" s="322">
        <f>IFERROR(MROUND(tblPiNAnalysis512[[#This Row],[Mine Action]]/tblPiNAnalysis512[[#This Row],[Affected population projection 2026]], 0.05), "")</f>
        <v>0</v>
      </c>
      <c r="AH145" s="322">
        <f>IFERROR(MROUND(tblPiNAnalysis512[[#This Row],[HLP]]/tblPiNAnalysis512[[#This Row],[Affected population projection 2026]], 0.05), "")</f>
        <v>0</v>
      </c>
      <c r="AI145" s="325">
        <f>IFERROR(LARGE(tblPiNAnalysis512[[#This Row],[CCCM]:[WASH]], 1), "")</f>
        <v>49005.670346605686</v>
      </c>
      <c r="AJ145" s="326" t="str" cm="1">
        <f t="array" ref="AJ145">IF(tblPiNAnalysis512[[#This Row],[Highest Target]]="", "", _xlfn.TEXTJOIN(CHAR(10), TRUE, IF(tblPiNAnalysis512[[#This Row],[Highest Target]]=tblPiNAnalysis512[[#This Row],[CCCM]:[WASH]], tblPiNAnalysis512[[#Headers],[CCCM]:[WASH]], "")))</f>
        <v>Food Security</v>
      </c>
      <c r="AK145" s="327">
        <f>IF(tblPiNAnalysis512[[#This Row],[Highest Target]]="", "", tblPiNAnalysis512[[#This Row],[Highest Target]]/tblPiNAnalysis512[[#This Row],[Affected population projection 2026]])</f>
        <v>0.41294359648358336</v>
      </c>
      <c r="AL145" s="328" t="str">
        <f>IF(SUM(tblPiNAnalysis512[[#This Row],[CCCM]:[WASH]])=0, "",IF(COUNTIF(tblPiNAnalysis512[[#This Row],[CCCM]:[WASH]],"=0")+COUNTIF(tblPiNAnalysis512[[#This Row],[CCCM]:[WASH]],"")&gt;=zero_pin_thresh, "Flagged", ""))</f>
        <v/>
      </c>
      <c r="AM145" s="329" t="str">
        <f>IFERROR(IF(tblPiNAnalysis512[[#This Row],[Highest Target]]="", "", IF(tblPiNAnalysis512[[#This Row],[Highest sector(s'') Target %]]&gt;=flag_pin_perc, "Flagged", "")), "")</f>
        <v/>
      </c>
      <c r="AN145" s="330" t="str" cm="1">
        <f t="array" ref="AN145">IF(tblPiNAnalysis512[[#This Row],[Highest Target]]=0, "",  IF(OR(COUNTIF(tblPiNAnalysis512[[#This Row],[Highest sector(s)]],tblSubSectorPopulation[Sector])), "Flagged", ""))</f>
        <v/>
      </c>
      <c r="AO145" s="46" cm="1">
        <f t="array" ref="AO14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38876.18475235159</v>
      </c>
      <c r="AP145" s="331" t="str" cm="1">
        <f t="array" ref="AP145">IF(tblPiNAnalysis512[[#This Row],[2nd Highest Target]]="", "", _xlfn.TEXTJOIN(CHAR(10), TRUE, IF(tblPiNAnalysis512[[#This Row],[2nd Highest Target]]=tblPiNAnalysis512[[#This Row],[CCCM]:[WASH]], tblPiNAnalysis512[[#Headers],[CCCM]:[WASH]], "")))</f>
        <v>Nutrition</v>
      </c>
      <c r="AQ145" s="36">
        <f>IFERROR(tblPiNAnalysis512[[#This Row],[2nd Highest Target]]/tblPiNAnalysis512[[#This Row],[Affected population projection 2026]], "")</f>
        <v>0.32758804105019756</v>
      </c>
      <c r="AR145" s="46">
        <f>IFERROR(tblPiNAnalysis512[[#This Row],[Highest Target]]-tblPiNAnalysis512[[#This Row],[2nd Highest Target]], "")</f>
        <v>10129.485594254096</v>
      </c>
      <c r="AS145" s="39">
        <f>IFERROR(((tblPiNAnalysis512[[#This Row],[Highest Target]]-tblPiNAnalysis512[[#This Row],[2nd Highest Target]])/tblPiNAnalysis512[[#This Row],[2nd Highest Target]]),"")</f>
        <v>0.26055760509372955</v>
      </c>
      <c r="AT145" s="39" t="str" cm="1">
        <f t="array" ref="AT14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5" s="332" cm="1">
        <f t="array" ref="AU14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35534.568834791949</v>
      </c>
      <c r="AV145" s="190" t="str" cm="1">
        <f t="array" ref="AV145">IF(tblPiNAnalysis512[[#This Row],[3rd Highest Target]]="", "", _xlfn.TEXTJOIN(CHAR(10), TRUE, IF(tblPiNAnalysis512[[#This Row],[3rd Highest Target]]=tblPiNAnalysis512[[#This Row],[CCCM]:[WASH]], tblPiNAnalysis512[[#Headers],[CCCM]:[WASH]], "")))</f>
        <v>Health</v>
      </c>
      <c r="AW145" s="190">
        <f>IFERROR(tblPiNAnalysis512[[#This Row],[3rd Highest Target]]/tblPiNAnalysis512[[#This Row],[Affected population projection 2026]], "")</f>
        <v>0.29943009758561145</v>
      </c>
      <c r="AX145" s="45">
        <f>IFERROR(tblPiNAnalysis512[[#This Row],[Highest Target]]-tblPiNAnalysis512[[#This Row],[3rd Highest Target]],"")</f>
        <v>13471.101511813737</v>
      </c>
      <c r="AY145" s="39">
        <f>IFERROR(tblPiNAnalysis512[[#This Row],[Difference of Target between Highest and 3rd Highest]]/tblPiNAnalysis512[[#This Row],[3rd Highest Target]], "")</f>
        <v>0.37909849348232871</v>
      </c>
      <c r="AZ145" s="330" t="str" cm="1">
        <f t="array" ref="AZ14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5" s="300" t="str" cm="1">
        <f t="array" ref="BA14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5" s="333" t="str" cm="1">
        <f t="array" ref="BB14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45" s="276" t="str" cm="1">
        <f t="array" ref="BC14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5" s="334" t="str" cm="1">
        <f t="array" ref="BD14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45" s="277" t="e">
        <f>INDEX(tblSeverityAnalysis[Final Severity], MATCH(tblPiNAnalysis512[[#This Row],[ID]],tblSeverityAnalysis[ID], 0))</f>
        <v>#N/A</v>
      </c>
      <c r="BF145" s="61" t="e">
        <f>IF(tblPiNAnalysis512[[#This Row],[Severity]]&gt;2,tblPiNAnalysis512[[#This Row],[Highest Target]],)</f>
        <v>#N/A</v>
      </c>
      <c r="BG145" s="191"/>
      <c r="BH145" s="192"/>
      <c r="BI145" s="193">
        <f>COUNTIFS(tblPiNAnalysis512[[#This Row],[Number of missing / zero PiNs greater than threshold - Data quality]:[Manual Flag]],"Flagged")</f>
        <v>0</v>
      </c>
      <c r="BJ145" s="96" t="str">
        <f>IF(tblPiNAnalysis512[[#This Row],['# Flags]]&gt;0, "Flagged", "")</f>
        <v/>
      </c>
      <c r="BK145" s="326" t="e">
        <f>tblPiNAnalysis512[[#This Row],[Preliminary Target]]</f>
        <v>#N/A</v>
      </c>
      <c r="BL145" s="331">
        <v>2</v>
      </c>
    </row>
    <row r="146" spans="1:64" x14ac:dyDescent="0.55000000000000004">
      <c r="A1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6" s="316" t="s">
        <v>368</v>
      </c>
      <c r="C146" s="317" t="s">
        <v>369</v>
      </c>
      <c r="D146" s="317" t="s">
        <v>376</v>
      </c>
      <c r="E146" s="105" t="s">
        <v>377</v>
      </c>
      <c r="F146" s="100"/>
      <c r="G146" s="34"/>
      <c r="H146" s="34"/>
      <c r="I146" s="97">
        <v>176910.11306393327</v>
      </c>
      <c r="J146" s="97" t="s">
        <v>413</v>
      </c>
      <c r="K146" s="318"/>
      <c r="L146" s="319"/>
      <c r="M146" s="319"/>
      <c r="N146" s="319"/>
      <c r="O146" s="319"/>
      <c r="P146" s="319"/>
      <c r="Q146" s="320"/>
      <c r="R146" s="319"/>
      <c r="S146" s="319"/>
      <c r="T146" s="319"/>
      <c r="U146" s="319"/>
      <c r="V146" s="319"/>
      <c r="W146" s="321" t="str">
        <f>IFERROR(IF(tblPiNAnalysis512[[#This Row],[CCCM]]="", "", MROUND(tblPiNAnalysis512[[#This Row],[CCCM]]/tblPiNAnalysis512[[#This Row],[Affected population projection 2026]], 0.05)), "")</f>
        <v/>
      </c>
      <c r="X146" s="322" t="str">
        <f>IFERROR(IF(tblPiNAnalysis512[[#This Row],[Education]]="", "", MROUND(tblPiNAnalysis512[[#This Row],[Education]]/tblPiNAnalysis512[[#This Row],[Affected population projection 2026]], 0.05)), "")</f>
        <v/>
      </c>
      <c r="Y146" s="322" t="str">
        <f>IFERROR(IF(tblPiNAnalysis512[[#This Row],[Nutrition]]="", "", MROUND(tblPiNAnalysis512[[#This Row],[Nutrition]]/tblPiNAnalysis512[[#This Row],[Affected population projection 2026]], 0.05)), "")</f>
        <v/>
      </c>
      <c r="Z146" s="322" t="str">
        <f>IFERROR(IF(tblPiNAnalysis512[[#This Row],[Food Security]]="", "", MROUND(tblPiNAnalysis512[[#This Row],[Food Security]]/tblPiNAnalysis512[[#This Row],[Affected population projection 2026]], 0.05)), "")</f>
        <v/>
      </c>
      <c r="AA146" s="322" t="str">
        <f>IFERROR(IF(tblPiNAnalysis512[[#This Row],[Health]]="", "", MROUND(tblPiNAnalysis512[[#This Row],[Health]]/tblPiNAnalysis512[[#This Row],[Affected population projection 2026]], 0.05)), "")</f>
        <v/>
      </c>
      <c r="AB146" s="323" t="str">
        <f>IFERROR(IF(tblPiNAnalysis512[[#This Row],[Overarching Protection]]="", "", MROUND(tblPiNAnalysis512[[#This Row],[Overarching Protection]]/tblPiNAnalysis512[[#This Row],[Affected population projection 2026]], 0.05)), "")</f>
        <v/>
      </c>
      <c r="AC146" s="323" t="str">
        <f>IFERROR(IF(tblPiNAnalysis512[[#This Row],[Shelter]]="", "", MROUND(tblPiNAnalysis512[[#This Row],[Shelter]]/tblPiNAnalysis512[[#This Row],[Affected population projection 2026]], 0.05)), "")</f>
        <v/>
      </c>
      <c r="AD146" s="324" t="str">
        <f>IFERROR(IF(tblPiNAnalysis512[[#This Row],[WASH]]="", "", MROUND(tblPiNAnalysis512[[#This Row],[WASH]]/tblPiNAnalysis512[[#This Row],[Affected population projection 2026]], 0.05)), "")</f>
        <v/>
      </c>
      <c r="AE146" s="322">
        <f>IFERROR(MROUND(tblPiNAnalysis512[[#This Row],[CP]]/tblPiNAnalysis512[[#This Row],[Affected population projection 2026]], 0.05), "")</f>
        <v>0</v>
      </c>
      <c r="AF146" s="322">
        <f>IFERROR(MROUND(tblPiNAnalysis512[[#This Row],[GBV]]/tblPiNAnalysis512[[#This Row],[Affected population projection 2026]], 0.05), "")</f>
        <v>0</v>
      </c>
      <c r="AG146" s="322">
        <f>IFERROR(MROUND(tblPiNAnalysis512[[#This Row],[Mine Action]]/tblPiNAnalysis512[[#This Row],[Affected population projection 2026]], 0.05), "")</f>
        <v>0</v>
      </c>
      <c r="AH146" s="322">
        <f>IFERROR(MROUND(tblPiNAnalysis512[[#This Row],[HLP]]/tblPiNAnalysis512[[#This Row],[Affected population projection 2026]], 0.05), "")</f>
        <v>0</v>
      </c>
      <c r="AI146" s="325" t="str">
        <f>IFERROR(LARGE(tblPiNAnalysis512[[#This Row],[CCCM]:[WASH]], 1), "")</f>
        <v/>
      </c>
      <c r="AJ146" s="326" t="str" cm="1">
        <f t="array" ref="AJ146">IF(tblPiNAnalysis512[[#This Row],[Highest Target]]="", "", _xlfn.TEXTJOIN(CHAR(10), TRUE, IF(tblPiNAnalysis512[[#This Row],[Highest Target]]=tblPiNAnalysis512[[#This Row],[CCCM]:[WASH]], tblPiNAnalysis512[[#Headers],[CCCM]:[WASH]], "")))</f>
        <v/>
      </c>
      <c r="AK146" s="327" t="str">
        <f>IF(tblPiNAnalysis512[[#This Row],[Highest Target]]="", "", tblPiNAnalysis512[[#This Row],[Highest Target]]/tblPiNAnalysis512[[#This Row],[Affected population projection 2026]])</f>
        <v/>
      </c>
      <c r="AL146" s="328" t="str">
        <f>IF(SUM(tblPiNAnalysis512[[#This Row],[CCCM]:[WASH]])=0, "",IF(COUNTIF(tblPiNAnalysis512[[#This Row],[CCCM]:[WASH]],"=0")+COUNTIF(tblPiNAnalysis512[[#This Row],[CCCM]:[WASH]],"")&gt;=zero_pin_thresh, "Flagged", ""))</f>
        <v/>
      </c>
      <c r="AM146" s="329" t="str">
        <f>IFERROR(IF(tblPiNAnalysis512[[#This Row],[Highest Target]]="", "", IF(tblPiNAnalysis512[[#This Row],[Highest sector(s'') Target %]]&gt;=flag_pin_perc, "Flagged", "")), "")</f>
        <v/>
      </c>
      <c r="AN146" s="330" t="str" cm="1">
        <f t="array" ref="AN146">IF(tblPiNAnalysis512[[#This Row],[Highest Target]]=0, "",  IF(OR(COUNTIF(tblPiNAnalysis512[[#This Row],[Highest sector(s)]],tblSubSectorPopulation[Sector])), "Flagged", ""))</f>
        <v/>
      </c>
      <c r="AO146" s="46" t="str" cm="1">
        <f t="array" ref="AO14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46" s="331" t="str" cm="1">
        <f t="array" ref="AP146">IF(tblPiNAnalysis512[[#This Row],[2nd Highest Target]]="", "", _xlfn.TEXTJOIN(CHAR(10), TRUE, IF(tblPiNAnalysis512[[#This Row],[2nd Highest Target]]=tblPiNAnalysis512[[#This Row],[CCCM]:[WASH]], tblPiNAnalysis512[[#Headers],[CCCM]:[WASH]], "")))</f>
        <v/>
      </c>
      <c r="AQ146" s="36" t="str">
        <f>IFERROR(tblPiNAnalysis512[[#This Row],[2nd Highest Target]]/tblPiNAnalysis512[[#This Row],[Affected population projection 2026]], "")</f>
        <v/>
      </c>
      <c r="AR146" s="46" t="str">
        <f>IFERROR(tblPiNAnalysis512[[#This Row],[Highest Target]]-tblPiNAnalysis512[[#This Row],[2nd Highest Target]], "")</f>
        <v/>
      </c>
      <c r="AS146" s="39" t="str">
        <f>IFERROR(((tblPiNAnalysis512[[#This Row],[Highest Target]]-tblPiNAnalysis512[[#This Row],[2nd Highest Target]])/tblPiNAnalysis512[[#This Row],[2nd Highest Target]]),"")</f>
        <v/>
      </c>
      <c r="AT146" s="39" t="str" cm="1">
        <f t="array" ref="AT14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6" s="332" t="str" cm="1">
        <f t="array" ref="AU14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46" s="190" t="str" cm="1">
        <f t="array" ref="AV146">IF(tblPiNAnalysis512[[#This Row],[3rd Highest Target]]="", "", _xlfn.TEXTJOIN(CHAR(10), TRUE, IF(tblPiNAnalysis512[[#This Row],[3rd Highest Target]]=tblPiNAnalysis512[[#This Row],[CCCM]:[WASH]], tblPiNAnalysis512[[#Headers],[CCCM]:[WASH]], "")))</f>
        <v/>
      </c>
      <c r="AW146" s="190" t="str">
        <f>IFERROR(tblPiNAnalysis512[[#This Row],[3rd Highest Target]]/tblPiNAnalysis512[[#This Row],[Affected population projection 2026]], "")</f>
        <v/>
      </c>
      <c r="AX146" s="45" t="str">
        <f>IFERROR(tblPiNAnalysis512[[#This Row],[Highest Target]]-tblPiNAnalysis512[[#This Row],[3rd Highest Target]],"")</f>
        <v/>
      </c>
      <c r="AY146" s="39" t="str">
        <f>IFERROR(tblPiNAnalysis512[[#This Row],[Difference of Target between Highest and 3rd Highest]]/tblPiNAnalysis512[[#This Row],[3rd Highest Target]], "")</f>
        <v/>
      </c>
      <c r="AZ146" s="330" t="str" cm="1">
        <f t="array" ref="AZ14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6" s="300" t="str" cm="1">
        <f t="array" ref="BA14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6" s="333" t="str" cm="1">
        <f t="array" ref="BB14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6" s="276" t="str" cm="1">
        <f t="array" ref="BC14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6" s="334" t="str" cm="1">
        <f t="array" ref="BD14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6" s="277" t="e">
        <f>INDEX(tblSeverityAnalysis[Final Severity], MATCH(tblPiNAnalysis512[[#This Row],[ID]],tblSeverityAnalysis[ID], 0))</f>
        <v>#N/A</v>
      </c>
      <c r="BF146" s="61" t="e">
        <f>IF(tblPiNAnalysis512[[#This Row],[Severity]]&gt;2,tblPiNAnalysis512[[#This Row],[Highest Target]],)</f>
        <v>#N/A</v>
      </c>
      <c r="BG146" s="191"/>
      <c r="BH146" s="192"/>
      <c r="BI146" s="193">
        <f>COUNTIFS(tblPiNAnalysis512[[#This Row],[Number of missing / zero PiNs greater than threshold - Data quality]:[Manual Flag]],"Flagged")</f>
        <v>2</v>
      </c>
      <c r="BJ146" s="96" t="str">
        <f>IF(tblPiNAnalysis512[[#This Row],['# Flags]]&gt;0, "Flagged", "")</f>
        <v>Flagged</v>
      </c>
      <c r="BK146" s="326" t="e">
        <f>tblPiNAnalysis512[[#This Row],[Preliminary Target]]</f>
        <v>#N/A</v>
      </c>
      <c r="BL146" s="331">
        <v>3</v>
      </c>
    </row>
    <row r="147" spans="1:64" ht="110.7" x14ac:dyDescent="0.55000000000000004">
      <c r="A1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7" s="316" t="s">
        <v>368</v>
      </c>
      <c r="C147" s="317" t="s">
        <v>369</v>
      </c>
      <c r="D147" s="317" t="s">
        <v>378</v>
      </c>
      <c r="E147" s="105" t="s">
        <v>379</v>
      </c>
      <c r="F147" s="100"/>
      <c r="G147" s="34"/>
      <c r="H147" s="34"/>
      <c r="I147" s="97">
        <v>85516.790119838945</v>
      </c>
      <c r="J147" s="97" t="s">
        <v>413</v>
      </c>
      <c r="K147" s="318">
        <v>0</v>
      </c>
      <c r="L147" s="319">
        <v>0</v>
      </c>
      <c r="M147" s="319">
        <v>0</v>
      </c>
      <c r="N147" s="319">
        <v>0</v>
      </c>
      <c r="O147" s="319">
        <v>0</v>
      </c>
      <c r="P147" s="319">
        <v>0</v>
      </c>
      <c r="Q147" s="320">
        <v>0</v>
      </c>
      <c r="R147" s="319">
        <v>0</v>
      </c>
      <c r="S147" s="319"/>
      <c r="T147" s="319"/>
      <c r="U147" s="319"/>
      <c r="V147" s="319"/>
      <c r="W147" s="321">
        <f>IFERROR(IF(tblPiNAnalysis512[[#This Row],[CCCM]]="", "", MROUND(tblPiNAnalysis512[[#This Row],[CCCM]]/tblPiNAnalysis512[[#This Row],[Affected population projection 2026]], 0.05)), "")</f>
        <v>0</v>
      </c>
      <c r="X147" s="322">
        <f>IFERROR(IF(tblPiNAnalysis512[[#This Row],[Education]]="", "", MROUND(tblPiNAnalysis512[[#This Row],[Education]]/tblPiNAnalysis512[[#This Row],[Affected population projection 2026]], 0.05)), "")</f>
        <v>0</v>
      </c>
      <c r="Y147" s="322">
        <f>IFERROR(IF(tblPiNAnalysis512[[#This Row],[Nutrition]]="", "", MROUND(tblPiNAnalysis512[[#This Row],[Nutrition]]/tblPiNAnalysis512[[#This Row],[Affected population projection 2026]], 0.05)), "")</f>
        <v>0</v>
      </c>
      <c r="Z147" s="322">
        <f>IFERROR(IF(tblPiNAnalysis512[[#This Row],[Food Security]]="", "", MROUND(tblPiNAnalysis512[[#This Row],[Food Security]]/tblPiNAnalysis512[[#This Row],[Affected population projection 2026]], 0.05)), "")</f>
        <v>0</v>
      </c>
      <c r="AA147" s="322">
        <f>IFERROR(IF(tblPiNAnalysis512[[#This Row],[Health]]="", "", MROUND(tblPiNAnalysis512[[#This Row],[Health]]/tblPiNAnalysis512[[#This Row],[Affected population projection 2026]], 0.05)), "")</f>
        <v>0</v>
      </c>
      <c r="AB147" s="323">
        <f>IFERROR(IF(tblPiNAnalysis512[[#This Row],[Overarching Protection]]="", "", MROUND(tblPiNAnalysis512[[#This Row],[Overarching Protection]]/tblPiNAnalysis512[[#This Row],[Affected population projection 2026]], 0.05)), "")</f>
        <v>0</v>
      </c>
      <c r="AC147" s="323">
        <f>IFERROR(IF(tblPiNAnalysis512[[#This Row],[Shelter]]="", "", MROUND(tblPiNAnalysis512[[#This Row],[Shelter]]/tblPiNAnalysis512[[#This Row],[Affected population projection 2026]], 0.05)), "")</f>
        <v>0</v>
      </c>
      <c r="AD147" s="324">
        <f>IFERROR(IF(tblPiNAnalysis512[[#This Row],[WASH]]="", "", MROUND(tblPiNAnalysis512[[#This Row],[WASH]]/tblPiNAnalysis512[[#This Row],[Affected population projection 2026]], 0.05)), "")</f>
        <v>0</v>
      </c>
      <c r="AE147" s="322">
        <f>IFERROR(MROUND(tblPiNAnalysis512[[#This Row],[CP]]/tblPiNAnalysis512[[#This Row],[Affected population projection 2026]], 0.05), "")</f>
        <v>0</v>
      </c>
      <c r="AF147" s="322">
        <f>IFERROR(MROUND(tblPiNAnalysis512[[#This Row],[GBV]]/tblPiNAnalysis512[[#This Row],[Affected population projection 2026]], 0.05), "")</f>
        <v>0</v>
      </c>
      <c r="AG147" s="322">
        <f>IFERROR(MROUND(tblPiNAnalysis512[[#This Row],[Mine Action]]/tblPiNAnalysis512[[#This Row],[Affected population projection 2026]], 0.05), "")</f>
        <v>0</v>
      </c>
      <c r="AH147" s="322">
        <f>IFERROR(MROUND(tblPiNAnalysis512[[#This Row],[HLP]]/tblPiNAnalysis512[[#This Row],[Affected population projection 2026]], 0.05), "")</f>
        <v>0</v>
      </c>
      <c r="AI147" s="325">
        <f>IFERROR(LARGE(tblPiNAnalysis512[[#This Row],[CCCM]:[WASH]], 1), "")</f>
        <v>0</v>
      </c>
      <c r="AJ147" s="326" t="str" cm="1">
        <f t="array" ref="AJ147">IF(tblPiNAnalysis512[[#This Row],[Highest Target]]="", "", _xlfn.TEXTJOIN(CHAR(10), TRUE, IF(tblPiNAnalysis512[[#This Row],[Highest Target]]=tblPiNAnalysis512[[#This Row],[CCCM]:[WASH]], tblPiNAnalysis512[[#Headers],[CCCM]:[WASH]], "")))</f>
        <v>CCCM
Education
Nutrition
Food Security
Health
Overarching Protection
Shelter
WASH</v>
      </c>
      <c r="AK147" s="327">
        <f>IF(tblPiNAnalysis512[[#This Row],[Highest Target]]="", "", tblPiNAnalysis512[[#This Row],[Highest Target]]/tblPiNAnalysis512[[#This Row],[Affected population projection 2026]])</f>
        <v>0</v>
      </c>
      <c r="AL147" s="328" t="str">
        <f>IF(SUM(tblPiNAnalysis512[[#This Row],[CCCM]:[WASH]])=0, "",IF(COUNTIF(tblPiNAnalysis512[[#This Row],[CCCM]:[WASH]],"=0")+COUNTIF(tblPiNAnalysis512[[#This Row],[CCCM]:[WASH]],"")&gt;=zero_pin_thresh, "Flagged", ""))</f>
        <v/>
      </c>
      <c r="AM147" s="329" t="str">
        <f>IFERROR(IF(tblPiNAnalysis512[[#This Row],[Highest Target]]="", "", IF(tblPiNAnalysis512[[#This Row],[Highest sector(s'') Target %]]&gt;=flag_pin_perc, "Flagged", "")), "")</f>
        <v/>
      </c>
      <c r="AN147" s="330" t="str" cm="1">
        <f t="array" ref="AN147">IF(tblPiNAnalysis512[[#This Row],[Highest Target]]=0, "",  IF(OR(COUNTIF(tblPiNAnalysis512[[#This Row],[Highest sector(s)]],tblSubSectorPopulation[Sector])), "Flagged", ""))</f>
        <v/>
      </c>
      <c r="AO147" s="46" cm="1">
        <f t="array" ref="AO14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47" s="331" t="str" cm="1">
        <f t="array" ref="AP147">IF(tblPiNAnalysis512[[#This Row],[2nd Highest Target]]="", "", _xlfn.TEXTJOIN(CHAR(10), TRUE, IF(tblPiNAnalysis512[[#This Row],[2nd Highest Target]]=tblPiNAnalysis512[[#This Row],[CCCM]:[WASH]], tblPiNAnalysis512[[#Headers],[CCCM]:[WASH]], "")))</f>
        <v>CCCM
Education
Nutrition
Food Security
Health
Overarching Protection
Shelter
WASH</v>
      </c>
      <c r="AQ147" s="36">
        <f>IFERROR(tblPiNAnalysis512[[#This Row],[2nd Highest Target]]/tblPiNAnalysis512[[#This Row],[Affected population projection 2026]], "")</f>
        <v>0</v>
      </c>
      <c r="AR147" s="46">
        <f>IFERROR(tblPiNAnalysis512[[#This Row],[Highest Target]]-tblPiNAnalysis512[[#This Row],[2nd Highest Target]], "")</f>
        <v>0</v>
      </c>
      <c r="AS147" s="39" t="str">
        <f>IFERROR(((tblPiNAnalysis512[[#This Row],[Highest Target]]-tblPiNAnalysis512[[#This Row],[2nd Highest Target]])/tblPiNAnalysis512[[#This Row],[2nd Highest Target]]),"")</f>
        <v/>
      </c>
      <c r="AT147" s="39" t="str" cm="1">
        <f t="array" ref="AT14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7" s="332" cm="1">
        <f t="array" ref="AU14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47" s="190" t="str" cm="1">
        <f t="array" ref="AV147">IF(tblPiNAnalysis512[[#This Row],[3rd Highest Target]]="", "", _xlfn.TEXTJOIN(CHAR(10), TRUE, IF(tblPiNAnalysis512[[#This Row],[3rd Highest Target]]=tblPiNAnalysis512[[#This Row],[CCCM]:[WASH]], tblPiNAnalysis512[[#Headers],[CCCM]:[WASH]], "")))</f>
        <v>CCCM
Education
Nutrition
Food Security
Health
Overarching Protection
Shelter
WASH</v>
      </c>
      <c r="AW147" s="190">
        <f>IFERROR(tblPiNAnalysis512[[#This Row],[3rd Highest Target]]/tblPiNAnalysis512[[#This Row],[Affected population projection 2026]], "")</f>
        <v>0</v>
      </c>
      <c r="AX147" s="45">
        <f>IFERROR(tblPiNAnalysis512[[#This Row],[Highest Target]]-tblPiNAnalysis512[[#This Row],[3rd Highest Target]],"")</f>
        <v>0</v>
      </c>
      <c r="AY147" s="39" t="str">
        <f>IFERROR(tblPiNAnalysis512[[#This Row],[Difference of Target between Highest and 3rd Highest]]/tblPiNAnalysis512[[#This Row],[3rd Highest Target]], "")</f>
        <v/>
      </c>
      <c r="AZ147" s="330" t="str" cm="1">
        <f t="array" ref="AZ14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7" s="300" t="str" cm="1">
        <f t="array" ref="BA14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7" s="333" t="str" cm="1">
        <f t="array" ref="BB14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7" s="276" t="str" cm="1">
        <f t="array" ref="BC14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7" s="334" t="str" cm="1">
        <f t="array" ref="BD14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7" s="277" t="e">
        <f>INDEX(tblSeverityAnalysis[Final Severity], MATCH(tblPiNAnalysis512[[#This Row],[ID]],tblSeverityAnalysis[ID], 0))</f>
        <v>#N/A</v>
      </c>
      <c r="BF147" s="61" t="e">
        <f>IF(tblPiNAnalysis512[[#This Row],[Severity]]&gt;2,tblPiNAnalysis512[[#This Row],[Highest Target]],)</f>
        <v>#N/A</v>
      </c>
      <c r="BG147" s="191"/>
      <c r="BH147" s="192"/>
      <c r="BI147" s="193">
        <f>COUNTIFS(tblPiNAnalysis512[[#This Row],[Number of missing / zero PiNs greater than threshold - Data quality]:[Manual Flag]],"Flagged")</f>
        <v>2</v>
      </c>
      <c r="BJ147" s="96" t="str">
        <f>IF(tblPiNAnalysis512[[#This Row],['# Flags]]&gt;0, "Flagged", "")</f>
        <v>Flagged</v>
      </c>
      <c r="BK147" s="326" t="e">
        <f>tblPiNAnalysis512[[#This Row],[Preliminary Target]]</f>
        <v>#N/A</v>
      </c>
      <c r="BL147" s="331">
        <v>4</v>
      </c>
    </row>
    <row r="148" spans="1:64" x14ac:dyDescent="0.55000000000000004">
      <c r="A1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8" s="316" t="s">
        <v>368</v>
      </c>
      <c r="C148" s="317" t="s">
        <v>369</v>
      </c>
      <c r="D148" s="317" t="s">
        <v>380</v>
      </c>
      <c r="E148" s="105" t="s">
        <v>381</v>
      </c>
      <c r="F148" s="100"/>
      <c r="G148" s="34"/>
      <c r="H148" s="34"/>
      <c r="I148" s="97">
        <v>56495.39881084334</v>
      </c>
      <c r="J148" s="97" t="s">
        <v>413</v>
      </c>
      <c r="K148" s="318">
        <v>0</v>
      </c>
      <c r="L148" s="319">
        <v>2081.3243894307552</v>
      </c>
      <c r="M148" s="319">
        <v>17614.645459844574</v>
      </c>
      <c r="N148" s="319">
        <v>18699.56245232631</v>
      </c>
      <c r="O148" s="319">
        <v>30716.835984956648</v>
      </c>
      <c r="P148" s="319">
        <v>9101.0829590833146</v>
      </c>
      <c r="Q148" s="320">
        <v>1738.3199634105645</v>
      </c>
      <c r="R148" s="319">
        <v>7238.7151511321499</v>
      </c>
      <c r="S148" s="319"/>
      <c r="T148" s="319"/>
      <c r="U148" s="319"/>
      <c r="V148" s="319"/>
      <c r="W148" s="321">
        <f>IFERROR(IF(tblPiNAnalysis512[[#This Row],[CCCM]]="", "", MROUND(tblPiNAnalysis512[[#This Row],[CCCM]]/tblPiNAnalysis512[[#This Row],[Affected population projection 2026]], 0.05)), "")</f>
        <v>0</v>
      </c>
      <c r="X148" s="322">
        <f>IFERROR(IF(tblPiNAnalysis512[[#This Row],[Education]]="", "", MROUND(tblPiNAnalysis512[[#This Row],[Education]]/tblPiNAnalysis512[[#This Row],[Affected population projection 2026]], 0.05)), "")</f>
        <v>0.05</v>
      </c>
      <c r="Y148" s="322">
        <f>IFERROR(IF(tblPiNAnalysis512[[#This Row],[Nutrition]]="", "", MROUND(tblPiNAnalysis512[[#This Row],[Nutrition]]/tblPiNAnalysis512[[#This Row],[Affected population projection 2026]], 0.05)), "")</f>
        <v>0.30000000000000004</v>
      </c>
      <c r="Z148" s="322">
        <f>IFERROR(IF(tblPiNAnalysis512[[#This Row],[Food Security]]="", "", MROUND(tblPiNAnalysis512[[#This Row],[Food Security]]/tblPiNAnalysis512[[#This Row],[Affected population projection 2026]], 0.05)), "")</f>
        <v>0.35000000000000003</v>
      </c>
      <c r="AA148" s="322">
        <f>IFERROR(IF(tblPiNAnalysis512[[#This Row],[Health]]="", "", MROUND(tblPiNAnalysis512[[#This Row],[Health]]/tblPiNAnalysis512[[#This Row],[Affected population projection 2026]], 0.05)), "")</f>
        <v>0.55000000000000004</v>
      </c>
      <c r="AB148" s="323">
        <f>IFERROR(IF(tblPiNAnalysis512[[#This Row],[Overarching Protection]]="", "", MROUND(tblPiNAnalysis512[[#This Row],[Overarching Protection]]/tblPiNAnalysis512[[#This Row],[Affected population projection 2026]], 0.05)), "")</f>
        <v>0.15000000000000002</v>
      </c>
      <c r="AC148" s="323">
        <f>IFERROR(IF(tblPiNAnalysis512[[#This Row],[Shelter]]="", "", MROUND(tblPiNAnalysis512[[#This Row],[Shelter]]/tblPiNAnalysis512[[#This Row],[Affected population projection 2026]], 0.05)), "")</f>
        <v>0.05</v>
      </c>
      <c r="AD148" s="324">
        <f>IFERROR(IF(tblPiNAnalysis512[[#This Row],[WASH]]="", "", MROUND(tblPiNAnalysis512[[#This Row],[WASH]]/tblPiNAnalysis512[[#This Row],[Affected population projection 2026]], 0.05)), "")</f>
        <v>0.15000000000000002</v>
      </c>
      <c r="AE148" s="322">
        <f>IFERROR(MROUND(tblPiNAnalysis512[[#This Row],[CP]]/tblPiNAnalysis512[[#This Row],[Affected population projection 2026]], 0.05), "")</f>
        <v>0</v>
      </c>
      <c r="AF148" s="322">
        <f>IFERROR(MROUND(tblPiNAnalysis512[[#This Row],[GBV]]/tblPiNAnalysis512[[#This Row],[Affected population projection 2026]], 0.05), "")</f>
        <v>0</v>
      </c>
      <c r="AG148" s="322">
        <f>IFERROR(MROUND(tblPiNAnalysis512[[#This Row],[Mine Action]]/tblPiNAnalysis512[[#This Row],[Affected population projection 2026]], 0.05), "")</f>
        <v>0</v>
      </c>
      <c r="AH148" s="322">
        <f>IFERROR(MROUND(tblPiNAnalysis512[[#This Row],[HLP]]/tblPiNAnalysis512[[#This Row],[Affected population projection 2026]], 0.05), "")</f>
        <v>0</v>
      </c>
      <c r="AI148" s="325">
        <f>IFERROR(LARGE(tblPiNAnalysis512[[#This Row],[CCCM]:[WASH]], 1), "")</f>
        <v>30716.835984956648</v>
      </c>
      <c r="AJ148" s="326" t="str" cm="1">
        <f t="array" ref="AJ148">IF(tblPiNAnalysis512[[#This Row],[Highest Target]]="", "", _xlfn.TEXTJOIN(CHAR(10), TRUE, IF(tblPiNAnalysis512[[#This Row],[Highest Target]]=tblPiNAnalysis512[[#This Row],[CCCM]:[WASH]], tblPiNAnalysis512[[#Headers],[CCCM]:[WASH]], "")))</f>
        <v>Health</v>
      </c>
      <c r="AK148" s="327">
        <f>IF(tblPiNAnalysis512[[#This Row],[Highest Target]]="", "", tblPiNAnalysis512[[#This Row],[Highest Target]]/tblPiNAnalysis512[[#This Row],[Affected population projection 2026]])</f>
        <v>0.54370509159165481</v>
      </c>
      <c r="AL148" s="328" t="str">
        <f>IF(SUM(tblPiNAnalysis512[[#This Row],[CCCM]:[WASH]])=0, "",IF(COUNTIF(tblPiNAnalysis512[[#This Row],[CCCM]:[WASH]],"=0")+COUNTIF(tblPiNAnalysis512[[#This Row],[CCCM]:[WASH]],"")&gt;=zero_pin_thresh, "Flagged", ""))</f>
        <v/>
      </c>
      <c r="AM148" s="329" t="str">
        <f>IFERROR(IF(tblPiNAnalysis512[[#This Row],[Highest Target]]="", "", IF(tblPiNAnalysis512[[#This Row],[Highest sector(s'') Target %]]&gt;=flag_pin_perc, "Flagged", "")), "")</f>
        <v/>
      </c>
      <c r="AN148" s="330" t="str" cm="1">
        <f t="array" ref="AN148">IF(tblPiNAnalysis512[[#This Row],[Highest Target]]=0, "",  IF(OR(COUNTIF(tblPiNAnalysis512[[#This Row],[Highest sector(s)]],tblSubSectorPopulation[Sector])), "Flagged", ""))</f>
        <v/>
      </c>
      <c r="AO148" s="46" cm="1">
        <f t="array" ref="AO14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18699.56245232631</v>
      </c>
      <c r="AP148" s="331" t="str" cm="1">
        <f t="array" ref="AP148">IF(tblPiNAnalysis512[[#This Row],[2nd Highest Target]]="", "", _xlfn.TEXTJOIN(CHAR(10), TRUE, IF(tblPiNAnalysis512[[#This Row],[2nd Highest Target]]=tblPiNAnalysis512[[#This Row],[CCCM]:[WASH]], tblPiNAnalysis512[[#Headers],[CCCM]:[WASH]], "")))</f>
        <v>Food Security</v>
      </c>
      <c r="AQ148" s="36">
        <f>IFERROR(tblPiNAnalysis512[[#This Row],[2nd Highest Target]]/tblPiNAnalysis512[[#This Row],[Affected population projection 2026]], "")</f>
        <v>0.33099266216237849</v>
      </c>
      <c r="AR148" s="46">
        <f>IFERROR(tblPiNAnalysis512[[#This Row],[Highest Target]]-tblPiNAnalysis512[[#This Row],[2nd Highest Target]], "")</f>
        <v>12017.273532630337</v>
      </c>
      <c r="AS148" s="39">
        <f>IFERROR(((tblPiNAnalysis512[[#This Row],[Highest Target]]-tblPiNAnalysis512[[#This Row],[2nd Highest Target]])/tblPiNAnalysis512[[#This Row],[2nd Highest Target]]),"")</f>
        <v>0.64264998516771898</v>
      </c>
      <c r="AT148" s="39" t="str" cm="1">
        <f t="array" ref="AT14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48" s="332" cm="1">
        <f t="array" ref="AU14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17614.645459844574</v>
      </c>
      <c r="AV148" s="190" t="str" cm="1">
        <f t="array" ref="AV148">IF(tblPiNAnalysis512[[#This Row],[3rd Highest Target]]="", "", _xlfn.TEXTJOIN(CHAR(10), TRUE, IF(tblPiNAnalysis512[[#This Row],[3rd Highest Target]]=tblPiNAnalysis512[[#This Row],[CCCM]:[WASH]], tblPiNAnalysis512[[#Headers],[CCCM]:[WASH]], "")))</f>
        <v>Nutrition</v>
      </c>
      <c r="AW148" s="190">
        <f>IFERROR(tblPiNAnalysis512[[#This Row],[3rd Highest Target]]/tblPiNAnalysis512[[#This Row],[Affected population projection 2026]], "")</f>
        <v>0.31178902761305477</v>
      </c>
      <c r="AX148" s="45">
        <f>IFERROR(tblPiNAnalysis512[[#This Row],[Highest Target]]-tblPiNAnalysis512[[#This Row],[3rd Highest Target]],"")</f>
        <v>13102.190525112073</v>
      </c>
      <c r="AY148" s="39">
        <f>IFERROR(tblPiNAnalysis512[[#This Row],[Difference of Target between Highest and 3rd Highest]]/tblPiNAnalysis512[[#This Row],[3rd Highest Target]], "")</f>
        <v>0.74382368665782295</v>
      </c>
      <c r="AZ148" s="330" t="str" cm="1">
        <f t="array" ref="AZ14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48" s="300" t="str" cm="1">
        <f t="array" ref="BA14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8" s="333" t="str" cm="1">
        <f t="array" ref="BB14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8" s="276" t="str" cm="1">
        <f t="array" ref="BC14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8" s="334" t="str" cm="1">
        <f t="array" ref="BD14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48" s="277" t="e">
        <f>INDEX(tblSeverityAnalysis[Final Severity], MATCH(tblPiNAnalysis512[[#This Row],[ID]],tblSeverityAnalysis[ID], 0))</f>
        <v>#N/A</v>
      </c>
      <c r="BF148" s="61" t="e">
        <f>IF(tblPiNAnalysis512[[#This Row],[Severity]]&gt;2,tblPiNAnalysis512[[#This Row],[Highest Target]],)</f>
        <v>#N/A</v>
      </c>
      <c r="BG148" s="191"/>
      <c r="BH148" s="192"/>
      <c r="BI148" s="193">
        <f>COUNTIFS(tblPiNAnalysis512[[#This Row],[Number of missing / zero PiNs greater than threshold - Data quality]:[Manual Flag]],"Flagged")</f>
        <v>3</v>
      </c>
      <c r="BJ148" s="96" t="str">
        <f>IF(tblPiNAnalysis512[[#This Row],['# Flags]]&gt;0, "Flagged", "")</f>
        <v>Flagged</v>
      </c>
      <c r="BK148" s="326" t="e">
        <f>tblPiNAnalysis512[[#This Row],[Preliminary Target]]</f>
        <v>#N/A</v>
      </c>
      <c r="BL148" s="331">
        <v>1</v>
      </c>
    </row>
    <row r="149" spans="1:64" ht="110.7" x14ac:dyDescent="0.55000000000000004">
      <c r="A1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9" s="316" t="s">
        <v>382</v>
      </c>
      <c r="C149" s="317" t="s">
        <v>383</v>
      </c>
      <c r="D149" s="317" t="s">
        <v>384</v>
      </c>
      <c r="E149" s="105" t="s">
        <v>385</v>
      </c>
      <c r="F149" s="100"/>
      <c r="G149" s="34"/>
      <c r="H149" s="34"/>
      <c r="I149" s="97">
        <v>178742.31540837008</v>
      </c>
      <c r="J149" s="97" t="s">
        <v>413</v>
      </c>
      <c r="K149" s="318">
        <v>0</v>
      </c>
      <c r="L149" s="319">
        <v>0</v>
      </c>
      <c r="M149" s="319">
        <v>0</v>
      </c>
      <c r="N149" s="319">
        <v>0</v>
      </c>
      <c r="O149" s="319">
        <v>0</v>
      </c>
      <c r="P149" s="319">
        <v>0</v>
      </c>
      <c r="Q149" s="320">
        <v>0</v>
      </c>
      <c r="R149" s="319">
        <v>0</v>
      </c>
      <c r="S149" s="319"/>
      <c r="T149" s="319"/>
      <c r="U149" s="319"/>
      <c r="V149" s="319"/>
      <c r="W149" s="321">
        <f>IFERROR(IF(tblPiNAnalysis512[[#This Row],[CCCM]]="", "", MROUND(tblPiNAnalysis512[[#This Row],[CCCM]]/tblPiNAnalysis512[[#This Row],[Affected population projection 2026]], 0.05)), "")</f>
        <v>0</v>
      </c>
      <c r="X149" s="322">
        <f>IFERROR(IF(tblPiNAnalysis512[[#This Row],[Education]]="", "", MROUND(tblPiNAnalysis512[[#This Row],[Education]]/tblPiNAnalysis512[[#This Row],[Affected population projection 2026]], 0.05)), "")</f>
        <v>0</v>
      </c>
      <c r="Y149" s="322">
        <f>IFERROR(IF(tblPiNAnalysis512[[#This Row],[Nutrition]]="", "", MROUND(tblPiNAnalysis512[[#This Row],[Nutrition]]/tblPiNAnalysis512[[#This Row],[Affected population projection 2026]], 0.05)), "")</f>
        <v>0</v>
      </c>
      <c r="Z149" s="322">
        <f>IFERROR(IF(tblPiNAnalysis512[[#This Row],[Food Security]]="", "", MROUND(tblPiNAnalysis512[[#This Row],[Food Security]]/tblPiNAnalysis512[[#This Row],[Affected population projection 2026]], 0.05)), "")</f>
        <v>0</v>
      </c>
      <c r="AA149" s="322">
        <f>IFERROR(IF(tblPiNAnalysis512[[#This Row],[Health]]="", "", MROUND(tblPiNAnalysis512[[#This Row],[Health]]/tblPiNAnalysis512[[#This Row],[Affected population projection 2026]], 0.05)), "")</f>
        <v>0</v>
      </c>
      <c r="AB149" s="323">
        <f>IFERROR(IF(tblPiNAnalysis512[[#This Row],[Overarching Protection]]="", "", MROUND(tblPiNAnalysis512[[#This Row],[Overarching Protection]]/tblPiNAnalysis512[[#This Row],[Affected population projection 2026]], 0.05)), "")</f>
        <v>0</v>
      </c>
      <c r="AC149" s="323">
        <f>IFERROR(IF(tblPiNAnalysis512[[#This Row],[Shelter]]="", "", MROUND(tblPiNAnalysis512[[#This Row],[Shelter]]/tblPiNAnalysis512[[#This Row],[Affected population projection 2026]], 0.05)), "")</f>
        <v>0</v>
      </c>
      <c r="AD149" s="324">
        <f>IFERROR(IF(tblPiNAnalysis512[[#This Row],[WASH]]="", "", MROUND(tblPiNAnalysis512[[#This Row],[WASH]]/tblPiNAnalysis512[[#This Row],[Affected population projection 2026]], 0.05)), "")</f>
        <v>0</v>
      </c>
      <c r="AE149" s="322">
        <f>IFERROR(MROUND(tblPiNAnalysis512[[#This Row],[CP]]/tblPiNAnalysis512[[#This Row],[Affected population projection 2026]], 0.05), "")</f>
        <v>0</v>
      </c>
      <c r="AF149" s="322">
        <f>IFERROR(MROUND(tblPiNAnalysis512[[#This Row],[GBV]]/tblPiNAnalysis512[[#This Row],[Affected population projection 2026]], 0.05), "")</f>
        <v>0</v>
      </c>
      <c r="AG149" s="322">
        <f>IFERROR(MROUND(tblPiNAnalysis512[[#This Row],[Mine Action]]/tblPiNAnalysis512[[#This Row],[Affected population projection 2026]], 0.05), "")</f>
        <v>0</v>
      </c>
      <c r="AH149" s="322">
        <f>IFERROR(MROUND(tblPiNAnalysis512[[#This Row],[HLP]]/tblPiNAnalysis512[[#This Row],[Affected population projection 2026]], 0.05), "")</f>
        <v>0</v>
      </c>
      <c r="AI149" s="325">
        <f>IFERROR(LARGE(tblPiNAnalysis512[[#This Row],[CCCM]:[WASH]], 1), "")</f>
        <v>0</v>
      </c>
      <c r="AJ149" s="326" t="str" cm="1">
        <f t="array" ref="AJ149">IF(tblPiNAnalysis512[[#This Row],[Highest Target]]="", "", _xlfn.TEXTJOIN(CHAR(10), TRUE, IF(tblPiNAnalysis512[[#This Row],[Highest Target]]=tblPiNAnalysis512[[#This Row],[CCCM]:[WASH]], tblPiNAnalysis512[[#Headers],[CCCM]:[WASH]], "")))</f>
        <v>CCCM
Education
Nutrition
Food Security
Health
Overarching Protection
Shelter
WASH</v>
      </c>
      <c r="AK149" s="327">
        <f>IF(tblPiNAnalysis512[[#This Row],[Highest Target]]="", "", tblPiNAnalysis512[[#This Row],[Highest Target]]/tblPiNAnalysis512[[#This Row],[Affected population projection 2026]])</f>
        <v>0</v>
      </c>
      <c r="AL149" s="328" t="str">
        <f>IF(SUM(tblPiNAnalysis512[[#This Row],[CCCM]:[WASH]])=0, "",IF(COUNTIF(tblPiNAnalysis512[[#This Row],[CCCM]:[WASH]],"=0")+COUNTIF(tblPiNAnalysis512[[#This Row],[CCCM]:[WASH]],"")&gt;=zero_pin_thresh, "Flagged", ""))</f>
        <v/>
      </c>
      <c r="AM149" s="329" t="str">
        <f>IFERROR(IF(tblPiNAnalysis512[[#This Row],[Highest Target]]="", "", IF(tblPiNAnalysis512[[#This Row],[Highest sector(s'') Target %]]&gt;=flag_pin_perc, "Flagged", "")), "")</f>
        <v/>
      </c>
      <c r="AN149" s="330" t="str" cm="1">
        <f t="array" ref="AN149">IF(tblPiNAnalysis512[[#This Row],[Highest Target]]=0, "",  IF(OR(COUNTIF(tblPiNAnalysis512[[#This Row],[Highest sector(s)]],tblSubSectorPopulation[Sector])), "Flagged", ""))</f>
        <v/>
      </c>
      <c r="AO149" s="46" cm="1">
        <f t="array" ref="AO14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49" s="331" t="str" cm="1">
        <f t="array" ref="AP149">IF(tblPiNAnalysis512[[#This Row],[2nd Highest Target]]="", "", _xlfn.TEXTJOIN(CHAR(10), TRUE, IF(tblPiNAnalysis512[[#This Row],[2nd Highest Target]]=tblPiNAnalysis512[[#This Row],[CCCM]:[WASH]], tblPiNAnalysis512[[#Headers],[CCCM]:[WASH]], "")))</f>
        <v>CCCM
Education
Nutrition
Food Security
Health
Overarching Protection
Shelter
WASH</v>
      </c>
      <c r="AQ149" s="36">
        <f>IFERROR(tblPiNAnalysis512[[#This Row],[2nd Highest Target]]/tblPiNAnalysis512[[#This Row],[Affected population projection 2026]], "")</f>
        <v>0</v>
      </c>
      <c r="AR149" s="46">
        <f>IFERROR(tblPiNAnalysis512[[#This Row],[Highest Target]]-tblPiNAnalysis512[[#This Row],[2nd Highest Target]], "")</f>
        <v>0</v>
      </c>
      <c r="AS149" s="39" t="str">
        <f>IFERROR(((tblPiNAnalysis512[[#This Row],[Highest Target]]-tblPiNAnalysis512[[#This Row],[2nd Highest Target]])/tblPiNAnalysis512[[#This Row],[2nd Highest Target]]),"")</f>
        <v/>
      </c>
      <c r="AT149" s="39" t="str" cm="1">
        <f t="array" ref="AT14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49" s="332" cm="1">
        <f t="array" ref="AU14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49" s="190" t="str" cm="1">
        <f t="array" ref="AV149">IF(tblPiNAnalysis512[[#This Row],[3rd Highest Target]]="", "", _xlfn.TEXTJOIN(CHAR(10), TRUE, IF(tblPiNAnalysis512[[#This Row],[3rd Highest Target]]=tblPiNAnalysis512[[#This Row],[CCCM]:[WASH]], tblPiNAnalysis512[[#Headers],[CCCM]:[WASH]], "")))</f>
        <v>CCCM
Education
Nutrition
Food Security
Health
Overarching Protection
Shelter
WASH</v>
      </c>
      <c r="AW149" s="190">
        <f>IFERROR(tblPiNAnalysis512[[#This Row],[3rd Highest Target]]/tblPiNAnalysis512[[#This Row],[Affected population projection 2026]], "")</f>
        <v>0</v>
      </c>
      <c r="AX149" s="45">
        <f>IFERROR(tblPiNAnalysis512[[#This Row],[Highest Target]]-tblPiNAnalysis512[[#This Row],[3rd Highest Target]],"")</f>
        <v>0</v>
      </c>
      <c r="AY149" s="39" t="str">
        <f>IFERROR(tblPiNAnalysis512[[#This Row],[Difference of Target between Highest and 3rd Highest]]/tblPiNAnalysis512[[#This Row],[3rd Highest Target]], "")</f>
        <v/>
      </c>
      <c r="AZ149" s="330" t="str" cm="1">
        <f t="array" ref="AZ14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49" s="300" t="str" cm="1">
        <f t="array" ref="BA14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49" s="333" t="str" cm="1">
        <f t="array" ref="BB14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49" s="276" t="str" cm="1">
        <f t="array" ref="BC14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49" s="334" t="str" cm="1">
        <f t="array" ref="BD14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49" s="277" t="e">
        <f>INDEX(tblSeverityAnalysis[Final Severity], MATCH(tblPiNAnalysis512[[#This Row],[ID]],tblSeverityAnalysis[ID], 0))</f>
        <v>#N/A</v>
      </c>
      <c r="BF149" s="61" t="e">
        <f>IF(tblPiNAnalysis512[[#This Row],[Severity]]&gt;2,tblPiNAnalysis512[[#This Row],[Highest Target]],)</f>
        <v>#N/A</v>
      </c>
      <c r="BG149" s="191"/>
      <c r="BH149" s="192"/>
      <c r="BI149" s="193">
        <f>COUNTIFS(tblPiNAnalysis512[[#This Row],[Number of missing / zero PiNs greater than threshold - Data quality]:[Manual Flag]],"Flagged")</f>
        <v>2</v>
      </c>
      <c r="BJ149" s="96" t="str">
        <f>IF(tblPiNAnalysis512[[#This Row],['# Flags]]&gt;0, "Flagged", "")</f>
        <v>Flagged</v>
      </c>
      <c r="BK149" s="326" t="e">
        <f>tblPiNAnalysis512[[#This Row],[Preliminary Target]]</f>
        <v>#N/A</v>
      </c>
      <c r="BL149" s="331">
        <v>4</v>
      </c>
    </row>
    <row r="150" spans="1:64" x14ac:dyDescent="0.55000000000000004">
      <c r="A1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0" s="316" t="s">
        <v>382</v>
      </c>
      <c r="C150" s="317" t="s">
        <v>383</v>
      </c>
      <c r="D150" s="317" t="s">
        <v>386</v>
      </c>
      <c r="E150" s="105" t="s">
        <v>387</v>
      </c>
      <c r="F150" s="100"/>
      <c r="G150" s="34"/>
      <c r="H150" s="34"/>
      <c r="I150" s="97">
        <v>37008.275019605207</v>
      </c>
      <c r="J150" s="97" t="s">
        <v>413</v>
      </c>
      <c r="K150" s="318"/>
      <c r="L150" s="319"/>
      <c r="M150" s="319"/>
      <c r="N150" s="319"/>
      <c r="O150" s="319"/>
      <c r="P150" s="319"/>
      <c r="Q150" s="320"/>
      <c r="R150" s="319"/>
      <c r="S150" s="319"/>
      <c r="T150" s="319"/>
      <c r="U150" s="319"/>
      <c r="V150" s="319"/>
      <c r="W150" s="321" t="str">
        <f>IFERROR(IF(tblPiNAnalysis512[[#This Row],[CCCM]]="", "", MROUND(tblPiNAnalysis512[[#This Row],[CCCM]]/tblPiNAnalysis512[[#This Row],[Affected population projection 2026]], 0.05)), "")</f>
        <v/>
      </c>
      <c r="X150" s="322" t="str">
        <f>IFERROR(IF(tblPiNAnalysis512[[#This Row],[Education]]="", "", MROUND(tblPiNAnalysis512[[#This Row],[Education]]/tblPiNAnalysis512[[#This Row],[Affected population projection 2026]], 0.05)), "")</f>
        <v/>
      </c>
      <c r="Y150" s="322" t="str">
        <f>IFERROR(IF(tblPiNAnalysis512[[#This Row],[Nutrition]]="", "", MROUND(tblPiNAnalysis512[[#This Row],[Nutrition]]/tblPiNAnalysis512[[#This Row],[Affected population projection 2026]], 0.05)), "")</f>
        <v/>
      </c>
      <c r="Z150" s="322" t="str">
        <f>IFERROR(IF(tblPiNAnalysis512[[#This Row],[Food Security]]="", "", MROUND(tblPiNAnalysis512[[#This Row],[Food Security]]/tblPiNAnalysis512[[#This Row],[Affected population projection 2026]], 0.05)), "")</f>
        <v/>
      </c>
      <c r="AA150" s="322" t="str">
        <f>IFERROR(IF(tblPiNAnalysis512[[#This Row],[Health]]="", "", MROUND(tblPiNAnalysis512[[#This Row],[Health]]/tblPiNAnalysis512[[#This Row],[Affected population projection 2026]], 0.05)), "")</f>
        <v/>
      </c>
      <c r="AB150" s="323" t="str">
        <f>IFERROR(IF(tblPiNAnalysis512[[#This Row],[Overarching Protection]]="", "", MROUND(tblPiNAnalysis512[[#This Row],[Overarching Protection]]/tblPiNAnalysis512[[#This Row],[Affected population projection 2026]], 0.05)), "")</f>
        <v/>
      </c>
      <c r="AC150" s="323" t="str">
        <f>IFERROR(IF(tblPiNAnalysis512[[#This Row],[Shelter]]="", "", MROUND(tblPiNAnalysis512[[#This Row],[Shelter]]/tblPiNAnalysis512[[#This Row],[Affected population projection 2026]], 0.05)), "")</f>
        <v/>
      </c>
      <c r="AD150" s="324" t="str">
        <f>IFERROR(IF(tblPiNAnalysis512[[#This Row],[WASH]]="", "", MROUND(tblPiNAnalysis512[[#This Row],[WASH]]/tblPiNAnalysis512[[#This Row],[Affected population projection 2026]], 0.05)), "")</f>
        <v/>
      </c>
      <c r="AE150" s="322">
        <f>IFERROR(MROUND(tblPiNAnalysis512[[#This Row],[CP]]/tblPiNAnalysis512[[#This Row],[Affected population projection 2026]], 0.05), "")</f>
        <v>0</v>
      </c>
      <c r="AF150" s="322">
        <f>IFERROR(MROUND(tblPiNAnalysis512[[#This Row],[GBV]]/tblPiNAnalysis512[[#This Row],[Affected population projection 2026]], 0.05), "")</f>
        <v>0</v>
      </c>
      <c r="AG150" s="322">
        <f>IFERROR(MROUND(tblPiNAnalysis512[[#This Row],[Mine Action]]/tblPiNAnalysis512[[#This Row],[Affected population projection 2026]], 0.05), "")</f>
        <v>0</v>
      </c>
      <c r="AH150" s="322">
        <f>IFERROR(MROUND(tblPiNAnalysis512[[#This Row],[HLP]]/tblPiNAnalysis512[[#This Row],[Affected population projection 2026]], 0.05), "")</f>
        <v>0</v>
      </c>
      <c r="AI150" s="325" t="str">
        <f>IFERROR(LARGE(tblPiNAnalysis512[[#This Row],[CCCM]:[WASH]], 1), "")</f>
        <v/>
      </c>
      <c r="AJ150" s="326" t="str" cm="1">
        <f t="array" ref="AJ150">IF(tblPiNAnalysis512[[#This Row],[Highest Target]]="", "", _xlfn.TEXTJOIN(CHAR(10), TRUE, IF(tblPiNAnalysis512[[#This Row],[Highest Target]]=tblPiNAnalysis512[[#This Row],[CCCM]:[WASH]], tblPiNAnalysis512[[#Headers],[CCCM]:[WASH]], "")))</f>
        <v/>
      </c>
      <c r="AK150" s="327" t="str">
        <f>IF(tblPiNAnalysis512[[#This Row],[Highest Target]]="", "", tblPiNAnalysis512[[#This Row],[Highest Target]]/tblPiNAnalysis512[[#This Row],[Affected population projection 2026]])</f>
        <v/>
      </c>
      <c r="AL150" s="328" t="str">
        <f>IF(SUM(tblPiNAnalysis512[[#This Row],[CCCM]:[WASH]])=0, "",IF(COUNTIF(tblPiNAnalysis512[[#This Row],[CCCM]:[WASH]],"=0")+COUNTIF(tblPiNAnalysis512[[#This Row],[CCCM]:[WASH]],"")&gt;=zero_pin_thresh, "Flagged", ""))</f>
        <v/>
      </c>
      <c r="AM150" s="329" t="str">
        <f>IFERROR(IF(tblPiNAnalysis512[[#This Row],[Highest Target]]="", "", IF(tblPiNAnalysis512[[#This Row],[Highest sector(s'') Target %]]&gt;=flag_pin_perc, "Flagged", "")), "")</f>
        <v/>
      </c>
      <c r="AN150" s="330" t="str" cm="1">
        <f t="array" ref="AN150">IF(tblPiNAnalysis512[[#This Row],[Highest Target]]=0, "",  IF(OR(COUNTIF(tblPiNAnalysis512[[#This Row],[Highest sector(s)]],tblSubSectorPopulation[Sector])), "Flagged", ""))</f>
        <v/>
      </c>
      <c r="AO150" s="46" t="str" cm="1">
        <f t="array" ref="AO15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50" s="331" t="str" cm="1">
        <f t="array" ref="AP150">IF(tblPiNAnalysis512[[#This Row],[2nd Highest Target]]="", "", _xlfn.TEXTJOIN(CHAR(10), TRUE, IF(tblPiNAnalysis512[[#This Row],[2nd Highest Target]]=tblPiNAnalysis512[[#This Row],[CCCM]:[WASH]], tblPiNAnalysis512[[#Headers],[CCCM]:[WASH]], "")))</f>
        <v/>
      </c>
      <c r="AQ150" s="36" t="str">
        <f>IFERROR(tblPiNAnalysis512[[#This Row],[2nd Highest Target]]/tblPiNAnalysis512[[#This Row],[Affected population projection 2026]], "")</f>
        <v/>
      </c>
      <c r="AR150" s="46" t="str">
        <f>IFERROR(tblPiNAnalysis512[[#This Row],[Highest Target]]-tblPiNAnalysis512[[#This Row],[2nd Highest Target]], "")</f>
        <v/>
      </c>
      <c r="AS150" s="39" t="str">
        <f>IFERROR(((tblPiNAnalysis512[[#This Row],[Highest Target]]-tblPiNAnalysis512[[#This Row],[2nd Highest Target]])/tblPiNAnalysis512[[#This Row],[2nd Highest Target]]),"")</f>
        <v/>
      </c>
      <c r="AT150" s="39" t="str" cm="1">
        <f t="array" ref="AT15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0" s="332" t="str" cm="1">
        <f t="array" ref="AU15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50" s="190" t="str" cm="1">
        <f t="array" ref="AV150">IF(tblPiNAnalysis512[[#This Row],[3rd Highest Target]]="", "", _xlfn.TEXTJOIN(CHAR(10), TRUE, IF(tblPiNAnalysis512[[#This Row],[3rd Highest Target]]=tblPiNAnalysis512[[#This Row],[CCCM]:[WASH]], tblPiNAnalysis512[[#Headers],[CCCM]:[WASH]], "")))</f>
        <v/>
      </c>
      <c r="AW150" s="190" t="str">
        <f>IFERROR(tblPiNAnalysis512[[#This Row],[3rd Highest Target]]/tblPiNAnalysis512[[#This Row],[Affected population projection 2026]], "")</f>
        <v/>
      </c>
      <c r="AX150" s="45" t="str">
        <f>IFERROR(tblPiNAnalysis512[[#This Row],[Highest Target]]-tblPiNAnalysis512[[#This Row],[3rd Highest Target]],"")</f>
        <v/>
      </c>
      <c r="AY150" s="39" t="str">
        <f>IFERROR(tblPiNAnalysis512[[#This Row],[Difference of Target between Highest and 3rd Highest]]/tblPiNAnalysis512[[#This Row],[3rd Highest Target]], "")</f>
        <v/>
      </c>
      <c r="AZ150" s="330" t="str" cm="1">
        <f t="array" ref="AZ15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0" s="300" t="str" cm="1">
        <f t="array" ref="BA15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0" s="333" t="str" cm="1">
        <f t="array" ref="BB15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0" s="276" t="str" cm="1">
        <f t="array" ref="BC15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0" s="334" t="str" cm="1">
        <f t="array" ref="BD15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0" s="277" t="e">
        <f>INDEX(tblSeverityAnalysis[Final Severity], MATCH(tblPiNAnalysis512[[#This Row],[ID]],tblSeverityAnalysis[ID], 0))</f>
        <v>#N/A</v>
      </c>
      <c r="BF150" s="61" t="e">
        <f>IF(tblPiNAnalysis512[[#This Row],[Severity]]&gt;2,tblPiNAnalysis512[[#This Row],[Highest Target]],)</f>
        <v>#N/A</v>
      </c>
      <c r="BG150" s="191"/>
      <c r="BH150" s="192"/>
      <c r="BI150" s="193">
        <f>COUNTIFS(tblPiNAnalysis512[[#This Row],[Number of missing / zero PiNs greater than threshold - Data quality]:[Manual Flag]],"Flagged")</f>
        <v>2</v>
      </c>
      <c r="BJ150" s="96" t="str">
        <f>IF(tblPiNAnalysis512[[#This Row],['# Flags]]&gt;0, "Flagged", "")</f>
        <v>Flagged</v>
      </c>
      <c r="BK150" s="326" t="e">
        <f>tblPiNAnalysis512[[#This Row],[Preliminary Target]]</f>
        <v>#N/A</v>
      </c>
      <c r="BL150" s="331">
        <v>3</v>
      </c>
    </row>
    <row r="151" spans="1:64" ht="110.7" x14ac:dyDescent="0.55000000000000004">
      <c r="A1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1" s="316" t="s">
        <v>382</v>
      </c>
      <c r="C151" s="317" t="s">
        <v>383</v>
      </c>
      <c r="D151" s="317" t="s">
        <v>388</v>
      </c>
      <c r="E151" s="105" t="s">
        <v>389</v>
      </c>
      <c r="F151" s="100"/>
      <c r="G151" s="34"/>
      <c r="H151" s="34"/>
      <c r="I151" s="97">
        <v>225180.53774946873</v>
      </c>
      <c r="J151" s="97" t="s">
        <v>413</v>
      </c>
      <c r="K151" s="318">
        <v>0</v>
      </c>
      <c r="L151" s="319">
        <v>0</v>
      </c>
      <c r="M151" s="319">
        <v>0</v>
      </c>
      <c r="N151" s="319">
        <v>0</v>
      </c>
      <c r="O151" s="319">
        <v>0</v>
      </c>
      <c r="P151" s="319">
        <v>0</v>
      </c>
      <c r="Q151" s="320">
        <v>0</v>
      </c>
      <c r="R151" s="319">
        <v>0</v>
      </c>
      <c r="S151" s="319"/>
      <c r="T151" s="319"/>
      <c r="U151" s="319"/>
      <c r="V151" s="319"/>
      <c r="W151" s="321">
        <f>IFERROR(IF(tblPiNAnalysis512[[#This Row],[CCCM]]="", "", MROUND(tblPiNAnalysis512[[#This Row],[CCCM]]/tblPiNAnalysis512[[#This Row],[Affected population projection 2026]], 0.05)), "")</f>
        <v>0</v>
      </c>
      <c r="X151" s="322">
        <f>IFERROR(IF(tblPiNAnalysis512[[#This Row],[Education]]="", "", MROUND(tblPiNAnalysis512[[#This Row],[Education]]/tblPiNAnalysis512[[#This Row],[Affected population projection 2026]], 0.05)), "")</f>
        <v>0</v>
      </c>
      <c r="Y151" s="322">
        <f>IFERROR(IF(tblPiNAnalysis512[[#This Row],[Nutrition]]="", "", MROUND(tblPiNAnalysis512[[#This Row],[Nutrition]]/tblPiNAnalysis512[[#This Row],[Affected population projection 2026]], 0.05)), "")</f>
        <v>0</v>
      </c>
      <c r="Z151" s="322">
        <f>IFERROR(IF(tblPiNAnalysis512[[#This Row],[Food Security]]="", "", MROUND(tblPiNAnalysis512[[#This Row],[Food Security]]/tblPiNAnalysis512[[#This Row],[Affected population projection 2026]], 0.05)), "")</f>
        <v>0</v>
      </c>
      <c r="AA151" s="322">
        <f>IFERROR(IF(tblPiNAnalysis512[[#This Row],[Health]]="", "", MROUND(tblPiNAnalysis512[[#This Row],[Health]]/tblPiNAnalysis512[[#This Row],[Affected population projection 2026]], 0.05)), "")</f>
        <v>0</v>
      </c>
      <c r="AB151" s="323">
        <f>IFERROR(IF(tblPiNAnalysis512[[#This Row],[Overarching Protection]]="", "", MROUND(tblPiNAnalysis512[[#This Row],[Overarching Protection]]/tblPiNAnalysis512[[#This Row],[Affected population projection 2026]], 0.05)), "")</f>
        <v>0</v>
      </c>
      <c r="AC151" s="323">
        <f>IFERROR(IF(tblPiNAnalysis512[[#This Row],[Shelter]]="", "", MROUND(tblPiNAnalysis512[[#This Row],[Shelter]]/tblPiNAnalysis512[[#This Row],[Affected population projection 2026]], 0.05)), "")</f>
        <v>0</v>
      </c>
      <c r="AD151" s="324">
        <f>IFERROR(IF(tblPiNAnalysis512[[#This Row],[WASH]]="", "", MROUND(tblPiNAnalysis512[[#This Row],[WASH]]/tblPiNAnalysis512[[#This Row],[Affected population projection 2026]], 0.05)), "")</f>
        <v>0</v>
      </c>
      <c r="AE151" s="322">
        <f>IFERROR(MROUND(tblPiNAnalysis512[[#This Row],[CP]]/tblPiNAnalysis512[[#This Row],[Affected population projection 2026]], 0.05), "")</f>
        <v>0</v>
      </c>
      <c r="AF151" s="322">
        <f>IFERROR(MROUND(tblPiNAnalysis512[[#This Row],[GBV]]/tblPiNAnalysis512[[#This Row],[Affected population projection 2026]], 0.05), "")</f>
        <v>0</v>
      </c>
      <c r="AG151" s="322">
        <f>IFERROR(MROUND(tblPiNAnalysis512[[#This Row],[Mine Action]]/tblPiNAnalysis512[[#This Row],[Affected population projection 2026]], 0.05), "")</f>
        <v>0</v>
      </c>
      <c r="AH151" s="322">
        <f>IFERROR(MROUND(tblPiNAnalysis512[[#This Row],[HLP]]/tblPiNAnalysis512[[#This Row],[Affected population projection 2026]], 0.05), "")</f>
        <v>0</v>
      </c>
      <c r="AI151" s="325">
        <f>IFERROR(LARGE(tblPiNAnalysis512[[#This Row],[CCCM]:[WASH]], 1), "")</f>
        <v>0</v>
      </c>
      <c r="AJ151" s="326" t="str" cm="1">
        <f t="array" ref="AJ151">IF(tblPiNAnalysis512[[#This Row],[Highest Target]]="", "", _xlfn.TEXTJOIN(CHAR(10), TRUE, IF(tblPiNAnalysis512[[#This Row],[Highest Target]]=tblPiNAnalysis512[[#This Row],[CCCM]:[WASH]], tblPiNAnalysis512[[#Headers],[CCCM]:[WASH]], "")))</f>
        <v>CCCM
Education
Nutrition
Food Security
Health
Overarching Protection
Shelter
WASH</v>
      </c>
      <c r="AK151" s="327">
        <f>IF(tblPiNAnalysis512[[#This Row],[Highest Target]]="", "", tblPiNAnalysis512[[#This Row],[Highest Target]]/tblPiNAnalysis512[[#This Row],[Affected population projection 2026]])</f>
        <v>0</v>
      </c>
      <c r="AL151" s="328" t="str">
        <f>IF(SUM(tblPiNAnalysis512[[#This Row],[CCCM]:[WASH]])=0, "",IF(COUNTIF(tblPiNAnalysis512[[#This Row],[CCCM]:[WASH]],"=0")+COUNTIF(tblPiNAnalysis512[[#This Row],[CCCM]:[WASH]],"")&gt;=zero_pin_thresh, "Flagged", ""))</f>
        <v/>
      </c>
      <c r="AM151" s="329" t="str">
        <f>IFERROR(IF(tblPiNAnalysis512[[#This Row],[Highest Target]]="", "", IF(tblPiNAnalysis512[[#This Row],[Highest sector(s'') Target %]]&gt;=flag_pin_perc, "Flagged", "")), "")</f>
        <v/>
      </c>
      <c r="AN151" s="330" t="str" cm="1">
        <f t="array" ref="AN151">IF(tblPiNAnalysis512[[#This Row],[Highest Target]]=0, "",  IF(OR(COUNTIF(tblPiNAnalysis512[[#This Row],[Highest sector(s)]],tblSubSectorPopulation[Sector])), "Flagged", ""))</f>
        <v/>
      </c>
      <c r="AO151" s="46" cm="1">
        <f t="array" ref="AO15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1" s="331" t="str" cm="1">
        <f t="array" ref="AP151">IF(tblPiNAnalysis512[[#This Row],[2nd Highest Target]]="", "", _xlfn.TEXTJOIN(CHAR(10), TRUE, IF(tblPiNAnalysis512[[#This Row],[2nd Highest Target]]=tblPiNAnalysis512[[#This Row],[CCCM]:[WASH]], tblPiNAnalysis512[[#Headers],[CCCM]:[WASH]], "")))</f>
        <v>CCCM
Education
Nutrition
Food Security
Health
Overarching Protection
Shelter
WASH</v>
      </c>
      <c r="AQ151" s="36">
        <f>IFERROR(tblPiNAnalysis512[[#This Row],[2nd Highest Target]]/tblPiNAnalysis512[[#This Row],[Affected population projection 2026]], "")</f>
        <v>0</v>
      </c>
      <c r="AR151" s="46">
        <f>IFERROR(tblPiNAnalysis512[[#This Row],[Highest Target]]-tblPiNAnalysis512[[#This Row],[2nd Highest Target]], "")</f>
        <v>0</v>
      </c>
      <c r="AS151" s="39" t="str">
        <f>IFERROR(((tblPiNAnalysis512[[#This Row],[Highest Target]]-tblPiNAnalysis512[[#This Row],[2nd Highest Target]])/tblPiNAnalysis512[[#This Row],[2nd Highest Target]]),"")</f>
        <v/>
      </c>
      <c r="AT151" s="39" t="str" cm="1">
        <f t="array" ref="AT15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1" s="332" cm="1">
        <f t="array" ref="AU15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1" s="190" t="str" cm="1">
        <f t="array" ref="AV151">IF(tblPiNAnalysis512[[#This Row],[3rd Highest Target]]="", "", _xlfn.TEXTJOIN(CHAR(10), TRUE, IF(tblPiNAnalysis512[[#This Row],[3rd Highest Target]]=tblPiNAnalysis512[[#This Row],[CCCM]:[WASH]], tblPiNAnalysis512[[#Headers],[CCCM]:[WASH]], "")))</f>
        <v>CCCM
Education
Nutrition
Food Security
Health
Overarching Protection
Shelter
WASH</v>
      </c>
      <c r="AW151" s="190">
        <f>IFERROR(tblPiNAnalysis512[[#This Row],[3rd Highest Target]]/tblPiNAnalysis512[[#This Row],[Affected population projection 2026]], "")</f>
        <v>0</v>
      </c>
      <c r="AX151" s="45">
        <f>IFERROR(tblPiNAnalysis512[[#This Row],[Highest Target]]-tblPiNAnalysis512[[#This Row],[3rd Highest Target]],"")</f>
        <v>0</v>
      </c>
      <c r="AY151" s="39" t="str">
        <f>IFERROR(tblPiNAnalysis512[[#This Row],[Difference of Target between Highest and 3rd Highest]]/tblPiNAnalysis512[[#This Row],[3rd Highest Target]], "")</f>
        <v/>
      </c>
      <c r="AZ151" s="330" t="str" cm="1">
        <f t="array" ref="AZ15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1" s="300" t="str" cm="1">
        <f t="array" ref="BA15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1" s="333" t="str" cm="1">
        <f t="array" ref="BB15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1" s="276" t="str" cm="1">
        <f t="array" ref="BC15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1" s="334" t="str" cm="1">
        <f t="array" ref="BD15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1" s="277" t="e">
        <f>INDEX(tblSeverityAnalysis[Final Severity], MATCH(tblPiNAnalysis512[[#This Row],[ID]],tblSeverityAnalysis[ID], 0))</f>
        <v>#N/A</v>
      </c>
      <c r="BF151" s="61" t="e">
        <f>IF(tblPiNAnalysis512[[#This Row],[Severity]]&gt;2,tblPiNAnalysis512[[#This Row],[Highest Target]],)</f>
        <v>#N/A</v>
      </c>
      <c r="BG151" s="191"/>
      <c r="BH151" s="192"/>
      <c r="BI151" s="193">
        <f>COUNTIFS(tblPiNAnalysis512[[#This Row],[Number of missing / zero PiNs greater than threshold - Data quality]:[Manual Flag]],"Flagged")</f>
        <v>2</v>
      </c>
      <c r="BJ151" s="96" t="str">
        <f>IF(tblPiNAnalysis512[[#This Row],['# Flags]]&gt;0, "Flagged", "")</f>
        <v>Flagged</v>
      </c>
      <c r="BK151" s="326" t="e">
        <f>tblPiNAnalysis512[[#This Row],[Preliminary Target]]</f>
        <v>#N/A</v>
      </c>
      <c r="BL151" s="331">
        <v>4</v>
      </c>
    </row>
    <row r="152" spans="1:64" x14ac:dyDescent="0.55000000000000004">
      <c r="A1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2" s="316" t="s">
        <v>390</v>
      </c>
      <c r="C152" s="317" t="s">
        <v>391</v>
      </c>
      <c r="D152" s="317" t="s">
        <v>392</v>
      </c>
      <c r="E152" s="105" t="s">
        <v>393</v>
      </c>
      <c r="F152" s="100"/>
      <c r="G152" s="34"/>
      <c r="H152" s="34"/>
      <c r="I152" s="97">
        <v>73520.181474041485</v>
      </c>
      <c r="J152" s="97" t="s">
        <v>413</v>
      </c>
      <c r="K152" s="318"/>
      <c r="L152" s="319"/>
      <c r="M152" s="319"/>
      <c r="N152" s="319"/>
      <c r="O152" s="319"/>
      <c r="P152" s="319"/>
      <c r="Q152" s="320"/>
      <c r="R152" s="319"/>
      <c r="S152" s="319"/>
      <c r="T152" s="319"/>
      <c r="U152" s="319"/>
      <c r="V152" s="319"/>
      <c r="W152" s="321" t="str">
        <f>IFERROR(IF(tblPiNAnalysis512[[#This Row],[CCCM]]="", "", MROUND(tblPiNAnalysis512[[#This Row],[CCCM]]/tblPiNAnalysis512[[#This Row],[Affected population projection 2026]], 0.05)), "")</f>
        <v/>
      </c>
      <c r="X152" s="322" t="str">
        <f>IFERROR(IF(tblPiNAnalysis512[[#This Row],[Education]]="", "", MROUND(tblPiNAnalysis512[[#This Row],[Education]]/tblPiNAnalysis512[[#This Row],[Affected population projection 2026]], 0.05)), "")</f>
        <v/>
      </c>
      <c r="Y152" s="322" t="str">
        <f>IFERROR(IF(tblPiNAnalysis512[[#This Row],[Nutrition]]="", "", MROUND(tblPiNAnalysis512[[#This Row],[Nutrition]]/tblPiNAnalysis512[[#This Row],[Affected population projection 2026]], 0.05)), "")</f>
        <v/>
      </c>
      <c r="Z152" s="322" t="str">
        <f>IFERROR(IF(tblPiNAnalysis512[[#This Row],[Food Security]]="", "", MROUND(tblPiNAnalysis512[[#This Row],[Food Security]]/tblPiNAnalysis512[[#This Row],[Affected population projection 2026]], 0.05)), "")</f>
        <v/>
      </c>
      <c r="AA152" s="322" t="str">
        <f>IFERROR(IF(tblPiNAnalysis512[[#This Row],[Health]]="", "", MROUND(tblPiNAnalysis512[[#This Row],[Health]]/tblPiNAnalysis512[[#This Row],[Affected population projection 2026]], 0.05)), "")</f>
        <v/>
      </c>
      <c r="AB152" s="323" t="str">
        <f>IFERROR(IF(tblPiNAnalysis512[[#This Row],[Overarching Protection]]="", "", MROUND(tblPiNAnalysis512[[#This Row],[Overarching Protection]]/tblPiNAnalysis512[[#This Row],[Affected population projection 2026]], 0.05)), "")</f>
        <v/>
      </c>
      <c r="AC152" s="323" t="str">
        <f>IFERROR(IF(tblPiNAnalysis512[[#This Row],[Shelter]]="", "", MROUND(tblPiNAnalysis512[[#This Row],[Shelter]]/tblPiNAnalysis512[[#This Row],[Affected population projection 2026]], 0.05)), "")</f>
        <v/>
      </c>
      <c r="AD152" s="324" t="str">
        <f>IFERROR(IF(tblPiNAnalysis512[[#This Row],[WASH]]="", "", MROUND(tblPiNAnalysis512[[#This Row],[WASH]]/tblPiNAnalysis512[[#This Row],[Affected population projection 2026]], 0.05)), "")</f>
        <v/>
      </c>
      <c r="AE152" s="322">
        <f>IFERROR(MROUND(tblPiNAnalysis512[[#This Row],[CP]]/tblPiNAnalysis512[[#This Row],[Affected population projection 2026]], 0.05), "")</f>
        <v>0</v>
      </c>
      <c r="AF152" s="322">
        <f>IFERROR(MROUND(tblPiNAnalysis512[[#This Row],[GBV]]/tblPiNAnalysis512[[#This Row],[Affected population projection 2026]], 0.05), "")</f>
        <v>0</v>
      </c>
      <c r="AG152" s="322">
        <f>IFERROR(MROUND(tblPiNAnalysis512[[#This Row],[Mine Action]]/tblPiNAnalysis512[[#This Row],[Affected population projection 2026]], 0.05), "")</f>
        <v>0</v>
      </c>
      <c r="AH152" s="322">
        <f>IFERROR(MROUND(tblPiNAnalysis512[[#This Row],[HLP]]/tblPiNAnalysis512[[#This Row],[Affected population projection 2026]], 0.05), "")</f>
        <v>0</v>
      </c>
      <c r="AI152" s="325" t="str">
        <f>IFERROR(LARGE(tblPiNAnalysis512[[#This Row],[CCCM]:[WASH]], 1), "")</f>
        <v/>
      </c>
      <c r="AJ152" s="326" t="str" cm="1">
        <f t="array" ref="AJ152">IF(tblPiNAnalysis512[[#This Row],[Highest Target]]="", "", _xlfn.TEXTJOIN(CHAR(10), TRUE, IF(tblPiNAnalysis512[[#This Row],[Highest Target]]=tblPiNAnalysis512[[#This Row],[CCCM]:[WASH]], tblPiNAnalysis512[[#Headers],[CCCM]:[WASH]], "")))</f>
        <v/>
      </c>
      <c r="AK152" s="327" t="str">
        <f>IF(tblPiNAnalysis512[[#This Row],[Highest Target]]="", "", tblPiNAnalysis512[[#This Row],[Highest Target]]/tblPiNAnalysis512[[#This Row],[Affected population projection 2026]])</f>
        <v/>
      </c>
      <c r="AL152" s="328" t="str">
        <f>IF(SUM(tblPiNAnalysis512[[#This Row],[CCCM]:[WASH]])=0, "",IF(COUNTIF(tblPiNAnalysis512[[#This Row],[CCCM]:[WASH]],"=0")+COUNTIF(tblPiNAnalysis512[[#This Row],[CCCM]:[WASH]],"")&gt;=zero_pin_thresh, "Flagged", ""))</f>
        <v/>
      </c>
      <c r="AM152" s="329" t="str">
        <f>IFERROR(IF(tblPiNAnalysis512[[#This Row],[Highest Target]]="", "", IF(tblPiNAnalysis512[[#This Row],[Highest sector(s'') Target %]]&gt;=flag_pin_perc, "Flagged", "")), "")</f>
        <v/>
      </c>
      <c r="AN152" s="330" t="str" cm="1">
        <f t="array" ref="AN152">IF(tblPiNAnalysis512[[#This Row],[Highest Target]]=0, "",  IF(OR(COUNTIF(tblPiNAnalysis512[[#This Row],[Highest sector(s)]],tblSubSectorPopulation[Sector])), "Flagged", ""))</f>
        <v/>
      </c>
      <c r="AO152" s="46" t="str" cm="1">
        <f t="array" ref="AO15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52" s="331" t="str" cm="1">
        <f t="array" ref="AP152">IF(tblPiNAnalysis512[[#This Row],[2nd Highest Target]]="", "", _xlfn.TEXTJOIN(CHAR(10), TRUE, IF(tblPiNAnalysis512[[#This Row],[2nd Highest Target]]=tblPiNAnalysis512[[#This Row],[CCCM]:[WASH]], tblPiNAnalysis512[[#Headers],[CCCM]:[WASH]], "")))</f>
        <v/>
      </c>
      <c r="AQ152" s="36" t="str">
        <f>IFERROR(tblPiNAnalysis512[[#This Row],[2nd Highest Target]]/tblPiNAnalysis512[[#This Row],[Affected population projection 2026]], "")</f>
        <v/>
      </c>
      <c r="AR152" s="46" t="str">
        <f>IFERROR(tblPiNAnalysis512[[#This Row],[Highest Target]]-tblPiNAnalysis512[[#This Row],[2nd Highest Target]], "")</f>
        <v/>
      </c>
      <c r="AS152" s="39" t="str">
        <f>IFERROR(((tblPiNAnalysis512[[#This Row],[Highest Target]]-tblPiNAnalysis512[[#This Row],[2nd Highest Target]])/tblPiNAnalysis512[[#This Row],[2nd Highest Target]]),"")</f>
        <v/>
      </c>
      <c r="AT152" s="39" t="str" cm="1">
        <f t="array" ref="AT15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2" s="332" t="str" cm="1">
        <f t="array" ref="AU15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52" s="190" t="str" cm="1">
        <f t="array" ref="AV152">IF(tblPiNAnalysis512[[#This Row],[3rd Highest Target]]="", "", _xlfn.TEXTJOIN(CHAR(10), TRUE, IF(tblPiNAnalysis512[[#This Row],[3rd Highest Target]]=tblPiNAnalysis512[[#This Row],[CCCM]:[WASH]], tblPiNAnalysis512[[#Headers],[CCCM]:[WASH]], "")))</f>
        <v/>
      </c>
      <c r="AW152" s="190" t="str">
        <f>IFERROR(tblPiNAnalysis512[[#This Row],[3rd Highest Target]]/tblPiNAnalysis512[[#This Row],[Affected population projection 2026]], "")</f>
        <v/>
      </c>
      <c r="AX152" s="45" t="str">
        <f>IFERROR(tblPiNAnalysis512[[#This Row],[Highest Target]]-tblPiNAnalysis512[[#This Row],[3rd Highest Target]],"")</f>
        <v/>
      </c>
      <c r="AY152" s="39" t="str">
        <f>IFERROR(tblPiNAnalysis512[[#This Row],[Difference of Target between Highest and 3rd Highest]]/tblPiNAnalysis512[[#This Row],[3rd Highest Target]], "")</f>
        <v/>
      </c>
      <c r="AZ152" s="330" t="str" cm="1">
        <f t="array" ref="AZ15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2" s="300" t="str" cm="1">
        <f t="array" ref="BA15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2" s="333" t="str" cm="1">
        <f t="array" ref="BB15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2" s="276" t="str" cm="1">
        <f t="array" ref="BC15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2" s="334" t="str" cm="1">
        <f t="array" ref="BD15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2" s="277" t="e">
        <f>INDEX(tblSeverityAnalysis[Final Severity], MATCH(tblPiNAnalysis512[[#This Row],[ID]],tblSeverityAnalysis[ID], 0))</f>
        <v>#N/A</v>
      </c>
      <c r="BF152" s="61" t="e">
        <f>IF(tblPiNAnalysis512[[#This Row],[Severity]]&gt;2,tblPiNAnalysis512[[#This Row],[Highest Target]],)</f>
        <v>#N/A</v>
      </c>
      <c r="BG152" s="191"/>
      <c r="BH152" s="192"/>
      <c r="BI152" s="193">
        <f>COUNTIFS(tblPiNAnalysis512[[#This Row],[Number of missing / zero PiNs greater than threshold - Data quality]:[Manual Flag]],"Flagged")</f>
        <v>2</v>
      </c>
      <c r="BJ152" s="96" t="str">
        <f>IF(tblPiNAnalysis512[[#This Row],['# Flags]]&gt;0, "Flagged", "")</f>
        <v>Flagged</v>
      </c>
      <c r="BK152" s="326" t="e">
        <f>tblPiNAnalysis512[[#This Row],[Preliminary Target]]</f>
        <v>#N/A</v>
      </c>
      <c r="BL152" s="331">
        <v>3</v>
      </c>
    </row>
    <row r="153" spans="1:64" ht="110.7" x14ac:dyDescent="0.55000000000000004">
      <c r="A1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3" s="316" t="s">
        <v>390</v>
      </c>
      <c r="C153" s="317" t="s">
        <v>391</v>
      </c>
      <c r="D153" s="317" t="s">
        <v>394</v>
      </c>
      <c r="E153" s="105" t="s">
        <v>395</v>
      </c>
      <c r="F153" s="100"/>
      <c r="G153" s="34"/>
      <c r="H153" s="34"/>
      <c r="I153" s="97">
        <v>47140.450098552225</v>
      </c>
      <c r="J153" s="97" t="s">
        <v>413</v>
      </c>
      <c r="K153" s="318">
        <v>0</v>
      </c>
      <c r="L153" s="319">
        <v>0</v>
      </c>
      <c r="M153" s="319">
        <v>0</v>
      </c>
      <c r="N153" s="319">
        <v>0</v>
      </c>
      <c r="O153" s="319">
        <v>0</v>
      </c>
      <c r="P153" s="319">
        <v>0</v>
      </c>
      <c r="Q153" s="320">
        <v>0</v>
      </c>
      <c r="R153" s="319">
        <v>0</v>
      </c>
      <c r="S153" s="319"/>
      <c r="T153" s="319"/>
      <c r="U153" s="319"/>
      <c r="V153" s="319"/>
      <c r="W153" s="321">
        <f>IFERROR(IF(tblPiNAnalysis512[[#This Row],[CCCM]]="", "", MROUND(tblPiNAnalysis512[[#This Row],[CCCM]]/tblPiNAnalysis512[[#This Row],[Affected population projection 2026]], 0.05)), "")</f>
        <v>0</v>
      </c>
      <c r="X153" s="322">
        <f>IFERROR(IF(tblPiNAnalysis512[[#This Row],[Education]]="", "", MROUND(tblPiNAnalysis512[[#This Row],[Education]]/tblPiNAnalysis512[[#This Row],[Affected population projection 2026]], 0.05)), "")</f>
        <v>0</v>
      </c>
      <c r="Y153" s="322">
        <f>IFERROR(IF(tblPiNAnalysis512[[#This Row],[Nutrition]]="", "", MROUND(tblPiNAnalysis512[[#This Row],[Nutrition]]/tblPiNAnalysis512[[#This Row],[Affected population projection 2026]], 0.05)), "")</f>
        <v>0</v>
      </c>
      <c r="Z153" s="322">
        <f>IFERROR(IF(tblPiNAnalysis512[[#This Row],[Food Security]]="", "", MROUND(tblPiNAnalysis512[[#This Row],[Food Security]]/tblPiNAnalysis512[[#This Row],[Affected population projection 2026]], 0.05)), "")</f>
        <v>0</v>
      </c>
      <c r="AA153" s="322">
        <f>IFERROR(IF(tblPiNAnalysis512[[#This Row],[Health]]="", "", MROUND(tblPiNAnalysis512[[#This Row],[Health]]/tblPiNAnalysis512[[#This Row],[Affected population projection 2026]], 0.05)), "")</f>
        <v>0</v>
      </c>
      <c r="AB153" s="323">
        <f>IFERROR(IF(tblPiNAnalysis512[[#This Row],[Overarching Protection]]="", "", MROUND(tblPiNAnalysis512[[#This Row],[Overarching Protection]]/tblPiNAnalysis512[[#This Row],[Affected population projection 2026]], 0.05)), "")</f>
        <v>0</v>
      </c>
      <c r="AC153" s="323">
        <f>IFERROR(IF(tblPiNAnalysis512[[#This Row],[Shelter]]="", "", MROUND(tblPiNAnalysis512[[#This Row],[Shelter]]/tblPiNAnalysis512[[#This Row],[Affected population projection 2026]], 0.05)), "")</f>
        <v>0</v>
      </c>
      <c r="AD153" s="324">
        <f>IFERROR(IF(tblPiNAnalysis512[[#This Row],[WASH]]="", "", MROUND(tblPiNAnalysis512[[#This Row],[WASH]]/tblPiNAnalysis512[[#This Row],[Affected population projection 2026]], 0.05)), "")</f>
        <v>0</v>
      </c>
      <c r="AE153" s="322">
        <f>IFERROR(MROUND(tblPiNAnalysis512[[#This Row],[CP]]/tblPiNAnalysis512[[#This Row],[Affected population projection 2026]], 0.05), "")</f>
        <v>0</v>
      </c>
      <c r="AF153" s="322">
        <f>IFERROR(MROUND(tblPiNAnalysis512[[#This Row],[GBV]]/tblPiNAnalysis512[[#This Row],[Affected population projection 2026]], 0.05), "")</f>
        <v>0</v>
      </c>
      <c r="AG153" s="322">
        <f>IFERROR(MROUND(tblPiNAnalysis512[[#This Row],[Mine Action]]/tblPiNAnalysis512[[#This Row],[Affected population projection 2026]], 0.05), "")</f>
        <v>0</v>
      </c>
      <c r="AH153" s="322">
        <f>IFERROR(MROUND(tblPiNAnalysis512[[#This Row],[HLP]]/tblPiNAnalysis512[[#This Row],[Affected population projection 2026]], 0.05), "")</f>
        <v>0</v>
      </c>
      <c r="AI153" s="325">
        <f>IFERROR(LARGE(tblPiNAnalysis512[[#This Row],[CCCM]:[WASH]], 1), "")</f>
        <v>0</v>
      </c>
      <c r="AJ153" s="326" t="str" cm="1">
        <f t="array" ref="AJ153">IF(tblPiNAnalysis512[[#This Row],[Highest Target]]="", "", _xlfn.TEXTJOIN(CHAR(10), TRUE, IF(tblPiNAnalysis512[[#This Row],[Highest Target]]=tblPiNAnalysis512[[#This Row],[CCCM]:[WASH]], tblPiNAnalysis512[[#Headers],[CCCM]:[WASH]], "")))</f>
        <v>CCCM
Education
Nutrition
Food Security
Health
Overarching Protection
Shelter
WASH</v>
      </c>
      <c r="AK153" s="327">
        <f>IF(tblPiNAnalysis512[[#This Row],[Highest Target]]="", "", tblPiNAnalysis512[[#This Row],[Highest Target]]/tblPiNAnalysis512[[#This Row],[Affected population projection 2026]])</f>
        <v>0</v>
      </c>
      <c r="AL153" s="328" t="str">
        <f>IF(SUM(tblPiNAnalysis512[[#This Row],[CCCM]:[WASH]])=0, "",IF(COUNTIF(tblPiNAnalysis512[[#This Row],[CCCM]:[WASH]],"=0")+COUNTIF(tblPiNAnalysis512[[#This Row],[CCCM]:[WASH]],"")&gt;=zero_pin_thresh, "Flagged", ""))</f>
        <v/>
      </c>
      <c r="AM153" s="329" t="str">
        <f>IFERROR(IF(tblPiNAnalysis512[[#This Row],[Highest Target]]="", "", IF(tblPiNAnalysis512[[#This Row],[Highest sector(s'') Target %]]&gt;=flag_pin_perc, "Flagged", "")), "")</f>
        <v/>
      </c>
      <c r="AN153" s="330" t="str" cm="1">
        <f t="array" ref="AN153">IF(tblPiNAnalysis512[[#This Row],[Highest Target]]=0, "",  IF(OR(COUNTIF(tblPiNAnalysis512[[#This Row],[Highest sector(s)]],tblSubSectorPopulation[Sector])), "Flagged", ""))</f>
        <v/>
      </c>
      <c r="AO153" s="46" cm="1">
        <f t="array" ref="AO15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3" s="331" t="str" cm="1">
        <f t="array" ref="AP153">IF(tblPiNAnalysis512[[#This Row],[2nd Highest Target]]="", "", _xlfn.TEXTJOIN(CHAR(10), TRUE, IF(tblPiNAnalysis512[[#This Row],[2nd Highest Target]]=tblPiNAnalysis512[[#This Row],[CCCM]:[WASH]], tblPiNAnalysis512[[#Headers],[CCCM]:[WASH]], "")))</f>
        <v>CCCM
Education
Nutrition
Food Security
Health
Overarching Protection
Shelter
WASH</v>
      </c>
      <c r="AQ153" s="36">
        <f>IFERROR(tblPiNAnalysis512[[#This Row],[2nd Highest Target]]/tblPiNAnalysis512[[#This Row],[Affected population projection 2026]], "")</f>
        <v>0</v>
      </c>
      <c r="AR153" s="46">
        <f>IFERROR(tblPiNAnalysis512[[#This Row],[Highest Target]]-tblPiNAnalysis512[[#This Row],[2nd Highest Target]], "")</f>
        <v>0</v>
      </c>
      <c r="AS153" s="39" t="str">
        <f>IFERROR(((tblPiNAnalysis512[[#This Row],[Highest Target]]-tblPiNAnalysis512[[#This Row],[2nd Highest Target]])/tblPiNAnalysis512[[#This Row],[2nd Highest Target]]),"")</f>
        <v/>
      </c>
      <c r="AT153" s="39" t="str" cm="1">
        <f t="array" ref="AT15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3" s="332" cm="1">
        <f t="array" ref="AU15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3" s="190" t="str" cm="1">
        <f t="array" ref="AV153">IF(tblPiNAnalysis512[[#This Row],[3rd Highest Target]]="", "", _xlfn.TEXTJOIN(CHAR(10), TRUE, IF(tblPiNAnalysis512[[#This Row],[3rd Highest Target]]=tblPiNAnalysis512[[#This Row],[CCCM]:[WASH]], tblPiNAnalysis512[[#Headers],[CCCM]:[WASH]], "")))</f>
        <v>CCCM
Education
Nutrition
Food Security
Health
Overarching Protection
Shelter
WASH</v>
      </c>
      <c r="AW153" s="190">
        <f>IFERROR(tblPiNAnalysis512[[#This Row],[3rd Highest Target]]/tblPiNAnalysis512[[#This Row],[Affected population projection 2026]], "")</f>
        <v>0</v>
      </c>
      <c r="AX153" s="45">
        <f>IFERROR(tblPiNAnalysis512[[#This Row],[Highest Target]]-tblPiNAnalysis512[[#This Row],[3rd Highest Target]],"")</f>
        <v>0</v>
      </c>
      <c r="AY153" s="39" t="str">
        <f>IFERROR(tblPiNAnalysis512[[#This Row],[Difference of Target between Highest and 3rd Highest]]/tblPiNAnalysis512[[#This Row],[3rd Highest Target]], "")</f>
        <v/>
      </c>
      <c r="AZ153" s="330" t="str" cm="1">
        <f t="array" ref="AZ15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3" s="300" t="str" cm="1">
        <f t="array" ref="BA15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3" s="333" t="str" cm="1">
        <f t="array" ref="BB15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3" s="276" t="str" cm="1">
        <f t="array" ref="BC15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3" s="334" t="str" cm="1">
        <f t="array" ref="BD15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3" s="277" t="e">
        <f>INDEX(tblSeverityAnalysis[Final Severity], MATCH(tblPiNAnalysis512[[#This Row],[ID]],tblSeverityAnalysis[ID], 0))</f>
        <v>#N/A</v>
      </c>
      <c r="BF153" s="61" t="e">
        <f>IF(tblPiNAnalysis512[[#This Row],[Severity]]&gt;2,tblPiNAnalysis512[[#This Row],[Highest Target]],)</f>
        <v>#N/A</v>
      </c>
      <c r="BG153" s="191"/>
      <c r="BH153" s="192"/>
      <c r="BI153" s="193">
        <f>COUNTIFS(tblPiNAnalysis512[[#This Row],[Number of missing / zero PiNs greater than threshold - Data quality]:[Manual Flag]],"Flagged")</f>
        <v>2</v>
      </c>
      <c r="BJ153" s="96" t="str">
        <f>IF(tblPiNAnalysis512[[#This Row],['# Flags]]&gt;0, "Flagged", "")</f>
        <v>Flagged</v>
      </c>
      <c r="BK153" s="326" t="e">
        <f>tblPiNAnalysis512[[#This Row],[Preliminary Target]]</f>
        <v>#N/A</v>
      </c>
      <c r="BL153" s="331">
        <v>5</v>
      </c>
    </row>
    <row r="154" spans="1:64" ht="110.7" x14ac:dyDescent="0.55000000000000004">
      <c r="A1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4" s="316" t="s">
        <v>390</v>
      </c>
      <c r="C154" s="317" t="s">
        <v>391</v>
      </c>
      <c r="D154" s="317" t="s">
        <v>396</v>
      </c>
      <c r="E154" s="105" t="s">
        <v>397</v>
      </c>
      <c r="F154" s="100"/>
      <c r="G154" s="34"/>
      <c r="H154" s="34"/>
      <c r="I154" s="97">
        <v>80255.412925910496</v>
      </c>
      <c r="J154" s="97" t="s">
        <v>413</v>
      </c>
      <c r="K154" s="318">
        <v>0</v>
      </c>
      <c r="L154" s="319">
        <v>0</v>
      </c>
      <c r="M154" s="319">
        <v>0</v>
      </c>
      <c r="N154" s="319">
        <v>0</v>
      </c>
      <c r="O154" s="319">
        <v>0</v>
      </c>
      <c r="P154" s="319">
        <v>0</v>
      </c>
      <c r="Q154" s="320">
        <v>0</v>
      </c>
      <c r="R154" s="319">
        <v>0</v>
      </c>
      <c r="S154" s="319"/>
      <c r="T154" s="319"/>
      <c r="U154" s="319"/>
      <c r="V154" s="319"/>
      <c r="W154" s="321">
        <f>IFERROR(IF(tblPiNAnalysis512[[#This Row],[CCCM]]="", "", MROUND(tblPiNAnalysis512[[#This Row],[CCCM]]/tblPiNAnalysis512[[#This Row],[Affected population projection 2026]], 0.05)), "")</f>
        <v>0</v>
      </c>
      <c r="X154" s="322">
        <f>IFERROR(IF(tblPiNAnalysis512[[#This Row],[Education]]="", "", MROUND(tblPiNAnalysis512[[#This Row],[Education]]/tblPiNAnalysis512[[#This Row],[Affected population projection 2026]], 0.05)), "")</f>
        <v>0</v>
      </c>
      <c r="Y154" s="322">
        <f>IFERROR(IF(tblPiNAnalysis512[[#This Row],[Nutrition]]="", "", MROUND(tblPiNAnalysis512[[#This Row],[Nutrition]]/tblPiNAnalysis512[[#This Row],[Affected population projection 2026]], 0.05)), "")</f>
        <v>0</v>
      </c>
      <c r="Z154" s="322">
        <f>IFERROR(IF(tblPiNAnalysis512[[#This Row],[Food Security]]="", "", MROUND(tblPiNAnalysis512[[#This Row],[Food Security]]/tblPiNAnalysis512[[#This Row],[Affected population projection 2026]], 0.05)), "")</f>
        <v>0</v>
      </c>
      <c r="AA154" s="322">
        <f>IFERROR(IF(tblPiNAnalysis512[[#This Row],[Health]]="", "", MROUND(tblPiNAnalysis512[[#This Row],[Health]]/tblPiNAnalysis512[[#This Row],[Affected population projection 2026]], 0.05)), "")</f>
        <v>0</v>
      </c>
      <c r="AB154" s="323">
        <f>IFERROR(IF(tblPiNAnalysis512[[#This Row],[Overarching Protection]]="", "", MROUND(tblPiNAnalysis512[[#This Row],[Overarching Protection]]/tblPiNAnalysis512[[#This Row],[Affected population projection 2026]], 0.05)), "")</f>
        <v>0</v>
      </c>
      <c r="AC154" s="323">
        <f>IFERROR(IF(tblPiNAnalysis512[[#This Row],[Shelter]]="", "", MROUND(tblPiNAnalysis512[[#This Row],[Shelter]]/tblPiNAnalysis512[[#This Row],[Affected population projection 2026]], 0.05)), "")</f>
        <v>0</v>
      </c>
      <c r="AD154" s="324">
        <f>IFERROR(IF(tblPiNAnalysis512[[#This Row],[WASH]]="", "", MROUND(tblPiNAnalysis512[[#This Row],[WASH]]/tblPiNAnalysis512[[#This Row],[Affected population projection 2026]], 0.05)), "")</f>
        <v>0</v>
      </c>
      <c r="AE154" s="322">
        <f>IFERROR(MROUND(tblPiNAnalysis512[[#This Row],[CP]]/tblPiNAnalysis512[[#This Row],[Affected population projection 2026]], 0.05), "")</f>
        <v>0</v>
      </c>
      <c r="AF154" s="322">
        <f>IFERROR(MROUND(tblPiNAnalysis512[[#This Row],[GBV]]/tblPiNAnalysis512[[#This Row],[Affected population projection 2026]], 0.05), "")</f>
        <v>0</v>
      </c>
      <c r="AG154" s="322">
        <f>IFERROR(MROUND(tblPiNAnalysis512[[#This Row],[Mine Action]]/tblPiNAnalysis512[[#This Row],[Affected population projection 2026]], 0.05), "")</f>
        <v>0</v>
      </c>
      <c r="AH154" s="322">
        <f>IFERROR(MROUND(tblPiNAnalysis512[[#This Row],[HLP]]/tblPiNAnalysis512[[#This Row],[Affected population projection 2026]], 0.05), "")</f>
        <v>0</v>
      </c>
      <c r="AI154" s="325">
        <f>IFERROR(LARGE(tblPiNAnalysis512[[#This Row],[CCCM]:[WASH]], 1), "")</f>
        <v>0</v>
      </c>
      <c r="AJ154" s="326" t="str" cm="1">
        <f t="array" ref="AJ154">IF(tblPiNAnalysis512[[#This Row],[Highest Target]]="", "", _xlfn.TEXTJOIN(CHAR(10), TRUE, IF(tblPiNAnalysis512[[#This Row],[Highest Target]]=tblPiNAnalysis512[[#This Row],[CCCM]:[WASH]], tblPiNAnalysis512[[#Headers],[CCCM]:[WASH]], "")))</f>
        <v>CCCM
Education
Nutrition
Food Security
Health
Overarching Protection
Shelter
WASH</v>
      </c>
      <c r="AK154" s="327">
        <f>IF(tblPiNAnalysis512[[#This Row],[Highest Target]]="", "", tblPiNAnalysis512[[#This Row],[Highest Target]]/tblPiNAnalysis512[[#This Row],[Affected population projection 2026]])</f>
        <v>0</v>
      </c>
      <c r="AL154" s="328" t="str">
        <f>IF(SUM(tblPiNAnalysis512[[#This Row],[CCCM]:[WASH]])=0, "",IF(COUNTIF(tblPiNAnalysis512[[#This Row],[CCCM]:[WASH]],"=0")+COUNTIF(tblPiNAnalysis512[[#This Row],[CCCM]:[WASH]],"")&gt;=zero_pin_thresh, "Flagged", ""))</f>
        <v/>
      </c>
      <c r="AM154" s="329" t="str">
        <f>IFERROR(IF(tblPiNAnalysis512[[#This Row],[Highest Target]]="", "", IF(tblPiNAnalysis512[[#This Row],[Highest sector(s'') Target %]]&gt;=flag_pin_perc, "Flagged", "")), "")</f>
        <v/>
      </c>
      <c r="AN154" s="330" t="str" cm="1">
        <f t="array" ref="AN154">IF(tblPiNAnalysis512[[#This Row],[Highest Target]]=0, "",  IF(OR(COUNTIF(tblPiNAnalysis512[[#This Row],[Highest sector(s)]],tblSubSectorPopulation[Sector])), "Flagged", ""))</f>
        <v/>
      </c>
      <c r="AO154" s="46" cm="1">
        <f t="array" ref="AO15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4" s="331" t="str" cm="1">
        <f t="array" ref="AP154">IF(tblPiNAnalysis512[[#This Row],[2nd Highest Target]]="", "", _xlfn.TEXTJOIN(CHAR(10), TRUE, IF(tblPiNAnalysis512[[#This Row],[2nd Highest Target]]=tblPiNAnalysis512[[#This Row],[CCCM]:[WASH]], tblPiNAnalysis512[[#Headers],[CCCM]:[WASH]], "")))</f>
        <v>CCCM
Education
Nutrition
Food Security
Health
Overarching Protection
Shelter
WASH</v>
      </c>
      <c r="AQ154" s="36">
        <f>IFERROR(tblPiNAnalysis512[[#This Row],[2nd Highest Target]]/tblPiNAnalysis512[[#This Row],[Affected population projection 2026]], "")</f>
        <v>0</v>
      </c>
      <c r="AR154" s="46">
        <f>IFERROR(tblPiNAnalysis512[[#This Row],[Highest Target]]-tblPiNAnalysis512[[#This Row],[2nd Highest Target]], "")</f>
        <v>0</v>
      </c>
      <c r="AS154" s="39" t="str">
        <f>IFERROR(((tblPiNAnalysis512[[#This Row],[Highest Target]]-tblPiNAnalysis512[[#This Row],[2nd Highest Target]])/tblPiNAnalysis512[[#This Row],[2nd Highest Target]]),"")</f>
        <v/>
      </c>
      <c r="AT154" s="39" t="str" cm="1">
        <f t="array" ref="AT15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4" s="332" cm="1">
        <f t="array" ref="AU15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4" s="190" t="str" cm="1">
        <f t="array" ref="AV154">IF(tblPiNAnalysis512[[#This Row],[3rd Highest Target]]="", "", _xlfn.TEXTJOIN(CHAR(10), TRUE, IF(tblPiNAnalysis512[[#This Row],[3rd Highest Target]]=tblPiNAnalysis512[[#This Row],[CCCM]:[WASH]], tblPiNAnalysis512[[#Headers],[CCCM]:[WASH]], "")))</f>
        <v>CCCM
Education
Nutrition
Food Security
Health
Overarching Protection
Shelter
WASH</v>
      </c>
      <c r="AW154" s="190">
        <f>IFERROR(tblPiNAnalysis512[[#This Row],[3rd Highest Target]]/tblPiNAnalysis512[[#This Row],[Affected population projection 2026]], "")</f>
        <v>0</v>
      </c>
      <c r="AX154" s="45">
        <f>IFERROR(tblPiNAnalysis512[[#This Row],[Highest Target]]-tblPiNAnalysis512[[#This Row],[3rd Highest Target]],"")</f>
        <v>0</v>
      </c>
      <c r="AY154" s="39" t="str">
        <f>IFERROR(tblPiNAnalysis512[[#This Row],[Difference of Target between Highest and 3rd Highest]]/tblPiNAnalysis512[[#This Row],[3rd Highest Target]], "")</f>
        <v/>
      </c>
      <c r="AZ154" s="330" t="str" cm="1">
        <f t="array" ref="AZ15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4" s="300" t="str" cm="1">
        <f t="array" ref="BA15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4" s="333" t="str" cm="1">
        <f t="array" ref="BB15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4" s="276" t="str" cm="1">
        <f t="array" ref="BC15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4" s="334" t="str" cm="1">
        <f t="array" ref="BD15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4" s="277" t="e">
        <f>INDEX(tblSeverityAnalysis[Final Severity], MATCH(tblPiNAnalysis512[[#This Row],[ID]],tblSeverityAnalysis[ID], 0))</f>
        <v>#N/A</v>
      </c>
      <c r="BF154" s="61" t="e">
        <f>IF(tblPiNAnalysis512[[#This Row],[Severity]]&gt;2,tblPiNAnalysis512[[#This Row],[Highest Target]],)</f>
        <v>#N/A</v>
      </c>
      <c r="BG154" s="191"/>
      <c r="BH154" s="192"/>
      <c r="BI154" s="193">
        <f>COUNTIFS(tblPiNAnalysis512[[#This Row],[Number of missing / zero PiNs greater than threshold - Data quality]:[Manual Flag]],"Flagged")</f>
        <v>2</v>
      </c>
      <c r="BJ154" s="96" t="str">
        <f>IF(tblPiNAnalysis512[[#This Row],['# Flags]]&gt;0, "Flagged", "")</f>
        <v>Flagged</v>
      </c>
      <c r="BK154" s="326" t="e">
        <f>tblPiNAnalysis512[[#This Row],[Preliminary Target]]</f>
        <v>#N/A</v>
      </c>
      <c r="BL154" s="331">
        <v>5</v>
      </c>
    </row>
    <row r="155" spans="1:64" ht="110.7" x14ac:dyDescent="0.55000000000000004">
      <c r="A1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5" s="316" t="s">
        <v>390</v>
      </c>
      <c r="C155" s="317" t="s">
        <v>391</v>
      </c>
      <c r="D155" s="317" t="s">
        <v>398</v>
      </c>
      <c r="E155" s="105" t="s">
        <v>399</v>
      </c>
      <c r="F155" s="100"/>
      <c r="G155" s="34"/>
      <c r="H155" s="34"/>
      <c r="I155" s="97">
        <v>64180.342035561967</v>
      </c>
      <c r="J155" s="97" t="s">
        <v>413</v>
      </c>
      <c r="K155" s="318">
        <v>0</v>
      </c>
      <c r="L155" s="319">
        <v>0</v>
      </c>
      <c r="M155" s="319">
        <v>0</v>
      </c>
      <c r="N155" s="319">
        <v>0</v>
      </c>
      <c r="O155" s="319">
        <v>0</v>
      </c>
      <c r="P155" s="319">
        <v>0</v>
      </c>
      <c r="Q155" s="320">
        <v>0</v>
      </c>
      <c r="R155" s="319">
        <v>0</v>
      </c>
      <c r="S155" s="319"/>
      <c r="T155" s="319"/>
      <c r="U155" s="319"/>
      <c r="V155" s="319"/>
      <c r="W155" s="321">
        <f>IFERROR(IF(tblPiNAnalysis512[[#This Row],[CCCM]]="", "", MROUND(tblPiNAnalysis512[[#This Row],[CCCM]]/tblPiNAnalysis512[[#This Row],[Affected population projection 2026]], 0.05)), "")</f>
        <v>0</v>
      </c>
      <c r="X155" s="322">
        <f>IFERROR(IF(tblPiNAnalysis512[[#This Row],[Education]]="", "", MROUND(tblPiNAnalysis512[[#This Row],[Education]]/tblPiNAnalysis512[[#This Row],[Affected population projection 2026]], 0.05)), "")</f>
        <v>0</v>
      </c>
      <c r="Y155" s="322">
        <f>IFERROR(IF(tblPiNAnalysis512[[#This Row],[Nutrition]]="", "", MROUND(tblPiNAnalysis512[[#This Row],[Nutrition]]/tblPiNAnalysis512[[#This Row],[Affected population projection 2026]], 0.05)), "")</f>
        <v>0</v>
      </c>
      <c r="Z155" s="322">
        <f>IFERROR(IF(tblPiNAnalysis512[[#This Row],[Food Security]]="", "", MROUND(tblPiNAnalysis512[[#This Row],[Food Security]]/tblPiNAnalysis512[[#This Row],[Affected population projection 2026]], 0.05)), "")</f>
        <v>0</v>
      </c>
      <c r="AA155" s="322">
        <f>IFERROR(IF(tblPiNAnalysis512[[#This Row],[Health]]="", "", MROUND(tblPiNAnalysis512[[#This Row],[Health]]/tblPiNAnalysis512[[#This Row],[Affected population projection 2026]], 0.05)), "")</f>
        <v>0</v>
      </c>
      <c r="AB155" s="323">
        <f>IFERROR(IF(tblPiNAnalysis512[[#This Row],[Overarching Protection]]="", "", MROUND(tblPiNAnalysis512[[#This Row],[Overarching Protection]]/tblPiNAnalysis512[[#This Row],[Affected population projection 2026]], 0.05)), "")</f>
        <v>0</v>
      </c>
      <c r="AC155" s="323">
        <f>IFERROR(IF(tblPiNAnalysis512[[#This Row],[Shelter]]="", "", MROUND(tblPiNAnalysis512[[#This Row],[Shelter]]/tblPiNAnalysis512[[#This Row],[Affected population projection 2026]], 0.05)), "")</f>
        <v>0</v>
      </c>
      <c r="AD155" s="324">
        <f>IFERROR(IF(tblPiNAnalysis512[[#This Row],[WASH]]="", "", MROUND(tblPiNAnalysis512[[#This Row],[WASH]]/tblPiNAnalysis512[[#This Row],[Affected population projection 2026]], 0.05)), "")</f>
        <v>0</v>
      </c>
      <c r="AE155" s="322">
        <f>IFERROR(MROUND(tblPiNAnalysis512[[#This Row],[CP]]/tblPiNAnalysis512[[#This Row],[Affected population projection 2026]], 0.05), "")</f>
        <v>0</v>
      </c>
      <c r="AF155" s="322">
        <f>IFERROR(MROUND(tblPiNAnalysis512[[#This Row],[GBV]]/tblPiNAnalysis512[[#This Row],[Affected population projection 2026]], 0.05), "")</f>
        <v>0</v>
      </c>
      <c r="AG155" s="322">
        <f>IFERROR(MROUND(tblPiNAnalysis512[[#This Row],[Mine Action]]/tblPiNAnalysis512[[#This Row],[Affected population projection 2026]], 0.05), "")</f>
        <v>0</v>
      </c>
      <c r="AH155" s="322">
        <f>IFERROR(MROUND(tblPiNAnalysis512[[#This Row],[HLP]]/tblPiNAnalysis512[[#This Row],[Affected population projection 2026]], 0.05), "")</f>
        <v>0</v>
      </c>
      <c r="AI155" s="325">
        <f>IFERROR(LARGE(tblPiNAnalysis512[[#This Row],[CCCM]:[WASH]], 1), "")</f>
        <v>0</v>
      </c>
      <c r="AJ155" s="326" t="str" cm="1">
        <f t="array" ref="AJ155">IF(tblPiNAnalysis512[[#This Row],[Highest Target]]="", "", _xlfn.TEXTJOIN(CHAR(10), TRUE, IF(tblPiNAnalysis512[[#This Row],[Highest Target]]=tblPiNAnalysis512[[#This Row],[CCCM]:[WASH]], tblPiNAnalysis512[[#Headers],[CCCM]:[WASH]], "")))</f>
        <v>CCCM
Education
Nutrition
Food Security
Health
Overarching Protection
Shelter
WASH</v>
      </c>
      <c r="AK155" s="327">
        <f>IF(tblPiNAnalysis512[[#This Row],[Highest Target]]="", "", tblPiNAnalysis512[[#This Row],[Highest Target]]/tblPiNAnalysis512[[#This Row],[Affected population projection 2026]])</f>
        <v>0</v>
      </c>
      <c r="AL155" s="328" t="str">
        <f>IF(SUM(tblPiNAnalysis512[[#This Row],[CCCM]:[WASH]])=0, "",IF(COUNTIF(tblPiNAnalysis512[[#This Row],[CCCM]:[WASH]],"=0")+COUNTIF(tblPiNAnalysis512[[#This Row],[CCCM]:[WASH]],"")&gt;=zero_pin_thresh, "Flagged", ""))</f>
        <v/>
      </c>
      <c r="AM155" s="329" t="str">
        <f>IFERROR(IF(tblPiNAnalysis512[[#This Row],[Highest Target]]="", "", IF(tblPiNAnalysis512[[#This Row],[Highest sector(s'') Target %]]&gt;=flag_pin_perc, "Flagged", "")), "")</f>
        <v/>
      </c>
      <c r="AN155" s="330" t="str" cm="1">
        <f t="array" ref="AN155">IF(tblPiNAnalysis512[[#This Row],[Highest Target]]=0, "",  IF(OR(COUNTIF(tblPiNAnalysis512[[#This Row],[Highest sector(s)]],tblSubSectorPopulation[Sector])), "Flagged", ""))</f>
        <v/>
      </c>
      <c r="AO155" s="46" cm="1">
        <f t="array" ref="AO15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5" s="331" t="str" cm="1">
        <f t="array" ref="AP155">IF(tblPiNAnalysis512[[#This Row],[2nd Highest Target]]="", "", _xlfn.TEXTJOIN(CHAR(10), TRUE, IF(tblPiNAnalysis512[[#This Row],[2nd Highest Target]]=tblPiNAnalysis512[[#This Row],[CCCM]:[WASH]], tblPiNAnalysis512[[#Headers],[CCCM]:[WASH]], "")))</f>
        <v>CCCM
Education
Nutrition
Food Security
Health
Overarching Protection
Shelter
WASH</v>
      </c>
      <c r="AQ155" s="36">
        <f>IFERROR(tblPiNAnalysis512[[#This Row],[2nd Highest Target]]/tblPiNAnalysis512[[#This Row],[Affected population projection 2026]], "")</f>
        <v>0</v>
      </c>
      <c r="AR155" s="46">
        <f>IFERROR(tblPiNAnalysis512[[#This Row],[Highest Target]]-tblPiNAnalysis512[[#This Row],[2nd Highest Target]], "")</f>
        <v>0</v>
      </c>
      <c r="AS155" s="39" t="str">
        <f>IFERROR(((tblPiNAnalysis512[[#This Row],[Highest Target]]-tblPiNAnalysis512[[#This Row],[2nd Highest Target]])/tblPiNAnalysis512[[#This Row],[2nd Highest Target]]),"")</f>
        <v/>
      </c>
      <c r="AT155" s="39" t="str" cm="1">
        <f t="array" ref="AT15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5" s="332" cm="1">
        <f t="array" ref="AU15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5" s="190" t="str" cm="1">
        <f t="array" ref="AV155">IF(tblPiNAnalysis512[[#This Row],[3rd Highest Target]]="", "", _xlfn.TEXTJOIN(CHAR(10), TRUE, IF(tblPiNAnalysis512[[#This Row],[3rd Highest Target]]=tblPiNAnalysis512[[#This Row],[CCCM]:[WASH]], tblPiNAnalysis512[[#Headers],[CCCM]:[WASH]], "")))</f>
        <v>CCCM
Education
Nutrition
Food Security
Health
Overarching Protection
Shelter
WASH</v>
      </c>
      <c r="AW155" s="190">
        <f>IFERROR(tblPiNAnalysis512[[#This Row],[3rd Highest Target]]/tblPiNAnalysis512[[#This Row],[Affected population projection 2026]], "")</f>
        <v>0</v>
      </c>
      <c r="AX155" s="45">
        <f>IFERROR(tblPiNAnalysis512[[#This Row],[Highest Target]]-tblPiNAnalysis512[[#This Row],[3rd Highest Target]],"")</f>
        <v>0</v>
      </c>
      <c r="AY155" s="39" t="str">
        <f>IFERROR(tblPiNAnalysis512[[#This Row],[Difference of Target between Highest and 3rd Highest]]/tblPiNAnalysis512[[#This Row],[3rd Highest Target]], "")</f>
        <v/>
      </c>
      <c r="AZ155" s="330" t="str" cm="1">
        <f t="array" ref="AZ15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5" s="300" t="str" cm="1">
        <f t="array" ref="BA15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5" s="333" t="str" cm="1">
        <f t="array" ref="BB15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5" s="276" t="str" cm="1">
        <f t="array" ref="BC15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5" s="334" t="str" cm="1">
        <f t="array" ref="BD15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5" s="277" t="e">
        <f>INDEX(tblSeverityAnalysis[Final Severity], MATCH(tblPiNAnalysis512[[#This Row],[ID]],tblSeverityAnalysis[ID], 0))</f>
        <v>#N/A</v>
      </c>
      <c r="BF155" s="61" t="e">
        <f>IF(tblPiNAnalysis512[[#This Row],[Severity]]&gt;2,tblPiNAnalysis512[[#This Row],[Highest Target]],)</f>
        <v>#N/A</v>
      </c>
      <c r="BG155" s="191"/>
      <c r="BH155" s="192"/>
      <c r="BI155" s="193">
        <f>COUNTIFS(tblPiNAnalysis512[[#This Row],[Number of missing / zero PiNs greater than threshold - Data quality]:[Manual Flag]],"Flagged")</f>
        <v>2</v>
      </c>
      <c r="BJ155" s="96" t="str">
        <f>IF(tblPiNAnalysis512[[#This Row],['# Flags]]&gt;0, "Flagged", "")</f>
        <v>Flagged</v>
      </c>
      <c r="BK155" s="326" t="e">
        <f>tblPiNAnalysis512[[#This Row],[Preliminary Target]]</f>
        <v>#N/A</v>
      </c>
      <c r="BL155" s="331">
        <v>5</v>
      </c>
    </row>
    <row r="156" spans="1:64" ht="110.7" x14ac:dyDescent="0.55000000000000004">
      <c r="A1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6" s="316" t="s">
        <v>390</v>
      </c>
      <c r="C156" s="317" t="s">
        <v>391</v>
      </c>
      <c r="D156" s="317" t="s">
        <v>400</v>
      </c>
      <c r="E156" s="105" t="s">
        <v>401</v>
      </c>
      <c r="F156" s="100"/>
      <c r="G156" s="34"/>
      <c r="H156" s="34"/>
      <c r="I156" s="97">
        <v>37549.507730213714</v>
      </c>
      <c r="J156" s="97" t="s">
        <v>413</v>
      </c>
      <c r="K156" s="318">
        <v>0</v>
      </c>
      <c r="L156" s="319">
        <v>0</v>
      </c>
      <c r="M156" s="319">
        <v>0</v>
      </c>
      <c r="N156" s="319">
        <v>0</v>
      </c>
      <c r="O156" s="319">
        <v>0</v>
      </c>
      <c r="P156" s="319">
        <v>0</v>
      </c>
      <c r="Q156" s="320">
        <v>0</v>
      </c>
      <c r="R156" s="319">
        <v>0</v>
      </c>
      <c r="S156" s="319"/>
      <c r="T156" s="319"/>
      <c r="U156" s="319"/>
      <c r="V156" s="319"/>
      <c r="W156" s="321">
        <f>IFERROR(IF(tblPiNAnalysis512[[#This Row],[CCCM]]="", "", MROUND(tblPiNAnalysis512[[#This Row],[CCCM]]/tblPiNAnalysis512[[#This Row],[Affected population projection 2026]], 0.05)), "")</f>
        <v>0</v>
      </c>
      <c r="X156" s="322">
        <f>IFERROR(IF(tblPiNAnalysis512[[#This Row],[Education]]="", "", MROUND(tblPiNAnalysis512[[#This Row],[Education]]/tblPiNAnalysis512[[#This Row],[Affected population projection 2026]], 0.05)), "")</f>
        <v>0</v>
      </c>
      <c r="Y156" s="322">
        <f>IFERROR(IF(tblPiNAnalysis512[[#This Row],[Nutrition]]="", "", MROUND(tblPiNAnalysis512[[#This Row],[Nutrition]]/tblPiNAnalysis512[[#This Row],[Affected population projection 2026]], 0.05)), "")</f>
        <v>0</v>
      </c>
      <c r="Z156" s="322">
        <f>IFERROR(IF(tblPiNAnalysis512[[#This Row],[Food Security]]="", "", MROUND(tblPiNAnalysis512[[#This Row],[Food Security]]/tblPiNAnalysis512[[#This Row],[Affected population projection 2026]], 0.05)), "")</f>
        <v>0</v>
      </c>
      <c r="AA156" s="322">
        <f>IFERROR(IF(tblPiNAnalysis512[[#This Row],[Health]]="", "", MROUND(tblPiNAnalysis512[[#This Row],[Health]]/tblPiNAnalysis512[[#This Row],[Affected population projection 2026]], 0.05)), "")</f>
        <v>0</v>
      </c>
      <c r="AB156" s="323">
        <f>IFERROR(IF(tblPiNAnalysis512[[#This Row],[Overarching Protection]]="", "", MROUND(tblPiNAnalysis512[[#This Row],[Overarching Protection]]/tblPiNAnalysis512[[#This Row],[Affected population projection 2026]], 0.05)), "")</f>
        <v>0</v>
      </c>
      <c r="AC156" s="323">
        <f>IFERROR(IF(tblPiNAnalysis512[[#This Row],[Shelter]]="", "", MROUND(tblPiNAnalysis512[[#This Row],[Shelter]]/tblPiNAnalysis512[[#This Row],[Affected population projection 2026]], 0.05)), "")</f>
        <v>0</v>
      </c>
      <c r="AD156" s="324">
        <f>IFERROR(IF(tblPiNAnalysis512[[#This Row],[WASH]]="", "", MROUND(tblPiNAnalysis512[[#This Row],[WASH]]/tblPiNAnalysis512[[#This Row],[Affected population projection 2026]], 0.05)), "")</f>
        <v>0</v>
      </c>
      <c r="AE156" s="322">
        <f>IFERROR(MROUND(tblPiNAnalysis512[[#This Row],[CP]]/tblPiNAnalysis512[[#This Row],[Affected population projection 2026]], 0.05), "")</f>
        <v>0</v>
      </c>
      <c r="AF156" s="322">
        <f>IFERROR(MROUND(tblPiNAnalysis512[[#This Row],[GBV]]/tblPiNAnalysis512[[#This Row],[Affected population projection 2026]], 0.05), "")</f>
        <v>0</v>
      </c>
      <c r="AG156" s="322">
        <f>IFERROR(MROUND(tblPiNAnalysis512[[#This Row],[Mine Action]]/tblPiNAnalysis512[[#This Row],[Affected population projection 2026]], 0.05), "")</f>
        <v>0</v>
      </c>
      <c r="AH156" s="322">
        <f>IFERROR(MROUND(tblPiNAnalysis512[[#This Row],[HLP]]/tblPiNAnalysis512[[#This Row],[Affected population projection 2026]], 0.05), "")</f>
        <v>0</v>
      </c>
      <c r="AI156" s="325">
        <f>IFERROR(LARGE(tblPiNAnalysis512[[#This Row],[CCCM]:[WASH]], 1), "")</f>
        <v>0</v>
      </c>
      <c r="AJ156" s="326" t="str" cm="1">
        <f t="array" ref="AJ156">IF(tblPiNAnalysis512[[#This Row],[Highest Target]]="", "", _xlfn.TEXTJOIN(CHAR(10), TRUE, IF(tblPiNAnalysis512[[#This Row],[Highest Target]]=tblPiNAnalysis512[[#This Row],[CCCM]:[WASH]], tblPiNAnalysis512[[#Headers],[CCCM]:[WASH]], "")))</f>
        <v>CCCM
Education
Nutrition
Food Security
Health
Overarching Protection
Shelter
WASH</v>
      </c>
      <c r="AK156" s="327">
        <f>IF(tblPiNAnalysis512[[#This Row],[Highest Target]]="", "", tblPiNAnalysis512[[#This Row],[Highest Target]]/tblPiNAnalysis512[[#This Row],[Affected population projection 2026]])</f>
        <v>0</v>
      </c>
      <c r="AL156" s="328" t="str">
        <f>IF(SUM(tblPiNAnalysis512[[#This Row],[CCCM]:[WASH]])=0, "",IF(COUNTIF(tblPiNAnalysis512[[#This Row],[CCCM]:[WASH]],"=0")+COUNTIF(tblPiNAnalysis512[[#This Row],[CCCM]:[WASH]],"")&gt;=zero_pin_thresh, "Flagged", ""))</f>
        <v/>
      </c>
      <c r="AM156" s="329" t="str">
        <f>IFERROR(IF(tblPiNAnalysis512[[#This Row],[Highest Target]]="", "", IF(tblPiNAnalysis512[[#This Row],[Highest sector(s'') Target %]]&gt;=flag_pin_perc, "Flagged", "")), "")</f>
        <v/>
      </c>
      <c r="AN156" s="330" t="str" cm="1">
        <f t="array" ref="AN156">IF(tblPiNAnalysis512[[#This Row],[Highest Target]]=0, "",  IF(OR(COUNTIF(tblPiNAnalysis512[[#This Row],[Highest sector(s)]],tblSubSectorPopulation[Sector])), "Flagged", ""))</f>
        <v/>
      </c>
      <c r="AO156" s="46" cm="1">
        <f t="array" ref="AO15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6" s="331" t="str" cm="1">
        <f t="array" ref="AP156">IF(tblPiNAnalysis512[[#This Row],[2nd Highest Target]]="", "", _xlfn.TEXTJOIN(CHAR(10), TRUE, IF(tblPiNAnalysis512[[#This Row],[2nd Highest Target]]=tblPiNAnalysis512[[#This Row],[CCCM]:[WASH]], tblPiNAnalysis512[[#Headers],[CCCM]:[WASH]], "")))</f>
        <v>CCCM
Education
Nutrition
Food Security
Health
Overarching Protection
Shelter
WASH</v>
      </c>
      <c r="AQ156" s="36">
        <f>IFERROR(tblPiNAnalysis512[[#This Row],[2nd Highest Target]]/tblPiNAnalysis512[[#This Row],[Affected population projection 2026]], "")</f>
        <v>0</v>
      </c>
      <c r="AR156" s="46">
        <f>IFERROR(tblPiNAnalysis512[[#This Row],[Highest Target]]-tblPiNAnalysis512[[#This Row],[2nd Highest Target]], "")</f>
        <v>0</v>
      </c>
      <c r="AS156" s="39" t="str">
        <f>IFERROR(((tblPiNAnalysis512[[#This Row],[Highest Target]]-tblPiNAnalysis512[[#This Row],[2nd Highest Target]])/tblPiNAnalysis512[[#This Row],[2nd Highest Target]]),"")</f>
        <v/>
      </c>
      <c r="AT156" s="39" t="str" cm="1">
        <f t="array" ref="AT15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6" s="332" cm="1">
        <f t="array" ref="AU15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6" s="190" t="str" cm="1">
        <f t="array" ref="AV156">IF(tblPiNAnalysis512[[#This Row],[3rd Highest Target]]="", "", _xlfn.TEXTJOIN(CHAR(10), TRUE, IF(tblPiNAnalysis512[[#This Row],[3rd Highest Target]]=tblPiNAnalysis512[[#This Row],[CCCM]:[WASH]], tblPiNAnalysis512[[#Headers],[CCCM]:[WASH]], "")))</f>
        <v>CCCM
Education
Nutrition
Food Security
Health
Overarching Protection
Shelter
WASH</v>
      </c>
      <c r="AW156" s="190">
        <f>IFERROR(tblPiNAnalysis512[[#This Row],[3rd Highest Target]]/tblPiNAnalysis512[[#This Row],[Affected population projection 2026]], "")</f>
        <v>0</v>
      </c>
      <c r="AX156" s="45">
        <f>IFERROR(tblPiNAnalysis512[[#This Row],[Highest Target]]-tblPiNAnalysis512[[#This Row],[3rd Highest Target]],"")</f>
        <v>0</v>
      </c>
      <c r="AY156" s="39" t="str">
        <f>IFERROR(tblPiNAnalysis512[[#This Row],[Difference of Target between Highest and 3rd Highest]]/tblPiNAnalysis512[[#This Row],[3rd Highest Target]], "")</f>
        <v/>
      </c>
      <c r="AZ156" s="330" t="str" cm="1">
        <f t="array" ref="AZ15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6" s="300" t="str" cm="1">
        <f t="array" ref="BA15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6" s="333" t="str" cm="1">
        <f t="array" ref="BB15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6" s="276" t="str" cm="1">
        <f t="array" ref="BC15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6" s="334" t="str" cm="1">
        <f t="array" ref="BD15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6" s="277" t="e">
        <f>INDEX(tblSeverityAnalysis[Final Severity], MATCH(tblPiNAnalysis512[[#This Row],[ID]],tblSeverityAnalysis[ID], 0))</f>
        <v>#N/A</v>
      </c>
      <c r="BF156" s="61" t="e">
        <f>IF(tblPiNAnalysis512[[#This Row],[Severity]]&gt;2,tblPiNAnalysis512[[#This Row],[Highest Target]],)</f>
        <v>#N/A</v>
      </c>
      <c r="BG156" s="191"/>
      <c r="BH156" s="192"/>
      <c r="BI156" s="193">
        <f>COUNTIFS(tblPiNAnalysis512[[#This Row],[Number of missing / zero PiNs greater than threshold - Data quality]:[Manual Flag]],"Flagged")</f>
        <v>2</v>
      </c>
      <c r="BJ156" s="96" t="str">
        <f>IF(tblPiNAnalysis512[[#This Row],['# Flags]]&gt;0, "Flagged", "")</f>
        <v>Flagged</v>
      </c>
      <c r="BK156" s="326" t="e">
        <f>tblPiNAnalysis512[[#This Row],[Preliminary Target]]</f>
        <v>#N/A</v>
      </c>
      <c r="BL156" s="331">
        <v>5</v>
      </c>
    </row>
    <row r="157" spans="1:64" ht="110.7" x14ac:dyDescent="0.55000000000000004">
      <c r="A1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7" s="316" t="s">
        <v>390</v>
      </c>
      <c r="C157" s="317" t="s">
        <v>391</v>
      </c>
      <c r="D157" s="317" t="s">
        <v>402</v>
      </c>
      <c r="E157" s="105" t="s">
        <v>403</v>
      </c>
      <c r="F157" s="100"/>
      <c r="G157" s="34"/>
      <c r="H157" s="34"/>
      <c r="I157" s="97">
        <v>57305.25569680793</v>
      </c>
      <c r="J157" s="97" t="s">
        <v>413</v>
      </c>
      <c r="K157" s="318">
        <v>0</v>
      </c>
      <c r="L157" s="319">
        <v>0</v>
      </c>
      <c r="M157" s="319">
        <v>0</v>
      </c>
      <c r="N157" s="319">
        <v>0</v>
      </c>
      <c r="O157" s="319">
        <v>0</v>
      </c>
      <c r="P157" s="319">
        <v>0</v>
      </c>
      <c r="Q157" s="320">
        <v>0</v>
      </c>
      <c r="R157" s="319">
        <v>0</v>
      </c>
      <c r="S157" s="319"/>
      <c r="T157" s="319"/>
      <c r="U157" s="319"/>
      <c r="V157" s="319"/>
      <c r="W157" s="321">
        <f>IFERROR(IF(tblPiNAnalysis512[[#This Row],[CCCM]]="", "", MROUND(tblPiNAnalysis512[[#This Row],[CCCM]]/tblPiNAnalysis512[[#This Row],[Affected population projection 2026]], 0.05)), "")</f>
        <v>0</v>
      </c>
      <c r="X157" s="322">
        <f>IFERROR(IF(tblPiNAnalysis512[[#This Row],[Education]]="", "", MROUND(tblPiNAnalysis512[[#This Row],[Education]]/tblPiNAnalysis512[[#This Row],[Affected population projection 2026]], 0.05)), "")</f>
        <v>0</v>
      </c>
      <c r="Y157" s="322">
        <f>IFERROR(IF(tblPiNAnalysis512[[#This Row],[Nutrition]]="", "", MROUND(tblPiNAnalysis512[[#This Row],[Nutrition]]/tblPiNAnalysis512[[#This Row],[Affected population projection 2026]], 0.05)), "")</f>
        <v>0</v>
      </c>
      <c r="Z157" s="322">
        <f>IFERROR(IF(tblPiNAnalysis512[[#This Row],[Food Security]]="", "", MROUND(tblPiNAnalysis512[[#This Row],[Food Security]]/tblPiNAnalysis512[[#This Row],[Affected population projection 2026]], 0.05)), "")</f>
        <v>0</v>
      </c>
      <c r="AA157" s="322">
        <f>IFERROR(IF(tblPiNAnalysis512[[#This Row],[Health]]="", "", MROUND(tblPiNAnalysis512[[#This Row],[Health]]/tblPiNAnalysis512[[#This Row],[Affected population projection 2026]], 0.05)), "")</f>
        <v>0</v>
      </c>
      <c r="AB157" s="323">
        <f>IFERROR(IF(tblPiNAnalysis512[[#This Row],[Overarching Protection]]="", "", MROUND(tblPiNAnalysis512[[#This Row],[Overarching Protection]]/tblPiNAnalysis512[[#This Row],[Affected population projection 2026]], 0.05)), "")</f>
        <v>0</v>
      </c>
      <c r="AC157" s="323">
        <f>IFERROR(IF(tblPiNAnalysis512[[#This Row],[Shelter]]="", "", MROUND(tblPiNAnalysis512[[#This Row],[Shelter]]/tblPiNAnalysis512[[#This Row],[Affected population projection 2026]], 0.05)), "")</f>
        <v>0</v>
      </c>
      <c r="AD157" s="324">
        <f>IFERROR(IF(tblPiNAnalysis512[[#This Row],[WASH]]="", "", MROUND(tblPiNAnalysis512[[#This Row],[WASH]]/tblPiNAnalysis512[[#This Row],[Affected population projection 2026]], 0.05)), "")</f>
        <v>0</v>
      </c>
      <c r="AE157" s="322">
        <f>IFERROR(MROUND(tblPiNAnalysis512[[#This Row],[CP]]/tblPiNAnalysis512[[#This Row],[Affected population projection 2026]], 0.05), "")</f>
        <v>0</v>
      </c>
      <c r="AF157" s="322">
        <f>IFERROR(MROUND(tblPiNAnalysis512[[#This Row],[GBV]]/tblPiNAnalysis512[[#This Row],[Affected population projection 2026]], 0.05), "")</f>
        <v>0</v>
      </c>
      <c r="AG157" s="322">
        <f>IFERROR(MROUND(tblPiNAnalysis512[[#This Row],[Mine Action]]/tblPiNAnalysis512[[#This Row],[Affected population projection 2026]], 0.05), "")</f>
        <v>0</v>
      </c>
      <c r="AH157" s="322">
        <f>IFERROR(MROUND(tblPiNAnalysis512[[#This Row],[HLP]]/tblPiNAnalysis512[[#This Row],[Affected population projection 2026]], 0.05), "")</f>
        <v>0</v>
      </c>
      <c r="AI157" s="325">
        <f>IFERROR(LARGE(tblPiNAnalysis512[[#This Row],[CCCM]:[WASH]], 1), "")</f>
        <v>0</v>
      </c>
      <c r="AJ157" s="326" t="str" cm="1">
        <f t="array" ref="AJ157">IF(tblPiNAnalysis512[[#This Row],[Highest Target]]="", "", _xlfn.TEXTJOIN(CHAR(10), TRUE, IF(tblPiNAnalysis512[[#This Row],[Highest Target]]=tblPiNAnalysis512[[#This Row],[CCCM]:[WASH]], tblPiNAnalysis512[[#Headers],[CCCM]:[WASH]], "")))</f>
        <v>CCCM
Education
Nutrition
Food Security
Health
Overarching Protection
Shelter
WASH</v>
      </c>
      <c r="AK157" s="327">
        <f>IF(tblPiNAnalysis512[[#This Row],[Highest Target]]="", "", tblPiNAnalysis512[[#This Row],[Highest Target]]/tblPiNAnalysis512[[#This Row],[Affected population projection 2026]])</f>
        <v>0</v>
      </c>
      <c r="AL157" s="328" t="str">
        <f>IF(SUM(tblPiNAnalysis512[[#This Row],[CCCM]:[WASH]])=0, "",IF(COUNTIF(tblPiNAnalysis512[[#This Row],[CCCM]:[WASH]],"=0")+COUNTIF(tblPiNAnalysis512[[#This Row],[CCCM]:[WASH]],"")&gt;=zero_pin_thresh, "Flagged", ""))</f>
        <v/>
      </c>
      <c r="AM157" s="329" t="str">
        <f>IFERROR(IF(tblPiNAnalysis512[[#This Row],[Highest Target]]="", "", IF(tblPiNAnalysis512[[#This Row],[Highest sector(s'') Target %]]&gt;=flag_pin_perc, "Flagged", "")), "")</f>
        <v/>
      </c>
      <c r="AN157" s="330" t="str" cm="1">
        <f t="array" ref="AN157">IF(tblPiNAnalysis512[[#This Row],[Highest Target]]=0, "",  IF(OR(COUNTIF(tblPiNAnalysis512[[#This Row],[Highest sector(s)]],tblSubSectorPopulation[Sector])), "Flagged", ""))</f>
        <v/>
      </c>
      <c r="AO157" s="46" cm="1">
        <f t="array" ref="AO15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7" s="331" t="str" cm="1">
        <f t="array" ref="AP157">IF(tblPiNAnalysis512[[#This Row],[2nd Highest Target]]="", "", _xlfn.TEXTJOIN(CHAR(10), TRUE, IF(tblPiNAnalysis512[[#This Row],[2nd Highest Target]]=tblPiNAnalysis512[[#This Row],[CCCM]:[WASH]], tblPiNAnalysis512[[#Headers],[CCCM]:[WASH]], "")))</f>
        <v>CCCM
Education
Nutrition
Food Security
Health
Overarching Protection
Shelter
WASH</v>
      </c>
      <c r="AQ157" s="36">
        <f>IFERROR(tblPiNAnalysis512[[#This Row],[2nd Highest Target]]/tblPiNAnalysis512[[#This Row],[Affected population projection 2026]], "")</f>
        <v>0</v>
      </c>
      <c r="AR157" s="46">
        <f>IFERROR(tblPiNAnalysis512[[#This Row],[Highest Target]]-tblPiNAnalysis512[[#This Row],[2nd Highest Target]], "")</f>
        <v>0</v>
      </c>
      <c r="AS157" s="39" t="str">
        <f>IFERROR(((tblPiNAnalysis512[[#This Row],[Highest Target]]-tblPiNAnalysis512[[#This Row],[2nd Highest Target]])/tblPiNAnalysis512[[#This Row],[2nd Highest Target]]),"")</f>
        <v/>
      </c>
      <c r="AT157" s="39" t="str" cm="1">
        <f t="array" ref="AT15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7" s="332" cm="1">
        <f t="array" ref="AU15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7" s="190" t="str" cm="1">
        <f t="array" ref="AV157">IF(tblPiNAnalysis512[[#This Row],[3rd Highest Target]]="", "", _xlfn.TEXTJOIN(CHAR(10), TRUE, IF(tblPiNAnalysis512[[#This Row],[3rd Highest Target]]=tblPiNAnalysis512[[#This Row],[CCCM]:[WASH]], tblPiNAnalysis512[[#Headers],[CCCM]:[WASH]], "")))</f>
        <v>CCCM
Education
Nutrition
Food Security
Health
Overarching Protection
Shelter
WASH</v>
      </c>
      <c r="AW157" s="190">
        <f>IFERROR(tblPiNAnalysis512[[#This Row],[3rd Highest Target]]/tblPiNAnalysis512[[#This Row],[Affected population projection 2026]], "")</f>
        <v>0</v>
      </c>
      <c r="AX157" s="45">
        <f>IFERROR(tblPiNAnalysis512[[#This Row],[Highest Target]]-tblPiNAnalysis512[[#This Row],[3rd Highest Target]],"")</f>
        <v>0</v>
      </c>
      <c r="AY157" s="39" t="str">
        <f>IFERROR(tblPiNAnalysis512[[#This Row],[Difference of Target between Highest and 3rd Highest]]/tblPiNAnalysis512[[#This Row],[3rd Highest Target]], "")</f>
        <v/>
      </c>
      <c r="AZ157" s="330" t="str" cm="1">
        <f t="array" ref="AZ15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7" s="300" t="str" cm="1">
        <f t="array" ref="BA15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7" s="333" t="str" cm="1">
        <f t="array" ref="BB15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7" s="276" t="str" cm="1">
        <f t="array" ref="BC15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7" s="334" t="str" cm="1">
        <f t="array" ref="BD15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7" s="277" t="e">
        <f>INDEX(tblSeverityAnalysis[Final Severity], MATCH(tblPiNAnalysis512[[#This Row],[ID]],tblSeverityAnalysis[ID], 0))</f>
        <v>#N/A</v>
      </c>
      <c r="BF157" s="61" t="e">
        <f>IF(tblPiNAnalysis512[[#This Row],[Severity]]&gt;2,tblPiNAnalysis512[[#This Row],[Highest Target]],)</f>
        <v>#N/A</v>
      </c>
      <c r="BG157" s="191"/>
      <c r="BH157" s="192"/>
      <c r="BI157" s="193">
        <f>COUNTIFS(tblPiNAnalysis512[[#This Row],[Number of missing / zero PiNs greater than threshold - Data quality]:[Manual Flag]],"Flagged")</f>
        <v>2</v>
      </c>
      <c r="BJ157" s="96" t="str">
        <f>IF(tblPiNAnalysis512[[#This Row],['# Flags]]&gt;0, "Flagged", "")</f>
        <v>Flagged</v>
      </c>
      <c r="BK157" s="326" t="e">
        <f>tblPiNAnalysis512[[#This Row],[Preliminary Target]]</f>
        <v>#N/A</v>
      </c>
      <c r="BL157" s="331">
        <v>5</v>
      </c>
    </row>
    <row r="158" spans="1:64" x14ac:dyDescent="0.55000000000000004">
      <c r="A1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8" s="316" t="s">
        <v>390</v>
      </c>
      <c r="C158" s="317" t="s">
        <v>391</v>
      </c>
      <c r="D158" s="317" t="s">
        <v>404</v>
      </c>
      <c r="E158" s="105" t="s">
        <v>405</v>
      </c>
      <c r="F158" s="100"/>
      <c r="G158" s="34"/>
      <c r="H158" s="34"/>
      <c r="I158" s="97">
        <v>20533.496005228379</v>
      </c>
      <c r="J158" s="97" t="s">
        <v>413</v>
      </c>
      <c r="K158" s="318">
        <v>0</v>
      </c>
      <c r="L158" s="319">
        <v>401.87665577528861</v>
      </c>
      <c r="M158" s="319">
        <v>5029.4837009159291</v>
      </c>
      <c r="N158" s="319">
        <v>6023.3408555433152</v>
      </c>
      <c r="O158" s="319">
        <v>7772.2417257627949</v>
      </c>
      <c r="P158" s="319">
        <v>3371.9493710890588</v>
      </c>
      <c r="Q158" s="320">
        <v>429.77084662105909</v>
      </c>
      <c r="R158" s="319">
        <v>5640.373902670759</v>
      </c>
      <c r="S158" s="319"/>
      <c r="T158" s="319"/>
      <c r="U158" s="319"/>
      <c r="V158" s="319"/>
      <c r="W158" s="321">
        <f>IFERROR(IF(tblPiNAnalysis512[[#This Row],[CCCM]]="", "", MROUND(tblPiNAnalysis512[[#This Row],[CCCM]]/tblPiNAnalysis512[[#This Row],[Affected population projection 2026]], 0.05)), "")</f>
        <v>0</v>
      </c>
      <c r="X158" s="322">
        <f>IFERROR(IF(tblPiNAnalysis512[[#This Row],[Education]]="", "", MROUND(tblPiNAnalysis512[[#This Row],[Education]]/tblPiNAnalysis512[[#This Row],[Affected population projection 2026]], 0.05)), "")</f>
        <v>0</v>
      </c>
      <c r="Y158" s="322">
        <f>IFERROR(IF(tblPiNAnalysis512[[#This Row],[Nutrition]]="", "", MROUND(tblPiNAnalysis512[[#This Row],[Nutrition]]/tblPiNAnalysis512[[#This Row],[Affected population projection 2026]], 0.05)), "")</f>
        <v>0.25</v>
      </c>
      <c r="Z158" s="322">
        <f>IFERROR(IF(tblPiNAnalysis512[[#This Row],[Food Security]]="", "", MROUND(tblPiNAnalysis512[[#This Row],[Food Security]]/tblPiNAnalysis512[[#This Row],[Affected population projection 2026]], 0.05)), "")</f>
        <v>0.30000000000000004</v>
      </c>
      <c r="AA158" s="322">
        <f>IFERROR(IF(tblPiNAnalysis512[[#This Row],[Health]]="", "", MROUND(tblPiNAnalysis512[[#This Row],[Health]]/tblPiNAnalysis512[[#This Row],[Affected population projection 2026]], 0.05)), "")</f>
        <v>0.4</v>
      </c>
      <c r="AB158" s="323">
        <f>IFERROR(IF(tblPiNAnalysis512[[#This Row],[Overarching Protection]]="", "", MROUND(tblPiNAnalysis512[[#This Row],[Overarching Protection]]/tblPiNAnalysis512[[#This Row],[Affected population projection 2026]], 0.05)), "")</f>
        <v>0.15000000000000002</v>
      </c>
      <c r="AC158" s="323">
        <f>IFERROR(IF(tblPiNAnalysis512[[#This Row],[Shelter]]="", "", MROUND(tblPiNAnalysis512[[#This Row],[Shelter]]/tblPiNAnalysis512[[#This Row],[Affected population projection 2026]], 0.05)), "")</f>
        <v>0</v>
      </c>
      <c r="AD158" s="324">
        <f>IFERROR(IF(tblPiNAnalysis512[[#This Row],[WASH]]="", "", MROUND(tblPiNAnalysis512[[#This Row],[WASH]]/tblPiNAnalysis512[[#This Row],[Affected population projection 2026]], 0.05)), "")</f>
        <v>0.25</v>
      </c>
      <c r="AE158" s="322">
        <f>IFERROR(MROUND(tblPiNAnalysis512[[#This Row],[CP]]/tblPiNAnalysis512[[#This Row],[Affected population projection 2026]], 0.05), "")</f>
        <v>0</v>
      </c>
      <c r="AF158" s="322">
        <f>IFERROR(MROUND(tblPiNAnalysis512[[#This Row],[GBV]]/tblPiNAnalysis512[[#This Row],[Affected population projection 2026]], 0.05), "")</f>
        <v>0</v>
      </c>
      <c r="AG158" s="322">
        <f>IFERROR(MROUND(tblPiNAnalysis512[[#This Row],[Mine Action]]/tblPiNAnalysis512[[#This Row],[Affected population projection 2026]], 0.05), "")</f>
        <v>0</v>
      </c>
      <c r="AH158" s="322">
        <f>IFERROR(MROUND(tblPiNAnalysis512[[#This Row],[HLP]]/tblPiNAnalysis512[[#This Row],[Affected population projection 2026]], 0.05), "")</f>
        <v>0</v>
      </c>
      <c r="AI158" s="325">
        <f>IFERROR(LARGE(tblPiNAnalysis512[[#This Row],[CCCM]:[WASH]], 1), "")</f>
        <v>7772.2417257627949</v>
      </c>
      <c r="AJ158" s="326" t="str" cm="1">
        <f t="array" ref="AJ158">IF(tblPiNAnalysis512[[#This Row],[Highest Target]]="", "", _xlfn.TEXTJOIN(CHAR(10), TRUE, IF(tblPiNAnalysis512[[#This Row],[Highest Target]]=tblPiNAnalysis512[[#This Row],[CCCM]:[WASH]], tblPiNAnalysis512[[#Headers],[CCCM]:[WASH]], "")))</f>
        <v>Health</v>
      </c>
      <c r="AK158" s="327">
        <f>IF(tblPiNAnalysis512[[#This Row],[Highest Target]]="", "", tblPiNAnalysis512[[#This Row],[Highest Target]]/tblPiNAnalysis512[[#This Row],[Affected population projection 2026]])</f>
        <v>0.37851526714124928</v>
      </c>
      <c r="AL158" s="328" t="str">
        <f>IF(SUM(tblPiNAnalysis512[[#This Row],[CCCM]:[WASH]])=0, "",IF(COUNTIF(tblPiNAnalysis512[[#This Row],[CCCM]:[WASH]],"=0")+COUNTIF(tblPiNAnalysis512[[#This Row],[CCCM]:[WASH]],"")&gt;=zero_pin_thresh, "Flagged", ""))</f>
        <v/>
      </c>
      <c r="AM158" s="329" t="str">
        <f>IFERROR(IF(tblPiNAnalysis512[[#This Row],[Highest Target]]="", "", IF(tblPiNAnalysis512[[#This Row],[Highest sector(s'') Target %]]&gt;=flag_pin_perc, "Flagged", "")), "")</f>
        <v/>
      </c>
      <c r="AN158" s="330" t="str" cm="1">
        <f t="array" ref="AN158">IF(tblPiNAnalysis512[[#This Row],[Highest Target]]=0, "",  IF(OR(COUNTIF(tblPiNAnalysis512[[#This Row],[Highest sector(s)]],tblSubSectorPopulation[Sector])), "Flagged", ""))</f>
        <v/>
      </c>
      <c r="AO158" s="46" cm="1">
        <f t="array" ref="AO15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6023.3408555433152</v>
      </c>
      <c r="AP158" s="331" t="str" cm="1">
        <f t="array" ref="AP158">IF(tblPiNAnalysis512[[#This Row],[2nd Highest Target]]="", "", _xlfn.TEXTJOIN(CHAR(10), TRUE, IF(tblPiNAnalysis512[[#This Row],[2nd Highest Target]]=tblPiNAnalysis512[[#This Row],[CCCM]:[WASH]], tblPiNAnalysis512[[#Headers],[CCCM]:[WASH]], "")))</f>
        <v>Food Security</v>
      </c>
      <c r="AQ158" s="36">
        <f>IFERROR(tblPiNAnalysis512[[#This Row],[2nd Highest Target]]/tblPiNAnalysis512[[#This Row],[Affected population projection 2026]], "")</f>
        <v>0.29334219823110547</v>
      </c>
      <c r="AR158" s="46">
        <f>IFERROR(tblPiNAnalysis512[[#This Row],[Highest Target]]-tblPiNAnalysis512[[#This Row],[2nd Highest Target]], "")</f>
        <v>1748.9008702194797</v>
      </c>
      <c r="AS158" s="39">
        <f>IFERROR(((tblPiNAnalysis512[[#This Row],[Highest Target]]-tblPiNAnalysis512[[#This Row],[2nd Highest Target]])/tblPiNAnalysis512[[#This Row],[2nd Highest Target]]),"")</f>
        <v>0.29035396006353453</v>
      </c>
      <c r="AT158" s="39" t="str" cm="1">
        <f t="array" ref="AT15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8" s="332" cm="1">
        <f t="array" ref="AU15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5640.373902670759</v>
      </c>
      <c r="AV158" s="190" t="str" cm="1">
        <f t="array" ref="AV158">IF(tblPiNAnalysis512[[#This Row],[3rd Highest Target]]="", "", _xlfn.TEXTJOIN(CHAR(10), TRUE, IF(tblPiNAnalysis512[[#This Row],[3rd Highest Target]]=tblPiNAnalysis512[[#This Row],[CCCM]:[WASH]], tblPiNAnalysis512[[#Headers],[CCCM]:[WASH]], "")))</f>
        <v>WASH</v>
      </c>
      <c r="AW158" s="190">
        <f>IFERROR(tblPiNAnalysis512[[#This Row],[3rd Highest Target]]/tblPiNAnalysis512[[#This Row],[Affected population projection 2026]], "")</f>
        <v>0.27469135802469141</v>
      </c>
      <c r="AX158" s="45">
        <f>IFERROR(tblPiNAnalysis512[[#This Row],[Highest Target]]-tblPiNAnalysis512[[#This Row],[3rd Highest Target]],"")</f>
        <v>2131.8678230920359</v>
      </c>
      <c r="AY158" s="39">
        <f>IFERROR(tblPiNAnalysis512[[#This Row],[Difference of Target between Highest and 3rd Highest]]/tblPiNAnalysis512[[#This Row],[3rd Highest Target]], "")</f>
        <v>0.37796569161533433</v>
      </c>
      <c r="AZ158" s="330" t="str" cm="1">
        <f t="array" ref="AZ15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8" s="300" t="str" cm="1">
        <f t="array" ref="BA15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8" s="333" t="str" cm="1">
        <f t="array" ref="BB15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8" s="276" t="str" cm="1">
        <f t="array" ref="BC15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8" s="334" t="str" cm="1">
        <f t="array" ref="BD15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58" s="277" t="e">
        <f>INDEX(tblSeverityAnalysis[Final Severity], MATCH(tblPiNAnalysis512[[#This Row],[ID]],tblSeverityAnalysis[ID], 0))</f>
        <v>#N/A</v>
      </c>
      <c r="BF158" s="61" t="e">
        <f>IF(tblPiNAnalysis512[[#This Row],[Severity]]&gt;2,tblPiNAnalysis512[[#This Row],[Highest Target]],)</f>
        <v>#N/A</v>
      </c>
      <c r="BG158" s="191"/>
      <c r="BH158" s="192"/>
      <c r="BI158" s="193">
        <f>COUNTIFS(tblPiNAnalysis512[[#This Row],[Number of missing / zero PiNs greater than threshold - Data quality]:[Manual Flag]],"Flagged")</f>
        <v>1</v>
      </c>
      <c r="BJ158" s="96" t="str">
        <f>IF(tblPiNAnalysis512[[#This Row],['# Flags]]&gt;0, "Flagged", "")</f>
        <v>Flagged</v>
      </c>
      <c r="BK158" s="326" t="e">
        <f>tblPiNAnalysis512[[#This Row],[Preliminary Target]]</f>
        <v>#N/A</v>
      </c>
      <c r="BL158" s="331">
        <v>2</v>
      </c>
    </row>
    <row r="159" spans="1:64" ht="110.7" x14ac:dyDescent="0.55000000000000004">
      <c r="A1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9" s="316" t="s">
        <v>390</v>
      </c>
      <c r="C159" s="317" t="s">
        <v>391</v>
      </c>
      <c r="D159" s="317" t="s">
        <v>406</v>
      </c>
      <c r="E159" s="105" t="s">
        <v>407</v>
      </c>
      <c r="F159" s="100"/>
      <c r="G159" s="34"/>
      <c r="H159" s="34"/>
      <c r="I159" s="97">
        <v>65499.917413585019</v>
      </c>
      <c r="J159" s="97" t="s">
        <v>413</v>
      </c>
      <c r="K159" s="318">
        <v>0</v>
      </c>
      <c r="L159" s="319">
        <v>0</v>
      </c>
      <c r="M159" s="319">
        <v>0</v>
      </c>
      <c r="N159" s="319">
        <v>0</v>
      </c>
      <c r="O159" s="319">
        <v>0</v>
      </c>
      <c r="P159" s="319">
        <v>0</v>
      </c>
      <c r="Q159" s="320">
        <v>0</v>
      </c>
      <c r="R159" s="319">
        <v>0</v>
      </c>
      <c r="S159" s="319"/>
      <c r="T159" s="319"/>
      <c r="U159" s="319"/>
      <c r="V159" s="319"/>
      <c r="W159" s="321">
        <f>IFERROR(IF(tblPiNAnalysis512[[#This Row],[CCCM]]="", "", MROUND(tblPiNAnalysis512[[#This Row],[CCCM]]/tblPiNAnalysis512[[#This Row],[Affected population projection 2026]], 0.05)), "")</f>
        <v>0</v>
      </c>
      <c r="X159" s="322">
        <f>IFERROR(IF(tblPiNAnalysis512[[#This Row],[Education]]="", "", MROUND(tblPiNAnalysis512[[#This Row],[Education]]/tblPiNAnalysis512[[#This Row],[Affected population projection 2026]], 0.05)), "")</f>
        <v>0</v>
      </c>
      <c r="Y159" s="322">
        <f>IFERROR(IF(tblPiNAnalysis512[[#This Row],[Nutrition]]="", "", MROUND(tblPiNAnalysis512[[#This Row],[Nutrition]]/tblPiNAnalysis512[[#This Row],[Affected population projection 2026]], 0.05)), "")</f>
        <v>0</v>
      </c>
      <c r="Z159" s="322">
        <f>IFERROR(IF(tblPiNAnalysis512[[#This Row],[Food Security]]="", "", MROUND(tblPiNAnalysis512[[#This Row],[Food Security]]/tblPiNAnalysis512[[#This Row],[Affected population projection 2026]], 0.05)), "")</f>
        <v>0</v>
      </c>
      <c r="AA159" s="322">
        <f>IFERROR(IF(tblPiNAnalysis512[[#This Row],[Health]]="", "", MROUND(tblPiNAnalysis512[[#This Row],[Health]]/tblPiNAnalysis512[[#This Row],[Affected population projection 2026]], 0.05)), "")</f>
        <v>0</v>
      </c>
      <c r="AB159" s="323">
        <f>IFERROR(IF(tblPiNAnalysis512[[#This Row],[Overarching Protection]]="", "", MROUND(tblPiNAnalysis512[[#This Row],[Overarching Protection]]/tblPiNAnalysis512[[#This Row],[Affected population projection 2026]], 0.05)), "")</f>
        <v>0</v>
      </c>
      <c r="AC159" s="323">
        <f>IFERROR(IF(tblPiNAnalysis512[[#This Row],[Shelter]]="", "", MROUND(tblPiNAnalysis512[[#This Row],[Shelter]]/tblPiNAnalysis512[[#This Row],[Affected population projection 2026]], 0.05)), "")</f>
        <v>0</v>
      </c>
      <c r="AD159" s="324">
        <f>IFERROR(IF(tblPiNAnalysis512[[#This Row],[WASH]]="", "", MROUND(tblPiNAnalysis512[[#This Row],[WASH]]/tblPiNAnalysis512[[#This Row],[Affected population projection 2026]], 0.05)), "")</f>
        <v>0</v>
      </c>
      <c r="AE159" s="322">
        <f>IFERROR(MROUND(tblPiNAnalysis512[[#This Row],[CP]]/tblPiNAnalysis512[[#This Row],[Affected population projection 2026]], 0.05), "")</f>
        <v>0</v>
      </c>
      <c r="AF159" s="322">
        <f>IFERROR(MROUND(tblPiNAnalysis512[[#This Row],[GBV]]/tblPiNAnalysis512[[#This Row],[Affected population projection 2026]], 0.05), "")</f>
        <v>0</v>
      </c>
      <c r="AG159" s="322">
        <f>IFERROR(MROUND(tblPiNAnalysis512[[#This Row],[Mine Action]]/tblPiNAnalysis512[[#This Row],[Affected population projection 2026]], 0.05), "")</f>
        <v>0</v>
      </c>
      <c r="AH159" s="322">
        <f>IFERROR(MROUND(tblPiNAnalysis512[[#This Row],[HLP]]/tblPiNAnalysis512[[#This Row],[Affected population projection 2026]], 0.05), "")</f>
        <v>0</v>
      </c>
      <c r="AI159" s="325">
        <f>IFERROR(LARGE(tblPiNAnalysis512[[#This Row],[CCCM]:[WASH]], 1), "")</f>
        <v>0</v>
      </c>
      <c r="AJ159" s="326" t="str" cm="1">
        <f t="array" ref="AJ159">IF(tblPiNAnalysis512[[#This Row],[Highest Target]]="", "", _xlfn.TEXTJOIN(CHAR(10), TRUE, IF(tblPiNAnalysis512[[#This Row],[Highest Target]]=tblPiNAnalysis512[[#This Row],[CCCM]:[WASH]], tblPiNAnalysis512[[#Headers],[CCCM]:[WASH]], "")))</f>
        <v>CCCM
Education
Nutrition
Food Security
Health
Overarching Protection
Shelter
WASH</v>
      </c>
      <c r="AK159" s="327">
        <f>IF(tblPiNAnalysis512[[#This Row],[Highest Target]]="", "", tblPiNAnalysis512[[#This Row],[Highest Target]]/tblPiNAnalysis512[[#This Row],[Affected population projection 2026]])</f>
        <v>0</v>
      </c>
      <c r="AL159" s="328" t="str">
        <f>IF(SUM(tblPiNAnalysis512[[#This Row],[CCCM]:[WASH]])=0, "",IF(COUNTIF(tblPiNAnalysis512[[#This Row],[CCCM]:[WASH]],"=0")+COUNTIF(tblPiNAnalysis512[[#This Row],[CCCM]:[WASH]],"")&gt;=zero_pin_thresh, "Flagged", ""))</f>
        <v/>
      </c>
      <c r="AM159" s="329" t="str">
        <f>IFERROR(IF(tblPiNAnalysis512[[#This Row],[Highest Target]]="", "", IF(tblPiNAnalysis512[[#This Row],[Highest sector(s'') Target %]]&gt;=flag_pin_perc, "Flagged", "")), "")</f>
        <v/>
      </c>
      <c r="AN159" s="330" t="str" cm="1">
        <f t="array" ref="AN159">IF(tblPiNAnalysis512[[#This Row],[Highest Target]]=0, "",  IF(OR(COUNTIF(tblPiNAnalysis512[[#This Row],[Highest sector(s)]],tblSubSectorPopulation[Sector])), "Flagged", ""))</f>
        <v/>
      </c>
      <c r="AO159" s="46" cm="1">
        <f t="array" ref="AO15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59" s="331" t="str" cm="1">
        <f t="array" ref="AP159">IF(tblPiNAnalysis512[[#This Row],[2nd Highest Target]]="", "", _xlfn.TEXTJOIN(CHAR(10), TRUE, IF(tblPiNAnalysis512[[#This Row],[2nd Highest Target]]=tblPiNAnalysis512[[#This Row],[CCCM]:[WASH]], tblPiNAnalysis512[[#Headers],[CCCM]:[WASH]], "")))</f>
        <v>CCCM
Education
Nutrition
Food Security
Health
Overarching Protection
Shelter
WASH</v>
      </c>
      <c r="AQ159" s="36">
        <f>IFERROR(tblPiNAnalysis512[[#This Row],[2nd Highest Target]]/tblPiNAnalysis512[[#This Row],[Affected population projection 2026]], "")</f>
        <v>0</v>
      </c>
      <c r="AR159" s="46">
        <f>IFERROR(tblPiNAnalysis512[[#This Row],[Highest Target]]-tblPiNAnalysis512[[#This Row],[2nd Highest Target]], "")</f>
        <v>0</v>
      </c>
      <c r="AS159" s="39" t="str">
        <f>IFERROR(((tblPiNAnalysis512[[#This Row],[Highest Target]]-tblPiNAnalysis512[[#This Row],[2nd Highest Target]])/tblPiNAnalysis512[[#This Row],[2nd Highest Target]]),"")</f>
        <v/>
      </c>
      <c r="AT159" s="39" t="str" cm="1">
        <f t="array" ref="AT15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59" s="332" cm="1">
        <f t="array" ref="AU15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59" s="190" t="str" cm="1">
        <f t="array" ref="AV159">IF(tblPiNAnalysis512[[#This Row],[3rd Highest Target]]="", "", _xlfn.TEXTJOIN(CHAR(10), TRUE, IF(tblPiNAnalysis512[[#This Row],[3rd Highest Target]]=tblPiNAnalysis512[[#This Row],[CCCM]:[WASH]], tblPiNAnalysis512[[#Headers],[CCCM]:[WASH]], "")))</f>
        <v>CCCM
Education
Nutrition
Food Security
Health
Overarching Protection
Shelter
WASH</v>
      </c>
      <c r="AW159" s="190">
        <f>IFERROR(tblPiNAnalysis512[[#This Row],[3rd Highest Target]]/tblPiNAnalysis512[[#This Row],[Affected population projection 2026]], "")</f>
        <v>0</v>
      </c>
      <c r="AX159" s="45">
        <f>IFERROR(tblPiNAnalysis512[[#This Row],[Highest Target]]-tblPiNAnalysis512[[#This Row],[3rd Highest Target]],"")</f>
        <v>0</v>
      </c>
      <c r="AY159" s="39" t="str">
        <f>IFERROR(tblPiNAnalysis512[[#This Row],[Difference of Target between Highest and 3rd Highest]]/tblPiNAnalysis512[[#This Row],[3rd Highest Target]], "")</f>
        <v/>
      </c>
      <c r="AZ159" s="330" t="str" cm="1">
        <f t="array" ref="AZ15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59" s="300" t="str" cm="1">
        <f t="array" ref="BA15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59" s="333" t="str" cm="1">
        <f t="array" ref="BB15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59" s="276" t="str" cm="1">
        <f t="array" ref="BC15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59" s="334" t="str" cm="1">
        <f t="array" ref="BD15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59" s="277" t="e">
        <f>INDEX(tblSeverityAnalysis[Final Severity], MATCH(tblPiNAnalysis512[[#This Row],[ID]],tblSeverityAnalysis[ID], 0))</f>
        <v>#N/A</v>
      </c>
      <c r="BF159" s="61" t="e">
        <f>IF(tblPiNAnalysis512[[#This Row],[Severity]]&gt;2,tblPiNAnalysis512[[#This Row],[Highest Target]],)</f>
        <v>#N/A</v>
      </c>
      <c r="BG159" s="191"/>
      <c r="BH159" s="192"/>
      <c r="BI159" s="193">
        <f>COUNTIFS(tblPiNAnalysis512[[#This Row],[Number of missing / zero PiNs greater than threshold - Data quality]:[Manual Flag]],"Flagged")</f>
        <v>2</v>
      </c>
      <c r="BJ159" s="96" t="str">
        <f>IF(tblPiNAnalysis512[[#This Row],['# Flags]]&gt;0, "Flagged", "")</f>
        <v>Flagged</v>
      </c>
      <c r="BK159" s="326" t="e">
        <f>tblPiNAnalysis512[[#This Row],[Preliminary Target]]</f>
        <v>#N/A</v>
      </c>
      <c r="BL159" s="331">
        <v>5</v>
      </c>
    </row>
    <row r="160" spans="1:64" x14ac:dyDescent="0.55000000000000004">
      <c r="A1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0" s="316" t="s">
        <v>390</v>
      </c>
      <c r="C160" s="317" t="s">
        <v>391</v>
      </c>
      <c r="D160" s="317" t="s">
        <v>408</v>
      </c>
      <c r="E160" s="105" t="s">
        <v>409</v>
      </c>
      <c r="F160" s="100"/>
      <c r="G160" s="34"/>
      <c r="H160" s="34"/>
      <c r="I160" s="97">
        <v>76119.104669093867</v>
      </c>
      <c r="J160" s="97" t="s">
        <v>413</v>
      </c>
      <c r="K160" s="318">
        <v>0</v>
      </c>
      <c r="L160" s="319">
        <v>4598.4083964332285</v>
      </c>
      <c r="M160" s="319">
        <v>18275.620298405785</v>
      </c>
      <c r="N160" s="319">
        <v>17948.193300489344</v>
      </c>
      <c r="O160" s="319">
        <v>32413.633790026284</v>
      </c>
      <c r="P160" s="319">
        <v>13241.447024673438</v>
      </c>
      <c r="Q160" s="320">
        <v>7184.2750474200948</v>
      </c>
      <c r="R160" s="319">
        <v>41436.750265467381</v>
      </c>
      <c r="S160" s="319"/>
      <c r="T160" s="319"/>
      <c r="U160" s="319"/>
      <c r="V160" s="319"/>
      <c r="W160" s="321">
        <f>IFERROR(IF(tblPiNAnalysis512[[#This Row],[CCCM]]="", "", MROUND(tblPiNAnalysis512[[#This Row],[CCCM]]/tblPiNAnalysis512[[#This Row],[Affected population projection 2026]], 0.05)), "")</f>
        <v>0</v>
      </c>
      <c r="X160" s="322">
        <f>IFERROR(IF(tblPiNAnalysis512[[#This Row],[Education]]="", "", MROUND(tblPiNAnalysis512[[#This Row],[Education]]/tblPiNAnalysis512[[#This Row],[Affected population projection 2026]], 0.05)), "")</f>
        <v>0.05</v>
      </c>
      <c r="Y160" s="322">
        <f>IFERROR(IF(tblPiNAnalysis512[[#This Row],[Nutrition]]="", "", MROUND(tblPiNAnalysis512[[#This Row],[Nutrition]]/tblPiNAnalysis512[[#This Row],[Affected population projection 2026]], 0.05)), "")</f>
        <v>0.25</v>
      </c>
      <c r="Z160" s="322">
        <f>IFERROR(IF(tblPiNAnalysis512[[#This Row],[Food Security]]="", "", MROUND(tblPiNAnalysis512[[#This Row],[Food Security]]/tblPiNAnalysis512[[#This Row],[Affected population projection 2026]], 0.05)), "")</f>
        <v>0.25</v>
      </c>
      <c r="AA160" s="322">
        <f>IFERROR(IF(tblPiNAnalysis512[[#This Row],[Health]]="", "", MROUND(tblPiNAnalysis512[[#This Row],[Health]]/tblPiNAnalysis512[[#This Row],[Affected population projection 2026]], 0.05)), "")</f>
        <v>0.45</v>
      </c>
      <c r="AB160" s="323">
        <f>IFERROR(IF(tblPiNAnalysis512[[#This Row],[Overarching Protection]]="", "", MROUND(tblPiNAnalysis512[[#This Row],[Overarching Protection]]/tblPiNAnalysis512[[#This Row],[Affected population projection 2026]], 0.05)), "")</f>
        <v>0.15000000000000002</v>
      </c>
      <c r="AC160" s="323">
        <f>IFERROR(IF(tblPiNAnalysis512[[#This Row],[Shelter]]="", "", MROUND(tblPiNAnalysis512[[#This Row],[Shelter]]/tblPiNAnalysis512[[#This Row],[Affected population projection 2026]], 0.05)), "")</f>
        <v>0.1</v>
      </c>
      <c r="AD160" s="324">
        <f>IFERROR(IF(tblPiNAnalysis512[[#This Row],[WASH]]="", "", MROUND(tblPiNAnalysis512[[#This Row],[WASH]]/tblPiNAnalysis512[[#This Row],[Affected population projection 2026]], 0.05)), "")</f>
        <v>0.55000000000000004</v>
      </c>
      <c r="AE160" s="322">
        <f>IFERROR(MROUND(tblPiNAnalysis512[[#This Row],[CP]]/tblPiNAnalysis512[[#This Row],[Affected population projection 2026]], 0.05), "")</f>
        <v>0</v>
      </c>
      <c r="AF160" s="322">
        <f>IFERROR(MROUND(tblPiNAnalysis512[[#This Row],[GBV]]/tblPiNAnalysis512[[#This Row],[Affected population projection 2026]], 0.05), "")</f>
        <v>0</v>
      </c>
      <c r="AG160" s="322">
        <f>IFERROR(MROUND(tblPiNAnalysis512[[#This Row],[Mine Action]]/tblPiNAnalysis512[[#This Row],[Affected population projection 2026]], 0.05), "")</f>
        <v>0</v>
      </c>
      <c r="AH160" s="322">
        <f>IFERROR(MROUND(tblPiNAnalysis512[[#This Row],[HLP]]/tblPiNAnalysis512[[#This Row],[Affected population projection 2026]], 0.05), "")</f>
        <v>0</v>
      </c>
      <c r="AI160" s="325">
        <f>IFERROR(LARGE(tblPiNAnalysis512[[#This Row],[CCCM]:[WASH]], 1), "")</f>
        <v>41436.750265467381</v>
      </c>
      <c r="AJ160" s="326" t="str" cm="1">
        <f t="array" ref="AJ160">IF(tblPiNAnalysis512[[#This Row],[Highest Target]]="", "", _xlfn.TEXTJOIN(CHAR(10), TRUE, IF(tblPiNAnalysis512[[#This Row],[Highest Target]]=tblPiNAnalysis512[[#This Row],[CCCM]:[WASH]], tblPiNAnalysis512[[#Headers],[CCCM]:[WASH]], "")))</f>
        <v>WASH</v>
      </c>
      <c r="AK160" s="327">
        <f>IF(tblPiNAnalysis512[[#This Row],[Highest Target]]="", "", tblPiNAnalysis512[[#This Row],[Highest Target]]/tblPiNAnalysis512[[#This Row],[Affected population projection 2026]])</f>
        <v>0.54436728395061729</v>
      </c>
      <c r="AL160" s="328" t="str">
        <f>IF(SUM(tblPiNAnalysis512[[#This Row],[CCCM]:[WASH]])=0, "",IF(COUNTIF(tblPiNAnalysis512[[#This Row],[CCCM]:[WASH]],"=0")+COUNTIF(tblPiNAnalysis512[[#This Row],[CCCM]:[WASH]],"")&gt;=zero_pin_thresh, "Flagged", ""))</f>
        <v/>
      </c>
      <c r="AM160" s="329" t="str">
        <f>IFERROR(IF(tblPiNAnalysis512[[#This Row],[Highest Target]]="", "", IF(tblPiNAnalysis512[[#This Row],[Highest sector(s'') Target %]]&gt;=flag_pin_perc, "Flagged", "")), "")</f>
        <v/>
      </c>
      <c r="AN160" s="330" t="str" cm="1">
        <f t="array" ref="AN160">IF(tblPiNAnalysis512[[#This Row],[Highest Target]]=0, "",  IF(OR(COUNTIF(tblPiNAnalysis512[[#This Row],[Highest sector(s)]],tblSubSectorPopulation[Sector])), "Flagged", ""))</f>
        <v/>
      </c>
      <c r="AO160" s="46" cm="1">
        <f t="array" ref="AO16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32413.633790026284</v>
      </c>
      <c r="AP160" s="331" t="str" cm="1">
        <f t="array" ref="AP160">IF(tblPiNAnalysis512[[#This Row],[2nd Highest Target]]="", "", _xlfn.TEXTJOIN(CHAR(10), TRUE, IF(tblPiNAnalysis512[[#This Row],[2nd Highest Target]]=tblPiNAnalysis512[[#This Row],[CCCM]:[WASH]], tblPiNAnalysis512[[#Headers],[CCCM]:[WASH]], "")))</f>
        <v>Health</v>
      </c>
      <c r="AQ160" s="36">
        <f>IFERROR(tblPiNAnalysis512[[#This Row],[2nd Highest Target]]/tblPiNAnalysis512[[#This Row],[Affected population projection 2026]], "")</f>
        <v>0.42582783824028575</v>
      </c>
      <c r="AR160" s="46">
        <f>IFERROR(tblPiNAnalysis512[[#This Row],[Highest Target]]-tblPiNAnalysis512[[#This Row],[2nd Highest Target]], "")</f>
        <v>9023.1164754410966</v>
      </c>
      <c r="AS160" s="39">
        <f>IFERROR(((tblPiNAnalysis512[[#This Row],[Highest Target]]-tblPiNAnalysis512[[#This Row],[2nd Highest Target]])/tblPiNAnalysis512[[#This Row],[2nd Highest Target]]),"")</f>
        <v>0.2783741105330042</v>
      </c>
      <c r="AT160" s="39" t="str" cm="1">
        <f t="array" ref="AT16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0" s="332" cm="1">
        <f t="array" ref="AU16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18275.620298405785</v>
      </c>
      <c r="AV160" s="190" t="str" cm="1">
        <f t="array" ref="AV160">IF(tblPiNAnalysis512[[#This Row],[3rd Highest Target]]="", "", _xlfn.TEXTJOIN(CHAR(10), TRUE, IF(tblPiNAnalysis512[[#This Row],[3rd Highest Target]]=tblPiNAnalysis512[[#This Row],[CCCM]:[WASH]], tblPiNAnalysis512[[#Headers],[CCCM]:[WASH]], "")))</f>
        <v>Nutrition</v>
      </c>
      <c r="AW160" s="190">
        <f>IFERROR(tblPiNAnalysis512[[#This Row],[3rd Highest Target]]/tblPiNAnalysis512[[#This Row],[Affected population projection 2026]], "")</f>
        <v>0.24009242328655653</v>
      </c>
      <c r="AX160" s="45">
        <f>IFERROR(tblPiNAnalysis512[[#This Row],[Highest Target]]-tblPiNAnalysis512[[#This Row],[3rd Highest Target]],"")</f>
        <v>23161.129967061595</v>
      </c>
      <c r="AY160" s="39">
        <f>IFERROR(tblPiNAnalysis512[[#This Row],[Difference of Target between Highest and 3rd Highest]]/tblPiNAnalysis512[[#This Row],[3rd Highest Target]], "")</f>
        <v>1.26732387677599</v>
      </c>
      <c r="AZ160" s="330" t="str" cm="1">
        <f t="array" ref="AZ16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60" s="300" t="str" cm="1">
        <f t="array" ref="BA16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0" s="333" t="str" cm="1">
        <f t="array" ref="BB16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60" s="276" t="str" cm="1">
        <f t="array" ref="BC16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0" s="334" t="str" cm="1">
        <f t="array" ref="BD16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0" s="277" t="e">
        <f>INDEX(tblSeverityAnalysis[Final Severity], MATCH(tblPiNAnalysis512[[#This Row],[ID]],tblSeverityAnalysis[ID], 0))</f>
        <v>#N/A</v>
      </c>
      <c r="BF160" s="61" t="e">
        <f>IF(tblPiNAnalysis512[[#This Row],[Severity]]&gt;2,tblPiNAnalysis512[[#This Row],[Highest Target]],)</f>
        <v>#N/A</v>
      </c>
      <c r="BG160" s="191"/>
      <c r="BH160" s="192"/>
      <c r="BI160" s="193">
        <f>COUNTIFS(tblPiNAnalysis512[[#This Row],[Number of missing / zero PiNs greater than threshold - Data quality]:[Manual Flag]],"Flagged")</f>
        <v>2</v>
      </c>
      <c r="BJ160" s="96" t="str">
        <f>IF(tblPiNAnalysis512[[#This Row],['# Flags]]&gt;0, "Flagged", "")</f>
        <v>Flagged</v>
      </c>
      <c r="BK160" s="326" t="e">
        <f>tblPiNAnalysis512[[#This Row],[Preliminary Target]]</f>
        <v>#N/A</v>
      </c>
      <c r="BL160" s="331">
        <v>2</v>
      </c>
    </row>
    <row r="161" spans="1:64" ht="110.7" x14ac:dyDescent="0.55000000000000004">
      <c r="A1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1" s="316" t="s">
        <v>390</v>
      </c>
      <c r="C161" s="317" t="s">
        <v>391</v>
      </c>
      <c r="D161" s="317" t="s">
        <v>410</v>
      </c>
      <c r="E161" s="105" t="s">
        <v>411</v>
      </c>
      <c r="F161" s="100"/>
      <c r="G161" s="34"/>
      <c r="H161" s="34"/>
      <c r="I161" s="97">
        <v>122615.70597189905</v>
      </c>
      <c r="J161" s="97" t="s">
        <v>413</v>
      </c>
      <c r="K161" s="318">
        <v>0</v>
      </c>
      <c r="L161" s="319">
        <v>0</v>
      </c>
      <c r="M161" s="319">
        <v>0</v>
      </c>
      <c r="N161" s="319">
        <v>0</v>
      </c>
      <c r="O161" s="319">
        <v>0</v>
      </c>
      <c r="P161" s="319">
        <v>0</v>
      </c>
      <c r="Q161" s="320">
        <v>0</v>
      </c>
      <c r="R161" s="319">
        <v>0</v>
      </c>
      <c r="S161" s="319"/>
      <c r="T161" s="319"/>
      <c r="U161" s="319"/>
      <c r="V161" s="319"/>
      <c r="W161" s="321">
        <f>IFERROR(IF(tblPiNAnalysis512[[#This Row],[CCCM]]="", "", MROUND(tblPiNAnalysis512[[#This Row],[CCCM]]/tblPiNAnalysis512[[#This Row],[Affected population projection 2026]], 0.05)), "")</f>
        <v>0</v>
      </c>
      <c r="X161" s="322">
        <f>IFERROR(IF(tblPiNAnalysis512[[#This Row],[Education]]="", "", MROUND(tblPiNAnalysis512[[#This Row],[Education]]/tblPiNAnalysis512[[#This Row],[Affected population projection 2026]], 0.05)), "")</f>
        <v>0</v>
      </c>
      <c r="Y161" s="322">
        <f>IFERROR(IF(tblPiNAnalysis512[[#This Row],[Nutrition]]="", "", MROUND(tblPiNAnalysis512[[#This Row],[Nutrition]]/tblPiNAnalysis512[[#This Row],[Affected population projection 2026]], 0.05)), "")</f>
        <v>0</v>
      </c>
      <c r="Z161" s="322">
        <f>IFERROR(IF(tblPiNAnalysis512[[#This Row],[Food Security]]="", "", MROUND(tblPiNAnalysis512[[#This Row],[Food Security]]/tblPiNAnalysis512[[#This Row],[Affected population projection 2026]], 0.05)), "")</f>
        <v>0</v>
      </c>
      <c r="AA161" s="322">
        <f>IFERROR(IF(tblPiNAnalysis512[[#This Row],[Health]]="", "", MROUND(tblPiNAnalysis512[[#This Row],[Health]]/tblPiNAnalysis512[[#This Row],[Affected population projection 2026]], 0.05)), "")</f>
        <v>0</v>
      </c>
      <c r="AB161" s="323">
        <f>IFERROR(IF(tblPiNAnalysis512[[#This Row],[Overarching Protection]]="", "", MROUND(tblPiNAnalysis512[[#This Row],[Overarching Protection]]/tblPiNAnalysis512[[#This Row],[Affected population projection 2026]], 0.05)), "")</f>
        <v>0</v>
      </c>
      <c r="AC161" s="323">
        <f>IFERROR(IF(tblPiNAnalysis512[[#This Row],[Shelter]]="", "", MROUND(tblPiNAnalysis512[[#This Row],[Shelter]]/tblPiNAnalysis512[[#This Row],[Affected population projection 2026]], 0.05)), "")</f>
        <v>0</v>
      </c>
      <c r="AD161" s="324">
        <f>IFERROR(IF(tblPiNAnalysis512[[#This Row],[WASH]]="", "", MROUND(tblPiNAnalysis512[[#This Row],[WASH]]/tblPiNAnalysis512[[#This Row],[Affected population projection 2026]], 0.05)), "")</f>
        <v>0</v>
      </c>
      <c r="AE161" s="322">
        <f>IFERROR(MROUND(tblPiNAnalysis512[[#This Row],[CP]]/tblPiNAnalysis512[[#This Row],[Affected population projection 2026]], 0.05), "")</f>
        <v>0</v>
      </c>
      <c r="AF161" s="322">
        <f>IFERROR(MROUND(tblPiNAnalysis512[[#This Row],[GBV]]/tblPiNAnalysis512[[#This Row],[Affected population projection 2026]], 0.05), "")</f>
        <v>0</v>
      </c>
      <c r="AG161" s="322">
        <f>IFERROR(MROUND(tblPiNAnalysis512[[#This Row],[Mine Action]]/tblPiNAnalysis512[[#This Row],[Affected population projection 2026]], 0.05), "")</f>
        <v>0</v>
      </c>
      <c r="AH161" s="322">
        <f>IFERROR(MROUND(tblPiNAnalysis512[[#This Row],[HLP]]/tblPiNAnalysis512[[#This Row],[Affected population projection 2026]], 0.05), "")</f>
        <v>0</v>
      </c>
      <c r="AI161" s="325">
        <f>IFERROR(LARGE(tblPiNAnalysis512[[#This Row],[CCCM]:[WASH]], 1), "")</f>
        <v>0</v>
      </c>
      <c r="AJ161" s="326" t="str" cm="1">
        <f t="array" ref="AJ161">IF(tblPiNAnalysis512[[#This Row],[Highest Target]]="", "", _xlfn.TEXTJOIN(CHAR(10), TRUE, IF(tblPiNAnalysis512[[#This Row],[Highest Target]]=tblPiNAnalysis512[[#This Row],[CCCM]:[WASH]], tblPiNAnalysis512[[#Headers],[CCCM]:[WASH]], "")))</f>
        <v>CCCM
Education
Nutrition
Food Security
Health
Overarching Protection
Shelter
WASH</v>
      </c>
      <c r="AK161" s="327">
        <f>IF(tblPiNAnalysis512[[#This Row],[Highest Target]]="", "", tblPiNAnalysis512[[#This Row],[Highest Target]]/tblPiNAnalysis512[[#This Row],[Affected population projection 2026]])</f>
        <v>0</v>
      </c>
      <c r="AL161" s="328" t="str">
        <f>IF(SUM(tblPiNAnalysis512[[#This Row],[CCCM]:[WASH]])=0, "",IF(COUNTIF(tblPiNAnalysis512[[#This Row],[CCCM]:[WASH]],"=0")+COUNTIF(tblPiNAnalysis512[[#This Row],[CCCM]:[WASH]],"")&gt;=zero_pin_thresh, "Flagged", ""))</f>
        <v/>
      </c>
      <c r="AM161" s="329" t="str">
        <f>IFERROR(IF(tblPiNAnalysis512[[#This Row],[Highest Target]]="", "", IF(tblPiNAnalysis512[[#This Row],[Highest sector(s'') Target %]]&gt;=flag_pin_perc, "Flagged", "")), "")</f>
        <v/>
      </c>
      <c r="AN161" s="330" t="str" cm="1">
        <f t="array" ref="AN161">IF(tblPiNAnalysis512[[#This Row],[Highest Target]]=0, "",  IF(OR(COUNTIF(tblPiNAnalysis512[[#This Row],[Highest sector(s)]],tblSubSectorPopulation[Sector])), "Flagged", ""))</f>
        <v/>
      </c>
      <c r="AO161" s="46" cm="1">
        <f t="array" ref="AO16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1" s="331" t="str" cm="1">
        <f t="array" ref="AP161">IF(tblPiNAnalysis512[[#This Row],[2nd Highest Target]]="", "", _xlfn.TEXTJOIN(CHAR(10), TRUE, IF(tblPiNAnalysis512[[#This Row],[2nd Highest Target]]=tblPiNAnalysis512[[#This Row],[CCCM]:[WASH]], tblPiNAnalysis512[[#Headers],[CCCM]:[WASH]], "")))</f>
        <v>CCCM
Education
Nutrition
Food Security
Health
Overarching Protection
Shelter
WASH</v>
      </c>
      <c r="AQ161" s="36">
        <f>IFERROR(tblPiNAnalysis512[[#This Row],[2nd Highest Target]]/tblPiNAnalysis512[[#This Row],[Affected population projection 2026]], "")</f>
        <v>0</v>
      </c>
      <c r="AR161" s="46">
        <f>IFERROR(tblPiNAnalysis512[[#This Row],[Highest Target]]-tblPiNAnalysis512[[#This Row],[2nd Highest Target]], "")</f>
        <v>0</v>
      </c>
      <c r="AS161" s="39" t="str">
        <f>IFERROR(((tblPiNAnalysis512[[#This Row],[Highest Target]]-tblPiNAnalysis512[[#This Row],[2nd Highest Target]])/tblPiNAnalysis512[[#This Row],[2nd Highest Target]]),"")</f>
        <v/>
      </c>
      <c r="AT161" s="39" t="str" cm="1">
        <f t="array" ref="AT16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1" s="332" cm="1">
        <f t="array" ref="AU16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1" s="190" t="str" cm="1">
        <f t="array" ref="AV161">IF(tblPiNAnalysis512[[#This Row],[3rd Highest Target]]="", "", _xlfn.TEXTJOIN(CHAR(10), TRUE, IF(tblPiNAnalysis512[[#This Row],[3rd Highest Target]]=tblPiNAnalysis512[[#This Row],[CCCM]:[WASH]], tblPiNAnalysis512[[#Headers],[CCCM]:[WASH]], "")))</f>
        <v>CCCM
Education
Nutrition
Food Security
Health
Overarching Protection
Shelter
WASH</v>
      </c>
      <c r="AW161" s="190">
        <f>IFERROR(tblPiNAnalysis512[[#This Row],[3rd Highest Target]]/tblPiNAnalysis512[[#This Row],[Affected population projection 2026]], "")</f>
        <v>0</v>
      </c>
      <c r="AX161" s="45">
        <f>IFERROR(tblPiNAnalysis512[[#This Row],[Highest Target]]-tblPiNAnalysis512[[#This Row],[3rd Highest Target]],"")</f>
        <v>0</v>
      </c>
      <c r="AY161" s="39" t="str">
        <f>IFERROR(tblPiNAnalysis512[[#This Row],[Difference of Target between Highest and 3rd Highest]]/tblPiNAnalysis512[[#This Row],[3rd Highest Target]], "")</f>
        <v/>
      </c>
      <c r="AZ161" s="330" t="str" cm="1">
        <f t="array" ref="AZ16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1" s="300" t="str" cm="1">
        <f t="array" ref="BA16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1" s="333" t="str" cm="1">
        <f t="array" ref="BB16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1" s="276" t="str" cm="1">
        <f t="array" ref="BC16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1" s="334" t="str" cm="1">
        <f t="array" ref="BD16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1" s="277" t="e">
        <f>INDEX(tblSeverityAnalysis[Final Severity], MATCH(tblPiNAnalysis512[[#This Row],[ID]],tblSeverityAnalysis[ID], 0))</f>
        <v>#N/A</v>
      </c>
      <c r="BF161" s="61" t="e">
        <f>IF(tblPiNAnalysis512[[#This Row],[Severity]]&gt;2,tblPiNAnalysis512[[#This Row],[Highest Target]],)</f>
        <v>#N/A</v>
      </c>
      <c r="BG161" s="191"/>
      <c r="BH161" s="192"/>
      <c r="BI161" s="193">
        <f>COUNTIFS(tblPiNAnalysis512[[#This Row],[Number of missing / zero PiNs greater than threshold - Data quality]:[Manual Flag]],"Flagged")</f>
        <v>2</v>
      </c>
      <c r="BJ161" s="96" t="str">
        <f>IF(tblPiNAnalysis512[[#This Row],['# Flags]]&gt;0, "Flagged", "")</f>
        <v>Flagged</v>
      </c>
      <c r="BK161" s="326" t="e">
        <f>tblPiNAnalysis512[[#This Row],[Preliminary Target]]</f>
        <v>#N/A</v>
      </c>
      <c r="BL161" s="331">
        <v>5</v>
      </c>
    </row>
    <row r="162" spans="1:64" ht="27.6" x14ac:dyDescent="0.55000000000000004">
      <c r="A1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2" s="316" t="s">
        <v>233</v>
      </c>
      <c r="C162" s="317" t="s">
        <v>234</v>
      </c>
      <c r="D162" s="317" t="s">
        <v>233</v>
      </c>
      <c r="E162" s="105" t="s">
        <v>235</v>
      </c>
      <c r="F162" s="100"/>
      <c r="G162" s="34"/>
      <c r="H162" s="34"/>
      <c r="I162" s="97">
        <v>19107.704392085096</v>
      </c>
      <c r="J162" s="97" t="s">
        <v>414</v>
      </c>
      <c r="K162" s="318">
        <v>5000</v>
      </c>
      <c r="L162" s="319">
        <v>2193.5644642113693</v>
      </c>
      <c r="M162" s="319">
        <v>3916.9304965614242</v>
      </c>
      <c r="N162" s="319">
        <v>6604.9202780047945</v>
      </c>
      <c r="O162" s="319">
        <v>9363.4882631872078</v>
      </c>
      <c r="P162" s="319">
        <v>6008.4640770882224</v>
      </c>
      <c r="Q162" s="320">
        <v>2786.5402238457432</v>
      </c>
      <c r="R162" s="319">
        <v>2064.1038695153652</v>
      </c>
      <c r="S162" s="319"/>
      <c r="T162" s="319"/>
      <c r="U162" s="319"/>
      <c r="V162" s="319"/>
      <c r="W162" s="321">
        <f>IFERROR(IF(tblPiNAnalysis512[[#This Row],[CCCM]]="", "", MROUND(tblPiNAnalysis512[[#This Row],[CCCM]]/tblPiNAnalysis512[[#This Row],[Affected population projection 2026]], 0.05)), "")</f>
        <v>0.25</v>
      </c>
      <c r="X162" s="322">
        <f>IFERROR(IF(tblPiNAnalysis512[[#This Row],[Education]]="", "", MROUND(tblPiNAnalysis512[[#This Row],[Education]]/tblPiNAnalysis512[[#This Row],[Affected population projection 2026]], 0.05)), "")</f>
        <v>0.1</v>
      </c>
      <c r="Y162" s="322">
        <f>IFERROR(IF(tblPiNAnalysis512[[#This Row],[Nutrition]]="", "", MROUND(tblPiNAnalysis512[[#This Row],[Nutrition]]/tblPiNAnalysis512[[#This Row],[Affected population projection 2026]], 0.05)), "")</f>
        <v>0.2</v>
      </c>
      <c r="Z162" s="322">
        <f>IFERROR(IF(tblPiNAnalysis512[[#This Row],[Food Security]]="", "", MROUND(tblPiNAnalysis512[[#This Row],[Food Security]]/tblPiNAnalysis512[[#This Row],[Affected population projection 2026]], 0.05)), "")</f>
        <v>0.35000000000000003</v>
      </c>
      <c r="AA162" s="322">
        <f>IFERROR(IF(tblPiNAnalysis512[[#This Row],[Health]]="", "", MROUND(tblPiNAnalysis512[[#This Row],[Health]]/tblPiNAnalysis512[[#This Row],[Affected population projection 2026]], 0.05)), "")</f>
        <v>0.5</v>
      </c>
      <c r="AB162" s="323">
        <f>IFERROR(IF(tblPiNAnalysis512[[#This Row],[Overarching Protection]]="", "", MROUND(tblPiNAnalysis512[[#This Row],[Overarching Protection]]/tblPiNAnalysis512[[#This Row],[Affected population projection 2026]], 0.05)), "")</f>
        <v>0.30000000000000004</v>
      </c>
      <c r="AC162" s="323">
        <f>IFERROR(IF(tblPiNAnalysis512[[#This Row],[Shelter]]="", "", MROUND(tblPiNAnalysis512[[#This Row],[Shelter]]/tblPiNAnalysis512[[#This Row],[Affected population projection 2026]], 0.05)), "")</f>
        <v>0.15000000000000002</v>
      </c>
      <c r="AD162" s="324">
        <f>IFERROR(IF(tblPiNAnalysis512[[#This Row],[WASH]]="", "", MROUND(tblPiNAnalysis512[[#This Row],[WASH]]/tblPiNAnalysis512[[#This Row],[Affected population projection 2026]], 0.05)), "")</f>
        <v>0.1</v>
      </c>
      <c r="AE162" s="322">
        <f>IFERROR(MROUND(tblPiNAnalysis512[[#This Row],[CP]]/tblPiNAnalysis512[[#This Row],[Affected population projection 2026]], 0.05), "")</f>
        <v>0</v>
      </c>
      <c r="AF162" s="322">
        <f>IFERROR(MROUND(tblPiNAnalysis512[[#This Row],[GBV]]/tblPiNAnalysis512[[#This Row],[Affected population projection 2026]], 0.05), "")</f>
        <v>0</v>
      </c>
      <c r="AG162" s="322">
        <f>IFERROR(MROUND(tblPiNAnalysis512[[#This Row],[Mine Action]]/tblPiNAnalysis512[[#This Row],[Affected population projection 2026]], 0.05), "")</f>
        <v>0</v>
      </c>
      <c r="AH162" s="322">
        <f>IFERROR(MROUND(tblPiNAnalysis512[[#This Row],[HLP]]/tblPiNAnalysis512[[#This Row],[Affected population projection 2026]], 0.05), "")</f>
        <v>0</v>
      </c>
      <c r="AI162" s="325">
        <f>IFERROR(LARGE(tblPiNAnalysis512[[#This Row],[CCCM]:[WASH]], 1), "")</f>
        <v>9363.4882631872078</v>
      </c>
      <c r="AJ162" s="326" t="str" cm="1">
        <f t="array" ref="AJ162">IF(tblPiNAnalysis512[[#This Row],[Highest Target]]="", "", _xlfn.TEXTJOIN(CHAR(10), TRUE, IF(tblPiNAnalysis512[[#This Row],[Highest Target]]=tblPiNAnalysis512[[#This Row],[CCCM]:[WASH]], tblPiNAnalysis512[[#Headers],[CCCM]:[WASH]], "")))</f>
        <v>Health</v>
      </c>
      <c r="AK162" s="327">
        <f>IF(tblPiNAnalysis512[[#This Row],[Highest Target]]="", "", tblPiNAnalysis512[[#This Row],[Highest Target]]/tblPiNAnalysis512[[#This Row],[Affected population projection 2026]])</f>
        <v>0.49003732060381916</v>
      </c>
      <c r="AL162" s="328" t="str">
        <f>IF(SUM(tblPiNAnalysis512[[#This Row],[CCCM]:[WASH]])=0, "",IF(COUNTIF(tblPiNAnalysis512[[#This Row],[CCCM]:[WASH]],"=0")+COUNTIF(tblPiNAnalysis512[[#This Row],[CCCM]:[WASH]],"")&gt;=zero_pin_thresh, "Flagged", ""))</f>
        <v/>
      </c>
      <c r="AM162" s="329" t="str">
        <f>IFERROR(IF(tblPiNAnalysis512[[#This Row],[Highest Target]]="", "", IF(tblPiNAnalysis512[[#This Row],[Highest sector(s'') Target %]]&gt;=flag_pin_perc, "Flagged", "")), "")</f>
        <v/>
      </c>
      <c r="AN162" s="330" t="str" cm="1">
        <f t="array" ref="AN162">IF(tblPiNAnalysis512[[#This Row],[Highest Target]]=0, "",  IF(OR(COUNTIF(tblPiNAnalysis512[[#This Row],[Highest sector(s)]],tblSubSectorPopulation[Sector])), "Flagged", ""))</f>
        <v/>
      </c>
      <c r="AO162" s="46" cm="1">
        <f t="array" ref="AO16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6604.9202780047945</v>
      </c>
      <c r="AP162" s="331" t="str" cm="1">
        <f t="array" ref="AP162">IF(tblPiNAnalysis512[[#This Row],[2nd Highest Target]]="", "", _xlfn.TEXTJOIN(CHAR(10), TRUE, IF(tblPiNAnalysis512[[#This Row],[2nd Highest Target]]=tblPiNAnalysis512[[#This Row],[CCCM]:[WASH]], tblPiNAnalysis512[[#Headers],[CCCM]:[WASH]], "")))</f>
        <v>Food Security</v>
      </c>
      <c r="AQ162" s="36">
        <f>IFERROR(tblPiNAnalysis512[[#This Row],[2nd Highest Target]]/tblPiNAnalysis512[[#This Row],[Affected population projection 2026]], "")</f>
        <v>0.34566791187855739</v>
      </c>
      <c r="AR162" s="46">
        <f>IFERROR(tblPiNAnalysis512[[#This Row],[Highest Target]]-tblPiNAnalysis512[[#This Row],[2nd Highest Target]], "")</f>
        <v>2758.5679851824134</v>
      </c>
      <c r="AS162" s="39">
        <f>IFERROR(((tblPiNAnalysis512[[#This Row],[Highest Target]]-tblPiNAnalysis512[[#This Row],[2nd Highest Target]])/tblPiNAnalysis512[[#This Row],[2nd Highest Target]]),"")</f>
        <v>0.41765348695710797</v>
      </c>
      <c r="AT162" s="39" t="str" cm="1">
        <f t="array" ref="AT16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62" s="332" cm="1">
        <f t="array" ref="AU16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6008.4640770882224</v>
      </c>
      <c r="AV162" s="190" t="str" cm="1">
        <f t="array" ref="AV162">IF(tblPiNAnalysis512[[#This Row],[3rd Highest Target]]="", "", _xlfn.TEXTJOIN(CHAR(10), TRUE, IF(tblPiNAnalysis512[[#This Row],[3rd Highest Target]]=tblPiNAnalysis512[[#This Row],[CCCM]:[WASH]], tblPiNAnalysis512[[#Headers],[CCCM]:[WASH]], "")))</f>
        <v>Overarching Protection</v>
      </c>
      <c r="AW162" s="190">
        <f>IFERROR(tblPiNAnalysis512[[#This Row],[3rd Highest Target]]/tblPiNAnalysis512[[#This Row],[Affected population projection 2026]], "")</f>
        <v>0.31445242996207767</v>
      </c>
      <c r="AX162" s="45">
        <f>IFERROR(tblPiNAnalysis512[[#This Row],[Highest Target]]-tblPiNAnalysis512[[#This Row],[3rd Highest Target]],"")</f>
        <v>3355.0241860989854</v>
      </c>
      <c r="AY162" s="39">
        <f>IFERROR(tblPiNAnalysis512[[#This Row],[Difference of Target between Highest and 3rd Highest]]/tblPiNAnalysis512[[#This Row],[3rd Highest Target]], "")</f>
        <v>0.55838299822620763</v>
      </c>
      <c r="AZ162" s="330" t="str" cm="1">
        <f t="array" ref="AZ16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62" s="300" t="str" cm="1">
        <f t="array" ref="BA16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2" s="333" t="str" cm="1">
        <f t="array" ref="BB16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2" s="276" t="str" cm="1">
        <f t="array" ref="BC16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2" s="334" t="str" cm="1">
        <f t="array" ref="BD16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62" s="277" t="e">
        <f>INDEX(tblSeverityAnalysis[Final Severity], MATCH(tblPiNAnalysis512[[#This Row],[ID]],tblSeverityAnalysis[ID], 0))</f>
        <v>#N/A</v>
      </c>
      <c r="BF162" s="61" t="e">
        <f>IF(tblPiNAnalysis512[[#This Row],[Severity]]&gt;2,tblPiNAnalysis512[[#This Row],[Highest Target]],)</f>
        <v>#N/A</v>
      </c>
      <c r="BG162" s="191"/>
      <c r="BH162" s="192"/>
      <c r="BI162" s="193">
        <f>COUNTIFS(tblPiNAnalysis512[[#This Row],[Number of missing / zero PiNs greater than threshold - Data quality]:[Manual Flag]],"Flagged")</f>
        <v>3</v>
      </c>
      <c r="BJ162" s="96" t="str">
        <f>IF(tblPiNAnalysis512[[#This Row],['# Flags]]&gt;0, "Flagged", "")</f>
        <v>Flagged</v>
      </c>
      <c r="BK162" s="326" t="e">
        <f>tblPiNAnalysis512[[#This Row],[Preliminary Target]]</f>
        <v>#N/A</v>
      </c>
      <c r="BL162" s="331">
        <v>1</v>
      </c>
    </row>
    <row r="163" spans="1:64" ht="110.7" x14ac:dyDescent="0.55000000000000004">
      <c r="A1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3" s="316" t="s">
        <v>236</v>
      </c>
      <c r="C163" s="317" t="s">
        <v>237</v>
      </c>
      <c r="D163" s="317" t="s">
        <v>238</v>
      </c>
      <c r="E163" s="105" t="s">
        <v>239</v>
      </c>
      <c r="F163" s="100"/>
      <c r="G163" s="34"/>
      <c r="H163" s="34"/>
      <c r="I163" s="97">
        <v>58949.896431430854</v>
      </c>
      <c r="J163" s="97" t="s">
        <v>414</v>
      </c>
      <c r="K163" s="318">
        <v>0</v>
      </c>
      <c r="L163" s="319">
        <v>0</v>
      </c>
      <c r="M163" s="319">
        <v>0</v>
      </c>
      <c r="N163" s="319">
        <v>0</v>
      </c>
      <c r="O163" s="319">
        <v>0</v>
      </c>
      <c r="P163" s="319">
        <v>0</v>
      </c>
      <c r="Q163" s="320">
        <v>0</v>
      </c>
      <c r="R163" s="319">
        <v>0</v>
      </c>
      <c r="S163" s="319"/>
      <c r="T163" s="319"/>
      <c r="U163" s="319"/>
      <c r="V163" s="319"/>
      <c r="W163" s="321">
        <f>IFERROR(IF(tblPiNAnalysis512[[#This Row],[CCCM]]="", "", MROUND(tblPiNAnalysis512[[#This Row],[CCCM]]/tblPiNAnalysis512[[#This Row],[Affected population projection 2026]], 0.05)), "")</f>
        <v>0</v>
      </c>
      <c r="X163" s="322">
        <f>IFERROR(IF(tblPiNAnalysis512[[#This Row],[Education]]="", "", MROUND(tblPiNAnalysis512[[#This Row],[Education]]/tblPiNAnalysis512[[#This Row],[Affected population projection 2026]], 0.05)), "")</f>
        <v>0</v>
      </c>
      <c r="Y163" s="322">
        <f>IFERROR(IF(tblPiNAnalysis512[[#This Row],[Nutrition]]="", "", MROUND(tblPiNAnalysis512[[#This Row],[Nutrition]]/tblPiNAnalysis512[[#This Row],[Affected population projection 2026]], 0.05)), "")</f>
        <v>0</v>
      </c>
      <c r="Z163" s="322">
        <f>IFERROR(IF(tblPiNAnalysis512[[#This Row],[Food Security]]="", "", MROUND(tblPiNAnalysis512[[#This Row],[Food Security]]/tblPiNAnalysis512[[#This Row],[Affected population projection 2026]], 0.05)), "")</f>
        <v>0</v>
      </c>
      <c r="AA163" s="322">
        <f>IFERROR(IF(tblPiNAnalysis512[[#This Row],[Health]]="", "", MROUND(tblPiNAnalysis512[[#This Row],[Health]]/tblPiNAnalysis512[[#This Row],[Affected population projection 2026]], 0.05)), "")</f>
        <v>0</v>
      </c>
      <c r="AB163" s="323">
        <f>IFERROR(IF(tblPiNAnalysis512[[#This Row],[Overarching Protection]]="", "", MROUND(tblPiNAnalysis512[[#This Row],[Overarching Protection]]/tblPiNAnalysis512[[#This Row],[Affected population projection 2026]], 0.05)), "")</f>
        <v>0</v>
      </c>
      <c r="AC163" s="323">
        <f>IFERROR(IF(tblPiNAnalysis512[[#This Row],[Shelter]]="", "", MROUND(tblPiNAnalysis512[[#This Row],[Shelter]]/tblPiNAnalysis512[[#This Row],[Affected population projection 2026]], 0.05)), "")</f>
        <v>0</v>
      </c>
      <c r="AD163" s="324">
        <f>IFERROR(IF(tblPiNAnalysis512[[#This Row],[WASH]]="", "", MROUND(tblPiNAnalysis512[[#This Row],[WASH]]/tblPiNAnalysis512[[#This Row],[Affected population projection 2026]], 0.05)), "")</f>
        <v>0</v>
      </c>
      <c r="AE163" s="322">
        <f>IFERROR(MROUND(tblPiNAnalysis512[[#This Row],[CP]]/tblPiNAnalysis512[[#This Row],[Affected population projection 2026]], 0.05), "")</f>
        <v>0</v>
      </c>
      <c r="AF163" s="322">
        <f>IFERROR(MROUND(tblPiNAnalysis512[[#This Row],[GBV]]/tblPiNAnalysis512[[#This Row],[Affected population projection 2026]], 0.05), "")</f>
        <v>0</v>
      </c>
      <c r="AG163" s="322">
        <f>IFERROR(MROUND(tblPiNAnalysis512[[#This Row],[Mine Action]]/tblPiNAnalysis512[[#This Row],[Affected population projection 2026]], 0.05), "")</f>
        <v>0</v>
      </c>
      <c r="AH163" s="322">
        <f>IFERROR(MROUND(tblPiNAnalysis512[[#This Row],[HLP]]/tblPiNAnalysis512[[#This Row],[Affected population projection 2026]], 0.05), "")</f>
        <v>0</v>
      </c>
      <c r="AI163" s="325">
        <f>IFERROR(LARGE(tblPiNAnalysis512[[#This Row],[CCCM]:[WASH]], 1), "")</f>
        <v>0</v>
      </c>
      <c r="AJ163" s="326" t="str" cm="1">
        <f t="array" ref="AJ163">IF(tblPiNAnalysis512[[#This Row],[Highest Target]]="", "", _xlfn.TEXTJOIN(CHAR(10), TRUE, IF(tblPiNAnalysis512[[#This Row],[Highest Target]]=tblPiNAnalysis512[[#This Row],[CCCM]:[WASH]], tblPiNAnalysis512[[#Headers],[CCCM]:[WASH]], "")))</f>
        <v>CCCM
Education
Nutrition
Food Security
Health
Overarching Protection
Shelter
WASH</v>
      </c>
      <c r="AK163" s="327">
        <f>IF(tblPiNAnalysis512[[#This Row],[Highest Target]]="", "", tblPiNAnalysis512[[#This Row],[Highest Target]]/tblPiNAnalysis512[[#This Row],[Affected population projection 2026]])</f>
        <v>0</v>
      </c>
      <c r="AL163" s="328" t="str">
        <f>IF(SUM(tblPiNAnalysis512[[#This Row],[CCCM]:[WASH]])=0, "",IF(COUNTIF(tblPiNAnalysis512[[#This Row],[CCCM]:[WASH]],"=0")+COUNTIF(tblPiNAnalysis512[[#This Row],[CCCM]:[WASH]],"")&gt;=zero_pin_thresh, "Flagged", ""))</f>
        <v/>
      </c>
      <c r="AM163" s="329" t="str">
        <f>IFERROR(IF(tblPiNAnalysis512[[#This Row],[Highest Target]]="", "", IF(tblPiNAnalysis512[[#This Row],[Highest sector(s'') Target %]]&gt;=flag_pin_perc, "Flagged", "")), "")</f>
        <v/>
      </c>
      <c r="AN163" s="330" t="str" cm="1">
        <f t="array" ref="AN163">IF(tblPiNAnalysis512[[#This Row],[Highest Target]]=0, "",  IF(OR(COUNTIF(tblPiNAnalysis512[[#This Row],[Highest sector(s)]],tblSubSectorPopulation[Sector])), "Flagged", ""))</f>
        <v/>
      </c>
      <c r="AO163" s="46" cm="1">
        <f t="array" ref="AO16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3" s="331" t="str" cm="1">
        <f t="array" ref="AP163">IF(tblPiNAnalysis512[[#This Row],[2nd Highest Target]]="", "", _xlfn.TEXTJOIN(CHAR(10), TRUE, IF(tblPiNAnalysis512[[#This Row],[2nd Highest Target]]=tblPiNAnalysis512[[#This Row],[CCCM]:[WASH]], tblPiNAnalysis512[[#Headers],[CCCM]:[WASH]], "")))</f>
        <v>CCCM
Education
Nutrition
Food Security
Health
Overarching Protection
Shelter
WASH</v>
      </c>
      <c r="AQ163" s="36">
        <f>IFERROR(tblPiNAnalysis512[[#This Row],[2nd Highest Target]]/tblPiNAnalysis512[[#This Row],[Affected population projection 2026]], "")</f>
        <v>0</v>
      </c>
      <c r="AR163" s="46">
        <f>IFERROR(tblPiNAnalysis512[[#This Row],[Highest Target]]-tblPiNAnalysis512[[#This Row],[2nd Highest Target]], "")</f>
        <v>0</v>
      </c>
      <c r="AS163" s="39" t="str">
        <f>IFERROR(((tblPiNAnalysis512[[#This Row],[Highest Target]]-tblPiNAnalysis512[[#This Row],[2nd Highest Target]])/tblPiNAnalysis512[[#This Row],[2nd Highest Target]]),"")</f>
        <v/>
      </c>
      <c r="AT163" s="39" t="str" cm="1">
        <f t="array" ref="AT16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3" s="332" cm="1">
        <f t="array" ref="AU16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3" s="190" t="str" cm="1">
        <f t="array" ref="AV163">IF(tblPiNAnalysis512[[#This Row],[3rd Highest Target]]="", "", _xlfn.TEXTJOIN(CHAR(10), TRUE, IF(tblPiNAnalysis512[[#This Row],[3rd Highest Target]]=tblPiNAnalysis512[[#This Row],[CCCM]:[WASH]], tblPiNAnalysis512[[#Headers],[CCCM]:[WASH]], "")))</f>
        <v>CCCM
Education
Nutrition
Food Security
Health
Overarching Protection
Shelter
WASH</v>
      </c>
      <c r="AW163" s="190">
        <f>IFERROR(tblPiNAnalysis512[[#This Row],[3rd Highest Target]]/tblPiNAnalysis512[[#This Row],[Affected population projection 2026]], "")</f>
        <v>0</v>
      </c>
      <c r="AX163" s="45">
        <f>IFERROR(tblPiNAnalysis512[[#This Row],[Highest Target]]-tblPiNAnalysis512[[#This Row],[3rd Highest Target]],"")</f>
        <v>0</v>
      </c>
      <c r="AY163" s="39" t="str">
        <f>IFERROR(tblPiNAnalysis512[[#This Row],[Difference of Target between Highest and 3rd Highest]]/tblPiNAnalysis512[[#This Row],[3rd Highest Target]], "")</f>
        <v/>
      </c>
      <c r="AZ163" s="330" t="str" cm="1">
        <f t="array" ref="AZ16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3" s="300" t="str" cm="1">
        <f t="array" ref="BA16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3" s="333" t="str" cm="1">
        <f t="array" ref="BB16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3" s="276" t="str" cm="1">
        <f t="array" ref="BC16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3" s="334" t="str" cm="1">
        <f t="array" ref="BD16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3" s="277" t="e">
        <f>INDEX(tblSeverityAnalysis[Final Severity], MATCH(tblPiNAnalysis512[[#This Row],[ID]],tblSeverityAnalysis[ID], 0))</f>
        <v>#N/A</v>
      </c>
      <c r="BF163" s="61" t="e">
        <f>IF(tblPiNAnalysis512[[#This Row],[Severity]]&gt;2,tblPiNAnalysis512[[#This Row],[Highest Target]],)</f>
        <v>#N/A</v>
      </c>
      <c r="BG163" s="191"/>
      <c r="BH163" s="192"/>
      <c r="BI163" s="193">
        <f>COUNTIFS(tblPiNAnalysis512[[#This Row],[Number of missing / zero PiNs greater than threshold - Data quality]:[Manual Flag]],"Flagged")</f>
        <v>2</v>
      </c>
      <c r="BJ163" s="96" t="str">
        <f>IF(tblPiNAnalysis512[[#This Row],['# Flags]]&gt;0, "Flagged", "")</f>
        <v>Flagged</v>
      </c>
      <c r="BK163" s="326" t="e">
        <f>tblPiNAnalysis512[[#This Row],[Preliminary Target]]</f>
        <v>#N/A</v>
      </c>
      <c r="BL163" s="331">
        <v>4</v>
      </c>
    </row>
    <row r="164" spans="1:64" ht="110.7" x14ac:dyDescent="0.55000000000000004">
      <c r="A1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4" s="316" t="s">
        <v>236</v>
      </c>
      <c r="C164" s="317" t="s">
        <v>237</v>
      </c>
      <c r="D164" s="317" t="s">
        <v>240</v>
      </c>
      <c r="E164" s="105" t="s">
        <v>241</v>
      </c>
      <c r="F164" s="100"/>
      <c r="G164" s="34"/>
      <c r="H164" s="34"/>
      <c r="I164" s="97">
        <v>15480.714285714301</v>
      </c>
      <c r="J164" s="97" t="s">
        <v>414</v>
      </c>
      <c r="K164" s="318">
        <v>0</v>
      </c>
      <c r="L164" s="319">
        <v>0</v>
      </c>
      <c r="M164" s="319">
        <v>0</v>
      </c>
      <c r="N164" s="319">
        <v>0</v>
      </c>
      <c r="O164" s="319">
        <v>0</v>
      </c>
      <c r="P164" s="319">
        <v>0</v>
      </c>
      <c r="Q164" s="320">
        <v>0</v>
      </c>
      <c r="R164" s="319">
        <v>0</v>
      </c>
      <c r="S164" s="319"/>
      <c r="T164" s="319"/>
      <c r="U164" s="319"/>
      <c r="V164" s="319"/>
      <c r="W164" s="321">
        <f>IFERROR(IF(tblPiNAnalysis512[[#This Row],[CCCM]]="", "", MROUND(tblPiNAnalysis512[[#This Row],[CCCM]]/tblPiNAnalysis512[[#This Row],[Affected population projection 2026]], 0.05)), "")</f>
        <v>0</v>
      </c>
      <c r="X164" s="322">
        <f>IFERROR(IF(tblPiNAnalysis512[[#This Row],[Education]]="", "", MROUND(tblPiNAnalysis512[[#This Row],[Education]]/tblPiNAnalysis512[[#This Row],[Affected population projection 2026]], 0.05)), "")</f>
        <v>0</v>
      </c>
      <c r="Y164" s="322">
        <f>IFERROR(IF(tblPiNAnalysis512[[#This Row],[Nutrition]]="", "", MROUND(tblPiNAnalysis512[[#This Row],[Nutrition]]/tblPiNAnalysis512[[#This Row],[Affected population projection 2026]], 0.05)), "")</f>
        <v>0</v>
      </c>
      <c r="Z164" s="322">
        <f>IFERROR(IF(tblPiNAnalysis512[[#This Row],[Food Security]]="", "", MROUND(tblPiNAnalysis512[[#This Row],[Food Security]]/tblPiNAnalysis512[[#This Row],[Affected population projection 2026]], 0.05)), "")</f>
        <v>0</v>
      </c>
      <c r="AA164" s="322">
        <f>IFERROR(IF(tblPiNAnalysis512[[#This Row],[Health]]="", "", MROUND(tblPiNAnalysis512[[#This Row],[Health]]/tblPiNAnalysis512[[#This Row],[Affected population projection 2026]], 0.05)), "")</f>
        <v>0</v>
      </c>
      <c r="AB164" s="323">
        <f>IFERROR(IF(tblPiNAnalysis512[[#This Row],[Overarching Protection]]="", "", MROUND(tblPiNAnalysis512[[#This Row],[Overarching Protection]]/tblPiNAnalysis512[[#This Row],[Affected population projection 2026]], 0.05)), "")</f>
        <v>0</v>
      </c>
      <c r="AC164" s="323">
        <f>IFERROR(IF(tblPiNAnalysis512[[#This Row],[Shelter]]="", "", MROUND(tblPiNAnalysis512[[#This Row],[Shelter]]/tblPiNAnalysis512[[#This Row],[Affected population projection 2026]], 0.05)), "")</f>
        <v>0</v>
      </c>
      <c r="AD164" s="324">
        <f>IFERROR(IF(tblPiNAnalysis512[[#This Row],[WASH]]="", "", MROUND(tblPiNAnalysis512[[#This Row],[WASH]]/tblPiNAnalysis512[[#This Row],[Affected population projection 2026]], 0.05)), "")</f>
        <v>0</v>
      </c>
      <c r="AE164" s="322">
        <f>IFERROR(MROUND(tblPiNAnalysis512[[#This Row],[CP]]/tblPiNAnalysis512[[#This Row],[Affected population projection 2026]], 0.05), "")</f>
        <v>0</v>
      </c>
      <c r="AF164" s="322">
        <f>IFERROR(MROUND(tblPiNAnalysis512[[#This Row],[GBV]]/tblPiNAnalysis512[[#This Row],[Affected population projection 2026]], 0.05), "")</f>
        <v>0</v>
      </c>
      <c r="AG164" s="322">
        <f>IFERROR(MROUND(tblPiNAnalysis512[[#This Row],[Mine Action]]/tblPiNAnalysis512[[#This Row],[Affected population projection 2026]], 0.05), "")</f>
        <v>0</v>
      </c>
      <c r="AH164" s="322">
        <f>IFERROR(MROUND(tblPiNAnalysis512[[#This Row],[HLP]]/tblPiNAnalysis512[[#This Row],[Affected population projection 2026]], 0.05), "")</f>
        <v>0</v>
      </c>
      <c r="AI164" s="325">
        <f>IFERROR(LARGE(tblPiNAnalysis512[[#This Row],[CCCM]:[WASH]], 1), "")</f>
        <v>0</v>
      </c>
      <c r="AJ164" s="326" t="str" cm="1">
        <f t="array" ref="AJ164">IF(tblPiNAnalysis512[[#This Row],[Highest Target]]="", "", _xlfn.TEXTJOIN(CHAR(10), TRUE, IF(tblPiNAnalysis512[[#This Row],[Highest Target]]=tblPiNAnalysis512[[#This Row],[CCCM]:[WASH]], tblPiNAnalysis512[[#Headers],[CCCM]:[WASH]], "")))</f>
        <v>CCCM
Education
Nutrition
Food Security
Health
Overarching Protection
Shelter
WASH</v>
      </c>
      <c r="AK164" s="327">
        <f>IF(tblPiNAnalysis512[[#This Row],[Highest Target]]="", "", tblPiNAnalysis512[[#This Row],[Highest Target]]/tblPiNAnalysis512[[#This Row],[Affected population projection 2026]])</f>
        <v>0</v>
      </c>
      <c r="AL164" s="328" t="str">
        <f>IF(SUM(tblPiNAnalysis512[[#This Row],[CCCM]:[WASH]])=0, "",IF(COUNTIF(tblPiNAnalysis512[[#This Row],[CCCM]:[WASH]],"=0")+COUNTIF(tblPiNAnalysis512[[#This Row],[CCCM]:[WASH]],"")&gt;=zero_pin_thresh, "Flagged", ""))</f>
        <v/>
      </c>
      <c r="AM164" s="329" t="str">
        <f>IFERROR(IF(tblPiNAnalysis512[[#This Row],[Highest Target]]="", "", IF(tblPiNAnalysis512[[#This Row],[Highest sector(s'') Target %]]&gt;=flag_pin_perc, "Flagged", "")), "")</f>
        <v/>
      </c>
      <c r="AN164" s="330" t="str" cm="1">
        <f t="array" ref="AN164">IF(tblPiNAnalysis512[[#This Row],[Highest Target]]=0, "",  IF(OR(COUNTIF(tblPiNAnalysis512[[#This Row],[Highest sector(s)]],tblSubSectorPopulation[Sector])), "Flagged", ""))</f>
        <v/>
      </c>
      <c r="AO164" s="46" cm="1">
        <f t="array" ref="AO16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4" s="331" t="str" cm="1">
        <f t="array" ref="AP164">IF(tblPiNAnalysis512[[#This Row],[2nd Highest Target]]="", "", _xlfn.TEXTJOIN(CHAR(10), TRUE, IF(tblPiNAnalysis512[[#This Row],[2nd Highest Target]]=tblPiNAnalysis512[[#This Row],[CCCM]:[WASH]], tblPiNAnalysis512[[#Headers],[CCCM]:[WASH]], "")))</f>
        <v>CCCM
Education
Nutrition
Food Security
Health
Overarching Protection
Shelter
WASH</v>
      </c>
      <c r="AQ164" s="36">
        <f>IFERROR(tblPiNAnalysis512[[#This Row],[2nd Highest Target]]/tblPiNAnalysis512[[#This Row],[Affected population projection 2026]], "")</f>
        <v>0</v>
      </c>
      <c r="AR164" s="46">
        <f>IFERROR(tblPiNAnalysis512[[#This Row],[Highest Target]]-tblPiNAnalysis512[[#This Row],[2nd Highest Target]], "")</f>
        <v>0</v>
      </c>
      <c r="AS164" s="39" t="str">
        <f>IFERROR(((tblPiNAnalysis512[[#This Row],[Highest Target]]-tblPiNAnalysis512[[#This Row],[2nd Highest Target]])/tblPiNAnalysis512[[#This Row],[2nd Highest Target]]),"")</f>
        <v/>
      </c>
      <c r="AT164" s="39" t="str" cm="1">
        <f t="array" ref="AT16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4" s="332" cm="1">
        <f t="array" ref="AU16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4" s="190" t="str" cm="1">
        <f t="array" ref="AV164">IF(tblPiNAnalysis512[[#This Row],[3rd Highest Target]]="", "", _xlfn.TEXTJOIN(CHAR(10), TRUE, IF(tblPiNAnalysis512[[#This Row],[3rd Highest Target]]=tblPiNAnalysis512[[#This Row],[CCCM]:[WASH]], tblPiNAnalysis512[[#Headers],[CCCM]:[WASH]], "")))</f>
        <v>CCCM
Education
Nutrition
Food Security
Health
Overarching Protection
Shelter
WASH</v>
      </c>
      <c r="AW164" s="190">
        <f>IFERROR(tblPiNAnalysis512[[#This Row],[3rd Highest Target]]/tblPiNAnalysis512[[#This Row],[Affected population projection 2026]], "")</f>
        <v>0</v>
      </c>
      <c r="AX164" s="45">
        <f>IFERROR(tblPiNAnalysis512[[#This Row],[Highest Target]]-tblPiNAnalysis512[[#This Row],[3rd Highest Target]],"")</f>
        <v>0</v>
      </c>
      <c r="AY164" s="39" t="str">
        <f>IFERROR(tblPiNAnalysis512[[#This Row],[Difference of Target between Highest and 3rd Highest]]/tblPiNAnalysis512[[#This Row],[3rd Highest Target]], "")</f>
        <v/>
      </c>
      <c r="AZ164" s="330" t="str" cm="1">
        <f t="array" ref="AZ16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4" s="300" t="str" cm="1">
        <f t="array" ref="BA16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4" s="333" t="str" cm="1">
        <f t="array" ref="BB16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4" s="276" t="str" cm="1">
        <f t="array" ref="BC16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4" s="334" t="str" cm="1">
        <f t="array" ref="BD16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4" s="277" t="e">
        <f>INDEX(tblSeverityAnalysis[Final Severity], MATCH(tblPiNAnalysis512[[#This Row],[ID]],tblSeverityAnalysis[ID], 0))</f>
        <v>#N/A</v>
      </c>
      <c r="BF164" s="61" t="e">
        <f>IF(tblPiNAnalysis512[[#This Row],[Severity]]&gt;2,tblPiNAnalysis512[[#This Row],[Highest Target]],)</f>
        <v>#N/A</v>
      </c>
      <c r="BG164" s="191"/>
      <c r="BH164" s="192"/>
      <c r="BI164" s="193">
        <f>COUNTIFS(tblPiNAnalysis512[[#This Row],[Number of missing / zero PiNs greater than threshold - Data quality]:[Manual Flag]],"Flagged")</f>
        <v>2</v>
      </c>
      <c r="BJ164" s="96" t="str">
        <f>IF(tblPiNAnalysis512[[#This Row],['# Flags]]&gt;0, "Flagged", "")</f>
        <v>Flagged</v>
      </c>
      <c r="BK164" s="326" t="e">
        <f>tblPiNAnalysis512[[#This Row],[Preliminary Target]]</f>
        <v>#N/A</v>
      </c>
      <c r="BL164" s="331">
        <v>5</v>
      </c>
    </row>
    <row r="165" spans="1:64" ht="110.7" x14ac:dyDescent="0.55000000000000004">
      <c r="A1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5" s="316" t="s">
        <v>236</v>
      </c>
      <c r="C165" s="317" t="s">
        <v>237</v>
      </c>
      <c r="D165" s="317" t="s">
        <v>242</v>
      </c>
      <c r="E165" s="105" t="s">
        <v>243</v>
      </c>
      <c r="F165" s="100"/>
      <c r="G165" s="34"/>
      <c r="H165" s="34"/>
      <c r="I165" s="97">
        <v>7168.4285714285697</v>
      </c>
      <c r="J165" s="97" t="s">
        <v>414</v>
      </c>
      <c r="K165" s="318">
        <v>0</v>
      </c>
      <c r="L165" s="319">
        <v>0</v>
      </c>
      <c r="M165" s="319">
        <v>0</v>
      </c>
      <c r="N165" s="319">
        <v>0</v>
      </c>
      <c r="O165" s="319">
        <v>0</v>
      </c>
      <c r="P165" s="319">
        <v>0</v>
      </c>
      <c r="Q165" s="320">
        <v>0</v>
      </c>
      <c r="R165" s="319">
        <v>0</v>
      </c>
      <c r="S165" s="319"/>
      <c r="T165" s="319"/>
      <c r="U165" s="319"/>
      <c r="V165" s="319"/>
      <c r="W165" s="321">
        <f>IFERROR(IF(tblPiNAnalysis512[[#This Row],[CCCM]]="", "", MROUND(tblPiNAnalysis512[[#This Row],[CCCM]]/tblPiNAnalysis512[[#This Row],[Affected population projection 2026]], 0.05)), "")</f>
        <v>0</v>
      </c>
      <c r="X165" s="322">
        <f>IFERROR(IF(tblPiNAnalysis512[[#This Row],[Education]]="", "", MROUND(tblPiNAnalysis512[[#This Row],[Education]]/tblPiNAnalysis512[[#This Row],[Affected population projection 2026]], 0.05)), "")</f>
        <v>0</v>
      </c>
      <c r="Y165" s="322">
        <f>IFERROR(IF(tblPiNAnalysis512[[#This Row],[Nutrition]]="", "", MROUND(tblPiNAnalysis512[[#This Row],[Nutrition]]/tblPiNAnalysis512[[#This Row],[Affected population projection 2026]], 0.05)), "")</f>
        <v>0</v>
      </c>
      <c r="Z165" s="322">
        <f>IFERROR(IF(tblPiNAnalysis512[[#This Row],[Food Security]]="", "", MROUND(tblPiNAnalysis512[[#This Row],[Food Security]]/tblPiNAnalysis512[[#This Row],[Affected population projection 2026]], 0.05)), "")</f>
        <v>0</v>
      </c>
      <c r="AA165" s="322">
        <f>IFERROR(IF(tblPiNAnalysis512[[#This Row],[Health]]="", "", MROUND(tblPiNAnalysis512[[#This Row],[Health]]/tblPiNAnalysis512[[#This Row],[Affected population projection 2026]], 0.05)), "")</f>
        <v>0</v>
      </c>
      <c r="AB165" s="323">
        <f>IFERROR(IF(tblPiNAnalysis512[[#This Row],[Overarching Protection]]="", "", MROUND(tblPiNAnalysis512[[#This Row],[Overarching Protection]]/tblPiNAnalysis512[[#This Row],[Affected population projection 2026]], 0.05)), "")</f>
        <v>0</v>
      </c>
      <c r="AC165" s="323">
        <f>IFERROR(IF(tblPiNAnalysis512[[#This Row],[Shelter]]="", "", MROUND(tblPiNAnalysis512[[#This Row],[Shelter]]/tblPiNAnalysis512[[#This Row],[Affected population projection 2026]], 0.05)), "")</f>
        <v>0</v>
      </c>
      <c r="AD165" s="324">
        <f>IFERROR(IF(tblPiNAnalysis512[[#This Row],[WASH]]="", "", MROUND(tblPiNAnalysis512[[#This Row],[WASH]]/tblPiNAnalysis512[[#This Row],[Affected population projection 2026]], 0.05)), "")</f>
        <v>0</v>
      </c>
      <c r="AE165" s="322">
        <f>IFERROR(MROUND(tblPiNAnalysis512[[#This Row],[CP]]/tblPiNAnalysis512[[#This Row],[Affected population projection 2026]], 0.05), "")</f>
        <v>0</v>
      </c>
      <c r="AF165" s="322">
        <f>IFERROR(MROUND(tblPiNAnalysis512[[#This Row],[GBV]]/tblPiNAnalysis512[[#This Row],[Affected population projection 2026]], 0.05), "")</f>
        <v>0</v>
      </c>
      <c r="AG165" s="322">
        <f>IFERROR(MROUND(tblPiNAnalysis512[[#This Row],[Mine Action]]/tblPiNAnalysis512[[#This Row],[Affected population projection 2026]], 0.05), "")</f>
        <v>0</v>
      </c>
      <c r="AH165" s="322">
        <f>IFERROR(MROUND(tblPiNAnalysis512[[#This Row],[HLP]]/tblPiNAnalysis512[[#This Row],[Affected population projection 2026]], 0.05), "")</f>
        <v>0</v>
      </c>
      <c r="AI165" s="325">
        <f>IFERROR(LARGE(tblPiNAnalysis512[[#This Row],[CCCM]:[WASH]], 1), "")</f>
        <v>0</v>
      </c>
      <c r="AJ165" s="326" t="str" cm="1">
        <f t="array" ref="AJ165">IF(tblPiNAnalysis512[[#This Row],[Highest Target]]="", "", _xlfn.TEXTJOIN(CHAR(10), TRUE, IF(tblPiNAnalysis512[[#This Row],[Highest Target]]=tblPiNAnalysis512[[#This Row],[CCCM]:[WASH]], tblPiNAnalysis512[[#Headers],[CCCM]:[WASH]], "")))</f>
        <v>CCCM
Education
Nutrition
Food Security
Health
Overarching Protection
Shelter
WASH</v>
      </c>
      <c r="AK165" s="327">
        <f>IF(tblPiNAnalysis512[[#This Row],[Highest Target]]="", "", tblPiNAnalysis512[[#This Row],[Highest Target]]/tblPiNAnalysis512[[#This Row],[Affected population projection 2026]])</f>
        <v>0</v>
      </c>
      <c r="AL165" s="328" t="str">
        <f>IF(SUM(tblPiNAnalysis512[[#This Row],[CCCM]:[WASH]])=0, "",IF(COUNTIF(tblPiNAnalysis512[[#This Row],[CCCM]:[WASH]],"=0")+COUNTIF(tblPiNAnalysis512[[#This Row],[CCCM]:[WASH]],"")&gt;=zero_pin_thresh, "Flagged", ""))</f>
        <v/>
      </c>
      <c r="AM165" s="329" t="str">
        <f>IFERROR(IF(tblPiNAnalysis512[[#This Row],[Highest Target]]="", "", IF(tblPiNAnalysis512[[#This Row],[Highest sector(s'') Target %]]&gt;=flag_pin_perc, "Flagged", "")), "")</f>
        <v/>
      </c>
      <c r="AN165" s="330" t="str" cm="1">
        <f t="array" ref="AN165">IF(tblPiNAnalysis512[[#This Row],[Highest Target]]=0, "",  IF(OR(COUNTIF(tblPiNAnalysis512[[#This Row],[Highest sector(s)]],tblSubSectorPopulation[Sector])), "Flagged", ""))</f>
        <v/>
      </c>
      <c r="AO165" s="46" cm="1">
        <f t="array" ref="AO16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5" s="331" t="str" cm="1">
        <f t="array" ref="AP165">IF(tblPiNAnalysis512[[#This Row],[2nd Highest Target]]="", "", _xlfn.TEXTJOIN(CHAR(10), TRUE, IF(tblPiNAnalysis512[[#This Row],[2nd Highest Target]]=tblPiNAnalysis512[[#This Row],[CCCM]:[WASH]], tblPiNAnalysis512[[#Headers],[CCCM]:[WASH]], "")))</f>
        <v>CCCM
Education
Nutrition
Food Security
Health
Overarching Protection
Shelter
WASH</v>
      </c>
      <c r="AQ165" s="36">
        <f>IFERROR(tblPiNAnalysis512[[#This Row],[2nd Highest Target]]/tblPiNAnalysis512[[#This Row],[Affected population projection 2026]], "")</f>
        <v>0</v>
      </c>
      <c r="AR165" s="46">
        <f>IFERROR(tblPiNAnalysis512[[#This Row],[Highest Target]]-tblPiNAnalysis512[[#This Row],[2nd Highest Target]], "")</f>
        <v>0</v>
      </c>
      <c r="AS165" s="39" t="str">
        <f>IFERROR(((tblPiNAnalysis512[[#This Row],[Highest Target]]-tblPiNAnalysis512[[#This Row],[2nd Highest Target]])/tblPiNAnalysis512[[#This Row],[2nd Highest Target]]),"")</f>
        <v/>
      </c>
      <c r="AT165" s="39" t="str" cm="1">
        <f t="array" ref="AT16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5" s="332" cm="1">
        <f t="array" ref="AU16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5" s="190" t="str" cm="1">
        <f t="array" ref="AV165">IF(tblPiNAnalysis512[[#This Row],[3rd Highest Target]]="", "", _xlfn.TEXTJOIN(CHAR(10), TRUE, IF(tblPiNAnalysis512[[#This Row],[3rd Highest Target]]=tblPiNAnalysis512[[#This Row],[CCCM]:[WASH]], tblPiNAnalysis512[[#Headers],[CCCM]:[WASH]], "")))</f>
        <v>CCCM
Education
Nutrition
Food Security
Health
Overarching Protection
Shelter
WASH</v>
      </c>
      <c r="AW165" s="190">
        <f>IFERROR(tblPiNAnalysis512[[#This Row],[3rd Highest Target]]/tblPiNAnalysis512[[#This Row],[Affected population projection 2026]], "")</f>
        <v>0</v>
      </c>
      <c r="AX165" s="45">
        <f>IFERROR(tblPiNAnalysis512[[#This Row],[Highest Target]]-tblPiNAnalysis512[[#This Row],[3rd Highest Target]],"")</f>
        <v>0</v>
      </c>
      <c r="AY165" s="39" t="str">
        <f>IFERROR(tblPiNAnalysis512[[#This Row],[Difference of Target between Highest and 3rd Highest]]/tblPiNAnalysis512[[#This Row],[3rd Highest Target]], "")</f>
        <v/>
      </c>
      <c r="AZ165" s="330" t="str" cm="1">
        <f t="array" ref="AZ16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5" s="300" t="str" cm="1">
        <f t="array" ref="BA16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5" s="333" t="str" cm="1">
        <f t="array" ref="BB16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5" s="276" t="str" cm="1">
        <f t="array" ref="BC16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5" s="334" t="str" cm="1">
        <f t="array" ref="BD16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5" s="277" t="e">
        <f>INDEX(tblSeverityAnalysis[Final Severity], MATCH(tblPiNAnalysis512[[#This Row],[ID]],tblSeverityAnalysis[ID], 0))</f>
        <v>#N/A</v>
      </c>
      <c r="BF165" s="61" t="e">
        <f>IF(tblPiNAnalysis512[[#This Row],[Severity]]&gt;2,tblPiNAnalysis512[[#This Row],[Highest Target]],)</f>
        <v>#N/A</v>
      </c>
      <c r="BG165" s="191"/>
      <c r="BH165" s="192"/>
      <c r="BI165" s="193">
        <f>COUNTIFS(tblPiNAnalysis512[[#This Row],[Number of missing / zero PiNs greater than threshold - Data quality]:[Manual Flag]],"Flagged")</f>
        <v>2</v>
      </c>
      <c r="BJ165" s="96" t="str">
        <f>IF(tblPiNAnalysis512[[#This Row],['# Flags]]&gt;0, "Flagged", "")</f>
        <v>Flagged</v>
      </c>
      <c r="BK165" s="326" t="e">
        <f>tblPiNAnalysis512[[#This Row],[Preliminary Target]]</f>
        <v>#N/A</v>
      </c>
      <c r="BL165" s="331">
        <v>5</v>
      </c>
    </row>
    <row r="166" spans="1:64" ht="110.7" x14ac:dyDescent="0.55000000000000004">
      <c r="A1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6" s="316" t="s">
        <v>236</v>
      </c>
      <c r="C166" s="317" t="s">
        <v>237</v>
      </c>
      <c r="D166" s="317" t="s">
        <v>244</v>
      </c>
      <c r="E166" s="105" t="s">
        <v>245</v>
      </c>
      <c r="F166" s="100"/>
      <c r="G166" s="34"/>
      <c r="H166" s="34"/>
      <c r="I166" s="97">
        <v>12810</v>
      </c>
      <c r="J166" s="97" t="s">
        <v>414</v>
      </c>
      <c r="K166" s="318">
        <v>0</v>
      </c>
      <c r="L166" s="319">
        <v>0</v>
      </c>
      <c r="M166" s="319">
        <v>0</v>
      </c>
      <c r="N166" s="319">
        <v>0</v>
      </c>
      <c r="O166" s="319">
        <v>0</v>
      </c>
      <c r="P166" s="319">
        <v>0</v>
      </c>
      <c r="Q166" s="320">
        <v>0</v>
      </c>
      <c r="R166" s="319">
        <v>0</v>
      </c>
      <c r="S166" s="319"/>
      <c r="T166" s="319"/>
      <c r="U166" s="319"/>
      <c r="V166" s="319"/>
      <c r="W166" s="321">
        <f>IFERROR(IF(tblPiNAnalysis512[[#This Row],[CCCM]]="", "", MROUND(tblPiNAnalysis512[[#This Row],[CCCM]]/tblPiNAnalysis512[[#This Row],[Affected population projection 2026]], 0.05)), "")</f>
        <v>0</v>
      </c>
      <c r="X166" s="322">
        <f>IFERROR(IF(tblPiNAnalysis512[[#This Row],[Education]]="", "", MROUND(tblPiNAnalysis512[[#This Row],[Education]]/tblPiNAnalysis512[[#This Row],[Affected population projection 2026]], 0.05)), "")</f>
        <v>0</v>
      </c>
      <c r="Y166" s="322">
        <f>IFERROR(IF(tblPiNAnalysis512[[#This Row],[Nutrition]]="", "", MROUND(tblPiNAnalysis512[[#This Row],[Nutrition]]/tblPiNAnalysis512[[#This Row],[Affected population projection 2026]], 0.05)), "")</f>
        <v>0</v>
      </c>
      <c r="Z166" s="322">
        <f>IFERROR(IF(tblPiNAnalysis512[[#This Row],[Food Security]]="", "", MROUND(tblPiNAnalysis512[[#This Row],[Food Security]]/tblPiNAnalysis512[[#This Row],[Affected population projection 2026]], 0.05)), "")</f>
        <v>0</v>
      </c>
      <c r="AA166" s="322">
        <f>IFERROR(IF(tblPiNAnalysis512[[#This Row],[Health]]="", "", MROUND(tblPiNAnalysis512[[#This Row],[Health]]/tblPiNAnalysis512[[#This Row],[Affected population projection 2026]], 0.05)), "")</f>
        <v>0</v>
      </c>
      <c r="AB166" s="323">
        <f>IFERROR(IF(tblPiNAnalysis512[[#This Row],[Overarching Protection]]="", "", MROUND(tblPiNAnalysis512[[#This Row],[Overarching Protection]]/tblPiNAnalysis512[[#This Row],[Affected population projection 2026]], 0.05)), "")</f>
        <v>0</v>
      </c>
      <c r="AC166" s="323">
        <f>IFERROR(IF(tblPiNAnalysis512[[#This Row],[Shelter]]="", "", MROUND(tblPiNAnalysis512[[#This Row],[Shelter]]/tblPiNAnalysis512[[#This Row],[Affected population projection 2026]], 0.05)), "")</f>
        <v>0</v>
      </c>
      <c r="AD166" s="324">
        <f>IFERROR(IF(tblPiNAnalysis512[[#This Row],[WASH]]="", "", MROUND(tblPiNAnalysis512[[#This Row],[WASH]]/tblPiNAnalysis512[[#This Row],[Affected population projection 2026]], 0.05)), "")</f>
        <v>0</v>
      </c>
      <c r="AE166" s="322">
        <f>IFERROR(MROUND(tblPiNAnalysis512[[#This Row],[CP]]/tblPiNAnalysis512[[#This Row],[Affected population projection 2026]], 0.05), "")</f>
        <v>0</v>
      </c>
      <c r="AF166" s="322">
        <f>IFERROR(MROUND(tblPiNAnalysis512[[#This Row],[GBV]]/tblPiNAnalysis512[[#This Row],[Affected population projection 2026]], 0.05), "")</f>
        <v>0</v>
      </c>
      <c r="AG166" s="322">
        <f>IFERROR(MROUND(tblPiNAnalysis512[[#This Row],[Mine Action]]/tblPiNAnalysis512[[#This Row],[Affected population projection 2026]], 0.05), "")</f>
        <v>0</v>
      </c>
      <c r="AH166" s="322">
        <f>IFERROR(MROUND(tblPiNAnalysis512[[#This Row],[HLP]]/tblPiNAnalysis512[[#This Row],[Affected population projection 2026]], 0.05), "")</f>
        <v>0</v>
      </c>
      <c r="AI166" s="325">
        <f>IFERROR(LARGE(tblPiNAnalysis512[[#This Row],[CCCM]:[WASH]], 1), "")</f>
        <v>0</v>
      </c>
      <c r="AJ166" s="326" t="str" cm="1">
        <f t="array" ref="AJ166">IF(tblPiNAnalysis512[[#This Row],[Highest Target]]="", "", _xlfn.TEXTJOIN(CHAR(10), TRUE, IF(tblPiNAnalysis512[[#This Row],[Highest Target]]=tblPiNAnalysis512[[#This Row],[CCCM]:[WASH]], tblPiNAnalysis512[[#Headers],[CCCM]:[WASH]], "")))</f>
        <v>CCCM
Education
Nutrition
Food Security
Health
Overarching Protection
Shelter
WASH</v>
      </c>
      <c r="AK166" s="327">
        <f>IF(tblPiNAnalysis512[[#This Row],[Highest Target]]="", "", tblPiNAnalysis512[[#This Row],[Highest Target]]/tblPiNAnalysis512[[#This Row],[Affected population projection 2026]])</f>
        <v>0</v>
      </c>
      <c r="AL166" s="328" t="str">
        <f>IF(SUM(tblPiNAnalysis512[[#This Row],[CCCM]:[WASH]])=0, "",IF(COUNTIF(tblPiNAnalysis512[[#This Row],[CCCM]:[WASH]],"=0")+COUNTIF(tblPiNAnalysis512[[#This Row],[CCCM]:[WASH]],"")&gt;=zero_pin_thresh, "Flagged", ""))</f>
        <v/>
      </c>
      <c r="AM166" s="329" t="str">
        <f>IFERROR(IF(tblPiNAnalysis512[[#This Row],[Highest Target]]="", "", IF(tblPiNAnalysis512[[#This Row],[Highest sector(s'') Target %]]&gt;=flag_pin_perc, "Flagged", "")), "")</f>
        <v/>
      </c>
      <c r="AN166" s="330" t="str" cm="1">
        <f t="array" ref="AN166">IF(tblPiNAnalysis512[[#This Row],[Highest Target]]=0, "",  IF(OR(COUNTIF(tblPiNAnalysis512[[#This Row],[Highest sector(s)]],tblSubSectorPopulation[Sector])), "Flagged", ""))</f>
        <v/>
      </c>
      <c r="AO166" s="46" cm="1">
        <f t="array" ref="AO16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6" s="331" t="str" cm="1">
        <f t="array" ref="AP166">IF(tblPiNAnalysis512[[#This Row],[2nd Highest Target]]="", "", _xlfn.TEXTJOIN(CHAR(10), TRUE, IF(tblPiNAnalysis512[[#This Row],[2nd Highest Target]]=tblPiNAnalysis512[[#This Row],[CCCM]:[WASH]], tblPiNAnalysis512[[#Headers],[CCCM]:[WASH]], "")))</f>
        <v>CCCM
Education
Nutrition
Food Security
Health
Overarching Protection
Shelter
WASH</v>
      </c>
      <c r="AQ166" s="36">
        <f>IFERROR(tblPiNAnalysis512[[#This Row],[2nd Highest Target]]/tblPiNAnalysis512[[#This Row],[Affected population projection 2026]], "")</f>
        <v>0</v>
      </c>
      <c r="AR166" s="46">
        <f>IFERROR(tblPiNAnalysis512[[#This Row],[Highest Target]]-tblPiNAnalysis512[[#This Row],[2nd Highest Target]], "")</f>
        <v>0</v>
      </c>
      <c r="AS166" s="39" t="str">
        <f>IFERROR(((tblPiNAnalysis512[[#This Row],[Highest Target]]-tblPiNAnalysis512[[#This Row],[2nd Highest Target]])/tblPiNAnalysis512[[#This Row],[2nd Highest Target]]),"")</f>
        <v/>
      </c>
      <c r="AT166" s="39" t="str" cm="1">
        <f t="array" ref="AT16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6" s="332" cm="1">
        <f t="array" ref="AU16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6" s="190" t="str" cm="1">
        <f t="array" ref="AV166">IF(tblPiNAnalysis512[[#This Row],[3rd Highest Target]]="", "", _xlfn.TEXTJOIN(CHAR(10), TRUE, IF(tblPiNAnalysis512[[#This Row],[3rd Highest Target]]=tblPiNAnalysis512[[#This Row],[CCCM]:[WASH]], tblPiNAnalysis512[[#Headers],[CCCM]:[WASH]], "")))</f>
        <v>CCCM
Education
Nutrition
Food Security
Health
Overarching Protection
Shelter
WASH</v>
      </c>
      <c r="AW166" s="190">
        <f>IFERROR(tblPiNAnalysis512[[#This Row],[3rd Highest Target]]/tblPiNAnalysis512[[#This Row],[Affected population projection 2026]], "")</f>
        <v>0</v>
      </c>
      <c r="AX166" s="45">
        <f>IFERROR(tblPiNAnalysis512[[#This Row],[Highest Target]]-tblPiNAnalysis512[[#This Row],[3rd Highest Target]],"")</f>
        <v>0</v>
      </c>
      <c r="AY166" s="39" t="str">
        <f>IFERROR(tblPiNAnalysis512[[#This Row],[Difference of Target between Highest and 3rd Highest]]/tblPiNAnalysis512[[#This Row],[3rd Highest Target]], "")</f>
        <v/>
      </c>
      <c r="AZ166" s="330" t="str" cm="1">
        <f t="array" ref="AZ16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6" s="300" t="str" cm="1">
        <f t="array" ref="BA16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6" s="333" t="str" cm="1">
        <f t="array" ref="BB16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6" s="276" t="str" cm="1">
        <f t="array" ref="BC16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6" s="334" t="str" cm="1">
        <f t="array" ref="BD16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6" s="277" t="e">
        <f>INDEX(tblSeverityAnalysis[Final Severity], MATCH(tblPiNAnalysis512[[#This Row],[ID]],tblSeverityAnalysis[ID], 0))</f>
        <v>#N/A</v>
      </c>
      <c r="BF166" s="61" t="e">
        <f>IF(tblPiNAnalysis512[[#This Row],[Severity]]&gt;2,tblPiNAnalysis512[[#This Row],[Highest Target]],)</f>
        <v>#N/A</v>
      </c>
      <c r="BG166" s="191"/>
      <c r="BH166" s="192"/>
      <c r="BI166" s="193">
        <f>COUNTIFS(tblPiNAnalysis512[[#This Row],[Number of missing / zero PiNs greater than threshold - Data quality]:[Manual Flag]],"Flagged")</f>
        <v>2</v>
      </c>
      <c r="BJ166" s="96" t="str">
        <f>IF(tblPiNAnalysis512[[#This Row],['# Flags]]&gt;0, "Flagged", "")</f>
        <v>Flagged</v>
      </c>
      <c r="BK166" s="326" t="e">
        <f>tblPiNAnalysis512[[#This Row],[Preliminary Target]]</f>
        <v>#N/A</v>
      </c>
      <c r="BL166" s="331">
        <v>5</v>
      </c>
    </row>
    <row r="167" spans="1:64" ht="110.7" x14ac:dyDescent="0.55000000000000004">
      <c r="A1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7" s="316" t="s">
        <v>236</v>
      </c>
      <c r="C167" s="317" t="s">
        <v>237</v>
      </c>
      <c r="D167" s="317" t="s">
        <v>246</v>
      </c>
      <c r="E167" s="105" t="s">
        <v>247</v>
      </c>
      <c r="F167" s="100"/>
      <c r="G167" s="34"/>
      <c r="H167" s="34"/>
      <c r="I167" s="97">
        <v>1080</v>
      </c>
      <c r="J167" s="97" t="s">
        <v>414</v>
      </c>
      <c r="K167" s="318">
        <v>0</v>
      </c>
      <c r="L167" s="319">
        <v>0</v>
      </c>
      <c r="M167" s="319">
        <v>0</v>
      </c>
      <c r="N167" s="319">
        <v>0</v>
      </c>
      <c r="O167" s="319">
        <v>0</v>
      </c>
      <c r="P167" s="319">
        <v>0</v>
      </c>
      <c r="Q167" s="320">
        <v>0</v>
      </c>
      <c r="R167" s="319">
        <v>0</v>
      </c>
      <c r="S167" s="319"/>
      <c r="T167" s="319"/>
      <c r="U167" s="319"/>
      <c r="V167" s="319"/>
      <c r="W167" s="321">
        <f>IFERROR(IF(tblPiNAnalysis512[[#This Row],[CCCM]]="", "", MROUND(tblPiNAnalysis512[[#This Row],[CCCM]]/tblPiNAnalysis512[[#This Row],[Affected population projection 2026]], 0.05)), "")</f>
        <v>0</v>
      </c>
      <c r="X167" s="322">
        <f>IFERROR(IF(tblPiNAnalysis512[[#This Row],[Education]]="", "", MROUND(tblPiNAnalysis512[[#This Row],[Education]]/tblPiNAnalysis512[[#This Row],[Affected population projection 2026]], 0.05)), "")</f>
        <v>0</v>
      </c>
      <c r="Y167" s="322">
        <f>IFERROR(IF(tblPiNAnalysis512[[#This Row],[Nutrition]]="", "", MROUND(tblPiNAnalysis512[[#This Row],[Nutrition]]/tblPiNAnalysis512[[#This Row],[Affected population projection 2026]], 0.05)), "")</f>
        <v>0</v>
      </c>
      <c r="Z167" s="322">
        <f>IFERROR(IF(tblPiNAnalysis512[[#This Row],[Food Security]]="", "", MROUND(tblPiNAnalysis512[[#This Row],[Food Security]]/tblPiNAnalysis512[[#This Row],[Affected population projection 2026]], 0.05)), "")</f>
        <v>0</v>
      </c>
      <c r="AA167" s="322">
        <f>IFERROR(IF(tblPiNAnalysis512[[#This Row],[Health]]="", "", MROUND(tblPiNAnalysis512[[#This Row],[Health]]/tblPiNAnalysis512[[#This Row],[Affected population projection 2026]], 0.05)), "")</f>
        <v>0</v>
      </c>
      <c r="AB167" s="323">
        <f>IFERROR(IF(tblPiNAnalysis512[[#This Row],[Overarching Protection]]="", "", MROUND(tblPiNAnalysis512[[#This Row],[Overarching Protection]]/tblPiNAnalysis512[[#This Row],[Affected population projection 2026]], 0.05)), "")</f>
        <v>0</v>
      </c>
      <c r="AC167" s="323">
        <f>IFERROR(IF(tblPiNAnalysis512[[#This Row],[Shelter]]="", "", MROUND(tblPiNAnalysis512[[#This Row],[Shelter]]/tblPiNAnalysis512[[#This Row],[Affected population projection 2026]], 0.05)), "")</f>
        <v>0</v>
      </c>
      <c r="AD167" s="324">
        <f>IFERROR(IF(tblPiNAnalysis512[[#This Row],[WASH]]="", "", MROUND(tblPiNAnalysis512[[#This Row],[WASH]]/tblPiNAnalysis512[[#This Row],[Affected population projection 2026]], 0.05)), "")</f>
        <v>0</v>
      </c>
      <c r="AE167" s="322">
        <f>IFERROR(MROUND(tblPiNAnalysis512[[#This Row],[CP]]/tblPiNAnalysis512[[#This Row],[Affected population projection 2026]], 0.05), "")</f>
        <v>0</v>
      </c>
      <c r="AF167" s="322">
        <f>IFERROR(MROUND(tblPiNAnalysis512[[#This Row],[GBV]]/tblPiNAnalysis512[[#This Row],[Affected population projection 2026]], 0.05), "")</f>
        <v>0</v>
      </c>
      <c r="AG167" s="322">
        <f>IFERROR(MROUND(tblPiNAnalysis512[[#This Row],[Mine Action]]/tblPiNAnalysis512[[#This Row],[Affected population projection 2026]], 0.05), "")</f>
        <v>0</v>
      </c>
      <c r="AH167" s="322">
        <f>IFERROR(MROUND(tblPiNAnalysis512[[#This Row],[HLP]]/tblPiNAnalysis512[[#This Row],[Affected population projection 2026]], 0.05), "")</f>
        <v>0</v>
      </c>
      <c r="AI167" s="325">
        <f>IFERROR(LARGE(tblPiNAnalysis512[[#This Row],[CCCM]:[WASH]], 1), "")</f>
        <v>0</v>
      </c>
      <c r="AJ167" s="326" t="str" cm="1">
        <f t="array" ref="AJ167">IF(tblPiNAnalysis512[[#This Row],[Highest Target]]="", "", _xlfn.TEXTJOIN(CHAR(10), TRUE, IF(tblPiNAnalysis512[[#This Row],[Highest Target]]=tblPiNAnalysis512[[#This Row],[CCCM]:[WASH]], tblPiNAnalysis512[[#Headers],[CCCM]:[WASH]], "")))</f>
        <v>CCCM
Education
Nutrition
Food Security
Health
Overarching Protection
Shelter
WASH</v>
      </c>
      <c r="AK167" s="327">
        <f>IF(tblPiNAnalysis512[[#This Row],[Highest Target]]="", "", tblPiNAnalysis512[[#This Row],[Highest Target]]/tblPiNAnalysis512[[#This Row],[Affected population projection 2026]])</f>
        <v>0</v>
      </c>
      <c r="AL167" s="328" t="str">
        <f>IF(SUM(tblPiNAnalysis512[[#This Row],[CCCM]:[WASH]])=0, "",IF(COUNTIF(tblPiNAnalysis512[[#This Row],[CCCM]:[WASH]],"=0")+COUNTIF(tblPiNAnalysis512[[#This Row],[CCCM]:[WASH]],"")&gt;=zero_pin_thresh, "Flagged", ""))</f>
        <v/>
      </c>
      <c r="AM167" s="329" t="str">
        <f>IFERROR(IF(tblPiNAnalysis512[[#This Row],[Highest Target]]="", "", IF(tblPiNAnalysis512[[#This Row],[Highest sector(s'') Target %]]&gt;=flag_pin_perc, "Flagged", "")), "")</f>
        <v/>
      </c>
      <c r="AN167" s="330" t="str" cm="1">
        <f t="array" ref="AN167">IF(tblPiNAnalysis512[[#This Row],[Highest Target]]=0, "",  IF(OR(COUNTIF(tblPiNAnalysis512[[#This Row],[Highest sector(s)]],tblSubSectorPopulation[Sector])), "Flagged", ""))</f>
        <v/>
      </c>
      <c r="AO167" s="46" cm="1">
        <f t="array" ref="AO16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7" s="331" t="str" cm="1">
        <f t="array" ref="AP167">IF(tblPiNAnalysis512[[#This Row],[2nd Highest Target]]="", "", _xlfn.TEXTJOIN(CHAR(10), TRUE, IF(tblPiNAnalysis512[[#This Row],[2nd Highest Target]]=tblPiNAnalysis512[[#This Row],[CCCM]:[WASH]], tblPiNAnalysis512[[#Headers],[CCCM]:[WASH]], "")))</f>
        <v>CCCM
Education
Nutrition
Food Security
Health
Overarching Protection
Shelter
WASH</v>
      </c>
      <c r="AQ167" s="36">
        <f>IFERROR(tblPiNAnalysis512[[#This Row],[2nd Highest Target]]/tblPiNAnalysis512[[#This Row],[Affected population projection 2026]], "")</f>
        <v>0</v>
      </c>
      <c r="AR167" s="46">
        <f>IFERROR(tblPiNAnalysis512[[#This Row],[Highest Target]]-tblPiNAnalysis512[[#This Row],[2nd Highest Target]], "")</f>
        <v>0</v>
      </c>
      <c r="AS167" s="39" t="str">
        <f>IFERROR(((tblPiNAnalysis512[[#This Row],[Highest Target]]-tblPiNAnalysis512[[#This Row],[2nd Highest Target]])/tblPiNAnalysis512[[#This Row],[2nd Highest Target]]),"")</f>
        <v/>
      </c>
      <c r="AT167" s="39" t="str" cm="1">
        <f t="array" ref="AT16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7" s="332" cm="1">
        <f t="array" ref="AU16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7" s="190" t="str" cm="1">
        <f t="array" ref="AV167">IF(tblPiNAnalysis512[[#This Row],[3rd Highest Target]]="", "", _xlfn.TEXTJOIN(CHAR(10), TRUE, IF(tblPiNAnalysis512[[#This Row],[3rd Highest Target]]=tblPiNAnalysis512[[#This Row],[CCCM]:[WASH]], tblPiNAnalysis512[[#Headers],[CCCM]:[WASH]], "")))</f>
        <v>CCCM
Education
Nutrition
Food Security
Health
Overarching Protection
Shelter
WASH</v>
      </c>
      <c r="AW167" s="190">
        <f>IFERROR(tblPiNAnalysis512[[#This Row],[3rd Highest Target]]/tblPiNAnalysis512[[#This Row],[Affected population projection 2026]], "")</f>
        <v>0</v>
      </c>
      <c r="AX167" s="45">
        <f>IFERROR(tblPiNAnalysis512[[#This Row],[Highest Target]]-tblPiNAnalysis512[[#This Row],[3rd Highest Target]],"")</f>
        <v>0</v>
      </c>
      <c r="AY167" s="39" t="str">
        <f>IFERROR(tblPiNAnalysis512[[#This Row],[Difference of Target between Highest and 3rd Highest]]/tblPiNAnalysis512[[#This Row],[3rd Highest Target]], "")</f>
        <v/>
      </c>
      <c r="AZ167" s="330" t="str" cm="1">
        <f t="array" ref="AZ16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7" s="300" t="str" cm="1">
        <f t="array" ref="BA16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7" s="333" t="str" cm="1">
        <f t="array" ref="BB16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7" s="276" t="str" cm="1">
        <f t="array" ref="BC16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7" s="334" t="str" cm="1">
        <f t="array" ref="BD16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7" s="277" t="e">
        <f>INDEX(tblSeverityAnalysis[Final Severity], MATCH(tblPiNAnalysis512[[#This Row],[ID]],tblSeverityAnalysis[ID], 0))</f>
        <v>#N/A</v>
      </c>
      <c r="BF167" s="61" t="e">
        <f>IF(tblPiNAnalysis512[[#This Row],[Severity]]&gt;2,tblPiNAnalysis512[[#This Row],[Highest Target]],)</f>
        <v>#N/A</v>
      </c>
      <c r="BG167" s="191"/>
      <c r="BH167" s="192"/>
      <c r="BI167" s="193">
        <f>COUNTIFS(tblPiNAnalysis512[[#This Row],[Number of missing / zero PiNs greater than threshold - Data quality]:[Manual Flag]],"Flagged")</f>
        <v>2</v>
      </c>
      <c r="BJ167" s="96" t="str">
        <f>IF(tblPiNAnalysis512[[#This Row],['# Flags]]&gt;0, "Flagged", "")</f>
        <v>Flagged</v>
      </c>
      <c r="BK167" s="326" t="e">
        <f>tblPiNAnalysis512[[#This Row],[Preliminary Target]]</f>
        <v>#N/A</v>
      </c>
      <c r="BL167" s="331">
        <v>4</v>
      </c>
    </row>
    <row r="168" spans="1:64" ht="110.7" x14ac:dyDescent="0.55000000000000004">
      <c r="A1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8" s="316" t="s">
        <v>236</v>
      </c>
      <c r="C168" s="317" t="s">
        <v>237</v>
      </c>
      <c r="D168" s="317" t="s">
        <v>248</v>
      </c>
      <c r="E168" s="105" t="s">
        <v>249</v>
      </c>
      <c r="F168" s="100"/>
      <c r="G168" s="34"/>
      <c r="H168" s="34"/>
      <c r="I168" s="97">
        <v>29744.714285714301</v>
      </c>
      <c r="J168" s="97" t="s">
        <v>414</v>
      </c>
      <c r="K168" s="318">
        <v>0</v>
      </c>
      <c r="L168" s="319">
        <v>0</v>
      </c>
      <c r="M168" s="319">
        <v>0</v>
      </c>
      <c r="N168" s="319">
        <v>0</v>
      </c>
      <c r="O168" s="319">
        <v>0</v>
      </c>
      <c r="P168" s="319">
        <v>0</v>
      </c>
      <c r="Q168" s="320">
        <v>0</v>
      </c>
      <c r="R168" s="319">
        <v>0</v>
      </c>
      <c r="S168" s="319"/>
      <c r="T168" s="319"/>
      <c r="U168" s="319"/>
      <c r="V168" s="319"/>
      <c r="W168" s="321">
        <f>IFERROR(IF(tblPiNAnalysis512[[#This Row],[CCCM]]="", "", MROUND(tblPiNAnalysis512[[#This Row],[CCCM]]/tblPiNAnalysis512[[#This Row],[Affected population projection 2026]], 0.05)), "")</f>
        <v>0</v>
      </c>
      <c r="X168" s="322">
        <f>IFERROR(IF(tblPiNAnalysis512[[#This Row],[Education]]="", "", MROUND(tblPiNAnalysis512[[#This Row],[Education]]/tblPiNAnalysis512[[#This Row],[Affected population projection 2026]], 0.05)), "")</f>
        <v>0</v>
      </c>
      <c r="Y168" s="322">
        <f>IFERROR(IF(tblPiNAnalysis512[[#This Row],[Nutrition]]="", "", MROUND(tblPiNAnalysis512[[#This Row],[Nutrition]]/tblPiNAnalysis512[[#This Row],[Affected population projection 2026]], 0.05)), "")</f>
        <v>0</v>
      </c>
      <c r="Z168" s="322">
        <f>IFERROR(IF(tblPiNAnalysis512[[#This Row],[Food Security]]="", "", MROUND(tblPiNAnalysis512[[#This Row],[Food Security]]/tblPiNAnalysis512[[#This Row],[Affected population projection 2026]], 0.05)), "")</f>
        <v>0</v>
      </c>
      <c r="AA168" s="322">
        <f>IFERROR(IF(tblPiNAnalysis512[[#This Row],[Health]]="", "", MROUND(tblPiNAnalysis512[[#This Row],[Health]]/tblPiNAnalysis512[[#This Row],[Affected population projection 2026]], 0.05)), "")</f>
        <v>0</v>
      </c>
      <c r="AB168" s="323">
        <f>IFERROR(IF(tblPiNAnalysis512[[#This Row],[Overarching Protection]]="", "", MROUND(tblPiNAnalysis512[[#This Row],[Overarching Protection]]/tblPiNAnalysis512[[#This Row],[Affected population projection 2026]], 0.05)), "")</f>
        <v>0</v>
      </c>
      <c r="AC168" s="323">
        <f>IFERROR(IF(tblPiNAnalysis512[[#This Row],[Shelter]]="", "", MROUND(tblPiNAnalysis512[[#This Row],[Shelter]]/tblPiNAnalysis512[[#This Row],[Affected population projection 2026]], 0.05)), "")</f>
        <v>0</v>
      </c>
      <c r="AD168" s="324">
        <f>IFERROR(IF(tblPiNAnalysis512[[#This Row],[WASH]]="", "", MROUND(tblPiNAnalysis512[[#This Row],[WASH]]/tblPiNAnalysis512[[#This Row],[Affected population projection 2026]], 0.05)), "")</f>
        <v>0</v>
      </c>
      <c r="AE168" s="322">
        <f>IFERROR(MROUND(tblPiNAnalysis512[[#This Row],[CP]]/tblPiNAnalysis512[[#This Row],[Affected population projection 2026]], 0.05), "")</f>
        <v>0</v>
      </c>
      <c r="AF168" s="322">
        <f>IFERROR(MROUND(tblPiNAnalysis512[[#This Row],[GBV]]/tblPiNAnalysis512[[#This Row],[Affected population projection 2026]], 0.05), "")</f>
        <v>0</v>
      </c>
      <c r="AG168" s="322">
        <f>IFERROR(MROUND(tblPiNAnalysis512[[#This Row],[Mine Action]]/tblPiNAnalysis512[[#This Row],[Affected population projection 2026]], 0.05), "")</f>
        <v>0</v>
      </c>
      <c r="AH168" s="322">
        <f>IFERROR(MROUND(tblPiNAnalysis512[[#This Row],[HLP]]/tblPiNAnalysis512[[#This Row],[Affected population projection 2026]], 0.05), "")</f>
        <v>0</v>
      </c>
      <c r="AI168" s="325">
        <f>IFERROR(LARGE(tblPiNAnalysis512[[#This Row],[CCCM]:[WASH]], 1), "")</f>
        <v>0</v>
      </c>
      <c r="AJ168" s="326" t="str" cm="1">
        <f t="array" ref="AJ168">IF(tblPiNAnalysis512[[#This Row],[Highest Target]]="", "", _xlfn.TEXTJOIN(CHAR(10), TRUE, IF(tblPiNAnalysis512[[#This Row],[Highest Target]]=tblPiNAnalysis512[[#This Row],[CCCM]:[WASH]], tblPiNAnalysis512[[#Headers],[CCCM]:[WASH]], "")))</f>
        <v>CCCM
Education
Nutrition
Food Security
Health
Overarching Protection
Shelter
WASH</v>
      </c>
      <c r="AK168" s="327">
        <f>IF(tblPiNAnalysis512[[#This Row],[Highest Target]]="", "", tblPiNAnalysis512[[#This Row],[Highest Target]]/tblPiNAnalysis512[[#This Row],[Affected population projection 2026]])</f>
        <v>0</v>
      </c>
      <c r="AL168" s="328" t="str">
        <f>IF(SUM(tblPiNAnalysis512[[#This Row],[CCCM]:[WASH]])=0, "",IF(COUNTIF(tblPiNAnalysis512[[#This Row],[CCCM]:[WASH]],"=0")+COUNTIF(tblPiNAnalysis512[[#This Row],[CCCM]:[WASH]],"")&gt;=zero_pin_thresh, "Flagged", ""))</f>
        <v/>
      </c>
      <c r="AM168" s="329" t="str">
        <f>IFERROR(IF(tblPiNAnalysis512[[#This Row],[Highest Target]]="", "", IF(tblPiNAnalysis512[[#This Row],[Highest sector(s'') Target %]]&gt;=flag_pin_perc, "Flagged", "")), "")</f>
        <v/>
      </c>
      <c r="AN168" s="330" t="str" cm="1">
        <f t="array" ref="AN168">IF(tblPiNAnalysis512[[#This Row],[Highest Target]]=0, "",  IF(OR(COUNTIF(tblPiNAnalysis512[[#This Row],[Highest sector(s)]],tblSubSectorPopulation[Sector])), "Flagged", ""))</f>
        <v/>
      </c>
      <c r="AO168" s="46" cm="1">
        <f t="array" ref="AO16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8" s="331" t="str" cm="1">
        <f t="array" ref="AP168">IF(tblPiNAnalysis512[[#This Row],[2nd Highest Target]]="", "", _xlfn.TEXTJOIN(CHAR(10), TRUE, IF(tblPiNAnalysis512[[#This Row],[2nd Highest Target]]=tblPiNAnalysis512[[#This Row],[CCCM]:[WASH]], tblPiNAnalysis512[[#Headers],[CCCM]:[WASH]], "")))</f>
        <v>CCCM
Education
Nutrition
Food Security
Health
Overarching Protection
Shelter
WASH</v>
      </c>
      <c r="AQ168" s="36">
        <f>IFERROR(tblPiNAnalysis512[[#This Row],[2nd Highest Target]]/tblPiNAnalysis512[[#This Row],[Affected population projection 2026]], "")</f>
        <v>0</v>
      </c>
      <c r="AR168" s="46">
        <f>IFERROR(tblPiNAnalysis512[[#This Row],[Highest Target]]-tblPiNAnalysis512[[#This Row],[2nd Highest Target]], "")</f>
        <v>0</v>
      </c>
      <c r="AS168" s="39" t="str">
        <f>IFERROR(((tblPiNAnalysis512[[#This Row],[Highest Target]]-tblPiNAnalysis512[[#This Row],[2nd Highest Target]])/tblPiNAnalysis512[[#This Row],[2nd Highest Target]]),"")</f>
        <v/>
      </c>
      <c r="AT168" s="39" t="str" cm="1">
        <f t="array" ref="AT16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8" s="332" cm="1">
        <f t="array" ref="AU16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8" s="190" t="str" cm="1">
        <f t="array" ref="AV168">IF(tblPiNAnalysis512[[#This Row],[3rd Highest Target]]="", "", _xlfn.TEXTJOIN(CHAR(10), TRUE, IF(tblPiNAnalysis512[[#This Row],[3rd Highest Target]]=tblPiNAnalysis512[[#This Row],[CCCM]:[WASH]], tblPiNAnalysis512[[#Headers],[CCCM]:[WASH]], "")))</f>
        <v>CCCM
Education
Nutrition
Food Security
Health
Overarching Protection
Shelter
WASH</v>
      </c>
      <c r="AW168" s="190">
        <f>IFERROR(tblPiNAnalysis512[[#This Row],[3rd Highest Target]]/tblPiNAnalysis512[[#This Row],[Affected population projection 2026]], "")</f>
        <v>0</v>
      </c>
      <c r="AX168" s="45">
        <f>IFERROR(tblPiNAnalysis512[[#This Row],[Highest Target]]-tblPiNAnalysis512[[#This Row],[3rd Highest Target]],"")</f>
        <v>0</v>
      </c>
      <c r="AY168" s="39" t="str">
        <f>IFERROR(tblPiNAnalysis512[[#This Row],[Difference of Target between Highest and 3rd Highest]]/tblPiNAnalysis512[[#This Row],[3rd Highest Target]], "")</f>
        <v/>
      </c>
      <c r="AZ168" s="330" t="str" cm="1">
        <f t="array" ref="AZ16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8" s="300" t="str" cm="1">
        <f t="array" ref="BA16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8" s="333" t="str" cm="1">
        <f t="array" ref="BB16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8" s="276" t="str" cm="1">
        <f t="array" ref="BC16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8" s="334" t="str" cm="1">
        <f t="array" ref="BD16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8" s="277" t="e">
        <f>INDEX(tblSeverityAnalysis[Final Severity], MATCH(tblPiNAnalysis512[[#This Row],[ID]],tblSeverityAnalysis[ID], 0))</f>
        <v>#N/A</v>
      </c>
      <c r="BF168" s="61" t="e">
        <f>IF(tblPiNAnalysis512[[#This Row],[Severity]]&gt;2,tblPiNAnalysis512[[#This Row],[Highest Target]],)</f>
        <v>#N/A</v>
      </c>
      <c r="BG168" s="191"/>
      <c r="BH168" s="192"/>
      <c r="BI168" s="193">
        <f>COUNTIFS(tblPiNAnalysis512[[#This Row],[Number of missing / zero PiNs greater than threshold - Data quality]:[Manual Flag]],"Flagged")</f>
        <v>2</v>
      </c>
      <c r="BJ168" s="96" t="str">
        <f>IF(tblPiNAnalysis512[[#This Row],['# Flags]]&gt;0, "Flagged", "")</f>
        <v>Flagged</v>
      </c>
      <c r="BK168" s="326" t="e">
        <f>tblPiNAnalysis512[[#This Row],[Preliminary Target]]</f>
        <v>#N/A</v>
      </c>
      <c r="BL168" s="331">
        <v>5</v>
      </c>
    </row>
    <row r="169" spans="1:64" ht="110.7" x14ac:dyDescent="0.55000000000000004">
      <c r="A1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9" s="316" t="s">
        <v>250</v>
      </c>
      <c r="C169" s="317" t="s">
        <v>251</v>
      </c>
      <c r="D169" s="317" t="s">
        <v>252</v>
      </c>
      <c r="E169" s="105" t="s">
        <v>253</v>
      </c>
      <c r="F169" s="100"/>
      <c r="G169" s="34"/>
      <c r="H169" s="34"/>
      <c r="I169" s="97">
        <v>2130</v>
      </c>
      <c r="J169" s="97" t="s">
        <v>414</v>
      </c>
      <c r="K169" s="318">
        <v>0</v>
      </c>
      <c r="L169" s="319">
        <v>0</v>
      </c>
      <c r="M169" s="319">
        <v>0</v>
      </c>
      <c r="N169" s="319">
        <v>0</v>
      </c>
      <c r="O169" s="319">
        <v>0</v>
      </c>
      <c r="P169" s="319">
        <v>0</v>
      </c>
      <c r="Q169" s="320">
        <v>0</v>
      </c>
      <c r="R169" s="319">
        <v>0</v>
      </c>
      <c r="S169" s="319"/>
      <c r="T169" s="319"/>
      <c r="U169" s="319"/>
      <c r="V169" s="319"/>
      <c r="W169" s="321">
        <f>IFERROR(IF(tblPiNAnalysis512[[#This Row],[CCCM]]="", "", MROUND(tblPiNAnalysis512[[#This Row],[CCCM]]/tblPiNAnalysis512[[#This Row],[Affected population projection 2026]], 0.05)), "")</f>
        <v>0</v>
      </c>
      <c r="X169" s="322">
        <f>IFERROR(IF(tblPiNAnalysis512[[#This Row],[Education]]="", "", MROUND(tblPiNAnalysis512[[#This Row],[Education]]/tblPiNAnalysis512[[#This Row],[Affected population projection 2026]], 0.05)), "")</f>
        <v>0</v>
      </c>
      <c r="Y169" s="322">
        <f>IFERROR(IF(tblPiNAnalysis512[[#This Row],[Nutrition]]="", "", MROUND(tblPiNAnalysis512[[#This Row],[Nutrition]]/tblPiNAnalysis512[[#This Row],[Affected population projection 2026]], 0.05)), "")</f>
        <v>0</v>
      </c>
      <c r="Z169" s="322">
        <f>IFERROR(IF(tblPiNAnalysis512[[#This Row],[Food Security]]="", "", MROUND(tblPiNAnalysis512[[#This Row],[Food Security]]/tblPiNAnalysis512[[#This Row],[Affected population projection 2026]], 0.05)), "")</f>
        <v>0</v>
      </c>
      <c r="AA169" s="322">
        <f>IFERROR(IF(tblPiNAnalysis512[[#This Row],[Health]]="", "", MROUND(tblPiNAnalysis512[[#This Row],[Health]]/tblPiNAnalysis512[[#This Row],[Affected population projection 2026]], 0.05)), "")</f>
        <v>0</v>
      </c>
      <c r="AB169" s="323">
        <f>IFERROR(IF(tblPiNAnalysis512[[#This Row],[Overarching Protection]]="", "", MROUND(tblPiNAnalysis512[[#This Row],[Overarching Protection]]/tblPiNAnalysis512[[#This Row],[Affected population projection 2026]], 0.05)), "")</f>
        <v>0</v>
      </c>
      <c r="AC169" s="323">
        <f>IFERROR(IF(tblPiNAnalysis512[[#This Row],[Shelter]]="", "", MROUND(tblPiNAnalysis512[[#This Row],[Shelter]]/tblPiNAnalysis512[[#This Row],[Affected population projection 2026]], 0.05)), "")</f>
        <v>0</v>
      </c>
      <c r="AD169" s="324">
        <f>IFERROR(IF(tblPiNAnalysis512[[#This Row],[WASH]]="", "", MROUND(tblPiNAnalysis512[[#This Row],[WASH]]/tblPiNAnalysis512[[#This Row],[Affected population projection 2026]], 0.05)), "")</f>
        <v>0</v>
      </c>
      <c r="AE169" s="322">
        <f>IFERROR(MROUND(tblPiNAnalysis512[[#This Row],[CP]]/tblPiNAnalysis512[[#This Row],[Affected population projection 2026]], 0.05), "")</f>
        <v>0</v>
      </c>
      <c r="AF169" s="322">
        <f>IFERROR(MROUND(tblPiNAnalysis512[[#This Row],[GBV]]/tblPiNAnalysis512[[#This Row],[Affected population projection 2026]], 0.05), "")</f>
        <v>0</v>
      </c>
      <c r="AG169" s="322">
        <f>IFERROR(MROUND(tblPiNAnalysis512[[#This Row],[Mine Action]]/tblPiNAnalysis512[[#This Row],[Affected population projection 2026]], 0.05), "")</f>
        <v>0</v>
      </c>
      <c r="AH169" s="322">
        <f>IFERROR(MROUND(tblPiNAnalysis512[[#This Row],[HLP]]/tblPiNAnalysis512[[#This Row],[Affected population projection 2026]], 0.05), "")</f>
        <v>0</v>
      </c>
      <c r="AI169" s="325">
        <f>IFERROR(LARGE(tblPiNAnalysis512[[#This Row],[CCCM]:[WASH]], 1), "")</f>
        <v>0</v>
      </c>
      <c r="AJ169" s="326" t="str" cm="1">
        <f t="array" ref="AJ169">IF(tblPiNAnalysis512[[#This Row],[Highest Target]]="", "", _xlfn.TEXTJOIN(CHAR(10), TRUE, IF(tblPiNAnalysis512[[#This Row],[Highest Target]]=tblPiNAnalysis512[[#This Row],[CCCM]:[WASH]], tblPiNAnalysis512[[#Headers],[CCCM]:[WASH]], "")))</f>
        <v>CCCM
Education
Nutrition
Food Security
Health
Overarching Protection
Shelter
WASH</v>
      </c>
      <c r="AK169" s="327">
        <f>IF(tblPiNAnalysis512[[#This Row],[Highest Target]]="", "", tblPiNAnalysis512[[#This Row],[Highest Target]]/tblPiNAnalysis512[[#This Row],[Affected population projection 2026]])</f>
        <v>0</v>
      </c>
      <c r="AL169" s="328" t="str">
        <f>IF(SUM(tblPiNAnalysis512[[#This Row],[CCCM]:[WASH]])=0, "",IF(COUNTIF(tblPiNAnalysis512[[#This Row],[CCCM]:[WASH]],"=0")+COUNTIF(tblPiNAnalysis512[[#This Row],[CCCM]:[WASH]],"")&gt;=zero_pin_thresh, "Flagged", ""))</f>
        <v/>
      </c>
      <c r="AM169" s="329" t="str">
        <f>IFERROR(IF(tblPiNAnalysis512[[#This Row],[Highest Target]]="", "", IF(tblPiNAnalysis512[[#This Row],[Highest sector(s'') Target %]]&gt;=flag_pin_perc, "Flagged", "")), "")</f>
        <v/>
      </c>
      <c r="AN169" s="330" t="str" cm="1">
        <f t="array" ref="AN169">IF(tblPiNAnalysis512[[#This Row],[Highest Target]]=0, "",  IF(OR(COUNTIF(tblPiNAnalysis512[[#This Row],[Highest sector(s)]],tblSubSectorPopulation[Sector])), "Flagged", ""))</f>
        <v/>
      </c>
      <c r="AO169" s="46" cm="1">
        <f t="array" ref="AO16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69" s="331" t="str" cm="1">
        <f t="array" ref="AP169">IF(tblPiNAnalysis512[[#This Row],[2nd Highest Target]]="", "", _xlfn.TEXTJOIN(CHAR(10), TRUE, IF(tblPiNAnalysis512[[#This Row],[2nd Highest Target]]=tblPiNAnalysis512[[#This Row],[CCCM]:[WASH]], tblPiNAnalysis512[[#Headers],[CCCM]:[WASH]], "")))</f>
        <v>CCCM
Education
Nutrition
Food Security
Health
Overarching Protection
Shelter
WASH</v>
      </c>
      <c r="AQ169" s="36">
        <f>IFERROR(tblPiNAnalysis512[[#This Row],[2nd Highest Target]]/tblPiNAnalysis512[[#This Row],[Affected population projection 2026]], "")</f>
        <v>0</v>
      </c>
      <c r="AR169" s="46">
        <f>IFERROR(tblPiNAnalysis512[[#This Row],[Highest Target]]-tblPiNAnalysis512[[#This Row],[2nd Highest Target]], "")</f>
        <v>0</v>
      </c>
      <c r="AS169" s="39" t="str">
        <f>IFERROR(((tblPiNAnalysis512[[#This Row],[Highest Target]]-tblPiNAnalysis512[[#This Row],[2nd Highest Target]])/tblPiNAnalysis512[[#This Row],[2nd Highest Target]]),"")</f>
        <v/>
      </c>
      <c r="AT169" s="39" t="str" cm="1">
        <f t="array" ref="AT16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69" s="332" cm="1">
        <f t="array" ref="AU16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69" s="190" t="str" cm="1">
        <f t="array" ref="AV169">IF(tblPiNAnalysis512[[#This Row],[3rd Highest Target]]="", "", _xlfn.TEXTJOIN(CHAR(10), TRUE, IF(tblPiNAnalysis512[[#This Row],[3rd Highest Target]]=tblPiNAnalysis512[[#This Row],[CCCM]:[WASH]], tblPiNAnalysis512[[#Headers],[CCCM]:[WASH]], "")))</f>
        <v>CCCM
Education
Nutrition
Food Security
Health
Overarching Protection
Shelter
WASH</v>
      </c>
      <c r="AW169" s="190">
        <f>IFERROR(tblPiNAnalysis512[[#This Row],[3rd Highest Target]]/tblPiNAnalysis512[[#This Row],[Affected population projection 2026]], "")</f>
        <v>0</v>
      </c>
      <c r="AX169" s="45">
        <f>IFERROR(tblPiNAnalysis512[[#This Row],[Highest Target]]-tblPiNAnalysis512[[#This Row],[3rd Highest Target]],"")</f>
        <v>0</v>
      </c>
      <c r="AY169" s="39" t="str">
        <f>IFERROR(tblPiNAnalysis512[[#This Row],[Difference of Target between Highest and 3rd Highest]]/tblPiNAnalysis512[[#This Row],[3rd Highest Target]], "")</f>
        <v/>
      </c>
      <c r="AZ169" s="330" t="str" cm="1">
        <f t="array" ref="AZ16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69" s="300" t="str" cm="1">
        <f t="array" ref="BA16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69" s="333" t="str" cm="1">
        <f t="array" ref="BB16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69" s="276" t="str" cm="1">
        <f t="array" ref="BC16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69" s="334" t="str" cm="1">
        <f t="array" ref="BD16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69" s="277" t="e">
        <f>INDEX(tblSeverityAnalysis[Final Severity], MATCH(tblPiNAnalysis512[[#This Row],[ID]],tblSeverityAnalysis[ID], 0))</f>
        <v>#N/A</v>
      </c>
      <c r="BF169" s="61" t="e">
        <f>IF(tblPiNAnalysis512[[#This Row],[Severity]]&gt;2,tblPiNAnalysis512[[#This Row],[Highest Target]],)</f>
        <v>#N/A</v>
      </c>
      <c r="BG169" s="191"/>
      <c r="BH169" s="192"/>
      <c r="BI169" s="193">
        <f>COUNTIFS(tblPiNAnalysis512[[#This Row],[Number of missing / zero PiNs greater than threshold - Data quality]:[Manual Flag]],"Flagged")</f>
        <v>2</v>
      </c>
      <c r="BJ169" s="96" t="str">
        <f>IF(tblPiNAnalysis512[[#This Row],['# Flags]]&gt;0, "Flagged", "")</f>
        <v>Flagged</v>
      </c>
      <c r="BK169" s="326" t="e">
        <f>tblPiNAnalysis512[[#This Row],[Preliminary Target]]</f>
        <v>#N/A</v>
      </c>
      <c r="BL169" s="331">
        <v>4</v>
      </c>
    </row>
    <row r="170" spans="1:64" ht="110.7" x14ac:dyDescent="0.55000000000000004">
      <c r="A1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0" s="316" t="s">
        <v>250</v>
      </c>
      <c r="C170" s="317" t="s">
        <v>251</v>
      </c>
      <c r="D170" s="317" t="s">
        <v>254</v>
      </c>
      <c r="E170" s="105" t="s">
        <v>255</v>
      </c>
      <c r="F170" s="100"/>
      <c r="G170" s="34"/>
      <c r="H170" s="34"/>
      <c r="I170" s="97">
        <v>3437.4285714285702</v>
      </c>
      <c r="J170" s="97" t="s">
        <v>414</v>
      </c>
      <c r="K170" s="318">
        <v>0</v>
      </c>
      <c r="L170" s="319">
        <v>0</v>
      </c>
      <c r="M170" s="319">
        <v>0</v>
      </c>
      <c r="N170" s="319">
        <v>0</v>
      </c>
      <c r="O170" s="319">
        <v>0</v>
      </c>
      <c r="P170" s="319">
        <v>0</v>
      </c>
      <c r="Q170" s="320">
        <v>0</v>
      </c>
      <c r="R170" s="319">
        <v>0</v>
      </c>
      <c r="S170" s="319"/>
      <c r="T170" s="319"/>
      <c r="U170" s="319"/>
      <c r="V170" s="319"/>
      <c r="W170" s="321">
        <f>IFERROR(IF(tblPiNAnalysis512[[#This Row],[CCCM]]="", "", MROUND(tblPiNAnalysis512[[#This Row],[CCCM]]/tblPiNAnalysis512[[#This Row],[Affected population projection 2026]], 0.05)), "")</f>
        <v>0</v>
      </c>
      <c r="X170" s="322">
        <f>IFERROR(IF(tblPiNAnalysis512[[#This Row],[Education]]="", "", MROUND(tblPiNAnalysis512[[#This Row],[Education]]/tblPiNAnalysis512[[#This Row],[Affected population projection 2026]], 0.05)), "")</f>
        <v>0</v>
      </c>
      <c r="Y170" s="322">
        <f>IFERROR(IF(tblPiNAnalysis512[[#This Row],[Nutrition]]="", "", MROUND(tblPiNAnalysis512[[#This Row],[Nutrition]]/tblPiNAnalysis512[[#This Row],[Affected population projection 2026]], 0.05)), "")</f>
        <v>0</v>
      </c>
      <c r="Z170" s="322">
        <f>IFERROR(IF(tblPiNAnalysis512[[#This Row],[Food Security]]="", "", MROUND(tblPiNAnalysis512[[#This Row],[Food Security]]/tblPiNAnalysis512[[#This Row],[Affected population projection 2026]], 0.05)), "")</f>
        <v>0</v>
      </c>
      <c r="AA170" s="322">
        <f>IFERROR(IF(tblPiNAnalysis512[[#This Row],[Health]]="", "", MROUND(tblPiNAnalysis512[[#This Row],[Health]]/tblPiNAnalysis512[[#This Row],[Affected population projection 2026]], 0.05)), "")</f>
        <v>0</v>
      </c>
      <c r="AB170" s="323">
        <f>IFERROR(IF(tblPiNAnalysis512[[#This Row],[Overarching Protection]]="", "", MROUND(tblPiNAnalysis512[[#This Row],[Overarching Protection]]/tblPiNAnalysis512[[#This Row],[Affected population projection 2026]], 0.05)), "")</f>
        <v>0</v>
      </c>
      <c r="AC170" s="323">
        <f>IFERROR(IF(tblPiNAnalysis512[[#This Row],[Shelter]]="", "", MROUND(tblPiNAnalysis512[[#This Row],[Shelter]]/tblPiNAnalysis512[[#This Row],[Affected population projection 2026]], 0.05)), "")</f>
        <v>0</v>
      </c>
      <c r="AD170" s="324">
        <f>IFERROR(IF(tblPiNAnalysis512[[#This Row],[WASH]]="", "", MROUND(tblPiNAnalysis512[[#This Row],[WASH]]/tblPiNAnalysis512[[#This Row],[Affected population projection 2026]], 0.05)), "")</f>
        <v>0</v>
      </c>
      <c r="AE170" s="322">
        <f>IFERROR(MROUND(tblPiNAnalysis512[[#This Row],[CP]]/tblPiNAnalysis512[[#This Row],[Affected population projection 2026]], 0.05), "")</f>
        <v>0</v>
      </c>
      <c r="AF170" s="322">
        <f>IFERROR(MROUND(tblPiNAnalysis512[[#This Row],[GBV]]/tblPiNAnalysis512[[#This Row],[Affected population projection 2026]], 0.05), "")</f>
        <v>0</v>
      </c>
      <c r="AG170" s="322">
        <f>IFERROR(MROUND(tblPiNAnalysis512[[#This Row],[Mine Action]]/tblPiNAnalysis512[[#This Row],[Affected population projection 2026]], 0.05), "")</f>
        <v>0</v>
      </c>
      <c r="AH170" s="322">
        <f>IFERROR(MROUND(tblPiNAnalysis512[[#This Row],[HLP]]/tblPiNAnalysis512[[#This Row],[Affected population projection 2026]], 0.05), "")</f>
        <v>0</v>
      </c>
      <c r="AI170" s="325">
        <f>IFERROR(LARGE(tblPiNAnalysis512[[#This Row],[CCCM]:[WASH]], 1), "")</f>
        <v>0</v>
      </c>
      <c r="AJ170" s="326" t="str" cm="1">
        <f t="array" ref="AJ170">IF(tblPiNAnalysis512[[#This Row],[Highest Target]]="", "", _xlfn.TEXTJOIN(CHAR(10), TRUE, IF(tblPiNAnalysis512[[#This Row],[Highest Target]]=tblPiNAnalysis512[[#This Row],[CCCM]:[WASH]], tblPiNAnalysis512[[#Headers],[CCCM]:[WASH]], "")))</f>
        <v>CCCM
Education
Nutrition
Food Security
Health
Overarching Protection
Shelter
WASH</v>
      </c>
      <c r="AK170" s="327">
        <f>IF(tblPiNAnalysis512[[#This Row],[Highest Target]]="", "", tblPiNAnalysis512[[#This Row],[Highest Target]]/tblPiNAnalysis512[[#This Row],[Affected population projection 2026]])</f>
        <v>0</v>
      </c>
      <c r="AL170" s="328" t="str">
        <f>IF(SUM(tblPiNAnalysis512[[#This Row],[CCCM]:[WASH]])=0, "",IF(COUNTIF(tblPiNAnalysis512[[#This Row],[CCCM]:[WASH]],"=0")+COUNTIF(tblPiNAnalysis512[[#This Row],[CCCM]:[WASH]],"")&gt;=zero_pin_thresh, "Flagged", ""))</f>
        <v/>
      </c>
      <c r="AM170" s="329" t="str">
        <f>IFERROR(IF(tblPiNAnalysis512[[#This Row],[Highest Target]]="", "", IF(tblPiNAnalysis512[[#This Row],[Highest sector(s'') Target %]]&gt;=flag_pin_perc, "Flagged", "")), "")</f>
        <v/>
      </c>
      <c r="AN170" s="330" t="str" cm="1">
        <f t="array" ref="AN170">IF(tblPiNAnalysis512[[#This Row],[Highest Target]]=0, "",  IF(OR(COUNTIF(tblPiNAnalysis512[[#This Row],[Highest sector(s)]],tblSubSectorPopulation[Sector])), "Flagged", ""))</f>
        <v/>
      </c>
      <c r="AO170" s="46" cm="1">
        <f t="array" ref="AO17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70" s="331" t="str" cm="1">
        <f t="array" ref="AP170">IF(tblPiNAnalysis512[[#This Row],[2nd Highest Target]]="", "", _xlfn.TEXTJOIN(CHAR(10), TRUE, IF(tblPiNAnalysis512[[#This Row],[2nd Highest Target]]=tblPiNAnalysis512[[#This Row],[CCCM]:[WASH]], tblPiNAnalysis512[[#Headers],[CCCM]:[WASH]], "")))</f>
        <v>CCCM
Education
Nutrition
Food Security
Health
Overarching Protection
Shelter
WASH</v>
      </c>
      <c r="AQ170" s="36">
        <f>IFERROR(tblPiNAnalysis512[[#This Row],[2nd Highest Target]]/tblPiNAnalysis512[[#This Row],[Affected population projection 2026]], "")</f>
        <v>0</v>
      </c>
      <c r="AR170" s="46">
        <f>IFERROR(tblPiNAnalysis512[[#This Row],[Highest Target]]-tblPiNAnalysis512[[#This Row],[2nd Highest Target]], "")</f>
        <v>0</v>
      </c>
      <c r="AS170" s="39" t="str">
        <f>IFERROR(((tblPiNAnalysis512[[#This Row],[Highest Target]]-tblPiNAnalysis512[[#This Row],[2nd Highest Target]])/tblPiNAnalysis512[[#This Row],[2nd Highest Target]]),"")</f>
        <v/>
      </c>
      <c r="AT170" s="39" t="str" cm="1">
        <f t="array" ref="AT17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0" s="332" cm="1">
        <f t="array" ref="AU17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70" s="190" t="str" cm="1">
        <f t="array" ref="AV170">IF(tblPiNAnalysis512[[#This Row],[3rd Highest Target]]="", "", _xlfn.TEXTJOIN(CHAR(10), TRUE, IF(tblPiNAnalysis512[[#This Row],[3rd Highest Target]]=tblPiNAnalysis512[[#This Row],[CCCM]:[WASH]], tblPiNAnalysis512[[#Headers],[CCCM]:[WASH]], "")))</f>
        <v>CCCM
Education
Nutrition
Food Security
Health
Overarching Protection
Shelter
WASH</v>
      </c>
      <c r="AW170" s="190">
        <f>IFERROR(tblPiNAnalysis512[[#This Row],[3rd Highest Target]]/tblPiNAnalysis512[[#This Row],[Affected population projection 2026]], "")</f>
        <v>0</v>
      </c>
      <c r="AX170" s="45">
        <f>IFERROR(tblPiNAnalysis512[[#This Row],[Highest Target]]-tblPiNAnalysis512[[#This Row],[3rd Highest Target]],"")</f>
        <v>0</v>
      </c>
      <c r="AY170" s="39" t="str">
        <f>IFERROR(tblPiNAnalysis512[[#This Row],[Difference of Target between Highest and 3rd Highest]]/tblPiNAnalysis512[[#This Row],[3rd Highest Target]], "")</f>
        <v/>
      </c>
      <c r="AZ170" s="330" t="str" cm="1">
        <f t="array" ref="AZ17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0" s="300" t="str" cm="1">
        <f t="array" ref="BA17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0" s="333" t="str" cm="1">
        <f t="array" ref="BB17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0" s="276" t="str" cm="1">
        <f t="array" ref="BC17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0" s="334" t="str" cm="1">
        <f t="array" ref="BD17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0" s="277" t="e">
        <f>INDEX(tblSeverityAnalysis[Final Severity], MATCH(tblPiNAnalysis512[[#This Row],[ID]],tblSeverityAnalysis[ID], 0))</f>
        <v>#N/A</v>
      </c>
      <c r="BF170" s="61" t="e">
        <f>IF(tblPiNAnalysis512[[#This Row],[Severity]]&gt;2,tblPiNAnalysis512[[#This Row],[Highest Target]],)</f>
        <v>#N/A</v>
      </c>
      <c r="BG170" s="191"/>
      <c r="BH170" s="192"/>
      <c r="BI170" s="193">
        <f>COUNTIFS(tblPiNAnalysis512[[#This Row],[Number of missing / zero PiNs greater than threshold - Data quality]:[Manual Flag]],"Flagged")</f>
        <v>2</v>
      </c>
      <c r="BJ170" s="96" t="str">
        <f>IF(tblPiNAnalysis512[[#This Row],['# Flags]]&gt;0, "Flagged", "")</f>
        <v>Flagged</v>
      </c>
      <c r="BK170" s="326" t="e">
        <f>tblPiNAnalysis512[[#This Row],[Preliminary Target]]</f>
        <v>#N/A</v>
      </c>
      <c r="BL170" s="331">
        <v>4</v>
      </c>
    </row>
    <row r="171" spans="1:64" x14ac:dyDescent="0.55000000000000004">
      <c r="A1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1" s="316" t="s">
        <v>250</v>
      </c>
      <c r="C171" s="317" t="s">
        <v>251</v>
      </c>
      <c r="D171" s="317" t="s">
        <v>256</v>
      </c>
      <c r="E171" s="105" t="s">
        <v>257</v>
      </c>
      <c r="F171" s="100"/>
      <c r="G171" s="34"/>
      <c r="H171" s="34"/>
      <c r="I171" s="97">
        <v>3548.7142857142862</v>
      </c>
      <c r="J171" s="97" t="s">
        <v>414</v>
      </c>
      <c r="K171" s="318">
        <v>0</v>
      </c>
      <c r="L171" s="319">
        <v>606.12040000000013</v>
      </c>
      <c r="M171" s="319">
        <v>785.87134900659157</v>
      </c>
      <c r="N171" s="319">
        <v>1435.4278327603176</v>
      </c>
      <c r="O171" s="319">
        <v>963.57160222058019</v>
      </c>
      <c r="P171" s="319">
        <v>1275.7098386171867</v>
      </c>
      <c r="Q171" s="320">
        <v>0</v>
      </c>
      <c r="R171" s="319">
        <v>1988.54565941603</v>
      </c>
      <c r="S171" s="319"/>
      <c r="T171" s="319"/>
      <c r="U171" s="319"/>
      <c r="V171" s="319"/>
      <c r="W171" s="321">
        <f>IFERROR(IF(tblPiNAnalysis512[[#This Row],[CCCM]]="", "", MROUND(tblPiNAnalysis512[[#This Row],[CCCM]]/tblPiNAnalysis512[[#This Row],[Affected population projection 2026]], 0.05)), "")</f>
        <v>0</v>
      </c>
      <c r="X171" s="322">
        <f>IFERROR(IF(tblPiNAnalysis512[[#This Row],[Education]]="", "", MROUND(tblPiNAnalysis512[[#This Row],[Education]]/tblPiNAnalysis512[[#This Row],[Affected population projection 2026]], 0.05)), "")</f>
        <v>0.15000000000000002</v>
      </c>
      <c r="Y171" s="322">
        <f>IFERROR(IF(tblPiNAnalysis512[[#This Row],[Nutrition]]="", "", MROUND(tblPiNAnalysis512[[#This Row],[Nutrition]]/tblPiNAnalysis512[[#This Row],[Affected population projection 2026]], 0.05)), "")</f>
        <v>0.2</v>
      </c>
      <c r="Z171" s="322">
        <f>IFERROR(IF(tblPiNAnalysis512[[#This Row],[Food Security]]="", "", MROUND(tblPiNAnalysis512[[#This Row],[Food Security]]/tblPiNAnalysis512[[#This Row],[Affected population projection 2026]], 0.05)), "")</f>
        <v>0.4</v>
      </c>
      <c r="AA171" s="322">
        <f>IFERROR(IF(tblPiNAnalysis512[[#This Row],[Health]]="", "", MROUND(tblPiNAnalysis512[[#This Row],[Health]]/tblPiNAnalysis512[[#This Row],[Affected population projection 2026]], 0.05)), "")</f>
        <v>0.25</v>
      </c>
      <c r="AB171" s="323">
        <f>IFERROR(IF(tblPiNAnalysis512[[#This Row],[Overarching Protection]]="", "", MROUND(tblPiNAnalysis512[[#This Row],[Overarching Protection]]/tblPiNAnalysis512[[#This Row],[Affected population projection 2026]], 0.05)), "")</f>
        <v>0.35000000000000003</v>
      </c>
      <c r="AC171" s="323">
        <f>IFERROR(IF(tblPiNAnalysis512[[#This Row],[Shelter]]="", "", MROUND(tblPiNAnalysis512[[#This Row],[Shelter]]/tblPiNAnalysis512[[#This Row],[Affected population projection 2026]], 0.05)), "")</f>
        <v>0</v>
      </c>
      <c r="AD171" s="324">
        <f>IFERROR(IF(tblPiNAnalysis512[[#This Row],[WASH]]="", "", MROUND(tblPiNAnalysis512[[#This Row],[WASH]]/tblPiNAnalysis512[[#This Row],[Affected population projection 2026]], 0.05)), "")</f>
        <v>0.55000000000000004</v>
      </c>
      <c r="AE171" s="322">
        <f>IFERROR(MROUND(tblPiNAnalysis512[[#This Row],[CP]]/tblPiNAnalysis512[[#This Row],[Affected population projection 2026]], 0.05), "")</f>
        <v>0</v>
      </c>
      <c r="AF171" s="322">
        <f>IFERROR(MROUND(tblPiNAnalysis512[[#This Row],[GBV]]/tblPiNAnalysis512[[#This Row],[Affected population projection 2026]], 0.05), "")</f>
        <v>0</v>
      </c>
      <c r="AG171" s="322">
        <f>IFERROR(MROUND(tblPiNAnalysis512[[#This Row],[Mine Action]]/tblPiNAnalysis512[[#This Row],[Affected population projection 2026]], 0.05), "")</f>
        <v>0</v>
      </c>
      <c r="AH171" s="322">
        <f>IFERROR(MROUND(tblPiNAnalysis512[[#This Row],[HLP]]/tblPiNAnalysis512[[#This Row],[Affected population projection 2026]], 0.05), "")</f>
        <v>0</v>
      </c>
      <c r="AI171" s="325">
        <f>IFERROR(LARGE(tblPiNAnalysis512[[#This Row],[CCCM]:[WASH]], 1), "")</f>
        <v>1988.54565941603</v>
      </c>
      <c r="AJ171" s="326" t="str" cm="1">
        <f t="array" ref="AJ171">IF(tblPiNAnalysis512[[#This Row],[Highest Target]]="", "", _xlfn.TEXTJOIN(CHAR(10), TRUE, IF(tblPiNAnalysis512[[#This Row],[Highest Target]]=tblPiNAnalysis512[[#This Row],[CCCM]:[WASH]], tblPiNAnalysis512[[#Headers],[CCCM]:[WASH]], "")))</f>
        <v>WASH</v>
      </c>
      <c r="AK171" s="327">
        <f>IF(tblPiNAnalysis512[[#This Row],[Highest Target]]="", "", tblPiNAnalysis512[[#This Row],[Highest Target]]/tblPiNAnalysis512[[#This Row],[Affected population projection 2026]])</f>
        <v>0.56035665294924553</v>
      </c>
      <c r="AL171" s="328" t="str">
        <f>IF(SUM(tblPiNAnalysis512[[#This Row],[CCCM]:[WASH]])=0, "",IF(COUNTIF(tblPiNAnalysis512[[#This Row],[CCCM]:[WASH]],"=0")+COUNTIF(tblPiNAnalysis512[[#This Row],[CCCM]:[WASH]],"")&gt;=zero_pin_thresh, "Flagged", ""))</f>
        <v>Flagged</v>
      </c>
      <c r="AM171" s="329" t="str">
        <f>IFERROR(IF(tblPiNAnalysis512[[#This Row],[Highest Target]]="", "", IF(tblPiNAnalysis512[[#This Row],[Highest sector(s'') Target %]]&gt;=flag_pin_perc, "Flagged", "")), "")</f>
        <v/>
      </c>
      <c r="AN171" s="330" t="str" cm="1">
        <f t="array" ref="AN171">IF(tblPiNAnalysis512[[#This Row],[Highest Target]]=0, "",  IF(OR(COUNTIF(tblPiNAnalysis512[[#This Row],[Highest sector(s)]],tblSubSectorPopulation[Sector])), "Flagged", ""))</f>
        <v/>
      </c>
      <c r="AO171" s="46" cm="1">
        <f t="array" ref="AO17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1435.4278327603176</v>
      </c>
      <c r="AP171" s="331" t="str" cm="1">
        <f t="array" ref="AP171">IF(tblPiNAnalysis512[[#This Row],[2nd Highest Target]]="", "", _xlfn.TEXTJOIN(CHAR(10), TRUE, IF(tblPiNAnalysis512[[#This Row],[2nd Highest Target]]=tblPiNAnalysis512[[#This Row],[CCCM]:[WASH]], tblPiNAnalysis512[[#Headers],[CCCM]:[WASH]], "")))</f>
        <v>Food Security</v>
      </c>
      <c r="AQ171" s="36">
        <f>IFERROR(tblPiNAnalysis512[[#This Row],[2nd Highest Target]]/tblPiNAnalysis512[[#This Row],[Affected population projection 2026]], "")</f>
        <v>0.40449236461182003</v>
      </c>
      <c r="AR171" s="46">
        <f>IFERROR(tblPiNAnalysis512[[#This Row],[Highest Target]]-tblPiNAnalysis512[[#This Row],[2nd Highest Target]], "")</f>
        <v>553.11782665571241</v>
      </c>
      <c r="AS171" s="39">
        <f>IFERROR(((tblPiNAnalysis512[[#This Row],[Highest Target]]-tblPiNAnalysis512[[#This Row],[2nd Highest Target]])/tblPiNAnalysis512[[#This Row],[2nd Highest Target]]),"")</f>
        <v>0.3853330791225294</v>
      </c>
      <c r="AT171" s="39" t="str" cm="1">
        <f t="array" ref="AT17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71" s="332" cm="1">
        <f t="array" ref="AU17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1275.7098386171867</v>
      </c>
      <c r="AV171" s="190" t="str" cm="1">
        <f t="array" ref="AV171">IF(tblPiNAnalysis512[[#This Row],[3rd Highest Target]]="", "", _xlfn.TEXTJOIN(CHAR(10), TRUE, IF(tblPiNAnalysis512[[#This Row],[3rd Highest Target]]=tblPiNAnalysis512[[#This Row],[CCCM]:[WASH]], tblPiNAnalysis512[[#Headers],[CCCM]:[WASH]], "")))</f>
        <v>Overarching Protection</v>
      </c>
      <c r="AW171" s="190">
        <f>IFERROR(tblPiNAnalysis512[[#This Row],[3rd Highest Target]]/tblPiNAnalysis512[[#This Row],[Affected population projection 2026]], "")</f>
        <v>0.35948507992111051</v>
      </c>
      <c r="AX171" s="45">
        <f>IFERROR(tblPiNAnalysis512[[#This Row],[Highest Target]]-tblPiNAnalysis512[[#This Row],[3rd Highest Target]],"")</f>
        <v>712.83582079884332</v>
      </c>
      <c r="AY171" s="39">
        <f>IFERROR(tblPiNAnalysis512[[#This Row],[Difference of Target between Highest and 3rd Highest]]/tblPiNAnalysis512[[#This Row],[3rd Highest Target]], "")</f>
        <v>0.55877582755928723</v>
      </c>
      <c r="AZ171" s="330" t="str" cm="1">
        <f t="array" ref="AZ17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71" s="300" t="str" cm="1">
        <f t="array" ref="BA17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1" s="333" t="str" cm="1">
        <f t="array" ref="BB17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71" s="276" t="str" cm="1">
        <f t="array" ref="BC17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1" s="334" t="str" cm="1">
        <f t="array" ref="BD17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71" s="277" t="e">
        <f>INDEX(tblSeverityAnalysis[Final Severity], MATCH(tblPiNAnalysis512[[#This Row],[ID]],tblSeverityAnalysis[ID], 0))</f>
        <v>#N/A</v>
      </c>
      <c r="BF171" s="61" t="e">
        <f>IF(tblPiNAnalysis512[[#This Row],[Severity]]&gt;2,tblPiNAnalysis512[[#This Row],[Highest Target]],)</f>
        <v>#N/A</v>
      </c>
      <c r="BG171" s="191"/>
      <c r="BH171" s="192"/>
      <c r="BI171" s="193">
        <f>COUNTIFS(tblPiNAnalysis512[[#This Row],[Number of missing / zero PiNs greater than threshold - Data quality]:[Manual Flag]],"Flagged")</f>
        <v>3</v>
      </c>
      <c r="BJ171" s="96" t="str">
        <f>IF(tblPiNAnalysis512[[#This Row],['# Flags]]&gt;0, "Flagged", "")</f>
        <v>Flagged</v>
      </c>
      <c r="BK171" s="326" t="e">
        <f>tblPiNAnalysis512[[#This Row],[Preliminary Target]]</f>
        <v>#N/A</v>
      </c>
      <c r="BL171" s="331">
        <v>2</v>
      </c>
    </row>
    <row r="172" spans="1:64" x14ac:dyDescent="0.55000000000000004">
      <c r="A1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2" s="316" t="s">
        <v>250</v>
      </c>
      <c r="C172" s="317" t="s">
        <v>251</v>
      </c>
      <c r="D172" s="317" t="s">
        <v>258</v>
      </c>
      <c r="E172" s="105" t="s">
        <v>259</v>
      </c>
      <c r="F172" s="100"/>
      <c r="G172" s="34"/>
      <c r="H172" s="34"/>
      <c r="I172" s="97">
        <v>3</v>
      </c>
      <c r="J172" s="97" t="s">
        <v>414</v>
      </c>
      <c r="K172" s="318"/>
      <c r="L172" s="319"/>
      <c r="M172" s="319"/>
      <c r="N172" s="319"/>
      <c r="O172" s="319"/>
      <c r="P172" s="319"/>
      <c r="Q172" s="320"/>
      <c r="R172" s="319"/>
      <c r="S172" s="319"/>
      <c r="T172" s="319"/>
      <c r="U172" s="319"/>
      <c r="V172" s="319"/>
      <c r="W172" s="321" t="str">
        <f>IFERROR(IF(tblPiNAnalysis512[[#This Row],[CCCM]]="", "", MROUND(tblPiNAnalysis512[[#This Row],[CCCM]]/tblPiNAnalysis512[[#This Row],[Affected population projection 2026]], 0.05)), "")</f>
        <v/>
      </c>
      <c r="X172" s="322" t="str">
        <f>IFERROR(IF(tblPiNAnalysis512[[#This Row],[Education]]="", "", MROUND(tblPiNAnalysis512[[#This Row],[Education]]/tblPiNAnalysis512[[#This Row],[Affected population projection 2026]], 0.05)), "")</f>
        <v/>
      </c>
      <c r="Y172" s="322" t="str">
        <f>IFERROR(IF(tblPiNAnalysis512[[#This Row],[Nutrition]]="", "", MROUND(tblPiNAnalysis512[[#This Row],[Nutrition]]/tblPiNAnalysis512[[#This Row],[Affected population projection 2026]], 0.05)), "")</f>
        <v/>
      </c>
      <c r="Z172" s="322" t="str">
        <f>IFERROR(IF(tblPiNAnalysis512[[#This Row],[Food Security]]="", "", MROUND(tblPiNAnalysis512[[#This Row],[Food Security]]/tblPiNAnalysis512[[#This Row],[Affected population projection 2026]], 0.05)), "")</f>
        <v/>
      </c>
      <c r="AA172" s="322" t="str">
        <f>IFERROR(IF(tblPiNAnalysis512[[#This Row],[Health]]="", "", MROUND(tblPiNAnalysis512[[#This Row],[Health]]/tblPiNAnalysis512[[#This Row],[Affected population projection 2026]], 0.05)), "")</f>
        <v/>
      </c>
      <c r="AB172" s="323" t="str">
        <f>IFERROR(IF(tblPiNAnalysis512[[#This Row],[Overarching Protection]]="", "", MROUND(tblPiNAnalysis512[[#This Row],[Overarching Protection]]/tblPiNAnalysis512[[#This Row],[Affected population projection 2026]], 0.05)), "")</f>
        <v/>
      </c>
      <c r="AC172" s="323" t="str">
        <f>IFERROR(IF(tblPiNAnalysis512[[#This Row],[Shelter]]="", "", MROUND(tblPiNAnalysis512[[#This Row],[Shelter]]/tblPiNAnalysis512[[#This Row],[Affected population projection 2026]], 0.05)), "")</f>
        <v/>
      </c>
      <c r="AD172" s="324" t="str">
        <f>IFERROR(IF(tblPiNAnalysis512[[#This Row],[WASH]]="", "", MROUND(tblPiNAnalysis512[[#This Row],[WASH]]/tblPiNAnalysis512[[#This Row],[Affected population projection 2026]], 0.05)), "")</f>
        <v/>
      </c>
      <c r="AE172" s="322">
        <f>IFERROR(MROUND(tblPiNAnalysis512[[#This Row],[CP]]/tblPiNAnalysis512[[#This Row],[Affected population projection 2026]], 0.05), "")</f>
        <v>0</v>
      </c>
      <c r="AF172" s="322">
        <f>IFERROR(MROUND(tblPiNAnalysis512[[#This Row],[GBV]]/tblPiNAnalysis512[[#This Row],[Affected population projection 2026]], 0.05), "")</f>
        <v>0</v>
      </c>
      <c r="AG172" s="322">
        <f>IFERROR(MROUND(tblPiNAnalysis512[[#This Row],[Mine Action]]/tblPiNAnalysis512[[#This Row],[Affected population projection 2026]], 0.05), "")</f>
        <v>0</v>
      </c>
      <c r="AH172" s="322">
        <f>IFERROR(MROUND(tblPiNAnalysis512[[#This Row],[HLP]]/tblPiNAnalysis512[[#This Row],[Affected population projection 2026]], 0.05), "")</f>
        <v>0</v>
      </c>
      <c r="AI172" s="325" t="str">
        <f>IFERROR(LARGE(tblPiNAnalysis512[[#This Row],[CCCM]:[WASH]], 1), "")</f>
        <v/>
      </c>
      <c r="AJ172" s="326" t="str" cm="1">
        <f t="array" ref="AJ172">IF(tblPiNAnalysis512[[#This Row],[Highest Target]]="", "", _xlfn.TEXTJOIN(CHAR(10), TRUE, IF(tblPiNAnalysis512[[#This Row],[Highest Target]]=tblPiNAnalysis512[[#This Row],[CCCM]:[WASH]], tblPiNAnalysis512[[#Headers],[CCCM]:[WASH]], "")))</f>
        <v/>
      </c>
      <c r="AK172" s="327" t="str">
        <f>IF(tblPiNAnalysis512[[#This Row],[Highest Target]]="", "", tblPiNAnalysis512[[#This Row],[Highest Target]]/tblPiNAnalysis512[[#This Row],[Affected population projection 2026]])</f>
        <v/>
      </c>
      <c r="AL172" s="328" t="str">
        <f>IF(SUM(tblPiNAnalysis512[[#This Row],[CCCM]:[WASH]])=0, "",IF(COUNTIF(tblPiNAnalysis512[[#This Row],[CCCM]:[WASH]],"=0")+COUNTIF(tblPiNAnalysis512[[#This Row],[CCCM]:[WASH]],"")&gt;=zero_pin_thresh, "Flagged", ""))</f>
        <v/>
      </c>
      <c r="AM172" s="329" t="str">
        <f>IFERROR(IF(tblPiNAnalysis512[[#This Row],[Highest Target]]="", "", IF(tblPiNAnalysis512[[#This Row],[Highest sector(s'') Target %]]&gt;=flag_pin_perc, "Flagged", "")), "")</f>
        <v/>
      </c>
      <c r="AN172" s="330" t="str" cm="1">
        <f t="array" ref="AN172">IF(tblPiNAnalysis512[[#This Row],[Highest Target]]=0, "",  IF(OR(COUNTIF(tblPiNAnalysis512[[#This Row],[Highest sector(s)]],tblSubSectorPopulation[Sector])), "Flagged", ""))</f>
        <v/>
      </c>
      <c r="AO172" s="46" t="str" cm="1">
        <f t="array" ref="AO17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72" s="331" t="str" cm="1">
        <f t="array" ref="AP172">IF(tblPiNAnalysis512[[#This Row],[2nd Highest Target]]="", "", _xlfn.TEXTJOIN(CHAR(10), TRUE, IF(tblPiNAnalysis512[[#This Row],[2nd Highest Target]]=tblPiNAnalysis512[[#This Row],[CCCM]:[WASH]], tblPiNAnalysis512[[#Headers],[CCCM]:[WASH]], "")))</f>
        <v/>
      </c>
      <c r="AQ172" s="36" t="str">
        <f>IFERROR(tblPiNAnalysis512[[#This Row],[2nd Highest Target]]/tblPiNAnalysis512[[#This Row],[Affected population projection 2026]], "")</f>
        <v/>
      </c>
      <c r="AR172" s="46" t="str">
        <f>IFERROR(tblPiNAnalysis512[[#This Row],[Highest Target]]-tblPiNAnalysis512[[#This Row],[2nd Highest Target]], "")</f>
        <v/>
      </c>
      <c r="AS172" s="39" t="str">
        <f>IFERROR(((tblPiNAnalysis512[[#This Row],[Highest Target]]-tblPiNAnalysis512[[#This Row],[2nd Highest Target]])/tblPiNAnalysis512[[#This Row],[2nd Highest Target]]),"")</f>
        <v/>
      </c>
      <c r="AT172" s="39" t="str" cm="1">
        <f t="array" ref="AT17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2" s="332" t="str" cm="1">
        <f t="array" ref="AU17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72" s="190" t="str" cm="1">
        <f t="array" ref="AV172">IF(tblPiNAnalysis512[[#This Row],[3rd Highest Target]]="", "", _xlfn.TEXTJOIN(CHAR(10), TRUE, IF(tblPiNAnalysis512[[#This Row],[3rd Highest Target]]=tblPiNAnalysis512[[#This Row],[CCCM]:[WASH]], tblPiNAnalysis512[[#Headers],[CCCM]:[WASH]], "")))</f>
        <v/>
      </c>
      <c r="AW172" s="190" t="str">
        <f>IFERROR(tblPiNAnalysis512[[#This Row],[3rd Highest Target]]/tblPiNAnalysis512[[#This Row],[Affected population projection 2026]], "")</f>
        <v/>
      </c>
      <c r="AX172" s="45" t="str">
        <f>IFERROR(tblPiNAnalysis512[[#This Row],[Highest Target]]-tblPiNAnalysis512[[#This Row],[3rd Highest Target]],"")</f>
        <v/>
      </c>
      <c r="AY172" s="39" t="str">
        <f>IFERROR(tblPiNAnalysis512[[#This Row],[Difference of Target between Highest and 3rd Highest]]/tblPiNAnalysis512[[#This Row],[3rd Highest Target]], "")</f>
        <v/>
      </c>
      <c r="AZ172" s="330" t="str" cm="1">
        <f t="array" ref="AZ17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2" s="300" t="str" cm="1">
        <f t="array" ref="BA17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2" s="333" t="str" cm="1">
        <f t="array" ref="BB17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2" s="276" t="str" cm="1">
        <f t="array" ref="BC17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2" s="334" t="str" cm="1">
        <f t="array" ref="BD17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2" s="277" t="e">
        <f>INDEX(tblSeverityAnalysis[Final Severity], MATCH(tblPiNAnalysis512[[#This Row],[ID]],tblSeverityAnalysis[ID], 0))</f>
        <v>#N/A</v>
      </c>
      <c r="BF172" s="61" t="e">
        <f>IF(tblPiNAnalysis512[[#This Row],[Severity]]&gt;2,tblPiNAnalysis512[[#This Row],[Highest Target]],)</f>
        <v>#N/A</v>
      </c>
      <c r="BG172" s="191"/>
      <c r="BH172" s="192"/>
      <c r="BI172" s="193">
        <f>COUNTIFS(tblPiNAnalysis512[[#This Row],[Number of missing / zero PiNs greater than threshold - Data quality]:[Manual Flag]],"Flagged")</f>
        <v>2</v>
      </c>
      <c r="BJ172" s="96" t="str">
        <f>IF(tblPiNAnalysis512[[#This Row],['# Flags]]&gt;0, "Flagged", "")</f>
        <v>Flagged</v>
      </c>
      <c r="BK172" s="326" t="e">
        <f>tblPiNAnalysis512[[#This Row],[Preliminary Target]]</f>
        <v>#N/A</v>
      </c>
      <c r="BL172" s="331">
        <v>3</v>
      </c>
    </row>
    <row r="173" spans="1:64" x14ac:dyDescent="0.55000000000000004">
      <c r="A1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3" s="316" t="s">
        <v>250</v>
      </c>
      <c r="C173" s="317" t="s">
        <v>251</v>
      </c>
      <c r="D173" s="317" t="s">
        <v>260</v>
      </c>
      <c r="E173" s="105" t="s">
        <v>261</v>
      </c>
      <c r="F173" s="100"/>
      <c r="G173" s="34"/>
      <c r="H173" s="34"/>
      <c r="I173" s="97">
        <v>9189.5714285714294</v>
      </c>
      <c r="J173" s="97" t="s">
        <v>414</v>
      </c>
      <c r="K173" s="318"/>
      <c r="L173" s="319"/>
      <c r="M173" s="319"/>
      <c r="N173" s="319"/>
      <c r="O173" s="319"/>
      <c r="P173" s="319"/>
      <c r="Q173" s="320"/>
      <c r="R173" s="319"/>
      <c r="S173" s="319"/>
      <c r="T173" s="319"/>
      <c r="U173" s="319"/>
      <c r="V173" s="319"/>
      <c r="W173" s="321" t="str">
        <f>IFERROR(IF(tblPiNAnalysis512[[#This Row],[CCCM]]="", "", MROUND(tblPiNAnalysis512[[#This Row],[CCCM]]/tblPiNAnalysis512[[#This Row],[Affected population projection 2026]], 0.05)), "")</f>
        <v/>
      </c>
      <c r="X173" s="322" t="str">
        <f>IFERROR(IF(tblPiNAnalysis512[[#This Row],[Education]]="", "", MROUND(tblPiNAnalysis512[[#This Row],[Education]]/tblPiNAnalysis512[[#This Row],[Affected population projection 2026]], 0.05)), "")</f>
        <v/>
      </c>
      <c r="Y173" s="322" t="str">
        <f>IFERROR(IF(tblPiNAnalysis512[[#This Row],[Nutrition]]="", "", MROUND(tblPiNAnalysis512[[#This Row],[Nutrition]]/tblPiNAnalysis512[[#This Row],[Affected population projection 2026]], 0.05)), "")</f>
        <v/>
      </c>
      <c r="Z173" s="322" t="str">
        <f>IFERROR(IF(tblPiNAnalysis512[[#This Row],[Food Security]]="", "", MROUND(tblPiNAnalysis512[[#This Row],[Food Security]]/tblPiNAnalysis512[[#This Row],[Affected population projection 2026]], 0.05)), "")</f>
        <v/>
      </c>
      <c r="AA173" s="322" t="str">
        <f>IFERROR(IF(tblPiNAnalysis512[[#This Row],[Health]]="", "", MROUND(tblPiNAnalysis512[[#This Row],[Health]]/tblPiNAnalysis512[[#This Row],[Affected population projection 2026]], 0.05)), "")</f>
        <v/>
      </c>
      <c r="AB173" s="323" t="str">
        <f>IFERROR(IF(tblPiNAnalysis512[[#This Row],[Overarching Protection]]="", "", MROUND(tblPiNAnalysis512[[#This Row],[Overarching Protection]]/tblPiNAnalysis512[[#This Row],[Affected population projection 2026]], 0.05)), "")</f>
        <v/>
      </c>
      <c r="AC173" s="323" t="str">
        <f>IFERROR(IF(tblPiNAnalysis512[[#This Row],[Shelter]]="", "", MROUND(tblPiNAnalysis512[[#This Row],[Shelter]]/tblPiNAnalysis512[[#This Row],[Affected population projection 2026]], 0.05)), "")</f>
        <v/>
      </c>
      <c r="AD173" s="324" t="str">
        <f>IFERROR(IF(tblPiNAnalysis512[[#This Row],[WASH]]="", "", MROUND(tblPiNAnalysis512[[#This Row],[WASH]]/tblPiNAnalysis512[[#This Row],[Affected population projection 2026]], 0.05)), "")</f>
        <v/>
      </c>
      <c r="AE173" s="322">
        <f>IFERROR(MROUND(tblPiNAnalysis512[[#This Row],[CP]]/tblPiNAnalysis512[[#This Row],[Affected population projection 2026]], 0.05), "")</f>
        <v>0</v>
      </c>
      <c r="AF173" s="322">
        <f>IFERROR(MROUND(tblPiNAnalysis512[[#This Row],[GBV]]/tblPiNAnalysis512[[#This Row],[Affected population projection 2026]], 0.05), "")</f>
        <v>0</v>
      </c>
      <c r="AG173" s="322">
        <f>IFERROR(MROUND(tblPiNAnalysis512[[#This Row],[Mine Action]]/tblPiNAnalysis512[[#This Row],[Affected population projection 2026]], 0.05), "")</f>
        <v>0</v>
      </c>
      <c r="AH173" s="322">
        <f>IFERROR(MROUND(tblPiNAnalysis512[[#This Row],[HLP]]/tblPiNAnalysis512[[#This Row],[Affected population projection 2026]], 0.05), "")</f>
        <v>0</v>
      </c>
      <c r="AI173" s="325" t="str">
        <f>IFERROR(LARGE(tblPiNAnalysis512[[#This Row],[CCCM]:[WASH]], 1), "")</f>
        <v/>
      </c>
      <c r="AJ173" s="326" t="str" cm="1">
        <f t="array" ref="AJ173">IF(tblPiNAnalysis512[[#This Row],[Highest Target]]="", "", _xlfn.TEXTJOIN(CHAR(10), TRUE, IF(tblPiNAnalysis512[[#This Row],[Highest Target]]=tblPiNAnalysis512[[#This Row],[CCCM]:[WASH]], tblPiNAnalysis512[[#Headers],[CCCM]:[WASH]], "")))</f>
        <v/>
      </c>
      <c r="AK173" s="327" t="str">
        <f>IF(tblPiNAnalysis512[[#This Row],[Highest Target]]="", "", tblPiNAnalysis512[[#This Row],[Highest Target]]/tblPiNAnalysis512[[#This Row],[Affected population projection 2026]])</f>
        <v/>
      </c>
      <c r="AL173" s="328" t="str">
        <f>IF(SUM(tblPiNAnalysis512[[#This Row],[CCCM]:[WASH]])=0, "",IF(COUNTIF(tblPiNAnalysis512[[#This Row],[CCCM]:[WASH]],"=0")+COUNTIF(tblPiNAnalysis512[[#This Row],[CCCM]:[WASH]],"")&gt;=zero_pin_thresh, "Flagged", ""))</f>
        <v/>
      </c>
      <c r="AM173" s="329" t="str">
        <f>IFERROR(IF(tblPiNAnalysis512[[#This Row],[Highest Target]]="", "", IF(tblPiNAnalysis512[[#This Row],[Highest sector(s'') Target %]]&gt;=flag_pin_perc, "Flagged", "")), "")</f>
        <v/>
      </c>
      <c r="AN173" s="330" t="str" cm="1">
        <f t="array" ref="AN173">IF(tblPiNAnalysis512[[#This Row],[Highest Target]]=0, "",  IF(OR(COUNTIF(tblPiNAnalysis512[[#This Row],[Highest sector(s)]],tblSubSectorPopulation[Sector])), "Flagged", ""))</f>
        <v/>
      </c>
      <c r="AO173" s="46" t="str" cm="1">
        <f t="array" ref="AO17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73" s="331" t="str" cm="1">
        <f t="array" ref="AP173">IF(tblPiNAnalysis512[[#This Row],[2nd Highest Target]]="", "", _xlfn.TEXTJOIN(CHAR(10), TRUE, IF(tblPiNAnalysis512[[#This Row],[2nd Highest Target]]=tblPiNAnalysis512[[#This Row],[CCCM]:[WASH]], tblPiNAnalysis512[[#Headers],[CCCM]:[WASH]], "")))</f>
        <v/>
      </c>
      <c r="AQ173" s="36" t="str">
        <f>IFERROR(tblPiNAnalysis512[[#This Row],[2nd Highest Target]]/tblPiNAnalysis512[[#This Row],[Affected population projection 2026]], "")</f>
        <v/>
      </c>
      <c r="AR173" s="46" t="str">
        <f>IFERROR(tblPiNAnalysis512[[#This Row],[Highest Target]]-tblPiNAnalysis512[[#This Row],[2nd Highest Target]], "")</f>
        <v/>
      </c>
      <c r="AS173" s="39" t="str">
        <f>IFERROR(((tblPiNAnalysis512[[#This Row],[Highest Target]]-tblPiNAnalysis512[[#This Row],[2nd Highest Target]])/tblPiNAnalysis512[[#This Row],[2nd Highest Target]]),"")</f>
        <v/>
      </c>
      <c r="AT173" s="39" t="str" cm="1">
        <f t="array" ref="AT17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3" s="332" t="str" cm="1">
        <f t="array" ref="AU17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73" s="190" t="str" cm="1">
        <f t="array" ref="AV173">IF(tblPiNAnalysis512[[#This Row],[3rd Highest Target]]="", "", _xlfn.TEXTJOIN(CHAR(10), TRUE, IF(tblPiNAnalysis512[[#This Row],[3rd Highest Target]]=tblPiNAnalysis512[[#This Row],[CCCM]:[WASH]], tblPiNAnalysis512[[#Headers],[CCCM]:[WASH]], "")))</f>
        <v/>
      </c>
      <c r="AW173" s="190" t="str">
        <f>IFERROR(tblPiNAnalysis512[[#This Row],[3rd Highest Target]]/tblPiNAnalysis512[[#This Row],[Affected population projection 2026]], "")</f>
        <v/>
      </c>
      <c r="AX173" s="45" t="str">
        <f>IFERROR(tblPiNAnalysis512[[#This Row],[Highest Target]]-tblPiNAnalysis512[[#This Row],[3rd Highest Target]],"")</f>
        <v/>
      </c>
      <c r="AY173" s="39" t="str">
        <f>IFERROR(tblPiNAnalysis512[[#This Row],[Difference of Target between Highest and 3rd Highest]]/tblPiNAnalysis512[[#This Row],[3rd Highest Target]], "")</f>
        <v/>
      </c>
      <c r="AZ173" s="330" t="str" cm="1">
        <f t="array" ref="AZ17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3" s="300" t="str" cm="1">
        <f t="array" ref="BA17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3" s="333" t="str" cm="1">
        <f t="array" ref="BB17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3" s="276" t="str" cm="1">
        <f t="array" ref="BC17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3" s="334" t="str" cm="1">
        <f t="array" ref="BD17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3" s="277" t="e">
        <f>INDEX(tblSeverityAnalysis[Final Severity], MATCH(tblPiNAnalysis512[[#This Row],[ID]],tblSeverityAnalysis[ID], 0))</f>
        <v>#N/A</v>
      </c>
      <c r="BF173" s="61" t="e">
        <f>IF(tblPiNAnalysis512[[#This Row],[Severity]]&gt;2,tblPiNAnalysis512[[#This Row],[Highest Target]],)</f>
        <v>#N/A</v>
      </c>
      <c r="BG173" s="191"/>
      <c r="BH173" s="192"/>
      <c r="BI173" s="193">
        <f>COUNTIFS(tblPiNAnalysis512[[#This Row],[Number of missing / zero PiNs greater than threshold - Data quality]:[Manual Flag]],"Flagged")</f>
        <v>2</v>
      </c>
      <c r="BJ173" s="96" t="str">
        <f>IF(tblPiNAnalysis512[[#This Row],['# Flags]]&gt;0, "Flagged", "")</f>
        <v>Flagged</v>
      </c>
      <c r="BK173" s="326" t="e">
        <f>tblPiNAnalysis512[[#This Row],[Preliminary Target]]</f>
        <v>#N/A</v>
      </c>
      <c r="BL173" s="331">
        <v>3</v>
      </c>
    </row>
    <row r="174" spans="1:64" x14ac:dyDescent="0.55000000000000004">
      <c r="A1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4" s="316" t="s">
        <v>250</v>
      </c>
      <c r="C174" s="317" t="s">
        <v>251</v>
      </c>
      <c r="D174" s="317" t="s">
        <v>262</v>
      </c>
      <c r="E174" s="105" t="s">
        <v>263</v>
      </c>
      <c r="F174" s="100"/>
      <c r="G174" s="34"/>
      <c r="H174" s="34"/>
      <c r="I174" s="97">
        <v>5555.8571428571404</v>
      </c>
      <c r="J174" s="97" t="s">
        <v>414</v>
      </c>
      <c r="K174" s="318"/>
      <c r="L174" s="319"/>
      <c r="M174" s="319"/>
      <c r="N174" s="319"/>
      <c r="O174" s="319"/>
      <c r="P174" s="319"/>
      <c r="Q174" s="320"/>
      <c r="R174" s="319"/>
      <c r="S174" s="319"/>
      <c r="T174" s="319"/>
      <c r="U174" s="319"/>
      <c r="V174" s="319"/>
      <c r="W174" s="321" t="str">
        <f>IFERROR(IF(tblPiNAnalysis512[[#This Row],[CCCM]]="", "", MROUND(tblPiNAnalysis512[[#This Row],[CCCM]]/tblPiNAnalysis512[[#This Row],[Affected population projection 2026]], 0.05)), "")</f>
        <v/>
      </c>
      <c r="X174" s="322" t="str">
        <f>IFERROR(IF(tblPiNAnalysis512[[#This Row],[Education]]="", "", MROUND(tblPiNAnalysis512[[#This Row],[Education]]/tblPiNAnalysis512[[#This Row],[Affected population projection 2026]], 0.05)), "")</f>
        <v/>
      </c>
      <c r="Y174" s="322" t="str">
        <f>IFERROR(IF(tblPiNAnalysis512[[#This Row],[Nutrition]]="", "", MROUND(tblPiNAnalysis512[[#This Row],[Nutrition]]/tblPiNAnalysis512[[#This Row],[Affected population projection 2026]], 0.05)), "")</f>
        <v/>
      </c>
      <c r="Z174" s="322" t="str">
        <f>IFERROR(IF(tblPiNAnalysis512[[#This Row],[Food Security]]="", "", MROUND(tblPiNAnalysis512[[#This Row],[Food Security]]/tblPiNAnalysis512[[#This Row],[Affected population projection 2026]], 0.05)), "")</f>
        <v/>
      </c>
      <c r="AA174" s="322" t="str">
        <f>IFERROR(IF(tblPiNAnalysis512[[#This Row],[Health]]="", "", MROUND(tblPiNAnalysis512[[#This Row],[Health]]/tblPiNAnalysis512[[#This Row],[Affected population projection 2026]], 0.05)), "")</f>
        <v/>
      </c>
      <c r="AB174" s="323" t="str">
        <f>IFERROR(IF(tblPiNAnalysis512[[#This Row],[Overarching Protection]]="", "", MROUND(tblPiNAnalysis512[[#This Row],[Overarching Protection]]/tblPiNAnalysis512[[#This Row],[Affected population projection 2026]], 0.05)), "")</f>
        <v/>
      </c>
      <c r="AC174" s="323" t="str">
        <f>IFERROR(IF(tblPiNAnalysis512[[#This Row],[Shelter]]="", "", MROUND(tblPiNAnalysis512[[#This Row],[Shelter]]/tblPiNAnalysis512[[#This Row],[Affected population projection 2026]], 0.05)), "")</f>
        <v/>
      </c>
      <c r="AD174" s="324" t="str">
        <f>IFERROR(IF(tblPiNAnalysis512[[#This Row],[WASH]]="", "", MROUND(tblPiNAnalysis512[[#This Row],[WASH]]/tblPiNAnalysis512[[#This Row],[Affected population projection 2026]], 0.05)), "")</f>
        <v/>
      </c>
      <c r="AE174" s="322">
        <f>IFERROR(MROUND(tblPiNAnalysis512[[#This Row],[CP]]/tblPiNAnalysis512[[#This Row],[Affected population projection 2026]], 0.05), "")</f>
        <v>0</v>
      </c>
      <c r="AF174" s="322">
        <f>IFERROR(MROUND(tblPiNAnalysis512[[#This Row],[GBV]]/tblPiNAnalysis512[[#This Row],[Affected population projection 2026]], 0.05), "")</f>
        <v>0</v>
      </c>
      <c r="AG174" s="322">
        <f>IFERROR(MROUND(tblPiNAnalysis512[[#This Row],[Mine Action]]/tblPiNAnalysis512[[#This Row],[Affected population projection 2026]], 0.05), "")</f>
        <v>0</v>
      </c>
      <c r="AH174" s="322">
        <f>IFERROR(MROUND(tblPiNAnalysis512[[#This Row],[HLP]]/tblPiNAnalysis512[[#This Row],[Affected population projection 2026]], 0.05), "")</f>
        <v>0</v>
      </c>
      <c r="AI174" s="325" t="str">
        <f>IFERROR(LARGE(tblPiNAnalysis512[[#This Row],[CCCM]:[WASH]], 1), "")</f>
        <v/>
      </c>
      <c r="AJ174" s="326" t="str" cm="1">
        <f t="array" ref="AJ174">IF(tblPiNAnalysis512[[#This Row],[Highest Target]]="", "", _xlfn.TEXTJOIN(CHAR(10), TRUE, IF(tblPiNAnalysis512[[#This Row],[Highest Target]]=tblPiNAnalysis512[[#This Row],[CCCM]:[WASH]], tblPiNAnalysis512[[#Headers],[CCCM]:[WASH]], "")))</f>
        <v/>
      </c>
      <c r="AK174" s="327" t="str">
        <f>IF(tblPiNAnalysis512[[#This Row],[Highest Target]]="", "", tblPiNAnalysis512[[#This Row],[Highest Target]]/tblPiNAnalysis512[[#This Row],[Affected population projection 2026]])</f>
        <v/>
      </c>
      <c r="AL174" s="328" t="str">
        <f>IF(SUM(tblPiNAnalysis512[[#This Row],[CCCM]:[WASH]])=0, "",IF(COUNTIF(tblPiNAnalysis512[[#This Row],[CCCM]:[WASH]],"=0")+COUNTIF(tblPiNAnalysis512[[#This Row],[CCCM]:[WASH]],"")&gt;=zero_pin_thresh, "Flagged", ""))</f>
        <v/>
      </c>
      <c r="AM174" s="329" t="str">
        <f>IFERROR(IF(tblPiNAnalysis512[[#This Row],[Highest Target]]="", "", IF(tblPiNAnalysis512[[#This Row],[Highest sector(s'') Target %]]&gt;=flag_pin_perc, "Flagged", "")), "")</f>
        <v/>
      </c>
      <c r="AN174" s="330" t="str" cm="1">
        <f t="array" ref="AN174">IF(tblPiNAnalysis512[[#This Row],[Highest Target]]=0, "",  IF(OR(COUNTIF(tblPiNAnalysis512[[#This Row],[Highest sector(s)]],tblSubSectorPopulation[Sector])), "Flagged", ""))</f>
        <v/>
      </c>
      <c r="AO174" s="46" t="str" cm="1">
        <f t="array" ref="AO17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74" s="331" t="str" cm="1">
        <f t="array" ref="AP174">IF(tblPiNAnalysis512[[#This Row],[2nd Highest Target]]="", "", _xlfn.TEXTJOIN(CHAR(10), TRUE, IF(tblPiNAnalysis512[[#This Row],[2nd Highest Target]]=tblPiNAnalysis512[[#This Row],[CCCM]:[WASH]], tblPiNAnalysis512[[#Headers],[CCCM]:[WASH]], "")))</f>
        <v/>
      </c>
      <c r="AQ174" s="36" t="str">
        <f>IFERROR(tblPiNAnalysis512[[#This Row],[2nd Highest Target]]/tblPiNAnalysis512[[#This Row],[Affected population projection 2026]], "")</f>
        <v/>
      </c>
      <c r="AR174" s="46" t="str">
        <f>IFERROR(tblPiNAnalysis512[[#This Row],[Highest Target]]-tblPiNAnalysis512[[#This Row],[2nd Highest Target]], "")</f>
        <v/>
      </c>
      <c r="AS174" s="39" t="str">
        <f>IFERROR(((tblPiNAnalysis512[[#This Row],[Highest Target]]-tblPiNAnalysis512[[#This Row],[2nd Highest Target]])/tblPiNAnalysis512[[#This Row],[2nd Highest Target]]),"")</f>
        <v/>
      </c>
      <c r="AT174" s="39" t="str" cm="1">
        <f t="array" ref="AT17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4" s="332" t="str" cm="1">
        <f t="array" ref="AU17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74" s="190" t="str" cm="1">
        <f t="array" ref="AV174">IF(tblPiNAnalysis512[[#This Row],[3rd Highest Target]]="", "", _xlfn.TEXTJOIN(CHAR(10), TRUE, IF(tblPiNAnalysis512[[#This Row],[3rd Highest Target]]=tblPiNAnalysis512[[#This Row],[CCCM]:[WASH]], tblPiNAnalysis512[[#Headers],[CCCM]:[WASH]], "")))</f>
        <v/>
      </c>
      <c r="AW174" s="190" t="str">
        <f>IFERROR(tblPiNAnalysis512[[#This Row],[3rd Highest Target]]/tblPiNAnalysis512[[#This Row],[Affected population projection 2026]], "")</f>
        <v/>
      </c>
      <c r="AX174" s="45" t="str">
        <f>IFERROR(tblPiNAnalysis512[[#This Row],[Highest Target]]-tblPiNAnalysis512[[#This Row],[3rd Highest Target]],"")</f>
        <v/>
      </c>
      <c r="AY174" s="39" t="str">
        <f>IFERROR(tblPiNAnalysis512[[#This Row],[Difference of Target between Highest and 3rd Highest]]/tblPiNAnalysis512[[#This Row],[3rd Highest Target]], "")</f>
        <v/>
      </c>
      <c r="AZ174" s="330" t="str" cm="1">
        <f t="array" ref="AZ17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4" s="300" t="str" cm="1">
        <f t="array" ref="BA17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4" s="333" t="str" cm="1">
        <f t="array" ref="BB17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4" s="276" t="str" cm="1">
        <f t="array" ref="BC17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4" s="334" t="str" cm="1">
        <f t="array" ref="BD17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4" s="277" t="e">
        <f>INDEX(tblSeverityAnalysis[Final Severity], MATCH(tblPiNAnalysis512[[#This Row],[ID]],tblSeverityAnalysis[ID], 0))</f>
        <v>#N/A</v>
      </c>
      <c r="BF174" s="61" t="e">
        <f>IF(tblPiNAnalysis512[[#This Row],[Severity]]&gt;2,tblPiNAnalysis512[[#This Row],[Highest Target]],)</f>
        <v>#N/A</v>
      </c>
      <c r="BG174" s="191"/>
      <c r="BH174" s="192"/>
      <c r="BI174" s="193">
        <f>COUNTIFS(tblPiNAnalysis512[[#This Row],[Number of missing / zero PiNs greater than threshold - Data quality]:[Manual Flag]],"Flagged")</f>
        <v>2</v>
      </c>
      <c r="BJ174" s="96" t="str">
        <f>IF(tblPiNAnalysis512[[#This Row],['# Flags]]&gt;0, "Flagged", "")</f>
        <v>Flagged</v>
      </c>
      <c r="BK174" s="326" t="e">
        <f>tblPiNAnalysis512[[#This Row],[Preliminary Target]]</f>
        <v>#N/A</v>
      </c>
      <c r="BL174" s="331">
        <v>3</v>
      </c>
    </row>
    <row r="175" spans="1:64" ht="110.7" x14ac:dyDescent="0.55000000000000004">
      <c r="A1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5" s="316" t="s">
        <v>250</v>
      </c>
      <c r="C175" s="317" t="s">
        <v>251</v>
      </c>
      <c r="D175" s="317" t="s">
        <v>264</v>
      </c>
      <c r="E175" s="105" t="s">
        <v>265</v>
      </c>
      <c r="F175" s="100"/>
      <c r="G175" s="34"/>
      <c r="H175" s="34"/>
      <c r="I175" s="97">
        <v>33159.142857142899</v>
      </c>
      <c r="J175" s="97" t="s">
        <v>414</v>
      </c>
      <c r="K175" s="318">
        <v>0</v>
      </c>
      <c r="L175" s="319">
        <v>0</v>
      </c>
      <c r="M175" s="319">
        <v>0</v>
      </c>
      <c r="N175" s="319">
        <v>0</v>
      </c>
      <c r="O175" s="319">
        <v>0</v>
      </c>
      <c r="P175" s="319">
        <v>0</v>
      </c>
      <c r="Q175" s="320">
        <v>0</v>
      </c>
      <c r="R175" s="319">
        <v>0</v>
      </c>
      <c r="S175" s="319"/>
      <c r="T175" s="319"/>
      <c r="U175" s="319"/>
      <c r="V175" s="319"/>
      <c r="W175" s="321">
        <f>IFERROR(IF(tblPiNAnalysis512[[#This Row],[CCCM]]="", "", MROUND(tblPiNAnalysis512[[#This Row],[CCCM]]/tblPiNAnalysis512[[#This Row],[Affected population projection 2026]], 0.05)), "")</f>
        <v>0</v>
      </c>
      <c r="X175" s="322">
        <f>IFERROR(IF(tblPiNAnalysis512[[#This Row],[Education]]="", "", MROUND(tblPiNAnalysis512[[#This Row],[Education]]/tblPiNAnalysis512[[#This Row],[Affected population projection 2026]], 0.05)), "")</f>
        <v>0</v>
      </c>
      <c r="Y175" s="322">
        <f>IFERROR(IF(tblPiNAnalysis512[[#This Row],[Nutrition]]="", "", MROUND(tblPiNAnalysis512[[#This Row],[Nutrition]]/tblPiNAnalysis512[[#This Row],[Affected population projection 2026]], 0.05)), "")</f>
        <v>0</v>
      </c>
      <c r="Z175" s="322">
        <f>IFERROR(IF(tblPiNAnalysis512[[#This Row],[Food Security]]="", "", MROUND(tblPiNAnalysis512[[#This Row],[Food Security]]/tblPiNAnalysis512[[#This Row],[Affected population projection 2026]], 0.05)), "")</f>
        <v>0</v>
      </c>
      <c r="AA175" s="322">
        <f>IFERROR(IF(tblPiNAnalysis512[[#This Row],[Health]]="", "", MROUND(tblPiNAnalysis512[[#This Row],[Health]]/tblPiNAnalysis512[[#This Row],[Affected population projection 2026]], 0.05)), "")</f>
        <v>0</v>
      </c>
      <c r="AB175" s="323">
        <f>IFERROR(IF(tblPiNAnalysis512[[#This Row],[Overarching Protection]]="", "", MROUND(tblPiNAnalysis512[[#This Row],[Overarching Protection]]/tblPiNAnalysis512[[#This Row],[Affected population projection 2026]], 0.05)), "")</f>
        <v>0</v>
      </c>
      <c r="AC175" s="323">
        <f>IFERROR(IF(tblPiNAnalysis512[[#This Row],[Shelter]]="", "", MROUND(tblPiNAnalysis512[[#This Row],[Shelter]]/tblPiNAnalysis512[[#This Row],[Affected population projection 2026]], 0.05)), "")</f>
        <v>0</v>
      </c>
      <c r="AD175" s="324">
        <f>IFERROR(IF(tblPiNAnalysis512[[#This Row],[WASH]]="", "", MROUND(tblPiNAnalysis512[[#This Row],[WASH]]/tblPiNAnalysis512[[#This Row],[Affected population projection 2026]], 0.05)), "")</f>
        <v>0</v>
      </c>
      <c r="AE175" s="322">
        <f>IFERROR(MROUND(tblPiNAnalysis512[[#This Row],[CP]]/tblPiNAnalysis512[[#This Row],[Affected population projection 2026]], 0.05), "")</f>
        <v>0</v>
      </c>
      <c r="AF175" s="322">
        <f>IFERROR(MROUND(tblPiNAnalysis512[[#This Row],[GBV]]/tblPiNAnalysis512[[#This Row],[Affected population projection 2026]], 0.05), "")</f>
        <v>0</v>
      </c>
      <c r="AG175" s="322">
        <f>IFERROR(MROUND(tblPiNAnalysis512[[#This Row],[Mine Action]]/tblPiNAnalysis512[[#This Row],[Affected population projection 2026]], 0.05), "")</f>
        <v>0</v>
      </c>
      <c r="AH175" s="322">
        <f>IFERROR(MROUND(tblPiNAnalysis512[[#This Row],[HLP]]/tblPiNAnalysis512[[#This Row],[Affected population projection 2026]], 0.05), "")</f>
        <v>0</v>
      </c>
      <c r="AI175" s="325">
        <f>IFERROR(LARGE(tblPiNAnalysis512[[#This Row],[CCCM]:[WASH]], 1), "")</f>
        <v>0</v>
      </c>
      <c r="AJ175" s="326" t="str" cm="1">
        <f t="array" ref="AJ175">IF(tblPiNAnalysis512[[#This Row],[Highest Target]]="", "", _xlfn.TEXTJOIN(CHAR(10), TRUE, IF(tblPiNAnalysis512[[#This Row],[Highest Target]]=tblPiNAnalysis512[[#This Row],[CCCM]:[WASH]], tblPiNAnalysis512[[#Headers],[CCCM]:[WASH]], "")))</f>
        <v>CCCM
Education
Nutrition
Food Security
Health
Overarching Protection
Shelter
WASH</v>
      </c>
      <c r="AK175" s="327">
        <f>IF(tblPiNAnalysis512[[#This Row],[Highest Target]]="", "", tblPiNAnalysis512[[#This Row],[Highest Target]]/tblPiNAnalysis512[[#This Row],[Affected population projection 2026]])</f>
        <v>0</v>
      </c>
      <c r="AL175" s="328" t="str">
        <f>IF(SUM(tblPiNAnalysis512[[#This Row],[CCCM]:[WASH]])=0, "",IF(COUNTIF(tblPiNAnalysis512[[#This Row],[CCCM]:[WASH]],"=0")+COUNTIF(tblPiNAnalysis512[[#This Row],[CCCM]:[WASH]],"")&gt;=zero_pin_thresh, "Flagged", ""))</f>
        <v/>
      </c>
      <c r="AM175" s="329" t="str">
        <f>IFERROR(IF(tblPiNAnalysis512[[#This Row],[Highest Target]]="", "", IF(tblPiNAnalysis512[[#This Row],[Highest sector(s'') Target %]]&gt;=flag_pin_perc, "Flagged", "")), "")</f>
        <v/>
      </c>
      <c r="AN175" s="330" t="str" cm="1">
        <f t="array" ref="AN175">IF(tblPiNAnalysis512[[#This Row],[Highest Target]]=0, "",  IF(OR(COUNTIF(tblPiNAnalysis512[[#This Row],[Highest sector(s)]],tblSubSectorPopulation[Sector])), "Flagged", ""))</f>
        <v/>
      </c>
      <c r="AO175" s="46" cm="1">
        <f t="array" ref="AO17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75" s="331" t="str" cm="1">
        <f t="array" ref="AP175">IF(tblPiNAnalysis512[[#This Row],[2nd Highest Target]]="", "", _xlfn.TEXTJOIN(CHAR(10), TRUE, IF(tblPiNAnalysis512[[#This Row],[2nd Highest Target]]=tblPiNAnalysis512[[#This Row],[CCCM]:[WASH]], tblPiNAnalysis512[[#Headers],[CCCM]:[WASH]], "")))</f>
        <v>CCCM
Education
Nutrition
Food Security
Health
Overarching Protection
Shelter
WASH</v>
      </c>
      <c r="AQ175" s="36">
        <f>IFERROR(tblPiNAnalysis512[[#This Row],[2nd Highest Target]]/tblPiNAnalysis512[[#This Row],[Affected population projection 2026]], "")</f>
        <v>0</v>
      </c>
      <c r="AR175" s="46">
        <f>IFERROR(tblPiNAnalysis512[[#This Row],[Highest Target]]-tblPiNAnalysis512[[#This Row],[2nd Highest Target]], "")</f>
        <v>0</v>
      </c>
      <c r="AS175" s="39" t="str">
        <f>IFERROR(((tblPiNAnalysis512[[#This Row],[Highest Target]]-tblPiNAnalysis512[[#This Row],[2nd Highest Target]])/tblPiNAnalysis512[[#This Row],[2nd Highest Target]]),"")</f>
        <v/>
      </c>
      <c r="AT175" s="39" t="str" cm="1">
        <f t="array" ref="AT17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5" s="332" cm="1">
        <f t="array" ref="AU17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75" s="190" t="str" cm="1">
        <f t="array" ref="AV175">IF(tblPiNAnalysis512[[#This Row],[3rd Highest Target]]="", "", _xlfn.TEXTJOIN(CHAR(10), TRUE, IF(tblPiNAnalysis512[[#This Row],[3rd Highest Target]]=tblPiNAnalysis512[[#This Row],[CCCM]:[WASH]], tblPiNAnalysis512[[#Headers],[CCCM]:[WASH]], "")))</f>
        <v>CCCM
Education
Nutrition
Food Security
Health
Overarching Protection
Shelter
WASH</v>
      </c>
      <c r="AW175" s="190">
        <f>IFERROR(tblPiNAnalysis512[[#This Row],[3rd Highest Target]]/tblPiNAnalysis512[[#This Row],[Affected population projection 2026]], "")</f>
        <v>0</v>
      </c>
      <c r="AX175" s="45">
        <f>IFERROR(tblPiNAnalysis512[[#This Row],[Highest Target]]-tblPiNAnalysis512[[#This Row],[3rd Highest Target]],"")</f>
        <v>0</v>
      </c>
      <c r="AY175" s="39" t="str">
        <f>IFERROR(tblPiNAnalysis512[[#This Row],[Difference of Target between Highest and 3rd Highest]]/tblPiNAnalysis512[[#This Row],[3rd Highest Target]], "")</f>
        <v/>
      </c>
      <c r="AZ175" s="330" t="str" cm="1">
        <f t="array" ref="AZ17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5" s="300" t="str" cm="1">
        <f t="array" ref="BA17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5" s="333" t="str" cm="1">
        <f t="array" ref="BB17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5" s="276" t="str" cm="1">
        <f t="array" ref="BC17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5" s="334" t="str" cm="1">
        <f t="array" ref="BD17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5" s="277" t="e">
        <f>INDEX(tblSeverityAnalysis[Final Severity], MATCH(tblPiNAnalysis512[[#This Row],[ID]],tblSeverityAnalysis[ID], 0))</f>
        <v>#N/A</v>
      </c>
      <c r="BF175" s="61" t="e">
        <f>IF(tblPiNAnalysis512[[#This Row],[Severity]]&gt;2,tblPiNAnalysis512[[#This Row],[Highest Target]],)</f>
        <v>#N/A</v>
      </c>
      <c r="BG175" s="191"/>
      <c r="BH175" s="192"/>
      <c r="BI175" s="193">
        <f>COUNTIFS(tblPiNAnalysis512[[#This Row],[Number of missing / zero PiNs greater than threshold - Data quality]:[Manual Flag]],"Flagged")</f>
        <v>2</v>
      </c>
      <c r="BJ175" s="96" t="str">
        <f>IF(tblPiNAnalysis512[[#This Row],['# Flags]]&gt;0, "Flagged", "")</f>
        <v>Flagged</v>
      </c>
      <c r="BK175" s="326" t="e">
        <f>tblPiNAnalysis512[[#This Row],[Preliminary Target]]</f>
        <v>#N/A</v>
      </c>
      <c r="BL175" s="331">
        <v>4</v>
      </c>
    </row>
    <row r="176" spans="1:64" ht="110.7" x14ac:dyDescent="0.55000000000000004">
      <c r="A1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6" s="316" t="s">
        <v>250</v>
      </c>
      <c r="C176" s="317" t="s">
        <v>251</v>
      </c>
      <c r="D176" s="317" t="s">
        <v>266</v>
      </c>
      <c r="E176" s="105" t="s">
        <v>267</v>
      </c>
      <c r="F176" s="100"/>
      <c r="G176" s="34"/>
      <c r="H176" s="34"/>
      <c r="I176" s="97">
        <v>9209.5714285714294</v>
      </c>
      <c r="J176" s="97" t="s">
        <v>414</v>
      </c>
      <c r="K176" s="318">
        <v>0</v>
      </c>
      <c r="L176" s="319">
        <v>0</v>
      </c>
      <c r="M176" s="319">
        <v>0</v>
      </c>
      <c r="N176" s="319">
        <v>0</v>
      </c>
      <c r="O176" s="319">
        <v>0</v>
      </c>
      <c r="P176" s="319">
        <v>0</v>
      </c>
      <c r="Q176" s="320">
        <v>0</v>
      </c>
      <c r="R176" s="319">
        <v>0</v>
      </c>
      <c r="S176" s="319"/>
      <c r="T176" s="319"/>
      <c r="U176" s="319"/>
      <c r="V176" s="319"/>
      <c r="W176" s="321">
        <f>IFERROR(IF(tblPiNAnalysis512[[#This Row],[CCCM]]="", "", MROUND(tblPiNAnalysis512[[#This Row],[CCCM]]/tblPiNAnalysis512[[#This Row],[Affected population projection 2026]], 0.05)), "")</f>
        <v>0</v>
      </c>
      <c r="X176" s="322">
        <f>IFERROR(IF(tblPiNAnalysis512[[#This Row],[Education]]="", "", MROUND(tblPiNAnalysis512[[#This Row],[Education]]/tblPiNAnalysis512[[#This Row],[Affected population projection 2026]], 0.05)), "")</f>
        <v>0</v>
      </c>
      <c r="Y176" s="322">
        <f>IFERROR(IF(tblPiNAnalysis512[[#This Row],[Nutrition]]="", "", MROUND(tblPiNAnalysis512[[#This Row],[Nutrition]]/tblPiNAnalysis512[[#This Row],[Affected population projection 2026]], 0.05)), "")</f>
        <v>0</v>
      </c>
      <c r="Z176" s="322">
        <f>IFERROR(IF(tblPiNAnalysis512[[#This Row],[Food Security]]="", "", MROUND(tblPiNAnalysis512[[#This Row],[Food Security]]/tblPiNAnalysis512[[#This Row],[Affected population projection 2026]], 0.05)), "")</f>
        <v>0</v>
      </c>
      <c r="AA176" s="322">
        <f>IFERROR(IF(tblPiNAnalysis512[[#This Row],[Health]]="", "", MROUND(tblPiNAnalysis512[[#This Row],[Health]]/tblPiNAnalysis512[[#This Row],[Affected population projection 2026]], 0.05)), "")</f>
        <v>0</v>
      </c>
      <c r="AB176" s="323">
        <f>IFERROR(IF(tblPiNAnalysis512[[#This Row],[Overarching Protection]]="", "", MROUND(tblPiNAnalysis512[[#This Row],[Overarching Protection]]/tblPiNAnalysis512[[#This Row],[Affected population projection 2026]], 0.05)), "")</f>
        <v>0</v>
      </c>
      <c r="AC176" s="323">
        <f>IFERROR(IF(tblPiNAnalysis512[[#This Row],[Shelter]]="", "", MROUND(tblPiNAnalysis512[[#This Row],[Shelter]]/tblPiNAnalysis512[[#This Row],[Affected population projection 2026]], 0.05)), "")</f>
        <v>0</v>
      </c>
      <c r="AD176" s="324">
        <f>IFERROR(IF(tblPiNAnalysis512[[#This Row],[WASH]]="", "", MROUND(tblPiNAnalysis512[[#This Row],[WASH]]/tblPiNAnalysis512[[#This Row],[Affected population projection 2026]], 0.05)), "")</f>
        <v>0</v>
      </c>
      <c r="AE176" s="322">
        <f>IFERROR(MROUND(tblPiNAnalysis512[[#This Row],[CP]]/tblPiNAnalysis512[[#This Row],[Affected population projection 2026]], 0.05), "")</f>
        <v>0</v>
      </c>
      <c r="AF176" s="322">
        <f>IFERROR(MROUND(tblPiNAnalysis512[[#This Row],[GBV]]/tblPiNAnalysis512[[#This Row],[Affected population projection 2026]], 0.05), "")</f>
        <v>0</v>
      </c>
      <c r="AG176" s="322">
        <f>IFERROR(MROUND(tblPiNAnalysis512[[#This Row],[Mine Action]]/tblPiNAnalysis512[[#This Row],[Affected population projection 2026]], 0.05), "")</f>
        <v>0</v>
      </c>
      <c r="AH176" s="322">
        <f>IFERROR(MROUND(tblPiNAnalysis512[[#This Row],[HLP]]/tblPiNAnalysis512[[#This Row],[Affected population projection 2026]], 0.05), "")</f>
        <v>0</v>
      </c>
      <c r="AI176" s="325">
        <f>IFERROR(LARGE(tblPiNAnalysis512[[#This Row],[CCCM]:[WASH]], 1), "")</f>
        <v>0</v>
      </c>
      <c r="AJ176" s="326" t="str" cm="1">
        <f t="array" ref="AJ176">IF(tblPiNAnalysis512[[#This Row],[Highest Target]]="", "", _xlfn.TEXTJOIN(CHAR(10), TRUE, IF(tblPiNAnalysis512[[#This Row],[Highest Target]]=tblPiNAnalysis512[[#This Row],[CCCM]:[WASH]], tblPiNAnalysis512[[#Headers],[CCCM]:[WASH]], "")))</f>
        <v>CCCM
Education
Nutrition
Food Security
Health
Overarching Protection
Shelter
WASH</v>
      </c>
      <c r="AK176" s="327">
        <f>IF(tblPiNAnalysis512[[#This Row],[Highest Target]]="", "", tblPiNAnalysis512[[#This Row],[Highest Target]]/tblPiNAnalysis512[[#This Row],[Affected population projection 2026]])</f>
        <v>0</v>
      </c>
      <c r="AL176" s="328" t="str">
        <f>IF(SUM(tblPiNAnalysis512[[#This Row],[CCCM]:[WASH]])=0, "",IF(COUNTIF(tblPiNAnalysis512[[#This Row],[CCCM]:[WASH]],"=0")+COUNTIF(tblPiNAnalysis512[[#This Row],[CCCM]:[WASH]],"")&gt;=zero_pin_thresh, "Flagged", ""))</f>
        <v/>
      </c>
      <c r="AM176" s="329" t="str">
        <f>IFERROR(IF(tblPiNAnalysis512[[#This Row],[Highest Target]]="", "", IF(tblPiNAnalysis512[[#This Row],[Highest sector(s'') Target %]]&gt;=flag_pin_perc, "Flagged", "")), "")</f>
        <v/>
      </c>
      <c r="AN176" s="330" t="str" cm="1">
        <f t="array" ref="AN176">IF(tblPiNAnalysis512[[#This Row],[Highest Target]]=0, "",  IF(OR(COUNTIF(tblPiNAnalysis512[[#This Row],[Highest sector(s)]],tblSubSectorPopulation[Sector])), "Flagged", ""))</f>
        <v/>
      </c>
      <c r="AO176" s="46" cm="1">
        <f t="array" ref="AO17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76" s="331" t="str" cm="1">
        <f t="array" ref="AP176">IF(tblPiNAnalysis512[[#This Row],[2nd Highest Target]]="", "", _xlfn.TEXTJOIN(CHAR(10), TRUE, IF(tblPiNAnalysis512[[#This Row],[2nd Highest Target]]=tblPiNAnalysis512[[#This Row],[CCCM]:[WASH]], tblPiNAnalysis512[[#Headers],[CCCM]:[WASH]], "")))</f>
        <v>CCCM
Education
Nutrition
Food Security
Health
Overarching Protection
Shelter
WASH</v>
      </c>
      <c r="AQ176" s="36">
        <f>IFERROR(tblPiNAnalysis512[[#This Row],[2nd Highest Target]]/tblPiNAnalysis512[[#This Row],[Affected population projection 2026]], "")</f>
        <v>0</v>
      </c>
      <c r="AR176" s="46">
        <f>IFERROR(tblPiNAnalysis512[[#This Row],[Highest Target]]-tblPiNAnalysis512[[#This Row],[2nd Highest Target]], "")</f>
        <v>0</v>
      </c>
      <c r="AS176" s="39" t="str">
        <f>IFERROR(((tblPiNAnalysis512[[#This Row],[Highest Target]]-tblPiNAnalysis512[[#This Row],[2nd Highest Target]])/tblPiNAnalysis512[[#This Row],[2nd Highest Target]]),"")</f>
        <v/>
      </c>
      <c r="AT176" s="39" t="str" cm="1">
        <f t="array" ref="AT17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6" s="332" cm="1">
        <f t="array" ref="AU17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76" s="190" t="str" cm="1">
        <f t="array" ref="AV176">IF(tblPiNAnalysis512[[#This Row],[3rd Highest Target]]="", "", _xlfn.TEXTJOIN(CHAR(10), TRUE, IF(tblPiNAnalysis512[[#This Row],[3rd Highest Target]]=tblPiNAnalysis512[[#This Row],[CCCM]:[WASH]], tblPiNAnalysis512[[#Headers],[CCCM]:[WASH]], "")))</f>
        <v>CCCM
Education
Nutrition
Food Security
Health
Overarching Protection
Shelter
WASH</v>
      </c>
      <c r="AW176" s="190">
        <f>IFERROR(tblPiNAnalysis512[[#This Row],[3rd Highest Target]]/tblPiNAnalysis512[[#This Row],[Affected population projection 2026]], "")</f>
        <v>0</v>
      </c>
      <c r="AX176" s="45">
        <f>IFERROR(tblPiNAnalysis512[[#This Row],[Highest Target]]-tblPiNAnalysis512[[#This Row],[3rd Highest Target]],"")</f>
        <v>0</v>
      </c>
      <c r="AY176" s="39" t="str">
        <f>IFERROR(tblPiNAnalysis512[[#This Row],[Difference of Target between Highest and 3rd Highest]]/tblPiNAnalysis512[[#This Row],[3rd Highest Target]], "")</f>
        <v/>
      </c>
      <c r="AZ176" s="330" t="str" cm="1">
        <f t="array" ref="AZ17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6" s="300" t="str" cm="1">
        <f t="array" ref="BA17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6" s="333" t="str" cm="1">
        <f t="array" ref="BB17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6" s="276" t="str" cm="1">
        <f t="array" ref="BC17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6" s="334" t="str" cm="1">
        <f t="array" ref="BD17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6" s="277" t="e">
        <f>INDEX(tblSeverityAnalysis[Final Severity], MATCH(tblPiNAnalysis512[[#This Row],[ID]],tblSeverityAnalysis[ID], 0))</f>
        <v>#N/A</v>
      </c>
      <c r="BF176" s="61" t="e">
        <f>IF(tblPiNAnalysis512[[#This Row],[Severity]]&gt;2,tblPiNAnalysis512[[#This Row],[Highest Target]],)</f>
        <v>#N/A</v>
      </c>
      <c r="BG176" s="191"/>
      <c r="BH176" s="192"/>
      <c r="BI176" s="193">
        <f>COUNTIFS(tblPiNAnalysis512[[#This Row],[Number of missing / zero PiNs greater than threshold - Data quality]:[Manual Flag]],"Flagged")</f>
        <v>2</v>
      </c>
      <c r="BJ176" s="96" t="str">
        <f>IF(tblPiNAnalysis512[[#This Row],['# Flags]]&gt;0, "Flagged", "")</f>
        <v>Flagged</v>
      </c>
      <c r="BK176" s="326" t="e">
        <f>tblPiNAnalysis512[[#This Row],[Preliminary Target]]</f>
        <v>#N/A</v>
      </c>
      <c r="BL176" s="331">
        <v>4</v>
      </c>
    </row>
    <row r="177" spans="1:64" x14ac:dyDescent="0.55000000000000004">
      <c r="A1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7" s="316" t="s">
        <v>268</v>
      </c>
      <c r="C177" s="317" t="s">
        <v>269</v>
      </c>
      <c r="D177" s="317" t="s">
        <v>270</v>
      </c>
      <c r="E177" s="105" t="s">
        <v>271</v>
      </c>
      <c r="F177" s="100"/>
      <c r="G177" s="34"/>
      <c r="H177" s="34"/>
      <c r="I177" s="97">
        <v>6904.2601395402035</v>
      </c>
      <c r="J177" s="97" t="s">
        <v>414</v>
      </c>
      <c r="K177" s="318">
        <v>16657</v>
      </c>
      <c r="L177" s="319">
        <v>1361.7410358417935</v>
      </c>
      <c r="M177" s="319">
        <v>1801.3765715273275</v>
      </c>
      <c r="N177" s="319">
        <v>3355.8925562211812</v>
      </c>
      <c r="O177" s="319">
        <v>3326.3255614655754</v>
      </c>
      <c r="P177" s="319">
        <v>3361.224191467054</v>
      </c>
      <c r="Q177" s="320">
        <v>4832.9820976781421</v>
      </c>
      <c r="R177" s="319">
        <v>1182.6741905693866</v>
      </c>
      <c r="S177" s="319"/>
      <c r="T177" s="319"/>
      <c r="U177" s="319"/>
      <c r="V177" s="319"/>
      <c r="W177" s="321">
        <f>IFERROR(IF(tblPiNAnalysis512[[#This Row],[CCCM]]="", "", MROUND(tblPiNAnalysis512[[#This Row],[CCCM]]/tblPiNAnalysis512[[#This Row],[Affected population projection 2026]], 0.05)), "")</f>
        <v>2.4000000000000004</v>
      </c>
      <c r="X177" s="322">
        <f>IFERROR(IF(tblPiNAnalysis512[[#This Row],[Education]]="", "", MROUND(tblPiNAnalysis512[[#This Row],[Education]]/tblPiNAnalysis512[[#This Row],[Affected population projection 2026]], 0.05)), "")</f>
        <v>0.2</v>
      </c>
      <c r="Y177" s="322">
        <f>IFERROR(IF(tblPiNAnalysis512[[#This Row],[Nutrition]]="", "", MROUND(tblPiNAnalysis512[[#This Row],[Nutrition]]/tblPiNAnalysis512[[#This Row],[Affected population projection 2026]], 0.05)), "")</f>
        <v>0.25</v>
      </c>
      <c r="Z177" s="322">
        <f>IFERROR(IF(tblPiNAnalysis512[[#This Row],[Food Security]]="", "", MROUND(tblPiNAnalysis512[[#This Row],[Food Security]]/tblPiNAnalysis512[[#This Row],[Affected population projection 2026]], 0.05)), "")</f>
        <v>0.5</v>
      </c>
      <c r="AA177" s="322">
        <f>IFERROR(IF(tblPiNAnalysis512[[#This Row],[Health]]="", "", MROUND(tblPiNAnalysis512[[#This Row],[Health]]/tblPiNAnalysis512[[#This Row],[Affected population projection 2026]], 0.05)), "")</f>
        <v>0.5</v>
      </c>
      <c r="AB177" s="323">
        <f>IFERROR(IF(tblPiNAnalysis512[[#This Row],[Overarching Protection]]="", "", MROUND(tblPiNAnalysis512[[#This Row],[Overarching Protection]]/tblPiNAnalysis512[[#This Row],[Affected population projection 2026]], 0.05)), "")</f>
        <v>0.5</v>
      </c>
      <c r="AC177" s="323">
        <f>IFERROR(IF(tblPiNAnalysis512[[#This Row],[Shelter]]="", "", MROUND(tblPiNAnalysis512[[#This Row],[Shelter]]/tblPiNAnalysis512[[#This Row],[Affected population projection 2026]], 0.05)), "")</f>
        <v>0.70000000000000007</v>
      </c>
      <c r="AD177" s="324">
        <f>IFERROR(IF(tblPiNAnalysis512[[#This Row],[WASH]]="", "", MROUND(tblPiNAnalysis512[[#This Row],[WASH]]/tblPiNAnalysis512[[#This Row],[Affected population projection 2026]], 0.05)), "")</f>
        <v>0.15000000000000002</v>
      </c>
      <c r="AE177" s="322">
        <f>IFERROR(MROUND(tblPiNAnalysis512[[#This Row],[CP]]/tblPiNAnalysis512[[#This Row],[Affected population projection 2026]], 0.05), "")</f>
        <v>0</v>
      </c>
      <c r="AF177" s="322">
        <f>IFERROR(MROUND(tblPiNAnalysis512[[#This Row],[GBV]]/tblPiNAnalysis512[[#This Row],[Affected population projection 2026]], 0.05), "")</f>
        <v>0</v>
      </c>
      <c r="AG177" s="322">
        <f>IFERROR(MROUND(tblPiNAnalysis512[[#This Row],[Mine Action]]/tblPiNAnalysis512[[#This Row],[Affected population projection 2026]], 0.05), "")</f>
        <v>0</v>
      </c>
      <c r="AH177" s="322">
        <f>IFERROR(MROUND(tblPiNAnalysis512[[#This Row],[HLP]]/tblPiNAnalysis512[[#This Row],[Affected population projection 2026]], 0.05), "")</f>
        <v>0</v>
      </c>
      <c r="AI177" s="325">
        <f>IFERROR(LARGE(tblPiNAnalysis512[[#This Row],[CCCM]:[WASH]], 1), "")</f>
        <v>16657</v>
      </c>
      <c r="AJ177" s="326" t="str" cm="1">
        <f t="array" ref="AJ177">IF(tblPiNAnalysis512[[#This Row],[Highest Target]]="", "", _xlfn.TEXTJOIN(CHAR(10), TRUE, IF(tblPiNAnalysis512[[#This Row],[Highest Target]]=tblPiNAnalysis512[[#This Row],[CCCM]:[WASH]], tblPiNAnalysis512[[#Headers],[CCCM]:[WASH]], "")))</f>
        <v>CCCM</v>
      </c>
      <c r="AK177" s="327">
        <f>IF(tblPiNAnalysis512[[#This Row],[Highest Target]]="", "", tblPiNAnalysis512[[#This Row],[Highest Target]]/tblPiNAnalysis512[[#This Row],[Affected population projection 2026]])</f>
        <v>2.4125684234588083</v>
      </c>
      <c r="AL177" s="328" t="str">
        <f>IF(SUM(tblPiNAnalysis512[[#This Row],[CCCM]:[WASH]])=0, "",IF(COUNTIF(tblPiNAnalysis512[[#This Row],[CCCM]:[WASH]],"=0")+COUNTIF(tblPiNAnalysis512[[#This Row],[CCCM]:[WASH]],"")&gt;=zero_pin_thresh, "Flagged", ""))</f>
        <v/>
      </c>
      <c r="AM177" s="329" t="str">
        <f>IFERROR(IF(tblPiNAnalysis512[[#This Row],[Highest Target]]="", "", IF(tblPiNAnalysis512[[#This Row],[Highest sector(s'') Target %]]&gt;=flag_pin_perc, "Flagged", "")), "")</f>
        <v>Flagged</v>
      </c>
      <c r="AN177" s="330" t="str" cm="1">
        <f t="array" ref="AN177">IF(tblPiNAnalysis512[[#This Row],[Highest Target]]=0, "",  IF(OR(COUNTIF(tblPiNAnalysis512[[#This Row],[Highest sector(s)]],tblSubSectorPopulation[Sector])), "Flagged", ""))</f>
        <v/>
      </c>
      <c r="AO177" s="46" cm="1">
        <f t="array" ref="AO17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4832.9820976781421</v>
      </c>
      <c r="AP177" s="331" t="str" cm="1">
        <f t="array" ref="AP177">IF(tblPiNAnalysis512[[#This Row],[2nd Highest Target]]="", "", _xlfn.TEXTJOIN(CHAR(10), TRUE, IF(tblPiNAnalysis512[[#This Row],[2nd Highest Target]]=tblPiNAnalysis512[[#This Row],[CCCM]:[WASH]], tblPiNAnalysis512[[#Headers],[CCCM]:[WASH]], "")))</f>
        <v>Shelter</v>
      </c>
      <c r="AQ177" s="36">
        <f>IFERROR(tblPiNAnalysis512[[#This Row],[2nd Highest Target]]/tblPiNAnalysis512[[#This Row],[Affected population projection 2026]], "")</f>
        <v>0.7</v>
      </c>
      <c r="AR177" s="46">
        <f>IFERROR(tblPiNAnalysis512[[#This Row],[Highest Target]]-tblPiNAnalysis512[[#This Row],[2nd Highest Target]], "")</f>
        <v>11824.017902321859</v>
      </c>
      <c r="AS177" s="39">
        <f>IFERROR(((tblPiNAnalysis512[[#This Row],[Highest Target]]-tblPiNAnalysis512[[#This Row],[2nd Highest Target]])/tblPiNAnalysis512[[#This Row],[2nd Highest Target]]),"")</f>
        <v>2.4465263192268694</v>
      </c>
      <c r="AT177" s="39" t="str" cm="1">
        <f t="array" ref="AT17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77" s="332" cm="1">
        <f t="array" ref="AU17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3361.224191467054</v>
      </c>
      <c r="AV177" s="190" t="str" cm="1">
        <f t="array" ref="AV177">IF(tblPiNAnalysis512[[#This Row],[3rd Highest Target]]="", "", _xlfn.TEXTJOIN(CHAR(10), TRUE, IF(tblPiNAnalysis512[[#This Row],[3rd Highest Target]]=tblPiNAnalysis512[[#This Row],[CCCM]:[WASH]], tblPiNAnalysis512[[#Headers],[CCCM]:[WASH]], "")))</f>
        <v>Overarching Protection</v>
      </c>
      <c r="AW177" s="190">
        <f>IFERROR(tblPiNAnalysis512[[#This Row],[3rd Highest Target]]/tblPiNAnalysis512[[#This Row],[Affected population projection 2026]], "")</f>
        <v>0.4868333642612282</v>
      </c>
      <c r="AX177" s="45">
        <f>IFERROR(tblPiNAnalysis512[[#This Row],[Highest Target]]-tblPiNAnalysis512[[#This Row],[3rd Highest Target]],"")</f>
        <v>13295.775808532946</v>
      </c>
      <c r="AY177" s="39">
        <f>IFERROR(tblPiNAnalysis512[[#This Row],[Difference of Target between Highest and 3rd Highest]]/tblPiNAnalysis512[[#This Row],[3rd Highest Target]], "")</f>
        <v>3.9556349267883308</v>
      </c>
      <c r="AZ177" s="330" t="str" cm="1">
        <f t="array" ref="AZ17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77" s="300" t="str" cm="1">
        <f t="array" ref="BA17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7" s="333" t="str" cm="1">
        <f t="array" ref="BB17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77" s="276" t="str" cm="1">
        <f t="array" ref="BC17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7" s="334" t="str" cm="1">
        <f t="array" ref="BD17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7" s="277" t="e">
        <f>INDEX(tblSeverityAnalysis[Final Severity], MATCH(tblPiNAnalysis512[[#This Row],[ID]],tblSeverityAnalysis[ID], 0))</f>
        <v>#N/A</v>
      </c>
      <c r="BF177" s="61" t="e">
        <f>IF(tblPiNAnalysis512[[#This Row],[Severity]]&gt;2,tblPiNAnalysis512[[#This Row],[Highest Target]],)</f>
        <v>#N/A</v>
      </c>
      <c r="BG177" s="191"/>
      <c r="BH177" s="192"/>
      <c r="BI177" s="193">
        <f>COUNTIFS(tblPiNAnalysis512[[#This Row],[Number of missing / zero PiNs greater than threshold - Data quality]:[Manual Flag]],"Flagged")</f>
        <v>4</v>
      </c>
      <c r="BJ177" s="96" t="str">
        <f>IF(tblPiNAnalysis512[[#This Row],['# Flags]]&gt;0, "Flagged", "")</f>
        <v>Flagged</v>
      </c>
      <c r="BK177" s="326" t="e">
        <f>tblPiNAnalysis512[[#This Row],[Preliminary Target]]</f>
        <v>#N/A</v>
      </c>
      <c r="BL177" s="331">
        <v>1</v>
      </c>
    </row>
    <row r="178" spans="1:64" x14ac:dyDescent="0.55000000000000004">
      <c r="A1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8" s="316" t="s">
        <v>268</v>
      </c>
      <c r="C178" s="317" t="s">
        <v>269</v>
      </c>
      <c r="D178" s="317" t="s">
        <v>272</v>
      </c>
      <c r="E178" s="105" t="s">
        <v>273</v>
      </c>
      <c r="F178" s="100"/>
      <c r="G178" s="34"/>
      <c r="H178" s="34"/>
      <c r="I178" s="97">
        <v>19402.803122498015</v>
      </c>
      <c r="J178" s="97" t="s">
        <v>414</v>
      </c>
      <c r="K178" s="318">
        <v>0</v>
      </c>
      <c r="L178" s="319">
        <v>2673.8614927052067</v>
      </c>
      <c r="M178" s="319">
        <v>3430.8154551067632</v>
      </c>
      <c r="N178" s="319">
        <v>8325.8096411820425</v>
      </c>
      <c r="O178" s="319">
        <v>7840.7348102945498</v>
      </c>
      <c r="P178" s="319">
        <v>6754.7523301546253</v>
      </c>
      <c r="Q178" s="320">
        <v>8334.385886709375</v>
      </c>
      <c r="R178" s="319">
        <v>13432.487884477732</v>
      </c>
      <c r="S178" s="319"/>
      <c r="T178" s="319"/>
      <c r="U178" s="319"/>
      <c r="V178" s="319"/>
      <c r="W178" s="321">
        <f>IFERROR(IF(tblPiNAnalysis512[[#This Row],[CCCM]]="", "", MROUND(tblPiNAnalysis512[[#This Row],[CCCM]]/tblPiNAnalysis512[[#This Row],[Affected population projection 2026]], 0.05)), "")</f>
        <v>0</v>
      </c>
      <c r="X178" s="322">
        <f>IFERROR(IF(tblPiNAnalysis512[[#This Row],[Education]]="", "", MROUND(tblPiNAnalysis512[[#This Row],[Education]]/tblPiNAnalysis512[[#This Row],[Affected population projection 2026]], 0.05)), "")</f>
        <v>0.15000000000000002</v>
      </c>
      <c r="Y178" s="322">
        <f>IFERROR(IF(tblPiNAnalysis512[[#This Row],[Nutrition]]="", "", MROUND(tblPiNAnalysis512[[#This Row],[Nutrition]]/tblPiNAnalysis512[[#This Row],[Affected population projection 2026]], 0.05)), "")</f>
        <v>0.2</v>
      </c>
      <c r="Z178" s="322">
        <f>IFERROR(IF(tblPiNAnalysis512[[#This Row],[Food Security]]="", "", MROUND(tblPiNAnalysis512[[#This Row],[Food Security]]/tblPiNAnalysis512[[#This Row],[Affected population projection 2026]], 0.05)), "")</f>
        <v>0.45</v>
      </c>
      <c r="AA178" s="322">
        <f>IFERROR(IF(tblPiNAnalysis512[[#This Row],[Health]]="", "", MROUND(tblPiNAnalysis512[[#This Row],[Health]]/tblPiNAnalysis512[[#This Row],[Affected population projection 2026]], 0.05)), "")</f>
        <v>0.4</v>
      </c>
      <c r="AB178" s="323">
        <f>IFERROR(IF(tblPiNAnalysis512[[#This Row],[Overarching Protection]]="", "", MROUND(tblPiNAnalysis512[[#This Row],[Overarching Protection]]/tblPiNAnalysis512[[#This Row],[Affected population projection 2026]], 0.05)), "")</f>
        <v>0.35000000000000003</v>
      </c>
      <c r="AC178" s="323">
        <f>IFERROR(IF(tblPiNAnalysis512[[#This Row],[Shelter]]="", "", MROUND(tblPiNAnalysis512[[#This Row],[Shelter]]/tblPiNAnalysis512[[#This Row],[Affected population projection 2026]], 0.05)), "")</f>
        <v>0.45</v>
      </c>
      <c r="AD178" s="324">
        <f>IFERROR(IF(tblPiNAnalysis512[[#This Row],[WASH]]="", "", MROUND(tblPiNAnalysis512[[#This Row],[WASH]]/tblPiNAnalysis512[[#This Row],[Affected population projection 2026]], 0.05)), "")</f>
        <v>0.70000000000000007</v>
      </c>
      <c r="AE178" s="322">
        <f>IFERROR(MROUND(tblPiNAnalysis512[[#This Row],[CP]]/tblPiNAnalysis512[[#This Row],[Affected population projection 2026]], 0.05), "")</f>
        <v>0</v>
      </c>
      <c r="AF178" s="322">
        <f>IFERROR(MROUND(tblPiNAnalysis512[[#This Row],[GBV]]/tblPiNAnalysis512[[#This Row],[Affected population projection 2026]], 0.05), "")</f>
        <v>0</v>
      </c>
      <c r="AG178" s="322">
        <f>IFERROR(MROUND(tblPiNAnalysis512[[#This Row],[Mine Action]]/tblPiNAnalysis512[[#This Row],[Affected population projection 2026]], 0.05), "")</f>
        <v>0</v>
      </c>
      <c r="AH178" s="322">
        <f>IFERROR(MROUND(tblPiNAnalysis512[[#This Row],[HLP]]/tblPiNAnalysis512[[#This Row],[Affected population projection 2026]], 0.05), "")</f>
        <v>0</v>
      </c>
      <c r="AI178" s="325">
        <f>IFERROR(LARGE(tblPiNAnalysis512[[#This Row],[CCCM]:[WASH]], 1), "")</f>
        <v>13432.487884477732</v>
      </c>
      <c r="AJ178" s="326" t="str" cm="1">
        <f t="array" ref="AJ178">IF(tblPiNAnalysis512[[#This Row],[Highest Target]]="", "", _xlfn.TEXTJOIN(CHAR(10), TRUE, IF(tblPiNAnalysis512[[#This Row],[Highest Target]]=tblPiNAnalysis512[[#This Row],[CCCM]:[WASH]], tblPiNAnalysis512[[#Headers],[CCCM]:[WASH]], "")))</f>
        <v>WASH</v>
      </c>
      <c r="AK178" s="327">
        <f>IF(tblPiNAnalysis512[[#This Row],[Highest Target]]="", "", tblPiNAnalysis512[[#This Row],[Highest Target]]/tblPiNAnalysis512[[#This Row],[Affected population projection 2026]])</f>
        <v>0.69229625223081503</v>
      </c>
      <c r="AL178" s="328" t="str">
        <f>IF(SUM(tblPiNAnalysis512[[#This Row],[CCCM]:[WASH]])=0, "",IF(COUNTIF(tblPiNAnalysis512[[#This Row],[CCCM]:[WASH]],"=0")+COUNTIF(tblPiNAnalysis512[[#This Row],[CCCM]:[WASH]],"")&gt;=zero_pin_thresh, "Flagged", ""))</f>
        <v/>
      </c>
      <c r="AM178" s="329" t="str">
        <f>IFERROR(IF(tblPiNAnalysis512[[#This Row],[Highest Target]]="", "", IF(tblPiNAnalysis512[[#This Row],[Highest sector(s'') Target %]]&gt;=flag_pin_perc, "Flagged", "")), "")</f>
        <v/>
      </c>
      <c r="AN178" s="330" t="str" cm="1">
        <f t="array" ref="AN178">IF(tblPiNAnalysis512[[#This Row],[Highest Target]]=0, "",  IF(OR(COUNTIF(tblPiNAnalysis512[[#This Row],[Highest sector(s)]],tblSubSectorPopulation[Sector])), "Flagged", ""))</f>
        <v/>
      </c>
      <c r="AO178" s="46" cm="1">
        <f t="array" ref="AO17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8334.385886709375</v>
      </c>
      <c r="AP178" s="331" t="str" cm="1">
        <f t="array" ref="AP178">IF(tblPiNAnalysis512[[#This Row],[2nd Highest Target]]="", "", _xlfn.TEXTJOIN(CHAR(10), TRUE, IF(tblPiNAnalysis512[[#This Row],[2nd Highest Target]]=tblPiNAnalysis512[[#This Row],[CCCM]:[WASH]], tblPiNAnalysis512[[#Headers],[CCCM]:[WASH]], "")))</f>
        <v>Shelter</v>
      </c>
      <c r="AQ178" s="36">
        <f>IFERROR(tblPiNAnalysis512[[#This Row],[2nd Highest Target]]/tblPiNAnalysis512[[#This Row],[Affected population projection 2026]], "")</f>
        <v>0.42954545454545456</v>
      </c>
      <c r="AR178" s="46">
        <f>IFERROR(tblPiNAnalysis512[[#This Row],[Highest Target]]-tblPiNAnalysis512[[#This Row],[2nd Highest Target]], "")</f>
        <v>5098.1019977683573</v>
      </c>
      <c r="AS178" s="39">
        <f>IFERROR(((tblPiNAnalysis512[[#This Row],[Highest Target]]-tblPiNAnalysis512[[#This Row],[2nd Highest Target]])/tblPiNAnalysis512[[#This Row],[2nd Highest Target]]),"")</f>
        <v>0.61169497873840539</v>
      </c>
      <c r="AT178" s="39" t="str" cm="1">
        <f t="array" ref="AT17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78" s="332" cm="1">
        <f t="array" ref="AU17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8325.8096411820425</v>
      </c>
      <c r="AV178" s="190" t="str" cm="1">
        <f t="array" ref="AV178">IF(tblPiNAnalysis512[[#This Row],[3rd Highest Target]]="", "", _xlfn.TEXTJOIN(CHAR(10), TRUE, IF(tblPiNAnalysis512[[#This Row],[3rd Highest Target]]=tblPiNAnalysis512[[#This Row],[CCCM]:[WASH]], tblPiNAnalysis512[[#Headers],[CCCM]:[WASH]], "")))</f>
        <v>Food Security</v>
      </c>
      <c r="AW178" s="190">
        <f>IFERROR(tblPiNAnalysis512[[#This Row],[3rd Highest Target]]/tblPiNAnalysis512[[#This Row],[Affected population projection 2026]], "")</f>
        <v>0.42910344390023042</v>
      </c>
      <c r="AX178" s="45">
        <f>IFERROR(tblPiNAnalysis512[[#This Row],[Highest Target]]-tblPiNAnalysis512[[#This Row],[3rd Highest Target]],"")</f>
        <v>5106.6782432956898</v>
      </c>
      <c r="AY178" s="39">
        <f>IFERROR(tblPiNAnalysis512[[#This Row],[Difference of Target between Highest and 3rd Highest]]/tblPiNAnalysis512[[#This Row],[3rd Highest Target]], "")</f>
        <v>0.61335515263722484</v>
      </c>
      <c r="AZ178" s="330" t="str" cm="1">
        <f t="array" ref="AZ17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78" s="300" t="str" cm="1">
        <f t="array" ref="BA17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8" s="333" t="str" cm="1">
        <f t="array" ref="BB17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78" s="276" t="str" cm="1">
        <f t="array" ref="BC17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8" s="334" t="str" cm="1">
        <f t="array" ref="BD17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8" s="277" t="e">
        <f>INDEX(tblSeverityAnalysis[Final Severity], MATCH(tblPiNAnalysis512[[#This Row],[ID]],tblSeverityAnalysis[ID], 0))</f>
        <v>#N/A</v>
      </c>
      <c r="BF178" s="61" t="e">
        <f>IF(tblPiNAnalysis512[[#This Row],[Severity]]&gt;2,tblPiNAnalysis512[[#This Row],[Highest Target]],)</f>
        <v>#N/A</v>
      </c>
      <c r="BG178" s="191"/>
      <c r="BH178" s="192"/>
      <c r="BI178" s="193">
        <f>COUNTIFS(tblPiNAnalysis512[[#This Row],[Number of missing / zero PiNs greater than threshold - Data quality]:[Manual Flag]],"Flagged")</f>
        <v>3</v>
      </c>
      <c r="BJ178" s="96" t="str">
        <f>IF(tblPiNAnalysis512[[#This Row],['# Flags]]&gt;0, "Flagged", "")</f>
        <v>Flagged</v>
      </c>
      <c r="BK178" s="326" t="e">
        <f>tblPiNAnalysis512[[#This Row],[Preliminary Target]]</f>
        <v>#N/A</v>
      </c>
      <c r="BL178" s="331">
        <v>2</v>
      </c>
    </row>
    <row r="179" spans="1:64" ht="110.7" x14ac:dyDescent="0.55000000000000004">
      <c r="A1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9" s="316" t="s">
        <v>268</v>
      </c>
      <c r="C179" s="317" t="s">
        <v>269</v>
      </c>
      <c r="D179" s="317" t="s">
        <v>274</v>
      </c>
      <c r="E179" s="105" t="s">
        <v>275</v>
      </c>
      <c r="F179" s="100"/>
      <c r="G179" s="34"/>
      <c r="H179" s="34"/>
      <c r="I179" s="97">
        <v>16703</v>
      </c>
      <c r="J179" s="97" t="s">
        <v>414</v>
      </c>
      <c r="K179" s="318">
        <v>0</v>
      </c>
      <c r="L179" s="319">
        <v>0</v>
      </c>
      <c r="M179" s="319">
        <v>0</v>
      </c>
      <c r="N179" s="319">
        <v>0</v>
      </c>
      <c r="O179" s="319">
        <v>0</v>
      </c>
      <c r="P179" s="319">
        <v>0</v>
      </c>
      <c r="Q179" s="320">
        <v>0</v>
      </c>
      <c r="R179" s="319">
        <v>0</v>
      </c>
      <c r="S179" s="319"/>
      <c r="T179" s="319"/>
      <c r="U179" s="319"/>
      <c r="V179" s="319"/>
      <c r="W179" s="321">
        <f>IFERROR(IF(tblPiNAnalysis512[[#This Row],[CCCM]]="", "", MROUND(tblPiNAnalysis512[[#This Row],[CCCM]]/tblPiNAnalysis512[[#This Row],[Affected population projection 2026]], 0.05)), "")</f>
        <v>0</v>
      </c>
      <c r="X179" s="322">
        <f>IFERROR(IF(tblPiNAnalysis512[[#This Row],[Education]]="", "", MROUND(tblPiNAnalysis512[[#This Row],[Education]]/tblPiNAnalysis512[[#This Row],[Affected population projection 2026]], 0.05)), "")</f>
        <v>0</v>
      </c>
      <c r="Y179" s="322">
        <f>IFERROR(IF(tblPiNAnalysis512[[#This Row],[Nutrition]]="", "", MROUND(tblPiNAnalysis512[[#This Row],[Nutrition]]/tblPiNAnalysis512[[#This Row],[Affected population projection 2026]], 0.05)), "")</f>
        <v>0</v>
      </c>
      <c r="Z179" s="322">
        <f>IFERROR(IF(tblPiNAnalysis512[[#This Row],[Food Security]]="", "", MROUND(tblPiNAnalysis512[[#This Row],[Food Security]]/tblPiNAnalysis512[[#This Row],[Affected population projection 2026]], 0.05)), "")</f>
        <v>0</v>
      </c>
      <c r="AA179" s="322">
        <f>IFERROR(IF(tblPiNAnalysis512[[#This Row],[Health]]="", "", MROUND(tblPiNAnalysis512[[#This Row],[Health]]/tblPiNAnalysis512[[#This Row],[Affected population projection 2026]], 0.05)), "")</f>
        <v>0</v>
      </c>
      <c r="AB179" s="323">
        <f>IFERROR(IF(tblPiNAnalysis512[[#This Row],[Overarching Protection]]="", "", MROUND(tblPiNAnalysis512[[#This Row],[Overarching Protection]]/tblPiNAnalysis512[[#This Row],[Affected population projection 2026]], 0.05)), "")</f>
        <v>0</v>
      </c>
      <c r="AC179" s="323">
        <f>IFERROR(IF(tblPiNAnalysis512[[#This Row],[Shelter]]="", "", MROUND(tblPiNAnalysis512[[#This Row],[Shelter]]/tblPiNAnalysis512[[#This Row],[Affected population projection 2026]], 0.05)), "")</f>
        <v>0</v>
      </c>
      <c r="AD179" s="324">
        <f>IFERROR(IF(tblPiNAnalysis512[[#This Row],[WASH]]="", "", MROUND(tblPiNAnalysis512[[#This Row],[WASH]]/tblPiNAnalysis512[[#This Row],[Affected population projection 2026]], 0.05)), "")</f>
        <v>0</v>
      </c>
      <c r="AE179" s="322">
        <f>IFERROR(MROUND(tblPiNAnalysis512[[#This Row],[CP]]/tblPiNAnalysis512[[#This Row],[Affected population projection 2026]], 0.05), "")</f>
        <v>0</v>
      </c>
      <c r="AF179" s="322">
        <f>IFERROR(MROUND(tblPiNAnalysis512[[#This Row],[GBV]]/tblPiNAnalysis512[[#This Row],[Affected population projection 2026]], 0.05), "")</f>
        <v>0</v>
      </c>
      <c r="AG179" s="322">
        <f>IFERROR(MROUND(tblPiNAnalysis512[[#This Row],[Mine Action]]/tblPiNAnalysis512[[#This Row],[Affected population projection 2026]], 0.05), "")</f>
        <v>0</v>
      </c>
      <c r="AH179" s="322">
        <f>IFERROR(MROUND(tblPiNAnalysis512[[#This Row],[HLP]]/tblPiNAnalysis512[[#This Row],[Affected population projection 2026]], 0.05), "")</f>
        <v>0</v>
      </c>
      <c r="AI179" s="325">
        <f>IFERROR(LARGE(tblPiNAnalysis512[[#This Row],[CCCM]:[WASH]], 1), "")</f>
        <v>0</v>
      </c>
      <c r="AJ179" s="326" t="str" cm="1">
        <f t="array" ref="AJ179">IF(tblPiNAnalysis512[[#This Row],[Highest Target]]="", "", _xlfn.TEXTJOIN(CHAR(10), TRUE, IF(tblPiNAnalysis512[[#This Row],[Highest Target]]=tblPiNAnalysis512[[#This Row],[CCCM]:[WASH]], tblPiNAnalysis512[[#Headers],[CCCM]:[WASH]], "")))</f>
        <v>CCCM
Education
Nutrition
Food Security
Health
Overarching Protection
Shelter
WASH</v>
      </c>
      <c r="AK179" s="327">
        <f>IF(tblPiNAnalysis512[[#This Row],[Highest Target]]="", "", tblPiNAnalysis512[[#This Row],[Highest Target]]/tblPiNAnalysis512[[#This Row],[Affected population projection 2026]])</f>
        <v>0</v>
      </c>
      <c r="AL179" s="328" t="str">
        <f>IF(SUM(tblPiNAnalysis512[[#This Row],[CCCM]:[WASH]])=0, "",IF(COUNTIF(tblPiNAnalysis512[[#This Row],[CCCM]:[WASH]],"=0")+COUNTIF(tblPiNAnalysis512[[#This Row],[CCCM]:[WASH]],"")&gt;=zero_pin_thresh, "Flagged", ""))</f>
        <v/>
      </c>
      <c r="AM179" s="329" t="str">
        <f>IFERROR(IF(tblPiNAnalysis512[[#This Row],[Highest Target]]="", "", IF(tblPiNAnalysis512[[#This Row],[Highest sector(s'') Target %]]&gt;=flag_pin_perc, "Flagged", "")), "")</f>
        <v/>
      </c>
      <c r="AN179" s="330" t="str" cm="1">
        <f t="array" ref="AN179">IF(tblPiNAnalysis512[[#This Row],[Highest Target]]=0, "",  IF(OR(COUNTIF(tblPiNAnalysis512[[#This Row],[Highest sector(s)]],tblSubSectorPopulation[Sector])), "Flagged", ""))</f>
        <v/>
      </c>
      <c r="AO179" s="46" cm="1">
        <f t="array" ref="AO17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79" s="331" t="str" cm="1">
        <f t="array" ref="AP179">IF(tblPiNAnalysis512[[#This Row],[2nd Highest Target]]="", "", _xlfn.TEXTJOIN(CHAR(10), TRUE, IF(tblPiNAnalysis512[[#This Row],[2nd Highest Target]]=tblPiNAnalysis512[[#This Row],[CCCM]:[WASH]], tblPiNAnalysis512[[#Headers],[CCCM]:[WASH]], "")))</f>
        <v>CCCM
Education
Nutrition
Food Security
Health
Overarching Protection
Shelter
WASH</v>
      </c>
      <c r="AQ179" s="36">
        <f>IFERROR(tblPiNAnalysis512[[#This Row],[2nd Highest Target]]/tblPiNAnalysis512[[#This Row],[Affected population projection 2026]], "")</f>
        <v>0</v>
      </c>
      <c r="AR179" s="46">
        <f>IFERROR(tblPiNAnalysis512[[#This Row],[Highest Target]]-tblPiNAnalysis512[[#This Row],[2nd Highest Target]], "")</f>
        <v>0</v>
      </c>
      <c r="AS179" s="39" t="str">
        <f>IFERROR(((tblPiNAnalysis512[[#This Row],[Highest Target]]-tblPiNAnalysis512[[#This Row],[2nd Highest Target]])/tblPiNAnalysis512[[#This Row],[2nd Highest Target]]),"")</f>
        <v/>
      </c>
      <c r="AT179" s="39" t="str" cm="1">
        <f t="array" ref="AT17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79" s="332" cm="1">
        <f t="array" ref="AU17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79" s="190" t="str" cm="1">
        <f t="array" ref="AV179">IF(tblPiNAnalysis512[[#This Row],[3rd Highest Target]]="", "", _xlfn.TEXTJOIN(CHAR(10), TRUE, IF(tblPiNAnalysis512[[#This Row],[3rd Highest Target]]=tblPiNAnalysis512[[#This Row],[CCCM]:[WASH]], tblPiNAnalysis512[[#Headers],[CCCM]:[WASH]], "")))</f>
        <v>CCCM
Education
Nutrition
Food Security
Health
Overarching Protection
Shelter
WASH</v>
      </c>
      <c r="AW179" s="190">
        <f>IFERROR(tblPiNAnalysis512[[#This Row],[3rd Highest Target]]/tblPiNAnalysis512[[#This Row],[Affected population projection 2026]], "")</f>
        <v>0</v>
      </c>
      <c r="AX179" s="45">
        <f>IFERROR(tblPiNAnalysis512[[#This Row],[Highest Target]]-tblPiNAnalysis512[[#This Row],[3rd Highest Target]],"")</f>
        <v>0</v>
      </c>
      <c r="AY179" s="39" t="str">
        <f>IFERROR(tblPiNAnalysis512[[#This Row],[Difference of Target between Highest and 3rd Highest]]/tblPiNAnalysis512[[#This Row],[3rd Highest Target]], "")</f>
        <v/>
      </c>
      <c r="AZ179" s="330" t="str" cm="1">
        <f t="array" ref="AZ17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79" s="300" t="str" cm="1">
        <f t="array" ref="BA17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79" s="333" t="str" cm="1">
        <f t="array" ref="BB17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79" s="276" t="str" cm="1">
        <f t="array" ref="BC17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79" s="334" t="str" cm="1">
        <f t="array" ref="BD17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79" s="277" t="e">
        <f>INDEX(tblSeverityAnalysis[Final Severity], MATCH(tblPiNAnalysis512[[#This Row],[ID]],tblSeverityAnalysis[ID], 0))</f>
        <v>#N/A</v>
      </c>
      <c r="BF179" s="61" t="e">
        <f>IF(tblPiNAnalysis512[[#This Row],[Severity]]&gt;2,tblPiNAnalysis512[[#This Row],[Highest Target]],)</f>
        <v>#N/A</v>
      </c>
      <c r="BG179" s="191"/>
      <c r="BH179" s="192"/>
      <c r="BI179" s="193">
        <f>COUNTIFS(tblPiNAnalysis512[[#This Row],[Number of missing / zero PiNs greater than threshold - Data quality]:[Manual Flag]],"Flagged")</f>
        <v>2</v>
      </c>
      <c r="BJ179" s="96" t="str">
        <f>IF(tblPiNAnalysis512[[#This Row],['# Flags]]&gt;0, "Flagged", "")</f>
        <v>Flagged</v>
      </c>
      <c r="BK179" s="326" t="e">
        <f>tblPiNAnalysis512[[#This Row],[Preliminary Target]]</f>
        <v>#N/A</v>
      </c>
      <c r="BL179" s="331">
        <v>4</v>
      </c>
    </row>
    <row r="180" spans="1:64" x14ac:dyDescent="0.55000000000000004">
      <c r="A1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0" s="316" t="s">
        <v>268</v>
      </c>
      <c r="C180" s="317" t="s">
        <v>269</v>
      </c>
      <c r="D180" s="317" t="s">
        <v>276</v>
      </c>
      <c r="E180" s="105" t="s">
        <v>277</v>
      </c>
      <c r="F180" s="100"/>
      <c r="G180" s="34"/>
      <c r="H180" s="34"/>
      <c r="I180" s="97">
        <v>1206</v>
      </c>
      <c r="J180" s="97" t="s">
        <v>414</v>
      </c>
      <c r="K180" s="318">
        <v>0</v>
      </c>
      <c r="L180" s="319">
        <v>196.24273199999999</v>
      </c>
      <c r="M180" s="319">
        <v>260.96943800482529</v>
      </c>
      <c r="N180" s="319">
        <v>619.86023018184108</v>
      </c>
      <c r="O180" s="319">
        <v>799.57273998366782</v>
      </c>
      <c r="P180" s="319">
        <v>555.93946294569855</v>
      </c>
      <c r="Q180" s="320">
        <v>0</v>
      </c>
      <c r="R180" s="319">
        <v>1112.9444444444446</v>
      </c>
      <c r="S180" s="319"/>
      <c r="T180" s="319"/>
      <c r="U180" s="319"/>
      <c r="V180" s="319"/>
      <c r="W180" s="321">
        <f>IFERROR(IF(tblPiNAnalysis512[[#This Row],[CCCM]]="", "", MROUND(tblPiNAnalysis512[[#This Row],[CCCM]]/tblPiNAnalysis512[[#This Row],[Affected population projection 2026]], 0.05)), "")</f>
        <v>0</v>
      </c>
      <c r="X180" s="322">
        <f>IFERROR(IF(tblPiNAnalysis512[[#This Row],[Education]]="", "", MROUND(tblPiNAnalysis512[[#This Row],[Education]]/tblPiNAnalysis512[[#This Row],[Affected population projection 2026]], 0.05)), "")</f>
        <v>0.15000000000000002</v>
      </c>
      <c r="Y180" s="322">
        <f>IFERROR(IF(tblPiNAnalysis512[[#This Row],[Nutrition]]="", "", MROUND(tblPiNAnalysis512[[#This Row],[Nutrition]]/tblPiNAnalysis512[[#This Row],[Affected population projection 2026]], 0.05)), "")</f>
        <v>0.2</v>
      </c>
      <c r="Z180" s="322">
        <f>IFERROR(IF(tblPiNAnalysis512[[#This Row],[Food Security]]="", "", MROUND(tblPiNAnalysis512[[#This Row],[Food Security]]/tblPiNAnalysis512[[#This Row],[Affected population projection 2026]], 0.05)), "")</f>
        <v>0.5</v>
      </c>
      <c r="AA180" s="322">
        <f>IFERROR(IF(tblPiNAnalysis512[[#This Row],[Health]]="", "", MROUND(tblPiNAnalysis512[[#This Row],[Health]]/tblPiNAnalysis512[[#This Row],[Affected population projection 2026]], 0.05)), "")</f>
        <v>0.65</v>
      </c>
      <c r="AB180" s="323">
        <f>IFERROR(IF(tblPiNAnalysis512[[#This Row],[Overarching Protection]]="", "", MROUND(tblPiNAnalysis512[[#This Row],[Overarching Protection]]/tblPiNAnalysis512[[#This Row],[Affected population projection 2026]], 0.05)), "")</f>
        <v>0.45</v>
      </c>
      <c r="AC180" s="323">
        <f>IFERROR(IF(tblPiNAnalysis512[[#This Row],[Shelter]]="", "", MROUND(tblPiNAnalysis512[[#This Row],[Shelter]]/tblPiNAnalysis512[[#This Row],[Affected population projection 2026]], 0.05)), "")</f>
        <v>0</v>
      </c>
      <c r="AD180" s="324">
        <f>IFERROR(IF(tblPiNAnalysis512[[#This Row],[WASH]]="", "", MROUND(tblPiNAnalysis512[[#This Row],[WASH]]/tblPiNAnalysis512[[#This Row],[Affected population projection 2026]], 0.05)), "")</f>
        <v>0.9</v>
      </c>
      <c r="AE180" s="322">
        <f>IFERROR(MROUND(tblPiNAnalysis512[[#This Row],[CP]]/tblPiNAnalysis512[[#This Row],[Affected population projection 2026]], 0.05), "")</f>
        <v>0</v>
      </c>
      <c r="AF180" s="322">
        <f>IFERROR(MROUND(tblPiNAnalysis512[[#This Row],[GBV]]/tblPiNAnalysis512[[#This Row],[Affected population projection 2026]], 0.05), "")</f>
        <v>0</v>
      </c>
      <c r="AG180" s="322">
        <f>IFERROR(MROUND(tblPiNAnalysis512[[#This Row],[Mine Action]]/tblPiNAnalysis512[[#This Row],[Affected population projection 2026]], 0.05), "")</f>
        <v>0</v>
      </c>
      <c r="AH180" s="322">
        <f>IFERROR(MROUND(tblPiNAnalysis512[[#This Row],[HLP]]/tblPiNAnalysis512[[#This Row],[Affected population projection 2026]], 0.05), "")</f>
        <v>0</v>
      </c>
      <c r="AI180" s="325">
        <f>IFERROR(LARGE(tblPiNAnalysis512[[#This Row],[CCCM]:[WASH]], 1), "")</f>
        <v>1112.9444444444446</v>
      </c>
      <c r="AJ180" s="326" t="str" cm="1">
        <f t="array" ref="AJ180">IF(tblPiNAnalysis512[[#This Row],[Highest Target]]="", "", _xlfn.TEXTJOIN(CHAR(10), TRUE, IF(tblPiNAnalysis512[[#This Row],[Highest Target]]=tblPiNAnalysis512[[#This Row],[CCCM]:[WASH]], tblPiNAnalysis512[[#Headers],[CCCM]:[WASH]], "")))</f>
        <v>WASH</v>
      </c>
      <c r="AK180" s="327">
        <f>IF(tblPiNAnalysis512[[#This Row],[Highest Target]]="", "", tblPiNAnalysis512[[#This Row],[Highest Target]]/tblPiNAnalysis512[[#This Row],[Affected population projection 2026]])</f>
        <v>0.92283950617283961</v>
      </c>
      <c r="AL180" s="328" t="str">
        <f>IF(SUM(tblPiNAnalysis512[[#This Row],[CCCM]:[WASH]])=0, "",IF(COUNTIF(tblPiNAnalysis512[[#This Row],[CCCM]:[WASH]],"=0")+COUNTIF(tblPiNAnalysis512[[#This Row],[CCCM]:[WASH]],"")&gt;=zero_pin_thresh, "Flagged", ""))</f>
        <v>Flagged</v>
      </c>
      <c r="AM180" s="329" t="str">
        <f>IFERROR(IF(tblPiNAnalysis512[[#This Row],[Highest Target]]="", "", IF(tblPiNAnalysis512[[#This Row],[Highest sector(s'') Target %]]&gt;=flag_pin_perc, "Flagged", "")), "")</f>
        <v>Flagged</v>
      </c>
      <c r="AN180" s="330" t="str" cm="1">
        <f t="array" ref="AN180">IF(tblPiNAnalysis512[[#This Row],[Highest Target]]=0, "",  IF(OR(COUNTIF(tblPiNAnalysis512[[#This Row],[Highest sector(s)]],tblSubSectorPopulation[Sector])), "Flagged", ""))</f>
        <v/>
      </c>
      <c r="AO180" s="46" cm="1">
        <f t="array" ref="AO18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799.57273998366782</v>
      </c>
      <c r="AP180" s="331" t="str" cm="1">
        <f t="array" ref="AP180">IF(tblPiNAnalysis512[[#This Row],[2nd Highest Target]]="", "", _xlfn.TEXTJOIN(CHAR(10), TRUE, IF(tblPiNAnalysis512[[#This Row],[2nd Highest Target]]=tblPiNAnalysis512[[#This Row],[CCCM]:[WASH]], tblPiNAnalysis512[[#Headers],[CCCM]:[WASH]], "")))</f>
        <v>Health</v>
      </c>
      <c r="AQ180" s="36">
        <f>IFERROR(tblPiNAnalysis512[[#This Row],[2nd Highest Target]]/tblPiNAnalysis512[[#This Row],[Affected population projection 2026]], "")</f>
        <v>0.66299563846075271</v>
      </c>
      <c r="AR180" s="46">
        <f>IFERROR(tblPiNAnalysis512[[#This Row],[Highest Target]]-tblPiNAnalysis512[[#This Row],[2nd Highest Target]], "")</f>
        <v>313.37170446077675</v>
      </c>
      <c r="AS180" s="39">
        <f>IFERROR(((tblPiNAnalysis512[[#This Row],[Highest Target]]-tblPiNAnalysis512[[#This Row],[2nd Highest Target]])/tblPiNAnalysis512[[#This Row],[2nd Highest Target]]),"")</f>
        <v>0.39192394736616176</v>
      </c>
      <c r="AT180" s="39" t="str" cm="1">
        <f t="array" ref="AT18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80" s="332" cm="1">
        <f t="array" ref="AU18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619.86023018184108</v>
      </c>
      <c r="AV180" s="190" t="str" cm="1">
        <f t="array" ref="AV180">IF(tblPiNAnalysis512[[#This Row],[3rd Highest Target]]="", "", _xlfn.TEXTJOIN(CHAR(10), TRUE, IF(tblPiNAnalysis512[[#This Row],[3rd Highest Target]]=tblPiNAnalysis512[[#This Row],[CCCM]:[WASH]], tblPiNAnalysis512[[#Headers],[CCCM]:[WASH]], "")))</f>
        <v>Food Security</v>
      </c>
      <c r="AW180" s="190">
        <f>IFERROR(tblPiNAnalysis512[[#This Row],[3rd Highest Target]]/tblPiNAnalysis512[[#This Row],[Affected population projection 2026]], "")</f>
        <v>0.51398029036636905</v>
      </c>
      <c r="AX180" s="45">
        <f>IFERROR(tblPiNAnalysis512[[#This Row],[Highest Target]]-tblPiNAnalysis512[[#This Row],[3rd Highest Target]],"")</f>
        <v>493.0842142626035</v>
      </c>
      <c r="AY180" s="39">
        <f>IFERROR(tblPiNAnalysis512[[#This Row],[Difference of Target between Highest and 3rd Highest]]/tblPiNAnalysis512[[#This Row],[3rd Highest Target]], "")</f>
        <v>0.79547644816308538</v>
      </c>
      <c r="AZ180" s="330" t="str" cm="1">
        <f t="array" ref="AZ18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80" s="300" t="str" cm="1">
        <f t="array" ref="BA18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0" s="333" t="str" cm="1">
        <f t="array" ref="BB18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80" s="276" t="str" cm="1">
        <f t="array" ref="BC18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0" s="334" t="str" cm="1">
        <f t="array" ref="BD18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0" s="277" t="e">
        <f>INDEX(tblSeverityAnalysis[Final Severity], MATCH(tblPiNAnalysis512[[#This Row],[ID]],tblSeverityAnalysis[ID], 0))</f>
        <v>#N/A</v>
      </c>
      <c r="BF180" s="61" t="e">
        <f>IF(tblPiNAnalysis512[[#This Row],[Severity]]&gt;2,tblPiNAnalysis512[[#This Row],[Highest Target]],)</f>
        <v>#N/A</v>
      </c>
      <c r="BG180" s="191"/>
      <c r="BH180" s="192"/>
      <c r="BI180" s="193">
        <f>COUNTIFS(tblPiNAnalysis512[[#This Row],[Number of missing / zero PiNs greater than threshold - Data quality]:[Manual Flag]],"Flagged")</f>
        <v>5</v>
      </c>
      <c r="BJ180" s="96" t="str">
        <f>IF(tblPiNAnalysis512[[#This Row],['# Flags]]&gt;0, "Flagged", "")</f>
        <v>Flagged</v>
      </c>
      <c r="BK180" s="326" t="e">
        <f>tblPiNAnalysis512[[#This Row],[Preliminary Target]]</f>
        <v>#N/A</v>
      </c>
      <c r="BL180" s="331">
        <v>1</v>
      </c>
    </row>
    <row r="181" spans="1:64" x14ac:dyDescent="0.55000000000000004">
      <c r="A1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1" s="316" t="s">
        <v>268</v>
      </c>
      <c r="C181" s="317" t="s">
        <v>269</v>
      </c>
      <c r="D181" s="317" t="s">
        <v>278</v>
      </c>
      <c r="E181" s="105" t="s">
        <v>279</v>
      </c>
      <c r="F181" s="100"/>
      <c r="G181" s="34"/>
      <c r="H181" s="34"/>
      <c r="I181" s="97">
        <v>9262.1428571428605</v>
      </c>
      <c r="J181" s="97" t="s">
        <v>414</v>
      </c>
      <c r="K181" s="318">
        <v>0</v>
      </c>
      <c r="L181" s="319">
        <v>887.40590714285759</v>
      </c>
      <c r="M181" s="319">
        <v>2008.8154111316726</v>
      </c>
      <c r="N181" s="319">
        <v>3747.2004957880122</v>
      </c>
      <c r="O181" s="319">
        <v>5544.7593122630933</v>
      </c>
      <c r="P181" s="319">
        <v>3616.0065322382015</v>
      </c>
      <c r="Q181" s="320">
        <v>6483.5000000000018</v>
      </c>
      <c r="R181" s="319">
        <v>1133.9454732510289</v>
      </c>
      <c r="S181" s="319"/>
      <c r="T181" s="319"/>
      <c r="U181" s="319"/>
      <c r="V181" s="319"/>
      <c r="W181" s="321">
        <f>IFERROR(IF(tblPiNAnalysis512[[#This Row],[CCCM]]="", "", MROUND(tblPiNAnalysis512[[#This Row],[CCCM]]/tblPiNAnalysis512[[#This Row],[Affected population projection 2026]], 0.05)), "")</f>
        <v>0</v>
      </c>
      <c r="X181" s="322">
        <f>IFERROR(IF(tblPiNAnalysis512[[#This Row],[Education]]="", "", MROUND(tblPiNAnalysis512[[#This Row],[Education]]/tblPiNAnalysis512[[#This Row],[Affected population projection 2026]], 0.05)), "")</f>
        <v>0.1</v>
      </c>
      <c r="Y181" s="322">
        <f>IFERROR(IF(tblPiNAnalysis512[[#This Row],[Nutrition]]="", "", MROUND(tblPiNAnalysis512[[#This Row],[Nutrition]]/tblPiNAnalysis512[[#This Row],[Affected population projection 2026]], 0.05)), "")</f>
        <v>0.2</v>
      </c>
      <c r="Z181" s="322">
        <f>IFERROR(IF(tblPiNAnalysis512[[#This Row],[Food Security]]="", "", MROUND(tblPiNAnalysis512[[#This Row],[Food Security]]/tblPiNAnalysis512[[#This Row],[Affected population projection 2026]], 0.05)), "")</f>
        <v>0.4</v>
      </c>
      <c r="AA181" s="322">
        <f>IFERROR(IF(tblPiNAnalysis512[[#This Row],[Health]]="", "", MROUND(tblPiNAnalysis512[[#This Row],[Health]]/tblPiNAnalysis512[[#This Row],[Affected population projection 2026]], 0.05)), "")</f>
        <v>0.60000000000000009</v>
      </c>
      <c r="AB181" s="323">
        <f>IFERROR(IF(tblPiNAnalysis512[[#This Row],[Overarching Protection]]="", "", MROUND(tblPiNAnalysis512[[#This Row],[Overarching Protection]]/tblPiNAnalysis512[[#This Row],[Affected population projection 2026]], 0.05)), "")</f>
        <v>0.4</v>
      </c>
      <c r="AC181" s="323">
        <f>IFERROR(IF(tblPiNAnalysis512[[#This Row],[Shelter]]="", "", MROUND(tblPiNAnalysis512[[#This Row],[Shelter]]/tblPiNAnalysis512[[#This Row],[Affected population projection 2026]], 0.05)), "")</f>
        <v>0.70000000000000007</v>
      </c>
      <c r="AD181" s="324">
        <f>IFERROR(IF(tblPiNAnalysis512[[#This Row],[WASH]]="", "", MROUND(tblPiNAnalysis512[[#This Row],[WASH]]/tblPiNAnalysis512[[#This Row],[Affected population projection 2026]], 0.05)), "")</f>
        <v>0.1</v>
      </c>
      <c r="AE181" s="322">
        <f>IFERROR(MROUND(tblPiNAnalysis512[[#This Row],[CP]]/tblPiNAnalysis512[[#This Row],[Affected population projection 2026]], 0.05), "")</f>
        <v>0</v>
      </c>
      <c r="AF181" s="322">
        <f>IFERROR(MROUND(tblPiNAnalysis512[[#This Row],[GBV]]/tblPiNAnalysis512[[#This Row],[Affected population projection 2026]], 0.05), "")</f>
        <v>0</v>
      </c>
      <c r="AG181" s="322">
        <f>IFERROR(MROUND(tblPiNAnalysis512[[#This Row],[Mine Action]]/tblPiNAnalysis512[[#This Row],[Affected population projection 2026]], 0.05), "")</f>
        <v>0</v>
      </c>
      <c r="AH181" s="322">
        <f>IFERROR(MROUND(tblPiNAnalysis512[[#This Row],[HLP]]/tblPiNAnalysis512[[#This Row],[Affected population projection 2026]], 0.05), "")</f>
        <v>0</v>
      </c>
      <c r="AI181" s="325">
        <f>IFERROR(LARGE(tblPiNAnalysis512[[#This Row],[CCCM]:[WASH]], 1), "")</f>
        <v>6483.5000000000018</v>
      </c>
      <c r="AJ181" s="326" t="str" cm="1">
        <f t="array" ref="AJ181">IF(tblPiNAnalysis512[[#This Row],[Highest Target]]="", "", _xlfn.TEXTJOIN(CHAR(10), TRUE, IF(tblPiNAnalysis512[[#This Row],[Highest Target]]=tblPiNAnalysis512[[#This Row],[CCCM]:[WASH]], tblPiNAnalysis512[[#Headers],[CCCM]:[WASH]], "")))</f>
        <v>Shelter</v>
      </c>
      <c r="AK181" s="327">
        <f>IF(tblPiNAnalysis512[[#This Row],[Highest Target]]="", "", tblPiNAnalysis512[[#This Row],[Highest Target]]/tblPiNAnalysis512[[#This Row],[Affected population projection 2026]])</f>
        <v>0.7</v>
      </c>
      <c r="AL181" s="328" t="str">
        <f>IF(SUM(tblPiNAnalysis512[[#This Row],[CCCM]:[WASH]])=0, "",IF(COUNTIF(tblPiNAnalysis512[[#This Row],[CCCM]:[WASH]],"=0")+COUNTIF(tblPiNAnalysis512[[#This Row],[CCCM]:[WASH]],"")&gt;=zero_pin_thresh, "Flagged", ""))</f>
        <v/>
      </c>
      <c r="AM181" s="329" t="str">
        <f>IFERROR(IF(tblPiNAnalysis512[[#This Row],[Highest Target]]="", "", IF(tblPiNAnalysis512[[#This Row],[Highest sector(s'') Target %]]&gt;=flag_pin_perc, "Flagged", "")), "")</f>
        <v/>
      </c>
      <c r="AN181" s="330" t="str" cm="1">
        <f t="array" ref="AN181">IF(tblPiNAnalysis512[[#This Row],[Highest Target]]=0, "",  IF(OR(COUNTIF(tblPiNAnalysis512[[#This Row],[Highest sector(s)]],tblSubSectorPopulation[Sector])), "Flagged", ""))</f>
        <v/>
      </c>
      <c r="AO181" s="46" cm="1">
        <f t="array" ref="AO18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5544.7593122630933</v>
      </c>
      <c r="AP181" s="331" t="str" cm="1">
        <f t="array" ref="AP181">IF(tblPiNAnalysis512[[#This Row],[2nd Highest Target]]="", "", _xlfn.TEXTJOIN(CHAR(10), TRUE, IF(tblPiNAnalysis512[[#This Row],[2nd Highest Target]]=tblPiNAnalysis512[[#This Row],[CCCM]:[WASH]], tblPiNAnalysis512[[#Headers],[CCCM]:[WASH]], "")))</f>
        <v>Health</v>
      </c>
      <c r="AQ181" s="36">
        <f>IFERROR(tblPiNAnalysis512[[#This Row],[2nd Highest Target]]/tblPiNAnalysis512[[#This Row],[Affected population projection 2026]], "")</f>
        <v>0.5986475697669722</v>
      </c>
      <c r="AR181" s="46">
        <f>IFERROR(tblPiNAnalysis512[[#This Row],[Highest Target]]-tblPiNAnalysis512[[#This Row],[2nd Highest Target]], "")</f>
        <v>938.74068773690851</v>
      </c>
      <c r="AS181" s="39">
        <f>IFERROR(((tblPiNAnalysis512[[#This Row],[Highest Target]]-tblPiNAnalysis512[[#This Row],[2nd Highest Target]])/tblPiNAnalysis512[[#This Row],[2nd Highest Target]]),"")</f>
        <v>0.1693023330445991</v>
      </c>
      <c r="AT181" s="39" t="str" cm="1">
        <f t="array" ref="AT18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1" s="332" cm="1">
        <f t="array" ref="AU18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3747.2004957880122</v>
      </c>
      <c r="AV181" s="190" t="str" cm="1">
        <f t="array" ref="AV181">IF(tblPiNAnalysis512[[#This Row],[3rd Highest Target]]="", "", _xlfn.TEXTJOIN(CHAR(10), TRUE, IF(tblPiNAnalysis512[[#This Row],[3rd Highest Target]]=tblPiNAnalysis512[[#This Row],[CCCM]:[WASH]], tblPiNAnalysis512[[#Headers],[CCCM]:[WASH]], "")))</f>
        <v>Food Security</v>
      </c>
      <c r="AW181" s="190">
        <f>IFERROR(tblPiNAnalysis512[[#This Row],[3rd Highest Target]]/tblPiNAnalysis512[[#This Row],[Affected population projection 2026]], "")</f>
        <v>0.40457165837149806</v>
      </c>
      <c r="AX181" s="45">
        <f>IFERROR(tblPiNAnalysis512[[#This Row],[Highest Target]]-tblPiNAnalysis512[[#This Row],[3rd Highest Target]],"")</f>
        <v>2736.2995042119896</v>
      </c>
      <c r="AY181" s="39">
        <f>IFERROR(tblPiNAnalysis512[[#This Row],[Difference of Target between Highest and 3rd Highest]]/tblPiNAnalysis512[[#This Row],[3rd Highest Target]], "")</f>
        <v>0.73022500591780148</v>
      </c>
      <c r="AZ181" s="330" t="str" cm="1">
        <f t="array" ref="AZ18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81" s="300" t="str" cm="1">
        <f t="array" ref="BA18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1" s="333" t="str" cm="1">
        <f t="array" ref="BB18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1" s="276" t="str" cm="1">
        <f t="array" ref="BC18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1" s="334" t="str" cm="1">
        <f t="array" ref="BD18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1" s="277" t="e">
        <f>INDEX(tblSeverityAnalysis[Final Severity], MATCH(tblPiNAnalysis512[[#This Row],[ID]],tblSeverityAnalysis[ID], 0))</f>
        <v>#N/A</v>
      </c>
      <c r="BF181" s="61" t="e">
        <f>IF(tblPiNAnalysis512[[#This Row],[Severity]]&gt;2,tblPiNAnalysis512[[#This Row],[Highest Target]],)</f>
        <v>#N/A</v>
      </c>
      <c r="BG181" s="191"/>
      <c r="BH181" s="192"/>
      <c r="BI181" s="193">
        <f>COUNTIFS(tblPiNAnalysis512[[#This Row],[Number of missing / zero PiNs greater than threshold - Data quality]:[Manual Flag]],"Flagged")</f>
        <v>3</v>
      </c>
      <c r="BJ181" s="96" t="str">
        <f>IF(tblPiNAnalysis512[[#This Row],['# Flags]]&gt;0, "Flagged", "")</f>
        <v>Flagged</v>
      </c>
      <c r="BK181" s="326" t="e">
        <f>tblPiNAnalysis512[[#This Row],[Preliminary Target]]</f>
        <v>#N/A</v>
      </c>
      <c r="BL181" s="331">
        <v>2</v>
      </c>
    </row>
    <row r="182" spans="1:64" x14ac:dyDescent="0.55000000000000004">
      <c r="A1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2" s="316" t="s">
        <v>268</v>
      </c>
      <c r="C182" s="317" t="s">
        <v>269</v>
      </c>
      <c r="D182" s="317" t="s">
        <v>280</v>
      </c>
      <c r="E182" s="105" t="s">
        <v>281</v>
      </c>
      <c r="F182" s="100"/>
      <c r="G182" s="34"/>
      <c r="H182" s="34"/>
      <c r="I182" s="97">
        <v>33686.173990621071</v>
      </c>
      <c r="J182" s="97" t="s">
        <v>414</v>
      </c>
      <c r="K182" s="318">
        <v>0</v>
      </c>
      <c r="L182" s="319">
        <v>12598.62907249228</v>
      </c>
      <c r="M182" s="319">
        <v>6274.2977324118883</v>
      </c>
      <c r="N182" s="319">
        <v>17972.574446081995</v>
      </c>
      <c r="O182" s="319">
        <v>19746.098949396881</v>
      </c>
      <c r="P182" s="319">
        <v>15121.736871238787</v>
      </c>
      <c r="Q182" s="320">
        <v>23580.321793434749</v>
      </c>
      <c r="R182" s="319">
        <v>19515.974000481987</v>
      </c>
      <c r="S182" s="319"/>
      <c r="T182" s="319"/>
      <c r="U182" s="319"/>
      <c r="V182" s="319"/>
      <c r="W182" s="321">
        <f>IFERROR(IF(tblPiNAnalysis512[[#This Row],[CCCM]]="", "", MROUND(tblPiNAnalysis512[[#This Row],[CCCM]]/tblPiNAnalysis512[[#This Row],[Affected population projection 2026]], 0.05)), "")</f>
        <v>0</v>
      </c>
      <c r="X182" s="322">
        <f>IFERROR(IF(tblPiNAnalysis512[[#This Row],[Education]]="", "", MROUND(tblPiNAnalysis512[[#This Row],[Education]]/tblPiNAnalysis512[[#This Row],[Affected population projection 2026]], 0.05)), "")</f>
        <v>0.35000000000000003</v>
      </c>
      <c r="Y182" s="322">
        <f>IFERROR(IF(tblPiNAnalysis512[[#This Row],[Nutrition]]="", "", MROUND(tblPiNAnalysis512[[#This Row],[Nutrition]]/tblPiNAnalysis512[[#This Row],[Affected population projection 2026]], 0.05)), "")</f>
        <v>0.2</v>
      </c>
      <c r="Z182" s="322">
        <f>IFERROR(IF(tblPiNAnalysis512[[#This Row],[Food Security]]="", "", MROUND(tblPiNAnalysis512[[#This Row],[Food Security]]/tblPiNAnalysis512[[#This Row],[Affected population projection 2026]], 0.05)), "")</f>
        <v>0.55000000000000004</v>
      </c>
      <c r="AA182" s="322">
        <f>IFERROR(IF(tblPiNAnalysis512[[#This Row],[Health]]="", "", MROUND(tblPiNAnalysis512[[#This Row],[Health]]/tblPiNAnalysis512[[#This Row],[Affected population projection 2026]], 0.05)), "")</f>
        <v>0.60000000000000009</v>
      </c>
      <c r="AB182" s="323">
        <f>IFERROR(IF(tblPiNAnalysis512[[#This Row],[Overarching Protection]]="", "", MROUND(tblPiNAnalysis512[[#This Row],[Overarching Protection]]/tblPiNAnalysis512[[#This Row],[Affected population projection 2026]], 0.05)), "")</f>
        <v>0.45</v>
      </c>
      <c r="AC182" s="323">
        <f>IFERROR(IF(tblPiNAnalysis512[[#This Row],[Shelter]]="", "", MROUND(tblPiNAnalysis512[[#This Row],[Shelter]]/tblPiNAnalysis512[[#This Row],[Affected population projection 2026]], 0.05)), "")</f>
        <v>0.70000000000000007</v>
      </c>
      <c r="AD182" s="324">
        <f>IFERROR(IF(tblPiNAnalysis512[[#This Row],[WASH]]="", "", MROUND(tblPiNAnalysis512[[#This Row],[WASH]]/tblPiNAnalysis512[[#This Row],[Affected population projection 2026]], 0.05)), "")</f>
        <v>0.60000000000000009</v>
      </c>
      <c r="AE182" s="322">
        <f>IFERROR(MROUND(tblPiNAnalysis512[[#This Row],[CP]]/tblPiNAnalysis512[[#This Row],[Affected population projection 2026]], 0.05), "")</f>
        <v>0</v>
      </c>
      <c r="AF182" s="322">
        <f>IFERROR(MROUND(tblPiNAnalysis512[[#This Row],[GBV]]/tblPiNAnalysis512[[#This Row],[Affected population projection 2026]], 0.05), "")</f>
        <v>0</v>
      </c>
      <c r="AG182" s="322">
        <f>IFERROR(MROUND(tblPiNAnalysis512[[#This Row],[Mine Action]]/tblPiNAnalysis512[[#This Row],[Affected population projection 2026]], 0.05), "")</f>
        <v>0</v>
      </c>
      <c r="AH182" s="322">
        <f>IFERROR(MROUND(tblPiNAnalysis512[[#This Row],[HLP]]/tblPiNAnalysis512[[#This Row],[Affected population projection 2026]], 0.05), "")</f>
        <v>0</v>
      </c>
      <c r="AI182" s="325">
        <f>IFERROR(LARGE(tblPiNAnalysis512[[#This Row],[CCCM]:[WASH]], 1), "")</f>
        <v>23580.321793434749</v>
      </c>
      <c r="AJ182" s="326" t="str" cm="1">
        <f t="array" ref="AJ182">IF(tblPiNAnalysis512[[#This Row],[Highest Target]]="", "", _xlfn.TEXTJOIN(CHAR(10), TRUE, IF(tblPiNAnalysis512[[#This Row],[Highest Target]]=tblPiNAnalysis512[[#This Row],[CCCM]:[WASH]], tblPiNAnalysis512[[#Headers],[CCCM]:[WASH]], "")))</f>
        <v>Shelter</v>
      </c>
      <c r="AK182" s="327">
        <f>IF(tblPiNAnalysis512[[#This Row],[Highest Target]]="", "", tblPiNAnalysis512[[#This Row],[Highest Target]]/tblPiNAnalysis512[[#This Row],[Affected population projection 2026]])</f>
        <v>0.7</v>
      </c>
      <c r="AL182" s="328" t="str">
        <f>IF(SUM(tblPiNAnalysis512[[#This Row],[CCCM]:[WASH]])=0, "",IF(COUNTIF(tblPiNAnalysis512[[#This Row],[CCCM]:[WASH]],"=0")+COUNTIF(tblPiNAnalysis512[[#This Row],[CCCM]:[WASH]],"")&gt;=zero_pin_thresh, "Flagged", ""))</f>
        <v/>
      </c>
      <c r="AM182" s="329" t="str">
        <f>IFERROR(IF(tblPiNAnalysis512[[#This Row],[Highest Target]]="", "", IF(tblPiNAnalysis512[[#This Row],[Highest sector(s'') Target %]]&gt;=flag_pin_perc, "Flagged", "")), "")</f>
        <v/>
      </c>
      <c r="AN182" s="330" t="str" cm="1">
        <f t="array" ref="AN182">IF(tblPiNAnalysis512[[#This Row],[Highest Target]]=0, "",  IF(OR(COUNTIF(tblPiNAnalysis512[[#This Row],[Highest sector(s)]],tblSubSectorPopulation[Sector])), "Flagged", ""))</f>
        <v/>
      </c>
      <c r="AO182" s="46" cm="1">
        <f t="array" ref="AO18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19746.098949396881</v>
      </c>
      <c r="AP182" s="331" t="str" cm="1">
        <f t="array" ref="AP182">IF(tblPiNAnalysis512[[#This Row],[2nd Highest Target]]="", "", _xlfn.TEXTJOIN(CHAR(10), TRUE, IF(tblPiNAnalysis512[[#This Row],[2nd Highest Target]]=tblPiNAnalysis512[[#This Row],[CCCM]:[WASH]], tblPiNAnalysis512[[#Headers],[CCCM]:[WASH]], "")))</f>
        <v>Health</v>
      </c>
      <c r="AQ182" s="36">
        <f>IFERROR(tblPiNAnalysis512[[#This Row],[2nd Highest Target]]/tblPiNAnalysis512[[#This Row],[Affected population projection 2026]], "")</f>
        <v>0.58617814403305657</v>
      </c>
      <c r="AR182" s="46">
        <f>IFERROR(tblPiNAnalysis512[[#This Row],[Highest Target]]-tblPiNAnalysis512[[#This Row],[2nd Highest Target]], "")</f>
        <v>3834.2228440378676</v>
      </c>
      <c r="AS182" s="39">
        <f>IFERROR(((tblPiNAnalysis512[[#This Row],[Highest Target]]-tblPiNAnalysis512[[#This Row],[2nd Highest Target]])/tblPiNAnalysis512[[#This Row],[2nd Highest Target]]),"")</f>
        <v>0.19417621950866296</v>
      </c>
      <c r="AT182" s="39" t="str" cm="1">
        <f t="array" ref="AT18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2" s="332" cm="1">
        <f t="array" ref="AU18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19515.974000481987</v>
      </c>
      <c r="AV182" s="190" t="str" cm="1">
        <f t="array" ref="AV182">IF(tblPiNAnalysis512[[#This Row],[3rd Highest Target]]="", "", _xlfn.TEXTJOIN(CHAR(10), TRUE, IF(tblPiNAnalysis512[[#This Row],[3rd Highest Target]]=tblPiNAnalysis512[[#This Row],[CCCM]:[WASH]], tblPiNAnalysis512[[#Headers],[CCCM]:[WASH]], "")))</f>
        <v>WASH</v>
      </c>
      <c r="AW182" s="190">
        <f>IFERROR(tblPiNAnalysis512[[#This Row],[3rd Highest Target]]/tblPiNAnalysis512[[#This Row],[Affected population projection 2026]], "")</f>
        <v>0.57934670781893005</v>
      </c>
      <c r="AX182" s="45">
        <f>IFERROR(tblPiNAnalysis512[[#This Row],[Highest Target]]-tblPiNAnalysis512[[#This Row],[3rd Highest Target]],"")</f>
        <v>4064.3477929527617</v>
      </c>
      <c r="AY182" s="39">
        <f>IFERROR(tblPiNAnalysis512[[#This Row],[Difference of Target between Highest and 3rd Highest]]/tblPiNAnalysis512[[#This Row],[3rd Highest Target]], "")</f>
        <v>0.20825749167591556</v>
      </c>
      <c r="AZ182" s="330" t="str" cm="1">
        <f t="array" ref="AZ18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2" s="300" t="str" cm="1">
        <f t="array" ref="BA18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2" s="333" t="str" cm="1">
        <f t="array" ref="BB18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2" s="276" t="str" cm="1">
        <f t="array" ref="BC18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2" s="334" t="str" cm="1">
        <f t="array" ref="BD18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2" s="277" t="e">
        <f>INDEX(tblSeverityAnalysis[Final Severity], MATCH(tblPiNAnalysis512[[#This Row],[ID]],tblSeverityAnalysis[ID], 0))</f>
        <v>#N/A</v>
      </c>
      <c r="BF182" s="61" t="e">
        <f>IF(tblPiNAnalysis512[[#This Row],[Severity]]&gt;2,tblPiNAnalysis512[[#This Row],[Highest Target]],)</f>
        <v>#N/A</v>
      </c>
      <c r="BG182" s="191"/>
      <c r="BH182" s="192"/>
      <c r="BI182" s="193">
        <f>COUNTIFS(tblPiNAnalysis512[[#This Row],[Number of missing / zero PiNs greater than threshold - Data quality]:[Manual Flag]],"Flagged")</f>
        <v>2</v>
      </c>
      <c r="BJ182" s="96" t="str">
        <f>IF(tblPiNAnalysis512[[#This Row],['# Flags]]&gt;0, "Flagged", "")</f>
        <v>Flagged</v>
      </c>
      <c r="BK182" s="326" t="e">
        <f>tblPiNAnalysis512[[#This Row],[Preliminary Target]]</f>
        <v>#N/A</v>
      </c>
      <c r="BL182" s="331">
        <v>1</v>
      </c>
    </row>
    <row r="183" spans="1:64" x14ac:dyDescent="0.55000000000000004">
      <c r="A1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3" s="316" t="s">
        <v>268</v>
      </c>
      <c r="C183" s="317" t="s">
        <v>269</v>
      </c>
      <c r="D183" s="317" t="s">
        <v>282</v>
      </c>
      <c r="E183" s="105" t="s">
        <v>283</v>
      </c>
      <c r="F183" s="100"/>
      <c r="G183" s="34"/>
      <c r="H183" s="34"/>
      <c r="I183" s="97">
        <v>13146.5714285714</v>
      </c>
      <c r="J183" s="97" t="s">
        <v>414</v>
      </c>
      <c r="K183" s="318">
        <v>0</v>
      </c>
      <c r="L183" s="319">
        <v>2284.7465925428523</v>
      </c>
      <c r="M183" s="319">
        <v>3155.0850083313644</v>
      </c>
      <c r="N183" s="319">
        <v>5820.2547071310528</v>
      </c>
      <c r="O183" s="319">
        <v>8341.5333690618572</v>
      </c>
      <c r="P183" s="319">
        <v>4026.9816457363663</v>
      </c>
      <c r="Q183" s="320">
        <v>6625.8719999999857</v>
      </c>
      <c r="R183" s="319">
        <v>4920.9474328826082</v>
      </c>
      <c r="S183" s="319"/>
      <c r="T183" s="319"/>
      <c r="U183" s="319"/>
      <c r="V183" s="319"/>
      <c r="W183" s="321">
        <f>IFERROR(IF(tblPiNAnalysis512[[#This Row],[CCCM]]="", "", MROUND(tblPiNAnalysis512[[#This Row],[CCCM]]/tblPiNAnalysis512[[#This Row],[Affected population projection 2026]], 0.05)), "")</f>
        <v>0</v>
      </c>
      <c r="X183" s="322">
        <f>IFERROR(IF(tblPiNAnalysis512[[#This Row],[Education]]="", "", MROUND(tblPiNAnalysis512[[#This Row],[Education]]/tblPiNAnalysis512[[#This Row],[Affected population projection 2026]], 0.05)), "")</f>
        <v>0.15000000000000002</v>
      </c>
      <c r="Y183" s="322">
        <f>IFERROR(IF(tblPiNAnalysis512[[#This Row],[Nutrition]]="", "", MROUND(tblPiNAnalysis512[[#This Row],[Nutrition]]/tblPiNAnalysis512[[#This Row],[Affected population projection 2026]], 0.05)), "")</f>
        <v>0.25</v>
      </c>
      <c r="Z183" s="322">
        <f>IFERROR(IF(tblPiNAnalysis512[[#This Row],[Food Security]]="", "", MROUND(tblPiNAnalysis512[[#This Row],[Food Security]]/tblPiNAnalysis512[[#This Row],[Affected population projection 2026]], 0.05)), "")</f>
        <v>0.45</v>
      </c>
      <c r="AA183" s="322">
        <f>IFERROR(IF(tblPiNAnalysis512[[#This Row],[Health]]="", "", MROUND(tblPiNAnalysis512[[#This Row],[Health]]/tblPiNAnalysis512[[#This Row],[Affected population projection 2026]], 0.05)), "")</f>
        <v>0.65</v>
      </c>
      <c r="AB183" s="323">
        <f>IFERROR(IF(tblPiNAnalysis512[[#This Row],[Overarching Protection]]="", "", MROUND(tblPiNAnalysis512[[#This Row],[Overarching Protection]]/tblPiNAnalysis512[[#This Row],[Affected population projection 2026]], 0.05)), "")</f>
        <v>0.30000000000000004</v>
      </c>
      <c r="AC183" s="323">
        <f>IFERROR(IF(tblPiNAnalysis512[[#This Row],[Shelter]]="", "", MROUND(tblPiNAnalysis512[[#This Row],[Shelter]]/tblPiNAnalysis512[[#This Row],[Affected population projection 2026]], 0.05)), "")</f>
        <v>0.5</v>
      </c>
      <c r="AD183" s="324">
        <f>IFERROR(IF(tblPiNAnalysis512[[#This Row],[WASH]]="", "", MROUND(tblPiNAnalysis512[[#This Row],[WASH]]/tblPiNAnalysis512[[#This Row],[Affected population projection 2026]], 0.05)), "")</f>
        <v>0.35000000000000003</v>
      </c>
      <c r="AE183" s="322">
        <f>IFERROR(MROUND(tblPiNAnalysis512[[#This Row],[CP]]/tblPiNAnalysis512[[#This Row],[Affected population projection 2026]], 0.05), "")</f>
        <v>0</v>
      </c>
      <c r="AF183" s="322">
        <f>IFERROR(MROUND(tblPiNAnalysis512[[#This Row],[GBV]]/tblPiNAnalysis512[[#This Row],[Affected population projection 2026]], 0.05), "")</f>
        <v>0</v>
      </c>
      <c r="AG183" s="322">
        <f>IFERROR(MROUND(tblPiNAnalysis512[[#This Row],[Mine Action]]/tblPiNAnalysis512[[#This Row],[Affected population projection 2026]], 0.05), "")</f>
        <v>0</v>
      </c>
      <c r="AH183" s="322">
        <f>IFERROR(MROUND(tblPiNAnalysis512[[#This Row],[HLP]]/tblPiNAnalysis512[[#This Row],[Affected population projection 2026]], 0.05), "")</f>
        <v>0</v>
      </c>
      <c r="AI183" s="325">
        <f>IFERROR(LARGE(tblPiNAnalysis512[[#This Row],[CCCM]:[WASH]], 1), "")</f>
        <v>8341.5333690618572</v>
      </c>
      <c r="AJ183" s="326" t="str" cm="1">
        <f t="array" ref="AJ183">IF(tblPiNAnalysis512[[#This Row],[Highest Target]]="", "", _xlfn.TEXTJOIN(CHAR(10), TRUE, IF(tblPiNAnalysis512[[#This Row],[Highest Target]]=tblPiNAnalysis512[[#This Row],[CCCM]:[WASH]], tblPiNAnalysis512[[#Headers],[CCCM]:[WASH]], "")))</f>
        <v>Health</v>
      </c>
      <c r="AK183" s="327">
        <f>IF(tblPiNAnalysis512[[#This Row],[Highest Target]]="", "", tblPiNAnalysis512[[#This Row],[Highest Target]]/tblPiNAnalysis512[[#This Row],[Affected population projection 2026]])</f>
        <v>0.63450257083251604</v>
      </c>
      <c r="AL183" s="328" t="str">
        <f>IF(SUM(tblPiNAnalysis512[[#This Row],[CCCM]:[WASH]])=0, "",IF(COUNTIF(tblPiNAnalysis512[[#This Row],[CCCM]:[WASH]],"=0")+COUNTIF(tblPiNAnalysis512[[#This Row],[CCCM]:[WASH]],"")&gt;=zero_pin_thresh, "Flagged", ""))</f>
        <v/>
      </c>
      <c r="AM183" s="329" t="str">
        <f>IFERROR(IF(tblPiNAnalysis512[[#This Row],[Highest Target]]="", "", IF(tblPiNAnalysis512[[#This Row],[Highest sector(s'') Target %]]&gt;=flag_pin_perc, "Flagged", "")), "")</f>
        <v/>
      </c>
      <c r="AN183" s="330" t="str" cm="1">
        <f t="array" ref="AN183">IF(tblPiNAnalysis512[[#This Row],[Highest Target]]=0, "",  IF(OR(COUNTIF(tblPiNAnalysis512[[#This Row],[Highest sector(s)]],tblSubSectorPopulation[Sector])), "Flagged", ""))</f>
        <v/>
      </c>
      <c r="AO183" s="46" cm="1">
        <f t="array" ref="AO18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6625.8719999999857</v>
      </c>
      <c r="AP183" s="331" t="str" cm="1">
        <f t="array" ref="AP183">IF(tblPiNAnalysis512[[#This Row],[2nd Highest Target]]="", "", _xlfn.TEXTJOIN(CHAR(10), TRUE, IF(tblPiNAnalysis512[[#This Row],[2nd Highest Target]]=tblPiNAnalysis512[[#This Row],[CCCM]:[WASH]], tblPiNAnalysis512[[#Headers],[CCCM]:[WASH]], "")))</f>
        <v>Shelter</v>
      </c>
      <c r="AQ183" s="36">
        <f>IFERROR(tblPiNAnalysis512[[#This Row],[2nd Highest Target]]/tblPiNAnalysis512[[#This Row],[Affected population projection 2026]], "")</f>
        <v>0.504</v>
      </c>
      <c r="AR183" s="46">
        <f>IFERROR(tblPiNAnalysis512[[#This Row],[Highest Target]]-tblPiNAnalysis512[[#This Row],[2nd Highest Target]], "")</f>
        <v>1715.6613690618715</v>
      </c>
      <c r="AS183" s="39">
        <f>IFERROR(((tblPiNAnalysis512[[#This Row],[Highest Target]]-tblPiNAnalysis512[[#This Row],[2nd Highest Target]])/tblPiNAnalysis512[[#This Row],[2nd Highest Target]]),"")</f>
        <v>0.2589336722867383</v>
      </c>
      <c r="AT183" s="39" t="str" cm="1">
        <f t="array" ref="AT18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3" s="332" cm="1">
        <f t="array" ref="AU18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5820.2547071310528</v>
      </c>
      <c r="AV183" s="190" t="str" cm="1">
        <f t="array" ref="AV183">IF(tblPiNAnalysis512[[#This Row],[3rd Highest Target]]="", "", _xlfn.TEXTJOIN(CHAR(10), TRUE, IF(tblPiNAnalysis512[[#This Row],[3rd Highest Target]]=tblPiNAnalysis512[[#This Row],[CCCM]:[WASH]], tblPiNAnalysis512[[#Headers],[CCCM]:[WASH]], "")))</f>
        <v>Food Security</v>
      </c>
      <c r="AW183" s="190">
        <f>IFERROR(tblPiNAnalysis512[[#This Row],[3rd Highest Target]]/tblPiNAnalysis512[[#This Row],[Affected population projection 2026]], "")</f>
        <v>0.44272035022621276</v>
      </c>
      <c r="AX183" s="45">
        <f>IFERROR(tblPiNAnalysis512[[#This Row],[Highest Target]]-tblPiNAnalysis512[[#This Row],[3rd Highest Target]],"")</f>
        <v>2521.2786619308044</v>
      </c>
      <c r="AY183" s="39">
        <f>IFERROR(tblPiNAnalysis512[[#This Row],[Difference of Target between Highest and 3rd Highest]]/tblPiNAnalysis512[[#This Row],[3rd Highest Target]], "")</f>
        <v>0.43319043388972317</v>
      </c>
      <c r="AZ183" s="330" t="str" cm="1">
        <f t="array" ref="AZ18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3" s="300" t="str" cm="1">
        <f t="array" ref="BA18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3" s="333" t="str" cm="1">
        <f t="array" ref="BB18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3" s="276" t="str" cm="1">
        <f t="array" ref="BC18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3" s="334" t="str" cm="1">
        <f t="array" ref="BD18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3" s="277" t="e">
        <f>INDEX(tblSeverityAnalysis[Final Severity], MATCH(tblPiNAnalysis512[[#This Row],[ID]],tblSeverityAnalysis[ID], 0))</f>
        <v>#N/A</v>
      </c>
      <c r="BF183" s="61" t="e">
        <f>IF(tblPiNAnalysis512[[#This Row],[Severity]]&gt;2,tblPiNAnalysis512[[#This Row],[Highest Target]],)</f>
        <v>#N/A</v>
      </c>
      <c r="BG183" s="191"/>
      <c r="BH183" s="192"/>
      <c r="BI183" s="193">
        <f>COUNTIFS(tblPiNAnalysis512[[#This Row],[Number of missing / zero PiNs greater than threshold - Data quality]:[Manual Flag]],"Flagged")</f>
        <v>2</v>
      </c>
      <c r="BJ183" s="96" t="str">
        <f>IF(tblPiNAnalysis512[[#This Row],['# Flags]]&gt;0, "Flagged", "")</f>
        <v>Flagged</v>
      </c>
      <c r="BK183" s="326" t="e">
        <f>tblPiNAnalysis512[[#This Row],[Preliminary Target]]</f>
        <v>#N/A</v>
      </c>
      <c r="BL183" s="331">
        <v>2</v>
      </c>
    </row>
    <row r="184" spans="1:64" x14ac:dyDescent="0.55000000000000004">
      <c r="A1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4" s="316" t="s">
        <v>268</v>
      </c>
      <c r="C184" s="317" t="s">
        <v>269</v>
      </c>
      <c r="D184" s="317" t="s">
        <v>284</v>
      </c>
      <c r="E184" s="105" t="s">
        <v>285</v>
      </c>
      <c r="F184" s="100"/>
      <c r="G184" s="34"/>
      <c r="H184" s="34"/>
      <c r="I184" s="97">
        <v>4238</v>
      </c>
      <c r="J184" s="97" t="s">
        <v>414</v>
      </c>
      <c r="K184" s="318">
        <v>0</v>
      </c>
      <c r="L184" s="319">
        <v>1214.4158519999999</v>
      </c>
      <c r="M184" s="319">
        <v>1181.7457253986281</v>
      </c>
      <c r="N184" s="319">
        <v>2062.6986624635656</v>
      </c>
      <c r="O184" s="319">
        <v>2323.2040163304687</v>
      </c>
      <c r="P184" s="319">
        <v>1585.6828999193278</v>
      </c>
      <c r="Q184" s="320">
        <v>1695.2</v>
      </c>
      <c r="R184" s="319">
        <v>2781.7325102880664</v>
      </c>
      <c r="S184" s="319"/>
      <c r="T184" s="319"/>
      <c r="U184" s="319"/>
      <c r="V184" s="319"/>
      <c r="W184" s="321">
        <f>IFERROR(IF(tblPiNAnalysis512[[#This Row],[CCCM]]="", "", MROUND(tblPiNAnalysis512[[#This Row],[CCCM]]/tblPiNAnalysis512[[#This Row],[Affected population projection 2026]], 0.05)), "")</f>
        <v>0</v>
      </c>
      <c r="X184" s="322">
        <f>IFERROR(IF(tblPiNAnalysis512[[#This Row],[Education]]="", "", MROUND(tblPiNAnalysis512[[#This Row],[Education]]/tblPiNAnalysis512[[#This Row],[Affected population projection 2026]], 0.05)), "")</f>
        <v>0.30000000000000004</v>
      </c>
      <c r="Y184" s="322">
        <f>IFERROR(IF(tblPiNAnalysis512[[#This Row],[Nutrition]]="", "", MROUND(tblPiNAnalysis512[[#This Row],[Nutrition]]/tblPiNAnalysis512[[#This Row],[Affected population projection 2026]], 0.05)), "")</f>
        <v>0.30000000000000004</v>
      </c>
      <c r="Z184" s="322">
        <f>IFERROR(IF(tblPiNAnalysis512[[#This Row],[Food Security]]="", "", MROUND(tblPiNAnalysis512[[#This Row],[Food Security]]/tblPiNAnalysis512[[#This Row],[Affected population projection 2026]], 0.05)), "")</f>
        <v>0.5</v>
      </c>
      <c r="AA184" s="322">
        <f>IFERROR(IF(tblPiNAnalysis512[[#This Row],[Health]]="", "", MROUND(tblPiNAnalysis512[[#This Row],[Health]]/tblPiNAnalysis512[[#This Row],[Affected population projection 2026]], 0.05)), "")</f>
        <v>0.55000000000000004</v>
      </c>
      <c r="AB184" s="323">
        <f>IFERROR(IF(tblPiNAnalysis512[[#This Row],[Overarching Protection]]="", "", MROUND(tblPiNAnalysis512[[#This Row],[Overarching Protection]]/tblPiNAnalysis512[[#This Row],[Affected population projection 2026]], 0.05)), "")</f>
        <v>0.35000000000000003</v>
      </c>
      <c r="AC184" s="323">
        <f>IFERROR(IF(tblPiNAnalysis512[[#This Row],[Shelter]]="", "", MROUND(tblPiNAnalysis512[[#This Row],[Shelter]]/tblPiNAnalysis512[[#This Row],[Affected population projection 2026]], 0.05)), "")</f>
        <v>0.4</v>
      </c>
      <c r="AD184" s="324">
        <f>IFERROR(IF(tblPiNAnalysis512[[#This Row],[WASH]]="", "", MROUND(tblPiNAnalysis512[[#This Row],[WASH]]/tblPiNAnalysis512[[#This Row],[Affected population projection 2026]], 0.05)), "")</f>
        <v>0.65</v>
      </c>
      <c r="AE184" s="322">
        <f>IFERROR(MROUND(tblPiNAnalysis512[[#This Row],[CP]]/tblPiNAnalysis512[[#This Row],[Affected population projection 2026]], 0.05), "")</f>
        <v>0</v>
      </c>
      <c r="AF184" s="322">
        <f>IFERROR(MROUND(tblPiNAnalysis512[[#This Row],[GBV]]/tblPiNAnalysis512[[#This Row],[Affected population projection 2026]], 0.05), "")</f>
        <v>0</v>
      </c>
      <c r="AG184" s="322">
        <f>IFERROR(MROUND(tblPiNAnalysis512[[#This Row],[Mine Action]]/tblPiNAnalysis512[[#This Row],[Affected population projection 2026]], 0.05), "")</f>
        <v>0</v>
      </c>
      <c r="AH184" s="322">
        <f>IFERROR(MROUND(tblPiNAnalysis512[[#This Row],[HLP]]/tblPiNAnalysis512[[#This Row],[Affected population projection 2026]], 0.05), "")</f>
        <v>0</v>
      </c>
      <c r="AI184" s="325">
        <f>IFERROR(LARGE(tblPiNAnalysis512[[#This Row],[CCCM]:[WASH]], 1), "")</f>
        <v>2781.7325102880664</v>
      </c>
      <c r="AJ184" s="326" t="str" cm="1">
        <f t="array" ref="AJ184">IF(tblPiNAnalysis512[[#This Row],[Highest Target]]="", "", _xlfn.TEXTJOIN(CHAR(10), TRUE, IF(tblPiNAnalysis512[[#This Row],[Highest Target]]=tblPiNAnalysis512[[#This Row],[CCCM]:[WASH]], tblPiNAnalysis512[[#Headers],[CCCM]:[WASH]], "")))</f>
        <v>WASH</v>
      </c>
      <c r="AK184" s="327">
        <f>IF(tblPiNAnalysis512[[#This Row],[Highest Target]]="", "", tblPiNAnalysis512[[#This Row],[Highest Target]]/tblPiNAnalysis512[[#This Row],[Affected population projection 2026]])</f>
        <v>0.65637860082304533</v>
      </c>
      <c r="AL184" s="328" t="str">
        <f>IF(SUM(tblPiNAnalysis512[[#This Row],[CCCM]:[WASH]])=0, "",IF(COUNTIF(tblPiNAnalysis512[[#This Row],[CCCM]:[WASH]],"=0")+COUNTIF(tblPiNAnalysis512[[#This Row],[CCCM]:[WASH]],"")&gt;=zero_pin_thresh, "Flagged", ""))</f>
        <v/>
      </c>
      <c r="AM184" s="329" t="str">
        <f>IFERROR(IF(tblPiNAnalysis512[[#This Row],[Highest Target]]="", "", IF(tblPiNAnalysis512[[#This Row],[Highest sector(s'') Target %]]&gt;=flag_pin_perc, "Flagged", "")), "")</f>
        <v/>
      </c>
      <c r="AN184" s="330" t="str" cm="1">
        <f t="array" ref="AN184">IF(tblPiNAnalysis512[[#This Row],[Highest Target]]=0, "",  IF(OR(COUNTIF(tblPiNAnalysis512[[#This Row],[Highest sector(s)]],tblSubSectorPopulation[Sector])), "Flagged", ""))</f>
        <v/>
      </c>
      <c r="AO184" s="46" cm="1">
        <f t="array" ref="AO18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2323.2040163304687</v>
      </c>
      <c r="AP184" s="331" t="str" cm="1">
        <f t="array" ref="AP184">IF(tblPiNAnalysis512[[#This Row],[2nd Highest Target]]="", "", _xlfn.TEXTJOIN(CHAR(10), TRUE, IF(tblPiNAnalysis512[[#This Row],[2nd Highest Target]]=tblPiNAnalysis512[[#This Row],[CCCM]:[WASH]], tblPiNAnalysis512[[#Headers],[CCCM]:[WASH]], "")))</f>
        <v>Health</v>
      </c>
      <c r="AQ184" s="36">
        <f>IFERROR(tblPiNAnalysis512[[#This Row],[2nd Highest Target]]/tblPiNAnalysis512[[#This Row],[Affected population projection 2026]], "")</f>
        <v>0.5481840529330978</v>
      </c>
      <c r="AR184" s="46">
        <f>IFERROR(tblPiNAnalysis512[[#This Row],[Highest Target]]-tblPiNAnalysis512[[#This Row],[2nd Highest Target]], "")</f>
        <v>458.52849395759768</v>
      </c>
      <c r="AS184" s="39">
        <f>IFERROR(((tblPiNAnalysis512[[#This Row],[Highest Target]]-tblPiNAnalysis512[[#This Row],[2nd Highest Target]])/tblPiNAnalysis512[[#This Row],[2nd Highest Target]]),"")</f>
        <v>0.19736901741494467</v>
      </c>
      <c r="AT184" s="39" t="str" cm="1">
        <f t="array" ref="AT18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4" s="332" cm="1">
        <f t="array" ref="AU18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2062.6986624635656</v>
      </c>
      <c r="AV184" s="190" t="str" cm="1">
        <f t="array" ref="AV184">IF(tblPiNAnalysis512[[#This Row],[3rd Highest Target]]="", "", _xlfn.TEXTJOIN(CHAR(10), TRUE, IF(tblPiNAnalysis512[[#This Row],[3rd Highest Target]]=tblPiNAnalysis512[[#This Row],[CCCM]:[WASH]], tblPiNAnalysis512[[#Headers],[CCCM]:[WASH]], "")))</f>
        <v>Food Security</v>
      </c>
      <c r="AW184" s="190">
        <f>IFERROR(tblPiNAnalysis512[[#This Row],[3rd Highest Target]]/tblPiNAnalysis512[[#This Row],[Affected population projection 2026]], "")</f>
        <v>0.48671511620187957</v>
      </c>
      <c r="AX184" s="45">
        <f>IFERROR(tblPiNAnalysis512[[#This Row],[Highest Target]]-tblPiNAnalysis512[[#This Row],[3rd Highest Target]],"")</f>
        <v>719.03384782450075</v>
      </c>
      <c r="AY184" s="39">
        <f>IFERROR(tblPiNAnalysis512[[#This Row],[Difference of Target between Highest and 3rd Highest]]/tblPiNAnalysis512[[#This Row],[3rd Highest Target]], "")</f>
        <v>0.34858889517372799</v>
      </c>
      <c r="AZ184" s="330" t="str" cm="1">
        <f t="array" ref="AZ18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4" s="300" t="str" cm="1">
        <f t="array" ref="BA18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4" s="333" t="str" cm="1">
        <f t="array" ref="BB18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84" s="276" t="str" cm="1">
        <f t="array" ref="BC18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4" s="334" t="str" cm="1">
        <f t="array" ref="BD18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4" s="277" t="e">
        <f>INDEX(tblSeverityAnalysis[Final Severity], MATCH(tblPiNAnalysis512[[#This Row],[ID]],tblSeverityAnalysis[ID], 0))</f>
        <v>#N/A</v>
      </c>
      <c r="BF184" s="61" t="e">
        <f>IF(tblPiNAnalysis512[[#This Row],[Severity]]&gt;2,tblPiNAnalysis512[[#This Row],[Highest Target]],)</f>
        <v>#N/A</v>
      </c>
      <c r="BG184" s="191"/>
      <c r="BH184" s="192"/>
      <c r="BI184" s="193">
        <f>COUNTIFS(tblPiNAnalysis512[[#This Row],[Number of missing / zero PiNs greater than threshold - Data quality]:[Manual Flag]],"Flagged")</f>
        <v>1</v>
      </c>
      <c r="BJ184" s="96" t="str">
        <f>IF(tblPiNAnalysis512[[#This Row],['# Flags]]&gt;0, "Flagged", "")</f>
        <v>Flagged</v>
      </c>
      <c r="BK184" s="326" t="e">
        <f>tblPiNAnalysis512[[#This Row],[Preliminary Target]]</f>
        <v>#N/A</v>
      </c>
      <c r="BL184" s="331">
        <v>1</v>
      </c>
    </row>
    <row r="185" spans="1:64" x14ac:dyDescent="0.55000000000000004">
      <c r="A1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5" s="316" t="s">
        <v>268</v>
      </c>
      <c r="C185" s="317" t="s">
        <v>269</v>
      </c>
      <c r="D185" s="317" t="s">
        <v>286</v>
      </c>
      <c r="E185" s="105" t="s">
        <v>287</v>
      </c>
      <c r="F185" s="100"/>
      <c r="G185" s="34"/>
      <c r="H185" s="34"/>
      <c r="I185" s="97">
        <v>2811.1428571428601</v>
      </c>
      <c r="J185" s="97" t="s">
        <v>414</v>
      </c>
      <c r="K185" s="318"/>
      <c r="L185" s="319"/>
      <c r="M185" s="319"/>
      <c r="N185" s="319"/>
      <c r="O185" s="319"/>
      <c r="P185" s="319"/>
      <c r="Q185" s="320"/>
      <c r="R185" s="319"/>
      <c r="S185" s="319"/>
      <c r="T185" s="319"/>
      <c r="U185" s="319"/>
      <c r="V185" s="319"/>
      <c r="W185" s="321" t="str">
        <f>IFERROR(IF(tblPiNAnalysis512[[#This Row],[CCCM]]="", "", MROUND(tblPiNAnalysis512[[#This Row],[CCCM]]/tblPiNAnalysis512[[#This Row],[Affected population projection 2026]], 0.05)), "")</f>
        <v/>
      </c>
      <c r="X185" s="322" t="str">
        <f>IFERROR(IF(tblPiNAnalysis512[[#This Row],[Education]]="", "", MROUND(tblPiNAnalysis512[[#This Row],[Education]]/tblPiNAnalysis512[[#This Row],[Affected population projection 2026]], 0.05)), "")</f>
        <v/>
      </c>
      <c r="Y185" s="322" t="str">
        <f>IFERROR(IF(tblPiNAnalysis512[[#This Row],[Nutrition]]="", "", MROUND(tblPiNAnalysis512[[#This Row],[Nutrition]]/tblPiNAnalysis512[[#This Row],[Affected population projection 2026]], 0.05)), "")</f>
        <v/>
      </c>
      <c r="Z185" s="322" t="str">
        <f>IFERROR(IF(tblPiNAnalysis512[[#This Row],[Food Security]]="", "", MROUND(tblPiNAnalysis512[[#This Row],[Food Security]]/tblPiNAnalysis512[[#This Row],[Affected population projection 2026]], 0.05)), "")</f>
        <v/>
      </c>
      <c r="AA185" s="322" t="str">
        <f>IFERROR(IF(tblPiNAnalysis512[[#This Row],[Health]]="", "", MROUND(tblPiNAnalysis512[[#This Row],[Health]]/tblPiNAnalysis512[[#This Row],[Affected population projection 2026]], 0.05)), "")</f>
        <v/>
      </c>
      <c r="AB185" s="323" t="str">
        <f>IFERROR(IF(tblPiNAnalysis512[[#This Row],[Overarching Protection]]="", "", MROUND(tblPiNAnalysis512[[#This Row],[Overarching Protection]]/tblPiNAnalysis512[[#This Row],[Affected population projection 2026]], 0.05)), "")</f>
        <v/>
      </c>
      <c r="AC185" s="323" t="str">
        <f>IFERROR(IF(tblPiNAnalysis512[[#This Row],[Shelter]]="", "", MROUND(tblPiNAnalysis512[[#This Row],[Shelter]]/tblPiNAnalysis512[[#This Row],[Affected population projection 2026]], 0.05)), "")</f>
        <v/>
      </c>
      <c r="AD185" s="324" t="str">
        <f>IFERROR(IF(tblPiNAnalysis512[[#This Row],[WASH]]="", "", MROUND(tblPiNAnalysis512[[#This Row],[WASH]]/tblPiNAnalysis512[[#This Row],[Affected population projection 2026]], 0.05)), "")</f>
        <v/>
      </c>
      <c r="AE185" s="322">
        <f>IFERROR(MROUND(tblPiNAnalysis512[[#This Row],[CP]]/tblPiNAnalysis512[[#This Row],[Affected population projection 2026]], 0.05), "")</f>
        <v>0</v>
      </c>
      <c r="AF185" s="322">
        <f>IFERROR(MROUND(tblPiNAnalysis512[[#This Row],[GBV]]/tblPiNAnalysis512[[#This Row],[Affected population projection 2026]], 0.05), "")</f>
        <v>0</v>
      </c>
      <c r="AG185" s="322">
        <f>IFERROR(MROUND(tblPiNAnalysis512[[#This Row],[Mine Action]]/tblPiNAnalysis512[[#This Row],[Affected population projection 2026]], 0.05), "")</f>
        <v>0</v>
      </c>
      <c r="AH185" s="322">
        <f>IFERROR(MROUND(tblPiNAnalysis512[[#This Row],[HLP]]/tblPiNAnalysis512[[#This Row],[Affected population projection 2026]], 0.05), "")</f>
        <v>0</v>
      </c>
      <c r="AI185" s="325" t="str">
        <f>IFERROR(LARGE(tblPiNAnalysis512[[#This Row],[CCCM]:[WASH]], 1), "")</f>
        <v/>
      </c>
      <c r="AJ185" s="326" t="str" cm="1">
        <f t="array" ref="AJ185">IF(tblPiNAnalysis512[[#This Row],[Highest Target]]="", "", _xlfn.TEXTJOIN(CHAR(10), TRUE, IF(tblPiNAnalysis512[[#This Row],[Highest Target]]=tblPiNAnalysis512[[#This Row],[CCCM]:[WASH]], tblPiNAnalysis512[[#Headers],[CCCM]:[WASH]], "")))</f>
        <v/>
      </c>
      <c r="AK185" s="327" t="str">
        <f>IF(tblPiNAnalysis512[[#This Row],[Highest Target]]="", "", tblPiNAnalysis512[[#This Row],[Highest Target]]/tblPiNAnalysis512[[#This Row],[Affected population projection 2026]])</f>
        <v/>
      </c>
      <c r="AL185" s="328" t="str">
        <f>IF(SUM(tblPiNAnalysis512[[#This Row],[CCCM]:[WASH]])=0, "",IF(COUNTIF(tblPiNAnalysis512[[#This Row],[CCCM]:[WASH]],"=0")+COUNTIF(tblPiNAnalysis512[[#This Row],[CCCM]:[WASH]],"")&gt;=zero_pin_thresh, "Flagged", ""))</f>
        <v/>
      </c>
      <c r="AM185" s="329" t="str">
        <f>IFERROR(IF(tblPiNAnalysis512[[#This Row],[Highest Target]]="", "", IF(tblPiNAnalysis512[[#This Row],[Highest sector(s'') Target %]]&gt;=flag_pin_perc, "Flagged", "")), "")</f>
        <v/>
      </c>
      <c r="AN185" s="330" t="str" cm="1">
        <f t="array" ref="AN185">IF(tblPiNAnalysis512[[#This Row],[Highest Target]]=0, "",  IF(OR(COUNTIF(tblPiNAnalysis512[[#This Row],[Highest sector(s)]],tblSubSectorPopulation[Sector])), "Flagged", ""))</f>
        <v/>
      </c>
      <c r="AO185" s="46" t="str" cm="1">
        <f t="array" ref="AO18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85" s="331" t="str" cm="1">
        <f t="array" ref="AP185">IF(tblPiNAnalysis512[[#This Row],[2nd Highest Target]]="", "", _xlfn.TEXTJOIN(CHAR(10), TRUE, IF(tblPiNAnalysis512[[#This Row],[2nd Highest Target]]=tblPiNAnalysis512[[#This Row],[CCCM]:[WASH]], tblPiNAnalysis512[[#Headers],[CCCM]:[WASH]], "")))</f>
        <v/>
      </c>
      <c r="AQ185" s="36" t="str">
        <f>IFERROR(tblPiNAnalysis512[[#This Row],[2nd Highest Target]]/tblPiNAnalysis512[[#This Row],[Affected population projection 2026]], "")</f>
        <v/>
      </c>
      <c r="AR185" s="46" t="str">
        <f>IFERROR(tblPiNAnalysis512[[#This Row],[Highest Target]]-tblPiNAnalysis512[[#This Row],[2nd Highest Target]], "")</f>
        <v/>
      </c>
      <c r="AS185" s="39" t="str">
        <f>IFERROR(((tblPiNAnalysis512[[#This Row],[Highest Target]]-tblPiNAnalysis512[[#This Row],[2nd Highest Target]])/tblPiNAnalysis512[[#This Row],[2nd Highest Target]]),"")</f>
        <v/>
      </c>
      <c r="AT185" s="39" t="str" cm="1">
        <f t="array" ref="AT18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5" s="332" t="str" cm="1">
        <f t="array" ref="AU18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85" s="190" t="str" cm="1">
        <f t="array" ref="AV185">IF(tblPiNAnalysis512[[#This Row],[3rd Highest Target]]="", "", _xlfn.TEXTJOIN(CHAR(10), TRUE, IF(tblPiNAnalysis512[[#This Row],[3rd Highest Target]]=tblPiNAnalysis512[[#This Row],[CCCM]:[WASH]], tblPiNAnalysis512[[#Headers],[CCCM]:[WASH]], "")))</f>
        <v/>
      </c>
      <c r="AW185" s="190" t="str">
        <f>IFERROR(tblPiNAnalysis512[[#This Row],[3rd Highest Target]]/tblPiNAnalysis512[[#This Row],[Affected population projection 2026]], "")</f>
        <v/>
      </c>
      <c r="AX185" s="45" t="str">
        <f>IFERROR(tblPiNAnalysis512[[#This Row],[Highest Target]]-tblPiNAnalysis512[[#This Row],[3rd Highest Target]],"")</f>
        <v/>
      </c>
      <c r="AY185" s="39" t="str">
        <f>IFERROR(tblPiNAnalysis512[[#This Row],[Difference of Target between Highest and 3rd Highest]]/tblPiNAnalysis512[[#This Row],[3rd Highest Target]], "")</f>
        <v/>
      </c>
      <c r="AZ185" s="330" t="str" cm="1">
        <f t="array" ref="AZ18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5" s="300" t="str" cm="1">
        <f t="array" ref="BA18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5" s="333" t="str" cm="1">
        <f t="array" ref="BB18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5" s="276" t="str" cm="1">
        <f t="array" ref="BC18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5" s="334" t="str" cm="1">
        <f t="array" ref="BD18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5" s="277" t="e">
        <f>INDEX(tblSeverityAnalysis[Final Severity], MATCH(tblPiNAnalysis512[[#This Row],[ID]],tblSeverityAnalysis[ID], 0))</f>
        <v>#N/A</v>
      </c>
      <c r="BF185" s="61" t="e">
        <f>IF(tblPiNAnalysis512[[#This Row],[Severity]]&gt;2,tblPiNAnalysis512[[#This Row],[Highest Target]],)</f>
        <v>#N/A</v>
      </c>
      <c r="BG185" s="191"/>
      <c r="BH185" s="192"/>
      <c r="BI185" s="193">
        <f>COUNTIFS(tblPiNAnalysis512[[#This Row],[Number of missing / zero PiNs greater than threshold - Data quality]:[Manual Flag]],"Flagged")</f>
        <v>2</v>
      </c>
      <c r="BJ185" s="96" t="str">
        <f>IF(tblPiNAnalysis512[[#This Row],['# Flags]]&gt;0, "Flagged", "")</f>
        <v>Flagged</v>
      </c>
      <c r="BK185" s="326" t="e">
        <f>tblPiNAnalysis512[[#This Row],[Preliminary Target]]</f>
        <v>#N/A</v>
      </c>
      <c r="BL185" s="331">
        <v>3</v>
      </c>
    </row>
    <row r="186" spans="1:64" x14ac:dyDescent="0.55000000000000004">
      <c r="A1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6" s="316" t="s">
        <v>268</v>
      </c>
      <c r="C186" s="317" t="s">
        <v>269</v>
      </c>
      <c r="D186" s="317" t="s">
        <v>288</v>
      </c>
      <c r="E186" s="105" t="s">
        <v>289</v>
      </c>
      <c r="F186" s="100"/>
      <c r="G186" s="34"/>
      <c r="H186" s="34"/>
      <c r="I186" s="97">
        <v>5169</v>
      </c>
      <c r="J186" s="97" t="s">
        <v>414</v>
      </c>
      <c r="K186" s="318">
        <v>0</v>
      </c>
      <c r="L186" s="319">
        <v>1679.9250000000002</v>
      </c>
      <c r="M186" s="319">
        <v>1134.0669503428085</v>
      </c>
      <c r="N186" s="319">
        <v>2195.6205771620066</v>
      </c>
      <c r="O186" s="319">
        <v>2593.4320999480992</v>
      </c>
      <c r="P186" s="319">
        <v>2603.1080862533695</v>
      </c>
      <c r="Q186" s="320">
        <v>3618.2999999999997</v>
      </c>
      <c r="R186" s="319">
        <v>1723</v>
      </c>
      <c r="S186" s="319"/>
      <c r="T186" s="319"/>
      <c r="U186" s="319"/>
      <c r="V186" s="319"/>
      <c r="W186" s="321">
        <f>IFERROR(IF(tblPiNAnalysis512[[#This Row],[CCCM]]="", "", MROUND(tblPiNAnalysis512[[#This Row],[CCCM]]/tblPiNAnalysis512[[#This Row],[Affected population projection 2026]], 0.05)), "")</f>
        <v>0</v>
      </c>
      <c r="X186" s="322">
        <f>IFERROR(IF(tblPiNAnalysis512[[#This Row],[Education]]="", "", MROUND(tblPiNAnalysis512[[#This Row],[Education]]/tblPiNAnalysis512[[#This Row],[Affected population projection 2026]], 0.05)), "")</f>
        <v>0.35000000000000003</v>
      </c>
      <c r="Y186" s="322">
        <f>IFERROR(IF(tblPiNAnalysis512[[#This Row],[Nutrition]]="", "", MROUND(tblPiNAnalysis512[[#This Row],[Nutrition]]/tblPiNAnalysis512[[#This Row],[Affected population projection 2026]], 0.05)), "")</f>
        <v>0.2</v>
      </c>
      <c r="Z186" s="322">
        <f>IFERROR(IF(tblPiNAnalysis512[[#This Row],[Food Security]]="", "", MROUND(tblPiNAnalysis512[[#This Row],[Food Security]]/tblPiNAnalysis512[[#This Row],[Affected population projection 2026]], 0.05)), "")</f>
        <v>0.4</v>
      </c>
      <c r="AA186" s="322">
        <f>IFERROR(IF(tblPiNAnalysis512[[#This Row],[Health]]="", "", MROUND(tblPiNAnalysis512[[#This Row],[Health]]/tblPiNAnalysis512[[#This Row],[Affected population projection 2026]], 0.05)), "")</f>
        <v>0.5</v>
      </c>
      <c r="AB186" s="323">
        <f>IFERROR(IF(tblPiNAnalysis512[[#This Row],[Overarching Protection]]="", "", MROUND(tblPiNAnalysis512[[#This Row],[Overarching Protection]]/tblPiNAnalysis512[[#This Row],[Affected population projection 2026]], 0.05)), "")</f>
        <v>0.5</v>
      </c>
      <c r="AC186" s="323">
        <f>IFERROR(IF(tblPiNAnalysis512[[#This Row],[Shelter]]="", "", MROUND(tblPiNAnalysis512[[#This Row],[Shelter]]/tblPiNAnalysis512[[#This Row],[Affected population projection 2026]], 0.05)), "")</f>
        <v>0.70000000000000007</v>
      </c>
      <c r="AD186" s="324">
        <f>IFERROR(IF(tblPiNAnalysis512[[#This Row],[WASH]]="", "", MROUND(tblPiNAnalysis512[[#This Row],[WASH]]/tblPiNAnalysis512[[#This Row],[Affected population projection 2026]], 0.05)), "")</f>
        <v>0.35000000000000003</v>
      </c>
      <c r="AE186" s="322">
        <f>IFERROR(MROUND(tblPiNAnalysis512[[#This Row],[CP]]/tblPiNAnalysis512[[#This Row],[Affected population projection 2026]], 0.05), "")</f>
        <v>0</v>
      </c>
      <c r="AF186" s="322">
        <f>IFERROR(MROUND(tblPiNAnalysis512[[#This Row],[GBV]]/tblPiNAnalysis512[[#This Row],[Affected population projection 2026]], 0.05), "")</f>
        <v>0</v>
      </c>
      <c r="AG186" s="322">
        <f>IFERROR(MROUND(tblPiNAnalysis512[[#This Row],[Mine Action]]/tblPiNAnalysis512[[#This Row],[Affected population projection 2026]], 0.05), "")</f>
        <v>0</v>
      </c>
      <c r="AH186" s="322">
        <f>IFERROR(MROUND(tblPiNAnalysis512[[#This Row],[HLP]]/tblPiNAnalysis512[[#This Row],[Affected population projection 2026]], 0.05), "")</f>
        <v>0</v>
      </c>
      <c r="AI186" s="325">
        <f>IFERROR(LARGE(tblPiNAnalysis512[[#This Row],[CCCM]:[WASH]], 1), "")</f>
        <v>3618.2999999999997</v>
      </c>
      <c r="AJ186" s="326" t="str" cm="1">
        <f t="array" ref="AJ186">IF(tblPiNAnalysis512[[#This Row],[Highest Target]]="", "", _xlfn.TEXTJOIN(CHAR(10), TRUE, IF(tblPiNAnalysis512[[#This Row],[Highest Target]]=tblPiNAnalysis512[[#This Row],[CCCM]:[WASH]], tblPiNAnalysis512[[#Headers],[CCCM]:[WASH]], "")))</f>
        <v>Shelter</v>
      </c>
      <c r="AK186" s="327">
        <f>IF(tblPiNAnalysis512[[#This Row],[Highest Target]]="", "", tblPiNAnalysis512[[#This Row],[Highest Target]]/tblPiNAnalysis512[[#This Row],[Affected population projection 2026]])</f>
        <v>0.7</v>
      </c>
      <c r="AL186" s="328" t="str">
        <f>IF(SUM(tblPiNAnalysis512[[#This Row],[CCCM]:[WASH]])=0, "",IF(COUNTIF(tblPiNAnalysis512[[#This Row],[CCCM]:[WASH]],"=0")+COUNTIF(tblPiNAnalysis512[[#This Row],[CCCM]:[WASH]],"")&gt;=zero_pin_thresh, "Flagged", ""))</f>
        <v/>
      </c>
      <c r="AM186" s="329" t="str">
        <f>IFERROR(IF(tblPiNAnalysis512[[#This Row],[Highest Target]]="", "", IF(tblPiNAnalysis512[[#This Row],[Highest sector(s'') Target %]]&gt;=flag_pin_perc, "Flagged", "")), "")</f>
        <v/>
      </c>
      <c r="AN186" s="330" t="str" cm="1">
        <f t="array" ref="AN186">IF(tblPiNAnalysis512[[#This Row],[Highest Target]]=0, "",  IF(OR(COUNTIF(tblPiNAnalysis512[[#This Row],[Highest sector(s)]],tblSubSectorPopulation[Sector])), "Flagged", ""))</f>
        <v/>
      </c>
      <c r="AO186" s="46" cm="1">
        <f t="array" ref="AO18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2603.1080862533695</v>
      </c>
      <c r="AP186" s="331" t="str" cm="1">
        <f t="array" ref="AP186">IF(tblPiNAnalysis512[[#This Row],[2nd Highest Target]]="", "", _xlfn.TEXTJOIN(CHAR(10), TRUE, IF(tblPiNAnalysis512[[#This Row],[2nd Highest Target]]=tblPiNAnalysis512[[#This Row],[CCCM]:[WASH]], tblPiNAnalysis512[[#Headers],[CCCM]:[WASH]], "")))</f>
        <v>Overarching Protection</v>
      </c>
      <c r="AQ186" s="36">
        <f>IFERROR(tblPiNAnalysis512[[#This Row],[2nd Highest Target]]/tblPiNAnalysis512[[#This Row],[Affected population projection 2026]], "")</f>
        <v>0.50359993930225755</v>
      </c>
      <c r="AR186" s="46">
        <f>IFERROR(tblPiNAnalysis512[[#This Row],[Highest Target]]-tblPiNAnalysis512[[#This Row],[2nd Highest Target]], "")</f>
        <v>1015.1919137466302</v>
      </c>
      <c r="AS186" s="39">
        <f>IFERROR(((tblPiNAnalysis512[[#This Row],[Highest Target]]-tblPiNAnalysis512[[#This Row],[2nd Highest Target]])/tblPiNAnalysis512[[#This Row],[2nd Highest Target]]),"")</f>
        <v>0.3899922247207902</v>
      </c>
      <c r="AT186" s="39" t="str" cm="1">
        <f t="array" ref="AT18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86" s="332" cm="1">
        <f t="array" ref="AU18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2593.4320999480992</v>
      </c>
      <c r="AV186" s="190" t="str" cm="1">
        <f t="array" ref="AV186">IF(tblPiNAnalysis512[[#This Row],[3rd Highest Target]]="", "", _xlfn.TEXTJOIN(CHAR(10), TRUE, IF(tblPiNAnalysis512[[#This Row],[3rd Highest Target]]=tblPiNAnalysis512[[#This Row],[CCCM]:[WASH]], tblPiNAnalysis512[[#Headers],[CCCM]:[WASH]], "")))</f>
        <v>Health</v>
      </c>
      <c r="AW186" s="190">
        <f>IFERROR(tblPiNAnalysis512[[#This Row],[3rd Highest Target]]/tblPiNAnalysis512[[#This Row],[Affected population projection 2026]], "")</f>
        <v>0.50172801314530846</v>
      </c>
      <c r="AX186" s="45">
        <f>IFERROR(tblPiNAnalysis512[[#This Row],[Highest Target]]-tblPiNAnalysis512[[#This Row],[3rd Highest Target]],"")</f>
        <v>1024.8679000519005</v>
      </c>
      <c r="AY186" s="39">
        <f>IFERROR(tblPiNAnalysis512[[#This Row],[Difference of Target between Highest and 3rd Highest]]/tblPiNAnalysis512[[#This Row],[3rd Highest Target]], "")</f>
        <v>0.39517822736612634</v>
      </c>
      <c r="AZ186" s="330" t="str" cm="1">
        <f t="array" ref="AZ18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6" s="300" t="str" cm="1">
        <f t="array" ref="BA18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6" s="333" t="str" cm="1">
        <f t="array" ref="BB18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6" s="276" t="str" cm="1">
        <f t="array" ref="BC18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6" s="334" t="str" cm="1">
        <f t="array" ref="BD18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86" s="277" t="e">
        <f>INDEX(tblSeverityAnalysis[Final Severity], MATCH(tblPiNAnalysis512[[#This Row],[ID]],tblSeverityAnalysis[ID], 0))</f>
        <v>#N/A</v>
      </c>
      <c r="BF186" s="61" t="e">
        <f>IF(tblPiNAnalysis512[[#This Row],[Severity]]&gt;2,tblPiNAnalysis512[[#This Row],[Highest Target]],)</f>
        <v>#N/A</v>
      </c>
      <c r="BG186" s="191"/>
      <c r="BH186" s="192"/>
      <c r="BI186" s="193">
        <f>COUNTIFS(tblPiNAnalysis512[[#This Row],[Number of missing / zero PiNs greater than threshold - Data quality]:[Manual Flag]],"Flagged")</f>
        <v>2</v>
      </c>
      <c r="BJ186" s="96" t="str">
        <f>IF(tblPiNAnalysis512[[#This Row],['# Flags]]&gt;0, "Flagged", "")</f>
        <v>Flagged</v>
      </c>
      <c r="BK186" s="326" t="e">
        <f>tblPiNAnalysis512[[#This Row],[Preliminary Target]]</f>
        <v>#N/A</v>
      </c>
      <c r="BL186" s="331">
        <v>2</v>
      </c>
    </row>
    <row r="187" spans="1:64" x14ac:dyDescent="0.55000000000000004">
      <c r="A1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7" s="316" t="s">
        <v>268</v>
      </c>
      <c r="C187" s="317" t="s">
        <v>269</v>
      </c>
      <c r="D187" s="317" t="s">
        <v>290</v>
      </c>
      <c r="E187" s="105" t="s">
        <v>291</v>
      </c>
      <c r="F187" s="100"/>
      <c r="G187" s="34"/>
      <c r="H187" s="34"/>
      <c r="I187" s="97">
        <v>5651</v>
      </c>
      <c r="J187" s="97" t="s">
        <v>414</v>
      </c>
      <c r="K187" s="318">
        <v>0</v>
      </c>
      <c r="L187" s="319">
        <v>1011.709832</v>
      </c>
      <c r="M187" s="319">
        <v>1744.6043485875227</v>
      </c>
      <c r="N187" s="319">
        <v>2720.786999844061</v>
      </c>
      <c r="O187" s="319">
        <v>1896.4890700077565</v>
      </c>
      <c r="P187" s="319">
        <v>1695.2961456260593</v>
      </c>
      <c r="Q187" s="320">
        <v>1977.85</v>
      </c>
      <c r="R187" s="319">
        <v>3248.4529320987654</v>
      </c>
      <c r="S187" s="319"/>
      <c r="T187" s="319"/>
      <c r="U187" s="319"/>
      <c r="V187" s="319"/>
      <c r="W187" s="321">
        <f>IFERROR(IF(tblPiNAnalysis512[[#This Row],[CCCM]]="", "", MROUND(tblPiNAnalysis512[[#This Row],[CCCM]]/tblPiNAnalysis512[[#This Row],[Affected population projection 2026]], 0.05)), "")</f>
        <v>0</v>
      </c>
      <c r="X187" s="322">
        <f>IFERROR(IF(tblPiNAnalysis512[[#This Row],[Education]]="", "", MROUND(tblPiNAnalysis512[[#This Row],[Education]]/tblPiNAnalysis512[[#This Row],[Affected population projection 2026]], 0.05)), "")</f>
        <v>0.2</v>
      </c>
      <c r="Y187" s="322">
        <f>IFERROR(IF(tblPiNAnalysis512[[#This Row],[Nutrition]]="", "", MROUND(tblPiNAnalysis512[[#This Row],[Nutrition]]/tblPiNAnalysis512[[#This Row],[Affected population projection 2026]], 0.05)), "")</f>
        <v>0.30000000000000004</v>
      </c>
      <c r="Z187" s="322">
        <f>IFERROR(IF(tblPiNAnalysis512[[#This Row],[Food Security]]="", "", MROUND(tblPiNAnalysis512[[#This Row],[Food Security]]/tblPiNAnalysis512[[#This Row],[Affected population projection 2026]], 0.05)), "")</f>
        <v>0.5</v>
      </c>
      <c r="AA187" s="322">
        <f>IFERROR(IF(tblPiNAnalysis512[[#This Row],[Health]]="", "", MROUND(tblPiNAnalysis512[[#This Row],[Health]]/tblPiNAnalysis512[[#This Row],[Affected population projection 2026]], 0.05)), "")</f>
        <v>0.35000000000000003</v>
      </c>
      <c r="AB187" s="323">
        <f>IFERROR(IF(tblPiNAnalysis512[[#This Row],[Overarching Protection]]="", "", MROUND(tblPiNAnalysis512[[#This Row],[Overarching Protection]]/tblPiNAnalysis512[[#This Row],[Affected population projection 2026]], 0.05)), "")</f>
        <v>0.30000000000000004</v>
      </c>
      <c r="AC187" s="323">
        <f>IFERROR(IF(tblPiNAnalysis512[[#This Row],[Shelter]]="", "", MROUND(tblPiNAnalysis512[[#This Row],[Shelter]]/tblPiNAnalysis512[[#This Row],[Affected population projection 2026]], 0.05)), "")</f>
        <v>0.35000000000000003</v>
      </c>
      <c r="AD187" s="324">
        <f>IFERROR(IF(tblPiNAnalysis512[[#This Row],[WASH]]="", "", MROUND(tblPiNAnalysis512[[#This Row],[WASH]]/tblPiNAnalysis512[[#This Row],[Affected population projection 2026]], 0.05)), "")</f>
        <v>0.55000000000000004</v>
      </c>
      <c r="AE187" s="322">
        <f>IFERROR(MROUND(tblPiNAnalysis512[[#This Row],[CP]]/tblPiNAnalysis512[[#This Row],[Affected population projection 2026]], 0.05), "")</f>
        <v>0</v>
      </c>
      <c r="AF187" s="322">
        <f>IFERROR(MROUND(tblPiNAnalysis512[[#This Row],[GBV]]/tblPiNAnalysis512[[#This Row],[Affected population projection 2026]], 0.05), "")</f>
        <v>0</v>
      </c>
      <c r="AG187" s="322">
        <f>IFERROR(MROUND(tblPiNAnalysis512[[#This Row],[Mine Action]]/tblPiNAnalysis512[[#This Row],[Affected population projection 2026]], 0.05), "")</f>
        <v>0</v>
      </c>
      <c r="AH187" s="322">
        <f>IFERROR(MROUND(tblPiNAnalysis512[[#This Row],[HLP]]/tblPiNAnalysis512[[#This Row],[Affected population projection 2026]], 0.05), "")</f>
        <v>0</v>
      </c>
      <c r="AI187" s="325">
        <f>IFERROR(LARGE(tblPiNAnalysis512[[#This Row],[CCCM]:[WASH]], 1), "")</f>
        <v>3248.4529320987654</v>
      </c>
      <c r="AJ187" s="326" t="str" cm="1">
        <f t="array" ref="AJ187">IF(tblPiNAnalysis512[[#This Row],[Highest Target]]="", "", _xlfn.TEXTJOIN(CHAR(10), TRUE, IF(tblPiNAnalysis512[[#This Row],[Highest Target]]=tblPiNAnalysis512[[#This Row],[CCCM]:[WASH]], tblPiNAnalysis512[[#Headers],[CCCM]:[WASH]], "")))</f>
        <v>WASH</v>
      </c>
      <c r="AK187" s="327">
        <f>IF(tblPiNAnalysis512[[#This Row],[Highest Target]]="", "", tblPiNAnalysis512[[#This Row],[Highest Target]]/tblPiNAnalysis512[[#This Row],[Affected population projection 2026]])</f>
        <v>0.57484567901234562</v>
      </c>
      <c r="AL187" s="328" t="str">
        <f>IF(SUM(tblPiNAnalysis512[[#This Row],[CCCM]:[WASH]])=0, "",IF(COUNTIF(tblPiNAnalysis512[[#This Row],[CCCM]:[WASH]],"=0")+COUNTIF(tblPiNAnalysis512[[#This Row],[CCCM]:[WASH]],"")&gt;=zero_pin_thresh, "Flagged", ""))</f>
        <v/>
      </c>
      <c r="AM187" s="329" t="str">
        <f>IFERROR(IF(tblPiNAnalysis512[[#This Row],[Highest Target]]="", "", IF(tblPiNAnalysis512[[#This Row],[Highest sector(s'') Target %]]&gt;=flag_pin_perc, "Flagged", "")), "")</f>
        <v/>
      </c>
      <c r="AN187" s="330" t="str" cm="1">
        <f t="array" ref="AN187">IF(tblPiNAnalysis512[[#This Row],[Highest Target]]=0, "",  IF(OR(COUNTIF(tblPiNAnalysis512[[#This Row],[Highest sector(s)]],tblSubSectorPopulation[Sector])), "Flagged", ""))</f>
        <v/>
      </c>
      <c r="AO187" s="46" cm="1">
        <f t="array" ref="AO18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2720.786999844061</v>
      </c>
      <c r="AP187" s="331" t="str" cm="1">
        <f t="array" ref="AP187">IF(tblPiNAnalysis512[[#This Row],[2nd Highest Target]]="", "", _xlfn.TEXTJOIN(CHAR(10), TRUE, IF(tblPiNAnalysis512[[#This Row],[2nd Highest Target]]=tblPiNAnalysis512[[#This Row],[CCCM]:[WASH]], tblPiNAnalysis512[[#Headers],[CCCM]:[WASH]], "")))</f>
        <v>Food Security</v>
      </c>
      <c r="AQ187" s="36">
        <f>IFERROR(tblPiNAnalysis512[[#This Row],[2nd Highest Target]]/tblPiNAnalysis512[[#This Row],[Affected population projection 2026]], "")</f>
        <v>0.48147000528119999</v>
      </c>
      <c r="AR187" s="46">
        <f>IFERROR(tblPiNAnalysis512[[#This Row],[Highest Target]]-tblPiNAnalysis512[[#This Row],[2nd Highest Target]], "")</f>
        <v>527.66593225470433</v>
      </c>
      <c r="AS187" s="39">
        <f>IFERROR(((tblPiNAnalysis512[[#This Row],[Highest Target]]-tblPiNAnalysis512[[#This Row],[2nd Highest Target]])/tblPiNAnalysis512[[#This Row],[2nd Highest Target]]),"")</f>
        <v>0.19393871416062591</v>
      </c>
      <c r="AT187" s="39" t="str" cm="1">
        <f t="array" ref="AT18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7" s="332" cm="1">
        <f t="array" ref="AU18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1977.85</v>
      </c>
      <c r="AV187" s="190" t="str" cm="1">
        <f t="array" ref="AV187">IF(tblPiNAnalysis512[[#This Row],[3rd Highest Target]]="", "", _xlfn.TEXTJOIN(CHAR(10), TRUE, IF(tblPiNAnalysis512[[#This Row],[3rd Highest Target]]=tblPiNAnalysis512[[#This Row],[CCCM]:[WASH]], tblPiNAnalysis512[[#Headers],[CCCM]:[WASH]], "")))</f>
        <v>Shelter</v>
      </c>
      <c r="AW187" s="190">
        <f>IFERROR(tblPiNAnalysis512[[#This Row],[3rd Highest Target]]/tblPiNAnalysis512[[#This Row],[Affected population projection 2026]], "")</f>
        <v>0.35</v>
      </c>
      <c r="AX187" s="45">
        <f>IFERROR(tblPiNAnalysis512[[#This Row],[Highest Target]]-tblPiNAnalysis512[[#This Row],[3rd Highest Target]],"")</f>
        <v>1270.6029320987655</v>
      </c>
      <c r="AY187" s="39">
        <f>IFERROR(tblPiNAnalysis512[[#This Row],[Difference of Target between Highest and 3rd Highest]]/tblPiNAnalysis512[[#This Row],[3rd Highest Target]], "")</f>
        <v>0.64241622574955914</v>
      </c>
      <c r="AZ187" s="330" t="str" cm="1">
        <f t="array" ref="AZ18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87" s="300" t="str" cm="1">
        <f t="array" ref="BA18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7" s="333" t="str" cm="1">
        <f t="array" ref="BB18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87" s="276" t="str" cm="1">
        <f t="array" ref="BC18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7" s="334" t="str" cm="1">
        <f t="array" ref="BD18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87" s="277" t="e">
        <f>INDEX(tblSeverityAnalysis[Final Severity], MATCH(tblPiNAnalysis512[[#This Row],[ID]],tblSeverityAnalysis[ID], 0))</f>
        <v>#N/A</v>
      </c>
      <c r="BF187" s="61" t="e">
        <f>IF(tblPiNAnalysis512[[#This Row],[Severity]]&gt;2,tblPiNAnalysis512[[#This Row],[Highest Target]],)</f>
        <v>#N/A</v>
      </c>
      <c r="BG187" s="191"/>
      <c r="BH187" s="192"/>
      <c r="BI187" s="193">
        <f>COUNTIFS(tblPiNAnalysis512[[#This Row],[Number of missing / zero PiNs greater than threshold - Data quality]:[Manual Flag]],"Flagged")</f>
        <v>1</v>
      </c>
      <c r="BJ187" s="96" t="str">
        <f>IF(tblPiNAnalysis512[[#This Row],['# Flags]]&gt;0, "Flagged", "")</f>
        <v>Flagged</v>
      </c>
      <c r="BK187" s="326" t="e">
        <f>tblPiNAnalysis512[[#This Row],[Preliminary Target]]</f>
        <v>#N/A</v>
      </c>
      <c r="BL187" s="331">
        <v>2</v>
      </c>
    </row>
    <row r="188" spans="1:64" x14ac:dyDescent="0.55000000000000004">
      <c r="A1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8" s="316" t="s">
        <v>292</v>
      </c>
      <c r="C188" s="317" t="s">
        <v>293</v>
      </c>
      <c r="D188" s="317" t="s">
        <v>294</v>
      </c>
      <c r="E188" s="105" t="s">
        <v>295</v>
      </c>
      <c r="F188" s="100"/>
      <c r="G188" s="34"/>
      <c r="H188" s="34"/>
      <c r="I188" s="97">
        <v>3073.7142857142899</v>
      </c>
      <c r="J188" s="97" t="s">
        <v>414</v>
      </c>
      <c r="K188" s="318"/>
      <c r="L188" s="319"/>
      <c r="M188" s="319"/>
      <c r="N188" s="319"/>
      <c r="O188" s="319"/>
      <c r="P188" s="319"/>
      <c r="Q188" s="320"/>
      <c r="R188" s="319"/>
      <c r="S188" s="319"/>
      <c r="T188" s="319"/>
      <c r="U188" s="319"/>
      <c r="V188" s="319"/>
      <c r="W188" s="321" t="str">
        <f>IFERROR(IF(tblPiNAnalysis512[[#This Row],[CCCM]]="", "", MROUND(tblPiNAnalysis512[[#This Row],[CCCM]]/tblPiNAnalysis512[[#This Row],[Affected population projection 2026]], 0.05)), "")</f>
        <v/>
      </c>
      <c r="X188" s="322" t="str">
        <f>IFERROR(IF(tblPiNAnalysis512[[#This Row],[Education]]="", "", MROUND(tblPiNAnalysis512[[#This Row],[Education]]/tblPiNAnalysis512[[#This Row],[Affected population projection 2026]], 0.05)), "")</f>
        <v/>
      </c>
      <c r="Y188" s="322" t="str">
        <f>IFERROR(IF(tblPiNAnalysis512[[#This Row],[Nutrition]]="", "", MROUND(tblPiNAnalysis512[[#This Row],[Nutrition]]/tblPiNAnalysis512[[#This Row],[Affected population projection 2026]], 0.05)), "")</f>
        <v/>
      </c>
      <c r="Z188" s="322" t="str">
        <f>IFERROR(IF(tblPiNAnalysis512[[#This Row],[Food Security]]="", "", MROUND(tblPiNAnalysis512[[#This Row],[Food Security]]/tblPiNAnalysis512[[#This Row],[Affected population projection 2026]], 0.05)), "")</f>
        <v/>
      </c>
      <c r="AA188" s="322" t="str">
        <f>IFERROR(IF(tblPiNAnalysis512[[#This Row],[Health]]="", "", MROUND(tblPiNAnalysis512[[#This Row],[Health]]/tblPiNAnalysis512[[#This Row],[Affected population projection 2026]], 0.05)), "")</f>
        <v/>
      </c>
      <c r="AB188" s="323" t="str">
        <f>IFERROR(IF(tblPiNAnalysis512[[#This Row],[Overarching Protection]]="", "", MROUND(tblPiNAnalysis512[[#This Row],[Overarching Protection]]/tblPiNAnalysis512[[#This Row],[Affected population projection 2026]], 0.05)), "")</f>
        <v/>
      </c>
      <c r="AC188" s="323" t="str">
        <f>IFERROR(IF(tblPiNAnalysis512[[#This Row],[Shelter]]="", "", MROUND(tblPiNAnalysis512[[#This Row],[Shelter]]/tblPiNAnalysis512[[#This Row],[Affected population projection 2026]], 0.05)), "")</f>
        <v/>
      </c>
      <c r="AD188" s="324" t="str">
        <f>IFERROR(IF(tblPiNAnalysis512[[#This Row],[WASH]]="", "", MROUND(tblPiNAnalysis512[[#This Row],[WASH]]/tblPiNAnalysis512[[#This Row],[Affected population projection 2026]], 0.05)), "")</f>
        <v/>
      </c>
      <c r="AE188" s="322">
        <f>IFERROR(MROUND(tblPiNAnalysis512[[#This Row],[CP]]/tblPiNAnalysis512[[#This Row],[Affected population projection 2026]], 0.05), "")</f>
        <v>0</v>
      </c>
      <c r="AF188" s="322">
        <f>IFERROR(MROUND(tblPiNAnalysis512[[#This Row],[GBV]]/tblPiNAnalysis512[[#This Row],[Affected population projection 2026]], 0.05), "")</f>
        <v>0</v>
      </c>
      <c r="AG188" s="322">
        <f>IFERROR(MROUND(tblPiNAnalysis512[[#This Row],[Mine Action]]/tblPiNAnalysis512[[#This Row],[Affected population projection 2026]], 0.05), "")</f>
        <v>0</v>
      </c>
      <c r="AH188" s="322">
        <f>IFERROR(MROUND(tblPiNAnalysis512[[#This Row],[HLP]]/tblPiNAnalysis512[[#This Row],[Affected population projection 2026]], 0.05), "")</f>
        <v>0</v>
      </c>
      <c r="AI188" s="325" t="str">
        <f>IFERROR(LARGE(tblPiNAnalysis512[[#This Row],[CCCM]:[WASH]], 1), "")</f>
        <v/>
      </c>
      <c r="AJ188" s="326" t="str" cm="1">
        <f t="array" ref="AJ188">IF(tblPiNAnalysis512[[#This Row],[Highest Target]]="", "", _xlfn.TEXTJOIN(CHAR(10), TRUE, IF(tblPiNAnalysis512[[#This Row],[Highest Target]]=tblPiNAnalysis512[[#This Row],[CCCM]:[WASH]], tblPiNAnalysis512[[#Headers],[CCCM]:[WASH]], "")))</f>
        <v/>
      </c>
      <c r="AK188" s="327" t="str">
        <f>IF(tblPiNAnalysis512[[#This Row],[Highest Target]]="", "", tblPiNAnalysis512[[#This Row],[Highest Target]]/tblPiNAnalysis512[[#This Row],[Affected population projection 2026]])</f>
        <v/>
      </c>
      <c r="AL188" s="328" t="str">
        <f>IF(SUM(tblPiNAnalysis512[[#This Row],[CCCM]:[WASH]])=0, "",IF(COUNTIF(tblPiNAnalysis512[[#This Row],[CCCM]:[WASH]],"=0")+COUNTIF(tblPiNAnalysis512[[#This Row],[CCCM]:[WASH]],"")&gt;=zero_pin_thresh, "Flagged", ""))</f>
        <v/>
      </c>
      <c r="AM188" s="329" t="str">
        <f>IFERROR(IF(tblPiNAnalysis512[[#This Row],[Highest Target]]="", "", IF(tblPiNAnalysis512[[#This Row],[Highest sector(s'') Target %]]&gt;=flag_pin_perc, "Flagged", "")), "")</f>
        <v/>
      </c>
      <c r="AN188" s="330" t="str" cm="1">
        <f t="array" ref="AN188">IF(tblPiNAnalysis512[[#This Row],[Highest Target]]=0, "",  IF(OR(COUNTIF(tblPiNAnalysis512[[#This Row],[Highest sector(s)]],tblSubSectorPopulation[Sector])), "Flagged", ""))</f>
        <v/>
      </c>
      <c r="AO188" s="46" t="str" cm="1">
        <f t="array" ref="AO18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88" s="331" t="str" cm="1">
        <f t="array" ref="AP188">IF(tblPiNAnalysis512[[#This Row],[2nd Highest Target]]="", "", _xlfn.TEXTJOIN(CHAR(10), TRUE, IF(tblPiNAnalysis512[[#This Row],[2nd Highest Target]]=tblPiNAnalysis512[[#This Row],[CCCM]:[WASH]], tblPiNAnalysis512[[#Headers],[CCCM]:[WASH]], "")))</f>
        <v/>
      </c>
      <c r="AQ188" s="36" t="str">
        <f>IFERROR(tblPiNAnalysis512[[#This Row],[2nd Highest Target]]/tblPiNAnalysis512[[#This Row],[Affected population projection 2026]], "")</f>
        <v/>
      </c>
      <c r="AR188" s="46" t="str">
        <f>IFERROR(tblPiNAnalysis512[[#This Row],[Highest Target]]-tblPiNAnalysis512[[#This Row],[2nd Highest Target]], "")</f>
        <v/>
      </c>
      <c r="AS188" s="39" t="str">
        <f>IFERROR(((tblPiNAnalysis512[[#This Row],[Highest Target]]-tblPiNAnalysis512[[#This Row],[2nd Highest Target]])/tblPiNAnalysis512[[#This Row],[2nd Highest Target]]),"")</f>
        <v/>
      </c>
      <c r="AT188" s="39" t="str" cm="1">
        <f t="array" ref="AT18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8" s="332" t="str" cm="1">
        <f t="array" ref="AU18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88" s="190" t="str" cm="1">
        <f t="array" ref="AV188">IF(tblPiNAnalysis512[[#This Row],[3rd Highest Target]]="", "", _xlfn.TEXTJOIN(CHAR(10), TRUE, IF(tblPiNAnalysis512[[#This Row],[3rd Highest Target]]=tblPiNAnalysis512[[#This Row],[CCCM]:[WASH]], tblPiNAnalysis512[[#Headers],[CCCM]:[WASH]], "")))</f>
        <v/>
      </c>
      <c r="AW188" s="190" t="str">
        <f>IFERROR(tblPiNAnalysis512[[#This Row],[3rd Highest Target]]/tblPiNAnalysis512[[#This Row],[Affected population projection 2026]], "")</f>
        <v/>
      </c>
      <c r="AX188" s="45" t="str">
        <f>IFERROR(tblPiNAnalysis512[[#This Row],[Highest Target]]-tblPiNAnalysis512[[#This Row],[3rd Highest Target]],"")</f>
        <v/>
      </c>
      <c r="AY188" s="39" t="str">
        <f>IFERROR(tblPiNAnalysis512[[#This Row],[Difference of Target between Highest and 3rd Highest]]/tblPiNAnalysis512[[#This Row],[3rd Highest Target]], "")</f>
        <v/>
      </c>
      <c r="AZ188" s="330" t="str" cm="1">
        <f t="array" ref="AZ18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8" s="300" t="str" cm="1">
        <f t="array" ref="BA18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8" s="333" t="str" cm="1">
        <f t="array" ref="BB18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8" s="276" t="str" cm="1">
        <f t="array" ref="BC18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8" s="334" t="str" cm="1">
        <f t="array" ref="BD18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8" s="277" t="e">
        <f>INDEX(tblSeverityAnalysis[Final Severity], MATCH(tblPiNAnalysis512[[#This Row],[ID]],tblSeverityAnalysis[ID], 0))</f>
        <v>#N/A</v>
      </c>
      <c r="BF188" s="61" t="e">
        <f>IF(tblPiNAnalysis512[[#This Row],[Severity]]&gt;2,tblPiNAnalysis512[[#This Row],[Highest Target]],)</f>
        <v>#N/A</v>
      </c>
      <c r="BG188" s="191"/>
      <c r="BH188" s="192"/>
      <c r="BI188" s="193">
        <f>COUNTIFS(tblPiNAnalysis512[[#This Row],[Number of missing / zero PiNs greater than threshold - Data quality]:[Manual Flag]],"Flagged")</f>
        <v>2</v>
      </c>
      <c r="BJ188" s="96" t="str">
        <f>IF(tblPiNAnalysis512[[#This Row],['# Flags]]&gt;0, "Flagged", "")</f>
        <v>Flagged</v>
      </c>
      <c r="BK188" s="326" t="e">
        <f>tblPiNAnalysis512[[#This Row],[Preliminary Target]]</f>
        <v>#N/A</v>
      </c>
      <c r="BL188" s="331">
        <v>3</v>
      </c>
    </row>
    <row r="189" spans="1:64" ht="110.7" x14ac:dyDescent="0.55000000000000004">
      <c r="A1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9" s="316" t="s">
        <v>292</v>
      </c>
      <c r="C189" s="317" t="s">
        <v>293</v>
      </c>
      <c r="D189" s="317" t="s">
        <v>296</v>
      </c>
      <c r="E189" s="105" t="s">
        <v>297</v>
      </c>
      <c r="F189" s="100"/>
      <c r="G189" s="34"/>
      <c r="H189" s="34"/>
      <c r="I189" s="97">
        <v>1148</v>
      </c>
      <c r="J189" s="97" t="s">
        <v>414</v>
      </c>
      <c r="K189" s="318">
        <v>0</v>
      </c>
      <c r="L189" s="319">
        <v>0</v>
      </c>
      <c r="M189" s="319">
        <v>0</v>
      </c>
      <c r="N189" s="319">
        <v>0</v>
      </c>
      <c r="O189" s="319">
        <v>0</v>
      </c>
      <c r="P189" s="319">
        <v>0</v>
      </c>
      <c r="Q189" s="320">
        <v>0</v>
      </c>
      <c r="R189" s="319">
        <v>0</v>
      </c>
      <c r="S189" s="319"/>
      <c r="T189" s="319"/>
      <c r="U189" s="319"/>
      <c r="V189" s="319"/>
      <c r="W189" s="321">
        <f>IFERROR(IF(tblPiNAnalysis512[[#This Row],[CCCM]]="", "", MROUND(tblPiNAnalysis512[[#This Row],[CCCM]]/tblPiNAnalysis512[[#This Row],[Affected population projection 2026]], 0.05)), "")</f>
        <v>0</v>
      </c>
      <c r="X189" s="322">
        <f>IFERROR(IF(tblPiNAnalysis512[[#This Row],[Education]]="", "", MROUND(tblPiNAnalysis512[[#This Row],[Education]]/tblPiNAnalysis512[[#This Row],[Affected population projection 2026]], 0.05)), "")</f>
        <v>0</v>
      </c>
      <c r="Y189" s="322">
        <f>IFERROR(IF(tblPiNAnalysis512[[#This Row],[Nutrition]]="", "", MROUND(tblPiNAnalysis512[[#This Row],[Nutrition]]/tblPiNAnalysis512[[#This Row],[Affected population projection 2026]], 0.05)), "")</f>
        <v>0</v>
      </c>
      <c r="Z189" s="322">
        <f>IFERROR(IF(tblPiNAnalysis512[[#This Row],[Food Security]]="", "", MROUND(tblPiNAnalysis512[[#This Row],[Food Security]]/tblPiNAnalysis512[[#This Row],[Affected population projection 2026]], 0.05)), "")</f>
        <v>0</v>
      </c>
      <c r="AA189" s="322">
        <f>IFERROR(IF(tblPiNAnalysis512[[#This Row],[Health]]="", "", MROUND(tblPiNAnalysis512[[#This Row],[Health]]/tblPiNAnalysis512[[#This Row],[Affected population projection 2026]], 0.05)), "")</f>
        <v>0</v>
      </c>
      <c r="AB189" s="323">
        <f>IFERROR(IF(tblPiNAnalysis512[[#This Row],[Overarching Protection]]="", "", MROUND(tblPiNAnalysis512[[#This Row],[Overarching Protection]]/tblPiNAnalysis512[[#This Row],[Affected population projection 2026]], 0.05)), "")</f>
        <v>0</v>
      </c>
      <c r="AC189" s="323">
        <f>IFERROR(IF(tblPiNAnalysis512[[#This Row],[Shelter]]="", "", MROUND(tblPiNAnalysis512[[#This Row],[Shelter]]/tblPiNAnalysis512[[#This Row],[Affected population projection 2026]], 0.05)), "")</f>
        <v>0</v>
      </c>
      <c r="AD189" s="324">
        <f>IFERROR(IF(tblPiNAnalysis512[[#This Row],[WASH]]="", "", MROUND(tblPiNAnalysis512[[#This Row],[WASH]]/tblPiNAnalysis512[[#This Row],[Affected population projection 2026]], 0.05)), "")</f>
        <v>0</v>
      </c>
      <c r="AE189" s="322">
        <f>IFERROR(MROUND(tblPiNAnalysis512[[#This Row],[CP]]/tblPiNAnalysis512[[#This Row],[Affected population projection 2026]], 0.05), "")</f>
        <v>0</v>
      </c>
      <c r="AF189" s="322">
        <f>IFERROR(MROUND(tblPiNAnalysis512[[#This Row],[GBV]]/tblPiNAnalysis512[[#This Row],[Affected population projection 2026]], 0.05), "")</f>
        <v>0</v>
      </c>
      <c r="AG189" s="322">
        <f>IFERROR(MROUND(tblPiNAnalysis512[[#This Row],[Mine Action]]/tblPiNAnalysis512[[#This Row],[Affected population projection 2026]], 0.05), "")</f>
        <v>0</v>
      </c>
      <c r="AH189" s="322">
        <f>IFERROR(MROUND(tblPiNAnalysis512[[#This Row],[HLP]]/tblPiNAnalysis512[[#This Row],[Affected population projection 2026]], 0.05), "")</f>
        <v>0</v>
      </c>
      <c r="AI189" s="325">
        <f>IFERROR(LARGE(tblPiNAnalysis512[[#This Row],[CCCM]:[WASH]], 1), "")</f>
        <v>0</v>
      </c>
      <c r="AJ189" s="326" t="str" cm="1">
        <f t="array" ref="AJ189">IF(tblPiNAnalysis512[[#This Row],[Highest Target]]="", "", _xlfn.TEXTJOIN(CHAR(10), TRUE, IF(tblPiNAnalysis512[[#This Row],[Highest Target]]=tblPiNAnalysis512[[#This Row],[CCCM]:[WASH]], tblPiNAnalysis512[[#Headers],[CCCM]:[WASH]], "")))</f>
        <v>CCCM
Education
Nutrition
Food Security
Health
Overarching Protection
Shelter
WASH</v>
      </c>
      <c r="AK189" s="327">
        <f>IF(tblPiNAnalysis512[[#This Row],[Highest Target]]="", "", tblPiNAnalysis512[[#This Row],[Highest Target]]/tblPiNAnalysis512[[#This Row],[Affected population projection 2026]])</f>
        <v>0</v>
      </c>
      <c r="AL189" s="328" t="str">
        <f>IF(SUM(tblPiNAnalysis512[[#This Row],[CCCM]:[WASH]])=0, "",IF(COUNTIF(tblPiNAnalysis512[[#This Row],[CCCM]:[WASH]],"=0")+COUNTIF(tblPiNAnalysis512[[#This Row],[CCCM]:[WASH]],"")&gt;=zero_pin_thresh, "Flagged", ""))</f>
        <v/>
      </c>
      <c r="AM189" s="329" t="str">
        <f>IFERROR(IF(tblPiNAnalysis512[[#This Row],[Highest Target]]="", "", IF(tblPiNAnalysis512[[#This Row],[Highest sector(s'') Target %]]&gt;=flag_pin_perc, "Flagged", "")), "")</f>
        <v/>
      </c>
      <c r="AN189" s="330" t="str" cm="1">
        <f t="array" ref="AN189">IF(tblPiNAnalysis512[[#This Row],[Highest Target]]=0, "",  IF(OR(COUNTIF(tblPiNAnalysis512[[#This Row],[Highest sector(s)]],tblSubSectorPopulation[Sector])), "Flagged", ""))</f>
        <v/>
      </c>
      <c r="AO189" s="46" cm="1">
        <f t="array" ref="AO18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89" s="331" t="str" cm="1">
        <f t="array" ref="AP189">IF(tblPiNAnalysis512[[#This Row],[2nd Highest Target]]="", "", _xlfn.TEXTJOIN(CHAR(10), TRUE, IF(tblPiNAnalysis512[[#This Row],[2nd Highest Target]]=tblPiNAnalysis512[[#This Row],[CCCM]:[WASH]], tblPiNAnalysis512[[#Headers],[CCCM]:[WASH]], "")))</f>
        <v>CCCM
Education
Nutrition
Food Security
Health
Overarching Protection
Shelter
WASH</v>
      </c>
      <c r="AQ189" s="36">
        <f>IFERROR(tblPiNAnalysis512[[#This Row],[2nd Highest Target]]/tblPiNAnalysis512[[#This Row],[Affected population projection 2026]], "")</f>
        <v>0</v>
      </c>
      <c r="AR189" s="46">
        <f>IFERROR(tblPiNAnalysis512[[#This Row],[Highest Target]]-tblPiNAnalysis512[[#This Row],[2nd Highest Target]], "")</f>
        <v>0</v>
      </c>
      <c r="AS189" s="39" t="str">
        <f>IFERROR(((tblPiNAnalysis512[[#This Row],[Highest Target]]-tblPiNAnalysis512[[#This Row],[2nd Highest Target]])/tblPiNAnalysis512[[#This Row],[2nd Highest Target]]),"")</f>
        <v/>
      </c>
      <c r="AT189" s="39" t="str" cm="1">
        <f t="array" ref="AT18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89" s="332" cm="1">
        <f t="array" ref="AU18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89" s="190" t="str" cm="1">
        <f t="array" ref="AV189">IF(tblPiNAnalysis512[[#This Row],[3rd Highest Target]]="", "", _xlfn.TEXTJOIN(CHAR(10), TRUE, IF(tblPiNAnalysis512[[#This Row],[3rd Highest Target]]=tblPiNAnalysis512[[#This Row],[CCCM]:[WASH]], tblPiNAnalysis512[[#Headers],[CCCM]:[WASH]], "")))</f>
        <v>CCCM
Education
Nutrition
Food Security
Health
Overarching Protection
Shelter
WASH</v>
      </c>
      <c r="AW189" s="190">
        <f>IFERROR(tblPiNAnalysis512[[#This Row],[3rd Highest Target]]/tblPiNAnalysis512[[#This Row],[Affected population projection 2026]], "")</f>
        <v>0</v>
      </c>
      <c r="AX189" s="45">
        <f>IFERROR(tblPiNAnalysis512[[#This Row],[Highest Target]]-tblPiNAnalysis512[[#This Row],[3rd Highest Target]],"")</f>
        <v>0</v>
      </c>
      <c r="AY189" s="39" t="str">
        <f>IFERROR(tblPiNAnalysis512[[#This Row],[Difference of Target between Highest and 3rd Highest]]/tblPiNAnalysis512[[#This Row],[3rd Highest Target]], "")</f>
        <v/>
      </c>
      <c r="AZ189" s="330" t="str" cm="1">
        <f t="array" ref="AZ18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89" s="300" t="str" cm="1">
        <f t="array" ref="BA18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89" s="333" t="str" cm="1">
        <f t="array" ref="BB18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89" s="276" t="str" cm="1">
        <f t="array" ref="BC18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89" s="334" t="str" cm="1">
        <f t="array" ref="BD18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89" s="277" t="e">
        <f>INDEX(tblSeverityAnalysis[Final Severity], MATCH(tblPiNAnalysis512[[#This Row],[ID]],tblSeverityAnalysis[ID], 0))</f>
        <v>#N/A</v>
      </c>
      <c r="BF189" s="61" t="e">
        <f>IF(tblPiNAnalysis512[[#This Row],[Severity]]&gt;2,tblPiNAnalysis512[[#This Row],[Highest Target]],)</f>
        <v>#N/A</v>
      </c>
      <c r="BG189" s="191"/>
      <c r="BH189" s="192"/>
      <c r="BI189" s="193">
        <f>COUNTIFS(tblPiNAnalysis512[[#This Row],[Number of missing / zero PiNs greater than threshold - Data quality]:[Manual Flag]],"Flagged")</f>
        <v>2</v>
      </c>
      <c r="BJ189" s="96" t="str">
        <f>IF(tblPiNAnalysis512[[#This Row],['# Flags]]&gt;0, "Flagged", "")</f>
        <v>Flagged</v>
      </c>
      <c r="BK189" s="326" t="e">
        <f>tblPiNAnalysis512[[#This Row],[Preliminary Target]]</f>
        <v>#N/A</v>
      </c>
      <c r="BL189" s="331">
        <v>5</v>
      </c>
    </row>
    <row r="190" spans="1:64" ht="110.7" x14ac:dyDescent="0.55000000000000004">
      <c r="A1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0" s="316" t="s">
        <v>292</v>
      </c>
      <c r="C190" s="317" t="s">
        <v>293</v>
      </c>
      <c r="D190" s="317" t="s">
        <v>298</v>
      </c>
      <c r="E190" s="105" t="s">
        <v>299</v>
      </c>
      <c r="F190" s="100"/>
      <c r="G190" s="34"/>
      <c r="H190" s="34"/>
      <c r="I190" s="97">
        <v>2881</v>
      </c>
      <c r="J190" s="97" t="s">
        <v>414</v>
      </c>
      <c r="K190" s="318">
        <v>0</v>
      </c>
      <c r="L190" s="319">
        <v>0</v>
      </c>
      <c r="M190" s="319">
        <v>0</v>
      </c>
      <c r="N190" s="319">
        <v>0</v>
      </c>
      <c r="O190" s="319">
        <v>0</v>
      </c>
      <c r="P190" s="319">
        <v>0</v>
      </c>
      <c r="Q190" s="320">
        <v>0</v>
      </c>
      <c r="R190" s="319">
        <v>0</v>
      </c>
      <c r="S190" s="319"/>
      <c r="T190" s="319"/>
      <c r="U190" s="319"/>
      <c r="V190" s="319"/>
      <c r="W190" s="321">
        <f>IFERROR(IF(tblPiNAnalysis512[[#This Row],[CCCM]]="", "", MROUND(tblPiNAnalysis512[[#This Row],[CCCM]]/tblPiNAnalysis512[[#This Row],[Affected population projection 2026]], 0.05)), "")</f>
        <v>0</v>
      </c>
      <c r="X190" s="322">
        <f>IFERROR(IF(tblPiNAnalysis512[[#This Row],[Education]]="", "", MROUND(tblPiNAnalysis512[[#This Row],[Education]]/tblPiNAnalysis512[[#This Row],[Affected population projection 2026]], 0.05)), "")</f>
        <v>0</v>
      </c>
      <c r="Y190" s="322">
        <f>IFERROR(IF(tblPiNAnalysis512[[#This Row],[Nutrition]]="", "", MROUND(tblPiNAnalysis512[[#This Row],[Nutrition]]/tblPiNAnalysis512[[#This Row],[Affected population projection 2026]], 0.05)), "")</f>
        <v>0</v>
      </c>
      <c r="Z190" s="322">
        <f>IFERROR(IF(tblPiNAnalysis512[[#This Row],[Food Security]]="", "", MROUND(tblPiNAnalysis512[[#This Row],[Food Security]]/tblPiNAnalysis512[[#This Row],[Affected population projection 2026]], 0.05)), "")</f>
        <v>0</v>
      </c>
      <c r="AA190" s="322">
        <f>IFERROR(IF(tblPiNAnalysis512[[#This Row],[Health]]="", "", MROUND(tblPiNAnalysis512[[#This Row],[Health]]/tblPiNAnalysis512[[#This Row],[Affected population projection 2026]], 0.05)), "")</f>
        <v>0</v>
      </c>
      <c r="AB190" s="323">
        <f>IFERROR(IF(tblPiNAnalysis512[[#This Row],[Overarching Protection]]="", "", MROUND(tblPiNAnalysis512[[#This Row],[Overarching Protection]]/tblPiNAnalysis512[[#This Row],[Affected population projection 2026]], 0.05)), "")</f>
        <v>0</v>
      </c>
      <c r="AC190" s="323">
        <f>IFERROR(IF(tblPiNAnalysis512[[#This Row],[Shelter]]="", "", MROUND(tblPiNAnalysis512[[#This Row],[Shelter]]/tblPiNAnalysis512[[#This Row],[Affected population projection 2026]], 0.05)), "")</f>
        <v>0</v>
      </c>
      <c r="AD190" s="324">
        <f>IFERROR(IF(tblPiNAnalysis512[[#This Row],[WASH]]="", "", MROUND(tblPiNAnalysis512[[#This Row],[WASH]]/tblPiNAnalysis512[[#This Row],[Affected population projection 2026]], 0.05)), "")</f>
        <v>0</v>
      </c>
      <c r="AE190" s="322">
        <f>IFERROR(MROUND(tblPiNAnalysis512[[#This Row],[CP]]/tblPiNAnalysis512[[#This Row],[Affected population projection 2026]], 0.05), "")</f>
        <v>0</v>
      </c>
      <c r="AF190" s="322">
        <f>IFERROR(MROUND(tblPiNAnalysis512[[#This Row],[GBV]]/tblPiNAnalysis512[[#This Row],[Affected population projection 2026]], 0.05), "")</f>
        <v>0</v>
      </c>
      <c r="AG190" s="322">
        <f>IFERROR(MROUND(tblPiNAnalysis512[[#This Row],[Mine Action]]/tblPiNAnalysis512[[#This Row],[Affected population projection 2026]], 0.05), "")</f>
        <v>0</v>
      </c>
      <c r="AH190" s="322">
        <f>IFERROR(MROUND(tblPiNAnalysis512[[#This Row],[HLP]]/tblPiNAnalysis512[[#This Row],[Affected population projection 2026]], 0.05), "")</f>
        <v>0</v>
      </c>
      <c r="AI190" s="325">
        <f>IFERROR(LARGE(tblPiNAnalysis512[[#This Row],[CCCM]:[WASH]], 1), "")</f>
        <v>0</v>
      </c>
      <c r="AJ190" s="326" t="str" cm="1">
        <f t="array" ref="AJ190">IF(tblPiNAnalysis512[[#This Row],[Highest Target]]="", "", _xlfn.TEXTJOIN(CHAR(10), TRUE, IF(tblPiNAnalysis512[[#This Row],[Highest Target]]=tblPiNAnalysis512[[#This Row],[CCCM]:[WASH]], tblPiNAnalysis512[[#Headers],[CCCM]:[WASH]], "")))</f>
        <v>CCCM
Education
Nutrition
Food Security
Health
Overarching Protection
Shelter
WASH</v>
      </c>
      <c r="AK190" s="327">
        <f>IF(tblPiNAnalysis512[[#This Row],[Highest Target]]="", "", tblPiNAnalysis512[[#This Row],[Highest Target]]/tblPiNAnalysis512[[#This Row],[Affected population projection 2026]])</f>
        <v>0</v>
      </c>
      <c r="AL190" s="328" t="str">
        <f>IF(SUM(tblPiNAnalysis512[[#This Row],[CCCM]:[WASH]])=0, "",IF(COUNTIF(tblPiNAnalysis512[[#This Row],[CCCM]:[WASH]],"=0")+COUNTIF(tblPiNAnalysis512[[#This Row],[CCCM]:[WASH]],"")&gt;=zero_pin_thresh, "Flagged", ""))</f>
        <v/>
      </c>
      <c r="AM190" s="329" t="str">
        <f>IFERROR(IF(tblPiNAnalysis512[[#This Row],[Highest Target]]="", "", IF(tblPiNAnalysis512[[#This Row],[Highest sector(s'') Target %]]&gt;=flag_pin_perc, "Flagged", "")), "")</f>
        <v/>
      </c>
      <c r="AN190" s="330" t="str" cm="1">
        <f t="array" ref="AN190">IF(tblPiNAnalysis512[[#This Row],[Highest Target]]=0, "",  IF(OR(COUNTIF(tblPiNAnalysis512[[#This Row],[Highest sector(s)]],tblSubSectorPopulation[Sector])), "Flagged", ""))</f>
        <v/>
      </c>
      <c r="AO190" s="46" cm="1">
        <f t="array" ref="AO19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90" s="331" t="str" cm="1">
        <f t="array" ref="AP190">IF(tblPiNAnalysis512[[#This Row],[2nd Highest Target]]="", "", _xlfn.TEXTJOIN(CHAR(10), TRUE, IF(tblPiNAnalysis512[[#This Row],[2nd Highest Target]]=tblPiNAnalysis512[[#This Row],[CCCM]:[WASH]], tblPiNAnalysis512[[#Headers],[CCCM]:[WASH]], "")))</f>
        <v>CCCM
Education
Nutrition
Food Security
Health
Overarching Protection
Shelter
WASH</v>
      </c>
      <c r="AQ190" s="36">
        <f>IFERROR(tblPiNAnalysis512[[#This Row],[2nd Highest Target]]/tblPiNAnalysis512[[#This Row],[Affected population projection 2026]], "")</f>
        <v>0</v>
      </c>
      <c r="AR190" s="46">
        <f>IFERROR(tblPiNAnalysis512[[#This Row],[Highest Target]]-tblPiNAnalysis512[[#This Row],[2nd Highest Target]], "")</f>
        <v>0</v>
      </c>
      <c r="AS190" s="39" t="str">
        <f>IFERROR(((tblPiNAnalysis512[[#This Row],[Highest Target]]-tblPiNAnalysis512[[#This Row],[2nd Highest Target]])/tblPiNAnalysis512[[#This Row],[2nd Highest Target]]),"")</f>
        <v/>
      </c>
      <c r="AT190" s="39" t="str" cm="1">
        <f t="array" ref="AT19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0" s="332" cm="1">
        <f t="array" ref="AU19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90" s="190" t="str" cm="1">
        <f t="array" ref="AV190">IF(tblPiNAnalysis512[[#This Row],[3rd Highest Target]]="", "", _xlfn.TEXTJOIN(CHAR(10), TRUE, IF(tblPiNAnalysis512[[#This Row],[3rd Highest Target]]=tblPiNAnalysis512[[#This Row],[CCCM]:[WASH]], tblPiNAnalysis512[[#Headers],[CCCM]:[WASH]], "")))</f>
        <v>CCCM
Education
Nutrition
Food Security
Health
Overarching Protection
Shelter
WASH</v>
      </c>
      <c r="AW190" s="190">
        <f>IFERROR(tblPiNAnalysis512[[#This Row],[3rd Highest Target]]/tblPiNAnalysis512[[#This Row],[Affected population projection 2026]], "")</f>
        <v>0</v>
      </c>
      <c r="AX190" s="45">
        <f>IFERROR(tblPiNAnalysis512[[#This Row],[Highest Target]]-tblPiNAnalysis512[[#This Row],[3rd Highest Target]],"")</f>
        <v>0</v>
      </c>
      <c r="AY190" s="39" t="str">
        <f>IFERROR(tblPiNAnalysis512[[#This Row],[Difference of Target between Highest and 3rd Highest]]/tblPiNAnalysis512[[#This Row],[3rd Highest Target]], "")</f>
        <v/>
      </c>
      <c r="AZ190" s="330" t="str" cm="1">
        <f t="array" ref="AZ19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0" s="300" t="str" cm="1">
        <f t="array" ref="BA19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0" s="333" t="str" cm="1">
        <f t="array" ref="BB19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0" s="276" t="str" cm="1">
        <f t="array" ref="BC19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0" s="334" t="str" cm="1">
        <f t="array" ref="BD19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0" s="277" t="e">
        <f>INDEX(tblSeverityAnalysis[Final Severity], MATCH(tblPiNAnalysis512[[#This Row],[ID]],tblSeverityAnalysis[ID], 0))</f>
        <v>#N/A</v>
      </c>
      <c r="BF190" s="61" t="e">
        <f>IF(tblPiNAnalysis512[[#This Row],[Severity]]&gt;2,tblPiNAnalysis512[[#This Row],[Highest Target]],)</f>
        <v>#N/A</v>
      </c>
      <c r="BG190" s="191"/>
      <c r="BH190" s="192"/>
      <c r="BI190" s="193">
        <f>COUNTIFS(tblPiNAnalysis512[[#This Row],[Number of missing / zero PiNs greater than threshold - Data quality]:[Manual Flag]],"Flagged")</f>
        <v>2</v>
      </c>
      <c r="BJ190" s="96" t="str">
        <f>IF(tblPiNAnalysis512[[#This Row],['# Flags]]&gt;0, "Flagged", "")</f>
        <v>Flagged</v>
      </c>
      <c r="BK190" s="326" t="e">
        <f>tblPiNAnalysis512[[#This Row],[Preliminary Target]]</f>
        <v>#N/A</v>
      </c>
      <c r="BL190" s="331">
        <v>4</v>
      </c>
    </row>
    <row r="191" spans="1:64" ht="110.7" x14ac:dyDescent="0.55000000000000004">
      <c r="A1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1" s="316" t="s">
        <v>292</v>
      </c>
      <c r="C191" s="317" t="s">
        <v>293</v>
      </c>
      <c r="D191" s="317" t="s">
        <v>300</v>
      </c>
      <c r="E191" s="105" t="s">
        <v>301</v>
      </c>
      <c r="F191" s="100"/>
      <c r="G191" s="34"/>
      <c r="H191" s="34"/>
      <c r="I191" s="97">
        <v>6622</v>
      </c>
      <c r="J191" s="97" t="s">
        <v>414</v>
      </c>
      <c r="K191" s="318">
        <v>0</v>
      </c>
      <c r="L191" s="319">
        <v>0</v>
      </c>
      <c r="M191" s="319">
        <v>0</v>
      </c>
      <c r="N191" s="319">
        <v>0</v>
      </c>
      <c r="O191" s="319">
        <v>0</v>
      </c>
      <c r="P191" s="319">
        <v>0</v>
      </c>
      <c r="Q191" s="320">
        <v>0</v>
      </c>
      <c r="R191" s="319">
        <v>0</v>
      </c>
      <c r="S191" s="319"/>
      <c r="T191" s="319"/>
      <c r="U191" s="319"/>
      <c r="V191" s="319"/>
      <c r="W191" s="321">
        <f>IFERROR(IF(tblPiNAnalysis512[[#This Row],[CCCM]]="", "", MROUND(tblPiNAnalysis512[[#This Row],[CCCM]]/tblPiNAnalysis512[[#This Row],[Affected population projection 2026]], 0.05)), "")</f>
        <v>0</v>
      </c>
      <c r="X191" s="322">
        <f>IFERROR(IF(tblPiNAnalysis512[[#This Row],[Education]]="", "", MROUND(tblPiNAnalysis512[[#This Row],[Education]]/tblPiNAnalysis512[[#This Row],[Affected population projection 2026]], 0.05)), "")</f>
        <v>0</v>
      </c>
      <c r="Y191" s="322">
        <f>IFERROR(IF(tblPiNAnalysis512[[#This Row],[Nutrition]]="", "", MROUND(tblPiNAnalysis512[[#This Row],[Nutrition]]/tblPiNAnalysis512[[#This Row],[Affected population projection 2026]], 0.05)), "")</f>
        <v>0</v>
      </c>
      <c r="Z191" s="322">
        <f>IFERROR(IF(tblPiNAnalysis512[[#This Row],[Food Security]]="", "", MROUND(tblPiNAnalysis512[[#This Row],[Food Security]]/tblPiNAnalysis512[[#This Row],[Affected population projection 2026]], 0.05)), "")</f>
        <v>0</v>
      </c>
      <c r="AA191" s="322">
        <f>IFERROR(IF(tblPiNAnalysis512[[#This Row],[Health]]="", "", MROUND(tblPiNAnalysis512[[#This Row],[Health]]/tblPiNAnalysis512[[#This Row],[Affected population projection 2026]], 0.05)), "")</f>
        <v>0</v>
      </c>
      <c r="AB191" s="323">
        <f>IFERROR(IF(tblPiNAnalysis512[[#This Row],[Overarching Protection]]="", "", MROUND(tblPiNAnalysis512[[#This Row],[Overarching Protection]]/tblPiNAnalysis512[[#This Row],[Affected population projection 2026]], 0.05)), "")</f>
        <v>0</v>
      </c>
      <c r="AC191" s="323">
        <f>IFERROR(IF(tblPiNAnalysis512[[#This Row],[Shelter]]="", "", MROUND(tblPiNAnalysis512[[#This Row],[Shelter]]/tblPiNAnalysis512[[#This Row],[Affected population projection 2026]], 0.05)), "")</f>
        <v>0</v>
      </c>
      <c r="AD191" s="324">
        <f>IFERROR(IF(tblPiNAnalysis512[[#This Row],[WASH]]="", "", MROUND(tblPiNAnalysis512[[#This Row],[WASH]]/tblPiNAnalysis512[[#This Row],[Affected population projection 2026]], 0.05)), "")</f>
        <v>0</v>
      </c>
      <c r="AE191" s="322">
        <f>IFERROR(MROUND(tblPiNAnalysis512[[#This Row],[CP]]/tblPiNAnalysis512[[#This Row],[Affected population projection 2026]], 0.05), "")</f>
        <v>0</v>
      </c>
      <c r="AF191" s="322">
        <f>IFERROR(MROUND(tblPiNAnalysis512[[#This Row],[GBV]]/tblPiNAnalysis512[[#This Row],[Affected population projection 2026]], 0.05), "")</f>
        <v>0</v>
      </c>
      <c r="AG191" s="322">
        <f>IFERROR(MROUND(tblPiNAnalysis512[[#This Row],[Mine Action]]/tblPiNAnalysis512[[#This Row],[Affected population projection 2026]], 0.05), "")</f>
        <v>0</v>
      </c>
      <c r="AH191" s="322">
        <f>IFERROR(MROUND(tblPiNAnalysis512[[#This Row],[HLP]]/tblPiNAnalysis512[[#This Row],[Affected population projection 2026]], 0.05), "")</f>
        <v>0</v>
      </c>
      <c r="AI191" s="325">
        <f>IFERROR(LARGE(tblPiNAnalysis512[[#This Row],[CCCM]:[WASH]], 1), "")</f>
        <v>0</v>
      </c>
      <c r="AJ191" s="326" t="str" cm="1">
        <f t="array" ref="AJ191">IF(tblPiNAnalysis512[[#This Row],[Highest Target]]="", "", _xlfn.TEXTJOIN(CHAR(10), TRUE, IF(tblPiNAnalysis512[[#This Row],[Highest Target]]=tblPiNAnalysis512[[#This Row],[CCCM]:[WASH]], tblPiNAnalysis512[[#Headers],[CCCM]:[WASH]], "")))</f>
        <v>CCCM
Education
Nutrition
Food Security
Health
Overarching Protection
Shelter
WASH</v>
      </c>
      <c r="AK191" s="327">
        <f>IF(tblPiNAnalysis512[[#This Row],[Highest Target]]="", "", tblPiNAnalysis512[[#This Row],[Highest Target]]/tblPiNAnalysis512[[#This Row],[Affected population projection 2026]])</f>
        <v>0</v>
      </c>
      <c r="AL191" s="328" t="str">
        <f>IF(SUM(tblPiNAnalysis512[[#This Row],[CCCM]:[WASH]])=0, "",IF(COUNTIF(tblPiNAnalysis512[[#This Row],[CCCM]:[WASH]],"=0")+COUNTIF(tblPiNAnalysis512[[#This Row],[CCCM]:[WASH]],"")&gt;=zero_pin_thresh, "Flagged", ""))</f>
        <v/>
      </c>
      <c r="AM191" s="329" t="str">
        <f>IFERROR(IF(tblPiNAnalysis512[[#This Row],[Highest Target]]="", "", IF(tblPiNAnalysis512[[#This Row],[Highest sector(s'') Target %]]&gt;=flag_pin_perc, "Flagged", "")), "")</f>
        <v/>
      </c>
      <c r="AN191" s="330" t="str" cm="1">
        <f t="array" ref="AN191">IF(tblPiNAnalysis512[[#This Row],[Highest Target]]=0, "",  IF(OR(COUNTIF(tblPiNAnalysis512[[#This Row],[Highest sector(s)]],tblSubSectorPopulation[Sector])), "Flagged", ""))</f>
        <v/>
      </c>
      <c r="AO191" s="46" cm="1">
        <f t="array" ref="AO19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91" s="331" t="str" cm="1">
        <f t="array" ref="AP191">IF(tblPiNAnalysis512[[#This Row],[2nd Highest Target]]="", "", _xlfn.TEXTJOIN(CHAR(10), TRUE, IF(tblPiNAnalysis512[[#This Row],[2nd Highest Target]]=tblPiNAnalysis512[[#This Row],[CCCM]:[WASH]], tblPiNAnalysis512[[#Headers],[CCCM]:[WASH]], "")))</f>
        <v>CCCM
Education
Nutrition
Food Security
Health
Overarching Protection
Shelter
WASH</v>
      </c>
      <c r="AQ191" s="36">
        <f>IFERROR(tblPiNAnalysis512[[#This Row],[2nd Highest Target]]/tblPiNAnalysis512[[#This Row],[Affected population projection 2026]], "")</f>
        <v>0</v>
      </c>
      <c r="AR191" s="46">
        <f>IFERROR(tblPiNAnalysis512[[#This Row],[Highest Target]]-tblPiNAnalysis512[[#This Row],[2nd Highest Target]], "")</f>
        <v>0</v>
      </c>
      <c r="AS191" s="39" t="str">
        <f>IFERROR(((tblPiNAnalysis512[[#This Row],[Highest Target]]-tblPiNAnalysis512[[#This Row],[2nd Highest Target]])/tblPiNAnalysis512[[#This Row],[2nd Highest Target]]),"")</f>
        <v/>
      </c>
      <c r="AT191" s="39" t="str" cm="1">
        <f t="array" ref="AT19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1" s="332" cm="1">
        <f t="array" ref="AU19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91" s="190" t="str" cm="1">
        <f t="array" ref="AV191">IF(tblPiNAnalysis512[[#This Row],[3rd Highest Target]]="", "", _xlfn.TEXTJOIN(CHAR(10), TRUE, IF(tblPiNAnalysis512[[#This Row],[3rd Highest Target]]=tblPiNAnalysis512[[#This Row],[CCCM]:[WASH]], tblPiNAnalysis512[[#Headers],[CCCM]:[WASH]], "")))</f>
        <v>CCCM
Education
Nutrition
Food Security
Health
Overarching Protection
Shelter
WASH</v>
      </c>
      <c r="AW191" s="190">
        <f>IFERROR(tblPiNAnalysis512[[#This Row],[3rd Highest Target]]/tblPiNAnalysis512[[#This Row],[Affected population projection 2026]], "")</f>
        <v>0</v>
      </c>
      <c r="AX191" s="45">
        <f>IFERROR(tblPiNAnalysis512[[#This Row],[Highest Target]]-tblPiNAnalysis512[[#This Row],[3rd Highest Target]],"")</f>
        <v>0</v>
      </c>
      <c r="AY191" s="39" t="str">
        <f>IFERROR(tblPiNAnalysis512[[#This Row],[Difference of Target between Highest and 3rd Highest]]/tblPiNAnalysis512[[#This Row],[3rd Highest Target]], "")</f>
        <v/>
      </c>
      <c r="AZ191" s="330" t="str" cm="1">
        <f t="array" ref="AZ19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1" s="300" t="str" cm="1">
        <f t="array" ref="BA19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1" s="333" t="str" cm="1">
        <f t="array" ref="BB19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1" s="276" t="str" cm="1">
        <f t="array" ref="BC19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1" s="334" t="str" cm="1">
        <f t="array" ref="BD19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1" s="277" t="e">
        <f>INDEX(tblSeverityAnalysis[Final Severity], MATCH(tblPiNAnalysis512[[#This Row],[ID]],tblSeverityAnalysis[ID], 0))</f>
        <v>#N/A</v>
      </c>
      <c r="BF191" s="61" t="e">
        <f>IF(tblPiNAnalysis512[[#This Row],[Severity]]&gt;2,tblPiNAnalysis512[[#This Row],[Highest Target]],)</f>
        <v>#N/A</v>
      </c>
      <c r="BG191" s="191"/>
      <c r="BH191" s="192"/>
      <c r="BI191" s="193">
        <f>COUNTIFS(tblPiNAnalysis512[[#This Row],[Number of missing / zero PiNs greater than threshold - Data quality]:[Manual Flag]],"Flagged")</f>
        <v>2</v>
      </c>
      <c r="BJ191" s="96" t="str">
        <f>IF(tblPiNAnalysis512[[#This Row],['# Flags]]&gt;0, "Flagged", "")</f>
        <v>Flagged</v>
      </c>
      <c r="BK191" s="326" t="e">
        <f>tblPiNAnalysis512[[#This Row],[Preliminary Target]]</f>
        <v>#N/A</v>
      </c>
      <c r="BL191" s="331">
        <v>4</v>
      </c>
    </row>
    <row r="192" spans="1:64" x14ac:dyDescent="0.55000000000000004">
      <c r="A1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2" s="316" t="s">
        <v>292</v>
      </c>
      <c r="C192" s="317" t="s">
        <v>293</v>
      </c>
      <c r="D192" s="317" t="s">
        <v>302</v>
      </c>
      <c r="E192" s="105" t="s">
        <v>303</v>
      </c>
      <c r="F192" s="100"/>
      <c r="G192" s="34"/>
      <c r="H192" s="34"/>
      <c r="I192" s="97">
        <v>3719.2857142857101</v>
      </c>
      <c r="J192" s="97" t="s">
        <v>414</v>
      </c>
      <c r="K192" s="318"/>
      <c r="L192" s="319"/>
      <c r="M192" s="319"/>
      <c r="N192" s="319"/>
      <c r="O192" s="319"/>
      <c r="P192" s="319"/>
      <c r="Q192" s="320"/>
      <c r="R192" s="319"/>
      <c r="S192" s="319"/>
      <c r="T192" s="319"/>
      <c r="U192" s="319"/>
      <c r="V192" s="319"/>
      <c r="W192" s="321" t="str">
        <f>IFERROR(IF(tblPiNAnalysis512[[#This Row],[CCCM]]="", "", MROUND(tblPiNAnalysis512[[#This Row],[CCCM]]/tblPiNAnalysis512[[#This Row],[Affected population projection 2026]], 0.05)), "")</f>
        <v/>
      </c>
      <c r="X192" s="322" t="str">
        <f>IFERROR(IF(tblPiNAnalysis512[[#This Row],[Education]]="", "", MROUND(tblPiNAnalysis512[[#This Row],[Education]]/tblPiNAnalysis512[[#This Row],[Affected population projection 2026]], 0.05)), "")</f>
        <v/>
      </c>
      <c r="Y192" s="322" t="str">
        <f>IFERROR(IF(tblPiNAnalysis512[[#This Row],[Nutrition]]="", "", MROUND(tblPiNAnalysis512[[#This Row],[Nutrition]]/tblPiNAnalysis512[[#This Row],[Affected population projection 2026]], 0.05)), "")</f>
        <v/>
      </c>
      <c r="Z192" s="322" t="str">
        <f>IFERROR(IF(tblPiNAnalysis512[[#This Row],[Food Security]]="", "", MROUND(tblPiNAnalysis512[[#This Row],[Food Security]]/tblPiNAnalysis512[[#This Row],[Affected population projection 2026]], 0.05)), "")</f>
        <v/>
      </c>
      <c r="AA192" s="322" t="str">
        <f>IFERROR(IF(tblPiNAnalysis512[[#This Row],[Health]]="", "", MROUND(tblPiNAnalysis512[[#This Row],[Health]]/tblPiNAnalysis512[[#This Row],[Affected population projection 2026]], 0.05)), "")</f>
        <v/>
      </c>
      <c r="AB192" s="323" t="str">
        <f>IFERROR(IF(tblPiNAnalysis512[[#This Row],[Overarching Protection]]="", "", MROUND(tblPiNAnalysis512[[#This Row],[Overarching Protection]]/tblPiNAnalysis512[[#This Row],[Affected population projection 2026]], 0.05)), "")</f>
        <v/>
      </c>
      <c r="AC192" s="323" t="str">
        <f>IFERROR(IF(tblPiNAnalysis512[[#This Row],[Shelter]]="", "", MROUND(tblPiNAnalysis512[[#This Row],[Shelter]]/tblPiNAnalysis512[[#This Row],[Affected population projection 2026]], 0.05)), "")</f>
        <v/>
      </c>
      <c r="AD192" s="324" t="str">
        <f>IFERROR(IF(tblPiNAnalysis512[[#This Row],[WASH]]="", "", MROUND(tblPiNAnalysis512[[#This Row],[WASH]]/tblPiNAnalysis512[[#This Row],[Affected population projection 2026]], 0.05)), "")</f>
        <v/>
      </c>
      <c r="AE192" s="322">
        <f>IFERROR(MROUND(tblPiNAnalysis512[[#This Row],[CP]]/tblPiNAnalysis512[[#This Row],[Affected population projection 2026]], 0.05), "")</f>
        <v>0</v>
      </c>
      <c r="AF192" s="322">
        <f>IFERROR(MROUND(tblPiNAnalysis512[[#This Row],[GBV]]/tblPiNAnalysis512[[#This Row],[Affected population projection 2026]], 0.05), "")</f>
        <v>0</v>
      </c>
      <c r="AG192" s="322">
        <f>IFERROR(MROUND(tblPiNAnalysis512[[#This Row],[Mine Action]]/tblPiNAnalysis512[[#This Row],[Affected population projection 2026]], 0.05), "")</f>
        <v>0</v>
      </c>
      <c r="AH192" s="322">
        <f>IFERROR(MROUND(tblPiNAnalysis512[[#This Row],[HLP]]/tblPiNAnalysis512[[#This Row],[Affected population projection 2026]], 0.05), "")</f>
        <v>0</v>
      </c>
      <c r="AI192" s="325" t="str">
        <f>IFERROR(LARGE(tblPiNAnalysis512[[#This Row],[CCCM]:[WASH]], 1), "")</f>
        <v/>
      </c>
      <c r="AJ192" s="326" t="str" cm="1">
        <f t="array" ref="AJ192">IF(tblPiNAnalysis512[[#This Row],[Highest Target]]="", "", _xlfn.TEXTJOIN(CHAR(10), TRUE, IF(tblPiNAnalysis512[[#This Row],[Highest Target]]=tblPiNAnalysis512[[#This Row],[CCCM]:[WASH]], tblPiNAnalysis512[[#Headers],[CCCM]:[WASH]], "")))</f>
        <v/>
      </c>
      <c r="AK192" s="327" t="str">
        <f>IF(tblPiNAnalysis512[[#This Row],[Highest Target]]="", "", tblPiNAnalysis512[[#This Row],[Highest Target]]/tblPiNAnalysis512[[#This Row],[Affected population projection 2026]])</f>
        <v/>
      </c>
      <c r="AL192" s="328" t="str">
        <f>IF(SUM(tblPiNAnalysis512[[#This Row],[CCCM]:[WASH]])=0, "",IF(COUNTIF(tblPiNAnalysis512[[#This Row],[CCCM]:[WASH]],"=0")+COUNTIF(tblPiNAnalysis512[[#This Row],[CCCM]:[WASH]],"")&gt;=zero_pin_thresh, "Flagged", ""))</f>
        <v/>
      </c>
      <c r="AM192" s="329" t="str">
        <f>IFERROR(IF(tblPiNAnalysis512[[#This Row],[Highest Target]]="", "", IF(tblPiNAnalysis512[[#This Row],[Highest sector(s'') Target %]]&gt;=flag_pin_perc, "Flagged", "")), "")</f>
        <v/>
      </c>
      <c r="AN192" s="330" t="str" cm="1">
        <f t="array" ref="AN192">IF(tblPiNAnalysis512[[#This Row],[Highest Target]]=0, "",  IF(OR(COUNTIF(tblPiNAnalysis512[[#This Row],[Highest sector(s)]],tblSubSectorPopulation[Sector])), "Flagged", ""))</f>
        <v/>
      </c>
      <c r="AO192" s="46" t="str" cm="1">
        <f t="array" ref="AO19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92" s="331" t="str" cm="1">
        <f t="array" ref="AP192">IF(tblPiNAnalysis512[[#This Row],[2nd Highest Target]]="", "", _xlfn.TEXTJOIN(CHAR(10), TRUE, IF(tblPiNAnalysis512[[#This Row],[2nd Highest Target]]=tblPiNAnalysis512[[#This Row],[CCCM]:[WASH]], tblPiNAnalysis512[[#Headers],[CCCM]:[WASH]], "")))</f>
        <v/>
      </c>
      <c r="AQ192" s="36" t="str">
        <f>IFERROR(tblPiNAnalysis512[[#This Row],[2nd Highest Target]]/tblPiNAnalysis512[[#This Row],[Affected population projection 2026]], "")</f>
        <v/>
      </c>
      <c r="AR192" s="46" t="str">
        <f>IFERROR(tblPiNAnalysis512[[#This Row],[Highest Target]]-tblPiNAnalysis512[[#This Row],[2nd Highest Target]], "")</f>
        <v/>
      </c>
      <c r="AS192" s="39" t="str">
        <f>IFERROR(((tblPiNAnalysis512[[#This Row],[Highest Target]]-tblPiNAnalysis512[[#This Row],[2nd Highest Target]])/tblPiNAnalysis512[[#This Row],[2nd Highest Target]]),"")</f>
        <v/>
      </c>
      <c r="AT192" s="39" t="str" cm="1">
        <f t="array" ref="AT19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2" s="332" t="str" cm="1">
        <f t="array" ref="AU19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92" s="190" t="str" cm="1">
        <f t="array" ref="AV192">IF(tblPiNAnalysis512[[#This Row],[3rd Highest Target]]="", "", _xlfn.TEXTJOIN(CHAR(10), TRUE, IF(tblPiNAnalysis512[[#This Row],[3rd Highest Target]]=tblPiNAnalysis512[[#This Row],[CCCM]:[WASH]], tblPiNAnalysis512[[#Headers],[CCCM]:[WASH]], "")))</f>
        <v/>
      </c>
      <c r="AW192" s="190" t="str">
        <f>IFERROR(tblPiNAnalysis512[[#This Row],[3rd Highest Target]]/tblPiNAnalysis512[[#This Row],[Affected population projection 2026]], "")</f>
        <v/>
      </c>
      <c r="AX192" s="45" t="str">
        <f>IFERROR(tblPiNAnalysis512[[#This Row],[Highest Target]]-tblPiNAnalysis512[[#This Row],[3rd Highest Target]],"")</f>
        <v/>
      </c>
      <c r="AY192" s="39" t="str">
        <f>IFERROR(tblPiNAnalysis512[[#This Row],[Difference of Target between Highest and 3rd Highest]]/tblPiNAnalysis512[[#This Row],[3rd Highest Target]], "")</f>
        <v/>
      </c>
      <c r="AZ192" s="330" t="str" cm="1">
        <f t="array" ref="AZ19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2" s="300" t="str" cm="1">
        <f t="array" ref="BA19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2" s="333" t="str" cm="1">
        <f t="array" ref="BB19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2" s="276" t="str" cm="1">
        <f t="array" ref="BC19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2" s="334" t="str" cm="1">
        <f t="array" ref="BD19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2" s="277" t="e">
        <f>INDEX(tblSeverityAnalysis[Final Severity], MATCH(tblPiNAnalysis512[[#This Row],[ID]],tblSeverityAnalysis[ID], 0))</f>
        <v>#N/A</v>
      </c>
      <c r="BF192" s="61" t="e">
        <f>IF(tblPiNAnalysis512[[#This Row],[Severity]]&gt;2,tblPiNAnalysis512[[#This Row],[Highest Target]],)</f>
        <v>#N/A</v>
      </c>
      <c r="BG192" s="191"/>
      <c r="BH192" s="192"/>
      <c r="BI192" s="193">
        <f>COUNTIFS(tblPiNAnalysis512[[#This Row],[Number of missing / zero PiNs greater than threshold - Data quality]:[Manual Flag]],"Flagged")</f>
        <v>2</v>
      </c>
      <c r="BJ192" s="96" t="str">
        <f>IF(tblPiNAnalysis512[[#This Row],['# Flags]]&gt;0, "Flagged", "")</f>
        <v>Flagged</v>
      </c>
      <c r="BK192" s="326" t="e">
        <f>tblPiNAnalysis512[[#This Row],[Preliminary Target]]</f>
        <v>#N/A</v>
      </c>
      <c r="BL192" s="331">
        <v>3</v>
      </c>
    </row>
    <row r="193" spans="1:64" ht="110.7" x14ac:dyDescent="0.55000000000000004">
      <c r="A1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3" s="316" t="s">
        <v>292</v>
      </c>
      <c r="C193" s="317" t="s">
        <v>293</v>
      </c>
      <c r="D193" s="317" t="s">
        <v>304</v>
      </c>
      <c r="E193" s="105" t="s">
        <v>305</v>
      </c>
      <c r="F193" s="100"/>
      <c r="G193" s="34"/>
      <c r="H193" s="34"/>
      <c r="I193" s="97">
        <v>2968</v>
      </c>
      <c r="J193" s="97" t="s">
        <v>414</v>
      </c>
      <c r="K193" s="318">
        <v>0</v>
      </c>
      <c r="L193" s="319">
        <v>0</v>
      </c>
      <c r="M193" s="319">
        <v>0</v>
      </c>
      <c r="N193" s="319">
        <v>0</v>
      </c>
      <c r="O193" s="319">
        <v>0</v>
      </c>
      <c r="P193" s="319">
        <v>0</v>
      </c>
      <c r="Q193" s="320">
        <v>0</v>
      </c>
      <c r="R193" s="319">
        <v>0</v>
      </c>
      <c r="S193" s="319"/>
      <c r="T193" s="319"/>
      <c r="U193" s="319"/>
      <c r="V193" s="319"/>
      <c r="W193" s="321">
        <f>IFERROR(IF(tblPiNAnalysis512[[#This Row],[CCCM]]="", "", MROUND(tblPiNAnalysis512[[#This Row],[CCCM]]/tblPiNAnalysis512[[#This Row],[Affected population projection 2026]], 0.05)), "")</f>
        <v>0</v>
      </c>
      <c r="X193" s="322">
        <f>IFERROR(IF(tblPiNAnalysis512[[#This Row],[Education]]="", "", MROUND(tblPiNAnalysis512[[#This Row],[Education]]/tblPiNAnalysis512[[#This Row],[Affected population projection 2026]], 0.05)), "")</f>
        <v>0</v>
      </c>
      <c r="Y193" s="322">
        <f>IFERROR(IF(tblPiNAnalysis512[[#This Row],[Nutrition]]="", "", MROUND(tblPiNAnalysis512[[#This Row],[Nutrition]]/tblPiNAnalysis512[[#This Row],[Affected population projection 2026]], 0.05)), "")</f>
        <v>0</v>
      </c>
      <c r="Z193" s="322">
        <f>IFERROR(IF(tblPiNAnalysis512[[#This Row],[Food Security]]="", "", MROUND(tblPiNAnalysis512[[#This Row],[Food Security]]/tblPiNAnalysis512[[#This Row],[Affected population projection 2026]], 0.05)), "")</f>
        <v>0</v>
      </c>
      <c r="AA193" s="322">
        <f>IFERROR(IF(tblPiNAnalysis512[[#This Row],[Health]]="", "", MROUND(tblPiNAnalysis512[[#This Row],[Health]]/tblPiNAnalysis512[[#This Row],[Affected population projection 2026]], 0.05)), "")</f>
        <v>0</v>
      </c>
      <c r="AB193" s="323">
        <f>IFERROR(IF(tblPiNAnalysis512[[#This Row],[Overarching Protection]]="", "", MROUND(tblPiNAnalysis512[[#This Row],[Overarching Protection]]/tblPiNAnalysis512[[#This Row],[Affected population projection 2026]], 0.05)), "")</f>
        <v>0</v>
      </c>
      <c r="AC193" s="323">
        <f>IFERROR(IF(tblPiNAnalysis512[[#This Row],[Shelter]]="", "", MROUND(tblPiNAnalysis512[[#This Row],[Shelter]]/tblPiNAnalysis512[[#This Row],[Affected population projection 2026]], 0.05)), "")</f>
        <v>0</v>
      </c>
      <c r="AD193" s="324">
        <f>IFERROR(IF(tblPiNAnalysis512[[#This Row],[WASH]]="", "", MROUND(tblPiNAnalysis512[[#This Row],[WASH]]/tblPiNAnalysis512[[#This Row],[Affected population projection 2026]], 0.05)), "")</f>
        <v>0</v>
      </c>
      <c r="AE193" s="322">
        <f>IFERROR(MROUND(tblPiNAnalysis512[[#This Row],[CP]]/tblPiNAnalysis512[[#This Row],[Affected population projection 2026]], 0.05), "")</f>
        <v>0</v>
      </c>
      <c r="AF193" s="322">
        <f>IFERROR(MROUND(tblPiNAnalysis512[[#This Row],[GBV]]/tblPiNAnalysis512[[#This Row],[Affected population projection 2026]], 0.05), "")</f>
        <v>0</v>
      </c>
      <c r="AG193" s="322">
        <f>IFERROR(MROUND(tblPiNAnalysis512[[#This Row],[Mine Action]]/tblPiNAnalysis512[[#This Row],[Affected population projection 2026]], 0.05), "")</f>
        <v>0</v>
      </c>
      <c r="AH193" s="322">
        <f>IFERROR(MROUND(tblPiNAnalysis512[[#This Row],[HLP]]/tblPiNAnalysis512[[#This Row],[Affected population projection 2026]], 0.05), "")</f>
        <v>0</v>
      </c>
      <c r="AI193" s="325">
        <f>IFERROR(LARGE(tblPiNAnalysis512[[#This Row],[CCCM]:[WASH]], 1), "")</f>
        <v>0</v>
      </c>
      <c r="AJ193" s="326" t="str" cm="1">
        <f t="array" ref="AJ193">IF(tblPiNAnalysis512[[#This Row],[Highest Target]]="", "", _xlfn.TEXTJOIN(CHAR(10), TRUE, IF(tblPiNAnalysis512[[#This Row],[Highest Target]]=tblPiNAnalysis512[[#This Row],[CCCM]:[WASH]], tblPiNAnalysis512[[#Headers],[CCCM]:[WASH]], "")))</f>
        <v>CCCM
Education
Nutrition
Food Security
Health
Overarching Protection
Shelter
WASH</v>
      </c>
      <c r="AK193" s="327">
        <f>IF(tblPiNAnalysis512[[#This Row],[Highest Target]]="", "", tblPiNAnalysis512[[#This Row],[Highest Target]]/tblPiNAnalysis512[[#This Row],[Affected population projection 2026]])</f>
        <v>0</v>
      </c>
      <c r="AL193" s="328" t="str">
        <f>IF(SUM(tblPiNAnalysis512[[#This Row],[CCCM]:[WASH]])=0, "",IF(COUNTIF(tblPiNAnalysis512[[#This Row],[CCCM]:[WASH]],"=0")+COUNTIF(tblPiNAnalysis512[[#This Row],[CCCM]:[WASH]],"")&gt;=zero_pin_thresh, "Flagged", ""))</f>
        <v/>
      </c>
      <c r="AM193" s="329" t="str">
        <f>IFERROR(IF(tblPiNAnalysis512[[#This Row],[Highest Target]]="", "", IF(tblPiNAnalysis512[[#This Row],[Highest sector(s'') Target %]]&gt;=flag_pin_perc, "Flagged", "")), "")</f>
        <v/>
      </c>
      <c r="AN193" s="330" t="str" cm="1">
        <f t="array" ref="AN193">IF(tblPiNAnalysis512[[#This Row],[Highest Target]]=0, "",  IF(OR(COUNTIF(tblPiNAnalysis512[[#This Row],[Highest sector(s)]],tblSubSectorPopulation[Sector])), "Flagged", ""))</f>
        <v/>
      </c>
      <c r="AO193" s="46" cm="1">
        <f t="array" ref="AO19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93" s="331" t="str" cm="1">
        <f t="array" ref="AP193">IF(tblPiNAnalysis512[[#This Row],[2nd Highest Target]]="", "", _xlfn.TEXTJOIN(CHAR(10), TRUE, IF(tblPiNAnalysis512[[#This Row],[2nd Highest Target]]=tblPiNAnalysis512[[#This Row],[CCCM]:[WASH]], tblPiNAnalysis512[[#Headers],[CCCM]:[WASH]], "")))</f>
        <v>CCCM
Education
Nutrition
Food Security
Health
Overarching Protection
Shelter
WASH</v>
      </c>
      <c r="AQ193" s="36">
        <f>IFERROR(tblPiNAnalysis512[[#This Row],[2nd Highest Target]]/tblPiNAnalysis512[[#This Row],[Affected population projection 2026]], "")</f>
        <v>0</v>
      </c>
      <c r="AR193" s="46">
        <f>IFERROR(tblPiNAnalysis512[[#This Row],[Highest Target]]-tblPiNAnalysis512[[#This Row],[2nd Highest Target]], "")</f>
        <v>0</v>
      </c>
      <c r="AS193" s="39" t="str">
        <f>IFERROR(((tblPiNAnalysis512[[#This Row],[Highest Target]]-tblPiNAnalysis512[[#This Row],[2nd Highest Target]])/tblPiNAnalysis512[[#This Row],[2nd Highest Target]]),"")</f>
        <v/>
      </c>
      <c r="AT193" s="39" t="str" cm="1">
        <f t="array" ref="AT19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3" s="332" cm="1">
        <f t="array" ref="AU19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93" s="190" t="str" cm="1">
        <f t="array" ref="AV193">IF(tblPiNAnalysis512[[#This Row],[3rd Highest Target]]="", "", _xlfn.TEXTJOIN(CHAR(10), TRUE, IF(tblPiNAnalysis512[[#This Row],[3rd Highest Target]]=tblPiNAnalysis512[[#This Row],[CCCM]:[WASH]], tblPiNAnalysis512[[#Headers],[CCCM]:[WASH]], "")))</f>
        <v>CCCM
Education
Nutrition
Food Security
Health
Overarching Protection
Shelter
WASH</v>
      </c>
      <c r="AW193" s="190">
        <f>IFERROR(tblPiNAnalysis512[[#This Row],[3rd Highest Target]]/tblPiNAnalysis512[[#This Row],[Affected population projection 2026]], "")</f>
        <v>0</v>
      </c>
      <c r="AX193" s="45">
        <f>IFERROR(tblPiNAnalysis512[[#This Row],[Highest Target]]-tblPiNAnalysis512[[#This Row],[3rd Highest Target]],"")</f>
        <v>0</v>
      </c>
      <c r="AY193" s="39" t="str">
        <f>IFERROR(tblPiNAnalysis512[[#This Row],[Difference of Target between Highest and 3rd Highest]]/tblPiNAnalysis512[[#This Row],[3rd Highest Target]], "")</f>
        <v/>
      </c>
      <c r="AZ193" s="330" t="str" cm="1">
        <f t="array" ref="AZ19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3" s="300" t="str" cm="1">
        <f t="array" ref="BA19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3" s="333" t="str" cm="1">
        <f t="array" ref="BB19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3" s="276" t="str" cm="1">
        <f t="array" ref="BC19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3" s="334" t="str" cm="1">
        <f t="array" ref="BD19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3" s="277" t="e">
        <f>INDEX(tblSeverityAnalysis[Final Severity], MATCH(tblPiNAnalysis512[[#This Row],[ID]],tblSeverityAnalysis[ID], 0))</f>
        <v>#N/A</v>
      </c>
      <c r="BF193" s="61" t="e">
        <f>IF(tblPiNAnalysis512[[#This Row],[Severity]]&gt;2,tblPiNAnalysis512[[#This Row],[Highest Target]],)</f>
        <v>#N/A</v>
      </c>
      <c r="BG193" s="191"/>
      <c r="BH193" s="192"/>
      <c r="BI193" s="193">
        <f>COUNTIFS(tblPiNAnalysis512[[#This Row],[Number of missing / zero PiNs greater than threshold - Data quality]:[Manual Flag]],"Flagged")</f>
        <v>2</v>
      </c>
      <c r="BJ193" s="96" t="str">
        <f>IF(tblPiNAnalysis512[[#This Row],['# Flags]]&gt;0, "Flagged", "")</f>
        <v>Flagged</v>
      </c>
      <c r="BK193" s="326" t="e">
        <f>tblPiNAnalysis512[[#This Row],[Preliminary Target]]</f>
        <v>#N/A</v>
      </c>
      <c r="BL193" s="331">
        <v>5</v>
      </c>
    </row>
    <row r="194" spans="1:64" x14ac:dyDescent="0.55000000000000004">
      <c r="A1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4" s="316" t="s">
        <v>292</v>
      </c>
      <c r="C194" s="317" t="s">
        <v>293</v>
      </c>
      <c r="D194" s="317" t="s">
        <v>306</v>
      </c>
      <c r="E194" s="105" t="s">
        <v>307</v>
      </c>
      <c r="F194" s="100"/>
      <c r="G194" s="34"/>
      <c r="H194" s="34"/>
      <c r="I194" s="97">
        <v>3047.871016813448</v>
      </c>
      <c r="J194" s="97" t="s">
        <v>414</v>
      </c>
      <c r="K194" s="318"/>
      <c r="L194" s="319"/>
      <c r="M194" s="319"/>
      <c r="N194" s="319"/>
      <c r="O194" s="319"/>
      <c r="P194" s="319"/>
      <c r="Q194" s="320"/>
      <c r="R194" s="319"/>
      <c r="S194" s="319"/>
      <c r="T194" s="319"/>
      <c r="U194" s="319"/>
      <c r="V194" s="319"/>
      <c r="W194" s="321" t="str">
        <f>IFERROR(IF(tblPiNAnalysis512[[#This Row],[CCCM]]="", "", MROUND(tblPiNAnalysis512[[#This Row],[CCCM]]/tblPiNAnalysis512[[#This Row],[Affected population projection 2026]], 0.05)), "")</f>
        <v/>
      </c>
      <c r="X194" s="322" t="str">
        <f>IFERROR(IF(tblPiNAnalysis512[[#This Row],[Education]]="", "", MROUND(tblPiNAnalysis512[[#This Row],[Education]]/tblPiNAnalysis512[[#This Row],[Affected population projection 2026]], 0.05)), "")</f>
        <v/>
      </c>
      <c r="Y194" s="322" t="str">
        <f>IFERROR(IF(tblPiNAnalysis512[[#This Row],[Nutrition]]="", "", MROUND(tblPiNAnalysis512[[#This Row],[Nutrition]]/tblPiNAnalysis512[[#This Row],[Affected population projection 2026]], 0.05)), "")</f>
        <v/>
      </c>
      <c r="Z194" s="322" t="str">
        <f>IFERROR(IF(tblPiNAnalysis512[[#This Row],[Food Security]]="", "", MROUND(tblPiNAnalysis512[[#This Row],[Food Security]]/tblPiNAnalysis512[[#This Row],[Affected population projection 2026]], 0.05)), "")</f>
        <v/>
      </c>
      <c r="AA194" s="322" t="str">
        <f>IFERROR(IF(tblPiNAnalysis512[[#This Row],[Health]]="", "", MROUND(tblPiNAnalysis512[[#This Row],[Health]]/tblPiNAnalysis512[[#This Row],[Affected population projection 2026]], 0.05)), "")</f>
        <v/>
      </c>
      <c r="AB194" s="323" t="str">
        <f>IFERROR(IF(tblPiNAnalysis512[[#This Row],[Overarching Protection]]="", "", MROUND(tblPiNAnalysis512[[#This Row],[Overarching Protection]]/tblPiNAnalysis512[[#This Row],[Affected population projection 2026]], 0.05)), "")</f>
        <v/>
      </c>
      <c r="AC194" s="323" t="str">
        <f>IFERROR(IF(tblPiNAnalysis512[[#This Row],[Shelter]]="", "", MROUND(tblPiNAnalysis512[[#This Row],[Shelter]]/tblPiNAnalysis512[[#This Row],[Affected population projection 2026]], 0.05)), "")</f>
        <v/>
      </c>
      <c r="AD194" s="324" t="str">
        <f>IFERROR(IF(tblPiNAnalysis512[[#This Row],[WASH]]="", "", MROUND(tblPiNAnalysis512[[#This Row],[WASH]]/tblPiNAnalysis512[[#This Row],[Affected population projection 2026]], 0.05)), "")</f>
        <v/>
      </c>
      <c r="AE194" s="322">
        <f>IFERROR(MROUND(tblPiNAnalysis512[[#This Row],[CP]]/tblPiNAnalysis512[[#This Row],[Affected population projection 2026]], 0.05), "")</f>
        <v>0</v>
      </c>
      <c r="AF194" s="322">
        <f>IFERROR(MROUND(tblPiNAnalysis512[[#This Row],[GBV]]/tblPiNAnalysis512[[#This Row],[Affected population projection 2026]], 0.05), "")</f>
        <v>0</v>
      </c>
      <c r="AG194" s="322">
        <f>IFERROR(MROUND(tblPiNAnalysis512[[#This Row],[Mine Action]]/tblPiNAnalysis512[[#This Row],[Affected population projection 2026]], 0.05), "")</f>
        <v>0</v>
      </c>
      <c r="AH194" s="322">
        <f>IFERROR(MROUND(tblPiNAnalysis512[[#This Row],[HLP]]/tblPiNAnalysis512[[#This Row],[Affected population projection 2026]], 0.05), "")</f>
        <v>0</v>
      </c>
      <c r="AI194" s="325" t="str">
        <f>IFERROR(LARGE(tblPiNAnalysis512[[#This Row],[CCCM]:[WASH]], 1), "")</f>
        <v/>
      </c>
      <c r="AJ194" s="326" t="str" cm="1">
        <f t="array" ref="AJ194">IF(tblPiNAnalysis512[[#This Row],[Highest Target]]="", "", _xlfn.TEXTJOIN(CHAR(10), TRUE, IF(tblPiNAnalysis512[[#This Row],[Highest Target]]=tblPiNAnalysis512[[#This Row],[CCCM]:[WASH]], tblPiNAnalysis512[[#Headers],[CCCM]:[WASH]], "")))</f>
        <v/>
      </c>
      <c r="AK194" s="327" t="str">
        <f>IF(tblPiNAnalysis512[[#This Row],[Highest Target]]="", "", tblPiNAnalysis512[[#This Row],[Highest Target]]/tblPiNAnalysis512[[#This Row],[Affected population projection 2026]])</f>
        <v/>
      </c>
      <c r="AL194" s="328" t="str">
        <f>IF(SUM(tblPiNAnalysis512[[#This Row],[CCCM]:[WASH]])=0, "",IF(COUNTIF(tblPiNAnalysis512[[#This Row],[CCCM]:[WASH]],"=0")+COUNTIF(tblPiNAnalysis512[[#This Row],[CCCM]:[WASH]],"")&gt;=zero_pin_thresh, "Flagged", ""))</f>
        <v/>
      </c>
      <c r="AM194" s="329" t="str">
        <f>IFERROR(IF(tblPiNAnalysis512[[#This Row],[Highest Target]]="", "", IF(tblPiNAnalysis512[[#This Row],[Highest sector(s'') Target %]]&gt;=flag_pin_perc, "Flagged", "")), "")</f>
        <v/>
      </c>
      <c r="AN194" s="330" t="str" cm="1">
        <f t="array" ref="AN194">IF(tblPiNAnalysis512[[#This Row],[Highest Target]]=0, "",  IF(OR(COUNTIF(tblPiNAnalysis512[[#This Row],[Highest sector(s)]],tblSubSectorPopulation[Sector])), "Flagged", ""))</f>
        <v/>
      </c>
      <c r="AO194" s="46" t="str" cm="1">
        <f t="array" ref="AO19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194" s="331" t="str" cm="1">
        <f t="array" ref="AP194">IF(tblPiNAnalysis512[[#This Row],[2nd Highest Target]]="", "", _xlfn.TEXTJOIN(CHAR(10), TRUE, IF(tblPiNAnalysis512[[#This Row],[2nd Highest Target]]=tblPiNAnalysis512[[#This Row],[CCCM]:[WASH]], tblPiNAnalysis512[[#Headers],[CCCM]:[WASH]], "")))</f>
        <v/>
      </c>
      <c r="AQ194" s="36" t="str">
        <f>IFERROR(tblPiNAnalysis512[[#This Row],[2nd Highest Target]]/tblPiNAnalysis512[[#This Row],[Affected population projection 2026]], "")</f>
        <v/>
      </c>
      <c r="AR194" s="46" t="str">
        <f>IFERROR(tblPiNAnalysis512[[#This Row],[Highest Target]]-tblPiNAnalysis512[[#This Row],[2nd Highest Target]], "")</f>
        <v/>
      </c>
      <c r="AS194" s="39" t="str">
        <f>IFERROR(((tblPiNAnalysis512[[#This Row],[Highest Target]]-tblPiNAnalysis512[[#This Row],[2nd Highest Target]])/tblPiNAnalysis512[[#This Row],[2nd Highest Target]]),"")</f>
        <v/>
      </c>
      <c r="AT194" s="39" t="str" cm="1">
        <f t="array" ref="AT19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4" s="332" t="str" cm="1">
        <f t="array" ref="AU19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194" s="190" t="str" cm="1">
        <f t="array" ref="AV194">IF(tblPiNAnalysis512[[#This Row],[3rd Highest Target]]="", "", _xlfn.TEXTJOIN(CHAR(10), TRUE, IF(tblPiNAnalysis512[[#This Row],[3rd Highest Target]]=tblPiNAnalysis512[[#This Row],[CCCM]:[WASH]], tblPiNAnalysis512[[#Headers],[CCCM]:[WASH]], "")))</f>
        <v/>
      </c>
      <c r="AW194" s="190" t="str">
        <f>IFERROR(tblPiNAnalysis512[[#This Row],[3rd Highest Target]]/tblPiNAnalysis512[[#This Row],[Affected population projection 2026]], "")</f>
        <v/>
      </c>
      <c r="AX194" s="45" t="str">
        <f>IFERROR(tblPiNAnalysis512[[#This Row],[Highest Target]]-tblPiNAnalysis512[[#This Row],[3rd Highest Target]],"")</f>
        <v/>
      </c>
      <c r="AY194" s="39" t="str">
        <f>IFERROR(tblPiNAnalysis512[[#This Row],[Difference of Target between Highest and 3rd Highest]]/tblPiNAnalysis512[[#This Row],[3rd Highest Target]], "")</f>
        <v/>
      </c>
      <c r="AZ194" s="330" t="str" cm="1">
        <f t="array" ref="AZ19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4" s="300" t="str" cm="1">
        <f t="array" ref="BA19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4" s="333" t="str" cm="1">
        <f t="array" ref="BB19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4" s="276" t="str" cm="1">
        <f t="array" ref="BC19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4" s="334" t="str" cm="1">
        <f t="array" ref="BD19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4" s="277" t="e">
        <f>INDEX(tblSeverityAnalysis[Final Severity], MATCH(tblPiNAnalysis512[[#This Row],[ID]],tblSeverityAnalysis[ID], 0))</f>
        <v>#N/A</v>
      </c>
      <c r="BF194" s="61" t="e">
        <f>IF(tblPiNAnalysis512[[#This Row],[Severity]]&gt;2,tblPiNAnalysis512[[#This Row],[Highest Target]],)</f>
        <v>#N/A</v>
      </c>
      <c r="BG194" s="191"/>
      <c r="BH194" s="192"/>
      <c r="BI194" s="193">
        <f>COUNTIFS(tblPiNAnalysis512[[#This Row],[Number of missing / zero PiNs greater than threshold - Data quality]:[Manual Flag]],"Flagged")</f>
        <v>2</v>
      </c>
      <c r="BJ194" s="96" t="str">
        <f>IF(tblPiNAnalysis512[[#This Row],['# Flags]]&gt;0, "Flagged", "")</f>
        <v>Flagged</v>
      </c>
      <c r="BK194" s="326" t="e">
        <f>tblPiNAnalysis512[[#This Row],[Preliminary Target]]</f>
        <v>#N/A</v>
      </c>
      <c r="BL194" s="331">
        <v>3</v>
      </c>
    </row>
    <row r="195" spans="1:64" ht="110.7" x14ac:dyDescent="0.55000000000000004">
      <c r="A1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5" s="316" t="s">
        <v>292</v>
      </c>
      <c r="C195" s="317" t="s">
        <v>293</v>
      </c>
      <c r="D195" s="317" t="s">
        <v>308</v>
      </c>
      <c r="E195" s="105" t="s">
        <v>309</v>
      </c>
      <c r="F195" s="100"/>
      <c r="G195" s="34"/>
      <c r="H195" s="34"/>
      <c r="I195" s="97">
        <v>5119.8571428571404</v>
      </c>
      <c r="J195" s="97" t="s">
        <v>414</v>
      </c>
      <c r="K195" s="318">
        <v>0</v>
      </c>
      <c r="L195" s="319">
        <v>0</v>
      </c>
      <c r="M195" s="319">
        <v>0</v>
      </c>
      <c r="N195" s="319">
        <v>0</v>
      </c>
      <c r="O195" s="319">
        <v>0</v>
      </c>
      <c r="P195" s="319">
        <v>0</v>
      </c>
      <c r="Q195" s="320">
        <v>0</v>
      </c>
      <c r="R195" s="319">
        <v>0</v>
      </c>
      <c r="S195" s="319"/>
      <c r="T195" s="319"/>
      <c r="U195" s="319"/>
      <c r="V195" s="319"/>
      <c r="W195" s="321">
        <f>IFERROR(IF(tblPiNAnalysis512[[#This Row],[CCCM]]="", "", MROUND(tblPiNAnalysis512[[#This Row],[CCCM]]/tblPiNAnalysis512[[#This Row],[Affected population projection 2026]], 0.05)), "")</f>
        <v>0</v>
      </c>
      <c r="X195" s="322">
        <f>IFERROR(IF(tblPiNAnalysis512[[#This Row],[Education]]="", "", MROUND(tblPiNAnalysis512[[#This Row],[Education]]/tblPiNAnalysis512[[#This Row],[Affected population projection 2026]], 0.05)), "")</f>
        <v>0</v>
      </c>
      <c r="Y195" s="322">
        <f>IFERROR(IF(tblPiNAnalysis512[[#This Row],[Nutrition]]="", "", MROUND(tblPiNAnalysis512[[#This Row],[Nutrition]]/tblPiNAnalysis512[[#This Row],[Affected population projection 2026]], 0.05)), "")</f>
        <v>0</v>
      </c>
      <c r="Z195" s="322">
        <f>IFERROR(IF(tblPiNAnalysis512[[#This Row],[Food Security]]="", "", MROUND(tblPiNAnalysis512[[#This Row],[Food Security]]/tblPiNAnalysis512[[#This Row],[Affected population projection 2026]], 0.05)), "")</f>
        <v>0</v>
      </c>
      <c r="AA195" s="322">
        <f>IFERROR(IF(tblPiNAnalysis512[[#This Row],[Health]]="", "", MROUND(tblPiNAnalysis512[[#This Row],[Health]]/tblPiNAnalysis512[[#This Row],[Affected population projection 2026]], 0.05)), "")</f>
        <v>0</v>
      </c>
      <c r="AB195" s="323">
        <f>IFERROR(IF(tblPiNAnalysis512[[#This Row],[Overarching Protection]]="", "", MROUND(tblPiNAnalysis512[[#This Row],[Overarching Protection]]/tblPiNAnalysis512[[#This Row],[Affected population projection 2026]], 0.05)), "")</f>
        <v>0</v>
      </c>
      <c r="AC195" s="323">
        <f>IFERROR(IF(tblPiNAnalysis512[[#This Row],[Shelter]]="", "", MROUND(tblPiNAnalysis512[[#This Row],[Shelter]]/tblPiNAnalysis512[[#This Row],[Affected population projection 2026]], 0.05)), "")</f>
        <v>0</v>
      </c>
      <c r="AD195" s="324">
        <f>IFERROR(IF(tblPiNAnalysis512[[#This Row],[WASH]]="", "", MROUND(tblPiNAnalysis512[[#This Row],[WASH]]/tblPiNAnalysis512[[#This Row],[Affected population projection 2026]], 0.05)), "")</f>
        <v>0</v>
      </c>
      <c r="AE195" s="322">
        <f>IFERROR(MROUND(tblPiNAnalysis512[[#This Row],[CP]]/tblPiNAnalysis512[[#This Row],[Affected population projection 2026]], 0.05), "")</f>
        <v>0</v>
      </c>
      <c r="AF195" s="322">
        <f>IFERROR(MROUND(tblPiNAnalysis512[[#This Row],[GBV]]/tblPiNAnalysis512[[#This Row],[Affected population projection 2026]], 0.05), "")</f>
        <v>0</v>
      </c>
      <c r="AG195" s="322">
        <f>IFERROR(MROUND(tblPiNAnalysis512[[#This Row],[Mine Action]]/tblPiNAnalysis512[[#This Row],[Affected population projection 2026]], 0.05), "")</f>
        <v>0</v>
      </c>
      <c r="AH195" s="322">
        <f>IFERROR(MROUND(tblPiNAnalysis512[[#This Row],[HLP]]/tblPiNAnalysis512[[#This Row],[Affected population projection 2026]], 0.05), "")</f>
        <v>0</v>
      </c>
      <c r="AI195" s="325">
        <f>IFERROR(LARGE(tblPiNAnalysis512[[#This Row],[CCCM]:[WASH]], 1), "")</f>
        <v>0</v>
      </c>
      <c r="AJ195" s="326" t="str" cm="1">
        <f t="array" ref="AJ195">IF(tblPiNAnalysis512[[#This Row],[Highest Target]]="", "", _xlfn.TEXTJOIN(CHAR(10), TRUE, IF(tblPiNAnalysis512[[#This Row],[Highest Target]]=tblPiNAnalysis512[[#This Row],[CCCM]:[WASH]], tblPiNAnalysis512[[#Headers],[CCCM]:[WASH]], "")))</f>
        <v>CCCM
Education
Nutrition
Food Security
Health
Overarching Protection
Shelter
WASH</v>
      </c>
      <c r="AK195" s="327">
        <f>IF(tblPiNAnalysis512[[#This Row],[Highest Target]]="", "", tblPiNAnalysis512[[#This Row],[Highest Target]]/tblPiNAnalysis512[[#This Row],[Affected population projection 2026]])</f>
        <v>0</v>
      </c>
      <c r="AL195" s="328" t="str">
        <f>IF(SUM(tblPiNAnalysis512[[#This Row],[CCCM]:[WASH]])=0, "",IF(COUNTIF(tblPiNAnalysis512[[#This Row],[CCCM]:[WASH]],"=0")+COUNTIF(tblPiNAnalysis512[[#This Row],[CCCM]:[WASH]],"")&gt;=zero_pin_thresh, "Flagged", ""))</f>
        <v/>
      </c>
      <c r="AM195" s="329" t="str">
        <f>IFERROR(IF(tblPiNAnalysis512[[#This Row],[Highest Target]]="", "", IF(tblPiNAnalysis512[[#This Row],[Highest sector(s'') Target %]]&gt;=flag_pin_perc, "Flagged", "")), "")</f>
        <v/>
      </c>
      <c r="AN195" s="330" t="str" cm="1">
        <f t="array" ref="AN195">IF(tblPiNAnalysis512[[#This Row],[Highest Target]]=0, "",  IF(OR(COUNTIF(tblPiNAnalysis512[[#This Row],[Highest sector(s)]],tblSubSectorPopulation[Sector])), "Flagged", ""))</f>
        <v/>
      </c>
      <c r="AO195" s="46" cm="1">
        <f t="array" ref="AO19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95" s="331" t="str" cm="1">
        <f t="array" ref="AP195">IF(tblPiNAnalysis512[[#This Row],[2nd Highest Target]]="", "", _xlfn.TEXTJOIN(CHAR(10), TRUE, IF(tblPiNAnalysis512[[#This Row],[2nd Highest Target]]=tblPiNAnalysis512[[#This Row],[CCCM]:[WASH]], tblPiNAnalysis512[[#Headers],[CCCM]:[WASH]], "")))</f>
        <v>CCCM
Education
Nutrition
Food Security
Health
Overarching Protection
Shelter
WASH</v>
      </c>
      <c r="AQ195" s="36">
        <f>IFERROR(tblPiNAnalysis512[[#This Row],[2nd Highest Target]]/tblPiNAnalysis512[[#This Row],[Affected population projection 2026]], "")</f>
        <v>0</v>
      </c>
      <c r="AR195" s="46">
        <f>IFERROR(tblPiNAnalysis512[[#This Row],[Highest Target]]-tblPiNAnalysis512[[#This Row],[2nd Highest Target]], "")</f>
        <v>0</v>
      </c>
      <c r="AS195" s="39" t="str">
        <f>IFERROR(((tblPiNAnalysis512[[#This Row],[Highest Target]]-tblPiNAnalysis512[[#This Row],[2nd Highest Target]])/tblPiNAnalysis512[[#This Row],[2nd Highest Target]]),"")</f>
        <v/>
      </c>
      <c r="AT195" s="39" t="str" cm="1">
        <f t="array" ref="AT19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5" s="332" cm="1">
        <f t="array" ref="AU19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95" s="190" t="str" cm="1">
        <f t="array" ref="AV195">IF(tblPiNAnalysis512[[#This Row],[3rd Highest Target]]="", "", _xlfn.TEXTJOIN(CHAR(10), TRUE, IF(tblPiNAnalysis512[[#This Row],[3rd Highest Target]]=tblPiNAnalysis512[[#This Row],[CCCM]:[WASH]], tblPiNAnalysis512[[#Headers],[CCCM]:[WASH]], "")))</f>
        <v>CCCM
Education
Nutrition
Food Security
Health
Overarching Protection
Shelter
WASH</v>
      </c>
      <c r="AW195" s="190">
        <f>IFERROR(tblPiNAnalysis512[[#This Row],[3rd Highest Target]]/tblPiNAnalysis512[[#This Row],[Affected population projection 2026]], "")</f>
        <v>0</v>
      </c>
      <c r="AX195" s="45">
        <f>IFERROR(tblPiNAnalysis512[[#This Row],[Highest Target]]-tblPiNAnalysis512[[#This Row],[3rd Highest Target]],"")</f>
        <v>0</v>
      </c>
      <c r="AY195" s="39" t="str">
        <f>IFERROR(tblPiNAnalysis512[[#This Row],[Difference of Target between Highest and 3rd Highest]]/tblPiNAnalysis512[[#This Row],[3rd Highest Target]], "")</f>
        <v/>
      </c>
      <c r="AZ195" s="330" t="str" cm="1">
        <f t="array" ref="AZ19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5" s="300" t="str" cm="1">
        <f t="array" ref="BA19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5" s="333" t="str" cm="1">
        <f t="array" ref="BB19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5" s="276" t="str" cm="1">
        <f t="array" ref="BC19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5" s="334" t="str" cm="1">
        <f t="array" ref="BD19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5" s="277" t="e">
        <f>INDEX(tblSeverityAnalysis[Final Severity], MATCH(tblPiNAnalysis512[[#This Row],[ID]],tblSeverityAnalysis[ID], 0))</f>
        <v>#N/A</v>
      </c>
      <c r="BF195" s="61" t="e">
        <f>IF(tblPiNAnalysis512[[#This Row],[Severity]]&gt;2,tblPiNAnalysis512[[#This Row],[Highest Target]],)</f>
        <v>#N/A</v>
      </c>
      <c r="BG195" s="191"/>
      <c r="BH195" s="192"/>
      <c r="BI195" s="193">
        <f>COUNTIFS(tblPiNAnalysis512[[#This Row],[Number of missing / zero PiNs greater than threshold - Data quality]:[Manual Flag]],"Flagged")</f>
        <v>2</v>
      </c>
      <c r="BJ195" s="96" t="str">
        <f>IF(tblPiNAnalysis512[[#This Row],['# Flags]]&gt;0, "Flagged", "")</f>
        <v>Flagged</v>
      </c>
      <c r="BK195" s="326" t="e">
        <f>tblPiNAnalysis512[[#This Row],[Preliminary Target]]</f>
        <v>#N/A</v>
      </c>
      <c r="BL195" s="331">
        <v>4</v>
      </c>
    </row>
    <row r="196" spans="1:64" ht="110.7" x14ac:dyDescent="0.55000000000000004">
      <c r="A1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6" s="316" t="s">
        <v>310</v>
      </c>
      <c r="C196" s="317" t="s">
        <v>311</v>
      </c>
      <c r="D196" s="317" t="s">
        <v>312</v>
      </c>
      <c r="E196" s="105" t="s">
        <v>313</v>
      </c>
      <c r="F196" s="100"/>
      <c r="G196" s="34"/>
      <c r="H196" s="34"/>
      <c r="I196" s="97">
        <v>16513.487018186021</v>
      </c>
      <c r="J196" s="97" t="s">
        <v>414</v>
      </c>
      <c r="K196" s="318">
        <v>0</v>
      </c>
      <c r="L196" s="319">
        <v>0</v>
      </c>
      <c r="M196" s="319">
        <v>0</v>
      </c>
      <c r="N196" s="319">
        <v>0</v>
      </c>
      <c r="O196" s="319">
        <v>0</v>
      </c>
      <c r="P196" s="319">
        <v>0</v>
      </c>
      <c r="Q196" s="320">
        <v>0</v>
      </c>
      <c r="R196" s="319">
        <v>0</v>
      </c>
      <c r="S196" s="319"/>
      <c r="T196" s="319"/>
      <c r="U196" s="319"/>
      <c r="V196" s="319"/>
      <c r="W196" s="321">
        <f>IFERROR(IF(tblPiNAnalysis512[[#This Row],[CCCM]]="", "", MROUND(tblPiNAnalysis512[[#This Row],[CCCM]]/tblPiNAnalysis512[[#This Row],[Affected population projection 2026]], 0.05)), "")</f>
        <v>0</v>
      </c>
      <c r="X196" s="322">
        <f>IFERROR(IF(tblPiNAnalysis512[[#This Row],[Education]]="", "", MROUND(tblPiNAnalysis512[[#This Row],[Education]]/tblPiNAnalysis512[[#This Row],[Affected population projection 2026]], 0.05)), "")</f>
        <v>0</v>
      </c>
      <c r="Y196" s="322">
        <f>IFERROR(IF(tblPiNAnalysis512[[#This Row],[Nutrition]]="", "", MROUND(tblPiNAnalysis512[[#This Row],[Nutrition]]/tblPiNAnalysis512[[#This Row],[Affected population projection 2026]], 0.05)), "")</f>
        <v>0</v>
      </c>
      <c r="Z196" s="322">
        <f>IFERROR(IF(tblPiNAnalysis512[[#This Row],[Food Security]]="", "", MROUND(tblPiNAnalysis512[[#This Row],[Food Security]]/tblPiNAnalysis512[[#This Row],[Affected population projection 2026]], 0.05)), "")</f>
        <v>0</v>
      </c>
      <c r="AA196" s="322">
        <f>IFERROR(IF(tblPiNAnalysis512[[#This Row],[Health]]="", "", MROUND(tblPiNAnalysis512[[#This Row],[Health]]/tblPiNAnalysis512[[#This Row],[Affected population projection 2026]], 0.05)), "")</f>
        <v>0</v>
      </c>
      <c r="AB196" s="323">
        <f>IFERROR(IF(tblPiNAnalysis512[[#This Row],[Overarching Protection]]="", "", MROUND(tblPiNAnalysis512[[#This Row],[Overarching Protection]]/tblPiNAnalysis512[[#This Row],[Affected population projection 2026]], 0.05)), "")</f>
        <v>0</v>
      </c>
      <c r="AC196" s="323">
        <f>IFERROR(IF(tblPiNAnalysis512[[#This Row],[Shelter]]="", "", MROUND(tblPiNAnalysis512[[#This Row],[Shelter]]/tblPiNAnalysis512[[#This Row],[Affected population projection 2026]], 0.05)), "")</f>
        <v>0</v>
      </c>
      <c r="AD196" s="324">
        <f>IFERROR(IF(tblPiNAnalysis512[[#This Row],[WASH]]="", "", MROUND(tblPiNAnalysis512[[#This Row],[WASH]]/tblPiNAnalysis512[[#This Row],[Affected population projection 2026]], 0.05)), "")</f>
        <v>0</v>
      </c>
      <c r="AE196" s="322">
        <f>IFERROR(MROUND(tblPiNAnalysis512[[#This Row],[CP]]/tblPiNAnalysis512[[#This Row],[Affected population projection 2026]], 0.05), "")</f>
        <v>0</v>
      </c>
      <c r="AF196" s="322">
        <f>IFERROR(MROUND(tblPiNAnalysis512[[#This Row],[GBV]]/tblPiNAnalysis512[[#This Row],[Affected population projection 2026]], 0.05), "")</f>
        <v>0</v>
      </c>
      <c r="AG196" s="322">
        <f>IFERROR(MROUND(tblPiNAnalysis512[[#This Row],[Mine Action]]/tblPiNAnalysis512[[#This Row],[Affected population projection 2026]], 0.05), "")</f>
        <v>0</v>
      </c>
      <c r="AH196" s="322">
        <f>IFERROR(MROUND(tblPiNAnalysis512[[#This Row],[HLP]]/tblPiNAnalysis512[[#This Row],[Affected population projection 2026]], 0.05), "")</f>
        <v>0</v>
      </c>
      <c r="AI196" s="325">
        <f>IFERROR(LARGE(tblPiNAnalysis512[[#This Row],[CCCM]:[WASH]], 1), "")</f>
        <v>0</v>
      </c>
      <c r="AJ196" s="326" t="str" cm="1">
        <f t="array" ref="AJ196">IF(tblPiNAnalysis512[[#This Row],[Highest Target]]="", "", _xlfn.TEXTJOIN(CHAR(10), TRUE, IF(tblPiNAnalysis512[[#This Row],[Highest Target]]=tblPiNAnalysis512[[#This Row],[CCCM]:[WASH]], tblPiNAnalysis512[[#Headers],[CCCM]:[WASH]], "")))</f>
        <v>CCCM
Education
Nutrition
Food Security
Health
Overarching Protection
Shelter
WASH</v>
      </c>
      <c r="AK196" s="327">
        <f>IF(tblPiNAnalysis512[[#This Row],[Highest Target]]="", "", tblPiNAnalysis512[[#This Row],[Highest Target]]/tblPiNAnalysis512[[#This Row],[Affected population projection 2026]])</f>
        <v>0</v>
      </c>
      <c r="AL196" s="328" t="str">
        <f>IF(SUM(tblPiNAnalysis512[[#This Row],[CCCM]:[WASH]])=0, "",IF(COUNTIF(tblPiNAnalysis512[[#This Row],[CCCM]:[WASH]],"=0")+COUNTIF(tblPiNAnalysis512[[#This Row],[CCCM]:[WASH]],"")&gt;=zero_pin_thresh, "Flagged", ""))</f>
        <v/>
      </c>
      <c r="AM196" s="329" t="str">
        <f>IFERROR(IF(tblPiNAnalysis512[[#This Row],[Highest Target]]="", "", IF(tblPiNAnalysis512[[#This Row],[Highest sector(s'') Target %]]&gt;=flag_pin_perc, "Flagged", "")), "")</f>
        <v/>
      </c>
      <c r="AN196" s="330" t="str" cm="1">
        <f t="array" ref="AN196">IF(tblPiNAnalysis512[[#This Row],[Highest Target]]=0, "",  IF(OR(COUNTIF(tblPiNAnalysis512[[#This Row],[Highest sector(s)]],tblSubSectorPopulation[Sector])), "Flagged", ""))</f>
        <v/>
      </c>
      <c r="AO196" s="46" cm="1">
        <f t="array" ref="AO19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196" s="331" t="str" cm="1">
        <f t="array" ref="AP196">IF(tblPiNAnalysis512[[#This Row],[2nd Highest Target]]="", "", _xlfn.TEXTJOIN(CHAR(10), TRUE, IF(tblPiNAnalysis512[[#This Row],[2nd Highest Target]]=tblPiNAnalysis512[[#This Row],[CCCM]:[WASH]], tblPiNAnalysis512[[#Headers],[CCCM]:[WASH]], "")))</f>
        <v>CCCM
Education
Nutrition
Food Security
Health
Overarching Protection
Shelter
WASH</v>
      </c>
      <c r="AQ196" s="36">
        <f>IFERROR(tblPiNAnalysis512[[#This Row],[2nd Highest Target]]/tblPiNAnalysis512[[#This Row],[Affected population projection 2026]], "")</f>
        <v>0</v>
      </c>
      <c r="AR196" s="46">
        <f>IFERROR(tblPiNAnalysis512[[#This Row],[Highest Target]]-tblPiNAnalysis512[[#This Row],[2nd Highest Target]], "")</f>
        <v>0</v>
      </c>
      <c r="AS196" s="39" t="str">
        <f>IFERROR(((tblPiNAnalysis512[[#This Row],[Highest Target]]-tblPiNAnalysis512[[#This Row],[2nd Highest Target]])/tblPiNAnalysis512[[#This Row],[2nd Highest Target]]),"")</f>
        <v/>
      </c>
      <c r="AT196" s="39" t="str" cm="1">
        <f t="array" ref="AT19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6" s="332" cm="1">
        <f t="array" ref="AU19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196" s="190" t="str" cm="1">
        <f t="array" ref="AV196">IF(tblPiNAnalysis512[[#This Row],[3rd Highest Target]]="", "", _xlfn.TEXTJOIN(CHAR(10), TRUE, IF(tblPiNAnalysis512[[#This Row],[3rd Highest Target]]=tblPiNAnalysis512[[#This Row],[CCCM]:[WASH]], tblPiNAnalysis512[[#Headers],[CCCM]:[WASH]], "")))</f>
        <v>CCCM
Education
Nutrition
Food Security
Health
Overarching Protection
Shelter
WASH</v>
      </c>
      <c r="AW196" s="190">
        <f>IFERROR(tblPiNAnalysis512[[#This Row],[3rd Highest Target]]/tblPiNAnalysis512[[#This Row],[Affected population projection 2026]], "")</f>
        <v>0</v>
      </c>
      <c r="AX196" s="45">
        <f>IFERROR(tblPiNAnalysis512[[#This Row],[Highest Target]]-tblPiNAnalysis512[[#This Row],[3rd Highest Target]],"")</f>
        <v>0</v>
      </c>
      <c r="AY196" s="39" t="str">
        <f>IFERROR(tblPiNAnalysis512[[#This Row],[Difference of Target between Highest and 3rd Highest]]/tblPiNAnalysis512[[#This Row],[3rd Highest Target]], "")</f>
        <v/>
      </c>
      <c r="AZ196" s="330" t="str" cm="1">
        <f t="array" ref="AZ19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6" s="300" t="str" cm="1">
        <f t="array" ref="BA19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6" s="333" t="str" cm="1">
        <f t="array" ref="BB19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6" s="276" t="str" cm="1">
        <f t="array" ref="BC19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6" s="334" t="str" cm="1">
        <f t="array" ref="BD19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6" s="277" t="e">
        <f>INDEX(tblSeverityAnalysis[Final Severity], MATCH(tblPiNAnalysis512[[#This Row],[ID]],tblSeverityAnalysis[ID], 0))</f>
        <v>#N/A</v>
      </c>
      <c r="BF196" s="61" t="e">
        <f>IF(tblPiNAnalysis512[[#This Row],[Severity]]&gt;2,tblPiNAnalysis512[[#This Row],[Highest Target]],)</f>
        <v>#N/A</v>
      </c>
      <c r="BG196" s="191"/>
      <c r="BH196" s="192"/>
      <c r="BI196" s="193">
        <f>COUNTIFS(tblPiNAnalysis512[[#This Row],[Number of missing / zero PiNs greater than threshold - Data quality]:[Manual Flag]],"Flagged")</f>
        <v>2</v>
      </c>
      <c r="BJ196" s="96" t="str">
        <f>IF(tblPiNAnalysis512[[#This Row],['# Flags]]&gt;0, "Flagged", "")</f>
        <v>Flagged</v>
      </c>
      <c r="BK196" s="326" t="e">
        <f>tblPiNAnalysis512[[#This Row],[Preliminary Target]]</f>
        <v>#N/A</v>
      </c>
      <c r="BL196" s="331">
        <v>4</v>
      </c>
    </row>
    <row r="197" spans="1:64" x14ac:dyDescent="0.55000000000000004">
      <c r="A1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7" s="316" t="s">
        <v>310</v>
      </c>
      <c r="C197" s="317" t="s">
        <v>311</v>
      </c>
      <c r="D197" s="317" t="s">
        <v>314</v>
      </c>
      <c r="E197" s="105" t="s">
        <v>315</v>
      </c>
      <c r="F197" s="100"/>
      <c r="G197" s="34"/>
      <c r="H197" s="34"/>
      <c r="I197" s="97">
        <v>84624.371794578474</v>
      </c>
      <c r="J197" s="97" t="s">
        <v>414</v>
      </c>
      <c r="K197" s="318">
        <v>6817</v>
      </c>
      <c r="L197" s="319">
        <v>31034.769764707813</v>
      </c>
      <c r="M197" s="319">
        <v>18515.163075924651</v>
      </c>
      <c r="N197" s="319">
        <v>37316.940294097905</v>
      </c>
      <c r="O197" s="319">
        <v>32173.087639161407</v>
      </c>
      <c r="P197" s="319">
        <v>35809.092659372902</v>
      </c>
      <c r="Q197" s="320">
        <v>59237.060256204924</v>
      </c>
      <c r="R197" s="319">
        <v>9097.9905890261853</v>
      </c>
      <c r="S197" s="319"/>
      <c r="T197" s="319"/>
      <c r="U197" s="319"/>
      <c r="V197" s="319"/>
      <c r="W197" s="321">
        <f>IFERROR(IF(tblPiNAnalysis512[[#This Row],[CCCM]]="", "", MROUND(tblPiNAnalysis512[[#This Row],[CCCM]]/tblPiNAnalysis512[[#This Row],[Affected population projection 2026]], 0.05)), "")</f>
        <v>0.1</v>
      </c>
      <c r="X197" s="322">
        <f>IFERROR(IF(tblPiNAnalysis512[[#This Row],[Education]]="", "", MROUND(tblPiNAnalysis512[[#This Row],[Education]]/tblPiNAnalysis512[[#This Row],[Affected population projection 2026]], 0.05)), "")</f>
        <v>0.35000000000000003</v>
      </c>
      <c r="Y197" s="322">
        <f>IFERROR(IF(tblPiNAnalysis512[[#This Row],[Nutrition]]="", "", MROUND(tblPiNAnalysis512[[#This Row],[Nutrition]]/tblPiNAnalysis512[[#This Row],[Affected population projection 2026]], 0.05)), "")</f>
        <v>0.2</v>
      </c>
      <c r="Z197" s="322">
        <f>IFERROR(IF(tblPiNAnalysis512[[#This Row],[Food Security]]="", "", MROUND(tblPiNAnalysis512[[#This Row],[Food Security]]/tblPiNAnalysis512[[#This Row],[Affected population projection 2026]], 0.05)), "")</f>
        <v>0.45</v>
      </c>
      <c r="AA197" s="322">
        <f>IFERROR(IF(tblPiNAnalysis512[[#This Row],[Health]]="", "", MROUND(tblPiNAnalysis512[[#This Row],[Health]]/tblPiNAnalysis512[[#This Row],[Affected population projection 2026]], 0.05)), "")</f>
        <v>0.4</v>
      </c>
      <c r="AB197" s="323">
        <f>IFERROR(IF(tblPiNAnalysis512[[#This Row],[Overarching Protection]]="", "", MROUND(tblPiNAnalysis512[[#This Row],[Overarching Protection]]/tblPiNAnalysis512[[#This Row],[Affected population projection 2026]], 0.05)), "")</f>
        <v>0.4</v>
      </c>
      <c r="AC197" s="323">
        <f>IFERROR(IF(tblPiNAnalysis512[[#This Row],[Shelter]]="", "", MROUND(tblPiNAnalysis512[[#This Row],[Shelter]]/tblPiNAnalysis512[[#This Row],[Affected population projection 2026]], 0.05)), "")</f>
        <v>0.70000000000000007</v>
      </c>
      <c r="AD197" s="324">
        <f>IFERROR(IF(tblPiNAnalysis512[[#This Row],[WASH]]="", "", MROUND(tblPiNAnalysis512[[#This Row],[WASH]]/tblPiNAnalysis512[[#This Row],[Affected population projection 2026]], 0.05)), "")</f>
        <v>0.1</v>
      </c>
      <c r="AE197" s="322">
        <f>IFERROR(MROUND(tblPiNAnalysis512[[#This Row],[CP]]/tblPiNAnalysis512[[#This Row],[Affected population projection 2026]], 0.05), "")</f>
        <v>0</v>
      </c>
      <c r="AF197" s="322">
        <f>IFERROR(MROUND(tblPiNAnalysis512[[#This Row],[GBV]]/tblPiNAnalysis512[[#This Row],[Affected population projection 2026]], 0.05), "")</f>
        <v>0</v>
      </c>
      <c r="AG197" s="322">
        <f>IFERROR(MROUND(tblPiNAnalysis512[[#This Row],[Mine Action]]/tblPiNAnalysis512[[#This Row],[Affected population projection 2026]], 0.05), "")</f>
        <v>0</v>
      </c>
      <c r="AH197" s="322">
        <f>IFERROR(MROUND(tblPiNAnalysis512[[#This Row],[HLP]]/tblPiNAnalysis512[[#This Row],[Affected population projection 2026]], 0.05), "")</f>
        <v>0</v>
      </c>
      <c r="AI197" s="325">
        <f>IFERROR(LARGE(tblPiNAnalysis512[[#This Row],[CCCM]:[WASH]], 1), "")</f>
        <v>59237.060256204924</v>
      </c>
      <c r="AJ197" s="326" t="str" cm="1">
        <f t="array" ref="AJ197">IF(tblPiNAnalysis512[[#This Row],[Highest Target]]="", "", _xlfn.TEXTJOIN(CHAR(10), TRUE, IF(tblPiNAnalysis512[[#This Row],[Highest Target]]=tblPiNAnalysis512[[#This Row],[CCCM]:[WASH]], tblPiNAnalysis512[[#Headers],[CCCM]:[WASH]], "")))</f>
        <v>Shelter</v>
      </c>
      <c r="AK197" s="327">
        <f>IF(tblPiNAnalysis512[[#This Row],[Highest Target]]="", "", tblPiNAnalysis512[[#This Row],[Highest Target]]/tblPiNAnalysis512[[#This Row],[Affected population projection 2026]])</f>
        <v>0.7</v>
      </c>
      <c r="AL197" s="328" t="str">
        <f>IF(SUM(tblPiNAnalysis512[[#This Row],[CCCM]:[WASH]])=0, "",IF(COUNTIF(tblPiNAnalysis512[[#This Row],[CCCM]:[WASH]],"=0")+COUNTIF(tblPiNAnalysis512[[#This Row],[CCCM]:[WASH]],"")&gt;=zero_pin_thresh, "Flagged", ""))</f>
        <v/>
      </c>
      <c r="AM197" s="329" t="str">
        <f>IFERROR(IF(tblPiNAnalysis512[[#This Row],[Highest Target]]="", "", IF(tblPiNAnalysis512[[#This Row],[Highest sector(s'') Target %]]&gt;=flag_pin_perc, "Flagged", "")), "")</f>
        <v/>
      </c>
      <c r="AN197" s="330" t="str" cm="1">
        <f t="array" ref="AN197">IF(tblPiNAnalysis512[[#This Row],[Highest Target]]=0, "",  IF(OR(COUNTIF(tblPiNAnalysis512[[#This Row],[Highest sector(s)]],tblSubSectorPopulation[Sector])), "Flagged", ""))</f>
        <v/>
      </c>
      <c r="AO197" s="46" cm="1">
        <f t="array" ref="AO19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37316.940294097905</v>
      </c>
      <c r="AP197" s="331" t="str" cm="1">
        <f t="array" ref="AP197">IF(tblPiNAnalysis512[[#This Row],[2nd Highest Target]]="", "", _xlfn.TEXTJOIN(CHAR(10), TRUE, IF(tblPiNAnalysis512[[#This Row],[2nd Highest Target]]=tblPiNAnalysis512[[#This Row],[CCCM]:[WASH]], tblPiNAnalysis512[[#Headers],[CCCM]:[WASH]], "")))</f>
        <v>Food Security</v>
      </c>
      <c r="AQ197" s="36">
        <f>IFERROR(tblPiNAnalysis512[[#This Row],[2nd Highest Target]]/tblPiNAnalysis512[[#This Row],[Affected population projection 2026]], "")</f>
        <v>0.44097154877182371</v>
      </c>
      <c r="AR197" s="46">
        <f>IFERROR(tblPiNAnalysis512[[#This Row],[Highest Target]]-tblPiNAnalysis512[[#This Row],[2nd Highest Target]], "")</f>
        <v>21920.119962107019</v>
      </c>
      <c r="AS197" s="39">
        <f>IFERROR(((tblPiNAnalysis512[[#This Row],[Highest Target]]-tblPiNAnalysis512[[#This Row],[2nd Highest Target]])/tblPiNAnalysis512[[#This Row],[2nd Highest Target]]),"")</f>
        <v>0.58740399907797192</v>
      </c>
      <c r="AT197" s="39" t="str" cm="1">
        <f t="array" ref="AT19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197" s="332" cm="1">
        <f t="array" ref="AU19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35809.092659372902</v>
      </c>
      <c r="AV197" s="190" t="str" cm="1">
        <f t="array" ref="AV197">IF(tblPiNAnalysis512[[#This Row],[3rd Highest Target]]="", "", _xlfn.TEXTJOIN(CHAR(10), TRUE, IF(tblPiNAnalysis512[[#This Row],[3rd Highest Target]]=tblPiNAnalysis512[[#This Row],[CCCM]:[WASH]], tblPiNAnalysis512[[#Headers],[CCCM]:[WASH]], "")))</f>
        <v>Overarching Protection</v>
      </c>
      <c r="AW197" s="190">
        <f>IFERROR(tblPiNAnalysis512[[#This Row],[3rd Highest Target]]/tblPiNAnalysis512[[#This Row],[Affected population projection 2026]], "")</f>
        <v>0.42315342377131876</v>
      </c>
      <c r="AX197" s="45">
        <f>IFERROR(tblPiNAnalysis512[[#This Row],[Highest Target]]-tblPiNAnalysis512[[#This Row],[3rd Highest Target]],"")</f>
        <v>23427.967596832023</v>
      </c>
      <c r="AY197" s="39">
        <f>IFERROR(tblPiNAnalysis512[[#This Row],[Difference of Target between Highest and 3rd Highest]]/tblPiNAnalysis512[[#This Row],[3rd Highest Target]], "")</f>
        <v>0.65424633401594545</v>
      </c>
      <c r="AZ197" s="330" t="str" cm="1">
        <f t="array" ref="AZ19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197" s="300" t="str" cm="1">
        <f t="array" ref="BA19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7" s="333" t="str" cm="1">
        <f t="array" ref="BB19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7" s="276" t="str" cm="1">
        <f t="array" ref="BC19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7" s="334" t="str" cm="1">
        <f t="array" ref="BD19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97" s="277" t="e">
        <f>INDEX(tblSeverityAnalysis[Final Severity], MATCH(tblPiNAnalysis512[[#This Row],[ID]],tblSeverityAnalysis[ID], 0))</f>
        <v>#N/A</v>
      </c>
      <c r="BF197" s="61" t="e">
        <f>IF(tblPiNAnalysis512[[#This Row],[Severity]]&gt;2,tblPiNAnalysis512[[#This Row],[Highest Target]],)</f>
        <v>#N/A</v>
      </c>
      <c r="BG197" s="191"/>
      <c r="BH197" s="192"/>
      <c r="BI197" s="193">
        <f>COUNTIFS(tblPiNAnalysis512[[#This Row],[Number of missing / zero PiNs greater than threshold - Data quality]:[Manual Flag]],"Flagged")</f>
        <v>3</v>
      </c>
      <c r="BJ197" s="96" t="str">
        <f>IF(tblPiNAnalysis512[[#This Row],['# Flags]]&gt;0, "Flagged", "")</f>
        <v>Flagged</v>
      </c>
      <c r="BK197" s="326" t="e">
        <f>tblPiNAnalysis512[[#This Row],[Preliminary Target]]</f>
        <v>#N/A</v>
      </c>
      <c r="BL197" s="331">
        <v>2</v>
      </c>
    </row>
    <row r="198" spans="1:64" x14ac:dyDescent="0.55000000000000004">
      <c r="A1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8" s="316" t="s">
        <v>310</v>
      </c>
      <c r="C198" s="317" t="s">
        <v>311</v>
      </c>
      <c r="D198" s="317" t="s">
        <v>316</v>
      </c>
      <c r="E198" s="105" t="s">
        <v>317</v>
      </c>
      <c r="F198" s="100"/>
      <c r="G198" s="34"/>
      <c r="H198" s="34"/>
      <c r="I198" s="97">
        <v>62262.159201647075</v>
      </c>
      <c r="J198" s="97" t="s">
        <v>414</v>
      </c>
      <c r="K198" s="318">
        <v>0</v>
      </c>
      <c r="L198" s="319">
        <v>8144.0585314052814</v>
      </c>
      <c r="M198" s="319">
        <v>22132.152043279402</v>
      </c>
      <c r="N198" s="319">
        <v>25043.913831496066</v>
      </c>
      <c r="O198" s="319">
        <v>25633.300676064508</v>
      </c>
      <c r="P198" s="319">
        <v>30284.620358676431</v>
      </c>
      <c r="Q198" s="320">
        <v>34074.381672174124</v>
      </c>
      <c r="R198" s="319">
        <v>2522.1939491407957</v>
      </c>
      <c r="S198" s="319"/>
      <c r="T198" s="319"/>
      <c r="U198" s="319"/>
      <c r="V198" s="319"/>
      <c r="W198" s="321">
        <f>IFERROR(IF(tblPiNAnalysis512[[#This Row],[CCCM]]="", "", MROUND(tblPiNAnalysis512[[#This Row],[CCCM]]/tblPiNAnalysis512[[#This Row],[Affected population projection 2026]], 0.05)), "")</f>
        <v>0</v>
      </c>
      <c r="X198" s="322">
        <f>IFERROR(IF(tblPiNAnalysis512[[#This Row],[Education]]="", "", MROUND(tblPiNAnalysis512[[#This Row],[Education]]/tblPiNAnalysis512[[#This Row],[Affected population projection 2026]], 0.05)), "")</f>
        <v>0.15000000000000002</v>
      </c>
      <c r="Y198" s="322">
        <f>IFERROR(IF(tblPiNAnalysis512[[#This Row],[Nutrition]]="", "", MROUND(tblPiNAnalysis512[[#This Row],[Nutrition]]/tblPiNAnalysis512[[#This Row],[Affected population projection 2026]], 0.05)), "")</f>
        <v>0.35000000000000003</v>
      </c>
      <c r="Z198" s="322">
        <f>IFERROR(IF(tblPiNAnalysis512[[#This Row],[Food Security]]="", "", MROUND(tblPiNAnalysis512[[#This Row],[Food Security]]/tblPiNAnalysis512[[#This Row],[Affected population projection 2026]], 0.05)), "")</f>
        <v>0.4</v>
      </c>
      <c r="AA198" s="322">
        <f>IFERROR(IF(tblPiNAnalysis512[[#This Row],[Health]]="", "", MROUND(tblPiNAnalysis512[[#This Row],[Health]]/tblPiNAnalysis512[[#This Row],[Affected population projection 2026]], 0.05)), "")</f>
        <v>0.4</v>
      </c>
      <c r="AB198" s="323">
        <f>IFERROR(IF(tblPiNAnalysis512[[#This Row],[Overarching Protection]]="", "", MROUND(tblPiNAnalysis512[[#This Row],[Overarching Protection]]/tblPiNAnalysis512[[#This Row],[Affected population projection 2026]], 0.05)), "")</f>
        <v>0.5</v>
      </c>
      <c r="AC198" s="323">
        <f>IFERROR(IF(tblPiNAnalysis512[[#This Row],[Shelter]]="", "", MROUND(tblPiNAnalysis512[[#This Row],[Shelter]]/tblPiNAnalysis512[[#This Row],[Affected population projection 2026]], 0.05)), "")</f>
        <v>0.55000000000000004</v>
      </c>
      <c r="AD198" s="324">
        <f>IFERROR(IF(tblPiNAnalysis512[[#This Row],[WASH]]="", "", MROUND(tblPiNAnalysis512[[#This Row],[WASH]]/tblPiNAnalysis512[[#This Row],[Affected population projection 2026]], 0.05)), "")</f>
        <v>0.05</v>
      </c>
      <c r="AE198" s="322">
        <f>IFERROR(MROUND(tblPiNAnalysis512[[#This Row],[CP]]/tblPiNAnalysis512[[#This Row],[Affected population projection 2026]], 0.05), "")</f>
        <v>0</v>
      </c>
      <c r="AF198" s="322">
        <f>IFERROR(MROUND(tblPiNAnalysis512[[#This Row],[GBV]]/tblPiNAnalysis512[[#This Row],[Affected population projection 2026]], 0.05), "")</f>
        <v>0</v>
      </c>
      <c r="AG198" s="322">
        <f>IFERROR(MROUND(tblPiNAnalysis512[[#This Row],[Mine Action]]/tblPiNAnalysis512[[#This Row],[Affected population projection 2026]], 0.05), "")</f>
        <v>0</v>
      </c>
      <c r="AH198" s="322">
        <f>IFERROR(MROUND(tblPiNAnalysis512[[#This Row],[HLP]]/tblPiNAnalysis512[[#This Row],[Affected population projection 2026]], 0.05), "")</f>
        <v>0</v>
      </c>
      <c r="AI198" s="325">
        <f>IFERROR(LARGE(tblPiNAnalysis512[[#This Row],[CCCM]:[WASH]], 1), "")</f>
        <v>34074.381672174124</v>
      </c>
      <c r="AJ198" s="326" t="str" cm="1">
        <f t="array" ref="AJ198">IF(tblPiNAnalysis512[[#This Row],[Highest Target]]="", "", _xlfn.TEXTJOIN(CHAR(10), TRUE, IF(tblPiNAnalysis512[[#This Row],[Highest Target]]=tblPiNAnalysis512[[#This Row],[CCCM]:[WASH]], tblPiNAnalysis512[[#Headers],[CCCM]:[WASH]], "")))</f>
        <v>Shelter</v>
      </c>
      <c r="AK198" s="327">
        <f>IF(tblPiNAnalysis512[[#This Row],[Highest Target]]="", "", tblPiNAnalysis512[[#This Row],[Highest Target]]/tblPiNAnalysis512[[#This Row],[Affected population projection 2026]])</f>
        <v>0.54727272727272724</v>
      </c>
      <c r="AL198" s="328" t="str">
        <f>IF(SUM(tblPiNAnalysis512[[#This Row],[CCCM]:[WASH]])=0, "",IF(COUNTIF(tblPiNAnalysis512[[#This Row],[CCCM]:[WASH]],"=0")+COUNTIF(tblPiNAnalysis512[[#This Row],[CCCM]:[WASH]],"")&gt;=zero_pin_thresh, "Flagged", ""))</f>
        <v/>
      </c>
      <c r="AM198" s="329" t="str">
        <f>IFERROR(IF(tblPiNAnalysis512[[#This Row],[Highest Target]]="", "", IF(tblPiNAnalysis512[[#This Row],[Highest sector(s'') Target %]]&gt;=flag_pin_perc, "Flagged", "")), "")</f>
        <v/>
      </c>
      <c r="AN198" s="330" t="str" cm="1">
        <f t="array" ref="AN198">IF(tblPiNAnalysis512[[#This Row],[Highest Target]]=0, "",  IF(OR(COUNTIF(tblPiNAnalysis512[[#This Row],[Highest sector(s)]],tblSubSectorPopulation[Sector])), "Flagged", ""))</f>
        <v/>
      </c>
      <c r="AO198" s="46" cm="1">
        <f t="array" ref="AO19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30284.620358676431</v>
      </c>
      <c r="AP198" s="331" t="str" cm="1">
        <f t="array" ref="AP198">IF(tblPiNAnalysis512[[#This Row],[2nd Highest Target]]="", "", _xlfn.TEXTJOIN(CHAR(10), TRUE, IF(tblPiNAnalysis512[[#This Row],[2nd Highest Target]]=tblPiNAnalysis512[[#This Row],[CCCM]:[WASH]], tblPiNAnalysis512[[#Headers],[CCCM]:[WASH]], "")))</f>
        <v>Overarching Protection</v>
      </c>
      <c r="AQ198" s="36">
        <f>IFERROR(tblPiNAnalysis512[[#This Row],[2nd Highest Target]]/tblPiNAnalysis512[[#This Row],[Affected population projection 2026]], "")</f>
        <v>0.48640491667811109</v>
      </c>
      <c r="AR198" s="46">
        <f>IFERROR(tblPiNAnalysis512[[#This Row],[Highest Target]]-tblPiNAnalysis512[[#This Row],[2nd Highest Target]], "")</f>
        <v>3789.7613134976928</v>
      </c>
      <c r="AS198" s="39">
        <f>IFERROR(((tblPiNAnalysis512[[#This Row],[Highest Target]]-tblPiNAnalysis512[[#This Row],[2nd Highest Target]])/tblPiNAnalysis512[[#This Row],[2nd Highest Target]]),"")</f>
        <v>0.12513814829486347</v>
      </c>
      <c r="AT198" s="39" t="str" cm="1">
        <f t="array" ref="AT19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8" s="332" cm="1">
        <f t="array" ref="AU19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25633.300676064508</v>
      </c>
      <c r="AV198" s="190" t="str" cm="1">
        <f t="array" ref="AV198">IF(tblPiNAnalysis512[[#This Row],[3rd Highest Target]]="", "", _xlfn.TEXTJOIN(CHAR(10), TRUE, IF(tblPiNAnalysis512[[#This Row],[3rd Highest Target]]=tblPiNAnalysis512[[#This Row],[CCCM]:[WASH]], tblPiNAnalysis512[[#Headers],[CCCM]:[WASH]], "")))</f>
        <v>Health</v>
      </c>
      <c r="AW198" s="190">
        <f>IFERROR(tblPiNAnalysis512[[#This Row],[3rd Highest Target]]/tblPiNAnalysis512[[#This Row],[Affected population projection 2026]], "")</f>
        <v>0.41169951387401305</v>
      </c>
      <c r="AX198" s="45">
        <f>IFERROR(tblPiNAnalysis512[[#This Row],[Highest Target]]-tblPiNAnalysis512[[#This Row],[3rd Highest Target]],"")</f>
        <v>8441.0809961096165</v>
      </c>
      <c r="AY198" s="39">
        <f>IFERROR(tblPiNAnalysis512[[#This Row],[Difference of Target between Highest and 3rd Highest]]/tblPiNAnalysis512[[#This Row],[3rd Highest Target]], "")</f>
        <v>0.32930136866812504</v>
      </c>
      <c r="AZ198" s="330" t="str" cm="1">
        <f t="array" ref="AZ19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8" s="300" t="str" cm="1">
        <f t="array" ref="BA19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8" s="333" t="str" cm="1">
        <f t="array" ref="BB19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198" s="276" t="str" cm="1">
        <f t="array" ref="BC19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8" s="334" t="str" cm="1">
        <f t="array" ref="BD19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198" s="277" t="e">
        <f>INDEX(tblSeverityAnalysis[Final Severity], MATCH(tblPiNAnalysis512[[#This Row],[ID]],tblSeverityAnalysis[ID], 0))</f>
        <v>#N/A</v>
      </c>
      <c r="BF198" s="61" t="e">
        <f>IF(tblPiNAnalysis512[[#This Row],[Severity]]&gt;2,tblPiNAnalysis512[[#This Row],[Highest Target]],)</f>
        <v>#N/A</v>
      </c>
      <c r="BG198" s="191"/>
      <c r="BH198" s="192"/>
      <c r="BI198" s="193">
        <f>COUNTIFS(tblPiNAnalysis512[[#This Row],[Number of missing / zero PiNs greater than threshold - Data quality]:[Manual Flag]],"Flagged")</f>
        <v>1</v>
      </c>
      <c r="BJ198" s="96" t="str">
        <f>IF(tblPiNAnalysis512[[#This Row],['# Flags]]&gt;0, "Flagged", "")</f>
        <v>Flagged</v>
      </c>
      <c r="BK198" s="326" t="e">
        <f>tblPiNAnalysis512[[#This Row],[Preliminary Target]]</f>
        <v>#N/A</v>
      </c>
      <c r="BL198" s="331">
        <v>2</v>
      </c>
    </row>
    <row r="199" spans="1:64" ht="24.6" x14ac:dyDescent="0.55000000000000004">
      <c r="A1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9" s="316" t="s">
        <v>310</v>
      </c>
      <c r="C199" s="317" t="s">
        <v>311</v>
      </c>
      <c r="D199" s="317" t="s">
        <v>318</v>
      </c>
      <c r="E199" s="105" t="s">
        <v>319</v>
      </c>
      <c r="F199" s="100"/>
      <c r="G199" s="34"/>
      <c r="H199" s="34"/>
      <c r="I199" s="97">
        <v>8876.9955392885731</v>
      </c>
      <c r="J199" s="97" t="s">
        <v>414</v>
      </c>
      <c r="K199" s="318">
        <v>0</v>
      </c>
      <c r="L199" s="319">
        <v>809.7484368494795</v>
      </c>
      <c r="M199" s="319">
        <v>2458.0660530455111</v>
      </c>
      <c r="N199" s="319">
        <v>3775.6570624876808</v>
      </c>
      <c r="O199" s="319">
        <v>2930.4271734008034</v>
      </c>
      <c r="P199" s="319">
        <v>4148.1563709757465</v>
      </c>
      <c r="Q199" s="320">
        <v>4020.75680308953</v>
      </c>
      <c r="R199" s="319">
        <v>2079.8580457754633</v>
      </c>
      <c r="S199" s="319"/>
      <c r="T199" s="319"/>
      <c r="U199" s="319"/>
      <c r="V199" s="319"/>
      <c r="W199" s="321">
        <f>IFERROR(IF(tblPiNAnalysis512[[#This Row],[CCCM]]="", "", MROUND(tblPiNAnalysis512[[#This Row],[CCCM]]/tblPiNAnalysis512[[#This Row],[Affected population projection 2026]], 0.05)), "")</f>
        <v>0</v>
      </c>
      <c r="X199" s="322">
        <f>IFERROR(IF(tblPiNAnalysis512[[#This Row],[Education]]="", "", MROUND(tblPiNAnalysis512[[#This Row],[Education]]/tblPiNAnalysis512[[#This Row],[Affected population projection 2026]], 0.05)), "")</f>
        <v>0.1</v>
      </c>
      <c r="Y199" s="322">
        <f>IFERROR(IF(tblPiNAnalysis512[[#This Row],[Nutrition]]="", "", MROUND(tblPiNAnalysis512[[#This Row],[Nutrition]]/tblPiNAnalysis512[[#This Row],[Affected population projection 2026]], 0.05)), "")</f>
        <v>0.30000000000000004</v>
      </c>
      <c r="Z199" s="322">
        <f>IFERROR(IF(tblPiNAnalysis512[[#This Row],[Food Security]]="", "", MROUND(tblPiNAnalysis512[[#This Row],[Food Security]]/tblPiNAnalysis512[[#This Row],[Affected population projection 2026]], 0.05)), "")</f>
        <v>0.45</v>
      </c>
      <c r="AA199" s="322">
        <f>IFERROR(IF(tblPiNAnalysis512[[#This Row],[Health]]="", "", MROUND(tblPiNAnalysis512[[#This Row],[Health]]/tblPiNAnalysis512[[#This Row],[Affected population projection 2026]], 0.05)), "")</f>
        <v>0.35000000000000003</v>
      </c>
      <c r="AB199" s="323">
        <f>IFERROR(IF(tblPiNAnalysis512[[#This Row],[Overarching Protection]]="", "", MROUND(tblPiNAnalysis512[[#This Row],[Overarching Protection]]/tblPiNAnalysis512[[#This Row],[Affected population projection 2026]], 0.05)), "")</f>
        <v>0.45</v>
      </c>
      <c r="AC199" s="323">
        <f>IFERROR(IF(tblPiNAnalysis512[[#This Row],[Shelter]]="", "", MROUND(tblPiNAnalysis512[[#This Row],[Shelter]]/tblPiNAnalysis512[[#This Row],[Affected population projection 2026]], 0.05)), "")</f>
        <v>0.45</v>
      </c>
      <c r="AD199" s="324">
        <f>IFERROR(IF(tblPiNAnalysis512[[#This Row],[WASH]]="", "", MROUND(tblPiNAnalysis512[[#This Row],[WASH]]/tblPiNAnalysis512[[#This Row],[Affected population projection 2026]], 0.05)), "")</f>
        <v>0.25</v>
      </c>
      <c r="AE199" s="322">
        <f>IFERROR(MROUND(tblPiNAnalysis512[[#This Row],[CP]]/tblPiNAnalysis512[[#This Row],[Affected population projection 2026]], 0.05), "")</f>
        <v>0</v>
      </c>
      <c r="AF199" s="322">
        <f>IFERROR(MROUND(tblPiNAnalysis512[[#This Row],[GBV]]/tblPiNAnalysis512[[#This Row],[Affected population projection 2026]], 0.05), "")</f>
        <v>0</v>
      </c>
      <c r="AG199" s="322">
        <f>IFERROR(MROUND(tblPiNAnalysis512[[#This Row],[Mine Action]]/tblPiNAnalysis512[[#This Row],[Affected population projection 2026]], 0.05), "")</f>
        <v>0</v>
      </c>
      <c r="AH199" s="322">
        <f>IFERROR(MROUND(tblPiNAnalysis512[[#This Row],[HLP]]/tblPiNAnalysis512[[#This Row],[Affected population projection 2026]], 0.05), "")</f>
        <v>0</v>
      </c>
      <c r="AI199" s="325">
        <f>IFERROR(LARGE(tblPiNAnalysis512[[#This Row],[CCCM]:[WASH]], 1), "")</f>
        <v>4148.1563709757465</v>
      </c>
      <c r="AJ199" s="326" t="str" cm="1">
        <f t="array" ref="AJ199">IF(tblPiNAnalysis512[[#This Row],[Highest Target]]="", "", _xlfn.TEXTJOIN(CHAR(10), TRUE, IF(tblPiNAnalysis512[[#This Row],[Highest Target]]=tblPiNAnalysis512[[#This Row],[CCCM]:[WASH]], tblPiNAnalysis512[[#Headers],[CCCM]:[WASH]], "")))</f>
        <v>Overarching Protection</v>
      </c>
      <c r="AK199" s="327">
        <f>IF(tblPiNAnalysis512[[#This Row],[Highest Target]]="", "", tblPiNAnalysis512[[#This Row],[Highest Target]]/tblPiNAnalysis512[[#This Row],[Affected population projection 2026]])</f>
        <v>0.46729283039700514</v>
      </c>
      <c r="AL199" s="328" t="str">
        <f>IF(SUM(tblPiNAnalysis512[[#This Row],[CCCM]:[WASH]])=0, "",IF(COUNTIF(tblPiNAnalysis512[[#This Row],[CCCM]:[WASH]],"=0")+COUNTIF(tblPiNAnalysis512[[#This Row],[CCCM]:[WASH]],"")&gt;=zero_pin_thresh, "Flagged", ""))</f>
        <v/>
      </c>
      <c r="AM199" s="329" t="str">
        <f>IFERROR(IF(tblPiNAnalysis512[[#This Row],[Highest Target]]="", "", IF(tblPiNAnalysis512[[#This Row],[Highest sector(s'') Target %]]&gt;=flag_pin_perc, "Flagged", "")), "")</f>
        <v/>
      </c>
      <c r="AN199" s="330" t="str" cm="1">
        <f t="array" ref="AN199">IF(tblPiNAnalysis512[[#This Row],[Highest Target]]=0, "",  IF(OR(COUNTIF(tblPiNAnalysis512[[#This Row],[Highest sector(s)]],tblSubSectorPopulation[Sector])), "Flagged", ""))</f>
        <v/>
      </c>
      <c r="AO199" s="46" cm="1">
        <f t="array" ref="AO19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4020.75680308953</v>
      </c>
      <c r="AP199" s="331" t="str" cm="1">
        <f t="array" ref="AP199">IF(tblPiNAnalysis512[[#This Row],[2nd Highest Target]]="", "", _xlfn.TEXTJOIN(CHAR(10), TRUE, IF(tblPiNAnalysis512[[#This Row],[2nd Highest Target]]=tblPiNAnalysis512[[#This Row],[CCCM]:[WASH]], tblPiNAnalysis512[[#Headers],[CCCM]:[WASH]], "")))</f>
        <v>Shelter</v>
      </c>
      <c r="AQ199" s="36">
        <f>IFERROR(tblPiNAnalysis512[[#This Row],[2nd Highest Target]]/tblPiNAnalysis512[[#This Row],[Affected population projection 2026]], "")</f>
        <v>0.45294117647058824</v>
      </c>
      <c r="AR199" s="46">
        <f>IFERROR(tblPiNAnalysis512[[#This Row],[Highest Target]]-tblPiNAnalysis512[[#This Row],[2nd Highest Target]], "")</f>
        <v>127.39956788621657</v>
      </c>
      <c r="AS199" s="39">
        <f>IFERROR(((tblPiNAnalysis512[[#This Row],[Highest Target]]-tblPiNAnalysis512[[#This Row],[2nd Highest Target]])/tblPiNAnalysis512[[#This Row],[2nd Highest Target]]),"")</f>
        <v>3.1685469707673782E-2</v>
      </c>
      <c r="AT199" s="39" t="str" cm="1">
        <f t="array" ref="AT19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199" s="332" cm="1">
        <f t="array" ref="AU19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3775.6570624876808</v>
      </c>
      <c r="AV199" s="190" t="str" cm="1">
        <f t="array" ref="AV199">IF(tblPiNAnalysis512[[#This Row],[3rd Highest Target]]="", "", _xlfn.TEXTJOIN(CHAR(10), TRUE, IF(tblPiNAnalysis512[[#This Row],[3rd Highest Target]]=tblPiNAnalysis512[[#This Row],[CCCM]:[WASH]], tblPiNAnalysis512[[#Headers],[CCCM]:[WASH]], "")))</f>
        <v>Food Security</v>
      </c>
      <c r="AW199" s="190">
        <f>IFERROR(tblPiNAnalysis512[[#This Row],[3rd Highest Target]]/tblPiNAnalysis512[[#This Row],[Affected population projection 2026]], "")</f>
        <v>0.42533051253400456</v>
      </c>
      <c r="AX199" s="45">
        <f>IFERROR(tblPiNAnalysis512[[#This Row],[Highest Target]]-tblPiNAnalysis512[[#This Row],[3rd Highest Target]],"")</f>
        <v>372.49930848806571</v>
      </c>
      <c r="AY199" s="39">
        <f>IFERROR(tblPiNAnalysis512[[#This Row],[Difference of Target between Highest and 3rd Highest]]/tblPiNAnalysis512[[#This Row],[3rd Highest Target]], "")</f>
        <v>9.8658141436880328E-2</v>
      </c>
      <c r="AZ199" s="330" t="str" cm="1">
        <f t="array" ref="AZ19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199" s="300" t="str" cm="1">
        <f t="array" ref="BA19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199" s="333" t="str" cm="1">
        <f t="array" ref="BB19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199" s="276" t="str" cm="1">
        <f t="array" ref="BC19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199" s="334" t="str" cm="1">
        <f t="array" ref="BD19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199" s="277" t="e">
        <f>INDEX(tblSeverityAnalysis[Final Severity], MATCH(tblPiNAnalysis512[[#This Row],[ID]],tblSeverityAnalysis[ID], 0))</f>
        <v>#N/A</v>
      </c>
      <c r="BF199" s="61" t="e">
        <f>IF(tblPiNAnalysis512[[#This Row],[Severity]]&gt;2,tblPiNAnalysis512[[#This Row],[Highest Target]],)</f>
        <v>#N/A</v>
      </c>
      <c r="BG199" s="191"/>
      <c r="BH199" s="192"/>
      <c r="BI199" s="193">
        <f>COUNTIFS(tblPiNAnalysis512[[#This Row],[Number of missing / zero PiNs greater than threshold - Data quality]:[Manual Flag]],"Flagged")</f>
        <v>1</v>
      </c>
      <c r="BJ199" s="96" t="str">
        <f>IF(tblPiNAnalysis512[[#This Row],['# Flags]]&gt;0, "Flagged", "")</f>
        <v>Flagged</v>
      </c>
      <c r="BK199" s="326" t="e">
        <f>tblPiNAnalysis512[[#This Row],[Preliminary Target]]</f>
        <v>#N/A</v>
      </c>
      <c r="BL199" s="331">
        <v>2</v>
      </c>
    </row>
    <row r="200" spans="1:64" x14ac:dyDescent="0.55000000000000004">
      <c r="A2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0" s="316" t="s">
        <v>310</v>
      </c>
      <c r="C200" s="317" t="s">
        <v>311</v>
      </c>
      <c r="D200" s="317" t="s">
        <v>320</v>
      </c>
      <c r="E200" s="105" t="s">
        <v>321</v>
      </c>
      <c r="F200" s="100"/>
      <c r="G200" s="34"/>
      <c r="H200" s="34"/>
      <c r="I200" s="97">
        <v>46727.292920050364</v>
      </c>
      <c r="J200" s="97" t="s">
        <v>414</v>
      </c>
      <c r="K200" s="318"/>
      <c r="L200" s="319"/>
      <c r="M200" s="319"/>
      <c r="N200" s="319"/>
      <c r="O200" s="319"/>
      <c r="P200" s="319"/>
      <c r="Q200" s="320"/>
      <c r="R200" s="319"/>
      <c r="S200" s="319"/>
      <c r="T200" s="319"/>
      <c r="U200" s="319"/>
      <c r="V200" s="319"/>
      <c r="W200" s="321" t="str">
        <f>IFERROR(IF(tblPiNAnalysis512[[#This Row],[CCCM]]="", "", MROUND(tblPiNAnalysis512[[#This Row],[CCCM]]/tblPiNAnalysis512[[#This Row],[Affected population projection 2026]], 0.05)), "")</f>
        <v/>
      </c>
      <c r="X200" s="322" t="str">
        <f>IFERROR(IF(tblPiNAnalysis512[[#This Row],[Education]]="", "", MROUND(tblPiNAnalysis512[[#This Row],[Education]]/tblPiNAnalysis512[[#This Row],[Affected population projection 2026]], 0.05)), "")</f>
        <v/>
      </c>
      <c r="Y200" s="322" t="str">
        <f>IFERROR(IF(tblPiNAnalysis512[[#This Row],[Nutrition]]="", "", MROUND(tblPiNAnalysis512[[#This Row],[Nutrition]]/tblPiNAnalysis512[[#This Row],[Affected population projection 2026]], 0.05)), "")</f>
        <v/>
      </c>
      <c r="Z200" s="322" t="str">
        <f>IFERROR(IF(tblPiNAnalysis512[[#This Row],[Food Security]]="", "", MROUND(tblPiNAnalysis512[[#This Row],[Food Security]]/tblPiNAnalysis512[[#This Row],[Affected population projection 2026]], 0.05)), "")</f>
        <v/>
      </c>
      <c r="AA200" s="322" t="str">
        <f>IFERROR(IF(tblPiNAnalysis512[[#This Row],[Health]]="", "", MROUND(tblPiNAnalysis512[[#This Row],[Health]]/tblPiNAnalysis512[[#This Row],[Affected population projection 2026]], 0.05)), "")</f>
        <v/>
      </c>
      <c r="AB200" s="323" t="str">
        <f>IFERROR(IF(tblPiNAnalysis512[[#This Row],[Overarching Protection]]="", "", MROUND(tblPiNAnalysis512[[#This Row],[Overarching Protection]]/tblPiNAnalysis512[[#This Row],[Affected population projection 2026]], 0.05)), "")</f>
        <v/>
      </c>
      <c r="AC200" s="323" t="str">
        <f>IFERROR(IF(tblPiNAnalysis512[[#This Row],[Shelter]]="", "", MROUND(tblPiNAnalysis512[[#This Row],[Shelter]]/tblPiNAnalysis512[[#This Row],[Affected population projection 2026]], 0.05)), "")</f>
        <v/>
      </c>
      <c r="AD200" s="324" t="str">
        <f>IFERROR(IF(tblPiNAnalysis512[[#This Row],[WASH]]="", "", MROUND(tblPiNAnalysis512[[#This Row],[WASH]]/tblPiNAnalysis512[[#This Row],[Affected population projection 2026]], 0.05)), "")</f>
        <v/>
      </c>
      <c r="AE200" s="322">
        <f>IFERROR(MROUND(tblPiNAnalysis512[[#This Row],[CP]]/tblPiNAnalysis512[[#This Row],[Affected population projection 2026]], 0.05), "")</f>
        <v>0</v>
      </c>
      <c r="AF200" s="322">
        <f>IFERROR(MROUND(tblPiNAnalysis512[[#This Row],[GBV]]/tblPiNAnalysis512[[#This Row],[Affected population projection 2026]], 0.05), "")</f>
        <v>0</v>
      </c>
      <c r="AG200" s="322">
        <f>IFERROR(MROUND(tblPiNAnalysis512[[#This Row],[Mine Action]]/tblPiNAnalysis512[[#This Row],[Affected population projection 2026]], 0.05), "")</f>
        <v>0</v>
      </c>
      <c r="AH200" s="322">
        <f>IFERROR(MROUND(tblPiNAnalysis512[[#This Row],[HLP]]/tblPiNAnalysis512[[#This Row],[Affected population projection 2026]], 0.05), "")</f>
        <v>0</v>
      </c>
      <c r="AI200" s="325" t="str">
        <f>IFERROR(LARGE(tblPiNAnalysis512[[#This Row],[CCCM]:[WASH]], 1), "")</f>
        <v/>
      </c>
      <c r="AJ200" s="326" t="str" cm="1">
        <f t="array" ref="AJ200">IF(tblPiNAnalysis512[[#This Row],[Highest Target]]="", "", _xlfn.TEXTJOIN(CHAR(10), TRUE, IF(tblPiNAnalysis512[[#This Row],[Highest Target]]=tblPiNAnalysis512[[#This Row],[CCCM]:[WASH]], tblPiNAnalysis512[[#Headers],[CCCM]:[WASH]], "")))</f>
        <v/>
      </c>
      <c r="AK200" s="327" t="str">
        <f>IF(tblPiNAnalysis512[[#This Row],[Highest Target]]="", "", tblPiNAnalysis512[[#This Row],[Highest Target]]/tblPiNAnalysis512[[#This Row],[Affected population projection 2026]])</f>
        <v/>
      </c>
      <c r="AL200" s="328" t="str">
        <f>IF(SUM(tblPiNAnalysis512[[#This Row],[CCCM]:[WASH]])=0, "",IF(COUNTIF(tblPiNAnalysis512[[#This Row],[CCCM]:[WASH]],"=0")+COUNTIF(tblPiNAnalysis512[[#This Row],[CCCM]:[WASH]],"")&gt;=zero_pin_thresh, "Flagged", ""))</f>
        <v/>
      </c>
      <c r="AM200" s="329" t="str">
        <f>IFERROR(IF(tblPiNAnalysis512[[#This Row],[Highest Target]]="", "", IF(tblPiNAnalysis512[[#This Row],[Highest sector(s'') Target %]]&gt;=flag_pin_perc, "Flagged", "")), "")</f>
        <v/>
      </c>
      <c r="AN200" s="330" t="str" cm="1">
        <f t="array" ref="AN200">IF(tblPiNAnalysis512[[#This Row],[Highest Target]]=0, "",  IF(OR(COUNTIF(tblPiNAnalysis512[[#This Row],[Highest sector(s)]],tblSubSectorPopulation[Sector])), "Flagged", ""))</f>
        <v/>
      </c>
      <c r="AO200" s="46" t="str" cm="1">
        <f t="array" ref="AO20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00" s="331" t="str" cm="1">
        <f t="array" ref="AP200">IF(tblPiNAnalysis512[[#This Row],[2nd Highest Target]]="", "", _xlfn.TEXTJOIN(CHAR(10), TRUE, IF(tblPiNAnalysis512[[#This Row],[2nd Highest Target]]=tblPiNAnalysis512[[#This Row],[CCCM]:[WASH]], tblPiNAnalysis512[[#Headers],[CCCM]:[WASH]], "")))</f>
        <v/>
      </c>
      <c r="AQ200" s="36" t="str">
        <f>IFERROR(tblPiNAnalysis512[[#This Row],[2nd Highest Target]]/tblPiNAnalysis512[[#This Row],[Affected population projection 2026]], "")</f>
        <v/>
      </c>
      <c r="AR200" s="46" t="str">
        <f>IFERROR(tblPiNAnalysis512[[#This Row],[Highest Target]]-tblPiNAnalysis512[[#This Row],[2nd Highest Target]], "")</f>
        <v/>
      </c>
      <c r="AS200" s="39" t="str">
        <f>IFERROR(((tblPiNAnalysis512[[#This Row],[Highest Target]]-tblPiNAnalysis512[[#This Row],[2nd Highest Target]])/tblPiNAnalysis512[[#This Row],[2nd Highest Target]]),"")</f>
        <v/>
      </c>
      <c r="AT200" s="39" t="str" cm="1">
        <f t="array" ref="AT20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0" s="332" t="str" cm="1">
        <f t="array" ref="AU20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00" s="190" t="str" cm="1">
        <f t="array" ref="AV200">IF(tblPiNAnalysis512[[#This Row],[3rd Highest Target]]="", "", _xlfn.TEXTJOIN(CHAR(10), TRUE, IF(tblPiNAnalysis512[[#This Row],[3rd Highest Target]]=tblPiNAnalysis512[[#This Row],[CCCM]:[WASH]], tblPiNAnalysis512[[#Headers],[CCCM]:[WASH]], "")))</f>
        <v/>
      </c>
      <c r="AW200" s="190" t="str">
        <f>IFERROR(tblPiNAnalysis512[[#This Row],[3rd Highest Target]]/tblPiNAnalysis512[[#This Row],[Affected population projection 2026]], "")</f>
        <v/>
      </c>
      <c r="AX200" s="45" t="str">
        <f>IFERROR(tblPiNAnalysis512[[#This Row],[Highest Target]]-tblPiNAnalysis512[[#This Row],[3rd Highest Target]],"")</f>
        <v/>
      </c>
      <c r="AY200" s="39" t="str">
        <f>IFERROR(tblPiNAnalysis512[[#This Row],[Difference of Target between Highest and 3rd Highest]]/tblPiNAnalysis512[[#This Row],[3rd Highest Target]], "")</f>
        <v/>
      </c>
      <c r="AZ200" s="330" t="str" cm="1">
        <f t="array" ref="AZ20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00" s="300" t="str" cm="1">
        <f t="array" ref="BA20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0" s="333" t="str" cm="1">
        <f t="array" ref="BB20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0" s="276" t="str" cm="1">
        <f t="array" ref="BC20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0" s="334" t="str" cm="1">
        <f t="array" ref="BD20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0" s="277" t="e">
        <f>INDEX(tblSeverityAnalysis[Final Severity], MATCH(tblPiNAnalysis512[[#This Row],[ID]],tblSeverityAnalysis[ID], 0))</f>
        <v>#N/A</v>
      </c>
      <c r="BF200" s="61" t="e">
        <f>IF(tblPiNAnalysis512[[#This Row],[Severity]]&gt;2,tblPiNAnalysis512[[#This Row],[Highest Target]],)</f>
        <v>#N/A</v>
      </c>
      <c r="BG200" s="191"/>
      <c r="BH200" s="192"/>
      <c r="BI200" s="193">
        <f>COUNTIFS(tblPiNAnalysis512[[#This Row],[Number of missing / zero PiNs greater than threshold - Data quality]:[Manual Flag]],"Flagged")</f>
        <v>2</v>
      </c>
      <c r="BJ200" s="96" t="str">
        <f>IF(tblPiNAnalysis512[[#This Row],['# Flags]]&gt;0, "Flagged", "")</f>
        <v>Flagged</v>
      </c>
      <c r="BK200" s="326" t="e">
        <f>tblPiNAnalysis512[[#This Row],[Preliminary Target]]</f>
        <v>#N/A</v>
      </c>
      <c r="BL200" s="331">
        <v>3</v>
      </c>
    </row>
    <row r="201" spans="1:64" ht="110.7" x14ac:dyDescent="0.55000000000000004">
      <c r="A2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1" s="316" t="s">
        <v>322</v>
      </c>
      <c r="C201" s="317" t="s">
        <v>323</v>
      </c>
      <c r="D201" s="317" t="s">
        <v>324</v>
      </c>
      <c r="E201" s="105" t="s">
        <v>325</v>
      </c>
      <c r="F201" s="100"/>
      <c r="G201" s="34"/>
      <c r="H201" s="34"/>
      <c r="I201" s="97">
        <v>1708.2679972549467</v>
      </c>
      <c r="J201" s="97" t="s">
        <v>414</v>
      </c>
      <c r="K201" s="318">
        <v>0</v>
      </c>
      <c r="L201" s="319">
        <v>0</v>
      </c>
      <c r="M201" s="319">
        <v>0</v>
      </c>
      <c r="N201" s="319">
        <v>0</v>
      </c>
      <c r="O201" s="319">
        <v>0</v>
      </c>
      <c r="P201" s="319">
        <v>0</v>
      </c>
      <c r="Q201" s="320">
        <v>0</v>
      </c>
      <c r="R201" s="319">
        <v>0</v>
      </c>
      <c r="S201" s="319"/>
      <c r="T201" s="319"/>
      <c r="U201" s="319"/>
      <c r="V201" s="319"/>
      <c r="W201" s="321">
        <f>IFERROR(IF(tblPiNAnalysis512[[#This Row],[CCCM]]="", "", MROUND(tblPiNAnalysis512[[#This Row],[CCCM]]/tblPiNAnalysis512[[#This Row],[Affected population projection 2026]], 0.05)), "")</f>
        <v>0</v>
      </c>
      <c r="X201" s="322">
        <f>IFERROR(IF(tblPiNAnalysis512[[#This Row],[Education]]="", "", MROUND(tblPiNAnalysis512[[#This Row],[Education]]/tblPiNAnalysis512[[#This Row],[Affected population projection 2026]], 0.05)), "")</f>
        <v>0</v>
      </c>
      <c r="Y201" s="322">
        <f>IFERROR(IF(tblPiNAnalysis512[[#This Row],[Nutrition]]="", "", MROUND(tblPiNAnalysis512[[#This Row],[Nutrition]]/tblPiNAnalysis512[[#This Row],[Affected population projection 2026]], 0.05)), "")</f>
        <v>0</v>
      </c>
      <c r="Z201" s="322">
        <f>IFERROR(IF(tblPiNAnalysis512[[#This Row],[Food Security]]="", "", MROUND(tblPiNAnalysis512[[#This Row],[Food Security]]/tblPiNAnalysis512[[#This Row],[Affected population projection 2026]], 0.05)), "")</f>
        <v>0</v>
      </c>
      <c r="AA201" s="322">
        <f>IFERROR(IF(tblPiNAnalysis512[[#This Row],[Health]]="", "", MROUND(tblPiNAnalysis512[[#This Row],[Health]]/tblPiNAnalysis512[[#This Row],[Affected population projection 2026]], 0.05)), "")</f>
        <v>0</v>
      </c>
      <c r="AB201" s="323">
        <f>IFERROR(IF(tblPiNAnalysis512[[#This Row],[Overarching Protection]]="", "", MROUND(tblPiNAnalysis512[[#This Row],[Overarching Protection]]/tblPiNAnalysis512[[#This Row],[Affected population projection 2026]], 0.05)), "")</f>
        <v>0</v>
      </c>
      <c r="AC201" s="323">
        <f>IFERROR(IF(tblPiNAnalysis512[[#This Row],[Shelter]]="", "", MROUND(tblPiNAnalysis512[[#This Row],[Shelter]]/tblPiNAnalysis512[[#This Row],[Affected population projection 2026]], 0.05)), "")</f>
        <v>0</v>
      </c>
      <c r="AD201" s="324">
        <f>IFERROR(IF(tblPiNAnalysis512[[#This Row],[WASH]]="", "", MROUND(tblPiNAnalysis512[[#This Row],[WASH]]/tblPiNAnalysis512[[#This Row],[Affected population projection 2026]], 0.05)), "")</f>
        <v>0</v>
      </c>
      <c r="AE201" s="322">
        <f>IFERROR(MROUND(tblPiNAnalysis512[[#This Row],[CP]]/tblPiNAnalysis512[[#This Row],[Affected population projection 2026]], 0.05), "")</f>
        <v>0</v>
      </c>
      <c r="AF201" s="322">
        <f>IFERROR(MROUND(tblPiNAnalysis512[[#This Row],[GBV]]/tblPiNAnalysis512[[#This Row],[Affected population projection 2026]], 0.05), "")</f>
        <v>0</v>
      </c>
      <c r="AG201" s="322">
        <f>IFERROR(MROUND(tblPiNAnalysis512[[#This Row],[Mine Action]]/tblPiNAnalysis512[[#This Row],[Affected population projection 2026]], 0.05), "")</f>
        <v>0</v>
      </c>
      <c r="AH201" s="322">
        <f>IFERROR(MROUND(tblPiNAnalysis512[[#This Row],[HLP]]/tblPiNAnalysis512[[#This Row],[Affected population projection 2026]], 0.05), "")</f>
        <v>0</v>
      </c>
      <c r="AI201" s="325">
        <f>IFERROR(LARGE(tblPiNAnalysis512[[#This Row],[CCCM]:[WASH]], 1), "")</f>
        <v>0</v>
      </c>
      <c r="AJ201" s="326" t="str" cm="1">
        <f t="array" ref="AJ201">IF(tblPiNAnalysis512[[#This Row],[Highest Target]]="", "", _xlfn.TEXTJOIN(CHAR(10), TRUE, IF(tblPiNAnalysis512[[#This Row],[Highest Target]]=tblPiNAnalysis512[[#This Row],[CCCM]:[WASH]], tblPiNAnalysis512[[#Headers],[CCCM]:[WASH]], "")))</f>
        <v>CCCM
Education
Nutrition
Food Security
Health
Overarching Protection
Shelter
WASH</v>
      </c>
      <c r="AK201" s="327">
        <f>IF(tblPiNAnalysis512[[#This Row],[Highest Target]]="", "", tblPiNAnalysis512[[#This Row],[Highest Target]]/tblPiNAnalysis512[[#This Row],[Affected population projection 2026]])</f>
        <v>0</v>
      </c>
      <c r="AL201" s="328" t="str">
        <f>IF(SUM(tblPiNAnalysis512[[#This Row],[CCCM]:[WASH]])=0, "",IF(COUNTIF(tblPiNAnalysis512[[#This Row],[CCCM]:[WASH]],"=0")+COUNTIF(tblPiNAnalysis512[[#This Row],[CCCM]:[WASH]],"")&gt;=zero_pin_thresh, "Flagged", ""))</f>
        <v/>
      </c>
      <c r="AM201" s="329" t="str">
        <f>IFERROR(IF(tblPiNAnalysis512[[#This Row],[Highest Target]]="", "", IF(tblPiNAnalysis512[[#This Row],[Highest sector(s'') Target %]]&gt;=flag_pin_perc, "Flagged", "")), "")</f>
        <v/>
      </c>
      <c r="AN201" s="330" t="str" cm="1">
        <f t="array" ref="AN201">IF(tblPiNAnalysis512[[#This Row],[Highest Target]]=0, "",  IF(OR(COUNTIF(tblPiNAnalysis512[[#This Row],[Highest sector(s)]],tblSubSectorPopulation[Sector])), "Flagged", ""))</f>
        <v/>
      </c>
      <c r="AO201" s="46" cm="1">
        <f t="array" ref="AO20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01" s="331" t="str" cm="1">
        <f t="array" ref="AP201">IF(tblPiNAnalysis512[[#This Row],[2nd Highest Target]]="", "", _xlfn.TEXTJOIN(CHAR(10), TRUE, IF(tblPiNAnalysis512[[#This Row],[2nd Highest Target]]=tblPiNAnalysis512[[#This Row],[CCCM]:[WASH]], tblPiNAnalysis512[[#Headers],[CCCM]:[WASH]], "")))</f>
        <v>CCCM
Education
Nutrition
Food Security
Health
Overarching Protection
Shelter
WASH</v>
      </c>
      <c r="AQ201" s="36">
        <f>IFERROR(tblPiNAnalysis512[[#This Row],[2nd Highest Target]]/tblPiNAnalysis512[[#This Row],[Affected population projection 2026]], "")</f>
        <v>0</v>
      </c>
      <c r="AR201" s="46">
        <f>IFERROR(tblPiNAnalysis512[[#This Row],[Highest Target]]-tblPiNAnalysis512[[#This Row],[2nd Highest Target]], "")</f>
        <v>0</v>
      </c>
      <c r="AS201" s="39" t="str">
        <f>IFERROR(((tblPiNAnalysis512[[#This Row],[Highest Target]]-tblPiNAnalysis512[[#This Row],[2nd Highest Target]])/tblPiNAnalysis512[[#This Row],[2nd Highest Target]]),"")</f>
        <v/>
      </c>
      <c r="AT201" s="39" t="str" cm="1">
        <f t="array" ref="AT20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1" s="332" cm="1">
        <f t="array" ref="AU20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01" s="190" t="str" cm="1">
        <f t="array" ref="AV201">IF(tblPiNAnalysis512[[#This Row],[3rd Highest Target]]="", "", _xlfn.TEXTJOIN(CHAR(10), TRUE, IF(tblPiNAnalysis512[[#This Row],[3rd Highest Target]]=tblPiNAnalysis512[[#This Row],[CCCM]:[WASH]], tblPiNAnalysis512[[#Headers],[CCCM]:[WASH]], "")))</f>
        <v>CCCM
Education
Nutrition
Food Security
Health
Overarching Protection
Shelter
WASH</v>
      </c>
      <c r="AW201" s="190">
        <f>IFERROR(tblPiNAnalysis512[[#This Row],[3rd Highest Target]]/tblPiNAnalysis512[[#This Row],[Affected population projection 2026]], "")</f>
        <v>0</v>
      </c>
      <c r="AX201" s="45">
        <f>IFERROR(tblPiNAnalysis512[[#This Row],[Highest Target]]-tblPiNAnalysis512[[#This Row],[3rd Highest Target]],"")</f>
        <v>0</v>
      </c>
      <c r="AY201" s="39" t="str">
        <f>IFERROR(tblPiNAnalysis512[[#This Row],[Difference of Target between Highest and 3rd Highest]]/tblPiNAnalysis512[[#This Row],[3rd Highest Target]], "")</f>
        <v/>
      </c>
      <c r="AZ201" s="330" t="str" cm="1">
        <f t="array" ref="AZ20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01" s="300" t="str" cm="1">
        <f t="array" ref="BA20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1" s="333" t="str" cm="1">
        <f t="array" ref="BB20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1" s="276" t="str" cm="1">
        <f t="array" ref="BC20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1" s="334" t="str" cm="1">
        <f t="array" ref="BD20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1" s="277" t="e">
        <f>INDEX(tblSeverityAnalysis[Final Severity], MATCH(tblPiNAnalysis512[[#This Row],[ID]],tblSeverityAnalysis[ID], 0))</f>
        <v>#N/A</v>
      </c>
      <c r="BF201" s="61" t="e">
        <f>IF(tblPiNAnalysis512[[#This Row],[Severity]]&gt;2,tblPiNAnalysis512[[#This Row],[Highest Target]],)</f>
        <v>#N/A</v>
      </c>
      <c r="BG201" s="191"/>
      <c r="BH201" s="192"/>
      <c r="BI201" s="193">
        <f>COUNTIFS(tblPiNAnalysis512[[#This Row],[Number of missing / zero PiNs greater than threshold - Data quality]:[Manual Flag]],"Flagged")</f>
        <v>2</v>
      </c>
      <c r="BJ201" s="96" t="str">
        <f>IF(tblPiNAnalysis512[[#This Row],['# Flags]]&gt;0, "Flagged", "")</f>
        <v>Flagged</v>
      </c>
      <c r="BK201" s="326" t="e">
        <f>tblPiNAnalysis512[[#This Row],[Preliminary Target]]</f>
        <v>#N/A</v>
      </c>
      <c r="BL201" s="331">
        <v>4</v>
      </c>
    </row>
    <row r="202" spans="1:64" x14ac:dyDescent="0.55000000000000004">
      <c r="A2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2" s="316" t="s">
        <v>322</v>
      </c>
      <c r="C202" s="317" t="s">
        <v>323</v>
      </c>
      <c r="D202" s="317" t="s">
        <v>326</v>
      </c>
      <c r="E202" s="105" t="s">
        <v>327</v>
      </c>
      <c r="F202" s="100"/>
      <c r="G202" s="34"/>
      <c r="H202" s="34"/>
      <c r="I202" s="97">
        <v>1810</v>
      </c>
      <c r="J202" s="97" t="s">
        <v>414</v>
      </c>
      <c r="K202" s="318"/>
      <c r="L202" s="319"/>
      <c r="M202" s="319"/>
      <c r="N202" s="319"/>
      <c r="O202" s="319"/>
      <c r="P202" s="319"/>
      <c r="Q202" s="320"/>
      <c r="R202" s="319"/>
      <c r="S202" s="319"/>
      <c r="T202" s="319"/>
      <c r="U202" s="319"/>
      <c r="V202" s="319"/>
      <c r="W202" s="321" t="str">
        <f>IFERROR(IF(tblPiNAnalysis512[[#This Row],[CCCM]]="", "", MROUND(tblPiNAnalysis512[[#This Row],[CCCM]]/tblPiNAnalysis512[[#This Row],[Affected population projection 2026]], 0.05)), "")</f>
        <v/>
      </c>
      <c r="X202" s="322" t="str">
        <f>IFERROR(IF(tblPiNAnalysis512[[#This Row],[Education]]="", "", MROUND(tblPiNAnalysis512[[#This Row],[Education]]/tblPiNAnalysis512[[#This Row],[Affected population projection 2026]], 0.05)), "")</f>
        <v/>
      </c>
      <c r="Y202" s="322" t="str">
        <f>IFERROR(IF(tblPiNAnalysis512[[#This Row],[Nutrition]]="", "", MROUND(tblPiNAnalysis512[[#This Row],[Nutrition]]/tblPiNAnalysis512[[#This Row],[Affected population projection 2026]], 0.05)), "")</f>
        <v/>
      </c>
      <c r="Z202" s="322" t="str">
        <f>IFERROR(IF(tblPiNAnalysis512[[#This Row],[Food Security]]="", "", MROUND(tblPiNAnalysis512[[#This Row],[Food Security]]/tblPiNAnalysis512[[#This Row],[Affected population projection 2026]], 0.05)), "")</f>
        <v/>
      </c>
      <c r="AA202" s="322" t="str">
        <f>IFERROR(IF(tblPiNAnalysis512[[#This Row],[Health]]="", "", MROUND(tblPiNAnalysis512[[#This Row],[Health]]/tblPiNAnalysis512[[#This Row],[Affected population projection 2026]], 0.05)), "")</f>
        <v/>
      </c>
      <c r="AB202" s="323" t="str">
        <f>IFERROR(IF(tblPiNAnalysis512[[#This Row],[Overarching Protection]]="", "", MROUND(tblPiNAnalysis512[[#This Row],[Overarching Protection]]/tblPiNAnalysis512[[#This Row],[Affected population projection 2026]], 0.05)), "")</f>
        <v/>
      </c>
      <c r="AC202" s="323" t="str">
        <f>IFERROR(IF(tblPiNAnalysis512[[#This Row],[Shelter]]="", "", MROUND(tblPiNAnalysis512[[#This Row],[Shelter]]/tblPiNAnalysis512[[#This Row],[Affected population projection 2026]], 0.05)), "")</f>
        <v/>
      </c>
      <c r="AD202" s="324" t="str">
        <f>IFERROR(IF(tblPiNAnalysis512[[#This Row],[WASH]]="", "", MROUND(tblPiNAnalysis512[[#This Row],[WASH]]/tblPiNAnalysis512[[#This Row],[Affected population projection 2026]], 0.05)), "")</f>
        <v/>
      </c>
      <c r="AE202" s="322">
        <f>IFERROR(MROUND(tblPiNAnalysis512[[#This Row],[CP]]/tblPiNAnalysis512[[#This Row],[Affected population projection 2026]], 0.05), "")</f>
        <v>0</v>
      </c>
      <c r="AF202" s="322">
        <f>IFERROR(MROUND(tblPiNAnalysis512[[#This Row],[GBV]]/tblPiNAnalysis512[[#This Row],[Affected population projection 2026]], 0.05), "")</f>
        <v>0</v>
      </c>
      <c r="AG202" s="322">
        <f>IFERROR(MROUND(tblPiNAnalysis512[[#This Row],[Mine Action]]/tblPiNAnalysis512[[#This Row],[Affected population projection 2026]], 0.05), "")</f>
        <v>0</v>
      </c>
      <c r="AH202" s="322">
        <f>IFERROR(MROUND(tblPiNAnalysis512[[#This Row],[HLP]]/tblPiNAnalysis512[[#This Row],[Affected population projection 2026]], 0.05), "")</f>
        <v>0</v>
      </c>
      <c r="AI202" s="325" t="str">
        <f>IFERROR(LARGE(tblPiNAnalysis512[[#This Row],[CCCM]:[WASH]], 1), "")</f>
        <v/>
      </c>
      <c r="AJ202" s="326" t="str" cm="1">
        <f t="array" ref="AJ202">IF(tblPiNAnalysis512[[#This Row],[Highest Target]]="", "", _xlfn.TEXTJOIN(CHAR(10), TRUE, IF(tblPiNAnalysis512[[#This Row],[Highest Target]]=tblPiNAnalysis512[[#This Row],[CCCM]:[WASH]], tblPiNAnalysis512[[#Headers],[CCCM]:[WASH]], "")))</f>
        <v/>
      </c>
      <c r="AK202" s="327" t="str">
        <f>IF(tblPiNAnalysis512[[#This Row],[Highest Target]]="", "", tblPiNAnalysis512[[#This Row],[Highest Target]]/tblPiNAnalysis512[[#This Row],[Affected population projection 2026]])</f>
        <v/>
      </c>
      <c r="AL202" s="328" t="str">
        <f>IF(SUM(tblPiNAnalysis512[[#This Row],[CCCM]:[WASH]])=0, "",IF(COUNTIF(tblPiNAnalysis512[[#This Row],[CCCM]:[WASH]],"=0")+COUNTIF(tblPiNAnalysis512[[#This Row],[CCCM]:[WASH]],"")&gt;=zero_pin_thresh, "Flagged", ""))</f>
        <v/>
      </c>
      <c r="AM202" s="329" t="str">
        <f>IFERROR(IF(tblPiNAnalysis512[[#This Row],[Highest Target]]="", "", IF(tblPiNAnalysis512[[#This Row],[Highest sector(s'') Target %]]&gt;=flag_pin_perc, "Flagged", "")), "")</f>
        <v/>
      </c>
      <c r="AN202" s="330" t="str" cm="1">
        <f t="array" ref="AN202">IF(tblPiNAnalysis512[[#This Row],[Highest Target]]=0, "",  IF(OR(COUNTIF(tblPiNAnalysis512[[#This Row],[Highest sector(s)]],tblSubSectorPopulation[Sector])), "Flagged", ""))</f>
        <v/>
      </c>
      <c r="AO202" s="46" t="str" cm="1">
        <f t="array" ref="AO20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02" s="331" t="str" cm="1">
        <f t="array" ref="AP202">IF(tblPiNAnalysis512[[#This Row],[2nd Highest Target]]="", "", _xlfn.TEXTJOIN(CHAR(10), TRUE, IF(tblPiNAnalysis512[[#This Row],[2nd Highest Target]]=tblPiNAnalysis512[[#This Row],[CCCM]:[WASH]], tblPiNAnalysis512[[#Headers],[CCCM]:[WASH]], "")))</f>
        <v/>
      </c>
      <c r="AQ202" s="36" t="str">
        <f>IFERROR(tblPiNAnalysis512[[#This Row],[2nd Highest Target]]/tblPiNAnalysis512[[#This Row],[Affected population projection 2026]], "")</f>
        <v/>
      </c>
      <c r="AR202" s="46" t="str">
        <f>IFERROR(tblPiNAnalysis512[[#This Row],[Highest Target]]-tblPiNAnalysis512[[#This Row],[2nd Highest Target]], "")</f>
        <v/>
      </c>
      <c r="AS202" s="39" t="str">
        <f>IFERROR(((tblPiNAnalysis512[[#This Row],[Highest Target]]-tblPiNAnalysis512[[#This Row],[2nd Highest Target]])/tblPiNAnalysis512[[#This Row],[2nd Highest Target]]),"")</f>
        <v/>
      </c>
      <c r="AT202" s="39" t="str" cm="1">
        <f t="array" ref="AT20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2" s="332" t="str" cm="1">
        <f t="array" ref="AU20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02" s="190" t="str" cm="1">
        <f t="array" ref="AV202">IF(tblPiNAnalysis512[[#This Row],[3rd Highest Target]]="", "", _xlfn.TEXTJOIN(CHAR(10), TRUE, IF(tblPiNAnalysis512[[#This Row],[3rd Highest Target]]=tblPiNAnalysis512[[#This Row],[CCCM]:[WASH]], tblPiNAnalysis512[[#Headers],[CCCM]:[WASH]], "")))</f>
        <v/>
      </c>
      <c r="AW202" s="190" t="str">
        <f>IFERROR(tblPiNAnalysis512[[#This Row],[3rd Highest Target]]/tblPiNAnalysis512[[#This Row],[Affected population projection 2026]], "")</f>
        <v/>
      </c>
      <c r="AX202" s="45" t="str">
        <f>IFERROR(tblPiNAnalysis512[[#This Row],[Highest Target]]-tblPiNAnalysis512[[#This Row],[3rd Highest Target]],"")</f>
        <v/>
      </c>
      <c r="AY202" s="39" t="str">
        <f>IFERROR(tblPiNAnalysis512[[#This Row],[Difference of Target between Highest and 3rd Highest]]/tblPiNAnalysis512[[#This Row],[3rd Highest Target]], "")</f>
        <v/>
      </c>
      <c r="AZ202" s="330" t="str" cm="1">
        <f t="array" ref="AZ20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02" s="300" t="str" cm="1">
        <f t="array" ref="BA20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2" s="333" t="str" cm="1">
        <f t="array" ref="BB20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2" s="276" t="str" cm="1">
        <f t="array" ref="BC20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2" s="334" t="str" cm="1">
        <f t="array" ref="BD20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2" s="277" t="e">
        <f>INDEX(tblSeverityAnalysis[Final Severity], MATCH(tblPiNAnalysis512[[#This Row],[ID]],tblSeverityAnalysis[ID], 0))</f>
        <v>#N/A</v>
      </c>
      <c r="BF202" s="61" t="e">
        <f>IF(tblPiNAnalysis512[[#This Row],[Severity]]&gt;2,tblPiNAnalysis512[[#This Row],[Highest Target]],)</f>
        <v>#N/A</v>
      </c>
      <c r="BG202" s="191"/>
      <c r="BH202" s="192"/>
      <c r="BI202" s="193">
        <f>COUNTIFS(tblPiNAnalysis512[[#This Row],[Number of missing / zero PiNs greater than threshold - Data quality]:[Manual Flag]],"Flagged")</f>
        <v>2</v>
      </c>
      <c r="BJ202" s="96" t="str">
        <f>IF(tblPiNAnalysis512[[#This Row],['# Flags]]&gt;0, "Flagged", "")</f>
        <v>Flagged</v>
      </c>
      <c r="BK202" s="326" t="e">
        <f>tblPiNAnalysis512[[#This Row],[Preliminary Target]]</f>
        <v>#N/A</v>
      </c>
      <c r="BL202" s="331">
        <v>3</v>
      </c>
    </row>
    <row r="203" spans="1:64" x14ac:dyDescent="0.55000000000000004">
      <c r="A2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3" s="316" t="s">
        <v>322</v>
      </c>
      <c r="C203" s="317" t="s">
        <v>323</v>
      </c>
      <c r="D203" s="317" t="s">
        <v>328</v>
      </c>
      <c r="E203" s="105" t="s">
        <v>329</v>
      </c>
      <c r="F203" s="100"/>
      <c r="G203" s="34"/>
      <c r="H203" s="34"/>
      <c r="I203" s="97">
        <v>7417</v>
      </c>
      <c r="J203" s="97" t="s">
        <v>414</v>
      </c>
      <c r="K203" s="318"/>
      <c r="L203" s="319"/>
      <c r="M203" s="319"/>
      <c r="N203" s="319"/>
      <c r="O203" s="319"/>
      <c r="P203" s="319"/>
      <c r="Q203" s="320"/>
      <c r="R203" s="319"/>
      <c r="S203" s="319"/>
      <c r="T203" s="319"/>
      <c r="U203" s="319"/>
      <c r="V203" s="319"/>
      <c r="W203" s="321" t="str">
        <f>IFERROR(IF(tblPiNAnalysis512[[#This Row],[CCCM]]="", "", MROUND(tblPiNAnalysis512[[#This Row],[CCCM]]/tblPiNAnalysis512[[#This Row],[Affected population projection 2026]], 0.05)), "")</f>
        <v/>
      </c>
      <c r="X203" s="322" t="str">
        <f>IFERROR(IF(tblPiNAnalysis512[[#This Row],[Education]]="", "", MROUND(tblPiNAnalysis512[[#This Row],[Education]]/tblPiNAnalysis512[[#This Row],[Affected population projection 2026]], 0.05)), "")</f>
        <v/>
      </c>
      <c r="Y203" s="322" t="str">
        <f>IFERROR(IF(tblPiNAnalysis512[[#This Row],[Nutrition]]="", "", MROUND(tblPiNAnalysis512[[#This Row],[Nutrition]]/tblPiNAnalysis512[[#This Row],[Affected population projection 2026]], 0.05)), "")</f>
        <v/>
      </c>
      <c r="Z203" s="322" t="str">
        <f>IFERROR(IF(tblPiNAnalysis512[[#This Row],[Food Security]]="", "", MROUND(tblPiNAnalysis512[[#This Row],[Food Security]]/tblPiNAnalysis512[[#This Row],[Affected population projection 2026]], 0.05)), "")</f>
        <v/>
      </c>
      <c r="AA203" s="322" t="str">
        <f>IFERROR(IF(tblPiNAnalysis512[[#This Row],[Health]]="", "", MROUND(tblPiNAnalysis512[[#This Row],[Health]]/tblPiNAnalysis512[[#This Row],[Affected population projection 2026]], 0.05)), "")</f>
        <v/>
      </c>
      <c r="AB203" s="323" t="str">
        <f>IFERROR(IF(tblPiNAnalysis512[[#This Row],[Overarching Protection]]="", "", MROUND(tblPiNAnalysis512[[#This Row],[Overarching Protection]]/tblPiNAnalysis512[[#This Row],[Affected population projection 2026]], 0.05)), "")</f>
        <v/>
      </c>
      <c r="AC203" s="323" t="str">
        <f>IFERROR(IF(tblPiNAnalysis512[[#This Row],[Shelter]]="", "", MROUND(tblPiNAnalysis512[[#This Row],[Shelter]]/tblPiNAnalysis512[[#This Row],[Affected population projection 2026]], 0.05)), "")</f>
        <v/>
      </c>
      <c r="AD203" s="324" t="str">
        <f>IFERROR(IF(tblPiNAnalysis512[[#This Row],[WASH]]="", "", MROUND(tblPiNAnalysis512[[#This Row],[WASH]]/tblPiNAnalysis512[[#This Row],[Affected population projection 2026]], 0.05)), "")</f>
        <v/>
      </c>
      <c r="AE203" s="322">
        <f>IFERROR(MROUND(tblPiNAnalysis512[[#This Row],[CP]]/tblPiNAnalysis512[[#This Row],[Affected population projection 2026]], 0.05), "")</f>
        <v>0</v>
      </c>
      <c r="AF203" s="322">
        <f>IFERROR(MROUND(tblPiNAnalysis512[[#This Row],[GBV]]/tblPiNAnalysis512[[#This Row],[Affected population projection 2026]], 0.05), "")</f>
        <v>0</v>
      </c>
      <c r="AG203" s="322">
        <f>IFERROR(MROUND(tblPiNAnalysis512[[#This Row],[Mine Action]]/tblPiNAnalysis512[[#This Row],[Affected population projection 2026]], 0.05), "")</f>
        <v>0</v>
      </c>
      <c r="AH203" s="322">
        <f>IFERROR(MROUND(tblPiNAnalysis512[[#This Row],[HLP]]/tblPiNAnalysis512[[#This Row],[Affected population projection 2026]], 0.05), "")</f>
        <v>0</v>
      </c>
      <c r="AI203" s="325" t="str">
        <f>IFERROR(LARGE(tblPiNAnalysis512[[#This Row],[CCCM]:[WASH]], 1), "")</f>
        <v/>
      </c>
      <c r="AJ203" s="326" t="str" cm="1">
        <f t="array" ref="AJ203">IF(tblPiNAnalysis512[[#This Row],[Highest Target]]="", "", _xlfn.TEXTJOIN(CHAR(10), TRUE, IF(tblPiNAnalysis512[[#This Row],[Highest Target]]=tblPiNAnalysis512[[#This Row],[CCCM]:[WASH]], tblPiNAnalysis512[[#Headers],[CCCM]:[WASH]], "")))</f>
        <v/>
      </c>
      <c r="AK203" s="327" t="str">
        <f>IF(tblPiNAnalysis512[[#This Row],[Highest Target]]="", "", tblPiNAnalysis512[[#This Row],[Highest Target]]/tblPiNAnalysis512[[#This Row],[Affected population projection 2026]])</f>
        <v/>
      </c>
      <c r="AL203" s="328" t="str">
        <f>IF(SUM(tblPiNAnalysis512[[#This Row],[CCCM]:[WASH]])=0, "",IF(COUNTIF(tblPiNAnalysis512[[#This Row],[CCCM]:[WASH]],"=0")+COUNTIF(tblPiNAnalysis512[[#This Row],[CCCM]:[WASH]],"")&gt;=zero_pin_thresh, "Flagged", ""))</f>
        <v/>
      </c>
      <c r="AM203" s="329" t="str">
        <f>IFERROR(IF(tblPiNAnalysis512[[#This Row],[Highest Target]]="", "", IF(tblPiNAnalysis512[[#This Row],[Highest sector(s'') Target %]]&gt;=flag_pin_perc, "Flagged", "")), "")</f>
        <v/>
      </c>
      <c r="AN203" s="330" t="str" cm="1">
        <f t="array" ref="AN203">IF(tblPiNAnalysis512[[#This Row],[Highest Target]]=0, "",  IF(OR(COUNTIF(tblPiNAnalysis512[[#This Row],[Highest sector(s)]],tblSubSectorPopulation[Sector])), "Flagged", ""))</f>
        <v/>
      </c>
      <c r="AO203" s="46" t="str" cm="1">
        <f t="array" ref="AO20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03" s="331" t="str" cm="1">
        <f t="array" ref="AP203">IF(tblPiNAnalysis512[[#This Row],[2nd Highest Target]]="", "", _xlfn.TEXTJOIN(CHAR(10), TRUE, IF(tblPiNAnalysis512[[#This Row],[2nd Highest Target]]=tblPiNAnalysis512[[#This Row],[CCCM]:[WASH]], tblPiNAnalysis512[[#Headers],[CCCM]:[WASH]], "")))</f>
        <v/>
      </c>
      <c r="AQ203" s="36" t="str">
        <f>IFERROR(tblPiNAnalysis512[[#This Row],[2nd Highest Target]]/tblPiNAnalysis512[[#This Row],[Affected population projection 2026]], "")</f>
        <v/>
      </c>
      <c r="AR203" s="46" t="str">
        <f>IFERROR(tblPiNAnalysis512[[#This Row],[Highest Target]]-tblPiNAnalysis512[[#This Row],[2nd Highest Target]], "")</f>
        <v/>
      </c>
      <c r="AS203" s="39" t="str">
        <f>IFERROR(((tblPiNAnalysis512[[#This Row],[Highest Target]]-tblPiNAnalysis512[[#This Row],[2nd Highest Target]])/tblPiNAnalysis512[[#This Row],[2nd Highest Target]]),"")</f>
        <v/>
      </c>
      <c r="AT203" s="39" t="str" cm="1">
        <f t="array" ref="AT20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3" s="332" t="str" cm="1">
        <f t="array" ref="AU20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03" s="190" t="str" cm="1">
        <f t="array" ref="AV203">IF(tblPiNAnalysis512[[#This Row],[3rd Highest Target]]="", "", _xlfn.TEXTJOIN(CHAR(10), TRUE, IF(tblPiNAnalysis512[[#This Row],[3rd Highest Target]]=tblPiNAnalysis512[[#This Row],[CCCM]:[WASH]], tblPiNAnalysis512[[#Headers],[CCCM]:[WASH]], "")))</f>
        <v/>
      </c>
      <c r="AW203" s="190" t="str">
        <f>IFERROR(tblPiNAnalysis512[[#This Row],[3rd Highest Target]]/tblPiNAnalysis512[[#This Row],[Affected population projection 2026]], "")</f>
        <v/>
      </c>
      <c r="AX203" s="45" t="str">
        <f>IFERROR(tblPiNAnalysis512[[#This Row],[Highest Target]]-tblPiNAnalysis512[[#This Row],[3rd Highest Target]],"")</f>
        <v/>
      </c>
      <c r="AY203" s="39" t="str">
        <f>IFERROR(tblPiNAnalysis512[[#This Row],[Difference of Target between Highest and 3rd Highest]]/tblPiNAnalysis512[[#This Row],[3rd Highest Target]], "")</f>
        <v/>
      </c>
      <c r="AZ203" s="330" t="str" cm="1">
        <f t="array" ref="AZ20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03" s="300" t="str" cm="1">
        <f t="array" ref="BA20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3" s="333" t="str" cm="1">
        <f t="array" ref="BB20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3" s="276" t="str" cm="1">
        <f t="array" ref="BC20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3" s="334" t="str" cm="1">
        <f t="array" ref="BD20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3" s="277" t="e">
        <f>INDEX(tblSeverityAnalysis[Final Severity], MATCH(tblPiNAnalysis512[[#This Row],[ID]],tblSeverityAnalysis[ID], 0))</f>
        <v>#N/A</v>
      </c>
      <c r="BF203" s="61" t="e">
        <f>IF(tblPiNAnalysis512[[#This Row],[Severity]]&gt;2,tblPiNAnalysis512[[#This Row],[Highest Target]],)</f>
        <v>#N/A</v>
      </c>
      <c r="BG203" s="191"/>
      <c r="BH203" s="192"/>
      <c r="BI203" s="193">
        <f>COUNTIFS(tblPiNAnalysis512[[#This Row],[Number of missing / zero PiNs greater than threshold - Data quality]:[Manual Flag]],"Flagged")</f>
        <v>2</v>
      </c>
      <c r="BJ203" s="96" t="str">
        <f>IF(tblPiNAnalysis512[[#This Row],['# Flags]]&gt;0, "Flagged", "")</f>
        <v>Flagged</v>
      </c>
      <c r="BK203" s="326" t="e">
        <f>tblPiNAnalysis512[[#This Row],[Preliminary Target]]</f>
        <v>#N/A</v>
      </c>
      <c r="BL203" s="331">
        <v>3</v>
      </c>
    </row>
    <row r="204" spans="1:64" x14ac:dyDescent="0.55000000000000004">
      <c r="A2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4" s="316" t="s">
        <v>322</v>
      </c>
      <c r="C204" s="317" t="s">
        <v>323</v>
      </c>
      <c r="D204" s="317" t="s">
        <v>330</v>
      </c>
      <c r="E204" s="105" t="s">
        <v>331</v>
      </c>
      <c r="F204" s="100"/>
      <c r="G204" s="34"/>
      <c r="H204" s="34"/>
      <c r="I204" s="97">
        <v>5041.023996339929</v>
      </c>
      <c r="J204" s="97" t="s">
        <v>414</v>
      </c>
      <c r="K204" s="318">
        <v>413</v>
      </c>
      <c r="L204" s="319">
        <v>491.72920623497652</v>
      </c>
      <c r="M204" s="319">
        <v>948.70786540732831</v>
      </c>
      <c r="N204" s="319">
        <v>2013.4750014282604</v>
      </c>
      <c r="O204" s="319">
        <v>2516.4715151088149</v>
      </c>
      <c r="P204" s="319">
        <v>1808.8677368302056</v>
      </c>
      <c r="Q204" s="320">
        <v>3221.8718585303027</v>
      </c>
      <c r="R204" s="319">
        <v>547.79646050761835</v>
      </c>
      <c r="S204" s="319"/>
      <c r="T204" s="319"/>
      <c r="U204" s="319"/>
      <c r="V204" s="319"/>
      <c r="W204" s="321">
        <f>IFERROR(IF(tblPiNAnalysis512[[#This Row],[CCCM]]="", "", MROUND(tblPiNAnalysis512[[#This Row],[CCCM]]/tblPiNAnalysis512[[#This Row],[Affected population projection 2026]], 0.05)), "")</f>
        <v>0.1</v>
      </c>
      <c r="X204" s="322">
        <f>IFERROR(IF(tblPiNAnalysis512[[#This Row],[Education]]="", "", MROUND(tblPiNAnalysis512[[#This Row],[Education]]/tblPiNAnalysis512[[#This Row],[Affected population projection 2026]], 0.05)), "")</f>
        <v>0.1</v>
      </c>
      <c r="Y204" s="322">
        <f>IFERROR(IF(tblPiNAnalysis512[[#This Row],[Nutrition]]="", "", MROUND(tblPiNAnalysis512[[#This Row],[Nutrition]]/tblPiNAnalysis512[[#This Row],[Affected population projection 2026]], 0.05)), "")</f>
        <v>0.2</v>
      </c>
      <c r="Z204" s="322">
        <f>IFERROR(IF(tblPiNAnalysis512[[#This Row],[Food Security]]="", "", MROUND(tblPiNAnalysis512[[#This Row],[Food Security]]/tblPiNAnalysis512[[#This Row],[Affected population projection 2026]], 0.05)), "")</f>
        <v>0.4</v>
      </c>
      <c r="AA204" s="322">
        <f>IFERROR(IF(tblPiNAnalysis512[[#This Row],[Health]]="", "", MROUND(tblPiNAnalysis512[[#This Row],[Health]]/tblPiNAnalysis512[[#This Row],[Affected population projection 2026]], 0.05)), "")</f>
        <v>0.5</v>
      </c>
      <c r="AB204" s="323">
        <f>IFERROR(IF(tblPiNAnalysis512[[#This Row],[Overarching Protection]]="", "", MROUND(tblPiNAnalysis512[[#This Row],[Overarching Protection]]/tblPiNAnalysis512[[#This Row],[Affected population projection 2026]], 0.05)), "")</f>
        <v>0.35000000000000003</v>
      </c>
      <c r="AC204" s="323">
        <f>IFERROR(IF(tblPiNAnalysis512[[#This Row],[Shelter]]="", "", MROUND(tblPiNAnalysis512[[#This Row],[Shelter]]/tblPiNAnalysis512[[#This Row],[Affected population projection 2026]], 0.05)), "")</f>
        <v>0.65</v>
      </c>
      <c r="AD204" s="324">
        <f>IFERROR(IF(tblPiNAnalysis512[[#This Row],[WASH]]="", "", MROUND(tblPiNAnalysis512[[#This Row],[WASH]]/tblPiNAnalysis512[[#This Row],[Affected population projection 2026]], 0.05)), "")</f>
        <v>0.1</v>
      </c>
      <c r="AE204" s="322">
        <f>IFERROR(MROUND(tblPiNAnalysis512[[#This Row],[CP]]/tblPiNAnalysis512[[#This Row],[Affected population projection 2026]], 0.05), "")</f>
        <v>0</v>
      </c>
      <c r="AF204" s="322">
        <f>IFERROR(MROUND(tblPiNAnalysis512[[#This Row],[GBV]]/tblPiNAnalysis512[[#This Row],[Affected population projection 2026]], 0.05), "")</f>
        <v>0</v>
      </c>
      <c r="AG204" s="322">
        <f>IFERROR(MROUND(tblPiNAnalysis512[[#This Row],[Mine Action]]/tblPiNAnalysis512[[#This Row],[Affected population projection 2026]], 0.05), "")</f>
        <v>0</v>
      </c>
      <c r="AH204" s="322">
        <f>IFERROR(MROUND(tblPiNAnalysis512[[#This Row],[HLP]]/tblPiNAnalysis512[[#This Row],[Affected population projection 2026]], 0.05), "")</f>
        <v>0</v>
      </c>
      <c r="AI204" s="325">
        <f>IFERROR(LARGE(tblPiNAnalysis512[[#This Row],[CCCM]:[WASH]], 1), "")</f>
        <v>3221.8718585303027</v>
      </c>
      <c r="AJ204" s="326" t="str" cm="1">
        <f t="array" ref="AJ204">IF(tblPiNAnalysis512[[#This Row],[Highest Target]]="", "", _xlfn.TEXTJOIN(CHAR(10), TRUE, IF(tblPiNAnalysis512[[#This Row],[Highest Target]]=tblPiNAnalysis512[[#This Row],[CCCM]:[WASH]], tblPiNAnalysis512[[#Headers],[CCCM]:[WASH]], "")))</f>
        <v>Shelter</v>
      </c>
      <c r="AK204" s="327">
        <f>IF(tblPiNAnalysis512[[#This Row],[Highest Target]]="", "", tblPiNAnalysis512[[#This Row],[Highest Target]]/tblPiNAnalysis512[[#This Row],[Affected population projection 2026]])</f>
        <v>0.63913043478260878</v>
      </c>
      <c r="AL204" s="328" t="str">
        <f>IF(SUM(tblPiNAnalysis512[[#This Row],[CCCM]:[WASH]])=0, "",IF(COUNTIF(tblPiNAnalysis512[[#This Row],[CCCM]:[WASH]],"=0")+COUNTIF(tblPiNAnalysis512[[#This Row],[CCCM]:[WASH]],"")&gt;=zero_pin_thresh, "Flagged", ""))</f>
        <v/>
      </c>
      <c r="AM204" s="329" t="str">
        <f>IFERROR(IF(tblPiNAnalysis512[[#This Row],[Highest Target]]="", "", IF(tblPiNAnalysis512[[#This Row],[Highest sector(s'') Target %]]&gt;=flag_pin_perc, "Flagged", "")), "")</f>
        <v/>
      </c>
      <c r="AN204" s="330" t="str" cm="1">
        <f t="array" ref="AN204">IF(tblPiNAnalysis512[[#This Row],[Highest Target]]=0, "",  IF(OR(COUNTIF(tblPiNAnalysis512[[#This Row],[Highest sector(s)]],tblSubSectorPopulation[Sector])), "Flagged", ""))</f>
        <v/>
      </c>
      <c r="AO204" s="46" cm="1">
        <f t="array" ref="AO20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2516.4715151088149</v>
      </c>
      <c r="AP204" s="331" t="str" cm="1">
        <f t="array" ref="AP204">IF(tblPiNAnalysis512[[#This Row],[2nd Highest Target]]="", "", _xlfn.TEXTJOIN(CHAR(10), TRUE, IF(tblPiNAnalysis512[[#This Row],[2nd Highest Target]]=tblPiNAnalysis512[[#This Row],[CCCM]:[WASH]], tblPiNAnalysis512[[#Headers],[CCCM]:[WASH]], "")))</f>
        <v>Health</v>
      </c>
      <c r="AQ204" s="36">
        <f>IFERROR(tblPiNAnalysis512[[#This Row],[2nd Highest Target]]/tblPiNAnalysis512[[#This Row],[Affected population projection 2026]], "")</f>
        <v>0.49919847970093312</v>
      </c>
      <c r="AR204" s="46">
        <f>IFERROR(tblPiNAnalysis512[[#This Row],[Highest Target]]-tblPiNAnalysis512[[#This Row],[2nd Highest Target]], "")</f>
        <v>705.40034342148783</v>
      </c>
      <c r="AS204" s="39">
        <f>IFERROR(((tblPiNAnalysis512[[#This Row],[Highest Target]]-tblPiNAnalysis512[[#This Row],[2nd Highest Target]])/tblPiNAnalysis512[[#This Row],[2nd Highest Target]]),"")</f>
        <v>0.28031326370526616</v>
      </c>
      <c r="AT204" s="39" t="str" cm="1">
        <f t="array" ref="AT20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4" s="332" cm="1">
        <f t="array" ref="AU20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2013.4750014282604</v>
      </c>
      <c r="AV204" s="190" t="str" cm="1">
        <f t="array" ref="AV204">IF(tblPiNAnalysis512[[#This Row],[3rd Highest Target]]="", "", _xlfn.TEXTJOIN(CHAR(10), TRUE, IF(tblPiNAnalysis512[[#This Row],[3rd Highest Target]]=tblPiNAnalysis512[[#This Row],[CCCM]:[WASH]], tblPiNAnalysis512[[#Headers],[CCCM]:[WASH]], "")))</f>
        <v>Food Security</v>
      </c>
      <c r="AW204" s="190">
        <f>IFERROR(tblPiNAnalysis512[[#This Row],[3rd Highest Target]]/tblPiNAnalysis512[[#This Row],[Affected population projection 2026]], "")</f>
        <v>0.3994178569453663</v>
      </c>
      <c r="AX204" s="45">
        <f>IFERROR(tblPiNAnalysis512[[#This Row],[Highest Target]]-tblPiNAnalysis512[[#This Row],[3rd Highest Target]],"")</f>
        <v>1208.3968571020423</v>
      </c>
      <c r="AY204" s="39">
        <f>IFERROR(tblPiNAnalysis512[[#This Row],[Difference of Target between Highest and 3rd Highest]]/tblPiNAnalysis512[[#This Row],[3rd Highest Target]], "")</f>
        <v>0.60015488458752397</v>
      </c>
      <c r="AZ204" s="330" t="str" cm="1">
        <f t="array" ref="AZ20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4" s="300" t="str" cm="1">
        <f t="array" ref="BA20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4" s="333" t="str" cm="1">
        <f t="array" ref="BB20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4" s="276" t="str" cm="1">
        <f t="array" ref="BC20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4" s="334" t="str" cm="1">
        <f t="array" ref="BD20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4" s="277" t="e">
        <f>INDEX(tblSeverityAnalysis[Final Severity], MATCH(tblPiNAnalysis512[[#This Row],[ID]],tblSeverityAnalysis[ID], 0))</f>
        <v>#N/A</v>
      </c>
      <c r="BF204" s="61" t="e">
        <f>IF(tblPiNAnalysis512[[#This Row],[Severity]]&gt;2,tblPiNAnalysis512[[#This Row],[Highest Target]],)</f>
        <v>#N/A</v>
      </c>
      <c r="BG204" s="191"/>
      <c r="BH204" s="192"/>
      <c r="BI204" s="193">
        <f>COUNTIFS(tblPiNAnalysis512[[#This Row],[Number of missing / zero PiNs greater than threshold - Data quality]:[Manual Flag]],"Flagged")</f>
        <v>3</v>
      </c>
      <c r="BJ204" s="96" t="str">
        <f>IF(tblPiNAnalysis512[[#This Row],['# Flags]]&gt;0, "Flagged", "")</f>
        <v>Flagged</v>
      </c>
      <c r="BK204" s="326" t="e">
        <f>tblPiNAnalysis512[[#This Row],[Preliminary Target]]</f>
        <v>#N/A</v>
      </c>
      <c r="BL204" s="331">
        <v>2</v>
      </c>
    </row>
    <row r="205" spans="1:64" x14ac:dyDescent="0.55000000000000004">
      <c r="A2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5" s="316" t="s">
        <v>322</v>
      </c>
      <c r="C205" s="317" t="s">
        <v>323</v>
      </c>
      <c r="D205" s="317" t="s">
        <v>332</v>
      </c>
      <c r="E205" s="105" t="s">
        <v>333</v>
      </c>
      <c r="F205" s="100"/>
      <c r="G205" s="34"/>
      <c r="H205" s="34"/>
      <c r="I205" s="97">
        <v>3069.1428571428601</v>
      </c>
      <c r="J205" s="97" t="s">
        <v>414</v>
      </c>
      <c r="K205" s="318">
        <v>672</v>
      </c>
      <c r="L205" s="319">
        <v>597.15391828571489</v>
      </c>
      <c r="M205" s="319">
        <v>737.81076198523169</v>
      </c>
      <c r="N205" s="319">
        <v>1273.5593109339161</v>
      </c>
      <c r="O205" s="319">
        <v>1325.7418685254431</v>
      </c>
      <c r="P205" s="319">
        <v>1140.0764846098041</v>
      </c>
      <c r="Q205" s="320">
        <v>2148.4000000000019</v>
      </c>
      <c r="R205" s="319">
        <v>295.23133450911257</v>
      </c>
      <c r="S205" s="319"/>
      <c r="T205" s="319"/>
      <c r="U205" s="319"/>
      <c r="V205" s="319"/>
      <c r="W205" s="321">
        <f>IFERROR(IF(tblPiNAnalysis512[[#This Row],[CCCM]]="", "", MROUND(tblPiNAnalysis512[[#This Row],[CCCM]]/tblPiNAnalysis512[[#This Row],[Affected population projection 2026]], 0.05)), "")</f>
        <v>0.2</v>
      </c>
      <c r="X205" s="322">
        <f>IFERROR(IF(tblPiNAnalysis512[[#This Row],[Education]]="", "", MROUND(tblPiNAnalysis512[[#This Row],[Education]]/tblPiNAnalysis512[[#This Row],[Affected population projection 2026]], 0.05)), "")</f>
        <v>0.2</v>
      </c>
      <c r="Y205" s="322">
        <f>IFERROR(IF(tblPiNAnalysis512[[#This Row],[Nutrition]]="", "", MROUND(tblPiNAnalysis512[[#This Row],[Nutrition]]/tblPiNAnalysis512[[#This Row],[Affected population projection 2026]], 0.05)), "")</f>
        <v>0.25</v>
      </c>
      <c r="Z205" s="322">
        <f>IFERROR(IF(tblPiNAnalysis512[[#This Row],[Food Security]]="", "", MROUND(tblPiNAnalysis512[[#This Row],[Food Security]]/tblPiNAnalysis512[[#This Row],[Affected population projection 2026]], 0.05)), "")</f>
        <v>0.4</v>
      </c>
      <c r="AA205" s="322">
        <f>IFERROR(IF(tblPiNAnalysis512[[#This Row],[Health]]="", "", MROUND(tblPiNAnalysis512[[#This Row],[Health]]/tblPiNAnalysis512[[#This Row],[Affected population projection 2026]], 0.05)), "")</f>
        <v>0.45</v>
      </c>
      <c r="AB205" s="323">
        <f>IFERROR(IF(tblPiNAnalysis512[[#This Row],[Overarching Protection]]="", "", MROUND(tblPiNAnalysis512[[#This Row],[Overarching Protection]]/tblPiNAnalysis512[[#This Row],[Affected population projection 2026]], 0.05)), "")</f>
        <v>0.35000000000000003</v>
      </c>
      <c r="AC205" s="323">
        <f>IFERROR(IF(tblPiNAnalysis512[[#This Row],[Shelter]]="", "", MROUND(tblPiNAnalysis512[[#This Row],[Shelter]]/tblPiNAnalysis512[[#This Row],[Affected population projection 2026]], 0.05)), "")</f>
        <v>0.70000000000000007</v>
      </c>
      <c r="AD205" s="324">
        <f>IFERROR(IF(tblPiNAnalysis512[[#This Row],[WASH]]="", "", MROUND(tblPiNAnalysis512[[#This Row],[WASH]]/tblPiNAnalysis512[[#This Row],[Affected population projection 2026]], 0.05)), "")</f>
        <v>0.1</v>
      </c>
      <c r="AE205" s="322">
        <f>IFERROR(MROUND(tblPiNAnalysis512[[#This Row],[CP]]/tblPiNAnalysis512[[#This Row],[Affected population projection 2026]], 0.05), "")</f>
        <v>0</v>
      </c>
      <c r="AF205" s="322">
        <f>IFERROR(MROUND(tblPiNAnalysis512[[#This Row],[GBV]]/tblPiNAnalysis512[[#This Row],[Affected population projection 2026]], 0.05), "")</f>
        <v>0</v>
      </c>
      <c r="AG205" s="322">
        <f>IFERROR(MROUND(tblPiNAnalysis512[[#This Row],[Mine Action]]/tblPiNAnalysis512[[#This Row],[Affected population projection 2026]], 0.05), "")</f>
        <v>0</v>
      </c>
      <c r="AH205" s="322">
        <f>IFERROR(MROUND(tblPiNAnalysis512[[#This Row],[HLP]]/tblPiNAnalysis512[[#This Row],[Affected population projection 2026]], 0.05), "")</f>
        <v>0</v>
      </c>
      <c r="AI205" s="325">
        <f>IFERROR(LARGE(tblPiNAnalysis512[[#This Row],[CCCM]:[WASH]], 1), "")</f>
        <v>2148.4000000000019</v>
      </c>
      <c r="AJ205" s="326" t="str" cm="1">
        <f t="array" ref="AJ205">IF(tblPiNAnalysis512[[#This Row],[Highest Target]]="", "", _xlfn.TEXTJOIN(CHAR(10), TRUE, IF(tblPiNAnalysis512[[#This Row],[Highest Target]]=tblPiNAnalysis512[[#This Row],[CCCM]:[WASH]], tblPiNAnalysis512[[#Headers],[CCCM]:[WASH]], "")))</f>
        <v>Shelter</v>
      </c>
      <c r="AK205" s="327">
        <f>IF(tblPiNAnalysis512[[#This Row],[Highest Target]]="", "", tblPiNAnalysis512[[#This Row],[Highest Target]]/tblPiNAnalysis512[[#This Row],[Affected population projection 2026]])</f>
        <v>0.7</v>
      </c>
      <c r="AL205" s="328" t="str">
        <f>IF(SUM(tblPiNAnalysis512[[#This Row],[CCCM]:[WASH]])=0, "",IF(COUNTIF(tblPiNAnalysis512[[#This Row],[CCCM]:[WASH]],"=0")+COUNTIF(tblPiNAnalysis512[[#This Row],[CCCM]:[WASH]],"")&gt;=zero_pin_thresh, "Flagged", ""))</f>
        <v/>
      </c>
      <c r="AM205" s="329" t="str">
        <f>IFERROR(IF(tblPiNAnalysis512[[#This Row],[Highest Target]]="", "", IF(tblPiNAnalysis512[[#This Row],[Highest sector(s'') Target %]]&gt;=flag_pin_perc, "Flagged", "")), "")</f>
        <v/>
      </c>
      <c r="AN205" s="330" t="str" cm="1">
        <f t="array" ref="AN205">IF(tblPiNAnalysis512[[#This Row],[Highest Target]]=0, "",  IF(OR(COUNTIF(tblPiNAnalysis512[[#This Row],[Highest sector(s)]],tblSubSectorPopulation[Sector])), "Flagged", ""))</f>
        <v/>
      </c>
      <c r="AO205" s="46" cm="1">
        <f t="array" ref="AO20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1325.7418685254431</v>
      </c>
      <c r="AP205" s="331" t="str" cm="1">
        <f t="array" ref="AP205">IF(tblPiNAnalysis512[[#This Row],[2nd Highest Target]]="", "", _xlfn.TEXTJOIN(CHAR(10), TRUE, IF(tblPiNAnalysis512[[#This Row],[2nd Highest Target]]=tblPiNAnalysis512[[#This Row],[CCCM]:[WASH]], tblPiNAnalysis512[[#Headers],[CCCM]:[WASH]], "")))</f>
        <v>Health</v>
      </c>
      <c r="AQ205" s="36">
        <f>IFERROR(tblPiNAnalysis512[[#This Row],[2nd Highest Target]]/tblPiNAnalysis512[[#This Row],[Affected population projection 2026]], "")</f>
        <v>0.43195834479976231</v>
      </c>
      <c r="AR205" s="46">
        <f>IFERROR(tblPiNAnalysis512[[#This Row],[Highest Target]]-tblPiNAnalysis512[[#This Row],[2nd Highest Target]], "")</f>
        <v>822.65813147455879</v>
      </c>
      <c r="AS205" s="39">
        <f>IFERROR(((tblPiNAnalysis512[[#This Row],[Highest Target]]-tblPiNAnalysis512[[#This Row],[2nd Highest Target]])/tblPiNAnalysis512[[#This Row],[2nd Highest Target]]),"")</f>
        <v>0.62052662815089377</v>
      </c>
      <c r="AT205" s="39" t="str" cm="1">
        <f t="array" ref="AT20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05" s="332" cm="1">
        <f t="array" ref="AU20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1273.5593109339161</v>
      </c>
      <c r="AV205" s="190" t="str" cm="1">
        <f t="array" ref="AV205">IF(tblPiNAnalysis512[[#This Row],[3rd Highest Target]]="", "", _xlfn.TEXTJOIN(CHAR(10), TRUE, IF(tblPiNAnalysis512[[#This Row],[3rd Highest Target]]=tblPiNAnalysis512[[#This Row],[CCCM]:[WASH]], tblPiNAnalysis512[[#Headers],[CCCM]:[WASH]], "")))</f>
        <v>Food Security</v>
      </c>
      <c r="AW205" s="190">
        <f>IFERROR(tblPiNAnalysis512[[#This Row],[3rd Highest Target]]/tblPiNAnalysis512[[#This Row],[Affected population projection 2026]], "")</f>
        <v>0.41495602199485215</v>
      </c>
      <c r="AX205" s="45">
        <f>IFERROR(tblPiNAnalysis512[[#This Row],[Highest Target]]-tblPiNAnalysis512[[#This Row],[3rd Highest Target]],"")</f>
        <v>874.84068906608582</v>
      </c>
      <c r="AY205" s="39">
        <f>IFERROR(tblPiNAnalysis512[[#This Row],[Difference of Target between Highest and 3rd Highest]]/tblPiNAnalysis512[[#This Row],[3rd Highest Target]], "")</f>
        <v>0.68692575332400874</v>
      </c>
      <c r="AZ205" s="330" t="str" cm="1">
        <f t="array" ref="AZ20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5" s="300" t="str" cm="1">
        <f t="array" ref="BA20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5" s="333" t="str" cm="1">
        <f t="array" ref="BB20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5" s="276" t="str" cm="1">
        <f t="array" ref="BC20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5" s="334" t="str" cm="1">
        <f t="array" ref="BD20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5" s="277" t="e">
        <f>INDEX(tblSeverityAnalysis[Final Severity], MATCH(tblPiNAnalysis512[[#This Row],[ID]],tblSeverityAnalysis[ID], 0))</f>
        <v>#N/A</v>
      </c>
      <c r="BF205" s="61" t="e">
        <f>IF(tblPiNAnalysis512[[#This Row],[Severity]]&gt;2,tblPiNAnalysis512[[#This Row],[Highest Target]],)</f>
        <v>#N/A</v>
      </c>
      <c r="BG205" s="191"/>
      <c r="BH205" s="192"/>
      <c r="BI205" s="193">
        <f>COUNTIFS(tblPiNAnalysis512[[#This Row],[Number of missing / zero PiNs greater than threshold - Data quality]:[Manual Flag]],"Flagged")</f>
        <v>4</v>
      </c>
      <c r="BJ205" s="96" t="str">
        <f>IF(tblPiNAnalysis512[[#This Row],['# Flags]]&gt;0, "Flagged", "")</f>
        <v>Flagged</v>
      </c>
      <c r="BK205" s="326" t="e">
        <f>tblPiNAnalysis512[[#This Row],[Preliminary Target]]</f>
        <v>#N/A</v>
      </c>
      <c r="BL205" s="331">
        <v>2</v>
      </c>
    </row>
    <row r="206" spans="1:64" x14ac:dyDescent="0.55000000000000004">
      <c r="A2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6" s="316" t="s">
        <v>322</v>
      </c>
      <c r="C206" s="317" t="s">
        <v>323</v>
      </c>
      <c r="D206" s="317" t="s">
        <v>334</v>
      </c>
      <c r="E206" s="105" t="s">
        <v>335</v>
      </c>
      <c r="F206" s="100"/>
      <c r="G206" s="34"/>
      <c r="H206" s="34"/>
      <c r="I206" s="97">
        <v>7050.3021159784967</v>
      </c>
      <c r="J206" s="97" t="s">
        <v>414</v>
      </c>
      <c r="K206" s="318"/>
      <c r="L206" s="319"/>
      <c r="M206" s="319"/>
      <c r="N206" s="319"/>
      <c r="O206" s="319"/>
      <c r="P206" s="319"/>
      <c r="Q206" s="320"/>
      <c r="R206" s="319"/>
      <c r="S206" s="319"/>
      <c r="T206" s="319"/>
      <c r="U206" s="319"/>
      <c r="V206" s="319"/>
      <c r="W206" s="321" t="str">
        <f>IFERROR(IF(tblPiNAnalysis512[[#This Row],[CCCM]]="", "", MROUND(tblPiNAnalysis512[[#This Row],[CCCM]]/tblPiNAnalysis512[[#This Row],[Affected population projection 2026]], 0.05)), "")</f>
        <v/>
      </c>
      <c r="X206" s="322" t="str">
        <f>IFERROR(IF(tblPiNAnalysis512[[#This Row],[Education]]="", "", MROUND(tblPiNAnalysis512[[#This Row],[Education]]/tblPiNAnalysis512[[#This Row],[Affected population projection 2026]], 0.05)), "")</f>
        <v/>
      </c>
      <c r="Y206" s="322" t="str">
        <f>IFERROR(IF(tblPiNAnalysis512[[#This Row],[Nutrition]]="", "", MROUND(tblPiNAnalysis512[[#This Row],[Nutrition]]/tblPiNAnalysis512[[#This Row],[Affected population projection 2026]], 0.05)), "")</f>
        <v/>
      </c>
      <c r="Z206" s="322" t="str">
        <f>IFERROR(IF(tblPiNAnalysis512[[#This Row],[Food Security]]="", "", MROUND(tblPiNAnalysis512[[#This Row],[Food Security]]/tblPiNAnalysis512[[#This Row],[Affected population projection 2026]], 0.05)), "")</f>
        <v/>
      </c>
      <c r="AA206" s="322" t="str">
        <f>IFERROR(IF(tblPiNAnalysis512[[#This Row],[Health]]="", "", MROUND(tblPiNAnalysis512[[#This Row],[Health]]/tblPiNAnalysis512[[#This Row],[Affected population projection 2026]], 0.05)), "")</f>
        <v/>
      </c>
      <c r="AB206" s="323" t="str">
        <f>IFERROR(IF(tblPiNAnalysis512[[#This Row],[Overarching Protection]]="", "", MROUND(tblPiNAnalysis512[[#This Row],[Overarching Protection]]/tblPiNAnalysis512[[#This Row],[Affected population projection 2026]], 0.05)), "")</f>
        <v/>
      </c>
      <c r="AC206" s="323" t="str">
        <f>IFERROR(IF(tblPiNAnalysis512[[#This Row],[Shelter]]="", "", MROUND(tblPiNAnalysis512[[#This Row],[Shelter]]/tblPiNAnalysis512[[#This Row],[Affected population projection 2026]], 0.05)), "")</f>
        <v/>
      </c>
      <c r="AD206" s="324" t="str">
        <f>IFERROR(IF(tblPiNAnalysis512[[#This Row],[WASH]]="", "", MROUND(tblPiNAnalysis512[[#This Row],[WASH]]/tblPiNAnalysis512[[#This Row],[Affected population projection 2026]], 0.05)), "")</f>
        <v/>
      </c>
      <c r="AE206" s="322">
        <f>IFERROR(MROUND(tblPiNAnalysis512[[#This Row],[CP]]/tblPiNAnalysis512[[#This Row],[Affected population projection 2026]], 0.05), "")</f>
        <v>0</v>
      </c>
      <c r="AF206" s="322">
        <f>IFERROR(MROUND(tblPiNAnalysis512[[#This Row],[GBV]]/tblPiNAnalysis512[[#This Row],[Affected population projection 2026]], 0.05), "")</f>
        <v>0</v>
      </c>
      <c r="AG206" s="322">
        <f>IFERROR(MROUND(tblPiNAnalysis512[[#This Row],[Mine Action]]/tblPiNAnalysis512[[#This Row],[Affected population projection 2026]], 0.05), "")</f>
        <v>0</v>
      </c>
      <c r="AH206" s="322">
        <f>IFERROR(MROUND(tblPiNAnalysis512[[#This Row],[HLP]]/tblPiNAnalysis512[[#This Row],[Affected population projection 2026]], 0.05), "")</f>
        <v>0</v>
      </c>
      <c r="AI206" s="325" t="str">
        <f>IFERROR(LARGE(tblPiNAnalysis512[[#This Row],[CCCM]:[WASH]], 1), "")</f>
        <v/>
      </c>
      <c r="AJ206" s="326" t="str" cm="1">
        <f t="array" ref="AJ206">IF(tblPiNAnalysis512[[#This Row],[Highest Target]]="", "", _xlfn.TEXTJOIN(CHAR(10), TRUE, IF(tblPiNAnalysis512[[#This Row],[Highest Target]]=tblPiNAnalysis512[[#This Row],[CCCM]:[WASH]], tblPiNAnalysis512[[#Headers],[CCCM]:[WASH]], "")))</f>
        <v/>
      </c>
      <c r="AK206" s="327" t="str">
        <f>IF(tblPiNAnalysis512[[#This Row],[Highest Target]]="", "", tblPiNAnalysis512[[#This Row],[Highest Target]]/tblPiNAnalysis512[[#This Row],[Affected population projection 2026]])</f>
        <v/>
      </c>
      <c r="AL206" s="328" t="str">
        <f>IF(SUM(tblPiNAnalysis512[[#This Row],[CCCM]:[WASH]])=0, "",IF(COUNTIF(tblPiNAnalysis512[[#This Row],[CCCM]:[WASH]],"=0")+COUNTIF(tblPiNAnalysis512[[#This Row],[CCCM]:[WASH]],"")&gt;=zero_pin_thresh, "Flagged", ""))</f>
        <v/>
      </c>
      <c r="AM206" s="329" t="str">
        <f>IFERROR(IF(tblPiNAnalysis512[[#This Row],[Highest Target]]="", "", IF(tblPiNAnalysis512[[#This Row],[Highest sector(s'') Target %]]&gt;=flag_pin_perc, "Flagged", "")), "")</f>
        <v/>
      </c>
      <c r="AN206" s="330" t="str" cm="1">
        <f t="array" ref="AN206">IF(tblPiNAnalysis512[[#This Row],[Highest Target]]=0, "",  IF(OR(COUNTIF(tblPiNAnalysis512[[#This Row],[Highest sector(s)]],tblSubSectorPopulation[Sector])), "Flagged", ""))</f>
        <v/>
      </c>
      <c r="AO206" s="46" t="str" cm="1">
        <f t="array" ref="AO20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06" s="331" t="str" cm="1">
        <f t="array" ref="AP206">IF(tblPiNAnalysis512[[#This Row],[2nd Highest Target]]="", "", _xlfn.TEXTJOIN(CHAR(10), TRUE, IF(tblPiNAnalysis512[[#This Row],[2nd Highest Target]]=tblPiNAnalysis512[[#This Row],[CCCM]:[WASH]], tblPiNAnalysis512[[#Headers],[CCCM]:[WASH]], "")))</f>
        <v/>
      </c>
      <c r="AQ206" s="36" t="str">
        <f>IFERROR(tblPiNAnalysis512[[#This Row],[2nd Highest Target]]/tblPiNAnalysis512[[#This Row],[Affected population projection 2026]], "")</f>
        <v/>
      </c>
      <c r="AR206" s="46" t="str">
        <f>IFERROR(tblPiNAnalysis512[[#This Row],[Highest Target]]-tblPiNAnalysis512[[#This Row],[2nd Highest Target]], "")</f>
        <v/>
      </c>
      <c r="AS206" s="39" t="str">
        <f>IFERROR(((tblPiNAnalysis512[[#This Row],[Highest Target]]-tblPiNAnalysis512[[#This Row],[2nd Highest Target]])/tblPiNAnalysis512[[#This Row],[2nd Highest Target]]),"")</f>
        <v/>
      </c>
      <c r="AT206" s="39" t="str" cm="1">
        <f t="array" ref="AT20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6" s="332" t="str" cm="1">
        <f t="array" ref="AU20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06" s="190" t="str" cm="1">
        <f t="array" ref="AV206">IF(tblPiNAnalysis512[[#This Row],[3rd Highest Target]]="", "", _xlfn.TEXTJOIN(CHAR(10), TRUE, IF(tblPiNAnalysis512[[#This Row],[3rd Highest Target]]=tblPiNAnalysis512[[#This Row],[CCCM]:[WASH]], tblPiNAnalysis512[[#Headers],[CCCM]:[WASH]], "")))</f>
        <v/>
      </c>
      <c r="AW206" s="190" t="str">
        <f>IFERROR(tblPiNAnalysis512[[#This Row],[3rd Highest Target]]/tblPiNAnalysis512[[#This Row],[Affected population projection 2026]], "")</f>
        <v/>
      </c>
      <c r="AX206" s="45" t="str">
        <f>IFERROR(tblPiNAnalysis512[[#This Row],[Highest Target]]-tblPiNAnalysis512[[#This Row],[3rd Highest Target]],"")</f>
        <v/>
      </c>
      <c r="AY206" s="39" t="str">
        <f>IFERROR(tblPiNAnalysis512[[#This Row],[Difference of Target between Highest and 3rd Highest]]/tblPiNAnalysis512[[#This Row],[3rd Highest Target]], "")</f>
        <v/>
      </c>
      <c r="AZ206" s="330" t="str" cm="1">
        <f t="array" ref="AZ20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06" s="300" t="str" cm="1">
        <f t="array" ref="BA20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6" s="333" t="str" cm="1">
        <f t="array" ref="BB20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6" s="276" t="str" cm="1">
        <f t="array" ref="BC20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6" s="334" t="str" cm="1">
        <f t="array" ref="BD20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6" s="277" t="e">
        <f>INDEX(tblSeverityAnalysis[Final Severity], MATCH(tblPiNAnalysis512[[#This Row],[ID]],tblSeverityAnalysis[ID], 0))</f>
        <v>#N/A</v>
      </c>
      <c r="BF206" s="61" t="e">
        <f>IF(tblPiNAnalysis512[[#This Row],[Severity]]&gt;2,tblPiNAnalysis512[[#This Row],[Highest Target]],)</f>
        <v>#N/A</v>
      </c>
      <c r="BG206" s="191"/>
      <c r="BH206" s="192"/>
      <c r="BI206" s="193">
        <f>COUNTIFS(tblPiNAnalysis512[[#This Row],[Number of missing / zero PiNs greater than threshold - Data quality]:[Manual Flag]],"Flagged")</f>
        <v>2</v>
      </c>
      <c r="BJ206" s="96" t="str">
        <f>IF(tblPiNAnalysis512[[#This Row],['# Flags]]&gt;0, "Flagged", "")</f>
        <v>Flagged</v>
      </c>
      <c r="BK206" s="326" t="e">
        <f>tblPiNAnalysis512[[#This Row],[Preliminary Target]]</f>
        <v>#N/A</v>
      </c>
      <c r="BL206" s="331">
        <v>3</v>
      </c>
    </row>
    <row r="207" spans="1:64" x14ac:dyDescent="0.55000000000000004">
      <c r="A2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7" s="316" t="s">
        <v>322</v>
      </c>
      <c r="C207" s="317" t="s">
        <v>323</v>
      </c>
      <c r="D207" s="317" t="s">
        <v>336</v>
      </c>
      <c r="E207" s="105" t="s">
        <v>337</v>
      </c>
      <c r="F207" s="100"/>
      <c r="G207" s="34"/>
      <c r="H207" s="34"/>
      <c r="I207" s="97">
        <v>3636</v>
      </c>
      <c r="J207" s="97" t="s">
        <v>414</v>
      </c>
      <c r="K207" s="318">
        <v>3219</v>
      </c>
      <c r="L207" s="319">
        <v>688.46932800000013</v>
      </c>
      <c r="M207" s="319">
        <v>799.68180931631616</v>
      </c>
      <c r="N207" s="319">
        <v>1476.0376778663449</v>
      </c>
      <c r="O207" s="319">
        <v>2102.6310698931975</v>
      </c>
      <c r="P207" s="319">
        <v>1155.0438666966609</v>
      </c>
      <c r="Q207" s="320">
        <v>2545.1999999999998</v>
      </c>
      <c r="R207" s="319">
        <v>941.73148148148152</v>
      </c>
      <c r="S207" s="319"/>
      <c r="T207" s="319"/>
      <c r="U207" s="319"/>
      <c r="V207" s="319"/>
      <c r="W207" s="321">
        <f>IFERROR(IF(tblPiNAnalysis512[[#This Row],[CCCM]]="", "", MROUND(tblPiNAnalysis512[[#This Row],[CCCM]]/tblPiNAnalysis512[[#This Row],[Affected population projection 2026]], 0.05)), "")</f>
        <v>0.9</v>
      </c>
      <c r="X207" s="322">
        <f>IFERROR(IF(tblPiNAnalysis512[[#This Row],[Education]]="", "", MROUND(tblPiNAnalysis512[[#This Row],[Education]]/tblPiNAnalysis512[[#This Row],[Affected population projection 2026]], 0.05)), "")</f>
        <v>0.2</v>
      </c>
      <c r="Y207" s="322">
        <f>IFERROR(IF(tblPiNAnalysis512[[#This Row],[Nutrition]]="", "", MROUND(tblPiNAnalysis512[[#This Row],[Nutrition]]/tblPiNAnalysis512[[#This Row],[Affected population projection 2026]], 0.05)), "")</f>
        <v>0.2</v>
      </c>
      <c r="Z207" s="322">
        <f>IFERROR(IF(tblPiNAnalysis512[[#This Row],[Food Security]]="", "", MROUND(tblPiNAnalysis512[[#This Row],[Food Security]]/tblPiNAnalysis512[[#This Row],[Affected population projection 2026]], 0.05)), "")</f>
        <v>0.4</v>
      </c>
      <c r="AA207" s="322">
        <f>IFERROR(IF(tblPiNAnalysis512[[#This Row],[Health]]="", "", MROUND(tblPiNAnalysis512[[#This Row],[Health]]/tblPiNAnalysis512[[#This Row],[Affected population projection 2026]], 0.05)), "")</f>
        <v>0.60000000000000009</v>
      </c>
      <c r="AB207" s="323">
        <f>IFERROR(IF(tblPiNAnalysis512[[#This Row],[Overarching Protection]]="", "", MROUND(tblPiNAnalysis512[[#This Row],[Overarching Protection]]/tblPiNAnalysis512[[#This Row],[Affected population projection 2026]], 0.05)), "")</f>
        <v>0.30000000000000004</v>
      </c>
      <c r="AC207" s="323">
        <f>IFERROR(IF(tblPiNAnalysis512[[#This Row],[Shelter]]="", "", MROUND(tblPiNAnalysis512[[#This Row],[Shelter]]/tblPiNAnalysis512[[#This Row],[Affected population projection 2026]], 0.05)), "")</f>
        <v>0.70000000000000007</v>
      </c>
      <c r="AD207" s="324">
        <f>IFERROR(IF(tblPiNAnalysis512[[#This Row],[WASH]]="", "", MROUND(tblPiNAnalysis512[[#This Row],[WASH]]/tblPiNAnalysis512[[#This Row],[Affected population projection 2026]], 0.05)), "")</f>
        <v>0.25</v>
      </c>
      <c r="AE207" s="322">
        <f>IFERROR(MROUND(tblPiNAnalysis512[[#This Row],[CP]]/tblPiNAnalysis512[[#This Row],[Affected population projection 2026]], 0.05), "")</f>
        <v>0</v>
      </c>
      <c r="AF207" s="322">
        <f>IFERROR(MROUND(tblPiNAnalysis512[[#This Row],[GBV]]/tblPiNAnalysis512[[#This Row],[Affected population projection 2026]], 0.05), "")</f>
        <v>0</v>
      </c>
      <c r="AG207" s="322">
        <f>IFERROR(MROUND(tblPiNAnalysis512[[#This Row],[Mine Action]]/tblPiNAnalysis512[[#This Row],[Affected population projection 2026]], 0.05), "")</f>
        <v>0</v>
      </c>
      <c r="AH207" s="322">
        <f>IFERROR(MROUND(tblPiNAnalysis512[[#This Row],[HLP]]/tblPiNAnalysis512[[#This Row],[Affected population projection 2026]], 0.05), "")</f>
        <v>0</v>
      </c>
      <c r="AI207" s="325">
        <f>IFERROR(LARGE(tblPiNAnalysis512[[#This Row],[CCCM]:[WASH]], 1), "")</f>
        <v>3219</v>
      </c>
      <c r="AJ207" s="326" t="str" cm="1">
        <f t="array" ref="AJ207">IF(tblPiNAnalysis512[[#This Row],[Highest Target]]="", "", _xlfn.TEXTJOIN(CHAR(10), TRUE, IF(tblPiNAnalysis512[[#This Row],[Highest Target]]=tblPiNAnalysis512[[#This Row],[CCCM]:[WASH]], tblPiNAnalysis512[[#Headers],[CCCM]:[WASH]], "")))</f>
        <v>CCCM</v>
      </c>
      <c r="AK207" s="327">
        <f>IF(tblPiNAnalysis512[[#This Row],[Highest Target]]="", "", tblPiNAnalysis512[[#This Row],[Highest Target]]/tblPiNAnalysis512[[#This Row],[Affected population projection 2026]])</f>
        <v>0.88531353135313529</v>
      </c>
      <c r="AL207" s="328" t="str">
        <f>IF(SUM(tblPiNAnalysis512[[#This Row],[CCCM]:[WASH]])=0, "",IF(COUNTIF(tblPiNAnalysis512[[#This Row],[CCCM]:[WASH]],"=0")+COUNTIF(tblPiNAnalysis512[[#This Row],[CCCM]:[WASH]],"")&gt;=zero_pin_thresh, "Flagged", ""))</f>
        <v/>
      </c>
      <c r="AM207" s="329" t="str">
        <f>IFERROR(IF(tblPiNAnalysis512[[#This Row],[Highest Target]]="", "", IF(tblPiNAnalysis512[[#This Row],[Highest sector(s'') Target %]]&gt;=flag_pin_perc, "Flagged", "")), "")</f>
        <v/>
      </c>
      <c r="AN207" s="330" t="str" cm="1">
        <f t="array" ref="AN207">IF(tblPiNAnalysis512[[#This Row],[Highest Target]]=0, "",  IF(OR(COUNTIF(tblPiNAnalysis512[[#This Row],[Highest sector(s)]],tblSubSectorPopulation[Sector])), "Flagged", ""))</f>
        <v/>
      </c>
      <c r="AO207" s="46" cm="1">
        <f t="array" ref="AO20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2545.1999999999998</v>
      </c>
      <c r="AP207" s="331" t="str" cm="1">
        <f t="array" ref="AP207">IF(tblPiNAnalysis512[[#This Row],[2nd Highest Target]]="", "", _xlfn.TEXTJOIN(CHAR(10), TRUE, IF(tblPiNAnalysis512[[#This Row],[2nd Highest Target]]=tblPiNAnalysis512[[#This Row],[CCCM]:[WASH]], tblPiNAnalysis512[[#Headers],[CCCM]:[WASH]], "")))</f>
        <v>Shelter</v>
      </c>
      <c r="AQ207" s="36">
        <f>IFERROR(tblPiNAnalysis512[[#This Row],[2nd Highest Target]]/tblPiNAnalysis512[[#This Row],[Affected population projection 2026]], "")</f>
        <v>0.7</v>
      </c>
      <c r="AR207" s="46">
        <f>IFERROR(tblPiNAnalysis512[[#This Row],[Highest Target]]-tblPiNAnalysis512[[#This Row],[2nd Highest Target]], "")</f>
        <v>673.80000000000018</v>
      </c>
      <c r="AS207" s="39">
        <f>IFERROR(((tblPiNAnalysis512[[#This Row],[Highest Target]]-tblPiNAnalysis512[[#This Row],[2nd Highest Target]])/tblPiNAnalysis512[[#This Row],[2nd Highest Target]]),"")</f>
        <v>0.26473361621876484</v>
      </c>
      <c r="AT207" s="39" t="str" cm="1">
        <f t="array" ref="AT20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07" s="332" cm="1">
        <f t="array" ref="AU20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2102.6310698931975</v>
      </c>
      <c r="AV207" s="190" t="str" cm="1">
        <f t="array" ref="AV207">IF(tblPiNAnalysis512[[#This Row],[3rd Highest Target]]="", "", _xlfn.TEXTJOIN(CHAR(10), TRUE, IF(tblPiNAnalysis512[[#This Row],[3rd Highest Target]]=tblPiNAnalysis512[[#This Row],[CCCM]:[WASH]], tblPiNAnalysis512[[#Headers],[CCCM]:[WASH]], "")))</f>
        <v>Health</v>
      </c>
      <c r="AW207" s="190">
        <f>IFERROR(tblPiNAnalysis512[[#This Row],[3rd Highest Target]]/tblPiNAnalysis512[[#This Row],[Affected population projection 2026]], "")</f>
        <v>0.57828137235786514</v>
      </c>
      <c r="AX207" s="45">
        <f>IFERROR(tblPiNAnalysis512[[#This Row],[Highest Target]]-tblPiNAnalysis512[[#This Row],[3rd Highest Target]],"")</f>
        <v>1116.3689301068025</v>
      </c>
      <c r="AY207" s="39">
        <f>IFERROR(tblPiNAnalysis512[[#This Row],[Difference of Target between Highest and 3rd Highest]]/tblPiNAnalysis512[[#This Row],[3rd Highest Target]], "")</f>
        <v>0.53093904398716418</v>
      </c>
      <c r="AZ207" s="330" t="str" cm="1">
        <f t="array" ref="AZ20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7" s="300" t="str" cm="1">
        <f t="array" ref="BA20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7" s="333" t="str" cm="1">
        <f t="array" ref="BB20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07" s="276" t="str" cm="1">
        <f t="array" ref="BC20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7" s="334" t="str" cm="1">
        <f t="array" ref="BD20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7" s="277" t="e">
        <f>INDEX(tblSeverityAnalysis[Final Severity], MATCH(tblPiNAnalysis512[[#This Row],[ID]],tblSeverityAnalysis[ID], 0))</f>
        <v>#N/A</v>
      </c>
      <c r="BF207" s="61" t="e">
        <f>IF(tblPiNAnalysis512[[#This Row],[Severity]]&gt;2,tblPiNAnalysis512[[#This Row],[Highest Target]],)</f>
        <v>#N/A</v>
      </c>
      <c r="BG207" s="191"/>
      <c r="BH207" s="192"/>
      <c r="BI207" s="193">
        <f>COUNTIFS(tblPiNAnalysis512[[#This Row],[Number of missing / zero PiNs greater than threshold - Data quality]:[Manual Flag]],"Flagged")</f>
        <v>2</v>
      </c>
      <c r="BJ207" s="96" t="str">
        <f>IF(tblPiNAnalysis512[[#This Row],['# Flags]]&gt;0, "Flagged", "")</f>
        <v>Flagged</v>
      </c>
      <c r="BK207" s="326" t="e">
        <f>tblPiNAnalysis512[[#This Row],[Preliminary Target]]</f>
        <v>#N/A</v>
      </c>
      <c r="BL207" s="331">
        <v>1</v>
      </c>
    </row>
    <row r="208" spans="1:64" x14ac:dyDescent="0.55000000000000004">
      <c r="A2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8" s="316" t="s">
        <v>322</v>
      </c>
      <c r="C208" s="317" t="s">
        <v>323</v>
      </c>
      <c r="D208" s="317" t="s">
        <v>338</v>
      </c>
      <c r="E208" s="105" t="s">
        <v>339</v>
      </c>
      <c r="F208" s="100"/>
      <c r="G208" s="34"/>
      <c r="H208" s="34"/>
      <c r="I208" s="97">
        <v>3515.9389111289033</v>
      </c>
      <c r="J208" s="97" t="s">
        <v>414</v>
      </c>
      <c r="K208" s="318">
        <v>0</v>
      </c>
      <c r="L208" s="319">
        <v>94.197277337510016</v>
      </c>
      <c r="M208" s="319">
        <v>756.72707642445596</v>
      </c>
      <c r="N208" s="319">
        <v>1174.6142706748806</v>
      </c>
      <c r="O208" s="319">
        <v>2199.7477844080736</v>
      </c>
      <c r="P208" s="319">
        <v>504.75770798369695</v>
      </c>
      <c r="Q208" s="320">
        <v>615.28930944755803</v>
      </c>
      <c r="R208" s="319">
        <v>483.25294519598515</v>
      </c>
      <c r="S208" s="319"/>
      <c r="T208" s="319"/>
      <c r="U208" s="319"/>
      <c r="V208" s="319"/>
      <c r="W208" s="321">
        <f>IFERROR(IF(tblPiNAnalysis512[[#This Row],[CCCM]]="", "", MROUND(tblPiNAnalysis512[[#This Row],[CCCM]]/tblPiNAnalysis512[[#This Row],[Affected population projection 2026]], 0.05)), "")</f>
        <v>0</v>
      </c>
      <c r="X208" s="322">
        <f>IFERROR(IF(tblPiNAnalysis512[[#This Row],[Education]]="", "", MROUND(tblPiNAnalysis512[[#This Row],[Education]]/tblPiNAnalysis512[[#This Row],[Affected population projection 2026]], 0.05)), "")</f>
        <v>0.05</v>
      </c>
      <c r="Y208" s="322">
        <f>IFERROR(IF(tblPiNAnalysis512[[#This Row],[Nutrition]]="", "", MROUND(tblPiNAnalysis512[[#This Row],[Nutrition]]/tblPiNAnalysis512[[#This Row],[Affected population projection 2026]], 0.05)), "")</f>
        <v>0.2</v>
      </c>
      <c r="Z208" s="322">
        <f>IFERROR(IF(tblPiNAnalysis512[[#This Row],[Food Security]]="", "", MROUND(tblPiNAnalysis512[[#This Row],[Food Security]]/tblPiNAnalysis512[[#This Row],[Affected population projection 2026]], 0.05)), "")</f>
        <v>0.35000000000000003</v>
      </c>
      <c r="AA208" s="322">
        <f>IFERROR(IF(tblPiNAnalysis512[[#This Row],[Health]]="", "", MROUND(tblPiNAnalysis512[[#This Row],[Health]]/tblPiNAnalysis512[[#This Row],[Affected population projection 2026]], 0.05)), "")</f>
        <v>0.65</v>
      </c>
      <c r="AB208" s="323">
        <f>IFERROR(IF(tblPiNAnalysis512[[#This Row],[Overarching Protection]]="", "", MROUND(tblPiNAnalysis512[[#This Row],[Overarching Protection]]/tblPiNAnalysis512[[#This Row],[Affected population projection 2026]], 0.05)), "")</f>
        <v>0.15000000000000002</v>
      </c>
      <c r="AC208" s="323">
        <f>IFERROR(IF(tblPiNAnalysis512[[#This Row],[Shelter]]="", "", MROUND(tblPiNAnalysis512[[#This Row],[Shelter]]/tblPiNAnalysis512[[#This Row],[Affected population projection 2026]], 0.05)), "")</f>
        <v>0.2</v>
      </c>
      <c r="AD208" s="324">
        <f>IFERROR(IF(tblPiNAnalysis512[[#This Row],[WASH]]="", "", MROUND(tblPiNAnalysis512[[#This Row],[WASH]]/tblPiNAnalysis512[[#This Row],[Affected population projection 2026]], 0.05)), "")</f>
        <v>0.15000000000000002</v>
      </c>
      <c r="AE208" s="322">
        <f>IFERROR(MROUND(tblPiNAnalysis512[[#This Row],[CP]]/tblPiNAnalysis512[[#This Row],[Affected population projection 2026]], 0.05), "")</f>
        <v>0</v>
      </c>
      <c r="AF208" s="322">
        <f>IFERROR(MROUND(tblPiNAnalysis512[[#This Row],[GBV]]/tblPiNAnalysis512[[#This Row],[Affected population projection 2026]], 0.05), "")</f>
        <v>0</v>
      </c>
      <c r="AG208" s="322">
        <f>IFERROR(MROUND(tblPiNAnalysis512[[#This Row],[Mine Action]]/tblPiNAnalysis512[[#This Row],[Affected population projection 2026]], 0.05), "")</f>
        <v>0</v>
      </c>
      <c r="AH208" s="322">
        <f>IFERROR(MROUND(tblPiNAnalysis512[[#This Row],[HLP]]/tblPiNAnalysis512[[#This Row],[Affected population projection 2026]], 0.05), "")</f>
        <v>0</v>
      </c>
      <c r="AI208" s="325">
        <f>IFERROR(LARGE(tblPiNAnalysis512[[#This Row],[CCCM]:[WASH]], 1), "")</f>
        <v>2199.7477844080736</v>
      </c>
      <c r="AJ208" s="326" t="str" cm="1">
        <f t="array" ref="AJ208">IF(tblPiNAnalysis512[[#This Row],[Highest Target]]="", "", _xlfn.TEXTJOIN(CHAR(10), TRUE, IF(tblPiNAnalysis512[[#This Row],[Highest Target]]=tblPiNAnalysis512[[#This Row],[CCCM]:[WASH]], tblPiNAnalysis512[[#Headers],[CCCM]:[WASH]], "")))</f>
        <v>Health</v>
      </c>
      <c r="AK208" s="327">
        <f>IF(tblPiNAnalysis512[[#This Row],[Highest Target]]="", "", tblPiNAnalysis512[[#This Row],[Highest Target]]/tblPiNAnalysis512[[#This Row],[Affected population projection 2026]])</f>
        <v>0.6256501719769002</v>
      </c>
      <c r="AL208" s="328" t="str">
        <f>IF(SUM(tblPiNAnalysis512[[#This Row],[CCCM]:[WASH]])=0, "",IF(COUNTIF(tblPiNAnalysis512[[#This Row],[CCCM]:[WASH]],"=0")+COUNTIF(tblPiNAnalysis512[[#This Row],[CCCM]:[WASH]],"")&gt;=zero_pin_thresh, "Flagged", ""))</f>
        <v/>
      </c>
      <c r="AM208" s="329" t="str">
        <f>IFERROR(IF(tblPiNAnalysis512[[#This Row],[Highest Target]]="", "", IF(tblPiNAnalysis512[[#This Row],[Highest sector(s'') Target %]]&gt;=flag_pin_perc, "Flagged", "")), "")</f>
        <v/>
      </c>
      <c r="AN208" s="330" t="str" cm="1">
        <f t="array" ref="AN208">IF(tblPiNAnalysis512[[#This Row],[Highest Target]]=0, "",  IF(OR(COUNTIF(tblPiNAnalysis512[[#This Row],[Highest sector(s)]],tblSubSectorPopulation[Sector])), "Flagged", ""))</f>
        <v/>
      </c>
      <c r="AO208" s="46" cm="1">
        <f t="array" ref="AO20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1174.6142706748806</v>
      </c>
      <c r="AP208" s="331" t="str" cm="1">
        <f t="array" ref="AP208">IF(tblPiNAnalysis512[[#This Row],[2nd Highest Target]]="", "", _xlfn.TEXTJOIN(CHAR(10), TRUE, IF(tblPiNAnalysis512[[#This Row],[2nd Highest Target]]=tblPiNAnalysis512[[#This Row],[CCCM]:[WASH]], tblPiNAnalysis512[[#Headers],[CCCM]:[WASH]], "")))</f>
        <v>Food Security</v>
      </c>
      <c r="AQ208" s="36">
        <f>IFERROR(tblPiNAnalysis512[[#This Row],[2nd Highest Target]]/tblPiNAnalysis512[[#This Row],[Affected population projection 2026]], "")</f>
        <v>0.3340826733243023</v>
      </c>
      <c r="AR208" s="46">
        <f>IFERROR(tblPiNAnalysis512[[#This Row],[Highest Target]]-tblPiNAnalysis512[[#This Row],[2nd Highest Target]], "")</f>
        <v>1025.133513733193</v>
      </c>
      <c r="AS208" s="39">
        <f>IFERROR(((tblPiNAnalysis512[[#This Row],[Highest Target]]-tblPiNAnalysis512[[#This Row],[2nd Highest Target]])/tblPiNAnalysis512[[#This Row],[2nd Highest Target]]),"")</f>
        <v>0.87274055775279946</v>
      </c>
      <c r="AT208" s="39" t="str" cm="1">
        <f t="array" ref="AT20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08" s="332" cm="1">
        <f t="array" ref="AU20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756.72707642445596</v>
      </c>
      <c r="AV208" s="190" t="str" cm="1">
        <f t="array" ref="AV208">IF(tblPiNAnalysis512[[#This Row],[3rd Highest Target]]="", "", _xlfn.TEXTJOIN(CHAR(10), TRUE, IF(tblPiNAnalysis512[[#This Row],[3rd Highest Target]]=tblPiNAnalysis512[[#This Row],[CCCM]:[WASH]], tblPiNAnalysis512[[#Headers],[CCCM]:[WASH]], "")))</f>
        <v>Nutrition</v>
      </c>
      <c r="AW208" s="190">
        <f>IFERROR(tblPiNAnalysis512[[#This Row],[3rd Highest Target]]/tblPiNAnalysis512[[#This Row],[Affected population projection 2026]], "")</f>
        <v>0.21522759511810882</v>
      </c>
      <c r="AX208" s="45">
        <f>IFERROR(tblPiNAnalysis512[[#This Row],[Highest Target]]-tblPiNAnalysis512[[#This Row],[3rd Highest Target]],"")</f>
        <v>1443.0207079836177</v>
      </c>
      <c r="AY208" s="39">
        <f>IFERROR(tblPiNAnalysis512[[#This Row],[Difference of Target between Highest and 3rd Highest]]/tblPiNAnalysis512[[#This Row],[3rd Highest Target]], "")</f>
        <v>1.9069235830729185</v>
      </c>
      <c r="AZ208" s="330" t="str" cm="1">
        <f t="array" ref="AZ20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8" s="300" t="str" cm="1">
        <f t="array" ref="BA20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8" s="333" t="str" cm="1">
        <f t="array" ref="BB20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08" s="276" t="str" cm="1">
        <f t="array" ref="BC20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8" s="334" t="str" cm="1">
        <f t="array" ref="BD20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08" s="277" t="e">
        <f>INDEX(tblSeverityAnalysis[Final Severity], MATCH(tblPiNAnalysis512[[#This Row],[ID]],tblSeverityAnalysis[ID], 0))</f>
        <v>#N/A</v>
      </c>
      <c r="BF208" s="61" t="e">
        <f>IF(tblPiNAnalysis512[[#This Row],[Severity]]&gt;2,tblPiNAnalysis512[[#This Row],[Highest Target]],)</f>
        <v>#N/A</v>
      </c>
      <c r="BG208" s="191"/>
      <c r="BH208" s="192"/>
      <c r="BI208" s="193">
        <f>COUNTIFS(tblPiNAnalysis512[[#This Row],[Number of missing / zero PiNs greater than threshold - Data quality]:[Manual Flag]],"Flagged")</f>
        <v>3</v>
      </c>
      <c r="BJ208" s="96" t="str">
        <f>IF(tblPiNAnalysis512[[#This Row],['# Flags]]&gt;0, "Flagged", "")</f>
        <v>Flagged</v>
      </c>
      <c r="BK208" s="326" t="e">
        <f>tblPiNAnalysis512[[#This Row],[Preliminary Target]]</f>
        <v>#N/A</v>
      </c>
      <c r="BL208" s="331">
        <v>2</v>
      </c>
    </row>
    <row r="209" spans="1:64" x14ac:dyDescent="0.55000000000000004">
      <c r="A2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9" s="316" t="s">
        <v>322</v>
      </c>
      <c r="C209" s="317" t="s">
        <v>323</v>
      </c>
      <c r="D209" s="317" t="s">
        <v>340</v>
      </c>
      <c r="E209" s="105" t="s">
        <v>341</v>
      </c>
      <c r="F209" s="100"/>
      <c r="G209" s="34"/>
      <c r="H209" s="34"/>
      <c r="I209" s="97">
        <v>13224.062358458195</v>
      </c>
      <c r="J209" s="97" t="s">
        <v>414</v>
      </c>
      <c r="K209" s="318">
        <v>21065</v>
      </c>
      <c r="L209" s="319">
        <v>3641.3751662125778</v>
      </c>
      <c r="M209" s="319">
        <v>2331.1192661250252</v>
      </c>
      <c r="N209" s="319">
        <v>6140.5817860921698</v>
      </c>
      <c r="O209" s="319">
        <v>7526.0717905892307</v>
      </c>
      <c r="P209" s="319">
        <v>4514.8295128191739</v>
      </c>
      <c r="Q209" s="320">
        <v>9256.8436509207368</v>
      </c>
      <c r="R209" s="319">
        <v>2168.2972617070727</v>
      </c>
      <c r="S209" s="319"/>
      <c r="T209" s="319"/>
      <c r="U209" s="319"/>
      <c r="V209" s="319"/>
      <c r="W209" s="321">
        <f>IFERROR(IF(tblPiNAnalysis512[[#This Row],[CCCM]]="", "", MROUND(tblPiNAnalysis512[[#This Row],[CCCM]]/tblPiNAnalysis512[[#This Row],[Affected population projection 2026]], 0.05)), "")</f>
        <v>1.6</v>
      </c>
      <c r="X209" s="322">
        <f>IFERROR(IF(tblPiNAnalysis512[[#This Row],[Education]]="", "", MROUND(tblPiNAnalysis512[[#This Row],[Education]]/tblPiNAnalysis512[[#This Row],[Affected population projection 2026]], 0.05)), "")</f>
        <v>0.30000000000000004</v>
      </c>
      <c r="Y209" s="322">
        <f>IFERROR(IF(tblPiNAnalysis512[[#This Row],[Nutrition]]="", "", MROUND(tblPiNAnalysis512[[#This Row],[Nutrition]]/tblPiNAnalysis512[[#This Row],[Affected population projection 2026]], 0.05)), "")</f>
        <v>0.2</v>
      </c>
      <c r="Z209" s="322">
        <f>IFERROR(IF(tblPiNAnalysis512[[#This Row],[Food Security]]="", "", MROUND(tblPiNAnalysis512[[#This Row],[Food Security]]/tblPiNAnalysis512[[#This Row],[Affected population projection 2026]], 0.05)), "")</f>
        <v>0.45</v>
      </c>
      <c r="AA209" s="322">
        <f>IFERROR(IF(tblPiNAnalysis512[[#This Row],[Health]]="", "", MROUND(tblPiNAnalysis512[[#This Row],[Health]]/tblPiNAnalysis512[[#This Row],[Affected population projection 2026]], 0.05)), "")</f>
        <v>0.55000000000000004</v>
      </c>
      <c r="AB209" s="323">
        <f>IFERROR(IF(tblPiNAnalysis512[[#This Row],[Overarching Protection]]="", "", MROUND(tblPiNAnalysis512[[#This Row],[Overarching Protection]]/tblPiNAnalysis512[[#This Row],[Affected population projection 2026]], 0.05)), "")</f>
        <v>0.35000000000000003</v>
      </c>
      <c r="AC209" s="323">
        <f>IFERROR(IF(tblPiNAnalysis512[[#This Row],[Shelter]]="", "", MROUND(tblPiNAnalysis512[[#This Row],[Shelter]]/tblPiNAnalysis512[[#This Row],[Affected population projection 2026]], 0.05)), "")</f>
        <v>0.70000000000000007</v>
      </c>
      <c r="AD209" s="324">
        <f>IFERROR(IF(tblPiNAnalysis512[[#This Row],[WASH]]="", "", MROUND(tblPiNAnalysis512[[#This Row],[WASH]]/tblPiNAnalysis512[[#This Row],[Affected population projection 2026]], 0.05)), "")</f>
        <v>0.15000000000000002</v>
      </c>
      <c r="AE209" s="322">
        <f>IFERROR(MROUND(tblPiNAnalysis512[[#This Row],[CP]]/tblPiNAnalysis512[[#This Row],[Affected population projection 2026]], 0.05), "")</f>
        <v>0</v>
      </c>
      <c r="AF209" s="322">
        <f>IFERROR(MROUND(tblPiNAnalysis512[[#This Row],[GBV]]/tblPiNAnalysis512[[#This Row],[Affected population projection 2026]], 0.05), "")</f>
        <v>0</v>
      </c>
      <c r="AG209" s="322">
        <f>IFERROR(MROUND(tblPiNAnalysis512[[#This Row],[Mine Action]]/tblPiNAnalysis512[[#This Row],[Affected population projection 2026]], 0.05), "")</f>
        <v>0</v>
      </c>
      <c r="AH209" s="322">
        <f>IFERROR(MROUND(tblPiNAnalysis512[[#This Row],[HLP]]/tblPiNAnalysis512[[#This Row],[Affected population projection 2026]], 0.05), "")</f>
        <v>0</v>
      </c>
      <c r="AI209" s="325">
        <f>IFERROR(LARGE(tblPiNAnalysis512[[#This Row],[CCCM]:[WASH]], 1), "")</f>
        <v>21065</v>
      </c>
      <c r="AJ209" s="326" t="str" cm="1">
        <f t="array" ref="AJ209">IF(tblPiNAnalysis512[[#This Row],[Highest Target]]="", "", _xlfn.TEXTJOIN(CHAR(10), TRUE, IF(tblPiNAnalysis512[[#This Row],[Highest Target]]=tblPiNAnalysis512[[#This Row],[CCCM]:[WASH]], tblPiNAnalysis512[[#Headers],[CCCM]:[WASH]], "")))</f>
        <v>CCCM</v>
      </c>
      <c r="AK209" s="327">
        <f>IF(tblPiNAnalysis512[[#This Row],[Highest Target]]="", "", tblPiNAnalysis512[[#This Row],[Highest Target]]/tblPiNAnalysis512[[#This Row],[Affected population projection 2026]])</f>
        <v>1.5929295725474775</v>
      </c>
      <c r="AL209" s="328" t="str">
        <f>IF(SUM(tblPiNAnalysis512[[#This Row],[CCCM]:[WASH]])=0, "",IF(COUNTIF(tblPiNAnalysis512[[#This Row],[CCCM]:[WASH]],"=0")+COUNTIF(tblPiNAnalysis512[[#This Row],[CCCM]:[WASH]],"")&gt;=zero_pin_thresh, "Flagged", ""))</f>
        <v/>
      </c>
      <c r="AM209" s="329" t="str">
        <f>IFERROR(IF(tblPiNAnalysis512[[#This Row],[Highest Target]]="", "", IF(tblPiNAnalysis512[[#This Row],[Highest sector(s'') Target %]]&gt;=flag_pin_perc, "Flagged", "")), "")</f>
        <v>Flagged</v>
      </c>
      <c r="AN209" s="330" t="str" cm="1">
        <f t="array" ref="AN209">IF(tblPiNAnalysis512[[#This Row],[Highest Target]]=0, "",  IF(OR(COUNTIF(tblPiNAnalysis512[[#This Row],[Highest sector(s)]],tblSubSectorPopulation[Sector])), "Flagged", ""))</f>
        <v/>
      </c>
      <c r="AO209" s="46" cm="1">
        <f t="array" ref="AO20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9256.8436509207368</v>
      </c>
      <c r="AP209" s="331" t="str" cm="1">
        <f t="array" ref="AP209">IF(tblPiNAnalysis512[[#This Row],[2nd Highest Target]]="", "", _xlfn.TEXTJOIN(CHAR(10), TRUE, IF(tblPiNAnalysis512[[#This Row],[2nd Highest Target]]=tblPiNAnalysis512[[#This Row],[CCCM]:[WASH]], tblPiNAnalysis512[[#Headers],[CCCM]:[WASH]], "")))</f>
        <v>Shelter</v>
      </c>
      <c r="AQ209" s="36">
        <f>IFERROR(tblPiNAnalysis512[[#This Row],[2nd Highest Target]]/tblPiNAnalysis512[[#This Row],[Affected population projection 2026]], "")</f>
        <v>0.7</v>
      </c>
      <c r="AR209" s="46">
        <f>IFERROR(tblPiNAnalysis512[[#This Row],[Highest Target]]-tblPiNAnalysis512[[#This Row],[2nd Highest Target]], "")</f>
        <v>11808.156349079263</v>
      </c>
      <c r="AS209" s="39">
        <f>IFERROR(((tblPiNAnalysis512[[#This Row],[Highest Target]]-tblPiNAnalysis512[[#This Row],[2nd Highest Target]])/tblPiNAnalysis512[[#This Row],[2nd Highest Target]]),"")</f>
        <v>1.2756136750678249</v>
      </c>
      <c r="AT209" s="39" t="str" cm="1">
        <f t="array" ref="AT20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09" s="332" cm="1">
        <f t="array" ref="AU20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7526.0717905892307</v>
      </c>
      <c r="AV209" s="190" t="str" cm="1">
        <f t="array" ref="AV209">IF(tblPiNAnalysis512[[#This Row],[3rd Highest Target]]="", "", _xlfn.TEXTJOIN(CHAR(10), TRUE, IF(tblPiNAnalysis512[[#This Row],[3rd Highest Target]]=tblPiNAnalysis512[[#This Row],[CCCM]:[WASH]], tblPiNAnalysis512[[#Headers],[CCCM]:[WASH]], "")))</f>
        <v>Health</v>
      </c>
      <c r="AW209" s="190">
        <f>IFERROR(tblPiNAnalysis512[[#This Row],[3rd Highest Target]]/tblPiNAnalysis512[[#This Row],[Affected population projection 2026]], "")</f>
        <v>0.56911950250866039</v>
      </c>
      <c r="AX209" s="45">
        <f>IFERROR(tblPiNAnalysis512[[#This Row],[Highest Target]]-tblPiNAnalysis512[[#This Row],[3rd Highest Target]],"")</f>
        <v>13538.928209410769</v>
      </c>
      <c r="AY209" s="39">
        <f>IFERROR(tblPiNAnalysis512[[#This Row],[Difference of Target between Highest and 3rd Highest]]/tblPiNAnalysis512[[#This Row],[3rd Highest Target]], "")</f>
        <v>1.7989368937910146</v>
      </c>
      <c r="AZ209" s="330" t="str" cm="1">
        <f t="array" ref="AZ20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09" s="300" t="str" cm="1">
        <f t="array" ref="BA20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09" s="333" t="str" cm="1">
        <f t="array" ref="BB20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09" s="276" t="str" cm="1">
        <f t="array" ref="BC20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09" s="334" t="str" cm="1">
        <f t="array" ref="BD20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09" s="277" t="e">
        <f>INDEX(tblSeverityAnalysis[Final Severity], MATCH(tblPiNAnalysis512[[#This Row],[ID]],tblSeverityAnalysis[ID], 0))</f>
        <v>#N/A</v>
      </c>
      <c r="BF209" s="61" t="e">
        <f>IF(tblPiNAnalysis512[[#This Row],[Severity]]&gt;2,tblPiNAnalysis512[[#This Row],[Highest Target]],)</f>
        <v>#N/A</v>
      </c>
      <c r="BG209" s="191"/>
      <c r="BH209" s="192"/>
      <c r="BI209" s="193">
        <f>COUNTIFS(tblPiNAnalysis512[[#This Row],[Number of missing / zero PiNs greater than threshold - Data quality]:[Manual Flag]],"Flagged")</f>
        <v>4</v>
      </c>
      <c r="BJ209" s="96" t="str">
        <f>IF(tblPiNAnalysis512[[#This Row],['# Flags]]&gt;0, "Flagged", "")</f>
        <v>Flagged</v>
      </c>
      <c r="BK209" s="326" t="e">
        <f>tblPiNAnalysis512[[#This Row],[Preliminary Target]]</f>
        <v>#N/A</v>
      </c>
      <c r="BL209" s="331">
        <v>1</v>
      </c>
    </row>
    <row r="210" spans="1:64" x14ac:dyDescent="0.55000000000000004">
      <c r="A2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0" s="316" t="s">
        <v>342</v>
      </c>
      <c r="C210" s="317" t="s">
        <v>343</v>
      </c>
      <c r="D210" s="317" t="s">
        <v>344</v>
      </c>
      <c r="E210" s="105" t="s">
        <v>345</v>
      </c>
      <c r="F210" s="100"/>
      <c r="G210" s="34"/>
      <c r="H210" s="34"/>
      <c r="I210" s="97">
        <v>4961</v>
      </c>
      <c r="J210" s="97" t="s">
        <v>414</v>
      </c>
      <c r="K210" s="318">
        <v>0</v>
      </c>
      <c r="L210" s="319">
        <v>397.55469600000004</v>
      </c>
      <c r="M210" s="319">
        <v>1649.102015036234</v>
      </c>
      <c r="N210" s="319">
        <v>2215.0636691353689</v>
      </c>
      <c r="O210" s="319">
        <v>2205.8461840677242</v>
      </c>
      <c r="P210" s="319">
        <v>754.51795404687675</v>
      </c>
      <c r="Q210" s="320">
        <v>1368.0333333333333</v>
      </c>
      <c r="R210" s="319">
        <v>4001.8903463648835</v>
      </c>
      <c r="S210" s="319"/>
      <c r="T210" s="319"/>
      <c r="U210" s="319"/>
      <c r="V210" s="319"/>
      <c r="W210" s="321">
        <f>IFERROR(IF(tblPiNAnalysis512[[#This Row],[CCCM]]="", "", MROUND(tblPiNAnalysis512[[#This Row],[CCCM]]/tblPiNAnalysis512[[#This Row],[Affected population projection 2026]], 0.05)), "")</f>
        <v>0</v>
      </c>
      <c r="X210" s="322">
        <f>IFERROR(IF(tblPiNAnalysis512[[#This Row],[Education]]="", "", MROUND(tblPiNAnalysis512[[#This Row],[Education]]/tblPiNAnalysis512[[#This Row],[Affected population projection 2026]], 0.05)), "")</f>
        <v>0.1</v>
      </c>
      <c r="Y210" s="322">
        <f>IFERROR(IF(tblPiNAnalysis512[[#This Row],[Nutrition]]="", "", MROUND(tblPiNAnalysis512[[#This Row],[Nutrition]]/tblPiNAnalysis512[[#This Row],[Affected population projection 2026]], 0.05)), "")</f>
        <v>0.35000000000000003</v>
      </c>
      <c r="Z210" s="322">
        <f>IFERROR(IF(tblPiNAnalysis512[[#This Row],[Food Security]]="", "", MROUND(tblPiNAnalysis512[[#This Row],[Food Security]]/tblPiNAnalysis512[[#This Row],[Affected population projection 2026]], 0.05)), "")</f>
        <v>0.45</v>
      </c>
      <c r="AA210" s="322">
        <f>IFERROR(IF(tblPiNAnalysis512[[#This Row],[Health]]="", "", MROUND(tblPiNAnalysis512[[#This Row],[Health]]/tblPiNAnalysis512[[#This Row],[Affected population projection 2026]], 0.05)), "")</f>
        <v>0.45</v>
      </c>
      <c r="AB210" s="323">
        <f>IFERROR(IF(tblPiNAnalysis512[[#This Row],[Overarching Protection]]="", "", MROUND(tblPiNAnalysis512[[#This Row],[Overarching Protection]]/tblPiNAnalysis512[[#This Row],[Affected population projection 2026]], 0.05)), "")</f>
        <v>0.15000000000000002</v>
      </c>
      <c r="AC210" s="323">
        <f>IFERROR(IF(tblPiNAnalysis512[[#This Row],[Shelter]]="", "", MROUND(tblPiNAnalysis512[[#This Row],[Shelter]]/tblPiNAnalysis512[[#This Row],[Affected population projection 2026]], 0.05)), "")</f>
        <v>0.30000000000000004</v>
      </c>
      <c r="AD210" s="324">
        <f>IFERROR(IF(tblPiNAnalysis512[[#This Row],[WASH]]="", "", MROUND(tblPiNAnalysis512[[#This Row],[WASH]]/tblPiNAnalysis512[[#This Row],[Affected population projection 2026]], 0.05)), "")</f>
        <v>0.8</v>
      </c>
      <c r="AE210" s="322">
        <f>IFERROR(MROUND(tblPiNAnalysis512[[#This Row],[CP]]/tblPiNAnalysis512[[#This Row],[Affected population projection 2026]], 0.05), "")</f>
        <v>0</v>
      </c>
      <c r="AF210" s="322">
        <f>IFERROR(MROUND(tblPiNAnalysis512[[#This Row],[GBV]]/tblPiNAnalysis512[[#This Row],[Affected population projection 2026]], 0.05), "")</f>
        <v>0</v>
      </c>
      <c r="AG210" s="322">
        <f>IFERROR(MROUND(tblPiNAnalysis512[[#This Row],[Mine Action]]/tblPiNAnalysis512[[#This Row],[Affected population projection 2026]], 0.05), "")</f>
        <v>0</v>
      </c>
      <c r="AH210" s="322">
        <f>IFERROR(MROUND(tblPiNAnalysis512[[#This Row],[HLP]]/tblPiNAnalysis512[[#This Row],[Affected population projection 2026]], 0.05), "")</f>
        <v>0</v>
      </c>
      <c r="AI210" s="325">
        <f>IFERROR(LARGE(tblPiNAnalysis512[[#This Row],[CCCM]:[WASH]], 1), "")</f>
        <v>4001.8903463648835</v>
      </c>
      <c r="AJ210" s="326" t="str" cm="1">
        <f t="array" ref="AJ210">IF(tblPiNAnalysis512[[#This Row],[Highest Target]]="", "", _xlfn.TEXTJOIN(CHAR(10), TRUE, IF(tblPiNAnalysis512[[#This Row],[Highest Target]]=tblPiNAnalysis512[[#This Row],[CCCM]:[WASH]], tblPiNAnalysis512[[#Headers],[CCCM]:[WASH]], "")))</f>
        <v>WASH</v>
      </c>
      <c r="AK210" s="327">
        <f>IF(tblPiNAnalysis512[[#This Row],[Highest Target]]="", "", tblPiNAnalysis512[[#This Row],[Highest Target]]/tblPiNAnalysis512[[#This Row],[Affected population projection 2026]])</f>
        <v>0.80667009602194795</v>
      </c>
      <c r="AL210" s="328" t="str">
        <f>IF(SUM(tblPiNAnalysis512[[#This Row],[CCCM]:[WASH]])=0, "",IF(COUNTIF(tblPiNAnalysis512[[#This Row],[CCCM]:[WASH]],"=0")+COUNTIF(tblPiNAnalysis512[[#This Row],[CCCM]:[WASH]],"")&gt;=zero_pin_thresh, "Flagged", ""))</f>
        <v/>
      </c>
      <c r="AM210" s="329" t="str">
        <f>IFERROR(IF(tblPiNAnalysis512[[#This Row],[Highest Target]]="", "", IF(tblPiNAnalysis512[[#This Row],[Highest sector(s'') Target %]]&gt;=flag_pin_perc, "Flagged", "")), "")</f>
        <v/>
      </c>
      <c r="AN210" s="330" t="str" cm="1">
        <f t="array" ref="AN210">IF(tblPiNAnalysis512[[#This Row],[Highest Target]]=0, "",  IF(OR(COUNTIF(tblPiNAnalysis512[[#This Row],[Highest sector(s)]],tblSubSectorPopulation[Sector])), "Flagged", ""))</f>
        <v/>
      </c>
      <c r="AO210" s="46" cm="1">
        <f t="array" ref="AO21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2215.0636691353689</v>
      </c>
      <c r="AP210" s="331" t="str" cm="1">
        <f t="array" ref="AP210">IF(tblPiNAnalysis512[[#This Row],[2nd Highest Target]]="", "", _xlfn.TEXTJOIN(CHAR(10), TRUE, IF(tblPiNAnalysis512[[#This Row],[2nd Highest Target]]=tblPiNAnalysis512[[#This Row],[CCCM]:[WASH]], tblPiNAnalysis512[[#Headers],[CCCM]:[WASH]], "")))</f>
        <v>Food Security</v>
      </c>
      <c r="AQ210" s="36">
        <f>IFERROR(tblPiNAnalysis512[[#This Row],[2nd Highest Target]]/tblPiNAnalysis512[[#This Row],[Affected population projection 2026]], "")</f>
        <v>0.44649539793093507</v>
      </c>
      <c r="AR210" s="46">
        <f>IFERROR(tblPiNAnalysis512[[#This Row],[Highest Target]]-tblPiNAnalysis512[[#This Row],[2nd Highest Target]], "")</f>
        <v>1786.8266772295146</v>
      </c>
      <c r="AS210" s="39">
        <f>IFERROR(((tblPiNAnalysis512[[#This Row],[Highest Target]]-tblPiNAnalysis512[[#This Row],[2nd Highest Target]])/tblPiNAnalysis512[[#This Row],[2nd Highest Target]]),"")</f>
        <v>0.80667057210458748</v>
      </c>
      <c r="AT210" s="39" t="str" cm="1">
        <f t="array" ref="AT21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10" s="332" cm="1">
        <f t="array" ref="AU21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2205.8461840677242</v>
      </c>
      <c r="AV210" s="190" t="str" cm="1">
        <f t="array" ref="AV210">IF(tblPiNAnalysis512[[#This Row],[3rd Highest Target]]="", "", _xlfn.TEXTJOIN(CHAR(10), TRUE, IF(tblPiNAnalysis512[[#This Row],[3rd Highest Target]]=tblPiNAnalysis512[[#This Row],[CCCM]:[WASH]], tblPiNAnalysis512[[#Headers],[CCCM]:[WASH]], "")))</f>
        <v>Health</v>
      </c>
      <c r="AW210" s="190">
        <f>IFERROR(tblPiNAnalysis512[[#This Row],[3rd Highest Target]]/tblPiNAnalysis512[[#This Row],[Affected population projection 2026]], "")</f>
        <v>0.44463740860062972</v>
      </c>
      <c r="AX210" s="45">
        <f>IFERROR(tblPiNAnalysis512[[#This Row],[Highest Target]]-tblPiNAnalysis512[[#This Row],[3rd Highest Target]],"")</f>
        <v>1796.0441622971593</v>
      </c>
      <c r="AY210" s="39">
        <f>IFERROR(tblPiNAnalysis512[[#This Row],[Difference of Target between Highest and 3rd Highest]]/tblPiNAnalysis512[[#This Row],[3rd Highest Target]], "")</f>
        <v>0.81422003731245518</v>
      </c>
      <c r="AZ210" s="330" t="str" cm="1">
        <f t="array" ref="AZ21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10" s="300" t="str" cm="1">
        <f t="array" ref="BA21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0" s="333" t="str" cm="1">
        <f t="array" ref="BB21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10" s="276" t="str" cm="1">
        <f t="array" ref="BC21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0" s="334" t="str" cm="1">
        <f t="array" ref="BD21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10" s="277" t="e">
        <f>INDEX(tblSeverityAnalysis[Final Severity], MATCH(tblPiNAnalysis512[[#This Row],[ID]],tblSeverityAnalysis[ID], 0))</f>
        <v>#N/A</v>
      </c>
      <c r="BF210" s="61" t="e">
        <f>IF(tblPiNAnalysis512[[#This Row],[Severity]]&gt;2,tblPiNAnalysis512[[#This Row],[Highest Target]],)</f>
        <v>#N/A</v>
      </c>
      <c r="BG210" s="191"/>
      <c r="BH210" s="192"/>
      <c r="BI210" s="193">
        <f>COUNTIFS(tblPiNAnalysis512[[#This Row],[Number of missing / zero PiNs greater than threshold - Data quality]:[Manual Flag]],"Flagged")</f>
        <v>2</v>
      </c>
      <c r="BJ210" s="96" t="str">
        <f>IF(tblPiNAnalysis512[[#This Row],['# Flags]]&gt;0, "Flagged", "")</f>
        <v>Flagged</v>
      </c>
      <c r="BK210" s="326" t="e">
        <f>tblPiNAnalysis512[[#This Row],[Preliminary Target]]</f>
        <v>#N/A</v>
      </c>
      <c r="BL210" s="331">
        <v>2</v>
      </c>
    </row>
    <row r="211" spans="1:64" x14ac:dyDescent="0.55000000000000004">
      <c r="A2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1" s="316" t="s">
        <v>342</v>
      </c>
      <c r="C211" s="317" t="s">
        <v>343</v>
      </c>
      <c r="D211" s="317" t="s">
        <v>346</v>
      </c>
      <c r="E211" s="105" t="s">
        <v>347</v>
      </c>
      <c r="F211" s="100"/>
      <c r="G211" s="34"/>
      <c r="H211" s="34"/>
      <c r="I211" s="97">
        <v>14416.589191353083</v>
      </c>
      <c r="J211" s="97" t="s">
        <v>414</v>
      </c>
      <c r="K211" s="318">
        <v>5999</v>
      </c>
      <c r="L211" s="319">
        <v>4916.7489105325858</v>
      </c>
      <c r="M211" s="319">
        <v>2555.6208862431035</v>
      </c>
      <c r="N211" s="319">
        <v>5590.2544771625207</v>
      </c>
      <c r="O211" s="319">
        <v>4442.7025215305175</v>
      </c>
      <c r="P211" s="319">
        <v>6667.7589224148178</v>
      </c>
      <c r="Q211" s="320">
        <v>5703.9548539701327</v>
      </c>
      <c r="R211" s="319">
        <v>13124.301716494821</v>
      </c>
      <c r="S211" s="319"/>
      <c r="T211" s="319"/>
      <c r="U211" s="319"/>
      <c r="V211" s="319"/>
      <c r="W211" s="321">
        <f>IFERROR(IF(tblPiNAnalysis512[[#This Row],[CCCM]]="", "", MROUND(tblPiNAnalysis512[[#This Row],[CCCM]]/tblPiNAnalysis512[[#This Row],[Affected population projection 2026]], 0.05)), "")</f>
        <v>0.4</v>
      </c>
      <c r="X211" s="322">
        <f>IFERROR(IF(tblPiNAnalysis512[[#This Row],[Education]]="", "", MROUND(tblPiNAnalysis512[[#This Row],[Education]]/tblPiNAnalysis512[[#This Row],[Affected population projection 2026]], 0.05)), "")</f>
        <v>0.35000000000000003</v>
      </c>
      <c r="Y211" s="322">
        <f>IFERROR(IF(tblPiNAnalysis512[[#This Row],[Nutrition]]="", "", MROUND(tblPiNAnalysis512[[#This Row],[Nutrition]]/tblPiNAnalysis512[[#This Row],[Affected population projection 2026]], 0.05)), "")</f>
        <v>0.2</v>
      </c>
      <c r="Z211" s="322">
        <f>IFERROR(IF(tblPiNAnalysis512[[#This Row],[Food Security]]="", "", MROUND(tblPiNAnalysis512[[#This Row],[Food Security]]/tblPiNAnalysis512[[#This Row],[Affected population projection 2026]], 0.05)), "")</f>
        <v>0.4</v>
      </c>
      <c r="AA211" s="322">
        <f>IFERROR(IF(tblPiNAnalysis512[[#This Row],[Health]]="", "", MROUND(tblPiNAnalysis512[[#This Row],[Health]]/tblPiNAnalysis512[[#This Row],[Affected population projection 2026]], 0.05)), "")</f>
        <v>0.30000000000000004</v>
      </c>
      <c r="AB211" s="323">
        <f>IFERROR(IF(tblPiNAnalysis512[[#This Row],[Overarching Protection]]="", "", MROUND(tblPiNAnalysis512[[#This Row],[Overarching Protection]]/tblPiNAnalysis512[[#This Row],[Affected population projection 2026]], 0.05)), "")</f>
        <v>0.45</v>
      </c>
      <c r="AC211" s="323">
        <f>IFERROR(IF(tblPiNAnalysis512[[#This Row],[Shelter]]="", "", MROUND(tblPiNAnalysis512[[#This Row],[Shelter]]/tblPiNAnalysis512[[#This Row],[Affected population projection 2026]], 0.05)), "")</f>
        <v>0.4</v>
      </c>
      <c r="AD211" s="324">
        <f>IFERROR(IF(tblPiNAnalysis512[[#This Row],[WASH]]="", "", MROUND(tblPiNAnalysis512[[#This Row],[WASH]]/tblPiNAnalysis512[[#This Row],[Affected population projection 2026]], 0.05)), "")</f>
        <v>0.9</v>
      </c>
      <c r="AE211" s="322">
        <f>IFERROR(MROUND(tblPiNAnalysis512[[#This Row],[CP]]/tblPiNAnalysis512[[#This Row],[Affected population projection 2026]], 0.05), "")</f>
        <v>0</v>
      </c>
      <c r="AF211" s="322">
        <f>IFERROR(MROUND(tblPiNAnalysis512[[#This Row],[GBV]]/tblPiNAnalysis512[[#This Row],[Affected population projection 2026]], 0.05), "")</f>
        <v>0</v>
      </c>
      <c r="AG211" s="322">
        <f>IFERROR(MROUND(tblPiNAnalysis512[[#This Row],[Mine Action]]/tblPiNAnalysis512[[#This Row],[Affected population projection 2026]], 0.05), "")</f>
        <v>0</v>
      </c>
      <c r="AH211" s="322">
        <f>IFERROR(MROUND(tblPiNAnalysis512[[#This Row],[HLP]]/tblPiNAnalysis512[[#This Row],[Affected population projection 2026]], 0.05), "")</f>
        <v>0</v>
      </c>
      <c r="AI211" s="325">
        <f>IFERROR(LARGE(tblPiNAnalysis512[[#This Row],[CCCM]:[WASH]], 1), "")</f>
        <v>13124.301716494821</v>
      </c>
      <c r="AJ211" s="326" t="str" cm="1">
        <f t="array" ref="AJ211">IF(tblPiNAnalysis512[[#This Row],[Highest Target]]="", "", _xlfn.TEXTJOIN(CHAR(10), TRUE, IF(tblPiNAnalysis512[[#This Row],[Highest Target]]=tblPiNAnalysis512[[#This Row],[CCCM]:[WASH]], tblPiNAnalysis512[[#Headers],[CCCM]:[WASH]], "")))</f>
        <v>WASH</v>
      </c>
      <c r="AK211" s="327">
        <f>IF(tblPiNAnalysis512[[#This Row],[Highest Target]]="", "", tblPiNAnalysis512[[#This Row],[Highest Target]]/tblPiNAnalysis512[[#This Row],[Affected population projection 2026]])</f>
        <v>0.91036108071711153</v>
      </c>
      <c r="AL211" s="328" t="str">
        <f>IF(SUM(tblPiNAnalysis512[[#This Row],[CCCM]:[WASH]])=0, "",IF(COUNTIF(tblPiNAnalysis512[[#This Row],[CCCM]:[WASH]],"=0")+COUNTIF(tblPiNAnalysis512[[#This Row],[CCCM]:[WASH]],"")&gt;=zero_pin_thresh, "Flagged", ""))</f>
        <v/>
      </c>
      <c r="AM211" s="329" t="str">
        <f>IFERROR(IF(tblPiNAnalysis512[[#This Row],[Highest Target]]="", "", IF(tblPiNAnalysis512[[#This Row],[Highest sector(s'') Target %]]&gt;=flag_pin_perc, "Flagged", "")), "")</f>
        <v>Flagged</v>
      </c>
      <c r="AN211" s="330" t="str" cm="1">
        <f t="array" ref="AN211">IF(tblPiNAnalysis512[[#This Row],[Highest Target]]=0, "",  IF(OR(COUNTIF(tblPiNAnalysis512[[#This Row],[Highest sector(s)]],tblSubSectorPopulation[Sector])), "Flagged", ""))</f>
        <v/>
      </c>
      <c r="AO211" s="46" cm="1">
        <f t="array" ref="AO21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6667.7589224148178</v>
      </c>
      <c r="AP211" s="331" t="str" cm="1">
        <f t="array" ref="AP211">IF(tblPiNAnalysis512[[#This Row],[2nd Highest Target]]="", "", _xlfn.TEXTJOIN(CHAR(10), TRUE, IF(tblPiNAnalysis512[[#This Row],[2nd Highest Target]]=tblPiNAnalysis512[[#This Row],[CCCM]:[WASH]], tblPiNAnalysis512[[#Headers],[CCCM]:[WASH]], "")))</f>
        <v>Overarching Protection</v>
      </c>
      <c r="AQ211" s="36">
        <f>IFERROR(tblPiNAnalysis512[[#This Row],[2nd Highest Target]]/tblPiNAnalysis512[[#This Row],[Affected population projection 2026]], "")</f>
        <v>0.46250599458116409</v>
      </c>
      <c r="AR211" s="46">
        <f>IFERROR(tblPiNAnalysis512[[#This Row],[Highest Target]]-tblPiNAnalysis512[[#This Row],[2nd Highest Target]], "")</f>
        <v>6456.5427940800037</v>
      </c>
      <c r="AS211" s="39">
        <f>IFERROR(((tblPiNAnalysis512[[#This Row],[Highest Target]]-tblPiNAnalysis512[[#This Row],[2nd Highest Target]])/tblPiNAnalysis512[[#This Row],[2nd Highest Target]]),"")</f>
        <v>0.96832277069514694</v>
      </c>
      <c r="AT211" s="39" t="str" cm="1">
        <f t="array" ref="AT21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11" s="332" cm="1">
        <f t="array" ref="AU21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5999</v>
      </c>
      <c r="AV211" s="190" t="str" cm="1">
        <f t="array" ref="AV211">IF(tblPiNAnalysis512[[#This Row],[3rd Highest Target]]="", "", _xlfn.TEXTJOIN(CHAR(10), TRUE, IF(tblPiNAnalysis512[[#This Row],[3rd Highest Target]]=tblPiNAnalysis512[[#This Row],[CCCM]:[WASH]], tblPiNAnalysis512[[#Headers],[CCCM]:[WASH]], "")))</f>
        <v>CCCM</v>
      </c>
      <c r="AW211" s="190">
        <f>IFERROR(tblPiNAnalysis512[[#This Row],[3rd Highest Target]]/tblPiNAnalysis512[[#This Row],[Affected population projection 2026]], "")</f>
        <v>0.41611784315794587</v>
      </c>
      <c r="AX211" s="45">
        <f>IFERROR(tblPiNAnalysis512[[#This Row],[Highest Target]]-tblPiNAnalysis512[[#This Row],[3rd Highest Target]],"")</f>
        <v>7125.3017164948214</v>
      </c>
      <c r="AY211" s="39">
        <f>IFERROR(tblPiNAnalysis512[[#This Row],[Difference of Target between Highest and 3rd Highest]]/tblPiNAnalysis512[[#This Row],[3rd Highest Target]], "")</f>
        <v>1.1877482441231575</v>
      </c>
      <c r="AZ211" s="330" t="str" cm="1">
        <f t="array" ref="AZ21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11" s="300" t="str" cm="1">
        <f t="array" ref="BA21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1" s="333" t="str" cm="1">
        <f t="array" ref="BB21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11" s="276" t="str" cm="1">
        <f t="array" ref="BC21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1" s="334" t="str" cm="1">
        <f t="array" ref="BD21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11" s="277" t="e">
        <f>INDEX(tblSeverityAnalysis[Final Severity], MATCH(tblPiNAnalysis512[[#This Row],[ID]],tblSeverityAnalysis[ID], 0))</f>
        <v>#N/A</v>
      </c>
      <c r="BF211" s="61" t="e">
        <f>IF(tblPiNAnalysis512[[#This Row],[Severity]]&gt;2,tblPiNAnalysis512[[#This Row],[Highest Target]],)</f>
        <v>#N/A</v>
      </c>
      <c r="BG211" s="191"/>
      <c r="BH211" s="192"/>
      <c r="BI211" s="193">
        <f>COUNTIFS(tblPiNAnalysis512[[#This Row],[Number of missing / zero PiNs greater than threshold - Data quality]:[Manual Flag]],"Flagged")</f>
        <v>3</v>
      </c>
      <c r="BJ211" s="96" t="str">
        <f>IF(tblPiNAnalysis512[[#This Row],['# Flags]]&gt;0, "Flagged", "")</f>
        <v>Flagged</v>
      </c>
      <c r="BK211" s="326" t="e">
        <f>tblPiNAnalysis512[[#This Row],[Preliminary Target]]</f>
        <v>#N/A</v>
      </c>
      <c r="BL211" s="331">
        <v>1</v>
      </c>
    </row>
    <row r="212" spans="1:64" x14ac:dyDescent="0.55000000000000004">
      <c r="A2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2" s="316" t="s">
        <v>342</v>
      </c>
      <c r="C212" s="317" t="s">
        <v>343</v>
      </c>
      <c r="D212" s="317" t="s">
        <v>348</v>
      </c>
      <c r="E212" s="105" t="s">
        <v>349</v>
      </c>
      <c r="F212" s="100"/>
      <c r="G212" s="34"/>
      <c r="H212" s="34"/>
      <c r="I212" s="97">
        <v>16232.649182202906</v>
      </c>
      <c r="J212" s="97" t="s">
        <v>414</v>
      </c>
      <c r="K212" s="318">
        <v>0</v>
      </c>
      <c r="L212" s="319">
        <v>5592.8212982099622</v>
      </c>
      <c r="M212" s="319">
        <v>3052.9079294512967</v>
      </c>
      <c r="N212" s="319">
        <v>8504.5465125834617</v>
      </c>
      <c r="O212" s="319">
        <v>4934.7575944873897</v>
      </c>
      <c r="P212" s="319">
        <v>6252.6934178106303</v>
      </c>
      <c r="Q212" s="320">
        <v>10804.025521269476</v>
      </c>
      <c r="R212" s="319">
        <v>1364.9033358320601</v>
      </c>
      <c r="S212" s="319"/>
      <c r="T212" s="319"/>
      <c r="U212" s="319"/>
      <c r="V212" s="319"/>
      <c r="W212" s="321">
        <f>IFERROR(IF(tblPiNAnalysis512[[#This Row],[CCCM]]="", "", MROUND(tblPiNAnalysis512[[#This Row],[CCCM]]/tblPiNAnalysis512[[#This Row],[Affected population projection 2026]], 0.05)), "")</f>
        <v>0</v>
      </c>
      <c r="X212" s="322">
        <f>IFERROR(IF(tblPiNAnalysis512[[#This Row],[Education]]="", "", MROUND(tblPiNAnalysis512[[#This Row],[Education]]/tblPiNAnalysis512[[#This Row],[Affected population projection 2026]], 0.05)), "")</f>
        <v>0.35000000000000003</v>
      </c>
      <c r="Y212" s="322">
        <f>IFERROR(IF(tblPiNAnalysis512[[#This Row],[Nutrition]]="", "", MROUND(tblPiNAnalysis512[[#This Row],[Nutrition]]/tblPiNAnalysis512[[#This Row],[Affected population projection 2026]], 0.05)), "")</f>
        <v>0.2</v>
      </c>
      <c r="Z212" s="322">
        <f>IFERROR(IF(tblPiNAnalysis512[[#This Row],[Food Security]]="", "", MROUND(tblPiNAnalysis512[[#This Row],[Food Security]]/tblPiNAnalysis512[[#This Row],[Affected population projection 2026]], 0.05)), "")</f>
        <v>0.5</v>
      </c>
      <c r="AA212" s="322">
        <f>IFERROR(IF(tblPiNAnalysis512[[#This Row],[Health]]="", "", MROUND(tblPiNAnalysis512[[#This Row],[Health]]/tblPiNAnalysis512[[#This Row],[Affected population projection 2026]], 0.05)), "")</f>
        <v>0.30000000000000004</v>
      </c>
      <c r="AB212" s="323">
        <f>IFERROR(IF(tblPiNAnalysis512[[#This Row],[Overarching Protection]]="", "", MROUND(tblPiNAnalysis512[[#This Row],[Overarching Protection]]/tblPiNAnalysis512[[#This Row],[Affected population projection 2026]], 0.05)), "")</f>
        <v>0.4</v>
      </c>
      <c r="AC212" s="323">
        <f>IFERROR(IF(tblPiNAnalysis512[[#This Row],[Shelter]]="", "", MROUND(tblPiNAnalysis512[[#This Row],[Shelter]]/tblPiNAnalysis512[[#This Row],[Affected population projection 2026]], 0.05)), "")</f>
        <v>0.65</v>
      </c>
      <c r="AD212" s="324">
        <f>IFERROR(IF(tblPiNAnalysis512[[#This Row],[WASH]]="", "", MROUND(tblPiNAnalysis512[[#This Row],[WASH]]/tblPiNAnalysis512[[#This Row],[Affected population projection 2026]], 0.05)), "")</f>
        <v>0.1</v>
      </c>
      <c r="AE212" s="322">
        <f>IFERROR(MROUND(tblPiNAnalysis512[[#This Row],[CP]]/tblPiNAnalysis512[[#This Row],[Affected population projection 2026]], 0.05), "")</f>
        <v>0</v>
      </c>
      <c r="AF212" s="322">
        <f>IFERROR(MROUND(tblPiNAnalysis512[[#This Row],[GBV]]/tblPiNAnalysis512[[#This Row],[Affected population projection 2026]], 0.05), "")</f>
        <v>0</v>
      </c>
      <c r="AG212" s="322">
        <f>IFERROR(MROUND(tblPiNAnalysis512[[#This Row],[Mine Action]]/tblPiNAnalysis512[[#This Row],[Affected population projection 2026]], 0.05), "")</f>
        <v>0</v>
      </c>
      <c r="AH212" s="322">
        <f>IFERROR(MROUND(tblPiNAnalysis512[[#This Row],[HLP]]/tblPiNAnalysis512[[#This Row],[Affected population projection 2026]], 0.05), "")</f>
        <v>0</v>
      </c>
      <c r="AI212" s="325">
        <f>IFERROR(LARGE(tblPiNAnalysis512[[#This Row],[CCCM]:[WASH]], 1), "")</f>
        <v>10804.025521269476</v>
      </c>
      <c r="AJ212" s="326" t="str" cm="1">
        <f t="array" ref="AJ212">IF(tblPiNAnalysis512[[#This Row],[Highest Target]]="", "", _xlfn.TEXTJOIN(CHAR(10), TRUE, IF(tblPiNAnalysis512[[#This Row],[Highest Target]]=tblPiNAnalysis512[[#This Row],[CCCM]:[WASH]], tblPiNAnalysis512[[#Headers],[CCCM]:[WASH]], "")))</f>
        <v>Shelter</v>
      </c>
      <c r="AK212" s="327">
        <f>IF(tblPiNAnalysis512[[#This Row],[Highest Target]]="", "", tblPiNAnalysis512[[#This Row],[Highest Target]]/tblPiNAnalysis512[[#This Row],[Affected population projection 2026]])</f>
        <v>0.66557377049180333</v>
      </c>
      <c r="AL212" s="328" t="str">
        <f>IF(SUM(tblPiNAnalysis512[[#This Row],[CCCM]:[WASH]])=0, "",IF(COUNTIF(tblPiNAnalysis512[[#This Row],[CCCM]:[WASH]],"=0")+COUNTIF(tblPiNAnalysis512[[#This Row],[CCCM]:[WASH]],"")&gt;=zero_pin_thresh, "Flagged", ""))</f>
        <v/>
      </c>
      <c r="AM212" s="329" t="str">
        <f>IFERROR(IF(tblPiNAnalysis512[[#This Row],[Highest Target]]="", "", IF(tblPiNAnalysis512[[#This Row],[Highest sector(s'') Target %]]&gt;=flag_pin_perc, "Flagged", "")), "")</f>
        <v/>
      </c>
      <c r="AN212" s="330" t="str" cm="1">
        <f t="array" ref="AN212">IF(tblPiNAnalysis512[[#This Row],[Highest Target]]=0, "",  IF(OR(COUNTIF(tblPiNAnalysis512[[#This Row],[Highest sector(s)]],tblSubSectorPopulation[Sector])), "Flagged", ""))</f>
        <v/>
      </c>
      <c r="AO212" s="46" cm="1">
        <f t="array" ref="AO21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8504.5465125834617</v>
      </c>
      <c r="AP212" s="331" t="str" cm="1">
        <f t="array" ref="AP212">IF(tblPiNAnalysis512[[#This Row],[2nd Highest Target]]="", "", _xlfn.TEXTJOIN(CHAR(10), TRUE, IF(tblPiNAnalysis512[[#This Row],[2nd Highest Target]]=tblPiNAnalysis512[[#This Row],[CCCM]:[WASH]], tblPiNAnalysis512[[#Headers],[CCCM]:[WASH]], "")))</f>
        <v>Food Security</v>
      </c>
      <c r="AQ212" s="36">
        <f>IFERROR(tblPiNAnalysis512[[#This Row],[2nd Highest Target]]/tblPiNAnalysis512[[#This Row],[Affected population projection 2026]], "")</f>
        <v>0.52391611604023614</v>
      </c>
      <c r="AR212" s="46">
        <f>IFERROR(tblPiNAnalysis512[[#This Row],[Highest Target]]-tblPiNAnalysis512[[#This Row],[2nd Highest Target]], "")</f>
        <v>2299.4790086860139</v>
      </c>
      <c r="AS212" s="39">
        <f>IFERROR(((tblPiNAnalysis512[[#This Row],[Highest Target]]-tblPiNAnalysis512[[#This Row],[2nd Highest Target]])/tblPiNAnalysis512[[#This Row],[2nd Highest Target]]),"")</f>
        <v>0.27038231906706234</v>
      </c>
      <c r="AT212" s="39" t="str" cm="1">
        <f t="array" ref="AT21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2" s="332" cm="1">
        <f t="array" ref="AU21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6252.6934178106303</v>
      </c>
      <c r="AV212" s="190" t="str" cm="1">
        <f t="array" ref="AV212">IF(tblPiNAnalysis512[[#This Row],[3rd Highest Target]]="", "", _xlfn.TEXTJOIN(CHAR(10), TRUE, IF(tblPiNAnalysis512[[#This Row],[3rd Highest Target]]=tblPiNAnalysis512[[#This Row],[CCCM]:[WASH]], tblPiNAnalysis512[[#Headers],[CCCM]:[WASH]], "")))</f>
        <v>Overarching Protection</v>
      </c>
      <c r="AW212" s="190">
        <f>IFERROR(tblPiNAnalysis512[[#This Row],[3rd Highest Target]]/tblPiNAnalysis512[[#This Row],[Affected population projection 2026]], "")</f>
        <v>0.38519241977248769</v>
      </c>
      <c r="AX212" s="45">
        <f>IFERROR(tblPiNAnalysis512[[#This Row],[Highest Target]]-tblPiNAnalysis512[[#This Row],[3rd Highest Target]],"")</f>
        <v>4551.3321034588453</v>
      </c>
      <c r="AY212" s="39">
        <f>IFERROR(tblPiNAnalysis512[[#This Row],[Difference of Target between Highest and 3rd Highest]]/tblPiNAnalysis512[[#This Row],[3rd Highest Target]], "")</f>
        <v>0.72789945057828953</v>
      </c>
      <c r="AZ212" s="330" t="str" cm="1">
        <f t="array" ref="AZ21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12" s="300" t="str" cm="1">
        <f t="array" ref="BA21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2" s="333" t="str" cm="1">
        <f t="array" ref="BB21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2" s="276" t="str" cm="1">
        <f t="array" ref="BC21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2" s="334" t="str" cm="1">
        <f t="array" ref="BD21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12" s="277" t="e">
        <f>INDEX(tblSeverityAnalysis[Final Severity], MATCH(tblPiNAnalysis512[[#This Row],[ID]],tblSeverityAnalysis[ID], 0))</f>
        <v>#N/A</v>
      </c>
      <c r="BF212" s="61" t="e">
        <f>IF(tblPiNAnalysis512[[#This Row],[Severity]]&gt;2,tblPiNAnalysis512[[#This Row],[Highest Target]],)</f>
        <v>#N/A</v>
      </c>
      <c r="BG212" s="191"/>
      <c r="BH212" s="192"/>
      <c r="BI212" s="193">
        <f>COUNTIFS(tblPiNAnalysis512[[#This Row],[Number of missing / zero PiNs greater than threshold - Data quality]:[Manual Flag]],"Flagged")</f>
        <v>2</v>
      </c>
      <c r="BJ212" s="96" t="str">
        <f>IF(tblPiNAnalysis512[[#This Row],['# Flags]]&gt;0, "Flagged", "")</f>
        <v>Flagged</v>
      </c>
      <c r="BK212" s="326" t="e">
        <f>tblPiNAnalysis512[[#This Row],[Preliminary Target]]</f>
        <v>#N/A</v>
      </c>
      <c r="BL212" s="331">
        <v>2</v>
      </c>
    </row>
    <row r="213" spans="1:64" x14ac:dyDescent="0.55000000000000004">
      <c r="A2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3" s="316" t="s">
        <v>342</v>
      </c>
      <c r="C213" s="317" t="s">
        <v>343</v>
      </c>
      <c r="D213" s="317" t="s">
        <v>350</v>
      </c>
      <c r="E213" s="105" t="s">
        <v>351</v>
      </c>
      <c r="F213" s="100"/>
      <c r="G213" s="34"/>
      <c r="H213" s="34"/>
      <c r="I213" s="97">
        <v>158050.00862404195</v>
      </c>
      <c r="J213" s="97" t="s">
        <v>414</v>
      </c>
      <c r="K213" s="318">
        <v>0</v>
      </c>
      <c r="L213" s="319">
        <v>42577.170848234979</v>
      </c>
      <c r="M213" s="319">
        <v>33518.025657618113</v>
      </c>
      <c r="N213" s="319">
        <v>85266.022690283688</v>
      </c>
      <c r="O213" s="319">
        <v>87835.957677037863</v>
      </c>
      <c r="P213" s="319">
        <v>72294.541683461357</v>
      </c>
      <c r="Q213" s="320">
        <v>47774.207152267219</v>
      </c>
      <c r="R213" s="319">
        <v>118537.50646803142</v>
      </c>
      <c r="S213" s="319"/>
      <c r="T213" s="319"/>
      <c r="U213" s="319"/>
      <c r="V213" s="319"/>
      <c r="W213" s="321">
        <f>IFERROR(IF(tblPiNAnalysis512[[#This Row],[CCCM]]="", "", MROUND(tblPiNAnalysis512[[#This Row],[CCCM]]/tblPiNAnalysis512[[#This Row],[Affected population projection 2026]], 0.05)), "")</f>
        <v>0</v>
      </c>
      <c r="X213" s="322">
        <f>IFERROR(IF(tblPiNAnalysis512[[#This Row],[Education]]="", "", MROUND(tblPiNAnalysis512[[#This Row],[Education]]/tblPiNAnalysis512[[#This Row],[Affected population projection 2026]], 0.05)), "")</f>
        <v>0.25</v>
      </c>
      <c r="Y213" s="322">
        <f>IFERROR(IF(tblPiNAnalysis512[[#This Row],[Nutrition]]="", "", MROUND(tblPiNAnalysis512[[#This Row],[Nutrition]]/tblPiNAnalysis512[[#This Row],[Affected population projection 2026]], 0.05)), "")</f>
        <v>0.2</v>
      </c>
      <c r="Z213" s="322">
        <f>IFERROR(IF(tblPiNAnalysis512[[#This Row],[Food Security]]="", "", MROUND(tblPiNAnalysis512[[#This Row],[Food Security]]/tblPiNAnalysis512[[#This Row],[Affected population projection 2026]], 0.05)), "")</f>
        <v>0.55000000000000004</v>
      </c>
      <c r="AA213" s="322">
        <f>IFERROR(IF(tblPiNAnalysis512[[#This Row],[Health]]="", "", MROUND(tblPiNAnalysis512[[#This Row],[Health]]/tblPiNAnalysis512[[#This Row],[Affected population projection 2026]], 0.05)), "")</f>
        <v>0.55000000000000004</v>
      </c>
      <c r="AB213" s="323">
        <f>IFERROR(IF(tblPiNAnalysis512[[#This Row],[Overarching Protection]]="", "", MROUND(tblPiNAnalysis512[[#This Row],[Overarching Protection]]/tblPiNAnalysis512[[#This Row],[Affected population projection 2026]], 0.05)), "")</f>
        <v>0.45</v>
      </c>
      <c r="AC213" s="323">
        <f>IFERROR(IF(tblPiNAnalysis512[[#This Row],[Shelter]]="", "", MROUND(tblPiNAnalysis512[[#This Row],[Shelter]]/tblPiNAnalysis512[[#This Row],[Affected population projection 2026]], 0.05)), "")</f>
        <v>0.30000000000000004</v>
      </c>
      <c r="AD213" s="324">
        <f>IFERROR(IF(tblPiNAnalysis512[[#This Row],[WASH]]="", "", MROUND(tblPiNAnalysis512[[#This Row],[WASH]]/tblPiNAnalysis512[[#This Row],[Affected population projection 2026]], 0.05)), "")</f>
        <v>0.75</v>
      </c>
      <c r="AE213" s="322">
        <f>IFERROR(MROUND(tblPiNAnalysis512[[#This Row],[CP]]/tblPiNAnalysis512[[#This Row],[Affected population projection 2026]], 0.05), "")</f>
        <v>0</v>
      </c>
      <c r="AF213" s="322">
        <f>IFERROR(MROUND(tblPiNAnalysis512[[#This Row],[GBV]]/tblPiNAnalysis512[[#This Row],[Affected population projection 2026]], 0.05), "")</f>
        <v>0</v>
      </c>
      <c r="AG213" s="322">
        <f>IFERROR(MROUND(tblPiNAnalysis512[[#This Row],[Mine Action]]/tblPiNAnalysis512[[#This Row],[Affected population projection 2026]], 0.05), "")</f>
        <v>0</v>
      </c>
      <c r="AH213" s="322">
        <f>IFERROR(MROUND(tblPiNAnalysis512[[#This Row],[HLP]]/tblPiNAnalysis512[[#This Row],[Affected population projection 2026]], 0.05), "")</f>
        <v>0</v>
      </c>
      <c r="AI213" s="325">
        <f>IFERROR(LARGE(tblPiNAnalysis512[[#This Row],[CCCM]:[WASH]], 1), "")</f>
        <v>118537.50646803142</v>
      </c>
      <c r="AJ213" s="326" t="str" cm="1">
        <f t="array" ref="AJ213">IF(tblPiNAnalysis512[[#This Row],[Highest Target]]="", "", _xlfn.TEXTJOIN(CHAR(10), TRUE, IF(tblPiNAnalysis512[[#This Row],[Highest Target]]=tblPiNAnalysis512[[#This Row],[CCCM]:[WASH]], tblPiNAnalysis512[[#Headers],[CCCM]:[WASH]], "")))</f>
        <v>WASH</v>
      </c>
      <c r="AK213" s="327">
        <f>IF(tblPiNAnalysis512[[#This Row],[Highest Target]]="", "", tblPiNAnalysis512[[#This Row],[Highest Target]]/tblPiNAnalysis512[[#This Row],[Affected population projection 2026]])</f>
        <v>0.74999999999999978</v>
      </c>
      <c r="AL213" s="328" t="str">
        <f>IF(SUM(tblPiNAnalysis512[[#This Row],[CCCM]:[WASH]])=0, "",IF(COUNTIF(tblPiNAnalysis512[[#This Row],[CCCM]:[WASH]],"=0")+COUNTIF(tblPiNAnalysis512[[#This Row],[CCCM]:[WASH]],"")&gt;=zero_pin_thresh, "Flagged", ""))</f>
        <v/>
      </c>
      <c r="AM213" s="329" t="str">
        <f>IFERROR(IF(tblPiNAnalysis512[[#This Row],[Highest Target]]="", "", IF(tblPiNAnalysis512[[#This Row],[Highest sector(s'') Target %]]&gt;=flag_pin_perc, "Flagged", "")), "")</f>
        <v/>
      </c>
      <c r="AN213" s="330" t="str" cm="1">
        <f t="array" ref="AN213">IF(tblPiNAnalysis512[[#This Row],[Highest Target]]=0, "",  IF(OR(COUNTIF(tblPiNAnalysis512[[#This Row],[Highest sector(s)]],tblSubSectorPopulation[Sector])), "Flagged", ""))</f>
        <v/>
      </c>
      <c r="AO213" s="46" cm="1">
        <f t="array" ref="AO21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87835.957677037863</v>
      </c>
      <c r="AP213" s="331" t="str" cm="1">
        <f t="array" ref="AP213">IF(tblPiNAnalysis512[[#This Row],[2nd Highest Target]]="", "", _xlfn.TEXTJOIN(CHAR(10), TRUE, IF(tblPiNAnalysis512[[#This Row],[2nd Highest Target]]=tblPiNAnalysis512[[#This Row],[CCCM]:[WASH]], tblPiNAnalysis512[[#Headers],[CCCM]:[WASH]], "")))</f>
        <v>Health</v>
      </c>
      <c r="AQ213" s="36">
        <f>IFERROR(tblPiNAnalysis512[[#This Row],[2nd Highest Target]]/tblPiNAnalysis512[[#This Row],[Affected population projection 2026]], "")</f>
        <v>0.55574788284874921</v>
      </c>
      <c r="AR213" s="46">
        <f>IFERROR(tblPiNAnalysis512[[#This Row],[Highest Target]]-tblPiNAnalysis512[[#This Row],[2nd Highest Target]], "")</f>
        <v>30701.548790993562</v>
      </c>
      <c r="AS213" s="39">
        <f>IFERROR(((tblPiNAnalysis512[[#This Row],[Highest Target]]-tblPiNAnalysis512[[#This Row],[2nd Highest Target]])/tblPiNAnalysis512[[#This Row],[2nd Highest Target]]),"")</f>
        <v>0.34953280641487877</v>
      </c>
      <c r="AT213" s="39" t="str" cm="1">
        <f t="array" ref="AT21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13" s="332" cm="1">
        <f t="array" ref="AU21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85266.022690283688</v>
      </c>
      <c r="AV213" s="190" t="str" cm="1">
        <f t="array" ref="AV213">IF(tblPiNAnalysis512[[#This Row],[3rd Highest Target]]="", "", _xlfn.TEXTJOIN(CHAR(10), TRUE, IF(tblPiNAnalysis512[[#This Row],[3rd Highest Target]]=tblPiNAnalysis512[[#This Row],[CCCM]:[WASH]], tblPiNAnalysis512[[#Headers],[CCCM]:[WASH]], "")))</f>
        <v>Food Security</v>
      </c>
      <c r="AW213" s="190">
        <f>IFERROR(tblPiNAnalysis512[[#This Row],[3rd Highest Target]]/tblPiNAnalysis512[[#This Row],[Affected population projection 2026]], "")</f>
        <v>0.53948761808111256</v>
      </c>
      <c r="AX213" s="45">
        <f>IFERROR(tblPiNAnalysis512[[#This Row],[Highest Target]]-tblPiNAnalysis512[[#This Row],[3rd Highest Target]],"")</f>
        <v>33271.483777747737</v>
      </c>
      <c r="AY213" s="39">
        <f>IFERROR(tblPiNAnalysis512[[#This Row],[Difference of Target between Highest and 3rd Highest]]/tblPiNAnalysis512[[#This Row],[3rd Highest Target]], "")</f>
        <v>0.39020799525974748</v>
      </c>
      <c r="AZ213" s="330" t="str" cm="1">
        <f t="array" ref="AZ21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3" s="300" t="str" cm="1">
        <f t="array" ref="BA21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3" s="333" t="str" cm="1">
        <f t="array" ref="BB21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13" s="276" t="str" cm="1">
        <f t="array" ref="BC21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3" s="334" t="str" cm="1">
        <f t="array" ref="BD21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3" s="277" t="e">
        <f>INDEX(tblSeverityAnalysis[Final Severity], MATCH(tblPiNAnalysis512[[#This Row],[ID]],tblSeverityAnalysis[ID], 0))</f>
        <v>#N/A</v>
      </c>
      <c r="BF213" s="61" t="e">
        <f>IF(tblPiNAnalysis512[[#This Row],[Severity]]&gt;2,tblPiNAnalysis512[[#This Row],[Highest Target]],)</f>
        <v>#N/A</v>
      </c>
      <c r="BG213" s="191"/>
      <c r="BH213" s="192"/>
      <c r="BI213" s="193">
        <f>COUNTIFS(tblPiNAnalysis512[[#This Row],[Number of missing / zero PiNs greater than threshold - Data quality]:[Manual Flag]],"Flagged")</f>
        <v>2</v>
      </c>
      <c r="BJ213" s="96" t="str">
        <f>IF(tblPiNAnalysis512[[#This Row],['# Flags]]&gt;0, "Flagged", "")</f>
        <v>Flagged</v>
      </c>
      <c r="BK213" s="326" t="e">
        <f>tblPiNAnalysis512[[#This Row],[Preliminary Target]]</f>
        <v>#N/A</v>
      </c>
      <c r="BL213" s="331">
        <v>1</v>
      </c>
    </row>
    <row r="214" spans="1:64" x14ac:dyDescent="0.55000000000000004">
      <c r="A2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4" s="316" t="s">
        <v>342</v>
      </c>
      <c r="C214" s="317" t="s">
        <v>343</v>
      </c>
      <c r="D214" s="317" t="s">
        <v>352</v>
      </c>
      <c r="E214" s="105" t="s">
        <v>353</v>
      </c>
      <c r="F214" s="100"/>
      <c r="G214" s="34"/>
      <c r="H214" s="34"/>
      <c r="I214" s="97">
        <v>25766.491604712341</v>
      </c>
      <c r="J214" s="97" t="s">
        <v>414</v>
      </c>
      <c r="K214" s="318">
        <v>0</v>
      </c>
      <c r="L214" s="319">
        <v>8874.6367541988493</v>
      </c>
      <c r="M214" s="319">
        <v>4296.6261739277361</v>
      </c>
      <c r="N214" s="319">
        <v>9521.46214068886</v>
      </c>
      <c r="O214" s="319">
        <v>10259.793865779977</v>
      </c>
      <c r="P214" s="319">
        <v>11727.119475335045</v>
      </c>
      <c r="Q214" s="320">
        <v>13694.413130652671</v>
      </c>
      <c r="R214" s="319">
        <v>4294.4152674520565</v>
      </c>
      <c r="S214" s="319"/>
      <c r="T214" s="319"/>
      <c r="U214" s="319"/>
      <c r="V214" s="319"/>
      <c r="W214" s="321">
        <f>IFERROR(IF(tblPiNAnalysis512[[#This Row],[CCCM]]="", "", MROUND(tblPiNAnalysis512[[#This Row],[CCCM]]/tblPiNAnalysis512[[#This Row],[Affected population projection 2026]], 0.05)), "")</f>
        <v>0</v>
      </c>
      <c r="X214" s="322">
        <f>IFERROR(IF(tblPiNAnalysis512[[#This Row],[Education]]="", "", MROUND(tblPiNAnalysis512[[#This Row],[Education]]/tblPiNAnalysis512[[#This Row],[Affected population projection 2026]], 0.05)), "")</f>
        <v>0.35000000000000003</v>
      </c>
      <c r="Y214" s="322">
        <f>IFERROR(IF(tblPiNAnalysis512[[#This Row],[Nutrition]]="", "", MROUND(tblPiNAnalysis512[[#This Row],[Nutrition]]/tblPiNAnalysis512[[#This Row],[Affected population projection 2026]], 0.05)), "")</f>
        <v>0.15000000000000002</v>
      </c>
      <c r="Z214" s="322">
        <f>IFERROR(IF(tblPiNAnalysis512[[#This Row],[Food Security]]="", "", MROUND(tblPiNAnalysis512[[#This Row],[Food Security]]/tblPiNAnalysis512[[#This Row],[Affected population projection 2026]], 0.05)), "")</f>
        <v>0.35000000000000003</v>
      </c>
      <c r="AA214" s="322">
        <f>IFERROR(IF(tblPiNAnalysis512[[#This Row],[Health]]="", "", MROUND(tblPiNAnalysis512[[#This Row],[Health]]/tblPiNAnalysis512[[#This Row],[Affected population projection 2026]], 0.05)), "")</f>
        <v>0.4</v>
      </c>
      <c r="AB214" s="323">
        <f>IFERROR(IF(tblPiNAnalysis512[[#This Row],[Overarching Protection]]="", "", MROUND(tblPiNAnalysis512[[#This Row],[Overarching Protection]]/tblPiNAnalysis512[[#This Row],[Affected population projection 2026]], 0.05)), "")</f>
        <v>0.45</v>
      </c>
      <c r="AC214" s="323">
        <f>IFERROR(IF(tblPiNAnalysis512[[#This Row],[Shelter]]="", "", MROUND(tblPiNAnalysis512[[#This Row],[Shelter]]/tblPiNAnalysis512[[#This Row],[Affected population projection 2026]], 0.05)), "")</f>
        <v>0.55000000000000004</v>
      </c>
      <c r="AD214" s="324">
        <f>IFERROR(IF(tblPiNAnalysis512[[#This Row],[WASH]]="", "", MROUND(tblPiNAnalysis512[[#This Row],[WASH]]/tblPiNAnalysis512[[#This Row],[Affected population projection 2026]], 0.05)), "")</f>
        <v>0.15000000000000002</v>
      </c>
      <c r="AE214" s="322">
        <f>IFERROR(MROUND(tblPiNAnalysis512[[#This Row],[CP]]/tblPiNAnalysis512[[#This Row],[Affected population projection 2026]], 0.05), "")</f>
        <v>0</v>
      </c>
      <c r="AF214" s="322">
        <f>IFERROR(MROUND(tblPiNAnalysis512[[#This Row],[GBV]]/tblPiNAnalysis512[[#This Row],[Affected population projection 2026]], 0.05), "")</f>
        <v>0</v>
      </c>
      <c r="AG214" s="322">
        <f>IFERROR(MROUND(tblPiNAnalysis512[[#This Row],[Mine Action]]/tblPiNAnalysis512[[#This Row],[Affected population projection 2026]], 0.05), "")</f>
        <v>0</v>
      </c>
      <c r="AH214" s="322">
        <f>IFERROR(MROUND(tblPiNAnalysis512[[#This Row],[HLP]]/tblPiNAnalysis512[[#This Row],[Affected population projection 2026]], 0.05), "")</f>
        <v>0</v>
      </c>
      <c r="AI214" s="325">
        <f>IFERROR(LARGE(tblPiNAnalysis512[[#This Row],[CCCM]:[WASH]], 1), "")</f>
        <v>13694.413130652671</v>
      </c>
      <c r="AJ214" s="326" t="str" cm="1">
        <f t="array" ref="AJ214">IF(tblPiNAnalysis512[[#This Row],[Highest Target]]="", "", _xlfn.TEXTJOIN(CHAR(10), TRUE, IF(tblPiNAnalysis512[[#This Row],[Highest Target]]=tblPiNAnalysis512[[#This Row],[CCCM]:[WASH]], tblPiNAnalysis512[[#Headers],[CCCM]:[WASH]], "")))</f>
        <v>Shelter</v>
      </c>
      <c r="AK214" s="327">
        <f>IF(tblPiNAnalysis512[[#This Row],[Highest Target]]="", "", tblPiNAnalysis512[[#This Row],[Highest Target]]/tblPiNAnalysis512[[#This Row],[Affected population projection 2026]])</f>
        <v>0.53148148148148155</v>
      </c>
      <c r="AL214" s="328" t="str">
        <f>IF(SUM(tblPiNAnalysis512[[#This Row],[CCCM]:[WASH]])=0, "",IF(COUNTIF(tblPiNAnalysis512[[#This Row],[CCCM]:[WASH]],"=0")+COUNTIF(tblPiNAnalysis512[[#This Row],[CCCM]:[WASH]],"")&gt;=zero_pin_thresh, "Flagged", ""))</f>
        <v/>
      </c>
      <c r="AM214" s="329" t="str">
        <f>IFERROR(IF(tblPiNAnalysis512[[#This Row],[Highest Target]]="", "", IF(tblPiNAnalysis512[[#This Row],[Highest sector(s'') Target %]]&gt;=flag_pin_perc, "Flagged", "")), "")</f>
        <v/>
      </c>
      <c r="AN214" s="330" t="str" cm="1">
        <f t="array" ref="AN214">IF(tblPiNAnalysis512[[#This Row],[Highest Target]]=0, "",  IF(OR(COUNTIF(tblPiNAnalysis512[[#This Row],[Highest sector(s)]],tblSubSectorPopulation[Sector])), "Flagged", ""))</f>
        <v/>
      </c>
      <c r="AO214" s="46" cm="1">
        <f t="array" ref="AO21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11727.119475335045</v>
      </c>
      <c r="AP214" s="331" t="str" cm="1">
        <f t="array" ref="AP214">IF(tblPiNAnalysis512[[#This Row],[2nd Highest Target]]="", "", _xlfn.TEXTJOIN(CHAR(10), TRUE, IF(tblPiNAnalysis512[[#This Row],[2nd Highest Target]]=tblPiNAnalysis512[[#This Row],[CCCM]:[WASH]], tblPiNAnalysis512[[#Headers],[CCCM]:[WASH]], "")))</f>
        <v>Overarching Protection</v>
      </c>
      <c r="AQ214" s="36">
        <f>IFERROR(tblPiNAnalysis512[[#This Row],[2nd Highest Target]]/tblPiNAnalysis512[[#This Row],[Affected population projection 2026]], "")</f>
        <v>0.45513062683280925</v>
      </c>
      <c r="AR214" s="46">
        <f>IFERROR(tblPiNAnalysis512[[#This Row],[Highest Target]]-tblPiNAnalysis512[[#This Row],[2nd Highest Target]], "")</f>
        <v>1967.293655317626</v>
      </c>
      <c r="AS214" s="39">
        <f>IFERROR(((tblPiNAnalysis512[[#This Row],[Highest Target]]-tblPiNAnalysis512[[#This Row],[2nd Highest Target]])/tblPiNAnalysis512[[#This Row],[2nd Highest Target]]),"")</f>
        <v>0.16775591477986715</v>
      </c>
      <c r="AT214" s="39" t="str" cm="1">
        <f t="array" ref="AT21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4" s="332" cm="1">
        <f t="array" ref="AU21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10259.793865779977</v>
      </c>
      <c r="AV214" s="190" t="str" cm="1">
        <f t="array" ref="AV214">IF(tblPiNAnalysis512[[#This Row],[3rd Highest Target]]="", "", _xlfn.TEXTJOIN(CHAR(10), TRUE, IF(tblPiNAnalysis512[[#This Row],[3rd Highest Target]]=tblPiNAnalysis512[[#This Row],[CCCM]:[WASH]], tblPiNAnalysis512[[#Headers],[CCCM]:[WASH]], "")))</f>
        <v>Health</v>
      </c>
      <c r="AW214" s="190">
        <f>IFERROR(tblPiNAnalysis512[[#This Row],[3rd Highest Target]]/tblPiNAnalysis512[[#This Row],[Affected population projection 2026]], "")</f>
        <v>0.39818357978948132</v>
      </c>
      <c r="AX214" s="45">
        <f>IFERROR(tblPiNAnalysis512[[#This Row],[Highest Target]]-tblPiNAnalysis512[[#This Row],[3rd Highest Target]],"")</f>
        <v>3434.6192648726937</v>
      </c>
      <c r="AY214" s="39">
        <f>IFERROR(tblPiNAnalysis512[[#This Row],[Difference of Target between Highest and 3rd Highest]]/tblPiNAnalysis512[[#This Row],[3rd Highest Target]], "")</f>
        <v>0.33476493873121155</v>
      </c>
      <c r="AZ214" s="330" t="str" cm="1">
        <f t="array" ref="AZ21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4" s="300" t="str" cm="1">
        <f t="array" ref="BA21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4" s="333" t="str" cm="1">
        <f t="array" ref="BB21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4" s="276" t="str" cm="1">
        <f t="array" ref="BC21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4" s="334" t="str" cm="1">
        <f t="array" ref="BD21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14" s="277" t="e">
        <f>INDEX(tblSeverityAnalysis[Final Severity], MATCH(tblPiNAnalysis512[[#This Row],[ID]],tblSeverityAnalysis[ID], 0))</f>
        <v>#N/A</v>
      </c>
      <c r="BF214" s="61" t="e">
        <f>IF(tblPiNAnalysis512[[#This Row],[Severity]]&gt;2,tblPiNAnalysis512[[#This Row],[Highest Target]],)</f>
        <v>#N/A</v>
      </c>
      <c r="BG214" s="191"/>
      <c r="BH214" s="192"/>
      <c r="BI214" s="193">
        <f>COUNTIFS(tblPiNAnalysis512[[#This Row],[Number of missing / zero PiNs greater than threshold - Data quality]:[Manual Flag]],"Flagged")</f>
        <v>1</v>
      </c>
      <c r="BJ214" s="96" t="str">
        <f>IF(tblPiNAnalysis512[[#This Row],['# Flags]]&gt;0, "Flagged", "")</f>
        <v>Flagged</v>
      </c>
      <c r="BK214" s="326" t="e">
        <f>tblPiNAnalysis512[[#This Row],[Preliminary Target]]</f>
        <v>#N/A</v>
      </c>
      <c r="BL214" s="331">
        <v>1</v>
      </c>
    </row>
    <row r="215" spans="1:64" ht="110.7" x14ac:dyDescent="0.55000000000000004">
      <c r="A2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5" s="316" t="s">
        <v>342</v>
      </c>
      <c r="C215" s="317" t="s">
        <v>343</v>
      </c>
      <c r="D215" s="317" t="s">
        <v>354</v>
      </c>
      <c r="E215" s="105" t="s">
        <v>355</v>
      </c>
      <c r="F215" s="100"/>
      <c r="G215" s="34"/>
      <c r="H215" s="34"/>
      <c r="I215" s="97">
        <v>43189.075569026623</v>
      </c>
      <c r="J215" s="97" t="s">
        <v>414</v>
      </c>
      <c r="K215" s="318">
        <v>0</v>
      </c>
      <c r="L215" s="319">
        <v>0</v>
      </c>
      <c r="M215" s="319">
        <v>0</v>
      </c>
      <c r="N215" s="319">
        <v>0</v>
      </c>
      <c r="O215" s="319">
        <v>0</v>
      </c>
      <c r="P215" s="319">
        <v>0</v>
      </c>
      <c r="Q215" s="320">
        <v>0</v>
      </c>
      <c r="R215" s="319">
        <v>0</v>
      </c>
      <c r="S215" s="319"/>
      <c r="T215" s="319"/>
      <c r="U215" s="319"/>
      <c r="V215" s="319"/>
      <c r="W215" s="321">
        <f>IFERROR(IF(tblPiNAnalysis512[[#This Row],[CCCM]]="", "", MROUND(tblPiNAnalysis512[[#This Row],[CCCM]]/tblPiNAnalysis512[[#This Row],[Affected population projection 2026]], 0.05)), "")</f>
        <v>0</v>
      </c>
      <c r="X215" s="322">
        <f>IFERROR(IF(tblPiNAnalysis512[[#This Row],[Education]]="", "", MROUND(tblPiNAnalysis512[[#This Row],[Education]]/tblPiNAnalysis512[[#This Row],[Affected population projection 2026]], 0.05)), "")</f>
        <v>0</v>
      </c>
      <c r="Y215" s="322">
        <f>IFERROR(IF(tblPiNAnalysis512[[#This Row],[Nutrition]]="", "", MROUND(tblPiNAnalysis512[[#This Row],[Nutrition]]/tblPiNAnalysis512[[#This Row],[Affected population projection 2026]], 0.05)), "")</f>
        <v>0</v>
      </c>
      <c r="Z215" s="322">
        <f>IFERROR(IF(tblPiNAnalysis512[[#This Row],[Food Security]]="", "", MROUND(tblPiNAnalysis512[[#This Row],[Food Security]]/tblPiNAnalysis512[[#This Row],[Affected population projection 2026]], 0.05)), "")</f>
        <v>0</v>
      </c>
      <c r="AA215" s="322">
        <f>IFERROR(IF(tblPiNAnalysis512[[#This Row],[Health]]="", "", MROUND(tblPiNAnalysis512[[#This Row],[Health]]/tblPiNAnalysis512[[#This Row],[Affected population projection 2026]], 0.05)), "")</f>
        <v>0</v>
      </c>
      <c r="AB215" s="323">
        <f>IFERROR(IF(tblPiNAnalysis512[[#This Row],[Overarching Protection]]="", "", MROUND(tblPiNAnalysis512[[#This Row],[Overarching Protection]]/tblPiNAnalysis512[[#This Row],[Affected population projection 2026]], 0.05)), "")</f>
        <v>0</v>
      </c>
      <c r="AC215" s="323">
        <f>IFERROR(IF(tblPiNAnalysis512[[#This Row],[Shelter]]="", "", MROUND(tblPiNAnalysis512[[#This Row],[Shelter]]/tblPiNAnalysis512[[#This Row],[Affected population projection 2026]], 0.05)), "")</f>
        <v>0</v>
      </c>
      <c r="AD215" s="324">
        <f>IFERROR(IF(tblPiNAnalysis512[[#This Row],[WASH]]="", "", MROUND(tblPiNAnalysis512[[#This Row],[WASH]]/tblPiNAnalysis512[[#This Row],[Affected population projection 2026]], 0.05)), "")</f>
        <v>0</v>
      </c>
      <c r="AE215" s="322">
        <f>IFERROR(MROUND(tblPiNAnalysis512[[#This Row],[CP]]/tblPiNAnalysis512[[#This Row],[Affected population projection 2026]], 0.05), "")</f>
        <v>0</v>
      </c>
      <c r="AF215" s="322">
        <f>IFERROR(MROUND(tblPiNAnalysis512[[#This Row],[GBV]]/tblPiNAnalysis512[[#This Row],[Affected population projection 2026]], 0.05), "")</f>
        <v>0</v>
      </c>
      <c r="AG215" s="322">
        <f>IFERROR(MROUND(tblPiNAnalysis512[[#This Row],[Mine Action]]/tblPiNAnalysis512[[#This Row],[Affected population projection 2026]], 0.05), "")</f>
        <v>0</v>
      </c>
      <c r="AH215" s="322">
        <f>IFERROR(MROUND(tblPiNAnalysis512[[#This Row],[HLP]]/tblPiNAnalysis512[[#This Row],[Affected population projection 2026]], 0.05), "")</f>
        <v>0</v>
      </c>
      <c r="AI215" s="325">
        <f>IFERROR(LARGE(tblPiNAnalysis512[[#This Row],[CCCM]:[WASH]], 1), "")</f>
        <v>0</v>
      </c>
      <c r="AJ215" s="326" t="str" cm="1">
        <f t="array" ref="AJ215">IF(tblPiNAnalysis512[[#This Row],[Highest Target]]="", "", _xlfn.TEXTJOIN(CHAR(10), TRUE, IF(tblPiNAnalysis512[[#This Row],[Highest Target]]=tblPiNAnalysis512[[#This Row],[CCCM]:[WASH]], tblPiNAnalysis512[[#Headers],[CCCM]:[WASH]], "")))</f>
        <v>CCCM
Education
Nutrition
Food Security
Health
Overarching Protection
Shelter
WASH</v>
      </c>
      <c r="AK215" s="327">
        <f>IF(tblPiNAnalysis512[[#This Row],[Highest Target]]="", "", tblPiNAnalysis512[[#This Row],[Highest Target]]/tblPiNAnalysis512[[#This Row],[Affected population projection 2026]])</f>
        <v>0</v>
      </c>
      <c r="AL215" s="328" t="str">
        <f>IF(SUM(tblPiNAnalysis512[[#This Row],[CCCM]:[WASH]])=0, "",IF(COUNTIF(tblPiNAnalysis512[[#This Row],[CCCM]:[WASH]],"=0")+COUNTIF(tblPiNAnalysis512[[#This Row],[CCCM]:[WASH]],"")&gt;=zero_pin_thresh, "Flagged", ""))</f>
        <v/>
      </c>
      <c r="AM215" s="329" t="str">
        <f>IFERROR(IF(tblPiNAnalysis512[[#This Row],[Highest Target]]="", "", IF(tblPiNAnalysis512[[#This Row],[Highest sector(s'') Target %]]&gt;=flag_pin_perc, "Flagged", "")), "")</f>
        <v/>
      </c>
      <c r="AN215" s="330" t="str" cm="1">
        <f t="array" ref="AN215">IF(tblPiNAnalysis512[[#This Row],[Highest Target]]=0, "",  IF(OR(COUNTIF(tblPiNAnalysis512[[#This Row],[Highest sector(s)]],tblSubSectorPopulation[Sector])), "Flagged", ""))</f>
        <v/>
      </c>
      <c r="AO215" s="46" cm="1">
        <f t="array" ref="AO21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15" s="331" t="str" cm="1">
        <f t="array" ref="AP215">IF(tblPiNAnalysis512[[#This Row],[2nd Highest Target]]="", "", _xlfn.TEXTJOIN(CHAR(10), TRUE, IF(tblPiNAnalysis512[[#This Row],[2nd Highest Target]]=tblPiNAnalysis512[[#This Row],[CCCM]:[WASH]], tblPiNAnalysis512[[#Headers],[CCCM]:[WASH]], "")))</f>
        <v>CCCM
Education
Nutrition
Food Security
Health
Overarching Protection
Shelter
WASH</v>
      </c>
      <c r="AQ215" s="36">
        <f>IFERROR(tblPiNAnalysis512[[#This Row],[2nd Highest Target]]/tblPiNAnalysis512[[#This Row],[Affected population projection 2026]], "")</f>
        <v>0</v>
      </c>
      <c r="AR215" s="46">
        <f>IFERROR(tblPiNAnalysis512[[#This Row],[Highest Target]]-tblPiNAnalysis512[[#This Row],[2nd Highest Target]], "")</f>
        <v>0</v>
      </c>
      <c r="AS215" s="39" t="str">
        <f>IFERROR(((tblPiNAnalysis512[[#This Row],[Highest Target]]-tblPiNAnalysis512[[#This Row],[2nd Highest Target]])/tblPiNAnalysis512[[#This Row],[2nd Highest Target]]),"")</f>
        <v/>
      </c>
      <c r="AT215" s="39" t="str" cm="1">
        <f t="array" ref="AT21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5" s="332" cm="1">
        <f t="array" ref="AU21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15" s="190" t="str" cm="1">
        <f t="array" ref="AV215">IF(tblPiNAnalysis512[[#This Row],[3rd Highest Target]]="", "", _xlfn.TEXTJOIN(CHAR(10), TRUE, IF(tblPiNAnalysis512[[#This Row],[3rd Highest Target]]=tblPiNAnalysis512[[#This Row],[CCCM]:[WASH]], tblPiNAnalysis512[[#Headers],[CCCM]:[WASH]], "")))</f>
        <v>CCCM
Education
Nutrition
Food Security
Health
Overarching Protection
Shelter
WASH</v>
      </c>
      <c r="AW215" s="190">
        <f>IFERROR(tblPiNAnalysis512[[#This Row],[3rd Highest Target]]/tblPiNAnalysis512[[#This Row],[Affected population projection 2026]], "")</f>
        <v>0</v>
      </c>
      <c r="AX215" s="45">
        <f>IFERROR(tblPiNAnalysis512[[#This Row],[Highest Target]]-tblPiNAnalysis512[[#This Row],[3rd Highest Target]],"")</f>
        <v>0</v>
      </c>
      <c r="AY215" s="39" t="str">
        <f>IFERROR(tblPiNAnalysis512[[#This Row],[Difference of Target between Highest and 3rd Highest]]/tblPiNAnalysis512[[#This Row],[3rd Highest Target]], "")</f>
        <v/>
      </c>
      <c r="AZ215" s="330" t="str" cm="1">
        <f t="array" ref="AZ21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5" s="300" t="str" cm="1">
        <f t="array" ref="BA21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5" s="333" t="str" cm="1">
        <f t="array" ref="BB21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5" s="276" t="str" cm="1">
        <f t="array" ref="BC21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5" s="334" t="str" cm="1">
        <f t="array" ref="BD21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5" s="277" t="e">
        <f>INDEX(tblSeverityAnalysis[Final Severity], MATCH(tblPiNAnalysis512[[#This Row],[ID]],tblSeverityAnalysis[ID], 0))</f>
        <v>#N/A</v>
      </c>
      <c r="BF215" s="61" t="e">
        <f>IF(tblPiNAnalysis512[[#This Row],[Severity]]&gt;2,tblPiNAnalysis512[[#This Row],[Highest Target]],)</f>
        <v>#N/A</v>
      </c>
      <c r="BG215" s="191"/>
      <c r="BH215" s="192"/>
      <c r="BI215" s="193">
        <f>COUNTIFS(tblPiNAnalysis512[[#This Row],[Number of missing / zero PiNs greater than threshold - Data quality]:[Manual Flag]],"Flagged")</f>
        <v>2</v>
      </c>
      <c r="BJ215" s="96" t="str">
        <f>IF(tblPiNAnalysis512[[#This Row],['# Flags]]&gt;0, "Flagged", "")</f>
        <v>Flagged</v>
      </c>
      <c r="BK215" s="326" t="e">
        <f>tblPiNAnalysis512[[#This Row],[Preliminary Target]]</f>
        <v>#N/A</v>
      </c>
      <c r="BL215" s="331">
        <v>4</v>
      </c>
    </row>
    <row r="216" spans="1:64" x14ac:dyDescent="0.55000000000000004">
      <c r="A2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6" s="316" t="s">
        <v>342</v>
      </c>
      <c r="C216" s="317" t="s">
        <v>343</v>
      </c>
      <c r="D216" s="317" t="s">
        <v>356</v>
      </c>
      <c r="E216" s="105" t="s">
        <v>357</v>
      </c>
      <c r="F216" s="100"/>
      <c r="G216" s="34"/>
      <c r="H216" s="34"/>
      <c r="I216" s="97">
        <v>12690.76710511266</v>
      </c>
      <c r="J216" s="97" t="s">
        <v>414</v>
      </c>
      <c r="K216" s="318">
        <v>9357</v>
      </c>
      <c r="L216" s="319">
        <v>355.58514167157261</v>
      </c>
      <c r="M216" s="319">
        <v>2632.8893740184176</v>
      </c>
      <c r="N216" s="319">
        <v>5810.9299799468654</v>
      </c>
      <c r="O216" s="319">
        <v>7717.6077569269</v>
      </c>
      <c r="P216" s="319">
        <v>4335.803436386841</v>
      </c>
      <c r="Q216" s="320">
        <v>8883.5369735788609</v>
      </c>
      <c r="R216" s="319">
        <v>7931.0856837405618</v>
      </c>
      <c r="S216" s="319"/>
      <c r="T216" s="319"/>
      <c r="U216" s="319"/>
      <c r="V216" s="319"/>
      <c r="W216" s="321">
        <f>IFERROR(IF(tblPiNAnalysis512[[#This Row],[CCCM]]="", "", MROUND(tblPiNAnalysis512[[#This Row],[CCCM]]/tblPiNAnalysis512[[#This Row],[Affected population projection 2026]], 0.05)), "")</f>
        <v>0.75</v>
      </c>
      <c r="X216" s="322">
        <f>IFERROR(IF(tblPiNAnalysis512[[#This Row],[Education]]="", "", MROUND(tblPiNAnalysis512[[#This Row],[Education]]/tblPiNAnalysis512[[#This Row],[Affected population projection 2026]], 0.05)), "")</f>
        <v>0.05</v>
      </c>
      <c r="Y216" s="322">
        <f>IFERROR(IF(tblPiNAnalysis512[[#This Row],[Nutrition]]="", "", MROUND(tblPiNAnalysis512[[#This Row],[Nutrition]]/tblPiNAnalysis512[[#This Row],[Affected population projection 2026]], 0.05)), "")</f>
        <v>0.2</v>
      </c>
      <c r="Z216" s="322">
        <f>IFERROR(IF(tblPiNAnalysis512[[#This Row],[Food Security]]="", "", MROUND(tblPiNAnalysis512[[#This Row],[Food Security]]/tblPiNAnalysis512[[#This Row],[Affected population projection 2026]], 0.05)), "")</f>
        <v>0.45</v>
      </c>
      <c r="AA216" s="322">
        <f>IFERROR(IF(tblPiNAnalysis512[[#This Row],[Health]]="", "", MROUND(tblPiNAnalysis512[[#This Row],[Health]]/tblPiNAnalysis512[[#This Row],[Affected population projection 2026]], 0.05)), "")</f>
        <v>0.60000000000000009</v>
      </c>
      <c r="AB216" s="323">
        <f>IFERROR(IF(tblPiNAnalysis512[[#This Row],[Overarching Protection]]="", "", MROUND(tblPiNAnalysis512[[#This Row],[Overarching Protection]]/tblPiNAnalysis512[[#This Row],[Affected population projection 2026]], 0.05)), "")</f>
        <v>0.35000000000000003</v>
      </c>
      <c r="AC216" s="323">
        <f>IFERROR(IF(tblPiNAnalysis512[[#This Row],[Shelter]]="", "", MROUND(tblPiNAnalysis512[[#This Row],[Shelter]]/tblPiNAnalysis512[[#This Row],[Affected population projection 2026]], 0.05)), "")</f>
        <v>0.70000000000000007</v>
      </c>
      <c r="AD216" s="324">
        <f>IFERROR(IF(tblPiNAnalysis512[[#This Row],[WASH]]="", "", MROUND(tblPiNAnalysis512[[#This Row],[WASH]]/tblPiNAnalysis512[[#This Row],[Affected population projection 2026]], 0.05)), "")</f>
        <v>0.60000000000000009</v>
      </c>
      <c r="AE216" s="322">
        <f>IFERROR(MROUND(tblPiNAnalysis512[[#This Row],[CP]]/tblPiNAnalysis512[[#This Row],[Affected population projection 2026]], 0.05), "")</f>
        <v>0</v>
      </c>
      <c r="AF216" s="322">
        <f>IFERROR(MROUND(tblPiNAnalysis512[[#This Row],[GBV]]/tblPiNAnalysis512[[#This Row],[Affected population projection 2026]], 0.05), "")</f>
        <v>0</v>
      </c>
      <c r="AG216" s="322">
        <f>IFERROR(MROUND(tblPiNAnalysis512[[#This Row],[Mine Action]]/tblPiNAnalysis512[[#This Row],[Affected population projection 2026]], 0.05), "")</f>
        <v>0</v>
      </c>
      <c r="AH216" s="322">
        <f>IFERROR(MROUND(tblPiNAnalysis512[[#This Row],[HLP]]/tblPiNAnalysis512[[#This Row],[Affected population projection 2026]], 0.05), "")</f>
        <v>0</v>
      </c>
      <c r="AI216" s="325">
        <f>IFERROR(LARGE(tblPiNAnalysis512[[#This Row],[CCCM]:[WASH]], 1), "")</f>
        <v>9357</v>
      </c>
      <c r="AJ216" s="326" t="str" cm="1">
        <f t="array" ref="AJ216">IF(tblPiNAnalysis512[[#This Row],[Highest Target]]="", "", _xlfn.TEXTJOIN(CHAR(10), TRUE, IF(tblPiNAnalysis512[[#This Row],[Highest Target]]=tblPiNAnalysis512[[#This Row],[CCCM]:[WASH]], tblPiNAnalysis512[[#Headers],[CCCM]:[WASH]], "")))</f>
        <v>CCCM</v>
      </c>
      <c r="AK216" s="327">
        <f>IF(tblPiNAnalysis512[[#This Row],[Highest Target]]="", "", tblPiNAnalysis512[[#This Row],[Highest Target]]/tblPiNAnalysis512[[#This Row],[Affected population projection 2026]])</f>
        <v>0.73730767592688673</v>
      </c>
      <c r="AL216" s="328" t="str">
        <f>IF(SUM(tblPiNAnalysis512[[#This Row],[CCCM]:[WASH]])=0, "",IF(COUNTIF(tblPiNAnalysis512[[#This Row],[CCCM]:[WASH]],"=0")+COUNTIF(tblPiNAnalysis512[[#This Row],[CCCM]:[WASH]],"")&gt;=zero_pin_thresh, "Flagged", ""))</f>
        <v/>
      </c>
      <c r="AM216" s="329" t="str">
        <f>IFERROR(IF(tblPiNAnalysis512[[#This Row],[Highest Target]]="", "", IF(tblPiNAnalysis512[[#This Row],[Highest sector(s'') Target %]]&gt;=flag_pin_perc, "Flagged", "")), "")</f>
        <v/>
      </c>
      <c r="AN216" s="330" t="str" cm="1">
        <f t="array" ref="AN216">IF(tblPiNAnalysis512[[#This Row],[Highest Target]]=0, "",  IF(OR(COUNTIF(tblPiNAnalysis512[[#This Row],[Highest sector(s)]],tblSubSectorPopulation[Sector])), "Flagged", ""))</f>
        <v/>
      </c>
      <c r="AO216" s="46" cm="1">
        <f t="array" ref="AO21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8883.5369735788609</v>
      </c>
      <c r="AP216" s="331" t="str" cm="1">
        <f t="array" ref="AP216">IF(tblPiNAnalysis512[[#This Row],[2nd Highest Target]]="", "", _xlfn.TEXTJOIN(CHAR(10), TRUE, IF(tblPiNAnalysis512[[#This Row],[2nd Highest Target]]=tblPiNAnalysis512[[#This Row],[CCCM]:[WASH]], tblPiNAnalysis512[[#Headers],[CCCM]:[WASH]], "")))</f>
        <v>Shelter</v>
      </c>
      <c r="AQ216" s="36">
        <f>IFERROR(tblPiNAnalysis512[[#This Row],[2nd Highest Target]]/tblPiNAnalysis512[[#This Row],[Affected population projection 2026]], "")</f>
        <v>0.7</v>
      </c>
      <c r="AR216" s="46">
        <f>IFERROR(tblPiNAnalysis512[[#This Row],[Highest Target]]-tblPiNAnalysis512[[#This Row],[2nd Highest Target]], "")</f>
        <v>473.46302642113915</v>
      </c>
      <c r="AS216" s="39">
        <f>IFERROR(((tblPiNAnalysis512[[#This Row],[Highest Target]]-tblPiNAnalysis512[[#This Row],[2nd Highest Target]])/tblPiNAnalysis512[[#This Row],[2nd Highest Target]]),"")</f>
        <v>5.3296679895552652E-2</v>
      </c>
      <c r="AT216" s="39" t="str" cm="1">
        <f t="array" ref="AT21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6" s="332" cm="1">
        <f t="array" ref="AU21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7931.0856837405618</v>
      </c>
      <c r="AV216" s="190" t="str" cm="1">
        <f t="array" ref="AV216">IF(tblPiNAnalysis512[[#This Row],[3rd Highest Target]]="", "", _xlfn.TEXTJOIN(CHAR(10), TRUE, IF(tblPiNAnalysis512[[#This Row],[3rd Highest Target]]=tblPiNAnalysis512[[#This Row],[CCCM]:[WASH]], tblPiNAnalysis512[[#Headers],[CCCM]:[WASH]], "")))</f>
        <v>WASH</v>
      </c>
      <c r="AW216" s="190">
        <f>IFERROR(tblPiNAnalysis512[[#This Row],[3rd Highest Target]]/tblPiNAnalysis512[[#This Row],[Affected population projection 2026]], "")</f>
        <v>0.62494927359792207</v>
      </c>
      <c r="AX216" s="45">
        <f>IFERROR(tblPiNAnalysis512[[#This Row],[Highest Target]]-tblPiNAnalysis512[[#This Row],[3rd Highest Target]],"")</f>
        <v>1425.9143162594382</v>
      </c>
      <c r="AY216" s="39">
        <f>IFERROR(tblPiNAnalysis512[[#This Row],[Difference of Target between Highest and 3rd Highest]]/tblPiNAnalysis512[[#This Row],[3rd Highest Target]], "")</f>
        <v>0.17978803572664595</v>
      </c>
      <c r="AZ216" s="330" t="str" cm="1">
        <f t="array" ref="AZ21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6" s="300" t="str" cm="1">
        <f t="array" ref="BA21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6" s="333" t="str" cm="1">
        <f t="array" ref="BB21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16" s="276" t="str" cm="1">
        <f t="array" ref="BC21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6" s="334" t="str" cm="1">
        <f t="array" ref="BD21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6" s="277" t="e">
        <f>INDEX(tblSeverityAnalysis[Final Severity], MATCH(tblPiNAnalysis512[[#This Row],[ID]],tblSeverityAnalysis[ID], 0))</f>
        <v>#N/A</v>
      </c>
      <c r="BF216" s="61" t="e">
        <f>IF(tblPiNAnalysis512[[#This Row],[Severity]]&gt;2,tblPiNAnalysis512[[#This Row],[Highest Target]],)</f>
        <v>#N/A</v>
      </c>
      <c r="BG216" s="191"/>
      <c r="BH216" s="192"/>
      <c r="BI216" s="193">
        <f>COUNTIFS(tblPiNAnalysis512[[#This Row],[Number of missing / zero PiNs greater than threshold - Data quality]:[Manual Flag]],"Flagged")</f>
        <v>1</v>
      </c>
      <c r="BJ216" s="96" t="str">
        <f>IF(tblPiNAnalysis512[[#This Row],['# Flags]]&gt;0, "Flagged", "")</f>
        <v>Flagged</v>
      </c>
      <c r="BK216" s="326" t="e">
        <f>tblPiNAnalysis512[[#This Row],[Preliminary Target]]</f>
        <v>#N/A</v>
      </c>
      <c r="BL216" s="331">
        <v>1</v>
      </c>
    </row>
    <row r="217" spans="1:64" x14ac:dyDescent="0.55000000000000004">
      <c r="A2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7" s="316" t="s">
        <v>342</v>
      </c>
      <c r="C217" s="317" t="s">
        <v>343</v>
      </c>
      <c r="D217" s="317" t="s">
        <v>358</v>
      </c>
      <c r="E217" s="105" t="s">
        <v>359</v>
      </c>
      <c r="F217" s="100"/>
      <c r="G217" s="34"/>
      <c r="H217" s="34"/>
      <c r="I217" s="97">
        <v>24576.329269129605</v>
      </c>
      <c r="J217" s="97" t="s">
        <v>414</v>
      </c>
      <c r="K217" s="318"/>
      <c r="L217" s="319"/>
      <c r="M217" s="319"/>
      <c r="N217" s="319"/>
      <c r="O217" s="319"/>
      <c r="P217" s="319"/>
      <c r="Q217" s="320"/>
      <c r="R217" s="319"/>
      <c r="S217" s="319"/>
      <c r="T217" s="319"/>
      <c r="U217" s="319"/>
      <c r="V217" s="319"/>
      <c r="W217" s="321" t="str">
        <f>IFERROR(IF(tblPiNAnalysis512[[#This Row],[CCCM]]="", "", MROUND(tblPiNAnalysis512[[#This Row],[CCCM]]/tblPiNAnalysis512[[#This Row],[Affected population projection 2026]], 0.05)), "")</f>
        <v/>
      </c>
      <c r="X217" s="322" t="str">
        <f>IFERROR(IF(tblPiNAnalysis512[[#This Row],[Education]]="", "", MROUND(tblPiNAnalysis512[[#This Row],[Education]]/tblPiNAnalysis512[[#This Row],[Affected population projection 2026]], 0.05)), "")</f>
        <v/>
      </c>
      <c r="Y217" s="322" t="str">
        <f>IFERROR(IF(tblPiNAnalysis512[[#This Row],[Nutrition]]="", "", MROUND(tblPiNAnalysis512[[#This Row],[Nutrition]]/tblPiNAnalysis512[[#This Row],[Affected population projection 2026]], 0.05)), "")</f>
        <v/>
      </c>
      <c r="Z217" s="322" t="str">
        <f>IFERROR(IF(tblPiNAnalysis512[[#This Row],[Food Security]]="", "", MROUND(tblPiNAnalysis512[[#This Row],[Food Security]]/tblPiNAnalysis512[[#This Row],[Affected population projection 2026]], 0.05)), "")</f>
        <v/>
      </c>
      <c r="AA217" s="322" t="str">
        <f>IFERROR(IF(tblPiNAnalysis512[[#This Row],[Health]]="", "", MROUND(tblPiNAnalysis512[[#This Row],[Health]]/tblPiNAnalysis512[[#This Row],[Affected population projection 2026]], 0.05)), "")</f>
        <v/>
      </c>
      <c r="AB217" s="323" t="str">
        <f>IFERROR(IF(tblPiNAnalysis512[[#This Row],[Overarching Protection]]="", "", MROUND(tblPiNAnalysis512[[#This Row],[Overarching Protection]]/tblPiNAnalysis512[[#This Row],[Affected population projection 2026]], 0.05)), "")</f>
        <v/>
      </c>
      <c r="AC217" s="323" t="str">
        <f>IFERROR(IF(tblPiNAnalysis512[[#This Row],[Shelter]]="", "", MROUND(tblPiNAnalysis512[[#This Row],[Shelter]]/tblPiNAnalysis512[[#This Row],[Affected population projection 2026]], 0.05)), "")</f>
        <v/>
      </c>
      <c r="AD217" s="324" t="str">
        <f>IFERROR(IF(tblPiNAnalysis512[[#This Row],[WASH]]="", "", MROUND(tblPiNAnalysis512[[#This Row],[WASH]]/tblPiNAnalysis512[[#This Row],[Affected population projection 2026]], 0.05)), "")</f>
        <v/>
      </c>
      <c r="AE217" s="322">
        <f>IFERROR(MROUND(tblPiNAnalysis512[[#This Row],[CP]]/tblPiNAnalysis512[[#This Row],[Affected population projection 2026]], 0.05), "")</f>
        <v>0</v>
      </c>
      <c r="AF217" s="322">
        <f>IFERROR(MROUND(tblPiNAnalysis512[[#This Row],[GBV]]/tblPiNAnalysis512[[#This Row],[Affected population projection 2026]], 0.05), "")</f>
        <v>0</v>
      </c>
      <c r="AG217" s="322">
        <f>IFERROR(MROUND(tblPiNAnalysis512[[#This Row],[Mine Action]]/tblPiNAnalysis512[[#This Row],[Affected population projection 2026]], 0.05), "")</f>
        <v>0</v>
      </c>
      <c r="AH217" s="322">
        <f>IFERROR(MROUND(tblPiNAnalysis512[[#This Row],[HLP]]/tblPiNAnalysis512[[#This Row],[Affected population projection 2026]], 0.05), "")</f>
        <v>0</v>
      </c>
      <c r="AI217" s="325" t="str">
        <f>IFERROR(LARGE(tblPiNAnalysis512[[#This Row],[CCCM]:[WASH]], 1), "")</f>
        <v/>
      </c>
      <c r="AJ217" s="326" t="str" cm="1">
        <f t="array" ref="AJ217">IF(tblPiNAnalysis512[[#This Row],[Highest Target]]="", "", _xlfn.TEXTJOIN(CHAR(10), TRUE, IF(tblPiNAnalysis512[[#This Row],[Highest Target]]=tblPiNAnalysis512[[#This Row],[CCCM]:[WASH]], tblPiNAnalysis512[[#Headers],[CCCM]:[WASH]], "")))</f>
        <v/>
      </c>
      <c r="AK217" s="327" t="str">
        <f>IF(tblPiNAnalysis512[[#This Row],[Highest Target]]="", "", tblPiNAnalysis512[[#This Row],[Highest Target]]/tblPiNAnalysis512[[#This Row],[Affected population projection 2026]])</f>
        <v/>
      </c>
      <c r="AL217" s="328" t="str">
        <f>IF(SUM(tblPiNAnalysis512[[#This Row],[CCCM]:[WASH]])=0, "",IF(COUNTIF(tblPiNAnalysis512[[#This Row],[CCCM]:[WASH]],"=0")+COUNTIF(tblPiNAnalysis512[[#This Row],[CCCM]:[WASH]],"")&gt;=zero_pin_thresh, "Flagged", ""))</f>
        <v/>
      </c>
      <c r="AM217" s="329" t="str">
        <f>IFERROR(IF(tblPiNAnalysis512[[#This Row],[Highest Target]]="", "", IF(tblPiNAnalysis512[[#This Row],[Highest sector(s'') Target %]]&gt;=flag_pin_perc, "Flagged", "")), "")</f>
        <v/>
      </c>
      <c r="AN217" s="330" t="str" cm="1">
        <f t="array" ref="AN217">IF(tblPiNAnalysis512[[#This Row],[Highest Target]]=0, "",  IF(OR(COUNTIF(tblPiNAnalysis512[[#This Row],[Highest sector(s)]],tblSubSectorPopulation[Sector])), "Flagged", ""))</f>
        <v/>
      </c>
      <c r="AO217" s="46" t="str" cm="1">
        <f t="array" ref="AO21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17" s="331" t="str" cm="1">
        <f t="array" ref="AP217">IF(tblPiNAnalysis512[[#This Row],[2nd Highest Target]]="", "", _xlfn.TEXTJOIN(CHAR(10), TRUE, IF(tblPiNAnalysis512[[#This Row],[2nd Highest Target]]=tblPiNAnalysis512[[#This Row],[CCCM]:[WASH]], tblPiNAnalysis512[[#Headers],[CCCM]:[WASH]], "")))</f>
        <v/>
      </c>
      <c r="AQ217" s="36" t="str">
        <f>IFERROR(tblPiNAnalysis512[[#This Row],[2nd Highest Target]]/tblPiNAnalysis512[[#This Row],[Affected population projection 2026]], "")</f>
        <v/>
      </c>
      <c r="AR217" s="46" t="str">
        <f>IFERROR(tblPiNAnalysis512[[#This Row],[Highest Target]]-tblPiNAnalysis512[[#This Row],[2nd Highest Target]], "")</f>
        <v/>
      </c>
      <c r="AS217" s="39" t="str">
        <f>IFERROR(((tblPiNAnalysis512[[#This Row],[Highest Target]]-tblPiNAnalysis512[[#This Row],[2nd Highest Target]])/tblPiNAnalysis512[[#This Row],[2nd Highest Target]]),"")</f>
        <v/>
      </c>
      <c r="AT217" s="39" t="str" cm="1">
        <f t="array" ref="AT21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7" s="332" t="str" cm="1">
        <f t="array" ref="AU21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17" s="190" t="str" cm="1">
        <f t="array" ref="AV217">IF(tblPiNAnalysis512[[#This Row],[3rd Highest Target]]="", "", _xlfn.TEXTJOIN(CHAR(10), TRUE, IF(tblPiNAnalysis512[[#This Row],[3rd Highest Target]]=tblPiNAnalysis512[[#This Row],[CCCM]:[WASH]], tblPiNAnalysis512[[#Headers],[CCCM]:[WASH]], "")))</f>
        <v/>
      </c>
      <c r="AW217" s="190" t="str">
        <f>IFERROR(tblPiNAnalysis512[[#This Row],[3rd Highest Target]]/tblPiNAnalysis512[[#This Row],[Affected population projection 2026]], "")</f>
        <v/>
      </c>
      <c r="AX217" s="45" t="str">
        <f>IFERROR(tblPiNAnalysis512[[#This Row],[Highest Target]]-tblPiNAnalysis512[[#This Row],[3rd Highest Target]],"")</f>
        <v/>
      </c>
      <c r="AY217" s="39" t="str">
        <f>IFERROR(tblPiNAnalysis512[[#This Row],[Difference of Target between Highest and 3rd Highest]]/tblPiNAnalysis512[[#This Row],[3rd Highest Target]], "")</f>
        <v/>
      </c>
      <c r="AZ217" s="330" t="str" cm="1">
        <f t="array" ref="AZ21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7" s="300" t="str" cm="1">
        <f t="array" ref="BA21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7" s="333" t="str" cm="1">
        <f t="array" ref="BB21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7" s="276" t="str" cm="1">
        <f t="array" ref="BC21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7" s="334" t="str" cm="1">
        <f t="array" ref="BD21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7" s="277" t="e">
        <f>INDEX(tblSeverityAnalysis[Final Severity], MATCH(tblPiNAnalysis512[[#This Row],[ID]],tblSeverityAnalysis[ID], 0))</f>
        <v>#N/A</v>
      </c>
      <c r="BF217" s="61" t="e">
        <f>IF(tblPiNAnalysis512[[#This Row],[Severity]]&gt;2,tblPiNAnalysis512[[#This Row],[Highest Target]],)</f>
        <v>#N/A</v>
      </c>
      <c r="BG217" s="191"/>
      <c r="BH217" s="192"/>
      <c r="BI217" s="193">
        <f>COUNTIFS(tblPiNAnalysis512[[#This Row],[Number of missing / zero PiNs greater than threshold - Data quality]:[Manual Flag]],"Flagged")</f>
        <v>2</v>
      </c>
      <c r="BJ217" s="96" t="str">
        <f>IF(tblPiNAnalysis512[[#This Row],['# Flags]]&gt;0, "Flagged", "")</f>
        <v>Flagged</v>
      </c>
      <c r="BK217" s="326" t="e">
        <f>tblPiNAnalysis512[[#This Row],[Preliminary Target]]</f>
        <v>#N/A</v>
      </c>
      <c r="BL217" s="331">
        <v>3</v>
      </c>
    </row>
    <row r="218" spans="1:64" ht="110.7" x14ac:dyDescent="0.55000000000000004">
      <c r="A2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8" s="316" t="s">
        <v>342</v>
      </c>
      <c r="C218" s="317" t="s">
        <v>343</v>
      </c>
      <c r="D218" s="317" t="s">
        <v>360</v>
      </c>
      <c r="E218" s="105" t="s">
        <v>361</v>
      </c>
      <c r="F218" s="100"/>
      <c r="G218" s="34"/>
      <c r="H218" s="34"/>
      <c r="I218" s="97">
        <v>1622.427953791605</v>
      </c>
      <c r="J218" s="97" t="s">
        <v>414</v>
      </c>
      <c r="K218" s="318">
        <v>0</v>
      </c>
      <c r="L218" s="319">
        <v>0</v>
      </c>
      <c r="M218" s="319"/>
      <c r="N218" s="319">
        <v>0</v>
      </c>
      <c r="O218" s="319">
        <v>0</v>
      </c>
      <c r="P218" s="319">
        <v>0</v>
      </c>
      <c r="Q218" s="320">
        <v>0</v>
      </c>
      <c r="R218" s="319">
        <v>0</v>
      </c>
      <c r="S218" s="319"/>
      <c r="T218" s="319"/>
      <c r="U218" s="319"/>
      <c r="V218" s="319"/>
      <c r="W218" s="321">
        <f>IFERROR(IF(tblPiNAnalysis512[[#This Row],[CCCM]]="", "", MROUND(tblPiNAnalysis512[[#This Row],[CCCM]]/tblPiNAnalysis512[[#This Row],[Affected population projection 2026]], 0.05)), "")</f>
        <v>0</v>
      </c>
      <c r="X218" s="322">
        <f>IFERROR(IF(tblPiNAnalysis512[[#This Row],[Education]]="", "", MROUND(tblPiNAnalysis512[[#This Row],[Education]]/tblPiNAnalysis512[[#This Row],[Affected population projection 2026]], 0.05)), "")</f>
        <v>0</v>
      </c>
      <c r="Y218" s="322" t="str">
        <f>IFERROR(IF(tblPiNAnalysis512[[#This Row],[Nutrition]]="", "", MROUND(tblPiNAnalysis512[[#This Row],[Nutrition]]/tblPiNAnalysis512[[#This Row],[Affected population projection 2026]], 0.05)), "")</f>
        <v/>
      </c>
      <c r="Z218" s="322">
        <f>IFERROR(IF(tblPiNAnalysis512[[#This Row],[Food Security]]="", "", MROUND(tblPiNAnalysis512[[#This Row],[Food Security]]/tblPiNAnalysis512[[#This Row],[Affected population projection 2026]], 0.05)), "")</f>
        <v>0</v>
      </c>
      <c r="AA218" s="322">
        <f>IFERROR(IF(tblPiNAnalysis512[[#This Row],[Health]]="", "", MROUND(tblPiNAnalysis512[[#This Row],[Health]]/tblPiNAnalysis512[[#This Row],[Affected population projection 2026]], 0.05)), "")</f>
        <v>0</v>
      </c>
      <c r="AB218" s="323">
        <f>IFERROR(IF(tblPiNAnalysis512[[#This Row],[Overarching Protection]]="", "", MROUND(tblPiNAnalysis512[[#This Row],[Overarching Protection]]/tblPiNAnalysis512[[#This Row],[Affected population projection 2026]], 0.05)), "")</f>
        <v>0</v>
      </c>
      <c r="AC218" s="323">
        <f>IFERROR(IF(tblPiNAnalysis512[[#This Row],[Shelter]]="", "", MROUND(tblPiNAnalysis512[[#This Row],[Shelter]]/tblPiNAnalysis512[[#This Row],[Affected population projection 2026]], 0.05)), "")</f>
        <v>0</v>
      </c>
      <c r="AD218" s="324">
        <f>IFERROR(IF(tblPiNAnalysis512[[#This Row],[WASH]]="", "", MROUND(tblPiNAnalysis512[[#This Row],[WASH]]/tblPiNAnalysis512[[#This Row],[Affected population projection 2026]], 0.05)), "")</f>
        <v>0</v>
      </c>
      <c r="AE218" s="322">
        <f>IFERROR(MROUND(tblPiNAnalysis512[[#This Row],[CP]]/tblPiNAnalysis512[[#This Row],[Affected population projection 2026]], 0.05), "")</f>
        <v>0</v>
      </c>
      <c r="AF218" s="322">
        <f>IFERROR(MROUND(tblPiNAnalysis512[[#This Row],[GBV]]/tblPiNAnalysis512[[#This Row],[Affected population projection 2026]], 0.05), "")</f>
        <v>0</v>
      </c>
      <c r="AG218" s="322">
        <f>IFERROR(MROUND(tblPiNAnalysis512[[#This Row],[Mine Action]]/tblPiNAnalysis512[[#This Row],[Affected population projection 2026]], 0.05), "")</f>
        <v>0</v>
      </c>
      <c r="AH218" s="322">
        <f>IFERROR(MROUND(tblPiNAnalysis512[[#This Row],[HLP]]/tblPiNAnalysis512[[#This Row],[Affected population projection 2026]], 0.05), "")</f>
        <v>0</v>
      </c>
      <c r="AI218" s="325">
        <f>IFERROR(LARGE(tblPiNAnalysis512[[#This Row],[CCCM]:[WASH]], 1), "")</f>
        <v>0</v>
      </c>
      <c r="AJ218" s="326" t="str" cm="1">
        <f t="array" ref="AJ218">IF(tblPiNAnalysis512[[#This Row],[Highest Target]]="", "", _xlfn.TEXTJOIN(CHAR(10), TRUE, IF(tblPiNAnalysis512[[#This Row],[Highest Target]]=tblPiNAnalysis512[[#This Row],[CCCM]:[WASH]], tblPiNAnalysis512[[#Headers],[CCCM]:[WASH]], "")))</f>
        <v>CCCM
Education
Nutrition
Food Security
Health
Overarching Protection
Shelter
WASH</v>
      </c>
      <c r="AK218" s="327">
        <f>IF(tblPiNAnalysis512[[#This Row],[Highest Target]]="", "", tblPiNAnalysis512[[#This Row],[Highest Target]]/tblPiNAnalysis512[[#This Row],[Affected population projection 2026]])</f>
        <v>0</v>
      </c>
      <c r="AL218" s="328" t="str">
        <f>IF(SUM(tblPiNAnalysis512[[#This Row],[CCCM]:[WASH]])=0, "",IF(COUNTIF(tblPiNAnalysis512[[#This Row],[CCCM]:[WASH]],"=0")+COUNTIF(tblPiNAnalysis512[[#This Row],[CCCM]:[WASH]],"")&gt;=zero_pin_thresh, "Flagged", ""))</f>
        <v/>
      </c>
      <c r="AM218" s="329" t="str">
        <f>IFERROR(IF(tblPiNAnalysis512[[#This Row],[Highest Target]]="", "", IF(tblPiNAnalysis512[[#This Row],[Highest sector(s'') Target %]]&gt;=flag_pin_perc, "Flagged", "")), "")</f>
        <v/>
      </c>
      <c r="AN218" s="330" t="str" cm="1">
        <f t="array" ref="AN218">IF(tblPiNAnalysis512[[#This Row],[Highest Target]]=0, "",  IF(OR(COUNTIF(tblPiNAnalysis512[[#This Row],[Highest sector(s)]],tblSubSectorPopulation[Sector])), "Flagged", ""))</f>
        <v/>
      </c>
      <c r="AO218" s="46" t="str" cm="1">
        <f t="array" ref="AO21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NA</v>
      </c>
      <c r="AP218" s="331" t="str" cm="1">
        <f t="array" ref="AP218">IF(tblPiNAnalysis512[[#This Row],[2nd Highest Target]]="", "", _xlfn.TEXTJOIN(CHAR(10), TRUE, IF(tblPiNAnalysis512[[#This Row],[2nd Highest Target]]=tblPiNAnalysis512[[#This Row],[CCCM]:[WASH]], tblPiNAnalysis512[[#Headers],[CCCM]:[WASH]], "")))</f>
        <v/>
      </c>
      <c r="AQ218" s="36" t="str">
        <f>IFERROR(tblPiNAnalysis512[[#This Row],[2nd Highest Target]]/tblPiNAnalysis512[[#This Row],[Affected population projection 2026]], "")</f>
        <v/>
      </c>
      <c r="AR218" s="46" t="str">
        <f>IFERROR(tblPiNAnalysis512[[#This Row],[Highest Target]]-tblPiNAnalysis512[[#This Row],[2nd Highest Target]], "")</f>
        <v/>
      </c>
      <c r="AS218" s="39" t="str">
        <f>IFERROR(((tblPiNAnalysis512[[#This Row],[Highest Target]]-tblPiNAnalysis512[[#This Row],[2nd Highest Target]])/tblPiNAnalysis512[[#This Row],[2nd Highest Target]]),"")</f>
        <v/>
      </c>
      <c r="AT218" s="39" t="str" cm="1">
        <f t="array" ref="AT21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18" s="332" cm="1">
        <f t="array" ref="AU21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18" s="190" t="str" cm="1">
        <f t="array" ref="AV218">IF(tblPiNAnalysis512[[#This Row],[3rd Highest Target]]="", "", _xlfn.TEXTJOIN(CHAR(10), TRUE, IF(tblPiNAnalysis512[[#This Row],[3rd Highest Target]]=tblPiNAnalysis512[[#This Row],[CCCM]:[WASH]], tblPiNAnalysis512[[#Headers],[CCCM]:[WASH]], "")))</f>
        <v>CCCM
Education
Nutrition
Food Security
Health
Overarching Protection
Shelter
WASH</v>
      </c>
      <c r="AW218" s="190">
        <f>IFERROR(tblPiNAnalysis512[[#This Row],[3rd Highest Target]]/tblPiNAnalysis512[[#This Row],[Affected population projection 2026]], "")</f>
        <v>0</v>
      </c>
      <c r="AX218" s="45">
        <f>IFERROR(tblPiNAnalysis512[[#This Row],[Highest Target]]-tblPiNAnalysis512[[#This Row],[3rd Highest Target]],"")</f>
        <v>0</v>
      </c>
      <c r="AY218" s="39" t="str">
        <f>IFERROR(tblPiNAnalysis512[[#This Row],[Difference of Target between Highest and 3rd Highest]]/tblPiNAnalysis512[[#This Row],[3rd Highest Target]], "")</f>
        <v/>
      </c>
      <c r="AZ218" s="330" t="str" cm="1">
        <f t="array" ref="AZ21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18" s="300" t="str" cm="1">
        <f t="array" ref="BA21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8" s="333" t="str" cm="1">
        <f t="array" ref="BB21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18" s="276" t="str" cm="1">
        <f t="array" ref="BC21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8" s="334" t="str" cm="1">
        <f t="array" ref="BD21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18" s="277" t="e">
        <f>INDEX(tblSeverityAnalysis[Final Severity], MATCH(tblPiNAnalysis512[[#This Row],[ID]],tblSeverityAnalysis[ID], 0))</f>
        <v>#N/A</v>
      </c>
      <c r="BF218" s="61" t="e">
        <f>IF(tblPiNAnalysis512[[#This Row],[Severity]]&gt;2,tblPiNAnalysis512[[#This Row],[Highest Target]],)</f>
        <v>#N/A</v>
      </c>
      <c r="BG218" s="191"/>
      <c r="BH218" s="192"/>
      <c r="BI218" s="193">
        <f>COUNTIFS(tblPiNAnalysis512[[#This Row],[Number of missing / zero PiNs greater than threshold - Data quality]:[Manual Flag]],"Flagged")</f>
        <v>1</v>
      </c>
      <c r="BJ218" s="96" t="str">
        <f>IF(tblPiNAnalysis512[[#This Row],['# Flags]]&gt;0, "Flagged", "")</f>
        <v>Flagged</v>
      </c>
      <c r="BK218" s="326" t="e">
        <f>tblPiNAnalysis512[[#This Row],[Preliminary Target]]</f>
        <v>#N/A</v>
      </c>
      <c r="BL218" s="331">
        <v>4</v>
      </c>
    </row>
    <row r="219" spans="1:64" x14ac:dyDescent="0.55000000000000004">
      <c r="A2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9" s="316" t="s">
        <v>342</v>
      </c>
      <c r="C219" s="317" t="s">
        <v>343</v>
      </c>
      <c r="D219" s="317" t="s">
        <v>362</v>
      </c>
      <c r="E219" s="105" t="s">
        <v>363</v>
      </c>
      <c r="F219" s="100"/>
      <c r="G219" s="34"/>
      <c r="H219" s="34"/>
      <c r="I219" s="97">
        <v>4756.8792176598463</v>
      </c>
      <c r="J219" s="97" t="s">
        <v>414</v>
      </c>
      <c r="K219" s="318">
        <v>0</v>
      </c>
      <c r="L219" s="319">
        <v>393.45004247523769</v>
      </c>
      <c r="M219" s="319">
        <v>1333.8809251820439</v>
      </c>
      <c r="N219" s="319">
        <v>2327.5766133163752</v>
      </c>
      <c r="O219" s="319">
        <v>2602.5939162895193</v>
      </c>
      <c r="P219" s="319">
        <v>1863.7868208242669</v>
      </c>
      <c r="Q219" s="320">
        <v>2497.3615892714188</v>
      </c>
      <c r="R219" s="319">
        <v>4334.263915264446</v>
      </c>
      <c r="S219" s="319"/>
      <c r="T219" s="319"/>
      <c r="U219" s="319"/>
      <c r="V219" s="319"/>
      <c r="W219" s="321">
        <f>IFERROR(IF(tblPiNAnalysis512[[#This Row],[CCCM]]="", "", MROUND(tblPiNAnalysis512[[#This Row],[CCCM]]/tblPiNAnalysis512[[#This Row],[Affected population projection 2026]], 0.05)), "")</f>
        <v>0</v>
      </c>
      <c r="X219" s="322">
        <f>IFERROR(IF(tblPiNAnalysis512[[#This Row],[Education]]="", "", MROUND(tblPiNAnalysis512[[#This Row],[Education]]/tblPiNAnalysis512[[#This Row],[Affected population projection 2026]], 0.05)), "")</f>
        <v>0.1</v>
      </c>
      <c r="Y219" s="322">
        <f>IFERROR(IF(tblPiNAnalysis512[[#This Row],[Nutrition]]="", "", MROUND(tblPiNAnalysis512[[#This Row],[Nutrition]]/tblPiNAnalysis512[[#This Row],[Affected population projection 2026]], 0.05)), "")</f>
        <v>0.30000000000000004</v>
      </c>
      <c r="Z219" s="322">
        <f>IFERROR(IF(tblPiNAnalysis512[[#This Row],[Food Security]]="", "", MROUND(tblPiNAnalysis512[[#This Row],[Food Security]]/tblPiNAnalysis512[[#This Row],[Affected population projection 2026]], 0.05)), "")</f>
        <v>0.5</v>
      </c>
      <c r="AA219" s="322">
        <f>IFERROR(IF(tblPiNAnalysis512[[#This Row],[Health]]="", "", MROUND(tblPiNAnalysis512[[#This Row],[Health]]/tblPiNAnalysis512[[#This Row],[Affected population projection 2026]], 0.05)), "")</f>
        <v>0.55000000000000004</v>
      </c>
      <c r="AB219" s="323">
        <f>IFERROR(IF(tblPiNAnalysis512[[#This Row],[Overarching Protection]]="", "", MROUND(tblPiNAnalysis512[[#This Row],[Overarching Protection]]/tblPiNAnalysis512[[#This Row],[Affected population projection 2026]], 0.05)), "")</f>
        <v>0.4</v>
      </c>
      <c r="AC219" s="323">
        <f>IFERROR(IF(tblPiNAnalysis512[[#This Row],[Shelter]]="", "", MROUND(tblPiNAnalysis512[[#This Row],[Shelter]]/tblPiNAnalysis512[[#This Row],[Affected population projection 2026]], 0.05)), "")</f>
        <v>0.55000000000000004</v>
      </c>
      <c r="AD219" s="324">
        <f>IFERROR(IF(tblPiNAnalysis512[[#This Row],[WASH]]="", "", MROUND(tblPiNAnalysis512[[#This Row],[WASH]]/tblPiNAnalysis512[[#This Row],[Affected population projection 2026]], 0.05)), "")</f>
        <v>0.9</v>
      </c>
      <c r="AE219" s="322">
        <f>IFERROR(MROUND(tblPiNAnalysis512[[#This Row],[CP]]/tblPiNAnalysis512[[#This Row],[Affected population projection 2026]], 0.05), "")</f>
        <v>0</v>
      </c>
      <c r="AF219" s="322">
        <f>IFERROR(MROUND(tblPiNAnalysis512[[#This Row],[GBV]]/tblPiNAnalysis512[[#This Row],[Affected population projection 2026]], 0.05), "")</f>
        <v>0</v>
      </c>
      <c r="AG219" s="322">
        <f>IFERROR(MROUND(tblPiNAnalysis512[[#This Row],[Mine Action]]/tblPiNAnalysis512[[#This Row],[Affected population projection 2026]], 0.05), "")</f>
        <v>0</v>
      </c>
      <c r="AH219" s="322">
        <f>IFERROR(MROUND(tblPiNAnalysis512[[#This Row],[HLP]]/tblPiNAnalysis512[[#This Row],[Affected population projection 2026]], 0.05), "")</f>
        <v>0</v>
      </c>
      <c r="AI219" s="325">
        <f>IFERROR(LARGE(tblPiNAnalysis512[[#This Row],[CCCM]:[WASH]], 1), "")</f>
        <v>4334.263915264446</v>
      </c>
      <c r="AJ219" s="326" t="str" cm="1">
        <f t="array" ref="AJ219">IF(tblPiNAnalysis512[[#This Row],[Highest Target]]="", "", _xlfn.TEXTJOIN(CHAR(10), TRUE, IF(tblPiNAnalysis512[[#This Row],[Highest Target]]=tblPiNAnalysis512[[#This Row],[CCCM]:[WASH]], tblPiNAnalysis512[[#Headers],[CCCM]:[WASH]], "")))</f>
        <v>WASH</v>
      </c>
      <c r="AK219" s="327">
        <f>IF(tblPiNAnalysis512[[#This Row],[Highest Target]]="", "", tblPiNAnalysis512[[#This Row],[Highest Target]]/tblPiNAnalysis512[[#This Row],[Affected population projection 2026]])</f>
        <v>0.91115702479338834</v>
      </c>
      <c r="AL219" s="328" t="str">
        <f>IF(SUM(tblPiNAnalysis512[[#This Row],[CCCM]:[WASH]])=0, "",IF(COUNTIF(tblPiNAnalysis512[[#This Row],[CCCM]:[WASH]],"=0")+COUNTIF(tblPiNAnalysis512[[#This Row],[CCCM]:[WASH]],"")&gt;=zero_pin_thresh, "Flagged", ""))</f>
        <v/>
      </c>
      <c r="AM219" s="329" t="str">
        <f>IFERROR(IF(tblPiNAnalysis512[[#This Row],[Highest Target]]="", "", IF(tblPiNAnalysis512[[#This Row],[Highest sector(s'') Target %]]&gt;=flag_pin_perc, "Flagged", "")), "")</f>
        <v>Flagged</v>
      </c>
      <c r="AN219" s="330" t="str" cm="1">
        <f t="array" ref="AN219">IF(tblPiNAnalysis512[[#This Row],[Highest Target]]=0, "",  IF(OR(COUNTIF(tblPiNAnalysis512[[#This Row],[Highest sector(s)]],tblSubSectorPopulation[Sector])), "Flagged", ""))</f>
        <v/>
      </c>
      <c r="AO219" s="46" cm="1">
        <f t="array" ref="AO21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2602.5939162895193</v>
      </c>
      <c r="AP219" s="331" t="str" cm="1">
        <f t="array" ref="AP219">IF(tblPiNAnalysis512[[#This Row],[2nd Highest Target]]="", "", _xlfn.TEXTJOIN(CHAR(10), TRUE, IF(tblPiNAnalysis512[[#This Row],[2nd Highest Target]]=tblPiNAnalysis512[[#This Row],[CCCM]:[WASH]], tblPiNAnalysis512[[#Headers],[CCCM]:[WASH]], "")))</f>
        <v>Health</v>
      </c>
      <c r="AQ219" s="36">
        <f>IFERROR(tblPiNAnalysis512[[#This Row],[2nd Highest Target]]/tblPiNAnalysis512[[#This Row],[Affected population projection 2026]], "")</f>
        <v>0.5471221355857484</v>
      </c>
      <c r="AR219" s="46">
        <f>IFERROR(tblPiNAnalysis512[[#This Row],[Highest Target]]-tblPiNAnalysis512[[#This Row],[2nd Highest Target]], "")</f>
        <v>1731.6699989749268</v>
      </c>
      <c r="AS219" s="39">
        <f>IFERROR(((tblPiNAnalysis512[[#This Row],[Highest Target]]-tblPiNAnalysis512[[#This Row],[2nd Highest Target]])/tblPiNAnalysis512[[#This Row],[2nd Highest Target]]),"")</f>
        <v>0.66536311644182422</v>
      </c>
      <c r="AT219" s="39" t="str" cm="1">
        <f t="array" ref="AT21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19" s="332" cm="1">
        <f t="array" ref="AU21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2497.3615892714188</v>
      </c>
      <c r="AV219" s="190" t="str" cm="1">
        <f t="array" ref="AV219">IF(tblPiNAnalysis512[[#This Row],[3rd Highest Target]]="", "", _xlfn.TEXTJOIN(CHAR(10), TRUE, IF(tblPiNAnalysis512[[#This Row],[3rd Highest Target]]=tblPiNAnalysis512[[#This Row],[CCCM]:[WASH]], tblPiNAnalysis512[[#Headers],[CCCM]:[WASH]], "")))</f>
        <v>Shelter</v>
      </c>
      <c r="AW219" s="190">
        <f>IFERROR(tblPiNAnalysis512[[#This Row],[3rd Highest Target]]/tblPiNAnalysis512[[#This Row],[Affected population projection 2026]], "")</f>
        <v>0.52499999999999991</v>
      </c>
      <c r="AX219" s="45">
        <f>IFERROR(tblPiNAnalysis512[[#This Row],[Highest Target]]-tblPiNAnalysis512[[#This Row],[3rd Highest Target]],"")</f>
        <v>1836.9023259930273</v>
      </c>
      <c r="AY219" s="39">
        <f>IFERROR(tblPiNAnalysis512[[#This Row],[Difference of Target between Highest and 3rd Highest]]/tblPiNAnalysis512[[#This Row],[3rd Highest Target]], "")</f>
        <v>0.73553719008264473</v>
      </c>
      <c r="AZ219" s="330" t="str" cm="1">
        <f t="array" ref="AZ21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19" s="300" t="str" cm="1">
        <f t="array" ref="BA21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19" s="333" t="str" cm="1">
        <f t="array" ref="BB21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19" s="276" t="str" cm="1">
        <f t="array" ref="BC21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19" s="334" t="str" cm="1">
        <f t="array" ref="BD21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19" s="277" t="e">
        <f>INDEX(tblSeverityAnalysis[Final Severity], MATCH(tblPiNAnalysis512[[#This Row],[ID]],tblSeverityAnalysis[ID], 0))</f>
        <v>#N/A</v>
      </c>
      <c r="BF219" s="61" t="e">
        <f>IF(tblPiNAnalysis512[[#This Row],[Severity]]&gt;2,tblPiNAnalysis512[[#This Row],[Highest Target]],)</f>
        <v>#N/A</v>
      </c>
      <c r="BG219" s="191"/>
      <c r="BH219" s="192"/>
      <c r="BI219" s="193">
        <f>COUNTIFS(tblPiNAnalysis512[[#This Row],[Number of missing / zero PiNs greater than threshold - Data quality]:[Manual Flag]],"Flagged")</f>
        <v>4</v>
      </c>
      <c r="BJ219" s="96" t="str">
        <f>IF(tblPiNAnalysis512[[#This Row],['# Flags]]&gt;0, "Flagged", "")</f>
        <v>Flagged</v>
      </c>
      <c r="BK219" s="326" t="e">
        <f>tblPiNAnalysis512[[#This Row],[Preliminary Target]]</f>
        <v>#N/A</v>
      </c>
      <c r="BL219" s="331">
        <v>2</v>
      </c>
    </row>
    <row r="220" spans="1:64" x14ac:dyDescent="0.55000000000000004">
      <c r="A2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0" s="316" t="s">
        <v>342</v>
      </c>
      <c r="C220" s="317" t="s">
        <v>343</v>
      </c>
      <c r="D220" s="317" t="s">
        <v>364</v>
      </c>
      <c r="E220" s="105" t="s">
        <v>365</v>
      </c>
      <c r="F220" s="100"/>
      <c r="G220" s="34"/>
      <c r="H220" s="34"/>
      <c r="I220" s="97">
        <v>235020.19206222118</v>
      </c>
      <c r="J220" s="97" t="s">
        <v>414</v>
      </c>
      <c r="K220" s="318">
        <v>10519</v>
      </c>
      <c r="L220" s="319">
        <v>43043.948176195809</v>
      </c>
      <c r="M220" s="319">
        <v>38448.70083296996</v>
      </c>
      <c r="N220" s="319">
        <v>84869.09553284297</v>
      </c>
      <c r="O220" s="319">
        <v>69517.660651019134</v>
      </c>
      <c r="P220" s="319">
        <v>62871.464579837848</v>
      </c>
      <c r="Q220" s="320">
        <v>36558.696543012178</v>
      </c>
      <c r="R220" s="319">
        <v>46625.233576129962</v>
      </c>
      <c r="S220" s="319"/>
      <c r="T220" s="319"/>
      <c r="U220" s="319"/>
      <c r="V220" s="319"/>
      <c r="W220" s="321">
        <f>IFERROR(IF(tblPiNAnalysis512[[#This Row],[CCCM]]="", "", MROUND(tblPiNAnalysis512[[#This Row],[CCCM]]/tblPiNAnalysis512[[#This Row],[Affected population projection 2026]], 0.05)), "")</f>
        <v>0.05</v>
      </c>
      <c r="X220" s="322">
        <f>IFERROR(IF(tblPiNAnalysis512[[#This Row],[Education]]="", "", MROUND(tblPiNAnalysis512[[#This Row],[Education]]/tblPiNAnalysis512[[#This Row],[Affected population projection 2026]], 0.05)), "")</f>
        <v>0.2</v>
      </c>
      <c r="Y220" s="322">
        <f>IFERROR(IF(tblPiNAnalysis512[[#This Row],[Nutrition]]="", "", MROUND(tblPiNAnalysis512[[#This Row],[Nutrition]]/tblPiNAnalysis512[[#This Row],[Affected population projection 2026]], 0.05)), "")</f>
        <v>0.15000000000000002</v>
      </c>
      <c r="Z220" s="322">
        <f>IFERROR(IF(tblPiNAnalysis512[[#This Row],[Food Security]]="", "", MROUND(tblPiNAnalysis512[[#This Row],[Food Security]]/tblPiNAnalysis512[[#This Row],[Affected population projection 2026]], 0.05)), "")</f>
        <v>0.35000000000000003</v>
      </c>
      <c r="AA220" s="322">
        <f>IFERROR(IF(tblPiNAnalysis512[[#This Row],[Health]]="", "", MROUND(tblPiNAnalysis512[[#This Row],[Health]]/tblPiNAnalysis512[[#This Row],[Affected population projection 2026]], 0.05)), "")</f>
        <v>0.30000000000000004</v>
      </c>
      <c r="AB220" s="323">
        <f>IFERROR(IF(tblPiNAnalysis512[[#This Row],[Overarching Protection]]="", "", MROUND(tblPiNAnalysis512[[#This Row],[Overarching Protection]]/tblPiNAnalysis512[[#This Row],[Affected population projection 2026]], 0.05)), "")</f>
        <v>0.25</v>
      </c>
      <c r="AC220" s="323">
        <f>IFERROR(IF(tblPiNAnalysis512[[#This Row],[Shelter]]="", "", MROUND(tblPiNAnalysis512[[#This Row],[Shelter]]/tblPiNAnalysis512[[#This Row],[Affected population projection 2026]], 0.05)), "")</f>
        <v>0.15000000000000002</v>
      </c>
      <c r="AD220" s="324">
        <f>IFERROR(IF(tblPiNAnalysis512[[#This Row],[WASH]]="", "", MROUND(tblPiNAnalysis512[[#This Row],[WASH]]/tblPiNAnalysis512[[#This Row],[Affected population projection 2026]], 0.05)), "")</f>
        <v>0.2</v>
      </c>
      <c r="AE220" s="322">
        <f>IFERROR(MROUND(tblPiNAnalysis512[[#This Row],[CP]]/tblPiNAnalysis512[[#This Row],[Affected population projection 2026]], 0.05), "")</f>
        <v>0</v>
      </c>
      <c r="AF220" s="322">
        <f>IFERROR(MROUND(tblPiNAnalysis512[[#This Row],[GBV]]/tblPiNAnalysis512[[#This Row],[Affected population projection 2026]], 0.05), "")</f>
        <v>0</v>
      </c>
      <c r="AG220" s="322">
        <f>IFERROR(MROUND(tblPiNAnalysis512[[#This Row],[Mine Action]]/tblPiNAnalysis512[[#This Row],[Affected population projection 2026]], 0.05), "")</f>
        <v>0</v>
      </c>
      <c r="AH220" s="322">
        <f>IFERROR(MROUND(tblPiNAnalysis512[[#This Row],[HLP]]/tblPiNAnalysis512[[#This Row],[Affected population projection 2026]], 0.05), "")</f>
        <v>0</v>
      </c>
      <c r="AI220" s="325">
        <f>IFERROR(LARGE(tblPiNAnalysis512[[#This Row],[CCCM]:[WASH]], 1), "")</f>
        <v>84869.09553284297</v>
      </c>
      <c r="AJ220" s="326" t="str" cm="1">
        <f t="array" ref="AJ220">IF(tblPiNAnalysis512[[#This Row],[Highest Target]]="", "", _xlfn.TEXTJOIN(CHAR(10), TRUE, IF(tblPiNAnalysis512[[#This Row],[Highest Target]]=tblPiNAnalysis512[[#This Row],[CCCM]:[WASH]], tblPiNAnalysis512[[#Headers],[CCCM]:[WASH]], "")))</f>
        <v>Food Security</v>
      </c>
      <c r="AK220" s="327">
        <f>IF(tblPiNAnalysis512[[#This Row],[Highest Target]]="", "", tblPiNAnalysis512[[#This Row],[Highest Target]]/tblPiNAnalysis512[[#This Row],[Affected population projection 2026]])</f>
        <v>0.36111405912890254</v>
      </c>
      <c r="AL220" s="328" t="str">
        <f>IF(SUM(tblPiNAnalysis512[[#This Row],[CCCM]:[WASH]])=0, "",IF(COUNTIF(tblPiNAnalysis512[[#This Row],[CCCM]:[WASH]],"=0")+COUNTIF(tblPiNAnalysis512[[#This Row],[CCCM]:[WASH]],"")&gt;=zero_pin_thresh, "Flagged", ""))</f>
        <v/>
      </c>
      <c r="AM220" s="329" t="str">
        <f>IFERROR(IF(tblPiNAnalysis512[[#This Row],[Highest Target]]="", "", IF(tblPiNAnalysis512[[#This Row],[Highest sector(s'') Target %]]&gt;=flag_pin_perc, "Flagged", "")), "")</f>
        <v/>
      </c>
      <c r="AN220" s="330" t="str" cm="1">
        <f t="array" ref="AN220">IF(tblPiNAnalysis512[[#This Row],[Highest Target]]=0, "",  IF(OR(COUNTIF(tblPiNAnalysis512[[#This Row],[Highest sector(s)]],tblSubSectorPopulation[Sector])), "Flagged", ""))</f>
        <v/>
      </c>
      <c r="AO220" s="46" cm="1">
        <f t="array" ref="AO22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69517.660651019134</v>
      </c>
      <c r="AP220" s="331" t="str" cm="1">
        <f t="array" ref="AP220">IF(tblPiNAnalysis512[[#This Row],[2nd Highest Target]]="", "", _xlfn.TEXTJOIN(CHAR(10), TRUE, IF(tblPiNAnalysis512[[#This Row],[2nd Highest Target]]=tblPiNAnalysis512[[#This Row],[CCCM]:[WASH]], tblPiNAnalysis512[[#Headers],[CCCM]:[WASH]], "")))</f>
        <v>Health</v>
      </c>
      <c r="AQ220" s="36">
        <f>IFERROR(tblPiNAnalysis512[[#This Row],[2nd Highest Target]]/tblPiNAnalysis512[[#This Row],[Affected population projection 2026]], "")</f>
        <v>0.29579441681595792</v>
      </c>
      <c r="AR220" s="46">
        <f>IFERROR(tblPiNAnalysis512[[#This Row],[Highest Target]]-tblPiNAnalysis512[[#This Row],[2nd Highest Target]], "")</f>
        <v>15351.434881823836</v>
      </c>
      <c r="AS220" s="39">
        <f>IFERROR(((tblPiNAnalysis512[[#This Row],[Highest Target]]-tblPiNAnalysis512[[#This Row],[2nd Highest Target]])/tblPiNAnalysis512[[#This Row],[2nd Highest Target]]),"")</f>
        <v>0.22082784055246804</v>
      </c>
      <c r="AT220" s="39" t="str" cm="1">
        <f t="array" ref="AT22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0" s="332" cm="1">
        <f t="array" ref="AU22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62871.464579837848</v>
      </c>
      <c r="AV220" s="190" t="str" cm="1">
        <f t="array" ref="AV220">IF(tblPiNAnalysis512[[#This Row],[3rd Highest Target]]="", "", _xlfn.TEXTJOIN(CHAR(10), TRUE, IF(tblPiNAnalysis512[[#This Row],[3rd Highest Target]]=tblPiNAnalysis512[[#This Row],[CCCM]:[WASH]], tblPiNAnalysis512[[#Headers],[CCCM]:[WASH]], "")))</f>
        <v>Overarching Protection</v>
      </c>
      <c r="AW220" s="190">
        <f>IFERROR(tblPiNAnalysis512[[#This Row],[3rd Highest Target]]/tblPiNAnalysis512[[#This Row],[Affected population projection 2026]], "")</f>
        <v>0.26751516126407021</v>
      </c>
      <c r="AX220" s="45">
        <f>IFERROR(tblPiNAnalysis512[[#This Row],[Highest Target]]-tblPiNAnalysis512[[#This Row],[3rd Highest Target]],"")</f>
        <v>21997.630953005122</v>
      </c>
      <c r="AY220" s="39">
        <f>IFERROR(tblPiNAnalysis512[[#This Row],[Difference of Target between Highest and 3rd Highest]]/tblPiNAnalysis512[[#This Row],[3rd Highest Target]], "")</f>
        <v>0.34988259141110428</v>
      </c>
      <c r="AZ220" s="330" t="str" cm="1">
        <f t="array" ref="AZ22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0" s="300" t="str" cm="1">
        <f t="array" ref="BA22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0" s="333" t="str" cm="1">
        <f t="array" ref="BB22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20" s="276" t="str" cm="1">
        <f t="array" ref="BC22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0" s="334" t="str" cm="1">
        <f t="array" ref="BD22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0" s="277" t="e">
        <f>INDEX(tblSeverityAnalysis[Final Severity], MATCH(tblPiNAnalysis512[[#This Row],[ID]],tblSeverityAnalysis[ID], 0))</f>
        <v>#N/A</v>
      </c>
      <c r="BF220" s="61" t="e">
        <f>IF(tblPiNAnalysis512[[#This Row],[Severity]]&gt;2,tblPiNAnalysis512[[#This Row],[Highest Target]],)</f>
        <v>#N/A</v>
      </c>
      <c r="BG220" s="191"/>
      <c r="BH220" s="192"/>
      <c r="BI220" s="193">
        <f>COUNTIFS(tblPiNAnalysis512[[#This Row],[Number of missing / zero PiNs greater than threshold - Data quality]:[Manual Flag]],"Flagged")</f>
        <v>1</v>
      </c>
      <c r="BJ220" s="96" t="str">
        <f>IF(tblPiNAnalysis512[[#This Row],['# Flags]]&gt;0, "Flagged", "")</f>
        <v>Flagged</v>
      </c>
      <c r="BK220" s="326" t="e">
        <f>tblPiNAnalysis512[[#This Row],[Preliminary Target]]</f>
        <v>#N/A</v>
      </c>
      <c r="BL220" s="331">
        <v>1</v>
      </c>
    </row>
    <row r="221" spans="1:64" x14ac:dyDescent="0.55000000000000004">
      <c r="A2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1" s="316" t="s">
        <v>342</v>
      </c>
      <c r="C221" s="317" t="s">
        <v>343</v>
      </c>
      <c r="D221" s="317" t="s">
        <v>366</v>
      </c>
      <c r="E221" s="105" t="s">
        <v>367</v>
      </c>
      <c r="F221" s="100"/>
      <c r="G221" s="34"/>
      <c r="H221" s="34"/>
      <c r="I221" s="97">
        <v>44257.266075717678</v>
      </c>
      <c r="J221" s="97" t="s">
        <v>414</v>
      </c>
      <c r="K221" s="318">
        <v>0</v>
      </c>
      <c r="L221" s="319">
        <v>14377.415457357643</v>
      </c>
      <c r="M221" s="319">
        <v>8899.1872448533759</v>
      </c>
      <c r="N221" s="319">
        <v>22810.630866941527</v>
      </c>
      <c r="O221" s="319">
        <v>25678.83079632674</v>
      </c>
      <c r="P221" s="319">
        <v>15611.353572644672</v>
      </c>
      <c r="Q221" s="320">
        <v>17702.906430287068</v>
      </c>
      <c r="R221" s="319">
        <v>33192.949556788255</v>
      </c>
      <c r="S221" s="319"/>
      <c r="T221" s="319"/>
      <c r="U221" s="319"/>
      <c r="V221" s="319"/>
      <c r="W221" s="321">
        <f>IFERROR(IF(tblPiNAnalysis512[[#This Row],[CCCM]]="", "", MROUND(tblPiNAnalysis512[[#This Row],[CCCM]]/tblPiNAnalysis512[[#This Row],[Affected population projection 2026]], 0.05)), "")</f>
        <v>0</v>
      </c>
      <c r="X221" s="322">
        <f>IFERROR(IF(tblPiNAnalysis512[[#This Row],[Education]]="", "", MROUND(tblPiNAnalysis512[[#This Row],[Education]]/tblPiNAnalysis512[[#This Row],[Affected population projection 2026]], 0.05)), "")</f>
        <v>0.30000000000000004</v>
      </c>
      <c r="Y221" s="322">
        <f>IFERROR(IF(tblPiNAnalysis512[[#This Row],[Nutrition]]="", "", MROUND(tblPiNAnalysis512[[#This Row],[Nutrition]]/tblPiNAnalysis512[[#This Row],[Affected population projection 2026]], 0.05)), "")</f>
        <v>0.2</v>
      </c>
      <c r="Z221" s="322">
        <f>IFERROR(IF(tblPiNAnalysis512[[#This Row],[Food Security]]="", "", MROUND(tblPiNAnalysis512[[#This Row],[Food Security]]/tblPiNAnalysis512[[#This Row],[Affected population projection 2026]], 0.05)), "")</f>
        <v>0.5</v>
      </c>
      <c r="AA221" s="322">
        <f>IFERROR(IF(tblPiNAnalysis512[[#This Row],[Health]]="", "", MROUND(tblPiNAnalysis512[[#This Row],[Health]]/tblPiNAnalysis512[[#This Row],[Affected population projection 2026]], 0.05)), "")</f>
        <v>0.60000000000000009</v>
      </c>
      <c r="AB221" s="323">
        <f>IFERROR(IF(tblPiNAnalysis512[[#This Row],[Overarching Protection]]="", "", MROUND(tblPiNAnalysis512[[#This Row],[Overarching Protection]]/tblPiNAnalysis512[[#This Row],[Affected population projection 2026]], 0.05)), "")</f>
        <v>0.35000000000000003</v>
      </c>
      <c r="AC221" s="323">
        <f>IFERROR(IF(tblPiNAnalysis512[[#This Row],[Shelter]]="", "", MROUND(tblPiNAnalysis512[[#This Row],[Shelter]]/tblPiNAnalysis512[[#This Row],[Affected population projection 2026]], 0.05)), "")</f>
        <v>0.4</v>
      </c>
      <c r="AD221" s="324">
        <f>IFERROR(IF(tblPiNAnalysis512[[#This Row],[WASH]]="", "", MROUND(tblPiNAnalysis512[[#This Row],[WASH]]/tblPiNAnalysis512[[#This Row],[Affected population projection 2026]], 0.05)), "")</f>
        <v>0.75</v>
      </c>
      <c r="AE221" s="322">
        <f>IFERROR(MROUND(tblPiNAnalysis512[[#This Row],[CP]]/tblPiNAnalysis512[[#This Row],[Affected population projection 2026]], 0.05), "")</f>
        <v>0</v>
      </c>
      <c r="AF221" s="322">
        <f>IFERROR(MROUND(tblPiNAnalysis512[[#This Row],[GBV]]/tblPiNAnalysis512[[#This Row],[Affected population projection 2026]], 0.05), "")</f>
        <v>0</v>
      </c>
      <c r="AG221" s="322">
        <f>IFERROR(MROUND(tblPiNAnalysis512[[#This Row],[Mine Action]]/tblPiNAnalysis512[[#This Row],[Affected population projection 2026]], 0.05), "")</f>
        <v>0</v>
      </c>
      <c r="AH221" s="322">
        <f>IFERROR(MROUND(tblPiNAnalysis512[[#This Row],[HLP]]/tblPiNAnalysis512[[#This Row],[Affected population projection 2026]], 0.05), "")</f>
        <v>0</v>
      </c>
      <c r="AI221" s="325">
        <f>IFERROR(LARGE(tblPiNAnalysis512[[#This Row],[CCCM]:[WASH]], 1), "")</f>
        <v>33192.949556788255</v>
      </c>
      <c r="AJ221" s="326" t="str" cm="1">
        <f t="array" ref="AJ221">IF(tblPiNAnalysis512[[#This Row],[Highest Target]]="", "", _xlfn.TEXTJOIN(CHAR(10), TRUE, IF(tblPiNAnalysis512[[#This Row],[Highest Target]]=tblPiNAnalysis512[[#This Row],[CCCM]:[WASH]], tblPiNAnalysis512[[#Headers],[CCCM]:[WASH]], "")))</f>
        <v>WASH</v>
      </c>
      <c r="AK221" s="327">
        <f>IF(tblPiNAnalysis512[[#This Row],[Highest Target]]="", "", tblPiNAnalysis512[[#This Row],[Highest Target]]/tblPiNAnalysis512[[#This Row],[Affected population projection 2026]])</f>
        <v>0.74999999999999989</v>
      </c>
      <c r="AL221" s="328" t="str">
        <f>IF(SUM(tblPiNAnalysis512[[#This Row],[CCCM]:[WASH]])=0, "",IF(COUNTIF(tblPiNAnalysis512[[#This Row],[CCCM]:[WASH]],"=0")+COUNTIF(tblPiNAnalysis512[[#This Row],[CCCM]:[WASH]],"")&gt;=zero_pin_thresh, "Flagged", ""))</f>
        <v/>
      </c>
      <c r="AM221" s="329" t="str">
        <f>IFERROR(IF(tblPiNAnalysis512[[#This Row],[Highest Target]]="", "", IF(tblPiNAnalysis512[[#This Row],[Highest sector(s'') Target %]]&gt;=flag_pin_perc, "Flagged", "")), "")</f>
        <v/>
      </c>
      <c r="AN221" s="330" t="str" cm="1">
        <f t="array" ref="AN221">IF(tblPiNAnalysis512[[#This Row],[Highest Target]]=0, "",  IF(OR(COUNTIF(tblPiNAnalysis512[[#This Row],[Highest sector(s)]],tblSubSectorPopulation[Sector])), "Flagged", ""))</f>
        <v/>
      </c>
      <c r="AO221" s="46" cm="1">
        <f t="array" ref="AO22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25678.83079632674</v>
      </c>
      <c r="AP221" s="331" t="str" cm="1">
        <f t="array" ref="AP221">IF(tblPiNAnalysis512[[#This Row],[2nd Highest Target]]="", "", _xlfn.TEXTJOIN(CHAR(10), TRUE, IF(tblPiNAnalysis512[[#This Row],[2nd Highest Target]]=tblPiNAnalysis512[[#This Row],[CCCM]:[WASH]], tblPiNAnalysis512[[#Headers],[CCCM]:[WASH]], "")))</f>
        <v>Health</v>
      </c>
      <c r="AQ221" s="36">
        <f>IFERROR(tblPiNAnalysis512[[#This Row],[2nd Highest Target]]/tblPiNAnalysis512[[#This Row],[Affected population projection 2026]], "")</f>
        <v>0.58021728573098108</v>
      </c>
      <c r="AR221" s="46">
        <f>IFERROR(tblPiNAnalysis512[[#This Row],[Highest Target]]-tblPiNAnalysis512[[#This Row],[2nd Highest Target]], "")</f>
        <v>7514.1187604615152</v>
      </c>
      <c r="AS221" s="39">
        <f>IFERROR(((tblPiNAnalysis512[[#This Row],[Highest Target]]-tblPiNAnalysis512[[#This Row],[2nd Highest Target]])/tblPiNAnalysis512[[#This Row],[2nd Highest Target]]),"")</f>
        <v>0.29261919360971766</v>
      </c>
      <c r="AT221" s="39" t="str" cm="1">
        <f t="array" ref="AT22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1" s="332" cm="1">
        <f t="array" ref="AU22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22810.630866941527</v>
      </c>
      <c r="AV221" s="190" t="str" cm="1">
        <f t="array" ref="AV221">IF(tblPiNAnalysis512[[#This Row],[3rd Highest Target]]="", "", _xlfn.TEXTJOIN(CHAR(10), TRUE, IF(tblPiNAnalysis512[[#This Row],[3rd Highest Target]]=tblPiNAnalysis512[[#This Row],[CCCM]:[WASH]], tblPiNAnalysis512[[#Headers],[CCCM]:[WASH]], "")))</f>
        <v>Food Security</v>
      </c>
      <c r="AW221" s="190">
        <f>IFERROR(tblPiNAnalysis512[[#This Row],[3rd Highest Target]]/tblPiNAnalysis512[[#This Row],[Affected population projection 2026]], "")</f>
        <v>0.51540984994228722</v>
      </c>
      <c r="AX221" s="45">
        <f>IFERROR(tblPiNAnalysis512[[#This Row],[Highest Target]]-tblPiNAnalysis512[[#This Row],[3rd Highest Target]],"")</f>
        <v>10382.318689846728</v>
      </c>
      <c r="AY221" s="39">
        <f>IFERROR(tblPiNAnalysis512[[#This Row],[Difference of Target between Highest and 3rd Highest]]/tblPiNAnalysis512[[#This Row],[3rd Highest Target]], "")</f>
        <v>0.45515263257770655</v>
      </c>
      <c r="AZ221" s="330" t="str" cm="1">
        <f t="array" ref="AZ22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1" s="300" t="str" cm="1">
        <f t="array" ref="BA22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1" s="333" t="str" cm="1">
        <f t="array" ref="BB22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
      </c>
      <c r="BC221" s="276" t="str" cm="1">
        <f t="array" ref="BC22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1" s="334" t="str" cm="1">
        <f t="array" ref="BD22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1" s="277" t="e">
        <f>INDEX(tblSeverityAnalysis[Final Severity], MATCH(tblPiNAnalysis512[[#This Row],[ID]],tblSeverityAnalysis[ID], 0))</f>
        <v>#N/A</v>
      </c>
      <c r="BF221" s="61" t="e">
        <f>IF(tblPiNAnalysis512[[#This Row],[Severity]]&gt;2,tblPiNAnalysis512[[#This Row],[Highest Target]],)</f>
        <v>#N/A</v>
      </c>
      <c r="BG221" s="191"/>
      <c r="BH221" s="192"/>
      <c r="BI221" s="193">
        <f>COUNTIFS(tblPiNAnalysis512[[#This Row],[Number of missing / zero PiNs greater than threshold - Data quality]:[Manual Flag]],"Flagged")</f>
        <v>1</v>
      </c>
      <c r="BJ221" s="96" t="str">
        <f>IF(tblPiNAnalysis512[[#This Row],['# Flags]]&gt;0, "Flagged", "")</f>
        <v>Flagged</v>
      </c>
      <c r="BK221" s="326" t="e">
        <f>tblPiNAnalysis512[[#This Row],[Preliminary Target]]</f>
        <v>#N/A</v>
      </c>
      <c r="BL221" s="331">
        <v>1</v>
      </c>
    </row>
    <row r="222" spans="1:64" x14ac:dyDescent="0.55000000000000004">
      <c r="A2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2" s="316" t="s">
        <v>368</v>
      </c>
      <c r="C222" s="317" t="s">
        <v>369</v>
      </c>
      <c r="D222" s="317" t="s">
        <v>370</v>
      </c>
      <c r="E222" s="105" t="s">
        <v>371</v>
      </c>
      <c r="F222" s="100"/>
      <c r="G222" s="34"/>
      <c r="H222" s="34"/>
      <c r="I222" s="97">
        <v>34983.329520759507</v>
      </c>
      <c r="J222" s="97" t="s">
        <v>414</v>
      </c>
      <c r="K222" s="318"/>
      <c r="L222" s="319"/>
      <c r="M222" s="319"/>
      <c r="N222" s="319"/>
      <c r="O222" s="319"/>
      <c r="P222" s="319"/>
      <c r="Q222" s="320"/>
      <c r="R222" s="319"/>
      <c r="S222" s="319"/>
      <c r="T222" s="319"/>
      <c r="U222" s="319"/>
      <c r="V222" s="319"/>
      <c r="W222" s="321" t="str">
        <f>IFERROR(IF(tblPiNAnalysis512[[#This Row],[CCCM]]="", "", MROUND(tblPiNAnalysis512[[#This Row],[CCCM]]/tblPiNAnalysis512[[#This Row],[Affected population projection 2026]], 0.05)), "")</f>
        <v/>
      </c>
      <c r="X222" s="322" t="str">
        <f>IFERROR(IF(tblPiNAnalysis512[[#This Row],[Education]]="", "", MROUND(tblPiNAnalysis512[[#This Row],[Education]]/tblPiNAnalysis512[[#This Row],[Affected population projection 2026]], 0.05)), "")</f>
        <v/>
      </c>
      <c r="Y222" s="322" t="str">
        <f>IFERROR(IF(tblPiNAnalysis512[[#This Row],[Nutrition]]="", "", MROUND(tblPiNAnalysis512[[#This Row],[Nutrition]]/tblPiNAnalysis512[[#This Row],[Affected population projection 2026]], 0.05)), "")</f>
        <v/>
      </c>
      <c r="Z222" s="322" t="str">
        <f>IFERROR(IF(tblPiNAnalysis512[[#This Row],[Food Security]]="", "", MROUND(tblPiNAnalysis512[[#This Row],[Food Security]]/tblPiNAnalysis512[[#This Row],[Affected population projection 2026]], 0.05)), "")</f>
        <v/>
      </c>
      <c r="AA222" s="322" t="str">
        <f>IFERROR(IF(tblPiNAnalysis512[[#This Row],[Health]]="", "", MROUND(tblPiNAnalysis512[[#This Row],[Health]]/tblPiNAnalysis512[[#This Row],[Affected population projection 2026]], 0.05)), "")</f>
        <v/>
      </c>
      <c r="AB222" s="323" t="str">
        <f>IFERROR(IF(tblPiNAnalysis512[[#This Row],[Overarching Protection]]="", "", MROUND(tblPiNAnalysis512[[#This Row],[Overarching Protection]]/tblPiNAnalysis512[[#This Row],[Affected population projection 2026]], 0.05)), "")</f>
        <v/>
      </c>
      <c r="AC222" s="323" t="str">
        <f>IFERROR(IF(tblPiNAnalysis512[[#This Row],[Shelter]]="", "", MROUND(tblPiNAnalysis512[[#This Row],[Shelter]]/tblPiNAnalysis512[[#This Row],[Affected population projection 2026]], 0.05)), "")</f>
        <v/>
      </c>
      <c r="AD222" s="324" t="str">
        <f>IFERROR(IF(tblPiNAnalysis512[[#This Row],[WASH]]="", "", MROUND(tblPiNAnalysis512[[#This Row],[WASH]]/tblPiNAnalysis512[[#This Row],[Affected population projection 2026]], 0.05)), "")</f>
        <v/>
      </c>
      <c r="AE222" s="322">
        <f>IFERROR(MROUND(tblPiNAnalysis512[[#This Row],[CP]]/tblPiNAnalysis512[[#This Row],[Affected population projection 2026]], 0.05), "")</f>
        <v>0</v>
      </c>
      <c r="AF222" s="322">
        <f>IFERROR(MROUND(tblPiNAnalysis512[[#This Row],[GBV]]/tblPiNAnalysis512[[#This Row],[Affected population projection 2026]], 0.05), "")</f>
        <v>0</v>
      </c>
      <c r="AG222" s="322">
        <f>IFERROR(MROUND(tblPiNAnalysis512[[#This Row],[Mine Action]]/tblPiNAnalysis512[[#This Row],[Affected population projection 2026]], 0.05), "")</f>
        <v>0</v>
      </c>
      <c r="AH222" s="322">
        <f>IFERROR(MROUND(tblPiNAnalysis512[[#This Row],[HLP]]/tblPiNAnalysis512[[#This Row],[Affected population projection 2026]], 0.05), "")</f>
        <v>0</v>
      </c>
      <c r="AI222" s="325" t="str">
        <f>IFERROR(LARGE(tblPiNAnalysis512[[#This Row],[CCCM]:[WASH]], 1), "")</f>
        <v/>
      </c>
      <c r="AJ222" s="326" t="str" cm="1">
        <f t="array" ref="AJ222">IF(tblPiNAnalysis512[[#This Row],[Highest Target]]="", "", _xlfn.TEXTJOIN(CHAR(10), TRUE, IF(tblPiNAnalysis512[[#This Row],[Highest Target]]=tblPiNAnalysis512[[#This Row],[CCCM]:[WASH]], tblPiNAnalysis512[[#Headers],[CCCM]:[WASH]], "")))</f>
        <v/>
      </c>
      <c r="AK222" s="327" t="str">
        <f>IF(tblPiNAnalysis512[[#This Row],[Highest Target]]="", "", tblPiNAnalysis512[[#This Row],[Highest Target]]/tblPiNAnalysis512[[#This Row],[Affected population projection 2026]])</f>
        <v/>
      </c>
      <c r="AL222" s="328" t="str">
        <f>IF(SUM(tblPiNAnalysis512[[#This Row],[CCCM]:[WASH]])=0, "",IF(COUNTIF(tblPiNAnalysis512[[#This Row],[CCCM]:[WASH]],"=0")+COUNTIF(tblPiNAnalysis512[[#This Row],[CCCM]:[WASH]],"")&gt;=zero_pin_thresh, "Flagged", ""))</f>
        <v/>
      </c>
      <c r="AM222" s="329" t="str">
        <f>IFERROR(IF(tblPiNAnalysis512[[#This Row],[Highest Target]]="", "", IF(tblPiNAnalysis512[[#This Row],[Highest sector(s'') Target %]]&gt;=flag_pin_perc, "Flagged", "")), "")</f>
        <v/>
      </c>
      <c r="AN222" s="330" t="str" cm="1">
        <f t="array" ref="AN222">IF(tblPiNAnalysis512[[#This Row],[Highest Target]]=0, "",  IF(OR(COUNTIF(tblPiNAnalysis512[[#This Row],[Highest sector(s)]],tblSubSectorPopulation[Sector])), "Flagged", ""))</f>
        <v/>
      </c>
      <c r="AO222" s="46" t="str" cm="1">
        <f t="array" ref="AO22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22" s="331" t="str" cm="1">
        <f t="array" ref="AP222">IF(tblPiNAnalysis512[[#This Row],[2nd Highest Target]]="", "", _xlfn.TEXTJOIN(CHAR(10), TRUE, IF(tblPiNAnalysis512[[#This Row],[2nd Highest Target]]=tblPiNAnalysis512[[#This Row],[CCCM]:[WASH]], tblPiNAnalysis512[[#Headers],[CCCM]:[WASH]], "")))</f>
        <v/>
      </c>
      <c r="AQ222" s="36" t="str">
        <f>IFERROR(tblPiNAnalysis512[[#This Row],[2nd Highest Target]]/tblPiNAnalysis512[[#This Row],[Affected population projection 2026]], "")</f>
        <v/>
      </c>
      <c r="AR222" s="46" t="str">
        <f>IFERROR(tblPiNAnalysis512[[#This Row],[Highest Target]]-tblPiNAnalysis512[[#This Row],[2nd Highest Target]], "")</f>
        <v/>
      </c>
      <c r="AS222" s="39" t="str">
        <f>IFERROR(((tblPiNAnalysis512[[#This Row],[Highest Target]]-tblPiNAnalysis512[[#This Row],[2nd Highest Target]])/tblPiNAnalysis512[[#This Row],[2nd Highest Target]]),"")</f>
        <v/>
      </c>
      <c r="AT222" s="39" t="str" cm="1">
        <f t="array" ref="AT22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2" s="332" t="str" cm="1">
        <f t="array" ref="AU22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22" s="190" t="str" cm="1">
        <f t="array" ref="AV222">IF(tblPiNAnalysis512[[#This Row],[3rd Highest Target]]="", "", _xlfn.TEXTJOIN(CHAR(10), TRUE, IF(tblPiNAnalysis512[[#This Row],[3rd Highest Target]]=tblPiNAnalysis512[[#This Row],[CCCM]:[WASH]], tblPiNAnalysis512[[#Headers],[CCCM]:[WASH]], "")))</f>
        <v/>
      </c>
      <c r="AW222" s="190" t="str">
        <f>IFERROR(tblPiNAnalysis512[[#This Row],[3rd Highest Target]]/tblPiNAnalysis512[[#This Row],[Affected population projection 2026]], "")</f>
        <v/>
      </c>
      <c r="AX222" s="45" t="str">
        <f>IFERROR(tblPiNAnalysis512[[#This Row],[Highest Target]]-tblPiNAnalysis512[[#This Row],[3rd Highest Target]],"")</f>
        <v/>
      </c>
      <c r="AY222" s="39" t="str">
        <f>IFERROR(tblPiNAnalysis512[[#This Row],[Difference of Target between Highest and 3rd Highest]]/tblPiNAnalysis512[[#This Row],[3rd Highest Target]], "")</f>
        <v/>
      </c>
      <c r="AZ222" s="330" t="str" cm="1">
        <f t="array" ref="AZ22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2" s="300" t="str" cm="1">
        <f t="array" ref="BA22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2" s="333" t="str" cm="1">
        <f t="array" ref="BB22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2" s="276" t="str" cm="1">
        <f t="array" ref="BC22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2" s="334" t="str" cm="1">
        <f t="array" ref="BD22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2" s="277" t="e">
        <f>INDEX(tblSeverityAnalysis[Final Severity], MATCH(tblPiNAnalysis512[[#This Row],[ID]],tblSeverityAnalysis[ID], 0))</f>
        <v>#N/A</v>
      </c>
      <c r="BF222" s="61" t="e">
        <f>IF(tblPiNAnalysis512[[#This Row],[Severity]]&gt;2,tblPiNAnalysis512[[#This Row],[Highest Target]],)</f>
        <v>#N/A</v>
      </c>
      <c r="BG222" s="191"/>
      <c r="BH222" s="192"/>
      <c r="BI222" s="193">
        <f>COUNTIFS(tblPiNAnalysis512[[#This Row],[Number of missing / zero PiNs greater than threshold - Data quality]:[Manual Flag]],"Flagged")</f>
        <v>2</v>
      </c>
      <c r="BJ222" s="96" t="str">
        <f>IF(tblPiNAnalysis512[[#This Row],['# Flags]]&gt;0, "Flagged", "")</f>
        <v>Flagged</v>
      </c>
      <c r="BK222" s="326" t="e">
        <f>tblPiNAnalysis512[[#This Row],[Preliminary Target]]</f>
        <v>#N/A</v>
      </c>
      <c r="BL222" s="331">
        <v>3</v>
      </c>
    </row>
    <row r="223" spans="1:64" x14ac:dyDescent="0.55000000000000004">
      <c r="A2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3" s="316" t="s">
        <v>368</v>
      </c>
      <c r="C223" s="317" t="s">
        <v>369</v>
      </c>
      <c r="D223" s="317" t="s">
        <v>372</v>
      </c>
      <c r="E223" s="105" t="s">
        <v>373</v>
      </c>
      <c r="F223" s="100"/>
      <c r="G223" s="34"/>
      <c r="H223" s="34"/>
      <c r="I223" s="97">
        <v>98408.747432231496</v>
      </c>
      <c r="J223" s="97" t="s">
        <v>414</v>
      </c>
      <c r="K223" s="318"/>
      <c r="L223" s="319"/>
      <c r="M223" s="319"/>
      <c r="N223" s="319"/>
      <c r="O223" s="319"/>
      <c r="P223" s="319"/>
      <c r="Q223" s="320"/>
      <c r="R223" s="319"/>
      <c r="S223" s="319"/>
      <c r="T223" s="319"/>
      <c r="U223" s="319"/>
      <c r="V223" s="319"/>
      <c r="W223" s="321" t="str">
        <f>IFERROR(IF(tblPiNAnalysis512[[#This Row],[CCCM]]="", "", MROUND(tblPiNAnalysis512[[#This Row],[CCCM]]/tblPiNAnalysis512[[#This Row],[Affected population projection 2026]], 0.05)), "")</f>
        <v/>
      </c>
      <c r="X223" s="322" t="str">
        <f>IFERROR(IF(tblPiNAnalysis512[[#This Row],[Education]]="", "", MROUND(tblPiNAnalysis512[[#This Row],[Education]]/tblPiNAnalysis512[[#This Row],[Affected population projection 2026]], 0.05)), "")</f>
        <v/>
      </c>
      <c r="Y223" s="322" t="str">
        <f>IFERROR(IF(tblPiNAnalysis512[[#This Row],[Nutrition]]="", "", MROUND(tblPiNAnalysis512[[#This Row],[Nutrition]]/tblPiNAnalysis512[[#This Row],[Affected population projection 2026]], 0.05)), "")</f>
        <v/>
      </c>
      <c r="Z223" s="322" t="str">
        <f>IFERROR(IF(tblPiNAnalysis512[[#This Row],[Food Security]]="", "", MROUND(tblPiNAnalysis512[[#This Row],[Food Security]]/tblPiNAnalysis512[[#This Row],[Affected population projection 2026]], 0.05)), "")</f>
        <v/>
      </c>
      <c r="AA223" s="322" t="str">
        <f>IFERROR(IF(tblPiNAnalysis512[[#This Row],[Health]]="", "", MROUND(tblPiNAnalysis512[[#This Row],[Health]]/tblPiNAnalysis512[[#This Row],[Affected population projection 2026]], 0.05)), "")</f>
        <v/>
      </c>
      <c r="AB223" s="323" t="str">
        <f>IFERROR(IF(tblPiNAnalysis512[[#This Row],[Overarching Protection]]="", "", MROUND(tblPiNAnalysis512[[#This Row],[Overarching Protection]]/tblPiNAnalysis512[[#This Row],[Affected population projection 2026]], 0.05)), "")</f>
        <v/>
      </c>
      <c r="AC223" s="323" t="str">
        <f>IFERROR(IF(tblPiNAnalysis512[[#This Row],[Shelter]]="", "", MROUND(tblPiNAnalysis512[[#This Row],[Shelter]]/tblPiNAnalysis512[[#This Row],[Affected population projection 2026]], 0.05)), "")</f>
        <v/>
      </c>
      <c r="AD223" s="324" t="str">
        <f>IFERROR(IF(tblPiNAnalysis512[[#This Row],[WASH]]="", "", MROUND(tblPiNAnalysis512[[#This Row],[WASH]]/tblPiNAnalysis512[[#This Row],[Affected population projection 2026]], 0.05)), "")</f>
        <v/>
      </c>
      <c r="AE223" s="322">
        <f>IFERROR(MROUND(tblPiNAnalysis512[[#This Row],[CP]]/tblPiNAnalysis512[[#This Row],[Affected population projection 2026]], 0.05), "")</f>
        <v>0</v>
      </c>
      <c r="AF223" s="322">
        <f>IFERROR(MROUND(tblPiNAnalysis512[[#This Row],[GBV]]/tblPiNAnalysis512[[#This Row],[Affected population projection 2026]], 0.05), "")</f>
        <v>0</v>
      </c>
      <c r="AG223" s="322">
        <f>IFERROR(MROUND(tblPiNAnalysis512[[#This Row],[Mine Action]]/tblPiNAnalysis512[[#This Row],[Affected population projection 2026]], 0.05), "")</f>
        <v>0</v>
      </c>
      <c r="AH223" s="322">
        <f>IFERROR(MROUND(tblPiNAnalysis512[[#This Row],[HLP]]/tblPiNAnalysis512[[#This Row],[Affected population projection 2026]], 0.05), "")</f>
        <v>0</v>
      </c>
      <c r="AI223" s="325" t="str">
        <f>IFERROR(LARGE(tblPiNAnalysis512[[#This Row],[CCCM]:[WASH]], 1), "")</f>
        <v/>
      </c>
      <c r="AJ223" s="326" t="str" cm="1">
        <f t="array" ref="AJ223">IF(tblPiNAnalysis512[[#This Row],[Highest Target]]="", "", _xlfn.TEXTJOIN(CHAR(10), TRUE, IF(tblPiNAnalysis512[[#This Row],[Highest Target]]=tblPiNAnalysis512[[#This Row],[CCCM]:[WASH]], tblPiNAnalysis512[[#Headers],[CCCM]:[WASH]], "")))</f>
        <v/>
      </c>
      <c r="AK223" s="327" t="str">
        <f>IF(tblPiNAnalysis512[[#This Row],[Highest Target]]="", "", tblPiNAnalysis512[[#This Row],[Highest Target]]/tblPiNAnalysis512[[#This Row],[Affected population projection 2026]])</f>
        <v/>
      </c>
      <c r="AL223" s="328" t="str">
        <f>IF(SUM(tblPiNAnalysis512[[#This Row],[CCCM]:[WASH]])=0, "",IF(COUNTIF(tblPiNAnalysis512[[#This Row],[CCCM]:[WASH]],"=0")+COUNTIF(tblPiNAnalysis512[[#This Row],[CCCM]:[WASH]],"")&gt;=zero_pin_thresh, "Flagged", ""))</f>
        <v/>
      </c>
      <c r="AM223" s="329" t="str">
        <f>IFERROR(IF(tblPiNAnalysis512[[#This Row],[Highest Target]]="", "", IF(tblPiNAnalysis512[[#This Row],[Highest sector(s'') Target %]]&gt;=flag_pin_perc, "Flagged", "")), "")</f>
        <v/>
      </c>
      <c r="AN223" s="330" t="str" cm="1">
        <f t="array" ref="AN223">IF(tblPiNAnalysis512[[#This Row],[Highest Target]]=0, "",  IF(OR(COUNTIF(tblPiNAnalysis512[[#This Row],[Highest sector(s)]],tblSubSectorPopulation[Sector])), "Flagged", ""))</f>
        <v/>
      </c>
      <c r="AO223" s="46" t="str" cm="1">
        <f t="array" ref="AO22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23" s="331" t="str" cm="1">
        <f t="array" ref="AP223">IF(tblPiNAnalysis512[[#This Row],[2nd Highest Target]]="", "", _xlfn.TEXTJOIN(CHAR(10), TRUE, IF(tblPiNAnalysis512[[#This Row],[2nd Highest Target]]=tblPiNAnalysis512[[#This Row],[CCCM]:[WASH]], tblPiNAnalysis512[[#Headers],[CCCM]:[WASH]], "")))</f>
        <v/>
      </c>
      <c r="AQ223" s="36" t="str">
        <f>IFERROR(tblPiNAnalysis512[[#This Row],[2nd Highest Target]]/tblPiNAnalysis512[[#This Row],[Affected population projection 2026]], "")</f>
        <v/>
      </c>
      <c r="AR223" s="46" t="str">
        <f>IFERROR(tblPiNAnalysis512[[#This Row],[Highest Target]]-tblPiNAnalysis512[[#This Row],[2nd Highest Target]], "")</f>
        <v/>
      </c>
      <c r="AS223" s="39" t="str">
        <f>IFERROR(((tblPiNAnalysis512[[#This Row],[Highest Target]]-tblPiNAnalysis512[[#This Row],[2nd Highest Target]])/tblPiNAnalysis512[[#This Row],[2nd Highest Target]]),"")</f>
        <v/>
      </c>
      <c r="AT223" s="39" t="str" cm="1">
        <f t="array" ref="AT22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3" s="332" t="str" cm="1">
        <f t="array" ref="AU22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23" s="190" t="str" cm="1">
        <f t="array" ref="AV223">IF(tblPiNAnalysis512[[#This Row],[3rd Highest Target]]="", "", _xlfn.TEXTJOIN(CHAR(10), TRUE, IF(tblPiNAnalysis512[[#This Row],[3rd Highest Target]]=tblPiNAnalysis512[[#This Row],[CCCM]:[WASH]], tblPiNAnalysis512[[#Headers],[CCCM]:[WASH]], "")))</f>
        <v/>
      </c>
      <c r="AW223" s="190" t="str">
        <f>IFERROR(tblPiNAnalysis512[[#This Row],[3rd Highest Target]]/tblPiNAnalysis512[[#This Row],[Affected population projection 2026]], "")</f>
        <v/>
      </c>
      <c r="AX223" s="45" t="str">
        <f>IFERROR(tblPiNAnalysis512[[#This Row],[Highest Target]]-tblPiNAnalysis512[[#This Row],[3rd Highest Target]],"")</f>
        <v/>
      </c>
      <c r="AY223" s="39" t="str">
        <f>IFERROR(tblPiNAnalysis512[[#This Row],[Difference of Target between Highest and 3rd Highest]]/tblPiNAnalysis512[[#This Row],[3rd Highest Target]], "")</f>
        <v/>
      </c>
      <c r="AZ223" s="330" t="str" cm="1">
        <f t="array" ref="AZ22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3" s="300" t="str" cm="1">
        <f t="array" ref="BA22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3" s="333" t="str" cm="1">
        <f t="array" ref="BB22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3" s="276" t="str" cm="1">
        <f t="array" ref="BC22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3" s="334" t="str" cm="1">
        <f t="array" ref="BD22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3" s="277" t="e">
        <f>INDEX(tblSeverityAnalysis[Final Severity], MATCH(tblPiNAnalysis512[[#This Row],[ID]],tblSeverityAnalysis[ID], 0))</f>
        <v>#N/A</v>
      </c>
      <c r="BF223" s="61" t="e">
        <f>IF(tblPiNAnalysis512[[#This Row],[Severity]]&gt;2,tblPiNAnalysis512[[#This Row],[Highest Target]],)</f>
        <v>#N/A</v>
      </c>
      <c r="BG223" s="191"/>
      <c r="BH223" s="192"/>
      <c r="BI223" s="193">
        <f>COUNTIFS(tblPiNAnalysis512[[#This Row],[Number of missing / zero PiNs greater than threshold - Data quality]:[Manual Flag]],"Flagged")</f>
        <v>2</v>
      </c>
      <c r="BJ223" s="96" t="str">
        <f>IF(tblPiNAnalysis512[[#This Row],['# Flags]]&gt;0, "Flagged", "")</f>
        <v>Flagged</v>
      </c>
      <c r="BK223" s="326" t="e">
        <f>tblPiNAnalysis512[[#This Row],[Preliminary Target]]</f>
        <v>#N/A</v>
      </c>
      <c r="BL223" s="331">
        <v>3</v>
      </c>
    </row>
    <row r="224" spans="1:64" x14ac:dyDescent="0.55000000000000004">
      <c r="A2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4" s="316" t="s">
        <v>368</v>
      </c>
      <c r="C224" s="317" t="s">
        <v>369</v>
      </c>
      <c r="D224" s="317" t="s">
        <v>374</v>
      </c>
      <c r="E224" s="105" t="s">
        <v>375</v>
      </c>
      <c r="F224" s="100"/>
      <c r="G224" s="34"/>
      <c r="H224" s="34"/>
      <c r="I224" s="97">
        <v>17868.834713485074</v>
      </c>
      <c r="J224" s="97" t="s">
        <v>414</v>
      </c>
      <c r="K224" s="318">
        <v>0</v>
      </c>
      <c r="L224" s="319">
        <v>5845.6498996058772</v>
      </c>
      <c r="M224" s="319">
        <v>4472.1630515652214</v>
      </c>
      <c r="N224" s="319">
        <v>7378.8208715572273</v>
      </c>
      <c r="O224" s="319">
        <v>5350.4669219999969</v>
      </c>
      <c r="P224" s="319">
        <v>7189.5812967104912</v>
      </c>
      <c r="Q224" s="320">
        <v>8528.3074768906026</v>
      </c>
      <c r="R224" s="319">
        <v>2679.4060282823557</v>
      </c>
      <c r="S224" s="319"/>
      <c r="T224" s="319"/>
      <c r="U224" s="319"/>
      <c r="V224" s="319"/>
      <c r="W224" s="321">
        <f>IFERROR(IF(tblPiNAnalysis512[[#This Row],[CCCM]]="", "", MROUND(tblPiNAnalysis512[[#This Row],[CCCM]]/tblPiNAnalysis512[[#This Row],[Affected population projection 2026]], 0.05)), "")</f>
        <v>0</v>
      </c>
      <c r="X224" s="322">
        <f>IFERROR(IF(tblPiNAnalysis512[[#This Row],[Education]]="", "", MROUND(tblPiNAnalysis512[[#This Row],[Education]]/tblPiNAnalysis512[[#This Row],[Affected population projection 2026]], 0.05)), "")</f>
        <v>0.35000000000000003</v>
      </c>
      <c r="Y224" s="322">
        <f>IFERROR(IF(tblPiNAnalysis512[[#This Row],[Nutrition]]="", "", MROUND(tblPiNAnalysis512[[#This Row],[Nutrition]]/tblPiNAnalysis512[[#This Row],[Affected population projection 2026]], 0.05)), "")</f>
        <v>0.25</v>
      </c>
      <c r="Z224" s="322">
        <f>IFERROR(IF(tblPiNAnalysis512[[#This Row],[Food Security]]="", "", MROUND(tblPiNAnalysis512[[#This Row],[Food Security]]/tblPiNAnalysis512[[#This Row],[Affected population projection 2026]], 0.05)), "")</f>
        <v>0.4</v>
      </c>
      <c r="AA224" s="322">
        <f>IFERROR(IF(tblPiNAnalysis512[[#This Row],[Health]]="", "", MROUND(tblPiNAnalysis512[[#This Row],[Health]]/tblPiNAnalysis512[[#This Row],[Affected population projection 2026]], 0.05)), "")</f>
        <v>0.30000000000000004</v>
      </c>
      <c r="AB224" s="323">
        <f>IFERROR(IF(tblPiNAnalysis512[[#This Row],[Overarching Protection]]="", "", MROUND(tblPiNAnalysis512[[#This Row],[Overarching Protection]]/tblPiNAnalysis512[[#This Row],[Affected population projection 2026]], 0.05)), "")</f>
        <v>0.4</v>
      </c>
      <c r="AC224" s="323">
        <f>IFERROR(IF(tblPiNAnalysis512[[#This Row],[Shelter]]="", "", MROUND(tblPiNAnalysis512[[#This Row],[Shelter]]/tblPiNAnalysis512[[#This Row],[Affected population projection 2026]], 0.05)), "")</f>
        <v>0.5</v>
      </c>
      <c r="AD224" s="324">
        <f>IFERROR(IF(tblPiNAnalysis512[[#This Row],[WASH]]="", "", MROUND(tblPiNAnalysis512[[#This Row],[WASH]]/tblPiNAnalysis512[[#This Row],[Affected population projection 2026]], 0.05)), "")</f>
        <v>0.15000000000000002</v>
      </c>
      <c r="AE224" s="322">
        <f>IFERROR(MROUND(tblPiNAnalysis512[[#This Row],[CP]]/tblPiNAnalysis512[[#This Row],[Affected population projection 2026]], 0.05), "")</f>
        <v>0</v>
      </c>
      <c r="AF224" s="322">
        <f>IFERROR(MROUND(tblPiNAnalysis512[[#This Row],[GBV]]/tblPiNAnalysis512[[#This Row],[Affected population projection 2026]], 0.05), "")</f>
        <v>0</v>
      </c>
      <c r="AG224" s="322">
        <f>IFERROR(MROUND(tblPiNAnalysis512[[#This Row],[Mine Action]]/tblPiNAnalysis512[[#This Row],[Affected population projection 2026]], 0.05), "")</f>
        <v>0</v>
      </c>
      <c r="AH224" s="322">
        <f>IFERROR(MROUND(tblPiNAnalysis512[[#This Row],[HLP]]/tblPiNAnalysis512[[#This Row],[Affected population projection 2026]], 0.05), "")</f>
        <v>0</v>
      </c>
      <c r="AI224" s="325">
        <f>IFERROR(LARGE(tblPiNAnalysis512[[#This Row],[CCCM]:[WASH]], 1), "")</f>
        <v>8528.3074768906026</v>
      </c>
      <c r="AJ224" s="326" t="str" cm="1">
        <f t="array" ref="AJ224">IF(tblPiNAnalysis512[[#This Row],[Highest Target]]="", "", _xlfn.TEXTJOIN(CHAR(10), TRUE, IF(tblPiNAnalysis512[[#This Row],[Highest Target]]=tblPiNAnalysis512[[#This Row],[CCCM]:[WASH]], tblPiNAnalysis512[[#Headers],[CCCM]:[WASH]], "")))</f>
        <v>Shelter</v>
      </c>
      <c r="AK224" s="327">
        <f>IF(tblPiNAnalysis512[[#This Row],[Highest Target]]="", "", tblPiNAnalysis512[[#This Row],[Highest Target]]/tblPiNAnalysis512[[#This Row],[Affected population projection 2026]])</f>
        <v>0.47727272727272724</v>
      </c>
      <c r="AL224" s="328" t="str">
        <f>IF(SUM(tblPiNAnalysis512[[#This Row],[CCCM]:[WASH]])=0, "",IF(COUNTIF(tblPiNAnalysis512[[#This Row],[CCCM]:[WASH]],"=0")+COUNTIF(tblPiNAnalysis512[[#This Row],[CCCM]:[WASH]],"")&gt;=zero_pin_thresh, "Flagged", ""))</f>
        <v/>
      </c>
      <c r="AM224" s="329" t="str">
        <f>IFERROR(IF(tblPiNAnalysis512[[#This Row],[Highest Target]]="", "", IF(tblPiNAnalysis512[[#This Row],[Highest sector(s'') Target %]]&gt;=flag_pin_perc, "Flagged", "")), "")</f>
        <v/>
      </c>
      <c r="AN224" s="330" t="str" cm="1">
        <f t="array" ref="AN224">IF(tblPiNAnalysis512[[#This Row],[Highest Target]]=0, "",  IF(OR(COUNTIF(tblPiNAnalysis512[[#This Row],[Highest sector(s)]],tblSubSectorPopulation[Sector])), "Flagged", ""))</f>
        <v/>
      </c>
      <c r="AO224" s="46" cm="1">
        <f t="array" ref="AO22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7378.8208715572273</v>
      </c>
      <c r="AP224" s="331" t="str" cm="1">
        <f t="array" ref="AP224">IF(tblPiNAnalysis512[[#This Row],[2nd Highest Target]]="", "", _xlfn.TEXTJOIN(CHAR(10), TRUE, IF(tblPiNAnalysis512[[#This Row],[2nd Highest Target]]=tblPiNAnalysis512[[#This Row],[CCCM]:[WASH]], tblPiNAnalysis512[[#Headers],[CCCM]:[WASH]], "")))</f>
        <v>Food Security</v>
      </c>
      <c r="AQ224" s="36">
        <f>IFERROR(tblPiNAnalysis512[[#This Row],[2nd Highest Target]]/tblPiNAnalysis512[[#This Row],[Affected population projection 2026]], "")</f>
        <v>0.41294359648358336</v>
      </c>
      <c r="AR224" s="46">
        <f>IFERROR(tblPiNAnalysis512[[#This Row],[Highest Target]]-tblPiNAnalysis512[[#This Row],[2nd Highest Target]], "")</f>
        <v>1149.4866053333753</v>
      </c>
      <c r="AS224" s="39">
        <f>IFERROR(((tblPiNAnalysis512[[#This Row],[Highest Target]]-tblPiNAnalysis512[[#This Row],[2nd Highest Target]])/tblPiNAnalysis512[[#This Row],[2nd Highest Target]]),"")</f>
        <v>0.15578188240945703</v>
      </c>
      <c r="AT224" s="39" t="str" cm="1">
        <f t="array" ref="AT22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4" s="332" cm="1">
        <f t="array" ref="AU22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7189.5812967104912</v>
      </c>
      <c r="AV224" s="190" t="str" cm="1">
        <f t="array" ref="AV224">IF(tblPiNAnalysis512[[#This Row],[3rd Highest Target]]="", "", _xlfn.TEXTJOIN(CHAR(10), TRUE, IF(tblPiNAnalysis512[[#This Row],[3rd Highest Target]]=tblPiNAnalysis512[[#This Row],[CCCM]:[WASH]], tblPiNAnalysis512[[#Headers],[CCCM]:[WASH]], "")))</f>
        <v>Overarching Protection</v>
      </c>
      <c r="AW224" s="190">
        <f>IFERROR(tblPiNAnalysis512[[#This Row],[3rd Highest Target]]/tblPiNAnalysis512[[#This Row],[Affected population projection 2026]], "")</f>
        <v>0.40235311434632781</v>
      </c>
      <c r="AX224" s="45">
        <f>IFERROR(tblPiNAnalysis512[[#This Row],[Highest Target]]-tblPiNAnalysis512[[#This Row],[3rd Highest Target]],"")</f>
        <v>1338.7261801801114</v>
      </c>
      <c r="AY224" s="39">
        <f>IFERROR(tblPiNAnalysis512[[#This Row],[Difference of Target between Highest and 3rd Highest]]/tblPiNAnalysis512[[#This Row],[3rd Highest Target]], "")</f>
        <v>0.18620363619681579</v>
      </c>
      <c r="AZ224" s="330" t="str" cm="1">
        <f t="array" ref="AZ22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4" s="300" t="str" cm="1">
        <f t="array" ref="BA22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4" s="333" t="str" cm="1">
        <f t="array" ref="BB22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4" s="276" t="str" cm="1">
        <f t="array" ref="BC22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4" s="334" t="str" cm="1">
        <f t="array" ref="BD22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24" s="277" t="e">
        <f>INDEX(tblSeverityAnalysis[Final Severity], MATCH(tblPiNAnalysis512[[#This Row],[ID]],tblSeverityAnalysis[ID], 0))</f>
        <v>#N/A</v>
      </c>
      <c r="BF224" s="61" t="e">
        <f>IF(tblPiNAnalysis512[[#This Row],[Severity]]&gt;2,tblPiNAnalysis512[[#This Row],[Highest Target]],)</f>
        <v>#N/A</v>
      </c>
      <c r="BG224" s="191"/>
      <c r="BH224" s="192"/>
      <c r="BI224" s="193">
        <f>COUNTIFS(tblPiNAnalysis512[[#This Row],[Number of missing / zero PiNs greater than threshold - Data quality]:[Manual Flag]],"Flagged")</f>
        <v>1</v>
      </c>
      <c r="BJ224" s="96" t="str">
        <f>IF(tblPiNAnalysis512[[#This Row],['# Flags]]&gt;0, "Flagged", "")</f>
        <v>Flagged</v>
      </c>
      <c r="BK224" s="326" t="e">
        <f>tblPiNAnalysis512[[#This Row],[Preliminary Target]]</f>
        <v>#N/A</v>
      </c>
      <c r="BL224" s="331">
        <v>2</v>
      </c>
    </row>
    <row r="225" spans="1:64" x14ac:dyDescent="0.55000000000000004">
      <c r="A2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5" s="316" t="s">
        <v>368</v>
      </c>
      <c r="C225" s="317" t="s">
        <v>369</v>
      </c>
      <c r="D225" s="317" t="s">
        <v>376</v>
      </c>
      <c r="E225" s="105" t="s">
        <v>377</v>
      </c>
      <c r="F225" s="100"/>
      <c r="G225" s="34"/>
      <c r="H225" s="34"/>
      <c r="I225" s="97">
        <v>13129.238762438523</v>
      </c>
      <c r="J225" s="97" t="s">
        <v>414</v>
      </c>
      <c r="K225" s="318"/>
      <c r="L225" s="319"/>
      <c r="M225" s="319"/>
      <c r="N225" s="319"/>
      <c r="O225" s="319"/>
      <c r="P225" s="319"/>
      <c r="Q225" s="320"/>
      <c r="R225" s="319"/>
      <c r="S225" s="319"/>
      <c r="T225" s="319"/>
      <c r="U225" s="319"/>
      <c r="V225" s="319"/>
      <c r="W225" s="321" t="str">
        <f>IFERROR(IF(tblPiNAnalysis512[[#This Row],[CCCM]]="", "", MROUND(tblPiNAnalysis512[[#This Row],[CCCM]]/tblPiNAnalysis512[[#This Row],[Affected population projection 2026]], 0.05)), "")</f>
        <v/>
      </c>
      <c r="X225" s="322" t="str">
        <f>IFERROR(IF(tblPiNAnalysis512[[#This Row],[Education]]="", "", MROUND(tblPiNAnalysis512[[#This Row],[Education]]/tblPiNAnalysis512[[#This Row],[Affected population projection 2026]], 0.05)), "")</f>
        <v/>
      </c>
      <c r="Y225" s="322" t="str">
        <f>IFERROR(IF(tblPiNAnalysis512[[#This Row],[Nutrition]]="", "", MROUND(tblPiNAnalysis512[[#This Row],[Nutrition]]/tblPiNAnalysis512[[#This Row],[Affected population projection 2026]], 0.05)), "")</f>
        <v/>
      </c>
      <c r="Z225" s="322" t="str">
        <f>IFERROR(IF(tblPiNAnalysis512[[#This Row],[Food Security]]="", "", MROUND(tblPiNAnalysis512[[#This Row],[Food Security]]/tblPiNAnalysis512[[#This Row],[Affected population projection 2026]], 0.05)), "")</f>
        <v/>
      </c>
      <c r="AA225" s="322" t="str">
        <f>IFERROR(IF(tblPiNAnalysis512[[#This Row],[Health]]="", "", MROUND(tblPiNAnalysis512[[#This Row],[Health]]/tblPiNAnalysis512[[#This Row],[Affected population projection 2026]], 0.05)), "")</f>
        <v/>
      </c>
      <c r="AB225" s="323" t="str">
        <f>IFERROR(IF(tblPiNAnalysis512[[#This Row],[Overarching Protection]]="", "", MROUND(tblPiNAnalysis512[[#This Row],[Overarching Protection]]/tblPiNAnalysis512[[#This Row],[Affected population projection 2026]], 0.05)), "")</f>
        <v/>
      </c>
      <c r="AC225" s="323" t="str">
        <f>IFERROR(IF(tblPiNAnalysis512[[#This Row],[Shelter]]="", "", MROUND(tblPiNAnalysis512[[#This Row],[Shelter]]/tblPiNAnalysis512[[#This Row],[Affected population projection 2026]], 0.05)), "")</f>
        <v/>
      </c>
      <c r="AD225" s="324" t="str">
        <f>IFERROR(IF(tblPiNAnalysis512[[#This Row],[WASH]]="", "", MROUND(tblPiNAnalysis512[[#This Row],[WASH]]/tblPiNAnalysis512[[#This Row],[Affected population projection 2026]], 0.05)), "")</f>
        <v/>
      </c>
      <c r="AE225" s="322">
        <f>IFERROR(MROUND(tblPiNAnalysis512[[#This Row],[CP]]/tblPiNAnalysis512[[#This Row],[Affected population projection 2026]], 0.05), "")</f>
        <v>0</v>
      </c>
      <c r="AF225" s="322">
        <f>IFERROR(MROUND(tblPiNAnalysis512[[#This Row],[GBV]]/tblPiNAnalysis512[[#This Row],[Affected population projection 2026]], 0.05), "")</f>
        <v>0</v>
      </c>
      <c r="AG225" s="322">
        <f>IFERROR(MROUND(tblPiNAnalysis512[[#This Row],[Mine Action]]/tblPiNAnalysis512[[#This Row],[Affected population projection 2026]], 0.05), "")</f>
        <v>0</v>
      </c>
      <c r="AH225" s="322">
        <f>IFERROR(MROUND(tblPiNAnalysis512[[#This Row],[HLP]]/tblPiNAnalysis512[[#This Row],[Affected population projection 2026]], 0.05), "")</f>
        <v>0</v>
      </c>
      <c r="AI225" s="325" t="str">
        <f>IFERROR(LARGE(tblPiNAnalysis512[[#This Row],[CCCM]:[WASH]], 1), "")</f>
        <v/>
      </c>
      <c r="AJ225" s="326" t="str" cm="1">
        <f t="array" ref="AJ225">IF(tblPiNAnalysis512[[#This Row],[Highest Target]]="", "", _xlfn.TEXTJOIN(CHAR(10), TRUE, IF(tblPiNAnalysis512[[#This Row],[Highest Target]]=tblPiNAnalysis512[[#This Row],[CCCM]:[WASH]], tblPiNAnalysis512[[#Headers],[CCCM]:[WASH]], "")))</f>
        <v/>
      </c>
      <c r="AK225" s="327" t="str">
        <f>IF(tblPiNAnalysis512[[#This Row],[Highest Target]]="", "", tblPiNAnalysis512[[#This Row],[Highest Target]]/tblPiNAnalysis512[[#This Row],[Affected population projection 2026]])</f>
        <v/>
      </c>
      <c r="AL225" s="328" t="str">
        <f>IF(SUM(tblPiNAnalysis512[[#This Row],[CCCM]:[WASH]])=0, "",IF(COUNTIF(tblPiNAnalysis512[[#This Row],[CCCM]:[WASH]],"=0")+COUNTIF(tblPiNAnalysis512[[#This Row],[CCCM]:[WASH]],"")&gt;=zero_pin_thresh, "Flagged", ""))</f>
        <v/>
      </c>
      <c r="AM225" s="329" t="str">
        <f>IFERROR(IF(tblPiNAnalysis512[[#This Row],[Highest Target]]="", "", IF(tblPiNAnalysis512[[#This Row],[Highest sector(s'') Target %]]&gt;=flag_pin_perc, "Flagged", "")), "")</f>
        <v/>
      </c>
      <c r="AN225" s="330" t="str" cm="1">
        <f t="array" ref="AN225">IF(tblPiNAnalysis512[[#This Row],[Highest Target]]=0, "",  IF(OR(COUNTIF(tblPiNAnalysis512[[#This Row],[Highest sector(s)]],tblSubSectorPopulation[Sector])), "Flagged", ""))</f>
        <v/>
      </c>
      <c r="AO225" s="46" t="str" cm="1">
        <f t="array" ref="AO22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25" s="331" t="str" cm="1">
        <f t="array" ref="AP225">IF(tblPiNAnalysis512[[#This Row],[2nd Highest Target]]="", "", _xlfn.TEXTJOIN(CHAR(10), TRUE, IF(tblPiNAnalysis512[[#This Row],[2nd Highest Target]]=tblPiNAnalysis512[[#This Row],[CCCM]:[WASH]], tblPiNAnalysis512[[#Headers],[CCCM]:[WASH]], "")))</f>
        <v/>
      </c>
      <c r="AQ225" s="36" t="str">
        <f>IFERROR(tblPiNAnalysis512[[#This Row],[2nd Highest Target]]/tblPiNAnalysis512[[#This Row],[Affected population projection 2026]], "")</f>
        <v/>
      </c>
      <c r="AR225" s="46" t="str">
        <f>IFERROR(tblPiNAnalysis512[[#This Row],[Highest Target]]-tblPiNAnalysis512[[#This Row],[2nd Highest Target]], "")</f>
        <v/>
      </c>
      <c r="AS225" s="39" t="str">
        <f>IFERROR(((tblPiNAnalysis512[[#This Row],[Highest Target]]-tblPiNAnalysis512[[#This Row],[2nd Highest Target]])/tblPiNAnalysis512[[#This Row],[2nd Highest Target]]),"")</f>
        <v/>
      </c>
      <c r="AT225" s="39" t="str" cm="1">
        <f t="array" ref="AT22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5" s="332" t="str" cm="1">
        <f t="array" ref="AU22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25" s="190" t="str" cm="1">
        <f t="array" ref="AV225">IF(tblPiNAnalysis512[[#This Row],[3rd Highest Target]]="", "", _xlfn.TEXTJOIN(CHAR(10), TRUE, IF(tblPiNAnalysis512[[#This Row],[3rd Highest Target]]=tblPiNAnalysis512[[#This Row],[CCCM]:[WASH]], tblPiNAnalysis512[[#Headers],[CCCM]:[WASH]], "")))</f>
        <v/>
      </c>
      <c r="AW225" s="190" t="str">
        <f>IFERROR(tblPiNAnalysis512[[#This Row],[3rd Highest Target]]/tblPiNAnalysis512[[#This Row],[Affected population projection 2026]], "")</f>
        <v/>
      </c>
      <c r="AX225" s="45" t="str">
        <f>IFERROR(tblPiNAnalysis512[[#This Row],[Highest Target]]-tblPiNAnalysis512[[#This Row],[3rd Highest Target]],"")</f>
        <v/>
      </c>
      <c r="AY225" s="39" t="str">
        <f>IFERROR(tblPiNAnalysis512[[#This Row],[Difference of Target between Highest and 3rd Highest]]/tblPiNAnalysis512[[#This Row],[3rd Highest Target]], "")</f>
        <v/>
      </c>
      <c r="AZ225" s="330" t="str" cm="1">
        <f t="array" ref="AZ22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5" s="300" t="str" cm="1">
        <f t="array" ref="BA22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5" s="333" t="str" cm="1">
        <f t="array" ref="BB22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5" s="276" t="str" cm="1">
        <f t="array" ref="BC22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5" s="334" t="str" cm="1">
        <f t="array" ref="BD22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5" s="277" t="e">
        <f>INDEX(tblSeverityAnalysis[Final Severity], MATCH(tblPiNAnalysis512[[#This Row],[ID]],tblSeverityAnalysis[ID], 0))</f>
        <v>#N/A</v>
      </c>
      <c r="BF225" s="61" t="e">
        <f>IF(tblPiNAnalysis512[[#This Row],[Severity]]&gt;2,tblPiNAnalysis512[[#This Row],[Highest Target]],)</f>
        <v>#N/A</v>
      </c>
      <c r="BG225" s="191"/>
      <c r="BH225" s="192"/>
      <c r="BI225" s="193">
        <f>COUNTIFS(tblPiNAnalysis512[[#This Row],[Number of missing / zero PiNs greater than threshold - Data quality]:[Manual Flag]],"Flagged")</f>
        <v>2</v>
      </c>
      <c r="BJ225" s="96" t="str">
        <f>IF(tblPiNAnalysis512[[#This Row],['# Flags]]&gt;0, "Flagged", "")</f>
        <v>Flagged</v>
      </c>
      <c r="BK225" s="326" t="e">
        <f>tblPiNAnalysis512[[#This Row],[Preliminary Target]]</f>
        <v>#N/A</v>
      </c>
      <c r="BL225" s="331">
        <v>3</v>
      </c>
    </row>
    <row r="226" spans="1:64" ht="110.7" x14ac:dyDescent="0.55000000000000004">
      <c r="A2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6" s="316" t="s">
        <v>368</v>
      </c>
      <c r="C226" s="317" t="s">
        <v>369</v>
      </c>
      <c r="D226" s="317" t="s">
        <v>378</v>
      </c>
      <c r="E226" s="105" t="s">
        <v>379</v>
      </c>
      <c r="F226" s="100"/>
      <c r="G226" s="34"/>
      <c r="H226" s="34"/>
      <c r="I226" s="97">
        <v>8647.438167676999</v>
      </c>
      <c r="J226" s="97" t="s">
        <v>414</v>
      </c>
      <c r="K226" s="318">
        <v>0</v>
      </c>
      <c r="L226" s="319">
        <v>0</v>
      </c>
      <c r="M226" s="319">
        <v>0</v>
      </c>
      <c r="N226" s="319">
        <v>0</v>
      </c>
      <c r="O226" s="319">
        <v>0</v>
      </c>
      <c r="P226" s="319">
        <v>0</v>
      </c>
      <c r="Q226" s="320">
        <v>0</v>
      </c>
      <c r="R226" s="319">
        <v>0</v>
      </c>
      <c r="S226" s="319"/>
      <c r="T226" s="319"/>
      <c r="U226" s="319"/>
      <c r="V226" s="319"/>
      <c r="W226" s="321">
        <f>IFERROR(IF(tblPiNAnalysis512[[#This Row],[CCCM]]="", "", MROUND(tblPiNAnalysis512[[#This Row],[CCCM]]/tblPiNAnalysis512[[#This Row],[Affected population projection 2026]], 0.05)), "")</f>
        <v>0</v>
      </c>
      <c r="X226" s="322">
        <f>IFERROR(IF(tblPiNAnalysis512[[#This Row],[Education]]="", "", MROUND(tblPiNAnalysis512[[#This Row],[Education]]/tblPiNAnalysis512[[#This Row],[Affected population projection 2026]], 0.05)), "")</f>
        <v>0</v>
      </c>
      <c r="Y226" s="322">
        <f>IFERROR(IF(tblPiNAnalysis512[[#This Row],[Nutrition]]="", "", MROUND(tblPiNAnalysis512[[#This Row],[Nutrition]]/tblPiNAnalysis512[[#This Row],[Affected population projection 2026]], 0.05)), "")</f>
        <v>0</v>
      </c>
      <c r="Z226" s="322">
        <f>IFERROR(IF(tblPiNAnalysis512[[#This Row],[Food Security]]="", "", MROUND(tblPiNAnalysis512[[#This Row],[Food Security]]/tblPiNAnalysis512[[#This Row],[Affected population projection 2026]], 0.05)), "")</f>
        <v>0</v>
      </c>
      <c r="AA226" s="322">
        <f>IFERROR(IF(tblPiNAnalysis512[[#This Row],[Health]]="", "", MROUND(tblPiNAnalysis512[[#This Row],[Health]]/tblPiNAnalysis512[[#This Row],[Affected population projection 2026]], 0.05)), "")</f>
        <v>0</v>
      </c>
      <c r="AB226" s="323">
        <f>IFERROR(IF(tblPiNAnalysis512[[#This Row],[Overarching Protection]]="", "", MROUND(tblPiNAnalysis512[[#This Row],[Overarching Protection]]/tblPiNAnalysis512[[#This Row],[Affected population projection 2026]], 0.05)), "")</f>
        <v>0</v>
      </c>
      <c r="AC226" s="323">
        <f>IFERROR(IF(tblPiNAnalysis512[[#This Row],[Shelter]]="", "", MROUND(tblPiNAnalysis512[[#This Row],[Shelter]]/tblPiNAnalysis512[[#This Row],[Affected population projection 2026]], 0.05)), "")</f>
        <v>0</v>
      </c>
      <c r="AD226" s="324">
        <f>IFERROR(IF(tblPiNAnalysis512[[#This Row],[WASH]]="", "", MROUND(tblPiNAnalysis512[[#This Row],[WASH]]/tblPiNAnalysis512[[#This Row],[Affected population projection 2026]], 0.05)), "")</f>
        <v>0</v>
      </c>
      <c r="AE226" s="322">
        <f>IFERROR(MROUND(tblPiNAnalysis512[[#This Row],[CP]]/tblPiNAnalysis512[[#This Row],[Affected population projection 2026]], 0.05), "")</f>
        <v>0</v>
      </c>
      <c r="AF226" s="322">
        <f>IFERROR(MROUND(tblPiNAnalysis512[[#This Row],[GBV]]/tblPiNAnalysis512[[#This Row],[Affected population projection 2026]], 0.05), "")</f>
        <v>0</v>
      </c>
      <c r="AG226" s="322">
        <f>IFERROR(MROUND(tblPiNAnalysis512[[#This Row],[Mine Action]]/tblPiNAnalysis512[[#This Row],[Affected population projection 2026]], 0.05), "")</f>
        <v>0</v>
      </c>
      <c r="AH226" s="322">
        <f>IFERROR(MROUND(tblPiNAnalysis512[[#This Row],[HLP]]/tblPiNAnalysis512[[#This Row],[Affected population projection 2026]], 0.05), "")</f>
        <v>0</v>
      </c>
      <c r="AI226" s="325">
        <f>IFERROR(LARGE(tblPiNAnalysis512[[#This Row],[CCCM]:[WASH]], 1), "")</f>
        <v>0</v>
      </c>
      <c r="AJ226" s="326" t="str" cm="1">
        <f t="array" ref="AJ226">IF(tblPiNAnalysis512[[#This Row],[Highest Target]]="", "", _xlfn.TEXTJOIN(CHAR(10), TRUE, IF(tblPiNAnalysis512[[#This Row],[Highest Target]]=tblPiNAnalysis512[[#This Row],[CCCM]:[WASH]], tblPiNAnalysis512[[#Headers],[CCCM]:[WASH]], "")))</f>
        <v>CCCM
Education
Nutrition
Food Security
Health
Overarching Protection
Shelter
WASH</v>
      </c>
      <c r="AK226" s="327">
        <f>IF(tblPiNAnalysis512[[#This Row],[Highest Target]]="", "", tblPiNAnalysis512[[#This Row],[Highest Target]]/tblPiNAnalysis512[[#This Row],[Affected population projection 2026]])</f>
        <v>0</v>
      </c>
      <c r="AL226" s="328" t="str">
        <f>IF(SUM(tblPiNAnalysis512[[#This Row],[CCCM]:[WASH]])=0, "",IF(COUNTIF(tblPiNAnalysis512[[#This Row],[CCCM]:[WASH]],"=0")+COUNTIF(tblPiNAnalysis512[[#This Row],[CCCM]:[WASH]],"")&gt;=zero_pin_thresh, "Flagged", ""))</f>
        <v/>
      </c>
      <c r="AM226" s="329" t="str">
        <f>IFERROR(IF(tblPiNAnalysis512[[#This Row],[Highest Target]]="", "", IF(tblPiNAnalysis512[[#This Row],[Highest sector(s'') Target %]]&gt;=flag_pin_perc, "Flagged", "")), "")</f>
        <v/>
      </c>
      <c r="AN226" s="330" t="str" cm="1">
        <f t="array" ref="AN226">IF(tblPiNAnalysis512[[#This Row],[Highest Target]]=0, "",  IF(OR(COUNTIF(tblPiNAnalysis512[[#This Row],[Highest sector(s)]],tblSubSectorPopulation[Sector])), "Flagged", ""))</f>
        <v/>
      </c>
      <c r="AO226" s="46" cm="1">
        <f t="array" ref="AO22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26" s="331" t="str" cm="1">
        <f t="array" ref="AP226">IF(tblPiNAnalysis512[[#This Row],[2nd Highest Target]]="", "", _xlfn.TEXTJOIN(CHAR(10), TRUE, IF(tblPiNAnalysis512[[#This Row],[2nd Highest Target]]=tblPiNAnalysis512[[#This Row],[CCCM]:[WASH]], tblPiNAnalysis512[[#Headers],[CCCM]:[WASH]], "")))</f>
        <v>CCCM
Education
Nutrition
Food Security
Health
Overarching Protection
Shelter
WASH</v>
      </c>
      <c r="AQ226" s="36">
        <f>IFERROR(tblPiNAnalysis512[[#This Row],[2nd Highest Target]]/tblPiNAnalysis512[[#This Row],[Affected population projection 2026]], "")</f>
        <v>0</v>
      </c>
      <c r="AR226" s="46">
        <f>IFERROR(tblPiNAnalysis512[[#This Row],[Highest Target]]-tblPiNAnalysis512[[#This Row],[2nd Highest Target]], "")</f>
        <v>0</v>
      </c>
      <c r="AS226" s="39" t="str">
        <f>IFERROR(((tblPiNAnalysis512[[#This Row],[Highest Target]]-tblPiNAnalysis512[[#This Row],[2nd Highest Target]])/tblPiNAnalysis512[[#This Row],[2nd Highest Target]]),"")</f>
        <v/>
      </c>
      <c r="AT226" s="39" t="str" cm="1">
        <f t="array" ref="AT22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6" s="332" cm="1">
        <f t="array" ref="AU22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26" s="190" t="str" cm="1">
        <f t="array" ref="AV226">IF(tblPiNAnalysis512[[#This Row],[3rd Highest Target]]="", "", _xlfn.TEXTJOIN(CHAR(10), TRUE, IF(tblPiNAnalysis512[[#This Row],[3rd Highest Target]]=tblPiNAnalysis512[[#This Row],[CCCM]:[WASH]], tblPiNAnalysis512[[#Headers],[CCCM]:[WASH]], "")))</f>
        <v>CCCM
Education
Nutrition
Food Security
Health
Overarching Protection
Shelter
WASH</v>
      </c>
      <c r="AW226" s="190">
        <f>IFERROR(tblPiNAnalysis512[[#This Row],[3rd Highest Target]]/tblPiNAnalysis512[[#This Row],[Affected population projection 2026]], "")</f>
        <v>0</v>
      </c>
      <c r="AX226" s="45">
        <f>IFERROR(tblPiNAnalysis512[[#This Row],[Highest Target]]-tblPiNAnalysis512[[#This Row],[3rd Highest Target]],"")</f>
        <v>0</v>
      </c>
      <c r="AY226" s="39" t="str">
        <f>IFERROR(tblPiNAnalysis512[[#This Row],[Difference of Target between Highest and 3rd Highest]]/tblPiNAnalysis512[[#This Row],[3rd Highest Target]], "")</f>
        <v/>
      </c>
      <c r="AZ226" s="330" t="str" cm="1">
        <f t="array" ref="AZ22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6" s="300" t="str" cm="1">
        <f t="array" ref="BA22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6" s="333" t="str" cm="1">
        <f t="array" ref="BB22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6" s="276" t="str" cm="1">
        <f t="array" ref="BC22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6" s="334" t="str" cm="1">
        <f t="array" ref="BD22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6" s="277" t="e">
        <f>INDEX(tblSeverityAnalysis[Final Severity], MATCH(tblPiNAnalysis512[[#This Row],[ID]],tblSeverityAnalysis[ID], 0))</f>
        <v>#N/A</v>
      </c>
      <c r="BF226" s="61" t="e">
        <f>IF(tblPiNAnalysis512[[#This Row],[Severity]]&gt;2,tblPiNAnalysis512[[#This Row],[Highest Target]],)</f>
        <v>#N/A</v>
      </c>
      <c r="BG226" s="191"/>
      <c r="BH226" s="192"/>
      <c r="BI226" s="193">
        <f>COUNTIFS(tblPiNAnalysis512[[#This Row],[Number of missing / zero PiNs greater than threshold - Data quality]:[Manual Flag]],"Flagged")</f>
        <v>2</v>
      </c>
      <c r="BJ226" s="96" t="str">
        <f>IF(tblPiNAnalysis512[[#This Row],['# Flags]]&gt;0, "Flagged", "")</f>
        <v>Flagged</v>
      </c>
      <c r="BK226" s="326" t="e">
        <f>tblPiNAnalysis512[[#This Row],[Preliminary Target]]</f>
        <v>#N/A</v>
      </c>
      <c r="BL226" s="331">
        <v>4</v>
      </c>
    </row>
    <row r="227" spans="1:64" x14ac:dyDescent="0.55000000000000004">
      <c r="A2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7" s="316" t="s">
        <v>368</v>
      </c>
      <c r="C227" s="317" t="s">
        <v>369</v>
      </c>
      <c r="D227" s="317" t="s">
        <v>380</v>
      </c>
      <c r="E227" s="105" t="s">
        <v>381</v>
      </c>
      <c r="F227" s="100"/>
      <c r="G227" s="34"/>
      <c r="H227" s="34"/>
      <c r="I227" s="97">
        <v>79307.299107857689</v>
      </c>
      <c r="J227" s="97" t="s">
        <v>414</v>
      </c>
      <c r="K227" s="318">
        <v>367</v>
      </c>
      <c r="L227" s="319">
        <v>9739.0949450431381</v>
      </c>
      <c r="M227" s="319">
        <v>18891.539292992871</v>
      </c>
      <c r="N227" s="319">
        <v>26250.134060617846</v>
      </c>
      <c r="O227" s="319">
        <v>43119.782325324537</v>
      </c>
      <c r="P227" s="319">
        <v>15776.413053524664</v>
      </c>
      <c r="Q227" s="320">
        <v>31586.182920543321</v>
      </c>
      <c r="R227" s="319">
        <v>10161.587664325563</v>
      </c>
      <c r="S227" s="319"/>
      <c r="T227" s="319"/>
      <c r="U227" s="319"/>
      <c r="V227" s="319"/>
      <c r="W227" s="321">
        <f>IFERROR(IF(tblPiNAnalysis512[[#This Row],[CCCM]]="", "", MROUND(tblPiNAnalysis512[[#This Row],[CCCM]]/tblPiNAnalysis512[[#This Row],[Affected population projection 2026]], 0.05)), "")</f>
        <v>0</v>
      </c>
      <c r="X227" s="322">
        <f>IFERROR(IF(tblPiNAnalysis512[[#This Row],[Education]]="", "", MROUND(tblPiNAnalysis512[[#This Row],[Education]]/tblPiNAnalysis512[[#This Row],[Affected population projection 2026]], 0.05)), "")</f>
        <v>0.1</v>
      </c>
      <c r="Y227" s="322">
        <f>IFERROR(IF(tblPiNAnalysis512[[#This Row],[Nutrition]]="", "", MROUND(tblPiNAnalysis512[[#This Row],[Nutrition]]/tblPiNAnalysis512[[#This Row],[Affected population projection 2026]], 0.05)), "")</f>
        <v>0.25</v>
      </c>
      <c r="Z227" s="322">
        <f>IFERROR(IF(tblPiNAnalysis512[[#This Row],[Food Security]]="", "", MROUND(tblPiNAnalysis512[[#This Row],[Food Security]]/tblPiNAnalysis512[[#This Row],[Affected population projection 2026]], 0.05)), "")</f>
        <v>0.35000000000000003</v>
      </c>
      <c r="AA227" s="322">
        <f>IFERROR(IF(tblPiNAnalysis512[[#This Row],[Health]]="", "", MROUND(tblPiNAnalysis512[[#This Row],[Health]]/tblPiNAnalysis512[[#This Row],[Affected population projection 2026]], 0.05)), "")</f>
        <v>0.55000000000000004</v>
      </c>
      <c r="AB227" s="323">
        <f>IFERROR(IF(tblPiNAnalysis512[[#This Row],[Overarching Protection]]="", "", MROUND(tblPiNAnalysis512[[#This Row],[Overarching Protection]]/tblPiNAnalysis512[[#This Row],[Affected population projection 2026]], 0.05)), "")</f>
        <v>0.2</v>
      </c>
      <c r="AC227" s="323">
        <f>IFERROR(IF(tblPiNAnalysis512[[#This Row],[Shelter]]="", "", MROUND(tblPiNAnalysis512[[#This Row],[Shelter]]/tblPiNAnalysis512[[#This Row],[Affected population projection 2026]], 0.05)), "")</f>
        <v>0.4</v>
      </c>
      <c r="AD227" s="324">
        <f>IFERROR(IF(tblPiNAnalysis512[[#This Row],[WASH]]="", "", MROUND(tblPiNAnalysis512[[#This Row],[WASH]]/tblPiNAnalysis512[[#This Row],[Affected population projection 2026]], 0.05)), "")</f>
        <v>0.15000000000000002</v>
      </c>
      <c r="AE227" s="322">
        <f>IFERROR(MROUND(tblPiNAnalysis512[[#This Row],[CP]]/tblPiNAnalysis512[[#This Row],[Affected population projection 2026]], 0.05), "")</f>
        <v>0</v>
      </c>
      <c r="AF227" s="322">
        <f>IFERROR(MROUND(tblPiNAnalysis512[[#This Row],[GBV]]/tblPiNAnalysis512[[#This Row],[Affected population projection 2026]], 0.05), "")</f>
        <v>0</v>
      </c>
      <c r="AG227" s="322">
        <f>IFERROR(MROUND(tblPiNAnalysis512[[#This Row],[Mine Action]]/tblPiNAnalysis512[[#This Row],[Affected population projection 2026]], 0.05), "")</f>
        <v>0</v>
      </c>
      <c r="AH227" s="322">
        <f>IFERROR(MROUND(tblPiNAnalysis512[[#This Row],[HLP]]/tblPiNAnalysis512[[#This Row],[Affected population projection 2026]], 0.05), "")</f>
        <v>0</v>
      </c>
      <c r="AI227" s="325">
        <f>IFERROR(LARGE(tblPiNAnalysis512[[#This Row],[CCCM]:[WASH]], 1), "")</f>
        <v>43119.782325324537</v>
      </c>
      <c r="AJ227" s="326" t="str" cm="1">
        <f t="array" ref="AJ227">IF(tblPiNAnalysis512[[#This Row],[Highest Target]]="", "", _xlfn.TEXTJOIN(CHAR(10), TRUE, IF(tblPiNAnalysis512[[#This Row],[Highest Target]]=tblPiNAnalysis512[[#This Row],[CCCM]:[WASH]], tblPiNAnalysis512[[#Headers],[CCCM]:[WASH]], "")))</f>
        <v>Health</v>
      </c>
      <c r="AK227" s="327">
        <f>IF(tblPiNAnalysis512[[#This Row],[Highest Target]]="", "", tblPiNAnalysis512[[#This Row],[Highest Target]]/tblPiNAnalysis512[[#This Row],[Affected population projection 2026]])</f>
        <v>0.54370509159165492</v>
      </c>
      <c r="AL227" s="328" t="str">
        <f>IF(SUM(tblPiNAnalysis512[[#This Row],[CCCM]:[WASH]])=0, "",IF(COUNTIF(tblPiNAnalysis512[[#This Row],[CCCM]:[WASH]],"=0")+COUNTIF(tblPiNAnalysis512[[#This Row],[CCCM]:[WASH]],"")&gt;=zero_pin_thresh, "Flagged", ""))</f>
        <v/>
      </c>
      <c r="AM227" s="329" t="str">
        <f>IFERROR(IF(tblPiNAnalysis512[[#This Row],[Highest Target]]="", "", IF(tblPiNAnalysis512[[#This Row],[Highest sector(s'') Target %]]&gt;=flag_pin_perc, "Flagged", "")), "")</f>
        <v/>
      </c>
      <c r="AN227" s="330" t="str" cm="1">
        <f t="array" ref="AN227">IF(tblPiNAnalysis512[[#This Row],[Highest Target]]=0, "",  IF(OR(COUNTIF(tblPiNAnalysis512[[#This Row],[Highest sector(s)]],tblSubSectorPopulation[Sector])), "Flagged", ""))</f>
        <v/>
      </c>
      <c r="AO227" s="46" cm="1">
        <f t="array" ref="AO22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31586.182920543321</v>
      </c>
      <c r="AP227" s="331" t="str" cm="1">
        <f t="array" ref="AP227">IF(tblPiNAnalysis512[[#This Row],[2nd Highest Target]]="", "", _xlfn.TEXTJOIN(CHAR(10), TRUE, IF(tblPiNAnalysis512[[#This Row],[2nd Highest Target]]=tblPiNAnalysis512[[#This Row],[CCCM]:[WASH]], tblPiNAnalysis512[[#Headers],[CCCM]:[WASH]], "")))</f>
        <v>Shelter</v>
      </c>
      <c r="AQ227" s="36">
        <f>IFERROR(tblPiNAnalysis512[[#This Row],[2nd Highest Target]]/tblPiNAnalysis512[[#This Row],[Affected population projection 2026]], "")</f>
        <v>0.39827586206896554</v>
      </c>
      <c r="AR227" s="46">
        <f>IFERROR(tblPiNAnalysis512[[#This Row],[Highest Target]]-tblPiNAnalysis512[[#This Row],[2nd Highest Target]], "")</f>
        <v>11533.599404781216</v>
      </c>
      <c r="AS227" s="39">
        <f>IFERROR(((tblPiNAnalysis512[[#This Row],[Highest Target]]-tblPiNAnalysis512[[#This Row],[2nd Highest Target]])/tblPiNAnalysis512[[#This Row],[2nd Highest Target]]),"")</f>
        <v>0.36514698321714223</v>
      </c>
      <c r="AT227" s="39" t="str" cm="1">
        <f t="array" ref="AT22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Flagged</v>
      </c>
      <c r="AU227" s="332" cm="1">
        <f t="array" ref="AU22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26250.134060617846</v>
      </c>
      <c r="AV227" s="190" t="str" cm="1">
        <f t="array" ref="AV227">IF(tblPiNAnalysis512[[#This Row],[3rd Highest Target]]="", "", _xlfn.TEXTJOIN(CHAR(10), TRUE, IF(tblPiNAnalysis512[[#This Row],[3rd Highest Target]]=tblPiNAnalysis512[[#This Row],[CCCM]:[WASH]], tblPiNAnalysis512[[#Headers],[CCCM]:[WASH]], "")))</f>
        <v>Food Security</v>
      </c>
      <c r="AW227" s="190">
        <f>IFERROR(tblPiNAnalysis512[[#This Row],[3rd Highest Target]]/tblPiNAnalysis512[[#This Row],[Affected population projection 2026]], "")</f>
        <v>0.33099266216237855</v>
      </c>
      <c r="AX227" s="45">
        <f>IFERROR(tblPiNAnalysis512[[#This Row],[Highest Target]]-tblPiNAnalysis512[[#This Row],[3rd Highest Target]],"")</f>
        <v>16869.648264706691</v>
      </c>
      <c r="AY227" s="39">
        <f>IFERROR(tblPiNAnalysis512[[#This Row],[Difference of Target between Highest and 3rd Highest]]/tblPiNAnalysis512[[#This Row],[3rd Highest Target]], "")</f>
        <v>0.64264998516771887</v>
      </c>
      <c r="AZ227" s="330" t="str" cm="1">
        <f t="array" ref="AZ22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27" s="300" t="str" cm="1">
        <f t="array" ref="BA22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7" s="333" t="str" cm="1">
        <f t="array" ref="BB22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7" s="276" t="str" cm="1">
        <f t="array" ref="BC22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7" s="334" t="str" cm="1">
        <f t="array" ref="BD22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7" s="277" t="e">
        <f>INDEX(tblSeverityAnalysis[Final Severity], MATCH(tblPiNAnalysis512[[#This Row],[ID]],tblSeverityAnalysis[ID], 0))</f>
        <v>#N/A</v>
      </c>
      <c r="BF227" s="61" t="e">
        <f>IF(tblPiNAnalysis512[[#This Row],[Severity]]&gt;2,tblPiNAnalysis512[[#This Row],[Highest Target]],)</f>
        <v>#N/A</v>
      </c>
      <c r="BG227" s="191"/>
      <c r="BH227" s="192"/>
      <c r="BI227" s="193">
        <f>COUNTIFS(tblPiNAnalysis512[[#This Row],[Number of missing / zero PiNs greater than threshold - Data quality]:[Manual Flag]],"Flagged")</f>
        <v>4</v>
      </c>
      <c r="BJ227" s="96" t="str">
        <f>IF(tblPiNAnalysis512[[#This Row],['# Flags]]&gt;0, "Flagged", "")</f>
        <v>Flagged</v>
      </c>
      <c r="BK227" s="326" t="e">
        <f>tblPiNAnalysis512[[#This Row],[Preliminary Target]]</f>
        <v>#N/A</v>
      </c>
      <c r="BL227" s="331">
        <v>1</v>
      </c>
    </row>
    <row r="228" spans="1:64" ht="110.7" x14ac:dyDescent="0.55000000000000004">
      <c r="A2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8" s="316" t="s">
        <v>382</v>
      </c>
      <c r="C228" s="317" t="s">
        <v>383</v>
      </c>
      <c r="D228" s="317" t="s">
        <v>384</v>
      </c>
      <c r="E228" s="105" t="s">
        <v>385</v>
      </c>
      <c r="F228" s="100"/>
      <c r="G228" s="34"/>
      <c r="H228" s="34"/>
      <c r="I228" s="97">
        <v>20202.24984559073</v>
      </c>
      <c r="J228" s="97" t="s">
        <v>414</v>
      </c>
      <c r="K228" s="318">
        <v>0</v>
      </c>
      <c r="L228" s="319">
        <v>0</v>
      </c>
      <c r="M228" s="319">
        <v>0</v>
      </c>
      <c r="N228" s="319">
        <v>0</v>
      </c>
      <c r="O228" s="319">
        <v>0</v>
      </c>
      <c r="P228" s="319">
        <v>0</v>
      </c>
      <c r="Q228" s="320">
        <v>0</v>
      </c>
      <c r="R228" s="319">
        <v>0</v>
      </c>
      <c r="S228" s="319"/>
      <c r="T228" s="319"/>
      <c r="U228" s="319"/>
      <c r="V228" s="319"/>
      <c r="W228" s="321">
        <f>IFERROR(IF(tblPiNAnalysis512[[#This Row],[CCCM]]="", "", MROUND(tblPiNAnalysis512[[#This Row],[CCCM]]/tblPiNAnalysis512[[#This Row],[Affected population projection 2026]], 0.05)), "")</f>
        <v>0</v>
      </c>
      <c r="X228" s="322">
        <f>IFERROR(IF(tblPiNAnalysis512[[#This Row],[Education]]="", "", MROUND(tblPiNAnalysis512[[#This Row],[Education]]/tblPiNAnalysis512[[#This Row],[Affected population projection 2026]], 0.05)), "")</f>
        <v>0</v>
      </c>
      <c r="Y228" s="322">
        <f>IFERROR(IF(tblPiNAnalysis512[[#This Row],[Nutrition]]="", "", MROUND(tblPiNAnalysis512[[#This Row],[Nutrition]]/tblPiNAnalysis512[[#This Row],[Affected population projection 2026]], 0.05)), "")</f>
        <v>0</v>
      </c>
      <c r="Z228" s="322">
        <f>IFERROR(IF(tblPiNAnalysis512[[#This Row],[Food Security]]="", "", MROUND(tblPiNAnalysis512[[#This Row],[Food Security]]/tblPiNAnalysis512[[#This Row],[Affected population projection 2026]], 0.05)), "")</f>
        <v>0</v>
      </c>
      <c r="AA228" s="322">
        <f>IFERROR(IF(tblPiNAnalysis512[[#This Row],[Health]]="", "", MROUND(tblPiNAnalysis512[[#This Row],[Health]]/tblPiNAnalysis512[[#This Row],[Affected population projection 2026]], 0.05)), "")</f>
        <v>0</v>
      </c>
      <c r="AB228" s="323">
        <f>IFERROR(IF(tblPiNAnalysis512[[#This Row],[Overarching Protection]]="", "", MROUND(tblPiNAnalysis512[[#This Row],[Overarching Protection]]/tblPiNAnalysis512[[#This Row],[Affected population projection 2026]], 0.05)), "")</f>
        <v>0</v>
      </c>
      <c r="AC228" s="323">
        <f>IFERROR(IF(tblPiNAnalysis512[[#This Row],[Shelter]]="", "", MROUND(tblPiNAnalysis512[[#This Row],[Shelter]]/tblPiNAnalysis512[[#This Row],[Affected population projection 2026]], 0.05)), "")</f>
        <v>0</v>
      </c>
      <c r="AD228" s="324">
        <f>IFERROR(IF(tblPiNAnalysis512[[#This Row],[WASH]]="", "", MROUND(tblPiNAnalysis512[[#This Row],[WASH]]/tblPiNAnalysis512[[#This Row],[Affected population projection 2026]], 0.05)), "")</f>
        <v>0</v>
      </c>
      <c r="AE228" s="322">
        <f>IFERROR(MROUND(tblPiNAnalysis512[[#This Row],[CP]]/tblPiNAnalysis512[[#This Row],[Affected population projection 2026]], 0.05), "")</f>
        <v>0</v>
      </c>
      <c r="AF228" s="322">
        <f>IFERROR(MROUND(tblPiNAnalysis512[[#This Row],[GBV]]/tblPiNAnalysis512[[#This Row],[Affected population projection 2026]], 0.05), "")</f>
        <v>0</v>
      </c>
      <c r="AG228" s="322">
        <f>IFERROR(MROUND(tblPiNAnalysis512[[#This Row],[Mine Action]]/tblPiNAnalysis512[[#This Row],[Affected population projection 2026]], 0.05), "")</f>
        <v>0</v>
      </c>
      <c r="AH228" s="322">
        <f>IFERROR(MROUND(tblPiNAnalysis512[[#This Row],[HLP]]/tblPiNAnalysis512[[#This Row],[Affected population projection 2026]], 0.05), "")</f>
        <v>0</v>
      </c>
      <c r="AI228" s="325">
        <f>IFERROR(LARGE(tblPiNAnalysis512[[#This Row],[CCCM]:[WASH]], 1), "")</f>
        <v>0</v>
      </c>
      <c r="AJ228" s="326" t="str" cm="1">
        <f t="array" ref="AJ228">IF(tblPiNAnalysis512[[#This Row],[Highest Target]]="", "", _xlfn.TEXTJOIN(CHAR(10), TRUE, IF(tblPiNAnalysis512[[#This Row],[Highest Target]]=tblPiNAnalysis512[[#This Row],[CCCM]:[WASH]], tblPiNAnalysis512[[#Headers],[CCCM]:[WASH]], "")))</f>
        <v>CCCM
Education
Nutrition
Food Security
Health
Overarching Protection
Shelter
WASH</v>
      </c>
      <c r="AK228" s="327">
        <f>IF(tblPiNAnalysis512[[#This Row],[Highest Target]]="", "", tblPiNAnalysis512[[#This Row],[Highest Target]]/tblPiNAnalysis512[[#This Row],[Affected population projection 2026]])</f>
        <v>0</v>
      </c>
      <c r="AL228" s="328" t="str">
        <f>IF(SUM(tblPiNAnalysis512[[#This Row],[CCCM]:[WASH]])=0, "",IF(COUNTIF(tblPiNAnalysis512[[#This Row],[CCCM]:[WASH]],"=0")+COUNTIF(tblPiNAnalysis512[[#This Row],[CCCM]:[WASH]],"")&gt;=zero_pin_thresh, "Flagged", ""))</f>
        <v/>
      </c>
      <c r="AM228" s="329" t="str">
        <f>IFERROR(IF(tblPiNAnalysis512[[#This Row],[Highest Target]]="", "", IF(tblPiNAnalysis512[[#This Row],[Highest sector(s'') Target %]]&gt;=flag_pin_perc, "Flagged", "")), "")</f>
        <v/>
      </c>
      <c r="AN228" s="330" t="str" cm="1">
        <f t="array" ref="AN228">IF(tblPiNAnalysis512[[#This Row],[Highest Target]]=0, "",  IF(OR(COUNTIF(tblPiNAnalysis512[[#This Row],[Highest sector(s)]],tblSubSectorPopulation[Sector])), "Flagged", ""))</f>
        <v/>
      </c>
      <c r="AO228" s="46" cm="1">
        <f t="array" ref="AO22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28" s="331" t="str" cm="1">
        <f t="array" ref="AP228">IF(tblPiNAnalysis512[[#This Row],[2nd Highest Target]]="", "", _xlfn.TEXTJOIN(CHAR(10), TRUE, IF(tblPiNAnalysis512[[#This Row],[2nd Highest Target]]=tblPiNAnalysis512[[#This Row],[CCCM]:[WASH]], tblPiNAnalysis512[[#Headers],[CCCM]:[WASH]], "")))</f>
        <v>CCCM
Education
Nutrition
Food Security
Health
Overarching Protection
Shelter
WASH</v>
      </c>
      <c r="AQ228" s="36">
        <f>IFERROR(tblPiNAnalysis512[[#This Row],[2nd Highest Target]]/tblPiNAnalysis512[[#This Row],[Affected population projection 2026]], "")</f>
        <v>0</v>
      </c>
      <c r="AR228" s="46">
        <f>IFERROR(tblPiNAnalysis512[[#This Row],[Highest Target]]-tblPiNAnalysis512[[#This Row],[2nd Highest Target]], "")</f>
        <v>0</v>
      </c>
      <c r="AS228" s="39" t="str">
        <f>IFERROR(((tblPiNAnalysis512[[#This Row],[Highest Target]]-tblPiNAnalysis512[[#This Row],[2nd Highest Target]])/tblPiNAnalysis512[[#This Row],[2nd Highest Target]]),"")</f>
        <v/>
      </c>
      <c r="AT228" s="39" t="str" cm="1">
        <f t="array" ref="AT22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8" s="332" cm="1">
        <f t="array" ref="AU22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28" s="190" t="str" cm="1">
        <f t="array" ref="AV228">IF(tblPiNAnalysis512[[#This Row],[3rd Highest Target]]="", "", _xlfn.TEXTJOIN(CHAR(10), TRUE, IF(tblPiNAnalysis512[[#This Row],[3rd Highest Target]]=tblPiNAnalysis512[[#This Row],[CCCM]:[WASH]], tblPiNAnalysis512[[#Headers],[CCCM]:[WASH]], "")))</f>
        <v>CCCM
Education
Nutrition
Food Security
Health
Overarching Protection
Shelter
WASH</v>
      </c>
      <c r="AW228" s="190">
        <f>IFERROR(tblPiNAnalysis512[[#This Row],[3rd Highest Target]]/tblPiNAnalysis512[[#This Row],[Affected population projection 2026]], "")</f>
        <v>0</v>
      </c>
      <c r="AX228" s="45">
        <f>IFERROR(tblPiNAnalysis512[[#This Row],[Highest Target]]-tblPiNAnalysis512[[#This Row],[3rd Highest Target]],"")</f>
        <v>0</v>
      </c>
      <c r="AY228" s="39" t="str">
        <f>IFERROR(tblPiNAnalysis512[[#This Row],[Difference of Target between Highest and 3rd Highest]]/tblPiNAnalysis512[[#This Row],[3rd Highest Target]], "")</f>
        <v/>
      </c>
      <c r="AZ228" s="330" t="str" cm="1">
        <f t="array" ref="AZ22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8" s="300" t="str" cm="1">
        <f t="array" ref="BA22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8" s="333" t="str" cm="1">
        <f t="array" ref="BB22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8" s="276" t="str" cm="1">
        <f t="array" ref="BC22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8" s="334" t="str" cm="1">
        <f t="array" ref="BD22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8" s="277" t="e">
        <f>INDEX(tblSeverityAnalysis[Final Severity], MATCH(tblPiNAnalysis512[[#This Row],[ID]],tblSeverityAnalysis[ID], 0))</f>
        <v>#N/A</v>
      </c>
      <c r="BF228" s="61" t="e">
        <f>IF(tblPiNAnalysis512[[#This Row],[Severity]]&gt;2,tblPiNAnalysis512[[#This Row],[Highest Target]],)</f>
        <v>#N/A</v>
      </c>
      <c r="BG228" s="191"/>
      <c r="BH228" s="192"/>
      <c r="BI228" s="193">
        <f>COUNTIFS(tblPiNAnalysis512[[#This Row],[Number of missing / zero PiNs greater than threshold - Data quality]:[Manual Flag]],"Flagged")</f>
        <v>2</v>
      </c>
      <c r="BJ228" s="96" t="str">
        <f>IF(tblPiNAnalysis512[[#This Row],['# Flags]]&gt;0, "Flagged", "")</f>
        <v>Flagged</v>
      </c>
      <c r="BK228" s="326" t="e">
        <f>tblPiNAnalysis512[[#This Row],[Preliminary Target]]</f>
        <v>#N/A</v>
      </c>
      <c r="BL228" s="331">
        <v>4</v>
      </c>
    </row>
    <row r="229" spans="1:64" x14ac:dyDescent="0.55000000000000004">
      <c r="A2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9" s="316" t="s">
        <v>382</v>
      </c>
      <c r="C229" s="317" t="s">
        <v>383</v>
      </c>
      <c r="D229" s="317" t="s">
        <v>386</v>
      </c>
      <c r="E229" s="105" t="s">
        <v>387</v>
      </c>
      <c r="F229" s="100"/>
      <c r="G229" s="34"/>
      <c r="H229" s="34"/>
      <c r="I229" s="97">
        <v>28676.523493080207</v>
      </c>
      <c r="J229" s="97" t="s">
        <v>414</v>
      </c>
      <c r="K229" s="318"/>
      <c r="L229" s="319"/>
      <c r="M229" s="319"/>
      <c r="N229" s="319"/>
      <c r="O229" s="319"/>
      <c r="P229" s="319"/>
      <c r="Q229" s="320"/>
      <c r="R229" s="319"/>
      <c r="S229" s="319"/>
      <c r="T229" s="319"/>
      <c r="U229" s="319"/>
      <c r="V229" s="319"/>
      <c r="W229" s="321" t="str">
        <f>IFERROR(IF(tblPiNAnalysis512[[#This Row],[CCCM]]="", "", MROUND(tblPiNAnalysis512[[#This Row],[CCCM]]/tblPiNAnalysis512[[#This Row],[Affected population projection 2026]], 0.05)), "")</f>
        <v/>
      </c>
      <c r="X229" s="322" t="str">
        <f>IFERROR(IF(tblPiNAnalysis512[[#This Row],[Education]]="", "", MROUND(tblPiNAnalysis512[[#This Row],[Education]]/tblPiNAnalysis512[[#This Row],[Affected population projection 2026]], 0.05)), "")</f>
        <v/>
      </c>
      <c r="Y229" s="322" t="str">
        <f>IFERROR(IF(tblPiNAnalysis512[[#This Row],[Nutrition]]="", "", MROUND(tblPiNAnalysis512[[#This Row],[Nutrition]]/tblPiNAnalysis512[[#This Row],[Affected population projection 2026]], 0.05)), "")</f>
        <v/>
      </c>
      <c r="Z229" s="322" t="str">
        <f>IFERROR(IF(tblPiNAnalysis512[[#This Row],[Food Security]]="", "", MROUND(tblPiNAnalysis512[[#This Row],[Food Security]]/tblPiNAnalysis512[[#This Row],[Affected population projection 2026]], 0.05)), "")</f>
        <v/>
      </c>
      <c r="AA229" s="322" t="str">
        <f>IFERROR(IF(tblPiNAnalysis512[[#This Row],[Health]]="", "", MROUND(tblPiNAnalysis512[[#This Row],[Health]]/tblPiNAnalysis512[[#This Row],[Affected population projection 2026]], 0.05)), "")</f>
        <v/>
      </c>
      <c r="AB229" s="323" t="str">
        <f>IFERROR(IF(tblPiNAnalysis512[[#This Row],[Overarching Protection]]="", "", MROUND(tblPiNAnalysis512[[#This Row],[Overarching Protection]]/tblPiNAnalysis512[[#This Row],[Affected population projection 2026]], 0.05)), "")</f>
        <v/>
      </c>
      <c r="AC229" s="323" t="str">
        <f>IFERROR(IF(tblPiNAnalysis512[[#This Row],[Shelter]]="", "", MROUND(tblPiNAnalysis512[[#This Row],[Shelter]]/tblPiNAnalysis512[[#This Row],[Affected population projection 2026]], 0.05)), "")</f>
        <v/>
      </c>
      <c r="AD229" s="324" t="str">
        <f>IFERROR(IF(tblPiNAnalysis512[[#This Row],[WASH]]="", "", MROUND(tblPiNAnalysis512[[#This Row],[WASH]]/tblPiNAnalysis512[[#This Row],[Affected population projection 2026]], 0.05)), "")</f>
        <v/>
      </c>
      <c r="AE229" s="322">
        <f>IFERROR(MROUND(tblPiNAnalysis512[[#This Row],[CP]]/tblPiNAnalysis512[[#This Row],[Affected population projection 2026]], 0.05), "")</f>
        <v>0</v>
      </c>
      <c r="AF229" s="322">
        <f>IFERROR(MROUND(tblPiNAnalysis512[[#This Row],[GBV]]/tblPiNAnalysis512[[#This Row],[Affected population projection 2026]], 0.05), "")</f>
        <v>0</v>
      </c>
      <c r="AG229" s="322">
        <f>IFERROR(MROUND(tblPiNAnalysis512[[#This Row],[Mine Action]]/tblPiNAnalysis512[[#This Row],[Affected population projection 2026]], 0.05), "")</f>
        <v>0</v>
      </c>
      <c r="AH229" s="322">
        <f>IFERROR(MROUND(tblPiNAnalysis512[[#This Row],[HLP]]/tblPiNAnalysis512[[#This Row],[Affected population projection 2026]], 0.05), "")</f>
        <v>0</v>
      </c>
      <c r="AI229" s="325" t="str">
        <f>IFERROR(LARGE(tblPiNAnalysis512[[#This Row],[CCCM]:[WASH]], 1), "")</f>
        <v/>
      </c>
      <c r="AJ229" s="326" t="str" cm="1">
        <f t="array" ref="AJ229">IF(tblPiNAnalysis512[[#This Row],[Highest Target]]="", "", _xlfn.TEXTJOIN(CHAR(10), TRUE, IF(tblPiNAnalysis512[[#This Row],[Highest Target]]=tblPiNAnalysis512[[#This Row],[CCCM]:[WASH]], tblPiNAnalysis512[[#Headers],[CCCM]:[WASH]], "")))</f>
        <v/>
      </c>
      <c r="AK229" s="327" t="str">
        <f>IF(tblPiNAnalysis512[[#This Row],[Highest Target]]="", "", tblPiNAnalysis512[[#This Row],[Highest Target]]/tblPiNAnalysis512[[#This Row],[Affected population projection 2026]])</f>
        <v/>
      </c>
      <c r="AL229" s="328" t="str">
        <f>IF(SUM(tblPiNAnalysis512[[#This Row],[CCCM]:[WASH]])=0, "",IF(COUNTIF(tblPiNAnalysis512[[#This Row],[CCCM]:[WASH]],"=0")+COUNTIF(tblPiNAnalysis512[[#This Row],[CCCM]:[WASH]],"")&gt;=zero_pin_thresh, "Flagged", ""))</f>
        <v/>
      </c>
      <c r="AM229" s="329" t="str">
        <f>IFERROR(IF(tblPiNAnalysis512[[#This Row],[Highest Target]]="", "", IF(tblPiNAnalysis512[[#This Row],[Highest sector(s'') Target %]]&gt;=flag_pin_perc, "Flagged", "")), "")</f>
        <v/>
      </c>
      <c r="AN229" s="330" t="str" cm="1">
        <f t="array" ref="AN229">IF(tblPiNAnalysis512[[#This Row],[Highest Target]]=0, "",  IF(OR(COUNTIF(tblPiNAnalysis512[[#This Row],[Highest sector(s)]],tblSubSectorPopulation[Sector])), "Flagged", ""))</f>
        <v/>
      </c>
      <c r="AO229" s="46" t="str" cm="1">
        <f t="array" ref="AO22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29" s="331" t="str" cm="1">
        <f t="array" ref="AP229">IF(tblPiNAnalysis512[[#This Row],[2nd Highest Target]]="", "", _xlfn.TEXTJOIN(CHAR(10), TRUE, IF(tblPiNAnalysis512[[#This Row],[2nd Highest Target]]=tblPiNAnalysis512[[#This Row],[CCCM]:[WASH]], tblPiNAnalysis512[[#Headers],[CCCM]:[WASH]], "")))</f>
        <v/>
      </c>
      <c r="AQ229" s="36" t="str">
        <f>IFERROR(tblPiNAnalysis512[[#This Row],[2nd Highest Target]]/tblPiNAnalysis512[[#This Row],[Affected population projection 2026]], "")</f>
        <v/>
      </c>
      <c r="AR229" s="46" t="str">
        <f>IFERROR(tblPiNAnalysis512[[#This Row],[Highest Target]]-tblPiNAnalysis512[[#This Row],[2nd Highest Target]], "")</f>
        <v/>
      </c>
      <c r="AS229" s="39" t="str">
        <f>IFERROR(((tblPiNAnalysis512[[#This Row],[Highest Target]]-tblPiNAnalysis512[[#This Row],[2nd Highest Target]])/tblPiNAnalysis512[[#This Row],[2nd Highest Target]]),"")</f>
        <v/>
      </c>
      <c r="AT229" s="39" t="str" cm="1">
        <f t="array" ref="AT22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29" s="332" t="str" cm="1">
        <f t="array" ref="AU22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29" s="190" t="str" cm="1">
        <f t="array" ref="AV229">IF(tblPiNAnalysis512[[#This Row],[3rd Highest Target]]="", "", _xlfn.TEXTJOIN(CHAR(10), TRUE, IF(tblPiNAnalysis512[[#This Row],[3rd Highest Target]]=tblPiNAnalysis512[[#This Row],[CCCM]:[WASH]], tblPiNAnalysis512[[#Headers],[CCCM]:[WASH]], "")))</f>
        <v/>
      </c>
      <c r="AW229" s="190" t="str">
        <f>IFERROR(tblPiNAnalysis512[[#This Row],[3rd Highest Target]]/tblPiNAnalysis512[[#This Row],[Affected population projection 2026]], "")</f>
        <v/>
      </c>
      <c r="AX229" s="45" t="str">
        <f>IFERROR(tblPiNAnalysis512[[#This Row],[Highest Target]]-tblPiNAnalysis512[[#This Row],[3rd Highest Target]],"")</f>
        <v/>
      </c>
      <c r="AY229" s="39" t="str">
        <f>IFERROR(tblPiNAnalysis512[[#This Row],[Difference of Target between Highest and 3rd Highest]]/tblPiNAnalysis512[[#This Row],[3rd Highest Target]], "")</f>
        <v/>
      </c>
      <c r="AZ229" s="330" t="str" cm="1">
        <f t="array" ref="AZ22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29" s="300" t="str" cm="1">
        <f t="array" ref="BA22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29" s="333" t="str" cm="1">
        <f t="array" ref="BB22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29" s="276" t="str" cm="1">
        <f t="array" ref="BC22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29" s="334" t="str" cm="1">
        <f t="array" ref="BD22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29" s="277" t="e">
        <f>INDEX(tblSeverityAnalysis[Final Severity], MATCH(tblPiNAnalysis512[[#This Row],[ID]],tblSeverityAnalysis[ID], 0))</f>
        <v>#N/A</v>
      </c>
      <c r="BF229" s="61" t="e">
        <f>IF(tblPiNAnalysis512[[#This Row],[Severity]]&gt;2,tblPiNAnalysis512[[#This Row],[Highest Target]],)</f>
        <v>#N/A</v>
      </c>
      <c r="BG229" s="191"/>
      <c r="BH229" s="192"/>
      <c r="BI229" s="193">
        <f>COUNTIFS(tblPiNAnalysis512[[#This Row],[Number of missing / zero PiNs greater than threshold - Data quality]:[Manual Flag]],"Flagged")</f>
        <v>2</v>
      </c>
      <c r="BJ229" s="96" t="str">
        <f>IF(tblPiNAnalysis512[[#This Row],['# Flags]]&gt;0, "Flagged", "")</f>
        <v>Flagged</v>
      </c>
      <c r="BK229" s="326" t="e">
        <f>tblPiNAnalysis512[[#This Row],[Preliminary Target]]</f>
        <v>#N/A</v>
      </c>
      <c r="BL229" s="331">
        <v>3</v>
      </c>
    </row>
    <row r="230" spans="1:64" ht="110.7" x14ac:dyDescent="0.55000000000000004">
      <c r="A2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0" s="316" t="s">
        <v>382</v>
      </c>
      <c r="C230" s="317" t="s">
        <v>383</v>
      </c>
      <c r="D230" s="317" t="s">
        <v>388</v>
      </c>
      <c r="E230" s="105" t="s">
        <v>389</v>
      </c>
      <c r="F230" s="100"/>
      <c r="G230" s="34"/>
      <c r="H230" s="34"/>
      <c r="I230" s="97">
        <v>47646.035148118463</v>
      </c>
      <c r="J230" s="97" t="s">
        <v>414</v>
      </c>
      <c r="K230" s="318">
        <v>0</v>
      </c>
      <c r="L230" s="319">
        <v>0</v>
      </c>
      <c r="M230" s="319">
        <v>0</v>
      </c>
      <c r="N230" s="319">
        <v>0</v>
      </c>
      <c r="O230" s="319">
        <v>0</v>
      </c>
      <c r="P230" s="319">
        <v>0</v>
      </c>
      <c r="Q230" s="320">
        <v>0</v>
      </c>
      <c r="R230" s="319">
        <v>0</v>
      </c>
      <c r="S230" s="319"/>
      <c r="T230" s="319"/>
      <c r="U230" s="319"/>
      <c r="V230" s="319"/>
      <c r="W230" s="321">
        <f>IFERROR(IF(tblPiNAnalysis512[[#This Row],[CCCM]]="", "", MROUND(tblPiNAnalysis512[[#This Row],[CCCM]]/tblPiNAnalysis512[[#This Row],[Affected population projection 2026]], 0.05)), "")</f>
        <v>0</v>
      </c>
      <c r="X230" s="322">
        <f>IFERROR(IF(tblPiNAnalysis512[[#This Row],[Education]]="", "", MROUND(tblPiNAnalysis512[[#This Row],[Education]]/tblPiNAnalysis512[[#This Row],[Affected population projection 2026]], 0.05)), "")</f>
        <v>0</v>
      </c>
      <c r="Y230" s="322">
        <f>IFERROR(IF(tblPiNAnalysis512[[#This Row],[Nutrition]]="", "", MROUND(tblPiNAnalysis512[[#This Row],[Nutrition]]/tblPiNAnalysis512[[#This Row],[Affected population projection 2026]], 0.05)), "")</f>
        <v>0</v>
      </c>
      <c r="Z230" s="322">
        <f>IFERROR(IF(tblPiNAnalysis512[[#This Row],[Food Security]]="", "", MROUND(tblPiNAnalysis512[[#This Row],[Food Security]]/tblPiNAnalysis512[[#This Row],[Affected population projection 2026]], 0.05)), "")</f>
        <v>0</v>
      </c>
      <c r="AA230" s="322">
        <f>IFERROR(IF(tblPiNAnalysis512[[#This Row],[Health]]="", "", MROUND(tblPiNAnalysis512[[#This Row],[Health]]/tblPiNAnalysis512[[#This Row],[Affected population projection 2026]], 0.05)), "")</f>
        <v>0</v>
      </c>
      <c r="AB230" s="323">
        <f>IFERROR(IF(tblPiNAnalysis512[[#This Row],[Overarching Protection]]="", "", MROUND(tblPiNAnalysis512[[#This Row],[Overarching Protection]]/tblPiNAnalysis512[[#This Row],[Affected population projection 2026]], 0.05)), "")</f>
        <v>0</v>
      </c>
      <c r="AC230" s="323">
        <f>IFERROR(IF(tblPiNAnalysis512[[#This Row],[Shelter]]="", "", MROUND(tblPiNAnalysis512[[#This Row],[Shelter]]/tblPiNAnalysis512[[#This Row],[Affected population projection 2026]], 0.05)), "")</f>
        <v>0</v>
      </c>
      <c r="AD230" s="324">
        <f>IFERROR(IF(tblPiNAnalysis512[[#This Row],[WASH]]="", "", MROUND(tblPiNAnalysis512[[#This Row],[WASH]]/tblPiNAnalysis512[[#This Row],[Affected population projection 2026]], 0.05)), "")</f>
        <v>0</v>
      </c>
      <c r="AE230" s="322">
        <f>IFERROR(MROUND(tblPiNAnalysis512[[#This Row],[CP]]/tblPiNAnalysis512[[#This Row],[Affected population projection 2026]], 0.05), "")</f>
        <v>0</v>
      </c>
      <c r="AF230" s="322">
        <f>IFERROR(MROUND(tblPiNAnalysis512[[#This Row],[GBV]]/tblPiNAnalysis512[[#This Row],[Affected population projection 2026]], 0.05), "")</f>
        <v>0</v>
      </c>
      <c r="AG230" s="322">
        <f>IFERROR(MROUND(tblPiNAnalysis512[[#This Row],[Mine Action]]/tblPiNAnalysis512[[#This Row],[Affected population projection 2026]], 0.05), "")</f>
        <v>0</v>
      </c>
      <c r="AH230" s="322">
        <f>IFERROR(MROUND(tblPiNAnalysis512[[#This Row],[HLP]]/tblPiNAnalysis512[[#This Row],[Affected population projection 2026]], 0.05), "")</f>
        <v>0</v>
      </c>
      <c r="AI230" s="325">
        <f>IFERROR(LARGE(tblPiNAnalysis512[[#This Row],[CCCM]:[WASH]], 1), "")</f>
        <v>0</v>
      </c>
      <c r="AJ230" s="326" t="str" cm="1">
        <f t="array" ref="AJ230">IF(tblPiNAnalysis512[[#This Row],[Highest Target]]="", "", _xlfn.TEXTJOIN(CHAR(10), TRUE, IF(tblPiNAnalysis512[[#This Row],[Highest Target]]=tblPiNAnalysis512[[#This Row],[CCCM]:[WASH]], tblPiNAnalysis512[[#Headers],[CCCM]:[WASH]], "")))</f>
        <v>CCCM
Education
Nutrition
Food Security
Health
Overarching Protection
Shelter
WASH</v>
      </c>
      <c r="AK230" s="327">
        <f>IF(tblPiNAnalysis512[[#This Row],[Highest Target]]="", "", tblPiNAnalysis512[[#This Row],[Highest Target]]/tblPiNAnalysis512[[#This Row],[Affected population projection 2026]])</f>
        <v>0</v>
      </c>
      <c r="AL230" s="328" t="str">
        <f>IF(SUM(tblPiNAnalysis512[[#This Row],[CCCM]:[WASH]])=0, "",IF(COUNTIF(tblPiNAnalysis512[[#This Row],[CCCM]:[WASH]],"=0")+COUNTIF(tblPiNAnalysis512[[#This Row],[CCCM]:[WASH]],"")&gt;=zero_pin_thresh, "Flagged", ""))</f>
        <v/>
      </c>
      <c r="AM230" s="329" t="str">
        <f>IFERROR(IF(tblPiNAnalysis512[[#This Row],[Highest Target]]="", "", IF(tblPiNAnalysis512[[#This Row],[Highest sector(s'') Target %]]&gt;=flag_pin_perc, "Flagged", "")), "")</f>
        <v/>
      </c>
      <c r="AN230" s="330" t="str" cm="1">
        <f t="array" ref="AN230">IF(tblPiNAnalysis512[[#This Row],[Highest Target]]=0, "",  IF(OR(COUNTIF(tblPiNAnalysis512[[#This Row],[Highest sector(s)]],tblSubSectorPopulation[Sector])), "Flagged", ""))</f>
        <v/>
      </c>
      <c r="AO230" s="46" cm="1">
        <f t="array" ref="AO23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0" s="331" t="str" cm="1">
        <f t="array" ref="AP230">IF(tblPiNAnalysis512[[#This Row],[2nd Highest Target]]="", "", _xlfn.TEXTJOIN(CHAR(10), TRUE, IF(tblPiNAnalysis512[[#This Row],[2nd Highest Target]]=tblPiNAnalysis512[[#This Row],[CCCM]:[WASH]], tblPiNAnalysis512[[#Headers],[CCCM]:[WASH]], "")))</f>
        <v>CCCM
Education
Nutrition
Food Security
Health
Overarching Protection
Shelter
WASH</v>
      </c>
      <c r="AQ230" s="36">
        <f>IFERROR(tblPiNAnalysis512[[#This Row],[2nd Highest Target]]/tblPiNAnalysis512[[#This Row],[Affected population projection 2026]], "")</f>
        <v>0</v>
      </c>
      <c r="AR230" s="46">
        <f>IFERROR(tblPiNAnalysis512[[#This Row],[Highest Target]]-tblPiNAnalysis512[[#This Row],[2nd Highest Target]], "")</f>
        <v>0</v>
      </c>
      <c r="AS230" s="39" t="str">
        <f>IFERROR(((tblPiNAnalysis512[[#This Row],[Highest Target]]-tblPiNAnalysis512[[#This Row],[2nd Highest Target]])/tblPiNAnalysis512[[#This Row],[2nd Highest Target]]),"")</f>
        <v/>
      </c>
      <c r="AT230" s="39" t="str" cm="1">
        <f t="array" ref="AT23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0" s="332" cm="1">
        <f t="array" ref="AU23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0" s="190" t="str" cm="1">
        <f t="array" ref="AV230">IF(tblPiNAnalysis512[[#This Row],[3rd Highest Target]]="", "", _xlfn.TEXTJOIN(CHAR(10), TRUE, IF(tblPiNAnalysis512[[#This Row],[3rd Highest Target]]=tblPiNAnalysis512[[#This Row],[CCCM]:[WASH]], tblPiNAnalysis512[[#Headers],[CCCM]:[WASH]], "")))</f>
        <v>CCCM
Education
Nutrition
Food Security
Health
Overarching Protection
Shelter
WASH</v>
      </c>
      <c r="AW230" s="190">
        <f>IFERROR(tblPiNAnalysis512[[#This Row],[3rd Highest Target]]/tblPiNAnalysis512[[#This Row],[Affected population projection 2026]], "")</f>
        <v>0</v>
      </c>
      <c r="AX230" s="45">
        <f>IFERROR(tblPiNAnalysis512[[#This Row],[Highest Target]]-tblPiNAnalysis512[[#This Row],[3rd Highest Target]],"")</f>
        <v>0</v>
      </c>
      <c r="AY230" s="39" t="str">
        <f>IFERROR(tblPiNAnalysis512[[#This Row],[Difference of Target between Highest and 3rd Highest]]/tblPiNAnalysis512[[#This Row],[3rd Highest Target]], "")</f>
        <v/>
      </c>
      <c r="AZ230" s="330" t="str" cm="1">
        <f t="array" ref="AZ23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0" s="300" t="str" cm="1">
        <f t="array" ref="BA23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0" s="333" t="str" cm="1">
        <f t="array" ref="BB23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0" s="276" t="str" cm="1">
        <f t="array" ref="BC23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0" s="334" t="str" cm="1">
        <f t="array" ref="BD23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0" s="277" t="e">
        <f>INDEX(tblSeverityAnalysis[Final Severity], MATCH(tblPiNAnalysis512[[#This Row],[ID]],tblSeverityAnalysis[ID], 0))</f>
        <v>#N/A</v>
      </c>
      <c r="BF230" s="61" t="e">
        <f>IF(tblPiNAnalysis512[[#This Row],[Severity]]&gt;2,tblPiNAnalysis512[[#This Row],[Highest Target]],)</f>
        <v>#N/A</v>
      </c>
      <c r="BG230" s="191"/>
      <c r="BH230" s="192"/>
      <c r="BI230" s="193">
        <f>COUNTIFS(tblPiNAnalysis512[[#This Row],[Number of missing / zero PiNs greater than threshold - Data quality]:[Manual Flag]],"Flagged")</f>
        <v>2</v>
      </c>
      <c r="BJ230" s="96" t="str">
        <f>IF(tblPiNAnalysis512[[#This Row],['# Flags]]&gt;0, "Flagged", "")</f>
        <v>Flagged</v>
      </c>
      <c r="BK230" s="326" t="e">
        <f>tblPiNAnalysis512[[#This Row],[Preliminary Target]]</f>
        <v>#N/A</v>
      </c>
      <c r="BL230" s="331">
        <v>4</v>
      </c>
    </row>
    <row r="231" spans="1:64" x14ac:dyDescent="0.55000000000000004">
      <c r="A2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1" s="316" t="s">
        <v>390</v>
      </c>
      <c r="C231" s="317" t="s">
        <v>391</v>
      </c>
      <c r="D231" s="317" t="s">
        <v>392</v>
      </c>
      <c r="E231" s="105" t="s">
        <v>393</v>
      </c>
      <c r="F231" s="100"/>
      <c r="G231" s="34"/>
      <c r="H231" s="34"/>
      <c r="I231" s="97">
        <v>3661</v>
      </c>
      <c r="J231" s="97" t="s">
        <v>414</v>
      </c>
      <c r="K231" s="318"/>
      <c r="L231" s="319"/>
      <c r="M231" s="319"/>
      <c r="N231" s="319"/>
      <c r="O231" s="319"/>
      <c r="P231" s="319"/>
      <c r="Q231" s="320"/>
      <c r="R231" s="319"/>
      <c r="S231" s="319"/>
      <c r="T231" s="319"/>
      <c r="U231" s="319"/>
      <c r="V231" s="319"/>
      <c r="W231" s="321" t="str">
        <f>IFERROR(IF(tblPiNAnalysis512[[#This Row],[CCCM]]="", "", MROUND(tblPiNAnalysis512[[#This Row],[CCCM]]/tblPiNAnalysis512[[#This Row],[Affected population projection 2026]], 0.05)), "")</f>
        <v/>
      </c>
      <c r="X231" s="322" t="str">
        <f>IFERROR(IF(tblPiNAnalysis512[[#This Row],[Education]]="", "", MROUND(tblPiNAnalysis512[[#This Row],[Education]]/tblPiNAnalysis512[[#This Row],[Affected population projection 2026]], 0.05)), "")</f>
        <v/>
      </c>
      <c r="Y231" s="322" t="str">
        <f>IFERROR(IF(tblPiNAnalysis512[[#This Row],[Nutrition]]="", "", MROUND(tblPiNAnalysis512[[#This Row],[Nutrition]]/tblPiNAnalysis512[[#This Row],[Affected population projection 2026]], 0.05)), "")</f>
        <v/>
      </c>
      <c r="Z231" s="322" t="str">
        <f>IFERROR(IF(tblPiNAnalysis512[[#This Row],[Food Security]]="", "", MROUND(tblPiNAnalysis512[[#This Row],[Food Security]]/tblPiNAnalysis512[[#This Row],[Affected population projection 2026]], 0.05)), "")</f>
        <v/>
      </c>
      <c r="AA231" s="322" t="str">
        <f>IFERROR(IF(tblPiNAnalysis512[[#This Row],[Health]]="", "", MROUND(tblPiNAnalysis512[[#This Row],[Health]]/tblPiNAnalysis512[[#This Row],[Affected population projection 2026]], 0.05)), "")</f>
        <v/>
      </c>
      <c r="AB231" s="323" t="str">
        <f>IFERROR(IF(tblPiNAnalysis512[[#This Row],[Overarching Protection]]="", "", MROUND(tblPiNAnalysis512[[#This Row],[Overarching Protection]]/tblPiNAnalysis512[[#This Row],[Affected population projection 2026]], 0.05)), "")</f>
        <v/>
      </c>
      <c r="AC231" s="323" t="str">
        <f>IFERROR(IF(tblPiNAnalysis512[[#This Row],[Shelter]]="", "", MROUND(tblPiNAnalysis512[[#This Row],[Shelter]]/tblPiNAnalysis512[[#This Row],[Affected population projection 2026]], 0.05)), "")</f>
        <v/>
      </c>
      <c r="AD231" s="324" t="str">
        <f>IFERROR(IF(tblPiNAnalysis512[[#This Row],[WASH]]="", "", MROUND(tblPiNAnalysis512[[#This Row],[WASH]]/tblPiNAnalysis512[[#This Row],[Affected population projection 2026]], 0.05)), "")</f>
        <v/>
      </c>
      <c r="AE231" s="322">
        <f>IFERROR(MROUND(tblPiNAnalysis512[[#This Row],[CP]]/tblPiNAnalysis512[[#This Row],[Affected population projection 2026]], 0.05), "")</f>
        <v>0</v>
      </c>
      <c r="AF231" s="322">
        <f>IFERROR(MROUND(tblPiNAnalysis512[[#This Row],[GBV]]/tblPiNAnalysis512[[#This Row],[Affected population projection 2026]], 0.05), "")</f>
        <v>0</v>
      </c>
      <c r="AG231" s="322">
        <f>IFERROR(MROUND(tblPiNAnalysis512[[#This Row],[Mine Action]]/tblPiNAnalysis512[[#This Row],[Affected population projection 2026]], 0.05), "")</f>
        <v>0</v>
      </c>
      <c r="AH231" s="322">
        <f>IFERROR(MROUND(tblPiNAnalysis512[[#This Row],[HLP]]/tblPiNAnalysis512[[#This Row],[Affected population projection 2026]], 0.05), "")</f>
        <v>0</v>
      </c>
      <c r="AI231" s="325" t="str">
        <f>IFERROR(LARGE(tblPiNAnalysis512[[#This Row],[CCCM]:[WASH]], 1), "")</f>
        <v/>
      </c>
      <c r="AJ231" s="326" t="str" cm="1">
        <f t="array" ref="AJ231">IF(tblPiNAnalysis512[[#This Row],[Highest Target]]="", "", _xlfn.TEXTJOIN(CHAR(10), TRUE, IF(tblPiNAnalysis512[[#This Row],[Highest Target]]=tblPiNAnalysis512[[#This Row],[CCCM]:[WASH]], tblPiNAnalysis512[[#Headers],[CCCM]:[WASH]], "")))</f>
        <v/>
      </c>
      <c r="AK231" s="327" t="str">
        <f>IF(tblPiNAnalysis512[[#This Row],[Highest Target]]="", "", tblPiNAnalysis512[[#This Row],[Highest Target]]/tblPiNAnalysis512[[#This Row],[Affected population projection 2026]])</f>
        <v/>
      </c>
      <c r="AL231" s="328" t="str">
        <f>IF(SUM(tblPiNAnalysis512[[#This Row],[CCCM]:[WASH]])=0, "",IF(COUNTIF(tblPiNAnalysis512[[#This Row],[CCCM]:[WASH]],"=0")+COUNTIF(tblPiNAnalysis512[[#This Row],[CCCM]:[WASH]],"")&gt;=zero_pin_thresh, "Flagged", ""))</f>
        <v/>
      </c>
      <c r="AM231" s="329" t="str">
        <f>IFERROR(IF(tblPiNAnalysis512[[#This Row],[Highest Target]]="", "", IF(tblPiNAnalysis512[[#This Row],[Highest sector(s'') Target %]]&gt;=flag_pin_perc, "Flagged", "")), "")</f>
        <v/>
      </c>
      <c r="AN231" s="330" t="str" cm="1">
        <f t="array" ref="AN231">IF(tblPiNAnalysis512[[#This Row],[Highest Target]]=0, "",  IF(OR(COUNTIF(tblPiNAnalysis512[[#This Row],[Highest sector(s)]],tblSubSectorPopulation[Sector])), "Flagged", ""))</f>
        <v/>
      </c>
      <c r="AO231" s="46" t="str" cm="1">
        <f t="array" ref="AO231">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
      </c>
      <c r="AP231" s="331" t="str" cm="1">
        <f t="array" ref="AP231">IF(tblPiNAnalysis512[[#This Row],[2nd Highest Target]]="", "", _xlfn.TEXTJOIN(CHAR(10), TRUE, IF(tblPiNAnalysis512[[#This Row],[2nd Highest Target]]=tblPiNAnalysis512[[#This Row],[CCCM]:[WASH]], tblPiNAnalysis512[[#Headers],[CCCM]:[WASH]], "")))</f>
        <v/>
      </c>
      <c r="AQ231" s="36" t="str">
        <f>IFERROR(tblPiNAnalysis512[[#This Row],[2nd Highest Target]]/tblPiNAnalysis512[[#This Row],[Affected population projection 2026]], "")</f>
        <v/>
      </c>
      <c r="AR231" s="46" t="str">
        <f>IFERROR(tblPiNAnalysis512[[#This Row],[Highest Target]]-tblPiNAnalysis512[[#This Row],[2nd Highest Target]], "")</f>
        <v/>
      </c>
      <c r="AS231" s="39" t="str">
        <f>IFERROR(((tblPiNAnalysis512[[#This Row],[Highest Target]]-tblPiNAnalysis512[[#This Row],[2nd Highest Target]])/tblPiNAnalysis512[[#This Row],[2nd Highest Target]]),"")</f>
        <v/>
      </c>
      <c r="AT231" s="39" t="str" cm="1">
        <f t="array" ref="AT231">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1" s="332" t="str" cm="1">
        <f t="array" ref="AU231">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
      </c>
      <c r="AV231" s="190" t="str" cm="1">
        <f t="array" ref="AV231">IF(tblPiNAnalysis512[[#This Row],[3rd Highest Target]]="", "", _xlfn.TEXTJOIN(CHAR(10), TRUE, IF(tblPiNAnalysis512[[#This Row],[3rd Highest Target]]=tblPiNAnalysis512[[#This Row],[CCCM]:[WASH]], tblPiNAnalysis512[[#Headers],[CCCM]:[WASH]], "")))</f>
        <v/>
      </c>
      <c r="AW231" s="190" t="str">
        <f>IFERROR(tblPiNAnalysis512[[#This Row],[3rd Highest Target]]/tblPiNAnalysis512[[#This Row],[Affected population projection 2026]], "")</f>
        <v/>
      </c>
      <c r="AX231" s="45" t="str">
        <f>IFERROR(tblPiNAnalysis512[[#This Row],[Highest Target]]-tblPiNAnalysis512[[#This Row],[3rd Highest Target]],"")</f>
        <v/>
      </c>
      <c r="AY231" s="39" t="str">
        <f>IFERROR(tblPiNAnalysis512[[#This Row],[Difference of Target between Highest and 3rd Highest]]/tblPiNAnalysis512[[#This Row],[3rd Highest Target]], "")</f>
        <v/>
      </c>
      <c r="AZ231" s="330" t="str" cm="1">
        <f t="array" ref="AZ231">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1" s="300" t="str" cm="1">
        <f t="array" ref="BA231">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1" s="333" t="str" cm="1">
        <f t="array" ref="BB231">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1" s="276" t="str" cm="1">
        <f t="array" ref="BC231">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1" s="334" t="str" cm="1">
        <f t="array" ref="BD231">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1" s="277" t="e">
        <f>INDEX(tblSeverityAnalysis[Final Severity], MATCH(tblPiNAnalysis512[[#This Row],[ID]],tblSeverityAnalysis[ID], 0))</f>
        <v>#N/A</v>
      </c>
      <c r="BF231" s="61" t="e">
        <f>IF(tblPiNAnalysis512[[#This Row],[Severity]]&gt;2,tblPiNAnalysis512[[#This Row],[Highest Target]],)</f>
        <v>#N/A</v>
      </c>
      <c r="BG231" s="191"/>
      <c r="BH231" s="192"/>
      <c r="BI231" s="193">
        <f>COUNTIFS(tblPiNAnalysis512[[#This Row],[Number of missing / zero PiNs greater than threshold - Data quality]:[Manual Flag]],"Flagged")</f>
        <v>2</v>
      </c>
      <c r="BJ231" s="96" t="str">
        <f>IF(tblPiNAnalysis512[[#This Row],['# Flags]]&gt;0, "Flagged", "")</f>
        <v>Flagged</v>
      </c>
      <c r="BK231" s="326" t="e">
        <f>tblPiNAnalysis512[[#This Row],[Preliminary Target]]</f>
        <v>#N/A</v>
      </c>
      <c r="BL231" s="331">
        <v>3</v>
      </c>
    </row>
    <row r="232" spans="1:64" ht="110.7" x14ac:dyDescent="0.55000000000000004">
      <c r="A2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2" s="316" t="s">
        <v>390</v>
      </c>
      <c r="C232" s="317" t="s">
        <v>391</v>
      </c>
      <c r="D232" s="317" t="s">
        <v>394</v>
      </c>
      <c r="E232" s="105" t="s">
        <v>395</v>
      </c>
      <c r="F232" s="100"/>
      <c r="G232" s="34"/>
      <c r="H232" s="34"/>
      <c r="I232" s="97">
        <v>1463.1428571428601</v>
      </c>
      <c r="J232" s="97" t="s">
        <v>414</v>
      </c>
      <c r="K232" s="318">
        <v>0</v>
      </c>
      <c r="L232" s="319">
        <v>0</v>
      </c>
      <c r="M232" s="319">
        <v>0</v>
      </c>
      <c r="N232" s="319">
        <v>0</v>
      </c>
      <c r="O232" s="319">
        <v>0</v>
      </c>
      <c r="P232" s="319">
        <v>0</v>
      </c>
      <c r="Q232" s="320">
        <v>0</v>
      </c>
      <c r="R232" s="319">
        <v>0</v>
      </c>
      <c r="S232" s="319"/>
      <c r="T232" s="319"/>
      <c r="U232" s="319"/>
      <c r="V232" s="319"/>
      <c r="W232" s="321">
        <f>IFERROR(IF(tblPiNAnalysis512[[#This Row],[CCCM]]="", "", MROUND(tblPiNAnalysis512[[#This Row],[CCCM]]/tblPiNAnalysis512[[#This Row],[Affected population projection 2026]], 0.05)), "")</f>
        <v>0</v>
      </c>
      <c r="X232" s="322">
        <f>IFERROR(IF(tblPiNAnalysis512[[#This Row],[Education]]="", "", MROUND(tblPiNAnalysis512[[#This Row],[Education]]/tblPiNAnalysis512[[#This Row],[Affected population projection 2026]], 0.05)), "")</f>
        <v>0</v>
      </c>
      <c r="Y232" s="322">
        <f>IFERROR(IF(tblPiNAnalysis512[[#This Row],[Nutrition]]="", "", MROUND(tblPiNAnalysis512[[#This Row],[Nutrition]]/tblPiNAnalysis512[[#This Row],[Affected population projection 2026]], 0.05)), "")</f>
        <v>0</v>
      </c>
      <c r="Z232" s="322">
        <f>IFERROR(IF(tblPiNAnalysis512[[#This Row],[Food Security]]="", "", MROUND(tblPiNAnalysis512[[#This Row],[Food Security]]/tblPiNAnalysis512[[#This Row],[Affected population projection 2026]], 0.05)), "")</f>
        <v>0</v>
      </c>
      <c r="AA232" s="322">
        <f>IFERROR(IF(tblPiNAnalysis512[[#This Row],[Health]]="", "", MROUND(tblPiNAnalysis512[[#This Row],[Health]]/tblPiNAnalysis512[[#This Row],[Affected population projection 2026]], 0.05)), "")</f>
        <v>0</v>
      </c>
      <c r="AB232" s="323">
        <f>IFERROR(IF(tblPiNAnalysis512[[#This Row],[Overarching Protection]]="", "", MROUND(tblPiNAnalysis512[[#This Row],[Overarching Protection]]/tblPiNAnalysis512[[#This Row],[Affected population projection 2026]], 0.05)), "")</f>
        <v>0</v>
      </c>
      <c r="AC232" s="323">
        <f>IFERROR(IF(tblPiNAnalysis512[[#This Row],[Shelter]]="", "", MROUND(tblPiNAnalysis512[[#This Row],[Shelter]]/tblPiNAnalysis512[[#This Row],[Affected population projection 2026]], 0.05)), "")</f>
        <v>0</v>
      </c>
      <c r="AD232" s="324">
        <f>IFERROR(IF(tblPiNAnalysis512[[#This Row],[WASH]]="", "", MROUND(tblPiNAnalysis512[[#This Row],[WASH]]/tblPiNAnalysis512[[#This Row],[Affected population projection 2026]], 0.05)), "")</f>
        <v>0</v>
      </c>
      <c r="AE232" s="322">
        <f>IFERROR(MROUND(tblPiNAnalysis512[[#This Row],[CP]]/tblPiNAnalysis512[[#This Row],[Affected population projection 2026]], 0.05), "")</f>
        <v>0</v>
      </c>
      <c r="AF232" s="322">
        <f>IFERROR(MROUND(tblPiNAnalysis512[[#This Row],[GBV]]/tblPiNAnalysis512[[#This Row],[Affected population projection 2026]], 0.05), "")</f>
        <v>0</v>
      </c>
      <c r="AG232" s="322">
        <f>IFERROR(MROUND(tblPiNAnalysis512[[#This Row],[Mine Action]]/tblPiNAnalysis512[[#This Row],[Affected population projection 2026]], 0.05), "")</f>
        <v>0</v>
      </c>
      <c r="AH232" s="322">
        <f>IFERROR(MROUND(tblPiNAnalysis512[[#This Row],[HLP]]/tblPiNAnalysis512[[#This Row],[Affected population projection 2026]], 0.05), "")</f>
        <v>0</v>
      </c>
      <c r="AI232" s="325">
        <f>IFERROR(LARGE(tblPiNAnalysis512[[#This Row],[CCCM]:[WASH]], 1), "")</f>
        <v>0</v>
      </c>
      <c r="AJ232" s="326" t="str" cm="1">
        <f t="array" ref="AJ232">IF(tblPiNAnalysis512[[#This Row],[Highest Target]]="", "", _xlfn.TEXTJOIN(CHAR(10), TRUE, IF(tblPiNAnalysis512[[#This Row],[Highest Target]]=tblPiNAnalysis512[[#This Row],[CCCM]:[WASH]], tblPiNAnalysis512[[#Headers],[CCCM]:[WASH]], "")))</f>
        <v>CCCM
Education
Nutrition
Food Security
Health
Overarching Protection
Shelter
WASH</v>
      </c>
      <c r="AK232" s="327">
        <f>IF(tblPiNAnalysis512[[#This Row],[Highest Target]]="", "", tblPiNAnalysis512[[#This Row],[Highest Target]]/tblPiNAnalysis512[[#This Row],[Affected population projection 2026]])</f>
        <v>0</v>
      </c>
      <c r="AL232" s="328" t="str">
        <f>IF(SUM(tblPiNAnalysis512[[#This Row],[CCCM]:[WASH]])=0, "",IF(COUNTIF(tblPiNAnalysis512[[#This Row],[CCCM]:[WASH]],"=0")+COUNTIF(tblPiNAnalysis512[[#This Row],[CCCM]:[WASH]],"")&gt;=zero_pin_thresh, "Flagged", ""))</f>
        <v/>
      </c>
      <c r="AM232" s="329" t="str">
        <f>IFERROR(IF(tblPiNAnalysis512[[#This Row],[Highest Target]]="", "", IF(tblPiNAnalysis512[[#This Row],[Highest sector(s'') Target %]]&gt;=flag_pin_perc, "Flagged", "")), "")</f>
        <v/>
      </c>
      <c r="AN232" s="330" t="str" cm="1">
        <f t="array" ref="AN232">IF(tblPiNAnalysis512[[#This Row],[Highest Target]]=0, "",  IF(OR(COUNTIF(tblPiNAnalysis512[[#This Row],[Highest sector(s)]],tblSubSectorPopulation[Sector])), "Flagged", ""))</f>
        <v/>
      </c>
      <c r="AO232" s="46" cm="1">
        <f t="array" ref="AO232">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2" s="331" t="str" cm="1">
        <f t="array" ref="AP232">IF(tblPiNAnalysis512[[#This Row],[2nd Highest Target]]="", "", _xlfn.TEXTJOIN(CHAR(10), TRUE, IF(tblPiNAnalysis512[[#This Row],[2nd Highest Target]]=tblPiNAnalysis512[[#This Row],[CCCM]:[WASH]], tblPiNAnalysis512[[#Headers],[CCCM]:[WASH]], "")))</f>
        <v>CCCM
Education
Nutrition
Food Security
Health
Overarching Protection
Shelter
WASH</v>
      </c>
      <c r="AQ232" s="36">
        <f>IFERROR(tblPiNAnalysis512[[#This Row],[2nd Highest Target]]/tblPiNAnalysis512[[#This Row],[Affected population projection 2026]], "")</f>
        <v>0</v>
      </c>
      <c r="AR232" s="46">
        <f>IFERROR(tblPiNAnalysis512[[#This Row],[Highest Target]]-tblPiNAnalysis512[[#This Row],[2nd Highest Target]], "")</f>
        <v>0</v>
      </c>
      <c r="AS232" s="39" t="str">
        <f>IFERROR(((tblPiNAnalysis512[[#This Row],[Highest Target]]-tblPiNAnalysis512[[#This Row],[2nd Highest Target]])/tblPiNAnalysis512[[#This Row],[2nd Highest Target]]),"")</f>
        <v/>
      </c>
      <c r="AT232" s="39" t="str" cm="1">
        <f t="array" ref="AT232">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2" s="332" cm="1">
        <f t="array" ref="AU232">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2" s="190" t="str" cm="1">
        <f t="array" ref="AV232">IF(tblPiNAnalysis512[[#This Row],[3rd Highest Target]]="", "", _xlfn.TEXTJOIN(CHAR(10), TRUE, IF(tblPiNAnalysis512[[#This Row],[3rd Highest Target]]=tblPiNAnalysis512[[#This Row],[CCCM]:[WASH]], tblPiNAnalysis512[[#Headers],[CCCM]:[WASH]], "")))</f>
        <v>CCCM
Education
Nutrition
Food Security
Health
Overarching Protection
Shelter
WASH</v>
      </c>
      <c r="AW232" s="190">
        <f>IFERROR(tblPiNAnalysis512[[#This Row],[3rd Highest Target]]/tblPiNAnalysis512[[#This Row],[Affected population projection 2026]], "")</f>
        <v>0</v>
      </c>
      <c r="AX232" s="45">
        <f>IFERROR(tblPiNAnalysis512[[#This Row],[Highest Target]]-tblPiNAnalysis512[[#This Row],[3rd Highest Target]],"")</f>
        <v>0</v>
      </c>
      <c r="AY232" s="39" t="str">
        <f>IFERROR(tblPiNAnalysis512[[#This Row],[Difference of Target between Highest and 3rd Highest]]/tblPiNAnalysis512[[#This Row],[3rd Highest Target]], "")</f>
        <v/>
      </c>
      <c r="AZ232" s="330" t="str" cm="1">
        <f t="array" ref="AZ232">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2" s="300" t="str" cm="1">
        <f t="array" ref="BA232">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2" s="333" t="str" cm="1">
        <f t="array" ref="BB232">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2" s="276" t="str" cm="1">
        <f t="array" ref="BC232">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2" s="334" t="str" cm="1">
        <f t="array" ref="BD232">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2" s="277" t="e">
        <f>INDEX(tblSeverityAnalysis[Final Severity], MATCH(tblPiNAnalysis512[[#This Row],[ID]],tblSeverityAnalysis[ID], 0))</f>
        <v>#N/A</v>
      </c>
      <c r="BF232" s="61" t="e">
        <f>IF(tblPiNAnalysis512[[#This Row],[Severity]]&gt;2,tblPiNAnalysis512[[#This Row],[Highest Target]],)</f>
        <v>#N/A</v>
      </c>
      <c r="BG232" s="191"/>
      <c r="BH232" s="192"/>
      <c r="BI232" s="193">
        <f>COUNTIFS(tblPiNAnalysis512[[#This Row],[Number of missing / zero PiNs greater than threshold - Data quality]:[Manual Flag]],"Flagged")</f>
        <v>2</v>
      </c>
      <c r="BJ232" s="96" t="str">
        <f>IF(tblPiNAnalysis512[[#This Row],['# Flags]]&gt;0, "Flagged", "")</f>
        <v>Flagged</v>
      </c>
      <c r="BK232" s="326" t="e">
        <f>tblPiNAnalysis512[[#This Row],[Preliminary Target]]</f>
        <v>#N/A</v>
      </c>
      <c r="BL232" s="331">
        <v>5</v>
      </c>
    </row>
    <row r="233" spans="1:64" ht="110.7" x14ac:dyDescent="0.55000000000000004">
      <c r="A2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3" s="316" t="s">
        <v>390</v>
      </c>
      <c r="C233" s="317" t="s">
        <v>391</v>
      </c>
      <c r="D233" s="317" t="s">
        <v>396</v>
      </c>
      <c r="E233" s="105" t="s">
        <v>397</v>
      </c>
      <c r="F233" s="100"/>
      <c r="G233" s="34"/>
      <c r="H233" s="34"/>
      <c r="I233" s="97">
        <v>688</v>
      </c>
      <c r="J233" s="97" t="s">
        <v>414</v>
      </c>
      <c r="K233" s="318">
        <v>0</v>
      </c>
      <c r="L233" s="319">
        <v>0</v>
      </c>
      <c r="M233" s="319">
        <v>0</v>
      </c>
      <c r="N233" s="319">
        <v>0</v>
      </c>
      <c r="O233" s="319">
        <v>0</v>
      </c>
      <c r="P233" s="319">
        <v>0</v>
      </c>
      <c r="Q233" s="320">
        <v>0</v>
      </c>
      <c r="R233" s="319">
        <v>0</v>
      </c>
      <c r="S233" s="319"/>
      <c r="T233" s="319"/>
      <c r="U233" s="319"/>
      <c r="V233" s="319"/>
      <c r="W233" s="321">
        <f>IFERROR(IF(tblPiNAnalysis512[[#This Row],[CCCM]]="", "", MROUND(tblPiNAnalysis512[[#This Row],[CCCM]]/tblPiNAnalysis512[[#This Row],[Affected population projection 2026]], 0.05)), "")</f>
        <v>0</v>
      </c>
      <c r="X233" s="322">
        <f>IFERROR(IF(tblPiNAnalysis512[[#This Row],[Education]]="", "", MROUND(tblPiNAnalysis512[[#This Row],[Education]]/tblPiNAnalysis512[[#This Row],[Affected population projection 2026]], 0.05)), "")</f>
        <v>0</v>
      </c>
      <c r="Y233" s="322">
        <f>IFERROR(IF(tblPiNAnalysis512[[#This Row],[Nutrition]]="", "", MROUND(tblPiNAnalysis512[[#This Row],[Nutrition]]/tblPiNAnalysis512[[#This Row],[Affected population projection 2026]], 0.05)), "")</f>
        <v>0</v>
      </c>
      <c r="Z233" s="322">
        <f>IFERROR(IF(tblPiNAnalysis512[[#This Row],[Food Security]]="", "", MROUND(tblPiNAnalysis512[[#This Row],[Food Security]]/tblPiNAnalysis512[[#This Row],[Affected population projection 2026]], 0.05)), "")</f>
        <v>0</v>
      </c>
      <c r="AA233" s="322">
        <f>IFERROR(IF(tblPiNAnalysis512[[#This Row],[Health]]="", "", MROUND(tblPiNAnalysis512[[#This Row],[Health]]/tblPiNAnalysis512[[#This Row],[Affected population projection 2026]], 0.05)), "")</f>
        <v>0</v>
      </c>
      <c r="AB233" s="323">
        <f>IFERROR(IF(tblPiNAnalysis512[[#This Row],[Overarching Protection]]="", "", MROUND(tblPiNAnalysis512[[#This Row],[Overarching Protection]]/tblPiNAnalysis512[[#This Row],[Affected population projection 2026]], 0.05)), "")</f>
        <v>0</v>
      </c>
      <c r="AC233" s="323">
        <f>IFERROR(IF(tblPiNAnalysis512[[#This Row],[Shelter]]="", "", MROUND(tblPiNAnalysis512[[#This Row],[Shelter]]/tblPiNAnalysis512[[#This Row],[Affected population projection 2026]], 0.05)), "")</f>
        <v>0</v>
      </c>
      <c r="AD233" s="324">
        <f>IFERROR(IF(tblPiNAnalysis512[[#This Row],[WASH]]="", "", MROUND(tblPiNAnalysis512[[#This Row],[WASH]]/tblPiNAnalysis512[[#This Row],[Affected population projection 2026]], 0.05)), "")</f>
        <v>0</v>
      </c>
      <c r="AE233" s="322">
        <f>IFERROR(MROUND(tblPiNAnalysis512[[#This Row],[CP]]/tblPiNAnalysis512[[#This Row],[Affected population projection 2026]], 0.05), "")</f>
        <v>0</v>
      </c>
      <c r="AF233" s="322">
        <f>IFERROR(MROUND(tblPiNAnalysis512[[#This Row],[GBV]]/tblPiNAnalysis512[[#This Row],[Affected population projection 2026]], 0.05), "")</f>
        <v>0</v>
      </c>
      <c r="AG233" s="322">
        <f>IFERROR(MROUND(tblPiNAnalysis512[[#This Row],[Mine Action]]/tblPiNAnalysis512[[#This Row],[Affected population projection 2026]], 0.05), "")</f>
        <v>0</v>
      </c>
      <c r="AH233" s="322">
        <f>IFERROR(MROUND(tblPiNAnalysis512[[#This Row],[HLP]]/tblPiNAnalysis512[[#This Row],[Affected population projection 2026]], 0.05), "")</f>
        <v>0</v>
      </c>
      <c r="AI233" s="325">
        <f>IFERROR(LARGE(tblPiNAnalysis512[[#This Row],[CCCM]:[WASH]], 1), "")</f>
        <v>0</v>
      </c>
      <c r="AJ233" s="326" t="str" cm="1">
        <f t="array" ref="AJ233">IF(tblPiNAnalysis512[[#This Row],[Highest Target]]="", "", _xlfn.TEXTJOIN(CHAR(10), TRUE, IF(tblPiNAnalysis512[[#This Row],[Highest Target]]=tblPiNAnalysis512[[#This Row],[CCCM]:[WASH]], tblPiNAnalysis512[[#Headers],[CCCM]:[WASH]], "")))</f>
        <v>CCCM
Education
Nutrition
Food Security
Health
Overarching Protection
Shelter
WASH</v>
      </c>
      <c r="AK233" s="327">
        <f>IF(tblPiNAnalysis512[[#This Row],[Highest Target]]="", "", tblPiNAnalysis512[[#This Row],[Highest Target]]/tblPiNAnalysis512[[#This Row],[Affected population projection 2026]])</f>
        <v>0</v>
      </c>
      <c r="AL233" s="328" t="str">
        <f>IF(SUM(tblPiNAnalysis512[[#This Row],[CCCM]:[WASH]])=0, "",IF(COUNTIF(tblPiNAnalysis512[[#This Row],[CCCM]:[WASH]],"=0")+COUNTIF(tblPiNAnalysis512[[#This Row],[CCCM]:[WASH]],"")&gt;=zero_pin_thresh, "Flagged", ""))</f>
        <v/>
      </c>
      <c r="AM233" s="329" t="str">
        <f>IFERROR(IF(tblPiNAnalysis512[[#This Row],[Highest Target]]="", "", IF(tblPiNAnalysis512[[#This Row],[Highest sector(s'') Target %]]&gt;=flag_pin_perc, "Flagged", "")), "")</f>
        <v/>
      </c>
      <c r="AN233" s="330" t="str" cm="1">
        <f t="array" ref="AN233">IF(tblPiNAnalysis512[[#This Row],[Highest Target]]=0, "",  IF(OR(COUNTIF(tblPiNAnalysis512[[#This Row],[Highest sector(s)]],tblSubSectorPopulation[Sector])), "Flagged", ""))</f>
        <v/>
      </c>
      <c r="AO233" s="46" cm="1">
        <f t="array" ref="AO233">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3" s="331" t="str" cm="1">
        <f t="array" ref="AP233">IF(tblPiNAnalysis512[[#This Row],[2nd Highest Target]]="", "", _xlfn.TEXTJOIN(CHAR(10), TRUE, IF(tblPiNAnalysis512[[#This Row],[2nd Highest Target]]=tblPiNAnalysis512[[#This Row],[CCCM]:[WASH]], tblPiNAnalysis512[[#Headers],[CCCM]:[WASH]], "")))</f>
        <v>CCCM
Education
Nutrition
Food Security
Health
Overarching Protection
Shelter
WASH</v>
      </c>
      <c r="AQ233" s="36">
        <f>IFERROR(tblPiNAnalysis512[[#This Row],[2nd Highest Target]]/tblPiNAnalysis512[[#This Row],[Affected population projection 2026]], "")</f>
        <v>0</v>
      </c>
      <c r="AR233" s="46">
        <f>IFERROR(tblPiNAnalysis512[[#This Row],[Highest Target]]-tblPiNAnalysis512[[#This Row],[2nd Highest Target]], "")</f>
        <v>0</v>
      </c>
      <c r="AS233" s="39" t="str">
        <f>IFERROR(((tblPiNAnalysis512[[#This Row],[Highest Target]]-tblPiNAnalysis512[[#This Row],[2nd Highest Target]])/tblPiNAnalysis512[[#This Row],[2nd Highest Target]]),"")</f>
        <v/>
      </c>
      <c r="AT233" s="39" t="str" cm="1">
        <f t="array" ref="AT233">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3" s="332" cm="1">
        <f t="array" ref="AU233">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3" s="190" t="str" cm="1">
        <f t="array" ref="AV233">IF(tblPiNAnalysis512[[#This Row],[3rd Highest Target]]="", "", _xlfn.TEXTJOIN(CHAR(10), TRUE, IF(tblPiNAnalysis512[[#This Row],[3rd Highest Target]]=tblPiNAnalysis512[[#This Row],[CCCM]:[WASH]], tblPiNAnalysis512[[#Headers],[CCCM]:[WASH]], "")))</f>
        <v>CCCM
Education
Nutrition
Food Security
Health
Overarching Protection
Shelter
WASH</v>
      </c>
      <c r="AW233" s="190">
        <f>IFERROR(tblPiNAnalysis512[[#This Row],[3rd Highest Target]]/tblPiNAnalysis512[[#This Row],[Affected population projection 2026]], "")</f>
        <v>0</v>
      </c>
      <c r="AX233" s="45">
        <f>IFERROR(tblPiNAnalysis512[[#This Row],[Highest Target]]-tblPiNAnalysis512[[#This Row],[3rd Highest Target]],"")</f>
        <v>0</v>
      </c>
      <c r="AY233" s="39" t="str">
        <f>IFERROR(tblPiNAnalysis512[[#This Row],[Difference of Target between Highest and 3rd Highest]]/tblPiNAnalysis512[[#This Row],[3rd Highest Target]], "")</f>
        <v/>
      </c>
      <c r="AZ233" s="330" t="str" cm="1">
        <f t="array" ref="AZ233">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3" s="300" t="str" cm="1">
        <f t="array" ref="BA233">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3" s="333" t="str" cm="1">
        <f t="array" ref="BB233">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3" s="276" t="str" cm="1">
        <f t="array" ref="BC233">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3" s="334" t="str" cm="1">
        <f t="array" ref="BD233">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3" s="277" t="e">
        <f>INDEX(tblSeverityAnalysis[Final Severity], MATCH(tblPiNAnalysis512[[#This Row],[ID]],tblSeverityAnalysis[ID], 0))</f>
        <v>#N/A</v>
      </c>
      <c r="BF233" s="61" t="e">
        <f>IF(tblPiNAnalysis512[[#This Row],[Severity]]&gt;2,tblPiNAnalysis512[[#This Row],[Highest Target]],)</f>
        <v>#N/A</v>
      </c>
      <c r="BG233" s="191"/>
      <c r="BH233" s="192"/>
      <c r="BI233" s="193">
        <f>COUNTIFS(tblPiNAnalysis512[[#This Row],[Number of missing / zero PiNs greater than threshold - Data quality]:[Manual Flag]],"Flagged")</f>
        <v>2</v>
      </c>
      <c r="BJ233" s="96" t="str">
        <f>IF(tblPiNAnalysis512[[#This Row],['# Flags]]&gt;0, "Flagged", "")</f>
        <v>Flagged</v>
      </c>
      <c r="BK233" s="326" t="e">
        <f>tblPiNAnalysis512[[#This Row],[Preliminary Target]]</f>
        <v>#N/A</v>
      </c>
      <c r="BL233" s="331">
        <v>5</v>
      </c>
    </row>
    <row r="234" spans="1:64" ht="110.7" x14ac:dyDescent="0.55000000000000004">
      <c r="A2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4" s="316" t="s">
        <v>390</v>
      </c>
      <c r="C234" s="317" t="s">
        <v>391</v>
      </c>
      <c r="D234" s="317" t="s">
        <v>398</v>
      </c>
      <c r="E234" s="105" t="s">
        <v>399</v>
      </c>
      <c r="F234" s="100"/>
      <c r="G234" s="34"/>
      <c r="H234" s="34"/>
      <c r="I234" s="97">
        <v>5019</v>
      </c>
      <c r="J234" s="97" t="s">
        <v>414</v>
      </c>
      <c r="K234" s="318">
        <v>0</v>
      </c>
      <c r="L234" s="319">
        <v>0</v>
      </c>
      <c r="M234" s="319">
        <v>0</v>
      </c>
      <c r="N234" s="319">
        <v>0</v>
      </c>
      <c r="O234" s="319">
        <v>0</v>
      </c>
      <c r="P234" s="319">
        <v>0</v>
      </c>
      <c r="Q234" s="320">
        <v>0</v>
      </c>
      <c r="R234" s="319">
        <v>0</v>
      </c>
      <c r="S234" s="319"/>
      <c r="T234" s="319"/>
      <c r="U234" s="319"/>
      <c r="V234" s="319"/>
      <c r="W234" s="321">
        <f>IFERROR(IF(tblPiNAnalysis512[[#This Row],[CCCM]]="", "", MROUND(tblPiNAnalysis512[[#This Row],[CCCM]]/tblPiNAnalysis512[[#This Row],[Affected population projection 2026]], 0.05)), "")</f>
        <v>0</v>
      </c>
      <c r="X234" s="322">
        <f>IFERROR(IF(tblPiNAnalysis512[[#This Row],[Education]]="", "", MROUND(tblPiNAnalysis512[[#This Row],[Education]]/tblPiNAnalysis512[[#This Row],[Affected population projection 2026]], 0.05)), "")</f>
        <v>0</v>
      </c>
      <c r="Y234" s="322">
        <f>IFERROR(IF(tblPiNAnalysis512[[#This Row],[Nutrition]]="", "", MROUND(tblPiNAnalysis512[[#This Row],[Nutrition]]/tblPiNAnalysis512[[#This Row],[Affected population projection 2026]], 0.05)), "")</f>
        <v>0</v>
      </c>
      <c r="Z234" s="322">
        <f>IFERROR(IF(tblPiNAnalysis512[[#This Row],[Food Security]]="", "", MROUND(tblPiNAnalysis512[[#This Row],[Food Security]]/tblPiNAnalysis512[[#This Row],[Affected population projection 2026]], 0.05)), "")</f>
        <v>0</v>
      </c>
      <c r="AA234" s="322">
        <f>IFERROR(IF(tblPiNAnalysis512[[#This Row],[Health]]="", "", MROUND(tblPiNAnalysis512[[#This Row],[Health]]/tblPiNAnalysis512[[#This Row],[Affected population projection 2026]], 0.05)), "")</f>
        <v>0</v>
      </c>
      <c r="AB234" s="323">
        <f>IFERROR(IF(tblPiNAnalysis512[[#This Row],[Overarching Protection]]="", "", MROUND(tblPiNAnalysis512[[#This Row],[Overarching Protection]]/tblPiNAnalysis512[[#This Row],[Affected population projection 2026]], 0.05)), "")</f>
        <v>0</v>
      </c>
      <c r="AC234" s="323">
        <f>IFERROR(IF(tblPiNAnalysis512[[#This Row],[Shelter]]="", "", MROUND(tblPiNAnalysis512[[#This Row],[Shelter]]/tblPiNAnalysis512[[#This Row],[Affected population projection 2026]], 0.05)), "")</f>
        <v>0</v>
      </c>
      <c r="AD234" s="324">
        <f>IFERROR(IF(tblPiNAnalysis512[[#This Row],[WASH]]="", "", MROUND(tblPiNAnalysis512[[#This Row],[WASH]]/tblPiNAnalysis512[[#This Row],[Affected population projection 2026]], 0.05)), "")</f>
        <v>0</v>
      </c>
      <c r="AE234" s="322">
        <f>IFERROR(MROUND(tblPiNAnalysis512[[#This Row],[CP]]/tblPiNAnalysis512[[#This Row],[Affected population projection 2026]], 0.05), "")</f>
        <v>0</v>
      </c>
      <c r="AF234" s="322">
        <f>IFERROR(MROUND(tblPiNAnalysis512[[#This Row],[GBV]]/tblPiNAnalysis512[[#This Row],[Affected population projection 2026]], 0.05), "")</f>
        <v>0</v>
      </c>
      <c r="AG234" s="322">
        <f>IFERROR(MROUND(tblPiNAnalysis512[[#This Row],[Mine Action]]/tblPiNAnalysis512[[#This Row],[Affected population projection 2026]], 0.05), "")</f>
        <v>0</v>
      </c>
      <c r="AH234" s="322">
        <f>IFERROR(MROUND(tblPiNAnalysis512[[#This Row],[HLP]]/tblPiNAnalysis512[[#This Row],[Affected population projection 2026]], 0.05), "")</f>
        <v>0</v>
      </c>
      <c r="AI234" s="325">
        <f>IFERROR(LARGE(tblPiNAnalysis512[[#This Row],[CCCM]:[WASH]], 1), "")</f>
        <v>0</v>
      </c>
      <c r="AJ234" s="326" t="str" cm="1">
        <f t="array" ref="AJ234">IF(tblPiNAnalysis512[[#This Row],[Highest Target]]="", "", _xlfn.TEXTJOIN(CHAR(10), TRUE, IF(tblPiNAnalysis512[[#This Row],[Highest Target]]=tblPiNAnalysis512[[#This Row],[CCCM]:[WASH]], tblPiNAnalysis512[[#Headers],[CCCM]:[WASH]], "")))</f>
        <v>CCCM
Education
Nutrition
Food Security
Health
Overarching Protection
Shelter
WASH</v>
      </c>
      <c r="AK234" s="327">
        <f>IF(tblPiNAnalysis512[[#This Row],[Highest Target]]="", "", tblPiNAnalysis512[[#This Row],[Highest Target]]/tblPiNAnalysis512[[#This Row],[Affected population projection 2026]])</f>
        <v>0</v>
      </c>
      <c r="AL234" s="328" t="str">
        <f>IF(SUM(tblPiNAnalysis512[[#This Row],[CCCM]:[WASH]])=0, "",IF(COUNTIF(tblPiNAnalysis512[[#This Row],[CCCM]:[WASH]],"=0")+COUNTIF(tblPiNAnalysis512[[#This Row],[CCCM]:[WASH]],"")&gt;=zero_pin_thresh, "Flagged", ""))</f>
        <v/>
      </c>
      <c r="AM234" s="329" t="str">
        <f>IFERROR(IF(tblPiNAnalysis512[[#This Row],[Highest Target]]="", "", IF(tblPiNAnalysis512[[#This Row],[Highest sector(s'') Target %]]&gt;=flag_pin_perc, "Flagged", "")), "")</f>
        <v/>
      </c>
      <c r="AN234" s="330" t="str" cm="1">
        <f t="array" ref="AN234">IF(tblPiNAnalysis512[[#This Row],[Highest Target]]=0, "",  IF(OR(COUNTIF(tblPiNAnalysis512[[#This Row],[Highest sector(s)]],tblSubSectorPopulation[Sector])), "Flagged", ""))</f>
        <v/>
      </c>
      <c r="AO234" s="46" cm="1">
        <f t="array" ref="AO234">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4" s="331" t="str" cm="1">
        <f t="array" ref="AP234">IF(tblPiNAnalysis512[[#This Row],[2nd Highest Target]]="", "", _xlfn.TEXTJOIN(CHAR(10), TRUE, IF(tblPiNAnalysis512[[#This Row],[2nd Highest Target]]=tblPiNAnalysis512[[#This Row],[CCCM]:[WASH]], tblPiNAnalysis512[[#Headers],[CCCM]:[WASH]], "")))</f>
        <v>CCCM
Education
Nutrition
Food Security
Health
Overarching Protection
Shelter
WASH</v>
      </c>
      <c r="AQ234" s="36">
        <f>IFERROR(tblPiNAnalysis512[[#This Row],[2nd Highest Target]]/tblPiNAnalysis512[[#This Row],[Affected population projection 2026]], "")</f>
        <v>0</v>
      </c>
      <c r="AR234" s="46">
        <f>IFERROR(tblPiNAnalysis512[[#This Row],[Highest Target]]-tblPiNAnalysis512[[#This Row],[2nd Highest Target]], "")</f>
        <v>0</v>
      </c>
      <c r="AS234" s="39" t="str">
        <f>IFERROR(((tblPiNAnalysis512[[#This Row],[Highest Target]]-tblPiNAnalysis512[[#This Row],[2nd Highest Target]])/tblPiNAnalysis512[[#This Row],[2nd Highest Target]]),"")</f>
        <v/>
      </c>
      <c r="AT234" s="39" t="str" cm="1">
        <f t="array" ref="AT234">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4" s="332" cm="1">
        <f t="array" ref="AU234">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4" s="190" t="str" cm="1">
        <f t="array" ref="AV234">IF(tblPiNAnalysis512[[#This Row],[3rd Highest Target]]="", "", _xlfn.TEXTJOIN(CHAR(10), TRUE, IF(tblPiNAnalysis512[[#This Row],[3rd Highest Target]]=tblPiNAnalysis512[[#This Row],[CCCM]:[WASH]], tblPiNAnalysis512[[#Headers],[CCCM]:[WASH]], "")))</f>
        <v>CCCM
Education
Nutrition
Food Security
Health
Overarching Protection
Shelter
WASH</v>
      </c>
      <c r="AW234" s="190">
        <f>IFERROR(tblPiNAnalysis512[[#This Row],[3rd Highest Target]]/tblPiNAnalysis512[[#This Row],[Affected population projection 2026]], "")</f>
        <v>0</v>
      </c>
      <c r="AX234" s="45">
        <f>IFERROR(tblPiNAnalysis512[[#This Row],[Highest Target]]-tblPiNAnalysis512[[#This Row],[3rd Highest Target]],"")</f>
        <v>0</v>
      </c>
      <c r="AY234" s="39" t="str">
        <f>IFERROR(tblPiNAnalysis512[[#This Row],[Difference of Target between Highest and 3rd Highest]]/tblPiNAnalysis512[[#This Row],[3rd Highest Target]], "")</f>
        <v/>
      </c>
      <c r="AZ234" s="330" t="str" cm="1">
        <f t="array" ref="AZ234">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4" s="300" t="str" cm="1">
        <f t="array" ref="BA234">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4" s="333" t="str" cm="1">
        <f t="array" ref="BB234">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4" s="276" t="str" cm="1">
        <f t="array" ref="BC234">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4" s="334" t="str" cm="1">
        <f t="array" ref="BD234">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4" s="277" t="e">
        <f>INDEX(tblSeverityAnalysis[Final Severity], MATCH(tblPiNAnalysis512[[#This Row],[ID]],tblSeverityAnalysis[ID], 0))</f>
        <v>#N/A</v>
      </c>
      <c r="BF234" s="61" t="e">
        <f>IF(tblPiNAnalysis512[[#This Row],[Severity]]&gt;2,tblPiNAnalysis512[[#This Row],[Highest Target]],)</f>
        <v>#N/A</v>
      </c>
      <c r="BG234" s="191"/>
      <c r="BH234" s="192"/>
      <c r="BI234" s="193">
        <f>COUNTIFS(tblPiNAnalysis512[[#This Row],[Number of missing / zero PiNs greater than threshold - Data quality]:[Manual Flag]],"Flagged")</f>
        <v>2</v>
      </c>
      <c r="BJ234" s="96" t="str">
        <f>IF(tblPiNAnalysis512[[#This Row],['# Flags]]&gt;0, "Flagged", "")</f>
        <v>Flagged</v>
      </c>
      <c r="BK234" s="326" t="e">
        <f>tblPiNAnalysis512[[#This Row],[Preliminary Target]]</f>
        <v>#N/A</v>
      </c>
      <c r="BL234" s="331">
        <v>5</v>
      </c>
    </row>
    <row r="235" spans="1:64" ht="110.7" x14ac:dyDescent="0.55000000000000004">
      <c r="A2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5" s="316" t="s">
        <v>390</v>
      </c>
      <c r="C235" s="317" t="s">
        <v>391</v>
      </c>
      <c r="D235" s="317" t="s">
        <v>400</v>
      </c>
      <c r="E235" s="105" t="s">
        <v>401</v>
      </c>
      <c r="F235" s="100"/>
      <c r="G235" s="34"/>
      <c r="H235" s="34"/>
      <c r="I235" s="97">
        <v>2319</v>
      </c>
      <c r="J235" s="97" t="s">
        <v>414</v>
      </c>
      <c r="K235" s="318">
        <v>0</v>
      </c>
      <c r="L235" s="319">
        <v>0</v>
      </c>
      <c r="M235" s="319">
        <v>0</v>
      </c>
      <c r="N235" s="319">
        <v>0</v>
      </c>
      <c r="O235" s="319">
        <v>0</v>
      </c>
      <c r="P235" s="319">
        <v>0</v>
      </c>
      <c r="Q235" s="320">
        <v>0</v>
      </c>
      <c r="R235" s="319">
        <v>0</v>
      </c>
      <c r="S235" s="319"/>
      <c r="T235" s="319"/>
      <c r="U235" s="319"/>
      <c r="V235" s="319"/>
      <c r="W235" s="321">
        <f>IFERROR(IF(tblPiNAnalysis512[[#This Row],[CCCM]]="", "", MROUND(tblPiNAnalysis512[[#This Row],[CCCM]]/tblPiNAnalysis512[[#This Row],[Affected population projection 2026]], 0.05)), "")</f>
        <v>0</v>
      </c>
      <c r="X235" s="322">
        <f>IFERROR(IF(tblPiNAnalysis512[[#This Row],[Education]]="", "", MROUND(tblPiNAnalysis512[[#This Row],[Education]]/tblPiNAnalysis512[[#This Row],[Affected population projection 2026]], 0.05)), "")</f>
        <v>0</v>
      </c>
      <c r="Y235" s="322">
        <f>IFERROR(IF(tblPiNAnalysis512[[#This Row],[Nutrition]]="", "", MROUND(tblPiNAnalysis512[[#This Row],[Nutrition]]/tblPiNAnalysis512[[#This Row],[Affected population projection 2026]], 0.05)), "")</f>
        <v>0</v>
      </c>
      <c r="Z235" s="322">
        <f>IFERROR(IF(tblPiNAnalysis512[[#This Row],[Food Security]]="", "", MROUND(tblPiNAnalysis512[[#This Row],[Food Security]]/tblPiNAnalysis512[[#This Row],[Affected population projection 2026]], 0.05)), "")</f>
        <v>0</v>
      </c>
      <c r="AA235" s="322">
        <f>IFERROR(IF(tblPiNAnalysis512[[#This Row],[Health]]="", "", MROUND(tblPiNAnalysis512[[#This Row],[Health]]/tblPiNAnalysis512[[#This Row],[Affected population projection 2026]], 0.05)), "")</f>
        <v>0</v>
      </c>
      <c r="AB235" s="323">
        <f>IFERROR(IF(tblPiNAnalysis512[[#This Row],[Overarching Protection]]="", "", MROUND(tblPiNAnalysis512[[#This Row],[Overarching Protection]]/tblPiNAnalysis512[[#This Row],[Affected population projection 2026]], 0.05)), "")</f>
        <v>0</v>
      </c>
      <c r="AC235" s="323">
        <f>IFERROR(IF(tblPiNAnalysis512[[#This Row],[Shelter]]="", "", MROUND(tblPiNAnalysis512[[#This Row],[Shelter]]/tblPiNAnalysis512[[#This Row],[Affected population projection 2026]], 0.05)), "")</f>
        <v>0</v>
      </c>
      <c r="AD235" s="324">
        <f>IFERROR(IF(tblPiNAnalysis512[[#This Row],[WASH]]="", "", MROUND(tblPiNAnalysis512[[#This Row],[WASH]]/tblPiNAnalysis512[[#This Row],[Affected population projection 2026]], 0.05)), "")</f>
        <v>0</v>
      </c>
      <c r="AE235" s="322">
        <f>IFERROR(MROUND(tblPiNAnalysis512[[#This Row],[CP]]/tblPiNAnalysis512[[#This Row],[Affected population projection 2026]], 0.05), "")</f>
        <v>0</v>
      </c>
      <c r="AF235" s="322">
        <f>IFERROR(MROUND(tblPiNAnalysis512[[#This Row],[GBV]]/tblPiNAnalysis512[[#This Row],[Affected population projection 2026]], 0.05), "")</f>
        <v>0</v>
      </c>
      <c r="AG235" s="322">
        <f>IFERROR(MROUND(tblPiNAnalysis512[[#This Row],[Mine Action]]/tblPiNAnalysis512[[#This Row],[Affected population projection 2026]], 0.05), "")</f>
        <v>0</v>
      </c>
      <c r="AH235" s="322">
        <f>IFERROR(MROUND(tblPiNAnalysis512[[#This Row],[HLP]]/tblPiNAnalysis512[[#This Row],[Affected population projection 2026]], 0.05), "")</f>
        <v>0</v>
      </c>
      <c r="AI235" s="325">
        <f>IFERROR(LARGE(tblPiNAnalysis512[[#This Row],[CCCM]:[WASH]], 1), "")</f>
        <v>0</v>
      </c>
      <c r="AJ235" s="326" t="str" cm="1">
        <f t="array" ref="AJ235">IF(tblPiNAnalysis512[[#This Row],[Highest Target]]="", "", _xlfn.TEXTJOIN(CHAR(10), TRUE, IF(tblPiNAnalysis512[[#This Row],[Highest Target]]=tblPiNAnalysis512[[#This Row],[CCCM]:[WASH]], tblPiNAnalysis512[[#Headers],[CCCM]:[WASH]], "")))</f>
        <v>CCCM
Education
Nutrition
Food Security
Health
Overarching Protection
Shelter
WASH</v>
      </c>
      <c r="AK235" s="327">
        <f>IF(tblPiNAnalysis512[[#This Row],[Highest Target]]="", "", tblPiNAnalysis512[[#This Row],[Highest Target]]/tblPiNAnalysis512[[#This Row],[Affected population projection 2026]])</f>
        <v>0</v>
      </c>
      <c r="AL235" s="328" t="str">
        <f>IF(SUM(tblPiNAnalysis512[[#This Row],[CCCM]:[WASH]])=0, "",IF(COUNTIF(tblPiNAnalysis512[[#This Row],[CCCM]:[WASH]],"=0")+COUNTIF(tblPiNAnalysis512[[#This Row],[CCCM]:[WASH]],"")&gt;=zero_pin_thresh, "Flagged", ""))</f>
        <v/>
      </c>
      <c r="AM235" s="329" t="str">
        <f>IFERROR(IF(tblPiNAnalysis512[[#This Row],[Highest Target]]="", "", IF(tblPiNAnalysis512[[#This Row],[Highest sector(s'') Target %]]&gt;=flag_pin_perc, "Flagged", "")), "")</f>
        <v/>
      </c>
      <c r="AN235" s="330" t="str" cm="1">
        <f t="array" ref="AN235">IF(tblPiNAnalysis512[[#This Row],[Highest Target]]=0, "",  IF(OR(COUNTIF(tblPiNAnalysis512[[#This Row],[Highest sector(s)]],tblSubSectorPopulation[Sector])), "Flagged", ""))</f>
        <v/>
      </c>
      <c r="AO235" s="46" cm="1">
        <f t="array" ref="AO235">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5" s="331" t="str" cm="1">
        <f t="array" ref="AP235">IF(tblPiNAnalysis512[[#This Row],[2nd Highest Target]]="", "", _xlfn.TEXTJOIN(CHAR(10), TRUE, IF(tblPiNAnalysis512[[#This Row],[2nd Highest Target]]=tblPiNAnalysis512[[#This Row],[CCCM]:[WASH]], tblPiNAnalysis512[[#Headers],[CCCM]:[WASH]], "")))</f>
        <v>CCCM
Education
Nutrition
Food Security
Health
Overarching Protection
Shelter
WASH</v>
      </c>
      <c r="AQ235" s="36">
        <f>IFERROR(tblPiNAnalysis512[[#This Row],[2nd Highest Target]]/tblPiNAnalysis512[[#This Row],[Affected population projection 2026]], "")</f>
        <v>0</v>
      </c>
      <c r="AR235" s="46">
        <f>IFERROR(tblPiNAnalysis512[[#This Row],[Highest Target]]-tblPiNAnalysis512[[#This Row],[2nd Highest Target]], "")</f>
        <v>0</v>
      </c>
      <c r="AS235" s="39" t="str">
        <f>IFERROR(((tblPiNAnalysis512[[#This Row],[Highest Target]]-tblPiNAnalysis512[[#This Row],[2nd Highest Target]])/tblPiNAnalysis512[[#This Row],[2nd Highest Target]]),"")</f>
        <v/>
      </c>
      <c r="AT235" s="39" t="str" cm="1">
        <f t="array" ref="AT235">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5" s="332" cm="1">
        <f t="array" ref="AU235">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5" s="190" t="str" cm="1">
        <f t="array" ref="AV235">IF(tblPiNAnalysis512[[#This Row],[3rd Highest Target]]="", "", _xlfn.TEXTJOIN(CHAR(10), TRUE, IF(tblPiNAnalysis512[[#This Row],[3rd Highest Target]]=tblPiNAnalysis512[[#This Row],[CCCM]:[WASH]], tblPiNAnalysis512[[#Headers],[CCCM]:[WASH]], "")))</f>
        <v>CCCM
Education
Nutrition
Food Security
Health
Overarching Protection
Shelter
WASH</v>
      </c>
      <c r="AW235" s="190">
        <f>IFERROR(tblPiNAnalysis512[[#This Row],[3rd Highest Target]]/tblPiNAnalysis512[[#This Row],[Affected population projection 2026]], "")</f>
        <v>0</v>
      </c>
      <c r="AX235" s="45">
        <f>IFERROR(tblPiNAnalysis512[[#This Row],[Highest Target]]-tblPiNAnalysis512[[#This Row],[3rd Highest Target]],"")</f>
        <v>0</v>
      </c>
      <c r="AY235" s="39" t="str">
        <f>IFERROR(tblPiNAnalysis512[[#This Row],[Difference of Target between Highest and 3rd Highest]]/tblPiNAnalysis512[[#This Row],[3rd Highest Target]], "")</f>
        <v/>
      </c>
      <c r="AZ235" s="330" t="str" cm="1">
        <f t="array" ref="AZ235">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5" s="300" t="str" cm="1">
        <f t="array" ref="BA235">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5" s="333" t="str" cm="1">
        <f t="array" ref="BB235">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5" s="276" t="str" cm="1">
        <f t="array" ref="BC235">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5" s="334" t="str" cm="1">
        <f t="array" ref="BD235">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5" s="277" t="e">
        <f>INDEX(tblSeverityAnalysis[Final Severity], MATCH(tblPiNAnalysis512[[#This Row],[ID]],tblSeverityAnalysis[ID], 0))</f>
        <v>#N/A</v>
      </c>
      <c r="BF235" s="61" t="e">
        <f>IF(tblPiNAnalysis512[[#This Row],[Severity]]&gt;2,tblPiNAnalysis512[[#This Row],[Highest Target]],)</f>
        <v>#N/A</v>
      </c>
      <c r="BG235" s="191"/>
      <c r="BH235" s="192"/>
      <c r="BI235" s="193">
        <f>COUNTIFS(tblPiNAnalysis512[[#This Row],[Number of missing / zero PiNs greater than threshold - Data quality]:[Manual Flag]],"Flagged")</f>
        <v>2</v>
      </c>
      <c r="BJ235" s="96" t="str">
        <f>IF(tblPiNAnalysis512[[#This Row],['# Flags]]&gt;0, "Flagged", "")</f>
        <v>Flagged</v>
      </c>
      <c r="BK235" s="326" t="e">
        <f>tblPiNAnalysis512[[#This Row],[Preliminary Target]]</f>
        <v>#N/A</v>
      </c>
      <c r="BL235" s="331">
        <v>5</v>
      </c>
    </row>
    <row r="236" spans="1:64" ht="110.7" x14ac:dyDescent="0.55000000000000004">
      <c r="A2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6" s="316" t="s">
        <v>390</v>
      </c>
      <c r="C236" s="317" t="s">
        <v>391</v>
      </c>
      <c r="D236" s="317" t="s">
        <v>402</v>
      </c>
      <c r="E236" s="105" t="s">
        <v>403</v>
      </c>
      <c r="F236" s="100"/>
      <c r="G236" s="34"/>
      <c r="H236" s="34"/>
      <c r="I236" s="97">
        <v>4934</v>
      </c>
      <c r="J236" s="97" t="s">
        <v>414</v>
      </c>
      <c r="K236" s="318">
        <v>0</v>
      </c>
      <c r="L236" s="319">
        <v>0</v>
      </c>
      <c r="M236" s="319">
        <v>0</v>
      </c>
      <c r="N236" s="319">
        <v>0</v>
      </c>
      <c r="O236" s="319">
        <v>0</v>
      </c>
      <c r="P236" s="319">
        <v>0</v>
      </c>
      <c r="Q236" s="320">
        <v>0</v>
      </c>
      <c r="R236" s="319">
        <v>0</v>
      </c>
      <c r="S236" s="319"/>
      <c r="T236" s="319"/>
      <c r="U236" s="319"/>
      <c r="V236" s="319"/>
      <c r="W236" s="321">
        <f>IFERROR(IF(tblPiNAnalysis512[[#This Row],[CCCM]]="", "", MROUND(tblPiNAnalysis512[[#This Row],[CCCM]]/tblPiNAnalysis512[[#This Row],[Affected population projection 2026]], 0.05)), "")</f>
        <v>0</v>
      </c>
      <c r="X236" s="322">
        <f>IFERROR(IF(tblPiNAnalysis512[[#This Row],[Education]]="", "", MROUND(tblPiNAnalysis512[[#This Row],[Education]]/tblPiNAnalysis512[[#This Row],[Affected population projection 2026]], 0.05)), "")</f>
        <v>0</v>
      </c>
      <c r="Y236" s="322">
        <f>IFERROR(IF(tblPiNAnalysis512[[#This Row],[Nutrition]]="", "", MROUND(tblPiNAnalysis512[[#This Row],[Nutrition]]/tblPiNAnalysis512[[#This Row],[Affected population projection 2026]], 0.05)), "")</f>
        <v>0</v>
      </c>
      <c r="Z236" s="322">
        <f>IFERROR(IF(tblPiNAnalysis512[[#This Row],[Food Security]]="", "", MROUND(tblPiNAnalysis512[[#This Row],[Food Security]]/tblPiNAnalysis512[[#This Row],[Affected population projection 2026]], 0.05)), "")</f>
        <v>0</v>
      </c>
      <c r="AA236" s="322">
        <f>IFERROR(IF(tblPiNAnalysis512[[#This Row],[Health]]="", "", MROUND(tblPiNAnalysis512[[#This Row],[Health]]/tblPiNAnalysis512[[#This Row],[Affected population projection 2026]], 0.05)), "")</f>
        <v>0</v>
      </c>
      <c r="AB236" s="323">
        <f>IFERROR(IF(tblPiNAnalysis512[[#This Row],[Overarching Protection]]="", "", MROUND(tblPiNAnalysis512[[#This Row],[Overarching Protection]]/tblPiNAnalysis512[[#This Row],[Affected population projection 2026]], 0.05)), "")</f>
        <v>0</v>
      </c>
      <c r="AC236" s="323">
        <f>IFERROR(IF(tblPiNAnalysis512[[#This Row],[Shelter]]="", "", MROUND(tblPiNAnalysis512[[#This Row],[Shelter]]/tblPiNAnalysis512[[#This Row],[Affected population projection 2026]], 0.05)), "")</f>
        <v>0</v>
      </c>
      <c r="AD236" s="324">
        <f>IFERROR(IF(tblPiNAnalysis512[[#This Row],[WASH]]="", "", MROUND(tblPiNAnalysis512[[#This Row],[WASH]]/tblPiNAnalysis512[[#This Row],[Affected population projection 2026]], 0.05)), "")</f>
        <v>0</v>
      </c>
      <c r="AE236" s="322">
        <f>IFERROR(MROUND(tblPiNAnalysis512[[#This Row],[CP]]/tblPiNAnalysis512[[#This Row],[Affected population projection 2026]], 0.05), "")</f>
        <v>0</v>
      </c>
      <c r="AF236" s="322">
        <f>IFERROR(MROUND(tblPiNAnalysis512[[#This Row],[GBV]]/tblPiNAnalysis512[[#This Row],[Affected population projection 2026]], 0.05), "")</f>
        <v>0</v>
      </c>
      <c r="AG236" s="322">
        <f>IFERROR(MROUND(tblPiNAnalysis512[[#This Row],[Mine Action]]/tblPiNAnalysis512[[#This Row],[Affected population projection 2026]], 0.05), "")</f>
        <v>0</v>
      </c>
      <c r="AH236" s="322">
        <f>IFERROR(MROUND(tblPiNAnalysis512[[#This Row],[HLP]]/tblPiNAnalysis512[[#This Row],[Affected population projection 2026]], 0.05), "")</f>
        <v>0</v>
      </c>
      <c r="AI236" s="325">
        <f>IFERROR(LARGE(tblPiNAnalysis512[[#This Row],[CCCM]:[WASH]], 1), "")</f>
        <v>0</v>
      </c>
      <c r="AJ236" s="326" t="str" cm="1">
        <f t="array" ref="AJ236">IF(tblPiNAnalysis512[[#This Row],[Highest Target]]="", "", _xlfn.TEXTJOIN(CHAR(10), TRUE, IF(tblPiNAnalysis512[[#This Row],[Highest Target]]=tblPiNAnalysis512[[#This Row],[CCCM]:[WASH]], tblPiNAnalysis512[[#Headers],[CCCM]:[WASH]], "")))</f>
        <v>CCCM
Education
Nutrition
Food Security
Health
Overarching Protection
Shelter
WASH</v>
      </c>
      <c r="AK236" s="327">
        <f>IF(tblPiNAnalysis512[[#This Row],[Highest Target]]="", "", tblPiNAnalysis512[[#This Row],[Highest Target]]/tblPiNAnalysis512[[#This Row],[Affected population projection 2026]])</f>
        <v>0</v>
      </c>
      <c r="AL236" s="328" t="str">
        <f>IF(SUM(tblPiNAnalysis512[[#This Row],[CCCM]:[WASH]])=0, "",IF(COUNTIF(tblPiNAnalysis512[[#This Row],[CCCM]:[WASH]],"=0")+COUNTIF(tblPiNAnalysis512[[#This Row],[CCCM]:[WASH]],"")&gt;=zero_pin_thresh, "Flagged", ""))</f>
        <v/>
      </c>
      <c r="AM236" s="329" t="str">
        <f>IFERROR(IF(tblPiNAnalysis512[[#This Row],[Highest Target]]="", "", IF(tblPiNAnalysis512[[#This Row],[Highest sector(s'') Target %]]&gt;=flag_pin_perc, "Flagged", "")), "")</f>
        <v/>
      </c>
      <c r="AN236" s="330" t="str" cm="1">
        <f t="array" ref="AN236">IF(tblPiNAnalysis512[[#This Row],[Highest Target]]=0, "",  IF(OR(COUNTIF(tblPiNAnalysis512[[#This Row],[Highest sector(s)]],tblSubSectorPopulation[Sector])), "Flagged", ""))</f>
        <v/>
      </c>
      <c r="AO236" s="46" cm="1">
        <f t="array" ref="AO236">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6" s="331" t="str" cm="1">
        <f t="array" ref="AP236">IF(tblPiNAnalysis512[[#This Row],[2nd Highest Target]]="", "", _xlfn.TEXTJOIN(CHAR(10), TRUE, IF(tblPiNAnalysis512[[#This Row],[2nd Highest Target]]=tblPiNAnalysis512[[#This Row],[CCCM]:[WASH]], tblPiNAnalysis512[[#Headers],[CCCM]:[WASH]], "")))</f>
        <v>CCCM
Education
Nutrition
Food Security
Health
Overarching Protection
Shelter
WASH</v>
      </c>
      <c r="AQ236" s="36">
        <f>IFERROR(tblPiNAnalysis512[[#This Row],[2nd Highest Target]]/tblPiNAnalysis512[[#This Row],[Affected population projection 2026]], "")</f>
        <v>0</v>
      </c>
      <c r="AR236" s="46">
        <f>IFERROR(tblPiNAnalysis512[[#This Row],[Highest Target]]-tblPiNAnalysis512[[#This Row],[2nd Highest Target]], "")</f>
        <v>0</v>
      </c>
      <c r="AS236" s="39" t="str">
        <f>IFERROR(((tblPiNAnalysis512[[#This Row],[Highest Target]]-tblPiNAnalysis512[[#This Row],[2nd Highest Target]])/tblPiNAnalysis512[[#This Row],[2nd Highest Target]]),"")</f>
        <v/>
      </c>
      <c r="AT236" s="39" t="str" cm="1">
        <f t="array" ref="AT236">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6" s="332" cm="1">
        <f t="array" ref="AU236">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6" s="190" t="str" cm="1">
        <f t="array" ref="AV236">IF(tblPiNAnalysis512[[#This Row],[3rd Highest Target]]="", "", _xlfn.TEXTJOIN(CHAR(10), TRUE, IF(tblPiNAnalysis512[[#This Row],[3rd Highest Target]]=tblPiNAnalysis512[[#This Row],[CCCM]:[WASH]], tblPiNAnalysis512[[#Headers],[CCCM]:[WASH]], "")))</f>
        <v>CCCM
Education
Nutrition
Food Security
Health
Overarching Protection
Shelter
WASH</v>
      </c>
      <c r="AW236" s="190">
        <f>IFERROR(tblPiNAnalysis512[[#This Row],[3rd Highest Target]]/tblPiNAnalysis512[[#This Row],[Affected population projection 2026]], "")</f>
        <v>0</v>
      </c>
      <c r="AX236" s="45">
        <f>IFERROR(tblPiNAnalysis512[[#This Row],[Highest Target]]-tblPiNAnalysis512[[#This Row],[3rd Highest Target]],"")</f>
        <v>0</v>
      </c>
      <c r="AY236" s="39" t="str">
        <f>IFERROR(tblPiNAnalysis512[[#This Row],[Difference of Target between Highest and 3rd Highest]]/tblPiNAnalysis512[[#This Row],[3rd Highest Target]], "")</f>
        <v/>
      </c>
      <c r="AZ236" s="330" t="str" cm="1">
        <f t="array" ref="AZ236">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6" s="300" t="str" cm="1">
        <f t="array" ref="BA236">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6" s="333" t="str" cm="1">
        <f t="array" ref="BB236">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6" s="276" t="str" cm="1">
        <f t="array" ref="BC236">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6" s="334" t="str" cm="1">
        <f t="array" ref="BD236">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6" s="277" t="e">
        <f>INDEX(tblSeverityAnalysis[Final Severity], MATCH(tblPiNAnalysis512[[#This Row],[ID]],tblSeverityAnalysis[ID], 0))</f>
        <v>#N/A</v>
      </c>
      <c r="BF236" s="61" t="e">
        <f>IF(tblPiNAnalysis512[[#This Row],[Severity]]&gt;2,tblPiNAnalysis512[[#This Row],[Highest Target]],)</f>
        <v>#N/A</v>
      </c>
      <c r="BG236" s="191"/>
      <c r="BH236" s="192"/>
      <c r="BI236" s="193">
        <f>COUNTIFS(tblPiNAnalysis512[[#This Row],[Number of missing / zero PiNs greater than threshold - Data quality]:[Manual Flag]],"Flagged")</f>
        <v>2</v>
      </c>
      <c r="BJ236" s="96" t="str">
        <f>IF(tblPiNAnalysis512[[#This Row],['# Flags]]&gt;0, "Flagged", "")</f>
        <v>Flagged</v>
      </c>
      <c r="BK236" s="326" t="e">
        <f>tblPiNAnalysis512[[#This Row],[Preliminary Target]]</f>
        <v>#N/A</v>
      </c>
      <c r="BL236" s="331">
        <v>5</v>
      </c>
    </row>
    <row r="237" spans="1:64" ht="110.7" x14ac:dyDescent="0.55000000000000004">
      <c r="A2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7" s="316" t="s">
        <v>390</v>
      </c>
      <c r="C237" s="317" t="s">
        <v>391</v>
      </c>
      <c r="D237" s="317" t="s">
        <v>404</v>
      </c>
      <c r="E237" s="105" t="s">
        <v>405</v>
      </c>
      <c r="F237" s="100"/>
      <c r="G237" s="34"/>
      <c r="H237" s="34"/>
      <c r="I237" s="97">
        <v>0</v>
      </c>
      <c r="J237" s="97" t="s">
        <v>414</v>
      </c>
      <c r="K237" s="318">
        <v>0</v>
      </c>
      <c r="L237" s="319">
        <v>0</v>
      </c>
      <c r="M237" s="319">
        <v>0</v>
      </c>
      <c r="N237" s="319">
        <v>0</v>
      </c>
      <c r="O237" s="319">
        <v>0</v>
      </c>
      <c r="P237" s="319">
        <v>0</v>
      </c>
      <c r="Q237" s="320">
        <v>0</v>
      </c>
      <c r="R237" s="319">
        <v>0</v>
      </c>
      <c r="S237" s="319"/>
      <c r="T237" s="319"/>
      <c r="U237" s="319"/>
      <c r="V237" s="319"/>
      <c r="W237" s="321" t="str">
        <f>IFERROR(IF(tblPiNAnalysis512[[#This Row],[CCCM]]="", "", MROUND(tblPiNAnalysis512[[#This Row],[CCCM]]/tblPiNAnalysis512[[#This Row],[Affected population projection 2026]], 0.05)), "")</f>
        <v/>
      </c>
      <c r="X237" s="322" t="str">
        <f>IFERROR(IF(tblPiNAnalysis512[[#This Row],[Education]]="", "", MROUND(tblPiNAnalysis512[[#This Row],[Education]]/tblPiNAnalysis512[[#This Row],[Affected population projection 2026]], 0.05)), "")</f>
        <v/>
      </c>
      <c r="Y237" s="322" t="str">
        <f>IFERROR(IF(tblPiNAnalysis512[[#This Row],[Nutrition]]="", "", MROUND(tblPiNAnalysis512[[#This Row],[Nutrition]]/tblPiNAnalysis512[[#This Row],[Affected population projection 2026]], 0.05)), "")</f>
        <v/>
      </c>
      <c r="Z237" s="322" t="str">
        <f>IFERROR(IF(tblPiNAnalysis512[[#This Row],[Food Security]]="", "", MROUND(tblPiNAnalysis512[[#This Row],[Food Security]]/tblPiNAnalysis512[[#This Row],[Affected population projection 2026]], 0.05)), "")</f>
        <v/>
      </c>
      <c r="AA237" s="322" t="str">
        <f>IFERROR(IF(tblPiNAnalysis512[[#This Row],[Health]]="", "", MROUND(tblPiNAnalysis512[[#This Row],[Health]]/tblPiNAnalysis512[[#This Row],[Affected population projection 2026]], 0.05)), "")</f>
        <v/>
      </c>
      <c r="AB237" s="323" t="str">
        <f>IFERROR(IF(tblPiNAnalysis512[[#This Row],[Overarching Protection]]="", "", MROUND(tblPiNAnalysis512[[#This Row],[Overarching Protection]]/tblPiNAnalysis512[[#This Row],[Affected population projection 2026]], 0.05)), "")</f>
        <v/>
      </c>
      <c r="AC237" s="323" t="str">
        <f>IFERROR(IF(tblPiNAnalysis512[[#This Row],[Shelter]]="", "", MROUND(tblPiNAnalysis512[[#This Row],[Shelter]]/tblPiNAnalysis512[[#This Row],[Affected population projection 2026]], 0.05)), "")</f>
        <v/>
      </c>
      <c r="AD237" s="324" t="str">
        <f>IFERROR(IF(tblPiNAnalysis512[[#This Row],[WASH]]="", "", MROUND(tblPiNAnalysis512[[#This Row],[WASH]]/tblPiNAnalysis512[[#This Row],[Affected population projection 2026]], 0.05)), "")</f>
        <v/>
      </c>
      <c r="AE237" s="322" t="str">
        <f>IFERROR(MROUND(tblPiNAnalysis512[[#This Row],[CP]]/tblPiNAnalysis512[[#This Row],[Affected population projection 2026]], 0.05), "")</f>
        <v/>
      </c>
      <c r="AF237" s="322" t="str">
        <f>IFERROR(MROUND(tblPiNAnalysis512[[#This Row],[GBV]]/tblPiNAnalysis512[[#This Row],[Affected population projection 2026]], 0.05), "")</f>
        <v/>
      </c>
      <c r="AG237" s="322" t="str">
        <f>IFERROR(MROUND(tblPiNAnalysis512[[#This Row],[Mine Action]]/tblPiNAnalysis512[[#This Row],[Affected population projection 2026]], 0.05), "")</f>
        <v/>
      </c>
      <c r="AH237" s="322" t="str">
        <f>IFERROR(MROUND(tblPiNAnalysis512[[#This Row],[HLP]]/tblPiNAnalysis512[[#This Row],[Affected population projection 2026]], 0.05), "")</f>
        <v/>
      </c>
      <c r="AI237" s="325">
        <f>IFERROR(LARGE(tblPiNAnalysis512[[#This Row],[CCCM]:[WASH]], 1), "")</f>
        <v>0</v>
      </c>
      <c r="AJ237" s="326" t="str" cm="1">
        <f t="array" ref="AJ237">IF(tblPiNAnalysis512[[#This Row],[Highest Target]]="", "", _xlfn.TEXTJOIN(CHAR(10), TRUE, IF(tblPiNAnalysis512[[#This Row],[Highest Target]]=tblPiNAnalysis512[[#This Row],[CCCM]:[WASH]], tblPiNAnalysis512[[#Headers],[CCCM]:[WASH]], "")))</f>
        <v>CCCM
Education
Nutrition
Food Security
Health
Overarching Protection
Shelter
WASH</v>
      </c>
      <c r="AK237" s="327" t="e">
        <f>IF(tblPiNAnalysis512[[#This Row],[Highest Target]]="", "", tblPiNAnalysis512[[#This Row],[Highest Target]]/tblPiNAnalysis512[[#This Row],[Affected population projection 2026]])</f>
        <v>#DIV/0!</v>
      </c>
      <c r="AL237" s="328" t="str">
        <f>IF(SUM(tblPiNAnalysis512[[#This Row],[CCCM]:[WASH]])=0, "",IF(COUNTIF(tblPiNAnalysis512[[#This Row],[CCCM]:[WASH]],"=0")+COUNTIF(tblPiNAnalysis512[[#This Row],[CCCM]:[WASH]],"")&gt;=zero_pin_thresh, "Flagged", ""))</f>
        <v/>
      </c>
      <c r="AM237" s="329" t="str">
        <f>IFERROR(IF(tblPiNAnalysis512[[#This Row],[Highest Target]]="", "", IF(tblPiNAnalysis512[[#This Row],[Highest sector(s'') Target %]]&gt;=flag_pin_perc, "Flagged", "")), "")</f>
        <v/>
      </c>
      <c r="AN237" s="330" t="str" cm="1">
        <f t="array" ref="AN237">IF(tblPiNAnalysis512[[#This Row],[Highest Target]]=0, "",  IF(OR(COUNTIF(tblPiNAnalysis512[[#This Row],[Highest sector(s)]],tblSubSectorPopulation[Sector])), "Flagged", ""))</f>
        <v/>
      </c>
      <c r="AO237" s="46" cm="1">
        <f t="array" ref="AO237">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7" s="331" t="str" cm="1">
        <f t="array" ref="AP237">IF(tblPiNAnalysis512[[#This Row],[2nd Highest Target]]="", "", _xlfn.TEXTJOIN(CHAR(10), TRUE, IF(tblPiNAnalysis512[[#This Row],[2nd Highest Target]]=tblPiNAnalysis512[[#This Row],[CCCM]:[WASH]], tblPiNAnalysis512[[#Headers],[CCCM]:[WASH]], "")))</f>
        <v>CCCM
Education
Nutrition
Food Security
Health
Overarching Protection
Shelter
WASH</v>
      </c>
      <c r="AQ237" s="36" t="str">
        <f>IFERROR(tblPiNAnalysis512[[#This Row],[2nd Highest Target]]/tblPiNAnalysis512[[#This Row],[Affected population projection 2026]], "")</f>
        <v/>
      </c>
      <c r="AR237" s="46">
        <f>IFERROR(tblPiNAnalysis512[[#This Row],[Highest Target]]-tblPiNAnalysis512[[#This Row],[2nd Highest Target]], "")</f>
        <v>0</v>
      </c>
      <c r="AS237" s="39" t="str">
        <f>IFERROR(((tblPiNAnalysis512[[#This Row],[Highest Target]]-tblPiNAnalysis512[[#This Row],[2nd Highest Target]])/tblPiNAnalysis512[[#This Row],[2nd Highest Target]]),"")</f>
        <v/>
      </c>
      <c r="AT237" s="39" t="str" cm="1">
        <f t="array" ref="AT237">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7" s="332" cm="1">
        <f t="array" ref="AU237">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7" s="190" t="str" cm="1">
        <f t="array" ref="AV237">IF(tblPiNAnalysis512[[#This Row],[3rd Highest Target]]="", "", _xlfn.TEXTJOIN(CHAR(10), TRUE, IF(tblPiNAnalysis512[[#This Row],[3rd Highest Target]]=tblPiNAnalysis512[[#This Row],[CCCM]:[WASH]], tblPiNAnalysis512[[#Headers],[CCCM]:[WASH]], "")))</f>
        <v>CCCM
Education
Nutrition
Food Security
Health
Overarching Protection
Shelter
WASH</v>
      </c>
      <c r="AW237" s="190" t="str">
        <f>IFERROR(tblPiNAnalysis512[[#This Row],[3rd Highest Target]]/tblPiNAnalysis512[[#This Row],[Affected population projection 2026]], "")</f>
        <v/>
      </c>
      <c r="AX237" s="45">
        <f>IFERROR(tblPiNAnalysis512[[#This Row],[Highest Target]]-tblPiNAnalysis512[[#This Row],[3rd Highest Target]],"")</f>
        <v>0</v>
      </c>
      <c r="AY237" s="39" t="str">
        <f>IFERROR(tblPiNAnalysis512[[#This Row],[Difference of Target between Highest and 3rd Highest]]/tblPiNAnalysis512[[#This Row],[3rd Highest Target]], "")</f>
        <v/>
      </c>
      <c r="AZ237" s="330" t="str" cm="1">
        <f t="array" ref="AZ237">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7" s="300" t="str" cm="1">
        <f t="array" ref="BA237">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7" s="333" t="str" cm="1">
        <f t="array" ref="BB237">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7" s="276" t="str" cm="1">
        <f t="array" ref="BC237">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7" s="334" t="str" cm="1">
        <f t="array" ref="BD237">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7" s="277" t="e">
        <f>INDEX(tblSeverityAnalysis[Final Severity], MATCH(tblPiNAnalysis512[[#This Row],[ID]],tblSeverityAnalysis[ID], 0))</f>
        <v>#N/A</v>
      </c>
      <c r="BF237" s="61" t="e">
        <f>IF(tblPiNAnalysis512[[#This Row],[Severity]]&gt;2,tblPiNAnalysis512[[#This Row],[Highest Target]],)</f>
        <v>#N/A</v>
      </c>
      <c r="BG237" s="191"/>
      <c r="BH237" s="192"/>
      <c r="BI237" s="193">
        <f>COUNTIFS(tblPiNAnalysis512[[#This Row],[Number of missing / zero PiNs greater than threshold - Data quality]:[Manual Flag]],"Flagged")</f>
        <v>2</v>
      </c>
      <c r="BJ237" s="96" t="str">
        <f>IF(tblPiNAnalysis512[[#This Row],['# Flags]]&gt;0, "Flagged", "")</f>
        <v>Flagged</v>
      </c>
      <c r="BK237" s="326" t="e">
        <f>tblPiNAnalysis512[[#This Row],[Preliminary Target]]</f>
        <v>#N/A</v>
      </c>
      <c r="BL237" s="331">
        <v>2</v>
      </c>
    </row>
    <row r="238" spans="1:64" ht="110.7" x14ac:dyDescent="0.55000000000000004">
      <c r="A2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8" s="316" t="s">
        <v>390</v>
      </c>
      <c r="C238" s="317" t="s">
        <v>391</v>
      </c>
      <c r="D238" s="317" t="s">
        <v>406</v>
      </c>
      <c r="E238" s="105" t="s">
        <v>407</v>
      </c>
      <c r="F238" s="100"/>
      <c r="G238" s="34"/>
      <c r="H238" s="34"/>
      <c r="I238" s="97">
        <v>375</v>
      </c>
      <c r="J238" s="97" t="s">
        <v>414</v>
      </c>
      <c r="K238" s="318">
        <v>0</v>
      </c>
      <c r="L238" s="319">
        <v>0</v>
      </c>
      <c r="M238" s="319">
        <v>0</v>
      </c>
      <c r="N238" s="319">
        <v>0</v>
      </c>
      <c r="O238" s="319">
        <v>0</v>
      </c>
      <c r="P238" s="319">
        <v>0</v>
      </c>
      <c r="Q238" s="320">
        <v>0</v>
      </c>
      <c r="R238" s="319">
        <v>0</v>
      </c>
      <c r="S238" s="319"/>
      <c r="T238" s="319"/>
      <c r="U238" s="319"/>
      <c r="V238" s="319"/>
      <c r="W238" s="321">
        <f>IFERROR(IF(tblPiNAnalysis512[[#This Row],[CCCM]]="", "", MROUND(tblPiNAnalysis512[[#This Row],[CCCM]]/tblPiNAnalysis512[[#This Row],[Affected population projection 2026]], 0.05)), "")</f>
        <v>0</v>
      </c>
      <c r="X238" s="322">
        <f>IFERROR(IF(tblPiNAnalysis512[[#This Row],[Education]]="", "", MROUND(tblPiNAnalysis512[[#This Row],[Education]]/tblPiNAnalysis512[[#This Row],[Affected population projection 2026]], 0.05)), "")</f>
        <v>0</v>
      </c>
      <c r="Y238" s="322">
        <f>IFERROR(IF(tblPiNAnalysis512[[#This Row],[Nutrition]]="", "", MROUND(tblPiNAnalysis512[[#This Row],[Nutrition]]/tblPiNAnalysis512[[#This Row],[Affected population projection 2026]], 0.05)), "")</f>
        <v>0</v>
      </c>
      <c r="Z238" s="322">
        <f>IFERROR(IF(tblPiNAnalysis512[[#This Row],[Food Security]]="", "", MROUND(tblPiNAnalysis512[[#This Row],[Food Security]]/tblPiNAnalysis512[[#This Row],[Affected population projection 2026]], 0.05)), "")</f>
        <v>0</v>
      </c>
      <c r="AA238" s="322">
        <f>IFERROR(IF(tblPiNAnalysis512[[#This Row],[Health]]="", "", MROUND(tblPiNAnalysis512[[#This Row],[Health]]/tblPiNAnalysis512[[#This Row],[Affected population projection 2026]], 0.05)), "")</f>
        <v>0</v>
      </c>
      <c r="AB238" s="323">
        <f>IFERROR(IF(tblPiNAnalysis512[[#This Row],[Overarching Protection]]="", "", MROUND(tblPiNAnalysis512[[#This Row],[Overarching Protection]]/tblPiNAnalysis512[[#This Row],[Affected population projection 2026]], 0.05)), "")</f>
        <v>0</v>
      </c>
      <c r="AC238" s="323">
        <f>IFERROR(IF(tblPiNAnalysis512[[#This Row],[Shelter]]="", "", MROUND(tblPiNAnalysis512[[#This Row],[Shelter]]/tblPiNAnalysis512[[#This Row],[Affected population projection 2026]], 0.05)), "")</f>
        <v>0</v>
      </c>
      <c r="AD238" s="324">
        <f>IFERROR(IF(tblPiNAnalysis512[[#This Row],[WASH]]="", "", MROUND(tblPiNAnalysis512[[#This Row],[WASH]]/tblPiNAnalysis512[[#This Row],[Affected population projection 2026]], 0.05)), "")</f>
        <v>0</v>
      </c>
      <c r="AE238" s="322">
        <f>IFERROR(MROUND(tblPiNAnalysis512[[#This Row],[CP]]/tblPiNAnalysis512[[#This Row],[Affected population projection 2026]], 0.05), "")</f>
        <v>0</v>
      </c>
      <c r="AF238" s="322">
        <f>IFERROR(MROUND(tblPiNAnalysis512[[#This Row],[GBV]]/tblPiNAnalysis512[[#This Row],[Affected population projection 2026]], 0.05), "")</f>
        <v>0</v>
      </c>
      <c r="AG238" s="322">
        <f>IFERROR(MROUND(tblPiNAnalysis512[[#This Row],[Mine Action]]/tblPiNAnalysis512[[#This Row],[Affected population projection 2026]], 0.05), "")</f>
        <v>0</v>
      </c>
      <c r="AH238" s="322">
        <f>IFERROR(MROUND(tblPiNAnalysis512[[#This Row],[HLP]]/tblPiNAnalysis512[[#This Row],[Affected population projection 2026]], 0.05), "")</f>
        <v>0</v>
      </c>
      <c r="AI238" s="325">
        <f>IFERROR(LARGE(tblPiNAnalysis512[[#This Row],[CCCM]:[WASH]], 1), "")</f>
        <v>0</v>
      </c>
      <c r="AJ238" s="326" t="str" cm="1">
        <f t="array" ref="AJ238">IF(tblPiNAnalysis512[[#This Row],[Highest Target]]="", "", _xlfn.TEXTJOIN(CHAR(10), TRUE, IF(tblPiNAnalysis512[[#This Row],[Highest Target]]=tblPiNAnalysis512[[#This Row],[CCCM]:[WASH]], tblPiNAnalysis512[[#Headers],[CCCM]:[WASH]], "")))</f>
        <v>CCCM
Education
Nutrition
Food Security
Health
Overarching Protection
Shelter
WASH</v>
      </c>
      <c r="AK238" s="327">
        <f>IF(tblPiNAnalysis512[[#This Row],[Highest Target]]="", "", tblPiNAnalysis512[[#This Row],[Highest Target]]/tblPiNAnalysis512[[#This Row],[Affected population projection 2026]])</f>
        <v>0</v>
      </c>
      <c r="AL238" s="328" t="str">
        <f>IF(SUM(tblPiNAnalysis512[[#This Row],[CCCM]:[WASH]])=0, "",IF(COUNTIF(tblPiNAnalysis512[[#This Row],[CCCM]:[WASH]],"=0")+COUNTIF(tblPiNAnalysis512[[#This Row],[CCCM]:[WASH]],"")&gt;=zero_pin_thresh, "Flagged", ""))</f>
        <v/>
      </c>
      <c r="AM238" s="329" t="str">
        <f>IFERROR(IF(tblPiNAnalysis512[[#This Row],[Highest Target]]="", "", IF(tblPiNAnalysis512[[#This Row],[Highest sector(s'') Target %]]&gt;=flag_pin_perc, "Flagged", "")), "")</f>
        <v/>
      </c>
      <c r="AN238" s="330" t="str" cm="1">
        <f t="array" ref="AN238">IF(tblPiNAnalysis512[[#This Row],[Highest Target]]=0, "",  IF(OR(COUNTIF(tblPiNAnalysis512[[#This Row],[Highest sector(s)]],tblSubSectorPopulation[Sector])), "Flagged", ""))</f>
        <v/>
      </c>
      <c r="AO238" s="46" cm="1">
        <f t="array" ref="AO238">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38" s="331" t="str" cm="1">
        <f t="array" ref="AP238">IF(tblPiNAnalysis512[[#This Row],[2nd Highest Target]]="", "", _xlfn.TEXTJOIN(CHAR(10), TRUE, IF(tblPiNAnalysis512[[#This Row],[2nd Highest Target]]=tblPiNAnalysis512[[#This Row],[CCCM]:[WASH]], tblPiNAnalysis512[[#Headers],[CCCM]:[WASH]], "")))</f>
        <v>CCCM
Education
Nutrition
Food Security
Health
Overarching Protection
Shelter
WASH</v>
      </c>
      <c r="AQ238" s="36">
        <f>IFERROR(tblPiNAnalysis512[[#This Row],[2nd Highest Target]]/tblPiNAnalysis512[[#This Row],[Affected population projection 2026]], "")</f>
        <v>0</v>
      </c>
      <c r="AR238" s="46">
        <f>IFERROR(tblPiNAnalysis512[[#This Row],[Highest Target]]-tblPiNAnalysis512[[#This Row],[2nd Highest Target]], "")</f>
        <v>0</v>
      </c>
      <c r="AS238" s="39" t="str">
        <f>IFERROR(((tblPiNAnalysis512[[#This Row],[Highest Target]]-tblPiNAnalysis512[[#This Row],[2nd Highest Target]])/tblPiNAnalysis512[[#This Row],[2nd Highest Target]]),"")</f>
        <v/>
      </c>
      <c r="AT238" s="39" t="str" cm="1">
        <f t="array" ref="AT238">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8" s="332" cm="1">
        <f t="array" ref="AU238">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38" s="190" t="str" cm="1">
        <f t="array" ref="AV238">IF(tblPiNAnalysis512[[#This Row],[3rd Highest Target]]="", "", _xlfn.TEXTJOIN(CHAR(10), TRUE, IF(tblPiNAnalysis512[[#This Row],[3rd Highest Target]]=tblPiNAnalysis512[[#This Row],[CCCM]:[WASH]], tblPiNAnalysis512[[#Headers],[CCCM]:[WASH]], "")))</f>
        <v>CCCM
Education
Nutrition
Food Security
Health
Overarching Protection
Shelter
WASH</v>
      </c>
      <c r="AW238" s="190">
        <f>IFERROR(tblPiNAnalysis512[[#This Row],[3rd Highest Target]]/tblPiNAnalysis512[[#This Row],[Affected population projection 2026]], "")</f>
        <v>0</v>
      </c>
      <c r="AX238" s="45">
        <f>IFERROR(tblPiNAnalysis512[[#This Row],[Highest Target]]-tblPiNAnalysis512[[#This Row],[3rd Highest Target]],"")</f>
        <v>0</v>
      </c>
      <c r="AY238" s="39" t="str">
        <f>IFERROR(tblPiNAnalysis512[[#This Row],[Difference of Target between Highest and 3rd Highest]]/tblPiNAnalysis512[[#This Row],[3rd Highest Target]], "")</f>
        <v/>
      </c>
      <c r="AZ238" s="330" t="str" cm="1">
        <f t="array" ref="AZ238">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38" s="300" t="str" cm="1">
        <f t="array" ref="BA238">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8" s="333" t="str" cm="1">
        <f t="array" ref="BB238">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8" s="276" t="str" cm="1">
        <f t="array" ref="BC238">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8" s="334" t="str" cm="1">
        <f t="array" ref="BD238">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38" s="277" t="e">
        <f>INDEX(tblSeverityAnalysis[Final Severity], MATCH(tblPiNAnalysis512[[#This Row],[ID]],tblSeverityAnalysis[ID], 0))</f>
        <v>#N/A</v>
      </c>
      <c r="BF238" s="61" t="e">
        <f>IF(tblPiNAnalysis512[[#This Row],[Severity]]&gt;2,tblPiNAnalysis512[[#This Row],[Highest Target]],)</f>
        <v>#N/A</v>
      </c>
      <c r="BG238" s="191"/>
      <c r="BH238" s="192"/>
      <c r="BI238" s="193">
        <f>COUNTIFS(tblPiNAnalysis512[[#This Row],[Number of missing / zero PiNs greater than threshold - Data quality]:[Manual Flag]],"Flagged")</f>
        <v>2</v>
      </c>
      <c r="BJ238" s="96" t="str">
        <f>IF(tblPiNAnalysis512[[#This Row],['# Flags]]&gt;0, "Flagged", "")</f>
        <v>Flagged</v>
      </c>
      <c r="BK238" s="326" t="e">
        <f>tblPiNAnalysis512[[#This Row],[Preliminary Target]]</f>
        <v>#N/A</v>
      </c>
      <c r="BL238" s="331">
        <v>5</v>
      </c>
    </row>
    <row r="239" spans="1:64" x14ac:dyDescent="0.55000000000000004">
      <c r="A2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9" s="316" t="s">
        <v>390</v>
      </c>
      <c r="C239" s="317" t="s">
        <v>391</v>
      </c>
      <c r="D239" s="317" t="s">
        <v>408</v>
      </c>
      <c r="E239" s="105" t="s">
        <v>409</v>
      </c>
      <c r="F239" s="100"/>
      <c r="G239" s="34"/>
      <c r="H239" s="34"/>
      <c r="I239" s="97">
        <v>2118.1428571428601</v>
      </c>
      <c r="J239" s="97" t="s">
        <v>414</v>
      </c>
      <c r="K239" s="318">
        <v>0</v>
      </c>
      <c r="L239" s="319">
        <v>426.52830900000049</v>
      </c>
      <c r="M239" s="319">
        <v>388.53223929904436</v>
      </c>
      <c r="N239" s="319">
        <v>499.4388413174093</v>
      </c>
      <c r="O239" s="319">
        <v>901.96419394124655</v>
      </c>
      <c r="P239" s="319">
        <v>766.49564586357042</v>
      </c>
      <c r="Q239" s="320">
        <v>1482.7000000000019</v>
      </c>
      <c r="R239" s="319">
        <v>1153.047674162259</v>
      </c>
      <c r="S239" s="319"/>
      <c r="T239" s="319"/>
      <c r="U239" s="319"/>
      <c r="V239" s="319"/>
      <c r="W239" s="321">
        <f>IFERROR(IF(tblPiNAnalysis512[[#This Row],[CCCM]]="", "", MROUND(tblPiNAnalysis512[[#This Row],[CCCM]]/tblPiNAnalysis512[[#This Row],[Affected population projection 2026]], 0.05)), "")</f>
        <v>0</v>
      </c>
      <c r="X239" s="322">
        <f>IFERROR(IF(tblPiNAnalysis512[[#This Row],[Education]]="", "", MROUND(tblPiNAnalysis512[[#This Row],[Education]]/tblPiNAnalysis512[[#This Row],[Affected population projection 2026]], 0.05)), "")</f>
        <v>0.2</v>
      </c>
      <c r="Y239" s="322">
        <f>IFERROR(IF(tblPiNAnalysis512[[#This Row],[Nutrition]]="", "", MROUND(tblPiNAnalysis512[[#This Row],[Nutrition]]/tblPiNAnalysis512[[#This Row],[Affected population projection 2026]], 0.05)), "")</f>
        <v>0.2</v>
      </c>
      <c r="Z239" s="322">
        <f>IFERROR(IF(tblPiNAnalysis512[[#This Row],[Food Security]]="", "", MROUND(tblPiNAnalysis512[[#This Row],[Food Security]]/tblPiNAnalysis512[[#This Row],[Affected population projection 2026]], 0.05)), "")</f>
        <v>0.25</v>
      </c>
      <c r="AA239" s="322">
        <f>IFERROR(IF(tblPiNAnalysis512[[#This Row],[Health]]="", "", MROUND(tblPiNAnalysis512[[#This Row],[Health]]/tblPiNAnalysis512[[#This Row],[Affected population projection 2026]], 0.05)), "")</f>
        <v>0.45</v>
      </c>
      <c r="AB239" s="323">
        <f>IFERROR(IF(tblPiNAnalysis512[[#This Row],[Overarching Protection]]="", "", MROUND(tblPiNAnalysis512[[#This Row],[Overarching Protection]]/tblPiNAnalysis512[[#This Row],[Affected population projection 2026]], 0.05)), "")</f>
        <v>0.35000000000000003</v>
      </c>
      <c r="AC239" s="323">
        <f>IFERROR(IF(tblPiNAnalysis512[[#This Row],[Shelter]]="", "", MROUND(tblPiNAnalysis512[[#This Row],[Shelter]]/tblPiNAnalysis512[[#This Row],[Affected population projection 2026]], 0.05)), "")</f>
        <v>0.70000000000000007</v>
      </c>
      <c r="AD239" s="324">
        <f>IFERROR(IF(tblPiNAnalysis512[[#This Row],[WASH]]="", "", MROUND(tblPiNAnalysis512[[#This Row],[WASH]]/tblPiNAnalysis512[[#This Row],[Affected population projection 2026]], 0.05)), "")</f>
        <v>0.55000000000000004</v>
      </c>
      <c r="AE239" s="322">
        <f>IFERROR(MROUND(tblPiNAnalysis512[[#This Row],[CP]]/tblPiNAnalysis512[[#This Row],[Affected population projection 2026]], 0.05), "")</f>
        <v>0</v>
      </c>
      <c r="AF239" s="322">
        <f>IFERROR(MROUND(tblPiNAnalysis512[[#This Row],[GBV]]/tblPiNAnalysis512[[#This Row],[Affected population projection 2026]], 0.05), "")</f>
        <v>0</v>
      </c>
      <c r="AG239" s="322">
        <f>IFERROR(MROUND(tblPiNAnalysis512[[#This Row],[Mine Action]]/tblPiNAnalysis512[[#This Row],[Affected population projection 2026]], 0.05), "")</f>
        <v>0</v>
      </c>
      <c r="AH239" s="322">
        <f>IFERROR(MROUND(tblPiNAnalysis512[[#This Row],[HLP]]/tblPiNAnalysis512[[#This Row],[Affected population projection 2026]], 0.05), "")</f>
        <v>0</v>
      </c>
      <c r="AI239" s="325">
        <f>IFERROR(LARGE(tblPiNAnalysis512[[#This Row],[CCCM]:[WASH]], 1), "")</f>
        <v>1482.7000000000019</v>
      </c>
      <c r="AJ239" s="326" t="str" cm="1">
        <f t="array" ref="AJ239">IF(tblPiNAnalysis512[[#This Row],[Highest Target]]="", "", _xlfn.TEXTJOIN(CHAR(10), TRUE, IF(tblPiNAnalysis512[[#This Row],[Highest Target]]=tblPiNAnalysis512[[#This Row],[CCCM]:[WASH]], tblPiNAnalysis512[[#Headers],[CCCM]:[WASH]], "")))</f>
        <v>Shelter</v>
      </c>
      <c r="AK239" s="327">
        <f>IF(tblPiNAnalysis512[[#This Row],[Highest Target]]="", "", tblPiNAnalysis512[[#This Row],[Highest Target]]/tblPiNAnalysis512[[#This Row],[Affected population projection 2026]])</f>
        <v>0.7</v>
      </c>
      <c r="AL239" s="328" t="str">
        <f>IF(SUM(tblPiNAnalysis512[[#This Row],[CCCM]:[WASH]])=0, "",IF(COUNTIF(tblPiNAnalysis512[[#This Row],[CCCM]:[WASH]],"=0")+COUNTIF(tblPiNAnalysis512[[#This Row],[CCCM]:[WASH]],"")&gt;=zero_pin_thresh, "Flagged", ""))</f>
        <v/>
      </c>
      <c r="AM239" s="329" t="str">
        <f>IFERROR(IF(tblPiNAnalysis512[[#This Row],[Highest Target]]="", "", IF(tblPiNAnalysis512[[#This Row],[Highest sector(s'') Target %]]&gt;=flag_pin_perc, "Flagged", "")), "")</f>
        <v/>
      </c>
      <c r="AN239" s="330" t="str" cm="1">
        <f t="array" ref="AN239">IF(tblPiNAnalysis512[[#This Row],[Highest Target]]=0, "",  IF(OR(COUNTIF(tblPiNAnalysis512[[#This Row],[Highest sector(s)]],tblSubSectorPopulation[Sector])), "Flagged", ""))</f>
        <v/>
      </c>
      <c r="AO239" s="46" cm="1">
        <f t="array" ref="AO239">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1153.047674162259</v>
      </c>
      <c r="AP239" s="331" t="str" cm="1">
        <f t="array" ref="AP239">IF(tblPiNAnalysis512[[#This Row],[2nd Highest Target]]="", "", _xlfn.TEXTJOIN(CHAR(10), TRUE, IF(tblPiNAnalysis512[[#This Row],[2nd Highest Target]]=tblPiNAnalysis512[[#This Row],[CCCM]:[WASH]], tblPiNAnalysis512[[#Headers],[CCCM]:[WASH]], "")))</f>
        <v>WASH</v>
      </c>
      <c r="AQ239" s="36">
        <f>IFERROR(tblPiNAnalysis512[[#This Row],[2nd Highest Target]]/tblPiNAnalysis512[[#This Row],[Affected population projection 2026]], "")</f>
        <v>0.54436728395061729</v>
      </c>
      <c r="AR239" s="46">
        <f>IFERROR(tblPiNAnalysis512[[#This Row],[Highest Target]]-tblPiNAnalysis512[[#This Row],[2nd Highest Target]], "")</f>
        <v>329.65232583774286</v>
      </c>
      <c r="AS239" s="39">
        <f>IFERROR(((tblPiNAnalysis512[[#This Row],[Highest Target]]-tblPiNAnalysis512[[#This Row],[2nd Highest Target]])/tblPiNAnalysis512[[#This Row],[2nd Highest Target]]),"")</f>
        <v>0.28589652728561299</v>
      </c>
      <c r="AT239" s="39" t="str" cm="1">
        <f t="array" ref="AT239">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39" s="332" cm="1">
        <f t="array" ref="AU239">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901.96419394124655</v>
      </c>
      <c r="AV239" s="190" t="str" cm="1">
        <f t="array" ref="AV239">IF(tblPiNAnalysis512[[#This Row],[3rd Highest Target]]="", "", _xlfn.TEXTJOIN(CHAR(10), TRUE, IF(tblPiNAnalysis512[[#This Row],[3rd Highest Target]]=tblPiNAnalysis512[[#This Row],[CCCM]:[WASH]], tblPiNAnalysis512[[#Headers],[CCCM]:[WASH]], "")))</f>
        <v>Health</v>
      </c>
      <c r="AW239" s="190">
        <f>IFERROR(tblPiNAnalysis512[[#This Row],[3rd Highest Target]]/tblPiNAnalysis512[[#This Row],[Affected population projection 2026]], "")</f>
        <v>0.42582783824028575</v>
      </c>
      <c r="AX239" s="45">
        <f>IFERROR(tblPiNAnalysis512[[#This Row],[Highest Target]]-tblPiNAnalysis512[[#This Row],[3rd Highest Target]],"")</f>
        <v>580.73580605875532</v>
      </c>
      <c r="AY239" s="39">
        <f>IFERROR(tblPiNAnalysis512[[#This Row],[Difference of Target between Highest and 3rd Highest]]/tblPiNAnalysis512[[#This Row],[3rd Highest Target]], "")</f>
        <v>0.64385682930622423</v>
      </c>
      <c r="AZ239" s="330" t="str" cm="1">
        <f t="array" ref="AZ239">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Flagged</v>
      </c>
      <c r="BA239" s="300" t="str" cm="1">
        <f t="array" ref="BA239">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39" s="333" t="str" cm="1">
        <f t="array" ref="BB239">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39" s="276" t="str" cm="1">
        <f t="array" ref="BC239">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39" s="334" t="str" cm="1">
        <f t="array" ref="BD239">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
      </c>
      <c r="BE239" s="277" t="e">
        <f>INDEX(tblSeverityAnalysis[Final Severity], MATCH(tblPiNAnalysis512[[#This Row],[ID]],tblSeverityAnalysis[ID], 0))</f>
        <v>#N/A</v>
      </c>
      <c r="BF239" s="61" t="e">
        <f>IF(tblPiNAnalysis512[[#This Row],[Severity]]&gt;2,tblPiNAnalysis512[[#This Row],[Highest Target]],)</f>
        <v>#N/A</v>
      </c>
      <c r="BG239" s="191"/>
      <c r="BH239" s="192"/>
      <c r="BI239" s="193">
        <f>COUNTIFS(tblPiNAnalysis512[[#This Row],[Number of missing / zero PiNs greater than threshold - Data quality]:[Manual Flag]],"Flagged")</f>
        <v>2</v>
      </c>
      <c r="BJ239" s="96" t="str">
        <f>IF(tblPiNAnalysis512[[#This Row],['# Flags]]&gt;0, "Flagged", "")</f>
        <v>Flagged</v>
      </c>
      <c r="BK239" s="326" t="e">
        <f>tblPiNAnalysis512[[#This Row],[Preliminary Target]]</f>
        <v>#N/A</v>
      </c>
      <c r="BL239" s="331">
        <v>2</v>
      </c>
    </row>
    <row r="240" spans="1:64" ht="110.7" x14ac:dyDescent="0.55000000000000004">
      <c r="A2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0" s="316" t="s">
        <v>390</v>
      </c>
      <c r="C240" s="317" t="s">
        <v>391</v>
      </c>
      <c r="D240" s="317" t="s">
        <v>410</v>
      </c>
      <c r="E240" s="105" t="s">
        <v>411</v>
      </c>
      <c r="F240" s="100"/>
      <c r="G240" s="34"/>
      <c r="H240" s="34"/>
      <c r="I240" s="97">
        <v>7750</v>
      </c>
      <c r="J240" s="97" t="s">
        <v>414</v>
      </c>
      <c r="K240" s="318">
        <v>0</v>
      </c>
      <c r="L240" s="319">
        <v>0</v>
      </c>
      <c r="M240" s="319">
        <v>0</v>
      </c>
      <c r="N240" s="319">
        <v>0</v>
      </c>
      <c r="O240" s="319">
        <v>0</v>
      </c>
      <c r="P240" s="319">
        <v>0</v>
      </c>
      <c r="Q240" s="320">
        <v>0</v>
      </c>
      <c r="R240" s="319">
        <v>0</v>
      </c>
      <c r="S240" s="319"/>
      <c r="T240" s="319"/>
      <c r="U240" s="319"/>
      <c r="V240" s="319"/>
      <c r="W240" s="321">
        <f>IFERROR(IF(tblPiNAnalysis512[[#This Row],[CCCM]]="", "", MROUND(tblPiNAnalysis512[[#This Row],[CCCM]]/tblPiNAnalysis512[[#This Row],[Affected population projection 2026]], 0.05)), "")</f>
        <v>0</v>
      </c>
      <c r="X240" s="322">
        <f>IFERROR(IF(tblPiNAnalysis512[[#This Row],[Education]]="", "", MROUND(tblPiNAnalysis512[[#This Row],[Education]]/tblPiNAnalysis512[[#This Row],[Affected population projection 2026]], 0.05)), "")</f>
        <v>0</v>
      </c>
      <c r="Y240" s="322">
        <f>IFERROR(IF(tblPiNAnalysis512[[#This Row],[Nutrition]]="", "", MROUND(tblPiNAnalysis512[[#This Row],[Nutrition]]/tblPiNAnalysis512[[#This Row],[Affected population projection 2026]], 0.05)), "")</f>
        <v>0</v>
      </c>
      <c r="Z240" s="322">
        <f>IFERROR(IF(tblPiNAnalysis512[[#This Row],[Food Security]]="", "", MROUND(tblPiNAnalysis512[[#This Row],[Food Security]]/tblPiNAnalysis512[[#This Row],[Affected population projection 2026]], 0.05)), "")</f>
        <v>0</v>
      </c>
      <c r="AA240" s="322">
        <f>IFERROR(IF(tblPiNAnalysis512[[#This Row],[Health]]="", "", MROUND(tblPiNAnalysis512[[#This Row],[Health]]/tblPiNAnalysis512[[#This Row],[Affected population projection 2026]], 0.05)), "")</f>
        <v>0</v>
      </c>
      <c r="AB240" s="323">
        <f>IFERROR(IF(tblPiNAnalysis512[[#This Row],[Overarching Protection]]="", "", MROUND(tblPiNAnalysis512[[#This Row],[Overarching Protection]]/tblPiNAnalysis512[[#This Row],[Affected population projection 2026]], 0.05)), "")</f>
        <v>0</v>
      </c>
      <c r="AC240" s="323">
        <f>IFERROR(IF(tblPiNAnalysis512[[#This Row],[Shelter]]="", "", MROUND(tblPiNAnalysis512[[#This Row],[Shelter]]/tblPiNAnalysis512[[#This Row],[Affected population projection 2026]], 0.05)), "")</f>
        <v>0</v>
      </c>
      <c r="AD240" s="324">
        <f>IFERROR(IF(tblPiNAnalysis512[[#This Row],[WASH]]="", "", MROUND(tblPiNAnalysis512[[#This Row],[WASH]]/tblPiNAnalysis512[[#This Row],[Affected population projection 2026]], 0.05)), "")</f>
        <v>0</v>
      </c>
      <c r="AE240" s="322">
        <f>IFERROR(MROUND(tblPiNAnalysis512[[#This Row],[CP]]/tblPiNAnalysis512[[#This Row],[Affected population projection 2026]], 0.05), "")</f>
        <v>0</v>
      </c>
      <c r="AF240" s="322">
        <f>IFERROR(MROUND(tblPiNAnalysis512[[#This Row],[GBV]]/tblPiNAnalysis512[[#This Row],[Affected population projection 2026]], 0.05), "")</f>
        <v>0</v>
      </c>
      <c r="AG240" s="322">
        <f>IFERROR(MROUND(tblPiNAnalysis512[[#This Row],[Mine Action]]/tblPiNAnalysis512[[#This Row],[Affected population projection 2026]], 0.05), "")</f>
        <v>0</v>
      </c>
      <c r="AH240" s="322">
        <f>IFERROR(MROUND(tblPiNAnalysis512[[#This Row],[HLP]]/tblPiNAnalysis512[[#This Row],[Affected population projection 2026]], 0.05), "")</f>
        <v>0</v>
      </c>
      <c r="AI240" s="325">
        <f>IFERROR(LARGE(tblPiNAnalysis512[[#This Row],[CCCM]:[WASH]], 1), "")</f>
        <v>0</v>
      </c>
      <c r="AJ240" s="326" t="str" cm="1">
        <f t="array" ref="AJ240">IF(tblPiNAnalysis512[[#This Row],[Highest Target]]="", "", _xlfn.TEXTJOIN(CHAR(10), TRUE, IF(tblPiNAnalysis512[[#This Row],[Highest Target]]=tblPiNAnalysis512[[#This Row],[CCCM]:[WASH]], tblPiNAnalysis512[[#Headers],[CCCM]:[WASH]], "")))</f>
        <v>CCCM
Education
Nutrition
Food Security
Health
Overarching Protection
Shelter
WASH</v>
      </c>
      <c r="AK240" s="327">
        <f>IF(tblPiNAnalysis512[[#This Row],[Highest Target]]="", "", tblPiNAnalysis512[[#This Row],[Highest Target]]/tblPiNAnalysis512[[#This Row],[Affected population projection 2026]])</f>
        <v>0</v>
      </c>
      <c r="AL240" s="328" t="str">
        <f>IF(SUM(tblPiNAnalysis512[[#This Row],[CCCM]:[WASH]])=0, "",IF(COUNTIF(tblPiNAnalysis512[[#This Row],[CCCM]:[WASH]],"=0")+COUNTIF(tblPiNAnalysis512[[#This Row],[CCCM]:[WASH]],"")&gt;=zero_pin_thresh, "Flagged", ""))</f>
        <v/>
      </c>
      <c r="AM240" s="329" t="str">
        <f>IFERROR(IF(tblPiNAnalysis512[[#This Row],[Highest Target]]="", "", IF(tblPiNAnalysis512[[#This Row],[Highest sector(s'') Target %]]&gt;=flag_pin_perc, "Flagged", "")), "")</f>
        <v/>
      </c>
      <c r="AN240" s="330" t="str" cm="1">
        <f t="array" ref="AN240">IF(tblPiNAnalysis512[[#This Row],[Highest Target]]=0, "",  IF(OR(COUNTIF(tblPiNAnalysis512[[#This Row],[Highest sector(s)]],tblSubSectorPopulation[Sector])), "Flagged", ""))</f>
        <v/>
      </c>
      <c r="AO240" s="46" cm="1">
        <f t="array" ref="AO240">IFERROR(_xlfn.IFS(tblPiNAnalysis512[[#This Row],[Highest Target]]="", "", LARGE(tblPiNAnalysis512[[#This Row],[CCCM]:[WASH]], 2) &lt; tblPiNAnalysis512[[#This Row],[Highest Target]], LARGE(tblPiNAnalysis512[[#This Row],[CCCM]:[WASH]], 2), LARGE(tblPiNAnalysis512[[#This Row],[CCCM]:[WASH]], 3) &lt; tblPiNAnalysis512[[#This Row],[Highest Target]], LARGE(tblPiNAnalysis512[[#This Row],[CCCM]:[WASH]], 3), LARGE(tblPiNAnalysis512[[#This Row],[CCCM]:[WASH]], 4) &lt; tblPiNAnalysis512[[#This Row],[Highest Target]], LARGE(tblPiNAnalysis512[[#This Row],[CCCM]:[WASH]], 4), LARGE(tblPiNAnalysis512[[#This Row],[CCCM]:[WASH]], 5) &lt; tblPiNAnalysis512[[#This Row],[Highest Target]], LARGE(tblPiNAnalysis512[[#This Row],[CCCM]:[WASH]], 5), LARGE(tblPiNAnalysis512[[#This Row],[CCCM]:[WASH]], 6) &lt; tblPiNAnalysis512[[#This Row],[Highest Target]], LARGE(tblPiNAnalysis512[[#This Row],[CCCM]:[WASH]], 6), LARGE(tblPiNAnalysis512[[#This Row],[CCCM]:[WASH]], 7) &lt;tblPiNAnalysis512[[#This Row],[Highest Target]], LARGE(tblPiNAnalysis512[[#This Row],[CCCM]:[WASH]], 7), LARGE(tblPiNAnalysis512[[#This Row],[CCCM]:[WASH]], 8) &lt;= tblPiNAnalysis512[[#This Row],[Highest Target]], LARGE(tblPiNAnalysis512[[#This Row],[CCCM]:[WASH]], 8)), "NA")</f>
        <v>0</v>
      </c>
      <c r="AP240" s="331" t="str" cm="1">
        <f t="array" ref="AP240">IF(tblPiNAnalysis512[[#This Row],[2nd Highest Target]]="", "", _xlfn.TEXTJOIN(CHAR(10), TRUE, IF(tblPiNAnalysis512[[#This Row],[2nd Highest Target]]=tblPiNAnalysis512[[#This Row],[CCCM]:[WASH]], tblPiNAnalysis512[[#Headers],[CCCM]:[WASH]], "")))</f>
        <v>CCCM
Education
Nutrition
Food Security
Health
Overarching Protection
Shelter
WASH</v>
      </c>
      <c r="AQ240" s="36">
        <f>IFERROR(tblPiNAnalysis512[[#This Row],[2nd Highest Target]]/tblPiNAnalysis512[[#This Row],[Affected population projection 2026]], "")</f>
        <v>0</v>
      </c>
      <c r="AR240" s="46">
        <f>IFERROR(tblPiNAnalysis512[[#This Row],[Highest Target]]-tblPiNAnalysis512[[#This Row],[2nd Highest Target]], "")</f>
        <v>0</v>
      </c>
      <c r="AS240" s="39" t="str">
        <f>IFERROR(((tblPiNAnalysis512[[#This Row],[Highest Target]]-tblPiNAnalysis512[[#This Row],[2nd Highest Target]])/tblPiNAnalysis512[[#This Row],[2nd Highest Target]]),"")</f>
        <v/>
      </c>
      <c r="AT240" s="39" t="str" cm="1">
        <f t="array" ref="AT240">_xlfn.IFS(tblPiNAnalysis512[[#This Row],[% Difference between Highest and 2nd Highest]]="", "", SUM(IF(IF(tblPiNAnalysis512[[#This Row],[Highest Target]]=tblPiNAnalysis512[[#This Row],[CCCM]:[WASH]], tblPiNAnalysis512[[#Headers],[CCCM]:[WASH]], "")&lt;&gt;"", 1, 0))&gt;1, "",tblPiNAnalysis512[[#This Row],[% Difference between Highest and 2nd Highest]]&gt;=perc_1st_2nd, "Flagged", TRUE(), "")</f>
        <v/>
      </c>
      <c r="AU240" s="332" cm="1">
        <f t="array" ref="AU240">IFERROR(_xlfn.IFS(tblPiNAnalysis512[[#This Row],[2nd Highest Target]]="", "", LARGE(tblPiNAnalysis512[[#This Row],[CCCM]:[WASH]], 3) &lt; tblPiNAnalysis512[[#This Row],[2nd Highest Target]], LARGE(tblPiNAnalysis512[[#This Row],[CCCM]:[WASH]], 3), LARGE(tblPiNAnalysis512[[#This Row],[CCCM]:[WASH]], 4) &lt; tblPiNAnalysis512[[#This Row],[2nd Highest Target]], LARGE(tblPiNAnalysis512[[#This Row],[CCCM]:[WASH]], 4), LARGE(tblPiNAnalysis512[[#This Row],[CCCM]:[WASH]], 5) &lt; tblPiNAnalysis512[[#This Row],[2nd Highest Target]], LARGE(tblPiNAnalysis512[[#This Row],[CCCM]:[WASH]], 5), LARGE(tblPiNAnalysis512[[#This Row],[CCCM]:[WASH]], 6) &lt; tblPiNAnalysis512[[#This Row],[2nd Highest Target]], LARGE(tblPiNAnalysis512[[#This Row],[CCCM]:[WASH]], 6), LARGE(tblPiNAnalysis512[[#This Row],[CCCM]:[WASH]], 7) &lt;tblPiNAnalysis512[[#This Row],[2nd Highest Target]], LARGE(tblPiNAnalysis512[[#This Row],[CCCM]:[WASH]], 7), LARGE(tblPiNAnalysis512[[#This Row],[CCCM]:[WASH]], 8) &lt;= tblPiNAnalysis512[[#This Row],[2nd Highest Target]], LARGE(tblPiNAnalysis512[[#This Row],[CCCM]:[WASH]], 8)), "NA")</f>
        <v>0</v>
      </c>
      <c r="AV240" s="190" t="str" cm="1">
        <f t="array" ref="AV240">IF(tblPiNAnalysis512[[#This Row],[3rd Highest Target]]="", "", _xlfn.TEXTJOIN(CHAR(10), TRUE, IF(tblPiNAnalysis512[[#This Row],[3rd Highest Target]]=tblPiNAnalysis512[[#This Row],[CCCM]:[WASH]], tblPiNAnalysis512[[#Headers],[CCCM]:[WASH]], "")))</f>
        <v>CCCM
Education
Nutrition
Food Security
Health
Overarching Protection
Shelter
WASH</v>
      </c>
      <c r="AW240" s="190">
        <f>IFERROR(tblPiNAnalysis512[[#This Row],[3rd Highest Target]]/tblPiNAnalysis512[[#This Row],[Affected population projection 2026]], "")</f>
        <v>0</v>
      </c>
      <c r="AX240" s="45">
        <f>IFERROR(tblPiNAnalysis512[[#This Row],[Highest Target]]-tblPiNAnalysis512[[#This Row],[3rd Highest Target]],"")</f>
        <v>0</v>
      </c>
      <c r="AY240" s="39" t="str">
        <f>IFERROR(tblPiNAnalysis512[[#This Row],[Difference of Target between Highest and 3rd Highest]]/tblPiNAnalysis512[[#This Row],[3rd Highest Target]], "")</f>
        <v/>
      </c>
      <c r="AZ240" s="330" t="str" cm="1">
        <f t="array" ref="AZ240">_xlfn.IFS(tblPiNAnalysis512[[#This Row],[Difference of Target between Highest and 3rd Highest]]="", "", SUM(IF(IF(tblPiNAnalysis512[[#This Row],[Highest Target]]=tblPiNAnalysis512[[#This Row],[CCCM]:[WASH]], tblPiNAnalysis512[[#Headers],[CCCM]:[WASH]], "")&lt;&gt;"", 1, 0))&gt;1, "",tblPiNAnalysis512[[#This Row],[% Difference between Highest and 3rd Highest]]&gt;=perc_1st_3rd, "Flagged", 1=1, "")</f>
        <v/>
      </c>
      <c r="BA240" s="300" t="str" cm="1">
        <f t="array" ref="BA240">IFERROR(IF(tblPiNAnalysis512[[#This Row],[ID]]="", "", INDEX(tblPiNHistorical[[CCCM]:[WASH]], MATCH(tblPiNAnalysis512[[#This Row],[ID]],tblPiNHistorical[ID], 0),MATCH(_xlfn._xlws.FILTER(tblPiNAnalysis512[[#Headers],[CCCM]:[WASH]], tblPiNAnalysis512[[#This Row],[Highest Target]]=tblPiNAnalysis512[[#This Row],[CCCM]:[WASH]]), tblPiNHistorical[[#Headers],[CCCM]:[WASH]], 0))), "")</f>
        <v/>
      </c>
      <c r="BB240" s="333" t="str" cm="1">
        <f t="array" ref="BB240">IFERROR(IF(SUM(IF(ABS(INDEX(tblPiNHistorical[[CCCM]:[WASH]], MATCH(tblPiNAnalysis512[[#This Row],[ID]],tblPiNHistorical[ID], 0),MATCH(_xlfn._xlws.FILTER(tblPiNAnalysis512[[#Headers],[CCCM]:[WASH]], tblPiNAnalysis512[[#This Row],[Highest Target]]=tblPiNAnalysis512[[#This Row],[CCCM]:[WASH]]), tblPiNHistorical[[#Headers],[CCCM]:[WASH]], 0)))&gt;=flag_pin_historical, 1, 0))&gt;0, "Flagged", ""), "")</f>
        <v>Flagged</v>
      </c>
      <c r="BC240" s="276" t="str" cm="1">
        <f t="array" ref="BC240">IFERROR(IF(tblPiNAnalysis512[[#This Row],[ID]]="", "", INDEX(tblPiNHistorical[[CCCM]:[WASH]], MATCH(tblPiNAnalysis512[[#This Row],[ID]],tblPiNHistorical[ID], 0),MATCH(_xlfn._xlws.FILTER(tblPiNAnalysis512[[#Headers],[CCCM]:[WASH]], tblPiNAnalysis512[[#This Row],[2nd Highest Target]]=tblPiNAnalysis512[[#This Row],[CCCM]:[WASH]]), tblPiNHistorical[[#Headers],[CCCM]:[WASH]], 0))), "")</f>
        <v/>
      </c>
      <c r="BD240" s="334" t="str" cm="1">
        <f t="array" ref="BD240">IFERROR(IF(SUM(IF(ABS(INDEX(tblPiNHistorical[[CCCM]:[WASH]], MATCH(tblPiNAnalysis512[[#This Row],[ID]],tblPiNHistorical[ID], 0),MATCH(_xlfn._xlws.FILTER(tblPiNAnalysis512[[#Headers],[CCCM]:[WASH]], tblPiNAnalysis512[[#This Row],[2nd Highest Target]]=tblPiNAnalysis512[[#This Row],[CCCM]:[WASH]]), tblPiNHistorical[[#Headers],[CCCM]:[WASH]], 0)))&gt;=flag_pin_historical, 1, 0))&gt;0, "Flagged", ""), "")</f>
        <v>Flagged</v>
      </c>
      <c r="BE240" s="277" t="e">
        <f>INDEX(tblSeverityAnalysis[Final Severity], MATCH(tblPiNAnalysis512[[#This Row],[ID]],tblSeverityAnalysis[ID], 0))</f>
        <v>#N/A</v>
      </c>
      <c r="BF240" s="61" t="e">
        <f>IF(tblPiNAnalysis512[[#This Row],[Severity]]&gt;2,tblPiNAnalysis512[[#This Row],[Highest Target]],)</f>
        <v>#N/A</v>
      </c>
      <c r="BG240" s="191"/>
      <c r="BH240" s="192"/>
      <c r="BI240" s="193">
        <f>COUNTIFS(tblPiNAnalysis512[[#This Row],[Number of missing / zero PiNs greater than threshold - Data quality]:[Manual Flag]],"Flagged")</f>
        <v>2</v>
      </c>
      <c r="BJ240" s="96" t="str">
        <f>IF(tblPiNAnalysis512[[#This Row],['# Flags]]&gt;0, "Flagged", "")</f>
        <v>Flagged</v>
      </c>
      <c r="BK240" s="326" t="e">
        <f>tblPiNAnalysis512[[#This Row],[Preliminary Target]]</f>
        <v>#N/A</v>
      </c>
      <c r="BL240" s="331">
        <v>5</v>
      </c>
    </row>
    <row r="241" spans="1:64" x14ac:dyDescent="0.55000000000000004">
      <c r="A241" s="388"/>
      <c r="B241" s="356"/>
      <c r="C241" s="357"/>
      <c r="D241" s="357"/>
      <c r="E241" s="358"/>
      <c r="F241" s="359"/>
      <c r="G241" s="360"/>
      <c r="H241" s="360"/>
      <c r="I241" s="362"/>
      <c r="J241" s="362"/>
      <c r="K241" s="401">
        <f>SUBTOTAL(109,tblPiNAnalysis512[CCCM])</f>
        <v>693109</v>
      </c>
      <c r="L241" s="401">
        <f>SUBTOTAL(109,tblPiNAnalysis512[Education])</f>
        <v>721635.79220678261</v>
      </c>
      <c r="M241" s="401">
        <f>SUBTOTAL(109,tblPiNAnalysis512[Nutrition])</f>
        <v>1369296.8171777958</v>
      </c>
      <c r="N241" s="401">
        <f>SUBTOTAL(109,tblPiNAnalysis512[Food Security])</f>
        <v>2290400.1701299762</v>
      </c>
      <c r="O241" s="401">
        <f>SUBTOTAL(109,tblPiNAnalysis512[Health])</f>
        <v>2505797.9034614339</v>
      </c>
      <c r="P241" s="401">
        <f>SUBTOTAL(109,tblPiNAnalysis512[Overarching Protection])</f>
        <v>1397167.9999999998</v>
      </c>
      <c r="Q241" s="401">
        <f>SUBTOTAL(109,tblPiNAnalysis512[Shelter])</f>
        <v>1327241.6942932995</v>
      </c>
      <c r="R241" s="401">
        <f>SUBTOTAL(109,tblPiNAnalysis512[WASH])</f>
        <v>1904586.1599837609</v>
      </c>
      <c r="S241" s="401">
        <f>SUBTOTAL(109,tblPiNAnalysis512[CP])</f>
        <v>0</v>
      </c>
      <c r="T241" s="401">
        <f>SUBTOTAL(109,tblPiNAnalysis512[GBV])</f>
        <v>0</v>
      </c>
      <c r="U241" s="401">
        <f>SUBTOTAL(109,tblPiNAnalysis512[Mine Action])</f>
        <v>0</v>
      </c>
      <c r="V241" s="401">
        <f>SUBTOTAL(109,tblPiNAnalysis512[HLP])</f>
        <v>0</v>
      </c>
      <c r="W241" s="390"/>
      <c r="X241" s="379"/>
      <c r="Y241" s="379"/>
      <c r="Z241" s="379"/>
      <c r="AA241" s="379"/>
      <c r="AB241" s="379"/>
      <c r="AC241" s="379"/>
      <c r="AD241" s="380"/>
      <c r="AE241" s="379"/>
      <c r="AF241" s="379"/>
      <c r="AG241" s="379"/>
      <c r="AH241" s="379"/>
      <c r="AI241" s="391"/>
      <c r="AJ241" s="382"/>
      <c r="AK241" s="369"/>
      <c r="AL241" s="392"/>
      <c r="AM241" s="369"/>
      <c r="AN241" s="381"/>
      <c r="AO241" s="393"/>
      <c r="AP241" s="382"/>
      <c r="AQ241" s="369"/>
      <c r="AR241" s="393"/>
      <c r="AS241" s="369"/>
      <c r="AT241" s="369"/>
      <c r="AU241" s="394"/>
      <c r="AV241" s="383"/>
      <c r="AW241" s="383"/>
      <c r="AX241" s="393"/>
      <c r="AY241" s="369"/>
      <c r="AZ241" s="381"/>
      <c r="BA241" s="384"/>
      <c r="BB241" s="395"/>
      <c r="BC241" s="396"/>
      <c r="BD241" s="397"/>
      <c r="BE241" s="384"/>
      <c r="BF241" s="398"/>
      <c r="BG241" s="385"/>
      <c r="BH241" s="386"/>
      <c r="BI241" s="399"/>
      <c r="BJ241" s="387"/>
      <c r="BK241" s="382"/>
      <c r="BL241" s="382"/>
    </row>
  </sheetData>
  <mergeCells count="17">
    <mergeCell ref="BK2:BL2"/>
    <mergeCell ref="AU2:AW2"/>
    <mergeCell ref="AX2:AZ2"/>
    <mergeCell ref="BA2:BD2"/>
    <mergeCell ref="BE2:BF2"/>
    <mergeCell ref="BG2:BH2"/>
    <mergeCell ref="BI2:BJ2"/>
    <mergeCell ref="BI1:BJ1"/>
    <mergeCell ref="B2:G2"/>
    <mergeCell ref="I2:J2"/>
    <mergeCell ref="K2:R2"/>
    <mergeCell ref="S2:V2"/>
    <mergeCell ref="W2:AD2"/>
    <mergeCell ref="AE2:AH2"/>
    <mergeCell ref="AI2:AN2"/>
    <mergeCell ref="AO2:AQ2"/>
    <mergeCell ref="AR2:AT2"/>
  </mergeCells>
  <conditionalFormatting sqref="AL4:BJ240">
    <cfRule type="containsText" dxfId="21" priority="1" operator="containsText" text="Flagged">
      <formula>NOT(ISERROR(SEARCH("Flagged",AL4)))</formula>
    </cfRule>
  </conditionalFormatting>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E15B-4A90-4D7A-AE3A-79F27D5C8718}">
  <sheetPr codeName="Sheet3">
    <tabColor theme="7" tint="0.59999389629810485"/>
  </sheetPr>
  <dimension ref="A1:BE241"/>
  <sheetViews>
    <sheetView showGridLines="0" topLeftCell="AI1" zoomScaleNormal="100" workbookViewId="0">
      <pane ySplit="3" topLeftCell="A181" activePane="bottomLeft" state="frozen"/>
      <selection activeCell="R19" sqref="R19"/>
      <selection pane="bottomLeft" activeCell="AR1" sqref="AR1"/>
    </sheetView>
  </sheetViews>
  <sheetFormatPr defaultColWidth="16.15625" defaultRowHeight="15" customHeight="1" x14ac:dyDescent="0.55000000000000004"/>
  <cols>
    <col min="1" max="1" width="7.15625" bestFit="1" customWidth="1"/>
    <col min="2" max="2" width="21.15625" style="14" bestFit="1" customWidth="1"/>
    <col min="3" max="3" width="16.578125" style="14" customWidth="1"/>
    <col min="4" max="4" width="22.68359375" style="14" bestFit="1" customWidth="1"/>
    <col min="5" max="5" width="16.578125" style="14" customWidth="1"/>
    <col min="6" max="7" width="1" style="14" customWidth="1"/>
    <col min="8" max="8" width="1.83984375" style="14" customWidth="1"/>
    <col min="9" max="9" width="1.26171875" style="15" customWidth="1"/>
    <col min="10" max="10" width="18" style="15" bestFit="1" customWidth="1"/>
    <col min="11" max="11" width="14" style="15" bestFit="1" customWidth="1"/>
    <col min="12" max="12" width="16.83984375" style="15" bestFit="1" customWidth="1"/>
    <col min="13" max="13" width="15.68359375" style="15" bestFit="1" customWidth="1"/>
    <col min="14" max="14" width="19.68359375" style="15" bestFit="1" customWidth="1"/>
    <col min="15" max="15" width="14" style="15" bestFit="1" customWidth="1"/>
    <col min="16" max="16" width="16.578125" style="15" bestFit="1" customWidth="1"/>
    <col min="17" max="17" width="14.578125" style="15" bestFit="1" customWidth="1"/>
    <col min="18" max="18" width="14" style="15" bestFit="1" customWidth="1"/>
    <col min="19" max="19" width="15.68359375" style="15" bestFit="1" customWidth="1"/>
    <col min="20" max="20" width="18.83984375" style="15" bestFit="1" customWidth="1"/>
    <col min="21" max="21" width="17.578125" style="15" bestFit="1" customWidth="1"/>
    <col min="22" max="22" width="18.15625" style="15" bestFit="1" customWidth="1"/>
    <col min="23" max="23" width="15.578125" style="15" bestFit="1" customWidth="1"/>
    <col min="24" max="24" width="18.41796875" style="15" bestFit="1" customWidth="1"/>
    <col min="25" max="25" width="16.26171875" style="15" bestFit="1" customWidth="1"/>
    <col min="26" max="26" width="15.578125" style="15" bestFit="1" customWidth="1"/>
    <col min="27" max="27" width="20" style="15" bestFit="1" customWidth="1"/>
    <col min="28" max="32" width="20" bestFit="1" customWidth="1"/>
    <col min="33" max="33" width="19.578125" bestFit="1" customWidth="1"/>
    <col min="34" max="34" width="20" bestFit="1" customWidth="1"/>
    <col min="35" max="35" width="10.41796875" style="15" bestFit="1" customWidth="1"/>
    <col min="36" max="36" width="13.41796875" style="15" bestFit="1" customWidth="1"/>
    <col min="37" max="37" width="12.26171875" style="75" bestFit="1" customWidth="1"/>
    <col min="38" max="38" width="16.578125" style="15" bestFit="1" customWidth="1"/>
    <col min="39" max="39" width="10.26171875" style="15" bestFit="1" customWidth="1"/>
    <col min="40" max="40" width="15.26171875" style="75" bestFit="1" customWidth="1"/>
    <col min="41" max="41" width="11" style="22" bestFit="1" customWidth="1"/>
    <col min="42" max="42" width="10.26171875" style="75" bestFit="1" customWidth="1"/>
    <col min="43" max="43" width="16.15625" style="15"/>
    <col min="44" max="44" width="16.15625" style="75"/>
    <col min="45" max="45" width="16.15625" style="15"/>
    <col min="46" max="46" width="16.15625" style="75"/>
    <col min="47" max="47" width="16.15625" style="15"/>
    <col min="48" max="48" width="16.15625" style="75"/>
    <col min="49" max="49" width="16.15625" style="19"/>
    <col min="50" max="50" width="16.15625" style="13"/>
    <col min="53" max="53" width="16.15625" style="13"/>
    <col min="55" max="55" width="16.15625" style="16"/>
    <col min="56" max="56" width="16.15625" style="15"/>
    <col min="57" max="57" width="16.15625" style="13"/>
  </cols>
  <sheetData>
    <row r="1" spans="1:57" ht="15" customHeight="1" thickBot="1" x14ac:dyDescent="0.75">
      <c r="B1" s="20"/>
      <c r="C1" s="20"/>
      <c r="D1" s="20"/>
      <c r="E1" s="20"/>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2"/>
      <c r="AI1" s="74"/>
      <c r="AJ1" s="74"/>
      <c r="AK1" s="74"/>
      <c r="AL1" s="74"/>
      <c r="AM1" s="74"/>
      <c r="AN1" s="74"/>
      <c r="AO1" s="74"/>
      <c r="AP1" s="19"/>
      <c r="AQ1" s="429">
        <f>SUM(tblPiNHistorical[Overall PIN Old])</f>
        <v>8610087.860200379</v>
      </c>
      <c r="AR1" s="429">
        <f>SUM(tblPiNHistorical[Overall PIN New])</f>
        <v>9266561.0112328324</v>
      </c>
      <c r="AS1"/>
      <c r="AT1"/>
      <c r="AU1"/>
      <c r="AV1"/>
      <c r="AW1"/>
      <c r="AX1"/>
      <c r="BA1"/>
      <c r="BC1"/>
      <c r="BD1"/>
      <c r="BE1"/>
    </row>
    <row r="2" spans="1:57" ht="15" customHeight="1" thickTop="1" thickBot="1" x14ac:dyDescent="0.6">
      <c r="A2" s="69"/>
      <c r="B2" s="804" t="s">
        <v>61</v>
      </c>
      <c r="C2" s="805"/>
      <c r="D2" s="805"/>
      <c r="E2" s="805"/>
      <c r="F2" s="805"/>
      <c r="G2" s="806"/>
      <c r="H2" s="311"/>
      <c r="I2" s="785" t="s">
        <v>62</v>
      </c>
      <c r="J2" s="785"/>
      <c r="K2" s="787" t="s">
        <v>134</v>
      </c>
      <c r="L2" s="787"/>
      <c r="M2" s="787"/>
      <c r="N2" s="787"/>
      <c r="O2" s="787"/>
      <c r="P2" s="787"/>
      <c r="Q2" s="787"/>
      <c r="R2" s="787"/>
      <c r="S2" s="787" t="s">
        <v>135</v>
      </c>
      <c r="T2" s="787"/>
      <c r="U2" s="787"/>
      <c r="V2" s="787"/>
      <c r="W2" s="787"/>
      <c r="X2" s="787"/>
      <c r="Y2" s="787"/>
      <c r="Z2" s="787"/>
      <c r="AA2" s="801" t="s">
        <v>136</v>
      </c>
      <c r="AB2" s="802"/>
      <c r="AC2" s="802"/>
      <c r="AD2" s="802"/>
      <c r="AE2" s="802"/>
      <c r="AF2" s="802"/>
      <c r="AG2" s="802"/>
      <c r="AH2" s="803"/>
      <c r="AI2" s="801" t="s">
        <v>137</v>
      </c>
      <c r="AJ2" s="802"/>
      <c r="AK2" s="802"/>
      <c r="AL2" s="802"/>
      <c r="AM2" s="802"/>
      <c r="AN2" s="802"/>
      <c r="AO2" s="802"/>
      <c r="AP2" s="803"/>
      <c r="AQ2"/>
      <c r="AR2"/>
      <c r="AS2"/>
      <c r="AT2"/>
      <c r="AU2"/>
      <c r="AV2"/>
      <c r="AW2"/>
      <c r="AX2"/>
      <c r="BA2"/>
      <c r="BC2"/>
      <c r="BD2"/>
      <c r="BE2"/>
    </row>
    <row r="3" spans="1:57" ht="35.5" customHeight="1" thickTop="1" thickBot="1" x14ac:dyDescent="0.6">
      <c r="A3" s="145" t="s">
        <v>74</v>
      </c>
      <c r="B3" s="47" t="s">
        <v>75</v>
      </c>
      <c r="C3" s="48" t="s">
        <v>76</v>
      </c>
      <c r="D3" s="48" t="s">
        <v>77</v>
      </c>
      <c r="E3" s="48" t="s">
        <v>78</v>
      </c>
      <c r="F3" s="48" t="s">
        <v>79</v>
      </c>
      <c r="G3" s="48" t="s">
        <v>80</v>
      </c>
      <c r="H3" s="48" t="s">
        <v>228</v>
      </c>
      <c r="I3" s="48" t="s">
        <v>81</v>
      </c>
      <c r="J3" s="49" t="s">
        <v>82</v>
      </c>
      <c r="K3" s="73" t="s">
        <v>138</v>
      </c>
      <c r="L3" s="194" t="s">
        <v>139</v>
      </c>
      <c r="M3" s="50" t="s">
        <v>140</v>
      </c>
      <c r="N3" s="50" t="s">
        <v>141</v>
      </c>
      <c r="O3" s="50" t="s">
        <v>142</v>
      </c>
      <c r="P3" s="50" t="s">
        <v>143</v>
      </c>
      <c r="Q3" s="50" t="s">
        <v>144</v>
      </c>
      <c r="R3" s="51" t="s">
        <v>145</v>
      </c>
      <c r="S3" s="70" t="s">
        <v>146</v>
      </c>
      <c r="T3" s="195" t="s">
        <v>147</v>
      </c>
      <c r="U3" s="71" t="s">
        <v>148</v>
      </c>
      <c r="V3" s="71" t="s">
        <v>149</v>
      </c>
      <c r="W3" s="71" t="s">
        <v>150</v>
      </c>
      <c r="X3" s="71" t="s">
        <v>151</v>
      </c>
      <c r="Y3" s="71" t="s">
        <v>152</v>
      </c>
      <c r="Z3" s="72" t="s">
        <v>153</v>
      </c>
      <c r="AA3" s="77" t="s">
        <v>154</v>
      </c>
      <c r="AB3" s="79" t="s">
        <v>155</v>
      </c>
      <c r="AC3" s="79" t="s">
        <v>156</v>
      </c>
      <c r="AD3" s="79" t="s">
        <v>157</v>
      </c>
      <c r="AE3" s="79" t="s">
        <v>158</v>
      </c>
      <c r="AF3" s="79" t="s">
        <v>159</v>
      </c>
      <c r="AG3" s="78" t="s">
        <v>160</v>
      </c>
      <c r="AH3" s="168" t="s">
        <v>161</v>
      </c>
      <c r="AI3" s="167" t="s">
        <v>83</v>
      </c>
      <c r="AJ3" s="78" t="s">
        <v>56</v>
      </c>
      <c r="AK3" s="78" t="s">
        <v>84</v>
      </c>
      <c r="AL3" s="78" t="s">
        <v>85</v>
      </c>
      <c r="AM3" s="78" t="s">
        <v>86</v>
      </c>
      <c r="AN3" s="78" t="s">
        <v>87</v>
      </c>
      <c r="AO3" s="78" t="s">
        <v>88</v>
      </c>
      <c r="AP3" s="80" t="s">
        <v>89</v>
      </c>
      <c r="AQ3" s="409" t="s">
        <v>434</v>
      </c>
      <c r="AR3" s="409" t="s">
        <v>435</v>
      </c>
      <c r="AS3"/>
      <c r="AT3"/>
      <c r="AU3"/>
      <c r="AV3"/>
      <c r="AW3"/>
      <c r="AX3"/>
      <c r="BA3"/>
      <c r="BC3"/>
      <c r="BD3"/>
      <c r="BE3"/>
    </row>
    <row r="4" spans="1:57" s="244" customFormat="1" ht="15" customHeight="1" thickTop="1" x14ac:dyDescent="0.55000000000000004">
      <c r="A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 s="249" t="s">
        <v>233</v>
      </c>
      <c r="C4" s="250" t="s">
        <v>234</v>
      </c>
      <c r="D4" s="250" t="s">
        <v>233</v>
      </c>
      <c r="E4" s="250" t="s">
        <v>235</v>
      </c>
      <c r="F4" s="100"/>
      <c r="G4" s="37"/>
      <c r="H4" s="37"/>
      <c r="I4" s="251"/>
      <c r="J4" s="245" t="s">
        <v>412</v>
      </c>
      <c r="K4" s="228">
        <v>21173</v>
      </c>
      <c r="L4" s="252">
        <v>18009</v>
      </c>
      <c r="M4" s="246">
        <v>26580.463636294313</v>
      </c>
      <c r="N4" s="246">
        <v>61656</v>
      </c>
      <c r="O4" s="246">
        <v>37149.455749641536</v>
      </c>
      <c r="P4" s="246">
        <v>46662.181338284689</v>
      </c>
      <c r="Q4" s="247">
        <v>33996.084507042251</v>
      </c>
      <c r="R4" s="246">
        <v>33719.962962962964</v>
      </c>
      <c r="S4" s="235">
        <f>tblPiNAnalysis[[#This Row],[CCCM]]</f>
        <v>30000</v>
      </c>
      <c r="T4" s="236">
        <f>tblPiNAnalysis[[#This Row],[Education]]</f>
        <v>26008.775542107513</v>
      </c>
      <c r="U4" s="219">
        <f>tblPiNAnalysis[[#This Row],[Nutrition]]</f>
        <v>45256.130915601672</v>
      </c>
      <c r="V4" s="219">
        <f>tblPiNAnalysis[[#This Row],[Food Security]]</f>
        <v>75443.064683122982</v>
      </c>
      <c r="W4" s="219">
        <f>tblPiNAnalysis[[#This Row],[Health]]</f>
        <v>85561.698971807957</v>
      </c>
      <c r="X4" s="219">
        <f>tblPiNAnalysis[[#This Row],[Overarching Protection]]</f>
        <v>84755</v>
      </c>
      <c r="Y4" s="219">
        <f>tblPiNAnalysis[[#This Row],[Shelter]]</f>
        <v>76068.04456226567</v>
      </c>
      <c r="Z4" s="230">
        <f>tblPiNAnalysis[[#This Row],[WASH]]</f>
        <v>47530.65705794502</v>
      </c>
      <c r="AA4" s="253">
        <f>IF(OR(tblPiNHistorical[[#This Row],[CCCM - old]]="", tblPiNHistorical[[#This Row],[CCCM - old]]=0, tblPiNHistorical[[#This Row],[CCCM - new]]="", tblPiNHistorical[[#This Row],[CCCM - new]]=0), "", tblPiNHistorical[[#This Row],[CCCM - new]]-tblPiNHistorical[[#This Row],[CCCM - old]])</f>
        <v>8827</v>
      </c>
      <c r="AB4" s="254">
        <f>IF(OR(tblPiNHistorical[[#This Row],[Education - old]]="", tblPiNHistorical[[#This Row],[Education - old]]=0, tblPiNHistorical[[#This Row],[Education - new]]="", tblPiNHistorical[[#This Row],[Education - new]]=0), "", tblPiNHistorical[[#This Row],[Education - new]]-tblPiNHistorical[[#This Row],[Education - old]])</f>
        <v>7999.7755421075126</v>
      </c>
      <c r="AC4" s="254">
        <f>IF(OR(tblPiNHistorical[[#This Row],[Nutrition - old]]="", tblPiNHistorical[[#This Row],[Nutrition - old]]=0, tblPiNHistorical[[#This Row],[Nutrition - new]]="", tblPiNHistorical[[#This Row],[Nutrition - new]]=0), "", tblPiNHistorical[[#This Row],[Nutrition - new]]-tblPiNHistorical[[#This Row],[Nutrition - old]])</f>
        <v>18675.667279307359</v>
      </c>
      <c r="AD4" s="254">
        <f>IF(OR(tblPiNHistorical[[#This Row],[Food Security - old]]="", tblPiNHistorical[[#This Row],[Food Security - old]]=0, tblPiNHistorical[[#This Row],[Food Security - new]]="", tblPiNHistorical[[#This Row],[Food Security - new]]=0), "", tblPiNHistorical[[#This Row],[Food Security - new]]-tblPiNHistorical[[#This Row],[Food Security - old]])</f>
        <v>13787.064683122982</v>
      </c>
      <c r="AE4" s="254">
        <f>IF(OR(tblPiNHistorical[[#This Row],[Health - old]]="", tblPiNHistorical[[#This Row],[Health - old]]=0, tblPiNHistorical[[#This Row],[Health - new]]="", tblPiNHistorical[[#This Row],[Health - new]]=0), "", tblPiNHistorical[[#This Row],[Health - new]]-tblPiNHistorical[[#This Row],[Health - old]])</f>
        <v>48412.24322216642</v>
      </c>
      <c r="AF4" s="254">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38092.818661715311</v>
      </c>
      <c r="AG4" s="254">
        <f>IF(OR(tblPiNHistorical[[#This Row],[Shelter - old]]="", tblPiNHistorical[[#This Row],[Shelter - old]]=0, tblPiNHistorical[[#This Row],[Shelter - new]]="", tblPiNHistorical[[#This Row],[Shelter - new]]=0), "", tblPiNHistorical[[#This Row],[Shelter - new]]-tblPiNHistorical[[#This Row],[Shelter - old]])</f>
        <v>42071.960055223419</v>
      </c>
      <c r="AH4" s="255">
        <f>IF(OR(tblPiNHistorical[[#This Row],[WASH - old]]="", tblPiNHistorical[[#This Row],[WASH - old]]=0, tblPiNHistorical[[#This Row],[WASH - new]]="", tblPiNHistorical[[#This Row],[WASH - new]]=0), "", tblPiNHistorical[[#This Row],[WASH - new]]-tblPiNHistorical[[#This Row],[WASH - old]])</f>
        <v>13810.694094982056</v>
      </c>
      <c r="AI4" s="256">
        <f>IFERROR(ROUND((tblPiNHistorical[[#This Row],[CCCM - new]] - tblPiNHistorical[[#This Row],[CCCM - old]])/tblPiNHistorical[[#This Row],[CCCM - old]], 1), "")</f>
        <v>0.4</v>
      </c>
      <c r="AJ4" s="257">
        <f>IFERROR(ROUND((tblPiNHistorical[[#This Row],[Education - new]]-tblPiNHistorical[[#This Row],[Education - old]])/tblPiNHistorical[[#This Row],[Education - old]], 1), "")</f>
        <v>0.4</v>
      </c>
      <c r="AK4" s="257">
        <f>IFERROR(ROUND((tblPiNHistorical[[#This Row],[Nutrition - new]]-tblPiNHistorical[[#This Row],[Nutrition - old]])/tblPiNHistorical[[#This Row],[Nutrition - old]], 1), "")</f>
        <v>0.7</v>
      </c>
      <c r="AL4" s="257">
        <f>IFERROR(ROUND((tblPiNHistorical[[#This Row],[Food Security - new]]-tblPiNHistorical[[#This Row],[Food Security - old]])/tblPiNHistorical[[#This Row],[Food Security - old]], 1), "")</f>
        <v>0.2</v>
      </c>
      <c r="AM4" s="257">
        <f>IFERROR(ROUND((tblPiNHistorical[[#This Row],[Health - new]]-tblPiNHistorical[[#This Row],[Health - old]])/tblPiNHistorical[[#This Row],[Health - old]], 1), "")</f>
        <v>1.3</v>
      </c>
      <c r="AN4" s="257">
        <f>IFERROR(ROUND((tblPiNHistorical[[#This Row],[Overarching Protection - new]]-tblPiNHistorical[[#This Row],[Overarching Protection - old]])/tblPiNHistorical[[#This Row],[Overarching Protection - old]], 1), "")</f>
        <v>0.8</v>
      </c>
      <c r="AO4" s="257">
        <f>IFERROR(ROUND((tblPiNHistorical[[#This Row],[Shelter - new]]-tblPiNHistorical[[#This Row],[Shelter - old]])/tblPiNHistorical[[#This Row],[Shelter - old]], 1), "")</f>
        <v>1.2</v>
      </c>
      <c r="AP4" s="258">
        <f>IFERROR(ROUND((tblPiNHistorical[[#This Row],[WASH - new]]-tblPiNHistorical[[#This Row],[WASH - old]])/tblPiNHistorical[[#This Row],[WASH - old]], 1), "")</f>
        <v>0.4</v>
      </c>
      <c r="AQ4" s="407">
        <v>61656</v>
      </c>
      <c r="AR4" s="407">
        <v>85561.698971807957</v>
      </c>
    </row>
    <row r="5" spans="1:57" s="244" customFormat="1" ht="15" customHeight="1" x14ac:dyDescent="0.55000000000000004">
      <c r="A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 s="249" t="s">
        <v>236</v>
      </c>
      <c r="C5" s="250" t="s">
        <v>237</v>
      </c>
      <c r="D5" s="250" t="s">
        <v>238</v>
      </c>
      <c r="E5" s="250" t="s">
        <v>239</v>
      </c>
      <c r="F5" s="100"/>
      <c r="G5" s="37"/>
      <c r="H5" s="37"/>
      <c r="I5" s="251"/>
      <c r="J5" s="245" t="s">
        <v>412</v>
      </c>
      <c r="K5" s="228">
        <v>120901.75</v>
      </c>
      <c r="L5" s="252">
        <v>24867</v>
      </c>
      <c r="M5" s="246">
        <v>44329.447823811417</v>
      </c>
      <c r="N5" s="246">
        <v>108580</v>
      </c>
      <c r="O5" s="246">
        <v>33204.130931148909</v>
      </c>
      <c r="P5" s="246">
        <v>132030.26771365313</v>
      </c>
      <c r="Q5" s="247">
        <v>67597.911227154051</v>
      </c>
      <c r="R5" s="246">
        <v>91094.444444444453</v>
      </c>
      <c r="S5" s="235">
        <f>tblPiNAnalysis[[#This Row],[CCCM]]</f>
        <v>143125</v>
      </c>
      <c r="T5" s="236">
        <f>tblPiNAnalysis[[#This Row],[Education]]</f>
        <v>20629.114247703066</v>
      </c>
      <c r="U5" s="219">
        <f>tblPiNAnalysis[[#This Row],[Nutrition]]</f>
        <v>55663.994410481486</v>
      </c>
      <c r="V5" s="219">
        <f>tblPiNAnalysis[[#This Row],[Food Security]]</f>
        <v>130641.61559673256</v>
      </c>
      <c r="W5" s="219">
        <f>tblPiNAnalysis[[#This Row],[Health]]</f>
        <v>102957.42828930625</v>
      </c>
      <c r="X5" s="219">
        <f>tblPiNAnalysis[[#This Row],[Overarching Protection]]</f>
        <v>125516</v>
      </c>
      <c r="Y5" s="219">
        <f>tblPiNAnalysis[[#This Row],[Shelter]]</f>
        <v>156584.91344386805</v>
      </c>
      <c r="Z5" s="230">
        <f>tblPiNAnalysis[[#This Row],[WASH]]</f>
        <v>72574.434566254567</v>
      </c>
      <c r="AA5" s="253">
        <f>IF(OR(tblPiNHistorical[[#This Row],[CCCM - old]]="", tblPiNHistorical[[#This Row],[CCCM - old]]=0, tblPiNHistorical[[#This Row],[CCCM - new]]="", tblPiNHistorical[[#This Row],[CCCM - new]]=0), "", tblPiNHistorical[[#This Row],[CCCM - new]]-tblPiNHistorical[[#This Row],[CCCM - old]])</f>
        <v>22223.25</v>
      </c>
      <c r="AB5" s="254">
        <f>IF(OR(tblPiNHistorical[[#This Row],[Education - old]]="", tblPiNHistorical[[#This Row],[Education - old]]=0, tblPiNHistorical[[#This Row],[Education - new]]="", tblPiNHistorical[[#This Row],[Education - new]]=0), "", tblPiNHistorical[[#This Row],[Education - new]]-tblPiNHistorical[[#This Row],[Education - old]])</f>
        <v>-4237.8857522969338</v>
      </c>
      <c r="AC5" s="254">
        <f>IF(OR(tblPiNHistorical[[#This Row],[Nutrition - old]]="", tblPiNHistorical[[#This Row],[Nutrition - old]]=0, tblPiNHistorical[[#This Row],[Nutrition - new]]="", tblPiNHistorical[[#This Row],[Nutrition - new]]=0), "", tblPiNHistorical[[#This Row],[Nutrition - new]]-tblPiNHistorical[[#This Row],[Nutrition - old]])</f>
        <v>11334.546586670069</v>
      </c>
      <c r="AD5" s="254">
        <f>IF(OR(tblPiNHistorical[[#This Row],[Food Security - old]]="", tblPiNHistorical[[#This Row],[Food Security - old]]=0, tblPiNHistorical[[#This Row],[Food Security - new]]="", tblPiNHistorical[[#This Row],[Food Security - new]]=0), "", tblPiNHistorical[[#This Row],[Food Security - new]]-tblPiNHistorical[[#This Row],[Food Security - old]])</f>
        <v>22061.615596732561</v>
      </c>
      <c r="AE5" s="254">
        <f>IF(OR(tblPiNHistorical[[#This Row],[Health - old]]="", tblPiNHistorical[[#This Row],[Health - old]]=0, tblPiNHistorical[[#This Row],[Health - new]]="", tblPiNHistorical[[#This Row],[Health - new]]=0), "", tblPiNHistorical[[#This Row],[Health - new]]-tblPiNHistorical[[#This Row],[Health - old]])</f>
        <v>69753.297358157346</v>
      </c>
      <c r="AF5" s="254">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-6514.2677136531274</v>
      </c>
      <c r="AG5" s="254">
        <f>IF(OR(tblPiNHistorical[[#This Row],[Shelter - old]]="", tblPiNHistorical[[#This Row],[Shelter - old]]=0, tblPiNHistorical[[#This Row],[Shelter - new]]="", tblPiNHistorical[[#This Row],[Shelter - new]]=0), "", tblPiNHistorical[[#This Row],[Shelter - new]]-tblPiNHistorical[[#This Row],[Shelter - old]])</f>
        <v>88987.002216713998</v>
      </c>
      <c r="AH5" s="255">
        <f>IF(OR(tblPiNHistorical[[#This Row],[WASH - old]]="", tblPiNHistorical[[#This Row],[WASH - old]]=0, tblPiNHistorical[[#This Row],[WASH - new]]="", tblPiNHistorical[[#This Row],[WASH - new]]=0), "", tblPiNHistorical[[#This Row],[WASH - new]]-tblPiNHistorical[[#This Row],[WASH - old]])</f>
        <v>-18520.009878189885</v>
      </c>
      <c r="AI5" s="256">
        <f>IFERROR(ROUND((tblPiNHistorical[[#This Row],[CCCM - new]] - tblPiNHistorical[[#This Row],[CCCM - old]])/tblPiNHistorical[[#This Row],[CCCM - old]], 1), "")</f>
        <v>0.2</v>
      </c>
      <c r="AJ5" s="257">
        <f>IFERROR(ROUND((tblPiNHistorical[[#This Row],[Education - new]]-tblPiNHistorical[[#This Row],[Education - old]])/tblPiNHistorical[[#This Row],[Education - old]], 1), "")</f>
        <v>-0.2</v>
      </c>
      <c r="AK5" s="257">
        <f>IFERROR(ROUND((tblPiNHistorical[[#This Row],[Nutrition - new]]-tblPiNHistorical[[#This Row],[Nutrition - old]])/tblPiNHistorical[[#This Row],[Nutrition - old]], 1), "")</f>
        <v>0.3</v>
      </c>
      <c r="AL5" s="257">
        <f>IFERROR(ROUND((tblPiNHistorical[[#This Row],[Food Security - new]]-tblPiNHistorical[[#This Row],[Food Security - old]])/tblPiNHistorical[[#This Row],[Food Security - old]], 1), "")</f>
        <v>0.2</v>
      </c>
      <c r="AM5" s="257">
        <f>IFERROR(ROUND((tblPiNHistorical[[#This Row],[Health - new]]-tblPiNHistorical[[#This Row],[Health - old]])/tblPiNHistorical[[#This Row],[Health - old]], 1), "")</f>
        <v>2.1</v>
      </c>
      <c r="AN5" s="257">
        <f>IFERROR(ROUND((tblPiNHistorical[[#This Row],[Overarching Protection - new]]-tblPiNHistorical[[#This Row],[Overarching Protection - old]])/tblPiNHistorical[[#This Row],[Overarching Protection - old]], 1), "")</f>
        <v>0</v>
      </c>
      <c r="AO5" s="257">
        <f>IFERROR(ROUND((tblPiNHistorical[[#This Row],[Shelter - new]]-tblPiNHistorical[[#This Row],[Shelter - old]])/tblPiNHistorical[[#This Row],[Shelter - old]], 1), "")</f>
        <v>1.3</v>
      </c>
      <c r="AP5" s="258">
        <f>IFERROR(ROUND((tblPiNHistorical[[#This Row],[WASH - new]]-tblPiNHistorical[[#This Row],[WASH - old]])/tblPiNHistorical[[#This Row],[WASH - old]], 1), "")</f>
        <v>-0.2</v>
      </c>
      <c r="AQ5" s="405">
        <v>132030.26771365313</v>
      </c>
      <c r="AR5" s="405">
        <v>156584.91344386805</v>
      </c>
    </row>
    <row r="6" spans="1:57" s="244" customFormat="1" ht="15" customHeight="1" x14ac:dyDescent="0.55000000000000004">
      <c r="A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 s="249" t="s">
        <v>236</v>
      </c>
      <c r="C6" s="250" t="s">
        <v>237</v>
      </c>
      <c r="D6" s="250" t="s">
        <v>240</v>
      </c>
      <c r="E6" s="250" t="s">
        <v>241</v>
      </c>
      <c r="F6" s="100"/>
      <c r="G6" s="37"/>
      <c r="H6" s="37"/>
      <c r="I6" s="251"/>
      <c r="J6" s="245" t="s">
        <v>412</v>
      </c>
      <c r="K6" s="228">
        <v>3932</v>
      </c>
      <c r="L6" s="252">
        <v>1039</v>
      </c>
      <c r="M6" s="246">
        <v>4369.759253479664</v>
      </c>
      <c r="N6" s="246">
        <v>10544</v>
      </c>
      <c r="O6" s="246">
        <v>7923.2051114725909</v>
      </c>
      <c r="P6" s="246">
        <v>11018.848446618424</v>
      </c>
      <c r="Q6" s="247">
        <v>14604.571428571429</v>
      </c>
      <c r="R6" s="246">
        <v>9811.9633027522941</v>
      </c>
      <c r="S6" s="235">
        <f>tblPiNAnalysis[[#This Row],[CCCM]]</f>
        <v>0</v>
      </c>
      <c r="T6" s="236">
        <f>tblPiNAnalysis[[#This Row],[Education]]</f>
        <v>1218.1221572686422</v>
      </c>
      <c r="U6" s="219">
        <f>tblPiNAnalysis[[#This Row],[Nutrition]]</f>
        <v>5483.0313173129834</v>
      </c>
      <c r="V6" s="219">
        <f>tblPiNAnalysis[[#This Row],[Food Security]]</f>
        <v>11295.239262162</v>
      </c>
      <c r="W6" s="219">
        <f>tblPiNAnalysis[[#This Row],[Health]]</f>
        <v>8641.7640411393641</v>
      </c>
      <c r="X6" s="219">
        <f>tblPiNAnalysis[[#This Row],[Overarching Protection]]</f>
        <v>12061</v>
      </c>
      <c r="Y6" s="219">
        <f>tblPiNAnalysis[[#This Row],[Shelter]]</f>
        <v>11514.174726324505</v>
      </c>
      <c r="Z6" s="230">
        <f>tblPiNAnalysis[[#This Row],[WASH]]</f>
        <v>13291.053542115327</v>
      </c>
      <c r="AA6" s="253" t="str">
        <f>IF(OR(tblPiNHistorical[[#This Row],[CCCM - old]]="", tblPiNHistorical[[#This Row],[CCCM - old]]=0, tblPiNHistorical[[#This Row],[CCCM - new]]="", tblPiNHistorical[[#This Row],[CCCM - new]]=0), "", tblPiNHistorical[[#This Row],[CCCM - new]]-tblPiNHistorical[[#This Row],[CCCM - old]])</f>
        <v/>
      </c>
      <c r="AB6" s="254">
        <f>IF(OR(tblPiNHistorical[[#This Row],[Education - old]]="", tblPiNHistorical[[#This Row],[Education - old]]=0, tblPiNHistorical[[#This Row],[Education - new]]="", tblPiNHistorical[[#This Row],[Education - new]]=0), "", tblPiNHistorical[[#This Row],[Education - new]]-tblPiNHistorical[[#This Row],[Education - old]])</f>
        <v>179.12215726864224</v>
      </c>
      <c r="AC6" s="254">
        <f>IF(OR(tblPiNHistorical[[#This Row],[Nutrition - old]]="", tblPiNHistorical[[#This Row],[Nutrition - old]]=0, tblPiNHistorical[[#This Row],[Nutrition - new]]="", tblPiNHistorical[[#This Row],[Nutrition - new]]=0), "", tblPiNHistorical[[#This Row],[Nutrition - new]]-tblPiNHistorical[[#This Row],[Nutrition - old]])</f>
        <v>1113.2720638333194</v>
      </c>
      <c r="AD6" s="254">
        <f>IF(OR(tblPiNHistorical[[#This Row],[Food Security - old]]="", tblPiNHistorical[[#This Row],[Food Security - old]]=0, tblPiNHistorical[[#This Row],[Food Security - new]]="", tblPiNHistorical[[#This Row],[Food Security - new]]=0), "", tblPiNHistorical[[#This Row],[Food Security - new]]-tblPiNHistorical[[#This Row],[Food Security - old]])</f>
        <v>751.23926216200016</v>
      </c>
      <c r="AE6" s="254">
        <f>IF(OR(tblPiNHistorical[[#This Row],[Health - old]]="", tblPiNHistorical[[#This Row],[Health - old]]=0, tblPiNHistorical[[#This Row],[Health - new]]="", tblPiNHistorical[[#This Row],[Health - new]]=0), "", tblPiNHistorical[[#This Row],[Health - new]]-tblPiNHistorical[[#This Row],[Health - old]])</f>
        <v>718.55892966677311</v>
      </c>
      <c r="AF6" s="254">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1042.1515533815764</v>
      </c>
      <c r="AG6" s="254">
        <f>IF(OR(tblPiNHistorical[[#This Row],[Shelter - old]]="", tblPiNHistorical[[#This Row],[Shelter - old]]=0, tblPiNHistorical[[#This Row],[Shelter - new]]="", tblPiNHistorical[[#This Row],[Shelter - new]]=0), "", tblPiNHistorical[[#This Row],[Shelter - new]]-tblPiNHistorical[[#This Row],[Shelter - old]])</f>
        <v>-3090.3967022469242</v>
      </c>
      <c r="AH6" s="255">
        <f>IF(OR(tblPiNHistorical[[#This Row],[WASH - old]]="", tblPiNHistorical[[#This Row],[WASH - old]]=0, tblPiNHistorical[[#This Row],[WASH - new]]="", tblPiNHistorical[[#This Row],[WASH - new]]=0), "", tblPiNHistorical[[#This Row],[WASH - new]]-tblPiNHistorical[[#This Row],[WASH - old]])</f>
        <v>3479.0902393630331</v>
      </c>
      <c r="AI6" s="256">
        <f>IFERROR(ROUND((tblPiNHistorical[[#This Row],[CCCM - new]] - tblPiNHistorical[[#This Row],[CCCM - old]])/tblPiNHistorical[[#This Row],[CCCM - old]], 1), "")</f>
        <v>-1</v>
      </c>
      <c r="AJ6" s="257">
        <f>IFERROR(ROUND((tblPiNHistorical[[#This Row],[Education - new]]-tblPiNHistorical[[#This Row],[Education - old]])/tblPiNHistorical[[#This Row],[Education - old]], 1), "")</f>
        <v>0.2</v>
      </c>
      <c r="AK6" s="257">
        <f>IFERROR(ROUND((tblPiNHistorical[[#This Row],[Nutrition - new]]-tblPiNHistorical[[#This Row],[Nutrition - old]])/tblPiNHistorical[[#This Row],[Nutrition - old]], 1), "")</f>
        <v>0.3</v>
      </c>
      <c r="AL6" s="257">
        <f>IFERROR(ROUND((tblPiNHistorical[[#This Row],[Food Security - new]]-tblPiNHistorical[[#This Row],[Food Security - old]])/tblPiNHistorical[[#This Row],[Food Security - old]], 1), "")</f>
        <v>0.1</v>
      </c>
      <c r="AM6" s="257">
        <f>IFERROR(ROUND((tblPiNHistorical[[#This Row],[Health - new]]-tblPiNHistorical[[#This Row],[Health - old]])/tblPiNHistorical[[#This Row],[Health - old]], 1), "")</f>
        <v>0.1</v>
      </c>
      <c r="AN6" s="257">
        <f>IFERROR(ROUND((tblPiNHistorical[[#This Row],[Overarching Protection - new]]-tblPiNHistorical[[#This Row],[Overarching Protection - old]])/tblPiNHistorical[[#This Row],[Overarching Protection - old]], 1), "")</f>
        <v>0.1</v>
      </c>
      <c r="AO6" s="257">
        <f>IFERROR(ROUND((tblPiNHistorical[[#This Row],[Shelter - new]]-tblPiNHistorical[[#This Row],[Shelter - old]])/tblPiNHistorical[[#This Row],[Shelter - old]], 1), "")</f>
        <v>-0.2</v>
      </c>
      <c r="AP6" s="258">
        <f>IFERROR(ROUND((tblPiNHistorical[[#This Row],[WASH - new]]-tblPiNHistorical[[#This Row],[WASH - old]])/tblPiNHistorical[[#This Row],[WASH - old]], 1), "")</f>
        <v>0.4</v>
      </c>
      <c r="AQ6" s="405">
        <v>14604.571428571429</v>
      </c>
      <c r="AR6" s="405">
        <v>13291.053542115327</v>
      </c>
    </row>
    <row r="7" spans="1:57" s="244" customFormat="1" ht="15" customHeight="1" x14ac:dyDescent="0.55000000000000004">
      <c r="A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 s="249" t="s">
        <v>236</v>
      </c>
      <c r="C7" s="250" t="s">
        <v>237</v>
      </c>
      <c r="D7" s="250" t="s">
        <v>242</v>
      </c>
      <c r="E7" s="250" t="s">
        <v>243</v>
      </c>
      <c r="F7" s="100"/>
      <c r="G7" s="37"/>
      <c r="H7" s="37"/>
      <c r="I7" s="251"/>
      <c r="J7" s="245" t="s">
        <v>412</v>
      </c>
      <c r="K7" s="228">
        <v>2079.5</v>
      </c>
      <c r="L7" s="252">
        <v>971</v>
      </c>
      <c r="M7" s="246">
        <v>3201.0154075020873</v>
      </c>
      <c r="N7" s="246">
        <v>5791</v>
      </c>
      <c r="O7" s="246">
        <v>3405.9454832117863</v>
      </c>
      <c r="P7" s="246">
        <v>7006.6292663093191</v>
      </c>
      <c r="Q7" s="247">
        <v>5118.7692307692305</v>
      </c>
      <c r="R7" s="246">
        <v>4315.9433962264156</v>
      </c>
      <c r="S7" s="235">
        <f>tblPiNAnalysis[[#This Row],[CCCM]]</f>
        <v>0</v>
      </c>
      <c r="T7" s="236">
        <f>tblPiNAnalysis[[#This Row],[Education]]</f>
        <v>981.68620713946348</v>
      </c>
      <c r="U7" s="219">
        <f>tblPiNAnalysis[[#This Row],[Nutrition]]</f>
        <v>3016.7293663498526</v>
      </c>
      <c r="V7" s="219">
        <f>tblPiNAnalysis[[#This Row],[Food Security]]</f>
        <v>4690.9435850029386</v>
      </c>
      <c r="W7" s="219">
        <f>tblPiNAnalysis[[#This Row],[Health]]</f>
        <v>3386.0205108896025</v>
      </c>
      <c r="X7" s="219">
        <f>tblPiNAnalysis[[#This Row],[Overarching Protection]]</f>
        <v>5948</v>
      </c>
      <c r="Y7" s="219">
        <f>tblPiNAnalysis[[#This Row],[Shelter]]</f>
        <v>4687.2046728057267</v>
      </c>
      <c r="Z7" s="230">
        <f>tblPiNAnalysis[[#This Row],[WASH]]</f>
        <v>4405.8526681800959</v>
      </c>
      <c r="AA7" s="253" t="str">
        <f>IF(OR(tblPiNHistorical[[#This Row],[CCCM - old]]="", tblPiNHistorical[[#This Row],[CCCM - old]]=0, tblPiNHistorical[[#This Row],[CCCM - new]]="", tblPiNHistorical[[#This Row],[CCCM - new]]=0), "", tblPiNHistorical[[#This Row],[CCCM - new]]-tblPiNHistorical[[#This Row],[CCCM - old]])</f>
        <v/>
      </c>
      <c r="AB7" s="254">
        <f>IF(OR(tblPiNHistorical[[#This Row],[Education - old]]="", tblPiNHistorical[[#This Row],[Education - old]]=0, tblPiNHistorical[[#This Row],[Education - new]]="", tblPiNHistorical[[#This Row],[Education - new]]=0), "", tblPiNHistorical[[#This Row],[Education - new]]-tblPiNHistorical[[#This Row],[Education - old]])</f>
        <v>10.686207139463477</v>
      </c>
      <c r="AC7" s="254">
        <f>IF(OR(tblPiNHistorical[[#This Row],[Nutrition - old]]="", tblPiNHistorical[[#This Row],[Nutrition - old]]=0, tblPiNHistorical[[#This Row],[Nutrition - new]]="", tblPiNHistorical[[#This Row],[Nutrition - new]]=0), "", tblPiNHistorical[[#This Row],[Nutrition - new]]-tblPiNHistorical[[#This Row],[Nutrition - old]])</f>
        <v>-184.2860411522347</v>
      </c>
      <c r="AD7" s="254">
        <f>IF(OR(tblPiNHistorical[[#This Row],[Food Security - old]]="", tblPiNHistorical[[#This Row],[Food Security - old]]=0, tblPiNHistorical[[#This Row],[Food Security - new]]="", tblPiNHistorical[[#This Row],[Food Security - new]]=0), "", tblPiNHistorical[[#This Row],[Food Security - new]]-tblPiNHistorical[[#This Row],[Food Security - old]])</f>
        <v>-1100.0564149970614</v>
      </c>
      <c r="AE7" s="254">
        <f>IF(OR(tblPiNHistorical[[#This Row],[Health - old]]="", tblPiNHistorical[[#This Row],[Health - old]]=0, tblPiNHistorical[[#This Row],[Health - new]]="", tblPiNHistorical[[#This Row],[Health - new]]=0), "", tblPiNHistorical[[#This Row],[Health - new]]-tblPiNHistorical[[#This Row],[Health - old]])</f>
        <v>-19.924972322183748</v>
      </c>
      <c r="AF7" s="254">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-1058.6292663093191</v>
      </c>
      <c r="AG7" s="254">
        <f>IF(OR(tblPiNHistorical[[#This Row],[Shelter - old]]="", tblPiNHistorical[[#This Row],[Shelter - old]]=0, tblPiNHistorical[[#This Row],[Shelter - new]]="", tblPiNHistorical[[#This Row],[Shelter - new]]=0), "", tblPiNHistorical[[#This Row],[Shelter - new]]-tblPiNHistorical[[#This Row],[Shelter - old]])</f>
        <v>-431.56455796350383</v>
      </c>
      <c r="AH7" s="255">
        <f>IF(OR(tblPiNHistorical[[#This Row],[WASH - old]]="", tblPiNHistorical[[#This Row],[WASH - old]]=0, tblPiNHistorical[[#This Row],[WASH - new]]="", tblPiNHistorical[[#This Row],[WASH - new]]=0), "", tblPiNHistorical[[#This Row],[WASH - new]]-tblPiNHistorical[[#This Row],[WASH - old]])</f>
        <v>89.909271953680218</v>
      </c>
      <c r="AI7" s="256">
        <f>IFERROR(ROUND((tblPiNHistorical[[#This Row],[CCCM - new]] - tblPiNHistorical[[#This Row],[CCCM - old]])/tblPiNHistorical[[#This Row],[CCCM - old]], 1), "")</f>
        <v>-1</v>
      </c>
      <c r="AJ7" s="257">
        <f>IFERROR(ROUND((tblPiNHistorical[[#This Row],[Education - new]]-tblPiNHistorical[[#This Row],[Education - old]])/tblPiNHistorical[[#This Row],[Education - old]], 1), "")</f>
        <v>0</v>
      </c>
      <c r="AK7" s="257">
        <f>IFERROR(ROUND((tblPiNHistorical[[#This Row],[Nutrition - new]]-tblPiNHistorical[[#This Row],[Nutrition - old]])/tblPiNHistorical[[#This Row],[Nutrition - old]], 1), "")</f>
        <v>-0.1</v>
      </c>
      <c r="AL7" s="257">
        <f>IFERROR(ROUND((tblPiNHistorical[[#This Row],[Food Security - new]]-tblPiNHistorical[[#This Row],[Food Security - old]])/tblPiNHistorical[[#This Row],[Food Security - old]], 1), "")</f>
        <v>-0.2</v>
      </c>
      <c r="AM7" s="257">
        <f>IFERROR(ROUND((tblPiNHistorical[[#This Row],[Health - new]]-tblPiNHistorical[[#This Row],[Health - old]])/tblPiNHistorical[[#This Row],[Health - old]], 1), "")</f>
        <v>0</v>
      </c>
      <c r="AN7" s="257">
        <f>IFERROR(ROUND((tblPiNHistorical[[#This Row],[Overarching Protection - new]]-tblPiNHistorical[[#This Row],[Overarching Protection - old]])/tblPiNHistorical[[#This Row],[Overarching Protection - old]], 1), "")</f>
        <v>-0.2</v>
      </c>
      <c r="AO7" s="257">
        <f>IFERROR(ROUND((tblPiNHistorical[[#This Row],[Shelter - new]]-tblPiNHistorical[[#This Row],[Shelter - old]])/tblPiNHistorical[[#This Row],[Shelter - old]], 1), "")</f>
        <v>-0.1</v>
      </c>
      <c r="AP7" s="258">
        <f>IFERROR(ROUND((tblPiNHistorical[[#This Row],[WASH - new]]-tblPiNHistorical[[#This Row],[WASH - old]])/tblPiNHistorical[[#This Row],[WASH - old]], 1), "")</f>
        <v>0</v>
      </c>
      <c r="AQ7" s="405">
        <v>7006.6292663093191</v>
      </c>
      <c r="AR7" s="405">
        <v>5948</v>
      </c>
    </row>
    <row r="8" spans="1:57" ht="15" customHeight="1" x14ac:dyDescent="0.55000000000000004">
      <c r="A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 s="316" t="s">
        <v>236</v>
      </c>
      <c r="C8" s="218" t="s">
        <v>237</v>
      </c>
      <c r="D8" s="218" t="s">
        <v>244</v>
      </c>
      <c r="E8" s="105" t="s">
        <v>245</v>
      </c>
      <c r="F8" s="100"/>
      <c r="G8" s="34"/>
      <c r="H8" s="335"/>
      <c r="I8" s="97"/>
      <c r="J8" s="97" t="s">
        <v>412</v>
      </c>
      <c r="K8" s="336">
        <v>2718.75</v>
      </c>
      <c r="L8" s="337">
        <v>1493</v>
      </c>
      <c r="M8" s="319">
        <v>1951.5942549577396</v>
      </c>
      <c r="N8" s="319">
        <v>5608</v>
      </c>
      <c r="O8" s="319">
        <v>6350.16085063026</v>
      </c>
      <c r="P8" s="319">
        <v>7153.0041812727541</v>
      </c>
      <c r="Q8" s="320">
        <v>4142.8571428571422</v>
      </c>
      <c r="R8" s="319">
        <v>6947.9166666666661</v>
      </c>
      <c r="S8" s="235">
        <f>tblPiNAnalysis[[#This Row],[CCCM]]</f>
        <v>10003.75</v>
      </c>
      <c r="T8" s="236">
        <f>tblPiNAnalysis[[#This Row],[Education]]</f>
        <v>1946.0349485846925</v>
      </c>
      <c r="U8" s="219">
        <f>tblPiNAnalysis[[#This Row],[Nutrition]]</f>
        <v>3652.351679331086</v>
      </c>
      <c r="V8" s="219">
        <f>tblPiNAnalysis[[#This Row],[Food Security]]</f>
        <v>7470.4403267122298</v>
      </c>
      <c r="W8" s="219">
        <f>tblPiNAnalysis[[#This Row],[Health]]</f>
        <v>7139.7875687378446</v>
      </c>
      <c r="X8" s="219">
        <f>tblPiNAnalysis[[#This Row],[Overarching Protection]]</f>
        <v>8797</v>
      </c>
      <c r="Y8" s="219">
        <f>tblPiNAnalysis[[#This Row],[Shelter]]</f>
        <v>10472.24030930058</v>
      </c>
      <c r="Z8" s="230">
        <f>tblPiNAnalysis[[#This Row],[WASH]]</f>
        <v>6210.620294543538</v>
      </c>
      <c r="AA8" s="339">
        <f>IF(OR(tblPiNHistorical[[#This Row],[CCCM - old]]="", tblPiNHistorical[[#This Row],[CCCM - old]]=0, tblPiNHistorical[[#This Row],[CCCM - new]]="", tblPiNHistorical[[#This Row],[CCCM - new]]=0), "", tblPiNHistorical[[#This Row],[CCCM - new]]-tblPiNHistorical[[#This Row],[CCCM - old]])</f>
        <v>7285</v>
      </c>
      <c r="AB8" s="340">
        <f>IF(OR(tblPiNHistorical[[#This Row],[Education - old]]="", tblPiNHistorical[[#This Row],[Education - old]]=0, tblPiNHistorical[[#This Row],[Education - new]]="", tblPiNHistorical[[#This Row],[Education - new]]=0), "", tblPiNHistorical[[#This Row],[Education - new]]-tblPiNHistorical[[#This Row],[Education - old]])</f>
        <v>453.03494858469253</v>
      </c>
      <c r="AC8" s="340">
        <f>IF(OR(tblPiNHistorical[[#This Row],[Nutrition - old]]="", tblPiNHistorical[[#This Row],[Nutrition - old]]=0, tblPiNHistorical[[#This Row],[Nutrition - new]]="", tblPiNHistorical[[#This Row],[Nutrition - new]]=0), "", tblPiNHistorical[[#This Row],[Nutrition - new]]-tblPiNHistorical[[#This Row],[Nutrition - old]])</f>
        <v>1700.7574243733463</v>
      </c>
      <c r="AD8" s="340">
        <f>IF(OR(tblPiNHistorical[[#This Row],[Food Security - old]]="", tblPiNHistorical[[#This Row],[Food Security - old]]=0, tblPiNHistorical[[#This Row],[Food Security - new]]="", tblPiNHistorical[[#This Row],[Food Security - new]]=0), "", tblPiNHistorical[[#This Row],[Food Security - new]]-tblPiNHistorical[[#This Row],[Food Security - old]])</f>
        <v>1862.4403267122298</v>
      </c>
      <c r="AE8" s="340">
        <f>IF(OR(tblPiNHistorical[[#This Row],[Health - old]]="", tblPiNHistorical[[#This Row],[Health - old]]=0, tblPiNHistorical[[#This Row],[Health - new]]="", tblPiNHistorical[[#This Row],[Health - new]]=0), "", tblPiNHistorical[[#This Row],[Health - new]]-tblPiNHistorical[[#This Row],[Health - old]])</f>
        <v>789.62671810758457</v>
      </c>
      <c r="AF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1643.9958187272459</v>
      </c>
      <c r="AG8" s="340">
        <f>IF(OR(tblPiNHistorical[[#This Row],[Shelter - old]]="", tblPiNHistorical[[#This Row],[Shelter - old]]=0, tblPiNHistorical[[#This Row],[Shelter - new]]="", tblPiNHistorical[[#This Row],[Shelter - new]]=0), "", tblPiNHistorical[[#This Row],[Shelter - new]]-tblPiNHistorical[[#This Row],[Shelter - old]])</f>
        <v>6329.3831664434374</v>
      </c>
      <c r="AH8" s="341">
        <f>IF(OR(tblPiNHistorical[[#This Row],[WASH - old]]="", tblPiNHistorical[[#This Row],[WASH - old]]=0, tblPiNHistorical[[#This Row],[WASH - new]]="", tblPiNHistorical[[#This Row],[WASH - new]]=0), "", tblPiNHistorical[[#This Row],[WASH - new]]-tblPiNHistorical[[#This Row],[WASH - old]])</f>
        <v>-737.29637212312809</v>
      </c>
      <c r="AI8" s="342">
        <f>IFERROR(ROUND((tblPiNHistorical[[#This Row],[CCCM - new]] - tblPiNHistorical[[#This Row],[CCCM - old]])/tblPiNHistorical[[#This Row],[CCCM - old]], 1), "")</f>
        <v>2.7</v>
      </c>
      <c r="AJ8" s="343">
        <f>IFERROR(ROUND((tblPiNHistorical[[#This Row],[Education - new]]-tblPiNHistorical[[#This Row],[Education - old]])/tblPiNHistorical[[#This Row],[Education - old]], 1), "")</f>
        <v>0.3</v>
      </c>
      <c r="AK8" s="343">
        <f>IFERROR(ROUND((tblPiNHistorical[[#This Row],[Nutrition - new]]-tblPiNHistorical[[#This Row],[Nutrition - old]])/tblPiNHistorical[[#This Row],[Nutrition - old]], 1), "")</f>
        <v>0.9</v>
      </c>
      <c r="AL8" s="343">
        <f>IFERROR(ROUND((tblPiNHistorical[[#This Row],[Food Security - new]]-tblPiNHistorical[[#This Row],[Food Security - old]])/tblPiNHistorical[[#This Row],[Food Security - old]], 1), "")</f>
        <v>0.3</v>
      </c>
      <c r="AM8" s="343">
        <f>IFERROR(ROUND((tblPiNHistorical[[#This Row],[Health - new]]-tblPiNHistorical[[#This Row],[Health - old]])/tblPiNHistorical[[#This Row],[Health - old]], 1), "")</f>
        <v>0.1</v>
      </c>
      <c r="AN8" s="343">
        <f>IFERROR(ROUND((tblPiNHistorical[[#This Row],[Overarching Protection - new]]-tblPiNHistorical[[#This Row],[Overarching Protection - old]])/tblPiNHistorical[[#This Row],[Overarching Protection - old]], 1), "")</f>
        <v>0.2</v>
      </c>
      <c r="AO8" s="343">
        <f>IFERROR(ROUND((tblPiNHistorical[[#This Row],[Shelter - new]]-tblPiNHistorical[[#This Row],[Shelter - old]])/tblPiNHistorical[[#This Row],[Shelter - old]], 1), "")</f>
        <v>1.5</v>
      </c>
      <c r="AP8" s="38">
        <f>IFERROR(ROUND((tblPiNHistorical[[#This Row],[WASH - new]]-tblPiNHistorical[[#This Row],[WASH - old]])/tblPiNHistorical[[#This Row],[WASH - old]], 1), "")</f>
        <v>-0.1</v>
      </c>
      <c r="AQ8" s="406">
        <v>7153.0041812727541</v>
      </c>
      <c r="AR8" s="406">
        <v>10472.24030930058</v>
      </c>
    </row>
    <row r="9" spans="1:57" ht="15" customHeight="1" x14ac:dyDescent="0.55000000000000004">
      <c r="A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 s="316" t="s">
        <v>236</v>
      </c>
      <c r="C9" s="218" t="s">
        <v>237</v>
      </c>
      <c r="D9" s="218" t="s">
        <v>246</v>
      </c>
      <c r="E9" s="105" t="s">
        <v>247</v>
      </c>
      <c r="F9" s="100"/>
      <c r="G9" s="34"/>
      <c r="H9" s="335"/>
      <c r="I9" s="97"/>
      <c r="J9" s="97" t="s">
        <v>412</v>
      </c>
      <c r="K9" s="336">
        <v>2976.25</v>
      </c>
      <c r="L9" s="337">
        <v>3961</v>
      </c>
      <c r="M9" s="319">
        <v>2954.6577312038012</v>
      </c>
      <c r="N9" s="319">
        <v>7685</v>
      </c>
      <c r="O9" s="319">
        <v>6884.9385102256701</v>
      </c>
      <c r="P9" s="319">
        <v>8222.9905377440082</v>
      </c>
      <c r="Q9" s="320">
        <v>6802.8571428571422</v>
      </c>
      <c r="R9" s="319">
        <v>5739.9107142857147</v>
      </c>
      <c r="S9" s="235">
        <f>tblPiNAnalysis[[#This Row],[CCCM]]</f>
        <v>0</v>
      </c>
      <c r="T9" s="236">
        <f>tblPiNAnalysis[[#This Row],[Education]]</f>
        <v>3537.4742835474094</v>
      </c>
      <c r="U9" s="219">
        <f>tblPiNAnalysis[[#This Row],[Nutrition]]</f>
        <v>3921.0295061368129</v>
      </c>
      <c r="V9" s="219">
        <f>tblPiNAnalysis[[#This Row],[Food Security]]</f>
        <v>8587.0091798293361</v>
      </c>
      <c r="W9" s="219">
        <f>tblPiNAnalysis[[#This Row],[Health]]</f>
        <v>6819.088880858395</v>
      </c>
      <c r="X9" s="219">
        <f>tblPiNAnalysis[[#This Row],[Overarching Protection]]</f>
        <v>8429</v>
      </c>
      <c r="Y9" s="219">
        <f>tblPiNAnalysis[[#This Row],[Shelter]]</f>
        <v>11111.344438625387</v>
      </c>
      <c r="Z9" s="230">
        <f>tblPiNAnalysis[[#This Row],[WASH]]</f>
        <v>4814.9159234043336</v>
      </c>
      <c r="AA9" s="339" t="str">
        <f>IF(OR(tblPiNHistorical[[#This Row],[CCCM - old]]="", tblPiNHistorical[[#This Row],[CCCM - old]]=0, tblPiNHistorical[[#This Row],[CCCM - new]]="", tblPiNHistorical[[#This Row],[CCCM - new]]=0), "", tblPiNHistorical[[#This Row],[CCCM - new]]-tblPiNHistorical[[#This Row],[CCCM - old]])</f>
        <v/>
      </c>
      <c r="AB9" s="340">
        <f>IF(OR(tblPiNHistorical[[#This Row],[Education - old]]="", tblPiNHistorical[[#This Row],[Education - old]]=0, tblPiNHistorical[[#This Row],[Education - new]]="", tblPiNHistorical[[#This Row],[Education - new]]=0), "", tblPiNHistorical[[#This Row],[Education - new]]-tblPiNHistorical[[#This Row],[Education - old]])</f>
        <v>-423.52571645259059</v>
      </c>
      <c r="AC9" s="340">
        <f>IF(OR(tblPiNHistorical[[#This Row],[Nutrition - old]]="", tblPiNHistorical[[#This Row],[Nutrition - old]]=0, tblPiNHistorical[[#This Row],[Nutrition - new]]="", tblPiNHistorical[[#This Row],[Nutrition - new]]=0), "", tblPiNHistorical[[#This Row],[Nutrition - new]]-tblPiNHistorical[[#This Row],[Nutrition - old]])</f>
        <v>966.37177493301169</v>
      </c>
      <c r="AD9" s="340">
        <f>IF(OR(tblPiNHistorical[[#This Row],[Food Security - old]]="", tblPiNHistorical[[#This Row],[Food Security - old]]=0, tblPiNHistorical[[#This Row],[Food Security - new]]="", tblPiNHistorical[[#This Row],[Food Security - new]]=0), "", tblPiNHistorical[[#This Row],[Food Security - new]]-tblPiNHistorical[[#This Row],[Food Security - old]])</f>
        <v>902.00917982933606</v>
      </c>
      <c r="AE9" s="340">
        <f>IF(OR(tblPiNHistorical[[#This Row],[Health - old]]="", tblPiNHistorical[[#This Row],[Health - old]]=0, tblPiNHistorical[[#This Row],[Health - new]]="", tblPiNHistorical[[#This Row],[Health - new]]=0), "", tblPiNHistorical[[#This Row],[Health - new]]-tblPiNHistorical[[#This Row],[Health - old]])</f>
        <v>-65.849629367275156</v>
      </c>
      <c r="AF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206.00946225599182</v>
      </c>
      <c r="AG9" s="340">
        <f>IF(OR(tblPiNHistorical[[#This Row],[Shelter - old]]="", tblPiNHistorical[[#This Row],[Shelter - old]]=0, tblPiNHistorical[[#This Row],[Shelter - new]]="", tblPiNHistorical[[#This Row],[Shelter - new]]=0), "", tblPiNHistorical[[#This Row],[Shelter - new]]-tblPiNHistorical[[#This Row],[Shelter - old]])</f>
        <v>4308.4872957682446</v>
      </c>
      <c r="AH9" s="341">
        <f>IF(OR(tblPiNHistorical[[#This Row],[WASH - old]]="", tblPiNHistorical[[#This Row],[WASH - old]]=0, tblPiNHistorical[[#This Row],[WASH - new]]="", tblPiNHistorical[[#This Row],[WASH - new]]=0), "", tblPiNHistorical[[#This Row],[WASH - new]]-tblPiNHistorical[[#This Row],[WASH - old]])</f>
        <v>-924.99479088138105</v>
      </c>
      <c r="AI9" s="342">
        <f>IFERROR(ROUND((tblPiNHistorical[[#This Row],[CCCM - new]] - tblPiNHistorical[[#This Row],[CCCM - old]])/tblPiNHistorical[[#This Row],[CCCM - old]], 1), "")</f>
        <v>-1</v>
      </c>
      <c r="AJ9" s="343">
        <f>IFERROR(ROUND((tblPiNHistorical[[#This Row],[Education - new]]-tblPiNHistorical[[#This Row],[Education - old]])/tblPiNHistorical[[#This Row],[Education - old]], 1), "")</f>
        <v>-0.1</v>
      </c>
      <c r="AK9" s="343">
        <f>IFERROR(ROUND((tblPiNHistorical[[#This Row],[Nutrition - new]]-tblPiNHistorical[[#This Row],[Nutrition - old]])/tblPiNHistorical[[#This Row],[Nutrition - old]], 1), "")</f>
        <v>0.3</v>
      </c>
      <c r="AL9" s="343">
        <f>IFERROR(ROUND((tblPiNHistorical[[#This Row],[Food Security - new]]-tblPiNHistorical[[#This Row],[Food Security - old]])/tblPiNHistorical[[#This Row],[Food Security - old]], 1), "")</f>
        <v>0.1</v>
      </c>
      <c r="AM9" s="343">
        <f>IFERROR(ROUND((tblPiNHistorical[[#This Row],[Health - new]]-tblPiNHistorical[[#This Row],[Health - old]])/tblPiNHistorical[[#This Row],[Health - old]], 1), "")</f>
        <v>0</v>
      </c>
      <c r="AN9" s="343">
        <f>IFERROR(ROUND((tblPiNHistorical[[#This Row],[Overarching Protection - new]]-tblPiNHistorical[[#This Row],[Overarching Protection - old]])/tblPiNHistorical[[#This Row],[Overarching Protection - old]], 1), "")</f>
        <v>0</v>
      </c>
      <c r="AO9" s="343">
        <f>IFERROR(ROUND((tblPiNHistorical[[#This Row],[Shelter - new]]-tblPiNHistorical[[#This Row],[Shelter - old]])/tblPiNHistorical[[#This Row],[Shelter - old]], 1), "")</f>
        <v>0.6</v>
      </c>
      <c r="AP9" s="38">
        <f>IFERROR(ROUND((tblPiNHistorical[[#This Row],[WASH - new]]-tblPiNHistorical[[#This Row],[WASH - old]])/tblPiNHistorical[[#This Row],[WASH - old]], 1), "")</f>
        <v>-0.2</v>
      </c>
      <c r="AQ9" s="406">
        <v>8222.9905377440082</v>
      </c>
      <c r="AR9" s="406">
        <v>11111.344438625387</v>
      </c>
    </row>
    <row r="10" spans="1:57" ht="15" customHeight="1" x14ac:dyDescent="0.55000000000000004">
      <c r="A1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 s="316" t="s">
        <v>236</v>
      </c>
      <c r="C10" s="218" t="s">
        <v>237</v>
      </c>
      <c r="D10" s="218" t="s">
        <v>248</v>
      </c>
      <c r="E10" s="105" t="s">
        <v>249</v>
      </c>
      <c r="F10" s="100"/>
      <c r="G10" s="34"/>
      <c r="H10" s="335"/>
      <c r="I10" s="97"/>
      <c r="J10" s="97" t="s">
        <v>412</v>
      </c>
      <c r="K10" s="336">
        <v>14811.5</v>
      </c>
      <c r="L10" s="337">
        <v>4742</v>
      </c>
      <c r="M10" s="319">
        <v>14834.648123244941</v>
      </c>
      <c r="N10" s="319">
        <v>25872</v>
      </c>
      <c r="O10" s="319">
        <v>14408.535387954245</v>
      </c>
      <c r="P10" s="319">
        <v>28241.443215892516</v>
      </c>
      <c r="Q10" s="320">
        <v>15196.803738317756</v>
      </c>
      <c r="R10" s="319">
        <v>23376.564814814814</v>
      </c>
      <c r="S10" s="235">
        <f>tblPiNAnalysis[[#This Row],[CCCM]]</f>
        <v>6856.25</v>
      </c>
      <c r="T10" s="236">
        <f>tblPiNAnalysis[[#This Row],[Education]]</f>
        <v>6751.5258374798414</v>
      </c>
      <c r="U10" s="219">
        <f>tblPiNAnalysis[[#This Row],[Nutrition]]</f>
        <v>13241.129960863167</v>
      </c>
      <c r="V10" s="219">
        <f>tblPiNAnalysis[[#This Row],[Food Security]]</f>
        <v>18936.823915437224</v>
      </c>
      <c r="W10" s="219">
        <f>tblPiNAnalysis[[#This Row],[Health]]</f>
        <v>17789.683120040547</v>
      </c>
      <c r="X10" s="219">
        <f>tblPiNAnalysis[[#This Row],[Overarching Protection]]</f>
        <v>15408</v>
      </c>
      <c r="Y10" s="219">
        <f>tblPiNAnalysis[[#This Row],[Shelter]]</f>
        <v>25047.754312730212</v>
      </c>
      <c r="Z10" s="230">
        <f>tblPiNAnalysis[[#This Row],[WASH]]</f>
        <v>31398.894295160375</v>
      </c>
      <c r="AA10" s="339">
        <f>IF(OR(tblPiNHistorical[[#This Row],[CCCM - old]]="", tblPiNHistorical[[#This Row],[CCCM - old]]=0, tblPiNHistorical[[#This Row],[CCCM - new]]="", tblPiNHistorical[[#This Row],[CCCM - new]]=0), "", tblPiNHistorical[[#This Row],[CCCM - new]]-tblPiNHistorical[[#This Row],[CCCM - old]])</f>
        <v>-7955.25</v>
      </c>
      <c r="AB10" s="340">
        <f>IF(OR(tblPiNHistorical[[#This Row],[Education - old]]="", tblPiNHistorical[[#This Row],[Education - old]]=0, tblPiNHistorical[[#This Row],[Education - new]]="", tblPiNHistorical[[#This Row],[Education - new]]=0), "", tblPiNHistorical[[#This Row],[Education - new]]-tblPiNHistorical[[#This Row],[Education - old]])</f>
        <v>2009.5258374798414</v>
      </c>
      <c r="AC10" s="340">
        <f>IF(OR(tblPiNHistorical[[#This Row],[Nutrition - old]]="", tblPiNHistorical[[#This Row],[Nutrition - old]]=0, tblPiNHistorical[[#This Row],[Nutrition - new]]="", tblPiNHistorical[[#This Row],[Nutrition - new]]=0), "", tblPiNHistorical[[#This Row],[Nutrition - new]]-tblPiNHistorical[[#This Row],[Nutrition - old]])</f>
        <v>-1593.5181623817734</v>
      </c>
      <c r="AD10" s="340">
        <f>IF(OR(tblPiNHistorical[[#This Row],[Food Security - old]]="", tblPiNHistorical[[#This Row],[Food Security - old]]=0, tblPiNHistorical[[#This Row],[Food Security - new]]="", tblPiNHistorical[[#This Row],[Food Security - new]]=0), "", tblPiNHistorical[[#This Row],[Food Security - new]]-tblPiNHistorical[[#This Row],[Food Security - old]])</f>
        <v>-6935.1760845627759</v>
      </c>
      <c r="AE10" s="340">
        <f>IF(OR(tblPiNHistorical[[#This Row],[Health - old]]="", tblPiNHistorical[[#This Row],[Health - old]]=0, tblPiNHistorical[[#This Row],[Health - new]]="", tblPiNHistorical[[#This Row],[Health - new]]=0), "", tblPiNHistorical[[#This Row],[Health - new]]-tblPiNHistorical[[#This Row],[Health - old]])</f>
        <v>3381.1477320863014</v>
      </c>
      <c r="AF1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-12833.443215892516</v>
      </c>
      <c r="AG10" s="340">
        <f>IF(OR(tblPiNHistorical[[#This Row],[Shelter - old]]="", tblPiNHistorical[[#This Row],[Shelter - old]]=0, tblPiNHistorical[[#This Row],[Shelter - new]]="", tblPiNHistorical[[#This Row],[Shelter - new]]=0), "", tblPiNHistorical[[#This Row],[Shelter - new]]-tblPiNHistorical[[#This Row],[Shelter - old]])</f>
        <v>9850.9505744124563</v>
      </c>
      <c r="AH10" s="341">
        <f>IF(OR(tblPiNHistorical[[#This Row],[WASH - old]]="", tblPiNHistorical[[#This Row],[WASH - old]]=0, tblPiNHistorical[[#This Row],[WASH - new]]="", tblPiNHistorical[[#This Row],[WASH - new]]=0), "", tblPiNHistorical[[#This Row],[WASH - new]]-tblPiNHistorical[[#This Row],[WASH - old]])</f>
        <v>8022.329480345561</v>
      </c>
      <c r="AI10" s="342">
        <f>IFERROR(ROUND((tblPiNHistorical[[#This Row],[CCCM - new]] - tblPiNHistorical[[#This Row],[CCCM - old]])/tblPiNHistorical[[#This Row],[CCCM - old]], 1), "")</f>
        <v>-0.5</v>
      </c>
      <c r="AJ10" s="343">
        <f>IFERROR(ROUND((tblPiNHistorical[[#This Row],[Education - new]]-tblPiNHistorical[[#This Row],[Education - old]])/tblPiNHistorical[[#This Row],[Education - old]], 1), "")</f>
        <v>0.4</v>
      </c>
      <c r="AK10" s="343">
        <f>IFERROR(ROUND((tblPiNHistorical[[#This Row],[Nutrition - new]]-tblPiNHistorical[[#This Row],[Nutrition - old]])/tblPiNHistorical[[#This Row],[Nutrition - old]], 1), "")</f>
        <v>-0.1</v>
      </c>
      <c r="AL10" s="343">
        <f>IFERROR(ROUND((tblPiNHistorical[[#This Row],[Food Security - new]]-tblPiNHistorical[[#This Row],[Food Security - old]])/tblPiNHistorical[[#This Row],[Food Security - old]], 1), "")</f>
        <v>-0.3</v>
      </c>
      <c r="AM10" s="343">
        <f>IFERROR(ROUND((tblPiNHistorical[[#This Row],[Health - new]]-tblPiNHistorical[[#This Row],[Health - old]])/tblPiNHistorical[[#This Row],[Health - old]], 1), "")</f>
        <v>0.2</v>
      </c>
      <c r="AN10" s="343">
        <f>IFERROR(ROUND((tblPiNHistorical[[#This Row],[Overarching Protection - new]]-tblPiNHistorical[[#This Row],[Overarching Protection - old]])/tblPiNHistorical[[#This Row],[Overarching Protection - old]], 1), "")</f>
        <v>-0.5</v>
      </c>
      <c r="AO10" s="343">
        <f>IFERROR(ROUND((tblPiNHistorical[[#This Row],[Shelter - new]]-tblPiNHistorical[[#This Row],[Shelter - old]])/tblPiNHistorical[[#This Row],[Shelter - old]], 1), "")</f>
        <v>0.6</v>
      </c>
      <c r="AP10" s="38">
        <f>IFERROR(ROUND((tblPiNHistorical[[#This Row],[WASH - new]]-tblPiNHistorical[[#This Row],[WASH - old]])/tblPiNHistorical[[#This Row],[WASH - old]], 1), "")</f>
        <v>0.3</v>
      </c>
      <c r="AQ10" s="406">
        <v>28241.443215892516</v>
      </c>
      <c r="AR10" s="406">
        <v>31398.894295160375</v>
      </c>
    </row>
    <row r="11" spans="1:57" ht="15" customHeight="1" x14ac:dyDescent="0.55000000000000004">
      <c r="A1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 s="316" t="s">
        <v>250</v>
      </c>
      <c r="C11" s="218" t="s">
        <v>251</v>
      </c>
      <c r="D11" s="218" t="s">
        <v>252</v>
      </c>
      <c r="E11" s="105" t="s">
        <v>253</v>
      </c>
      <c r="F11" s="100"/>
      <c r="G11" s="34"/>
      <c r="H11" s="335"/>
      <c r="I11" s="97"/>
      <c r="J11" s="97" t="s">
        <v>412</v>
      </c>
      <c r="K11" s="336">
        <v>973.75</v>
      </c>
      <c r="L11" s="337">
        <v>597</v>
      </c>
      <c r="M11" s="319">
        <v>2008.1265752092866</v>
      </c>
      <c r="N11" s="319">
        <v>2515</v>
      </c>
      <c r="O11" s="319">
        <v>1329.2573471994533</v>
      </c>
      <c r="P11" s="319">
        <v>2647.0953</v>
      </c>
      <c r="Q11" s="320">
        <v>2124.5454545454545</v>
      </c>
      <c r="R11" s="319">
        <v>2055.6944444444443</v>
      </c>
      <c r="S11" s="235">
        <f>tblPiNAnalysis[[#This Row],[CCCM]]</f>
        <v>0</v>
      </c>
      <c r="T11" s="236">
        <f>tblPiNAnalysis[[#This Row],[Education]]</f>
        <v>1492.7522432093658</v>
      </c>
      <c r="U11" s="219">
        <f>tblPiNAnalysis[[#This Row],[Nutrition]]</f>
        <v>1813.6109456368461</v>
      </c>
      <c r="V11" s="219">
        <f>tblPiNAnalysis[[#This Row],[Food Security]]</f>
        <v>2934.7298505674235</v>
      </c>
      <c r="W11" s="219">
        <f>tblPiNAnalysis[[#This Row],[Health]]</f>
        <v>2000.988397539779</v>
      </c>
      <c r="X11" s="219">
        <f>tblPiNAnalysis[[#This Row],[Overarching Protection]]</f>
        <v>3197</v>
      </c>
      <c r="Y11" s="219">
        <f>tblPiNAnalysis[[#This Row],[Shelter]]</f>
        <v>3044.3890596097026</v>
      </c>
      <c r="Z11" s="230">
        <f>tblPiNAnalysis[[#This Row],[WASH]]</f>
        <v>3424.9376920609157</v>
      </c>
      <c r="AA11" s="339" t="str">
        <f>IF(OR(tblPiNHistorical[[#This Row],[CCCM - old]]="", tblPiNHistorical[[#This Row],[CCCM - old]]=0, tblPiNHistorical[[#This Row],[CCCM - new]]="", tblPiNHistorical[[#This Row],[CCCM - new]]=0), "", tblPiNHistorical[[#This Row],[CCCM - new]]-tblPiNHistorical[[#This Row],[CCCM - old]])</f>
        <v/>
      </c>
      <c r="AB11" s="340">
        <f>IF(OR(tblPiNHistorical[[#This Row],[Education - old]]="", tblPiNHistorical[[#This Row],[Education - old]]=0, tblPiNHistorical[[#This Row],[Education - new]]="", tblPiNHistorical[[#This Row],[Education - new]]=0), "", tblPiNHistorical[[#This Row],[Education - new]]-tblPiNHistorical[[#This Row],[Education - old]])</f>
        <v>895.75224320936582</v>
      </c>
      <c r="AC11" s="340">
        <f>IF(OR(tblPiNHistorical[[#This Row],[Nutrition - old]]="", tblPiNHistorical[[#This Row],[Nutrition - old]]=0, tblPiNHistorical[[#This Row],[Nutrition - new]]="", tblPiNHistorical[[#This Row],[Nutrition - new]]=0), "", tblPiNHistorical[[#This Row],[Nutrition - new]]-tblPiNHistorical[[#This Row],[Nutrition - old]])</f>
        <v>-194.5156295724405</v>
      </c>
      <c r="AD11" s="340">
        <f>IF(OR(tblPiNHistorical[[#This Row],[Food Security - old]]="", tblPiNHistorical[[#This Row],[Food Security - old]]=0, tblPiNHistorical[[#This Row],[Food Security - new]]="", tblPiNHistorical[[#This Row],[Food Security - new]]=0), "", tblPiNHistorical[[#This Row],[Food Security - new]]-tblPiNHistorical[[#This Row],[Food Security - old]])</f>
        <v>419.72985056742345</v>
      </c>
      <c r="AE11" s="340">
        <f>IF(OR(tblPiNHistorical[[#This Row],[Health - old]]="", tblPiNHistorical[[#This Row],[Health - old]]=0, tblPiNHistorical[[#This Row],[Health - new]]="", tblPiNHistorical[[#This Row],[Health - new]]=0), "", tblPiNHistorical[[#This Row],[Health - new]]-tblPiNHistorical[[#This Row],[Health - old]])</f>
        <v>671.73105034032574</v>
      </c>
      <c r="AF1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549.90470000000005</v>
      </c>
      <c r="AG11" s="340">
        <f>IF(OR(tblPiNHistorical[[#This Row],[Shelter - old]]="", tblPiNHistorical[[#This Row],[Shelter - old]]=0, tblPiNHistorical[[#This Row],[Shelter - new]]="", tblPiNHistorical[[#This Row],[Shelter - new]]=0), "", tblPiNHistorical[[#This Row],[Shelter - new]]-tblPiNHistorical[[#This Row],[Shelter - old]])</f>
        <v>919.8436050642481</v>
      </c>
      <c r="AH11" s="341">
        <f>IF(OR(tblPiNHistorical[[#This Row],[WASH - old]]="", tblPiNHistorical[[#This Row],[WASH - old]]=0, tblPiNHistorical[[#This Row],[WASH - new]]="", tblPiNHistorical[[#This Row],[WASH - new]]=0), "", tblPiNHistorical[[#This Row],[WASH - new]]-tblPiNHistorical[[#This Row],[WASH - old]])</f>
        <v>1369.2432476164713</v>
      </c>
      <c r="AI11" s="342">
        <f>IFERROR(ROUND((tblPiNHistorical[[#This Row],[CCCM - new]] - tblPiNHistorical[[#This Row],[CCCM - old]])/tblPiNHistorical[[#This Row],[CCCM - old]], 1), "")</f>
        <v>-1</v>
      </c>
      <c r="AJ11" s="343">
        <f>IFERROR(ROUND((tblPiNHistorical[[#This Row],[Education - new]]-tblPiNHistorical[[#This Row],[Education - old]])/tblPiNHistorical[[#This Row],[Education - old]], 1), "")</f>
        <v>1.5</v>
      </c>
      <c r="AK11" s="343">
        <f>IFERROR(ROUND((tblPiNHistorical[[#This Row],[Nutrition - new]]-tblPiNHistorical[[#This Row],[Nutrition - old]])/tblPiNHistorical[[#This Row],[Nutrition - old]], 1), "")</f>
        <v>-0.1</v>
      </c>
      <c r="AL11" s="343">
        <f>IFERROR(ROUND((tblPiNHistorical[[#This Row],[Food Security - new]]-tblPiNHistorical[[#This Row],[Food Security - old]])/tblPiNHistorical[[#This Row],[Food Security - old]], 1), "")</f>
        <v>0.2</v>
      </c>
      <c r="AM11" s="343">
        <f>IFERROR(ROUND((tblPiNHistorical[[#This Row],[Health - new]]-tblPiNHistorical[[#This Row],[Health - old]])/tblPiNHistorical[[#This Row],[Health - old]], 1), "")</f>
        <v>0.5</v>
      </c>
      <c r="AN11" s="343">
        <f>IFERROR(ROUND((tblPiNHistorical[[#This Row],[Overarching Protection - new]]-tblPiNHistorical[[#This Row],[Overarching Protection - old]])/tblPiNHistorical[[#This Row],[Overarching Protection - old]], 1), "")</f>
        <v>0.2</v>
      </c>
      <c r="AO11" s="343">
        <f>IFERROR(ROUND((tblPiNHistorical[[#This Row],[Shelter - new]]-tblPiNHistorical[[#This Row],[Shelter - old]])/tblPiNHistorical[[#This Row],[Shelter - old]], 1), "")</f>
        <v>0.4</v>
      </c>
      <c r="AP11" s="38">
        <f>IFERROR(ROUND((tblPiNHistorical[[#This Row],[WASH - new]]-tblPiNHistorical[[#This Row],[WASH - old]])/tblPiNHistorical[[#This Row],[WASH - old]], 1), "")</f>
        <v>0.7</v>
      </c>
      <c r="AQ11" s="406">
        <v>2647.0953</v>
      </c>
      <c r="AR11" s="406">
        <v>3424.9376920609157</v>
      </c>
    </row>
    <row r="12" spans="1:57" ht="15" customHeight="1" x14ac:dyDescent="0.55000000000000004">
      <c r="A1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 s="316" t="s">
        <v>250</v>
      </c>
      <c r="C12" s="218" t="s">
        <v>251</v>
      </c>
      <c r="D12" s="218" t="s">
        <v>254</v>
      </c>
      <c r="E12" s="105" t="s">
        <v>255</v>
      </c>
      <c r="F12" s="100"/>
      <c r="G12" s="34"/>
      <c r="H12" s="335"/>
      <c r="I12" s="97"/>
      <c r="J12" s="97" t="s">
        <v>412</v>
      </c>
      <c r="K12" s="336">
        <v>1584</v>
      </c>
      <c r="L12" s="337">
        <v>711</v>
      </c>
      <c r="M12" s="319">
        <v>1756.8085746844633</v>
      </c>
      <c r="N12" s="319">
        <v>3239</v>
      </c>
      <c r="O12" s="319">
        <v>1713.2209439042947</v>
      </c>
      <c r="P12" s="319">
        <v>2586.2604987706709</v>
      </c>
      <c r="Q12" s="320">
        <v>1462.1538461538462</v>
      </c>
      <c r="R12" s="319">
        <v>1701.333333333333</v>
      </c>
      <c r="S12" s="235">
        <f>tblPiNAnalysis[[#This Row],[CCCM]]</f>
        <v>0</v>
      </c>
      <c r="T12" s="236">
        <f>tblPiNAnalysis[[#This Row],[Education]]</f>
        <v>693.40136601713857</v>
      </c>
      <c r="U12" s="219">
        <f>tblPiNAnalysis[[#This Row],[Nutrition]]</f>
        <v>2509.0423214440798</v>
      </c>
      <c r="V12" s="219">
        <f>tblPiNAnalysis[[#This Row],[Food Security]]</f>
        <v>2761.5031570219976</v>
      </c>
      <c r="W12" s="219">
        <f>tblPiNAnalysis[[#This Row],[Health]]</f>
        <v>3482.4856610790357</v>
      </c>
      <c r="X12" s="219">
        <f>tblPiNAnalysis[[#This Row],[Overarching Protection]]</f>
        <v>4315</v>
      </c>
      <c r="Y12" s="219">
        <f>tblPiNAnalysis[[#This Row],[Shelter]]</f>
        <v>2617.0147227592488</v>
      </c>
      <c r="Z12" s="230">
        <f>tblPiNAnalysis[[#This Row],[WASH]]</f>
        <v>3007.7116663571692</v>
      </c>
      <c r="AA12" s="339" t="str">
        <f>IF(OR(tblPiNHistorical[[#This Row],[CCCM - old]]="", tblPiNHistorical[[#This Row],[CCCM - old]]=0, tblPiNHistorical[[#This Row],[CCCM - new]]="", tblPiNHistorical[[#This Row],[CCCM - new]]=0), "", tblPiNHistorical[[#This Row],[CCCM - new]]-tblPiNHistorical[[#This Row],[CCCM - old]])</f>
        <v/>
      </c>
      <c r="AB12" s="340">
        <f>IF(OR(tblPiNHistorical[[#This Row],[Education - old]]="", tblPiNHistorical[[#This Row],[Education - old]]=0, tblPiNHistorical[[#This Row],[Education - new]]="", tblPiNHistorical[[#This Row],[Education - new]]=0), "", tblPiNHistorical[[#This Row],[Education - new]]-tblPiNHistorical[[#This Row],[Education - old]])</f>
        <v>-17.598633982861429</v>
      </c>
      <c r="AC12" s="340">
        <f>IF(OR(tblPiNHistorical[[#This Row],[Nutrition - old]]="", tblPiNHistorical[[#This Row],[Nutrition - old]]=0, tblPiNHistorical[[#This Row],[Nutrition - new]]="", tblPiNHistorical[[#This Row],[Nutrition - new]]=0), "", tblPiNHistorical[[#This Row],[Nutrition - new]]-tblPiNHistorical[[#This Row],[Nutrition - old]])</f>
        <v>752.23374675961645</v>
      </c>
      <c r="AD12" s="340">
        <f>IF(OR(tblPiNHistorical[[#This Row],[Food Security - old]]="", tblPiNHistorical[[#This Row],[Food Security - old]]=0, tblPiNHistorical[[#This Row],[Food Security - new]]="", tblPiNHistorical[[#This Row],[Food Security - new]]=0), "", tblPiNHistorical[[#This Row],[Food Security - new]]-tblPiNHistorical[[#This Row],[Food Security - old]])</f>
        <v>-477.49684297800241</v>
      </c>
      <c r="AE12" s="340">
        <f>IF(OR(tblPiNHistorical[[#This Row],[Health - old]]="", tblPiNHistorical[[#This Row],[Health - old]]=0, tblPiNHistorical[[#This Row],[Health - new]]="", tblPiNHistorical[[#This Row],[Health - new]]=0), "", tblPiNHistorical[[#This Row],[Health - new]]-tblPiNHistorical[[#This Row],[Health - old]])</f>
        <v>1769.264717174741</v>
      </c>
      <c r="AF1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1728.7395012293291</v>
      </c>
      <c r="AG12" s="340">
        <f>IF(OR(tblPiNHistorical[[#This Row],[Shelter - old]]="", tblPiNHistorical[[#This Row],[Shelter - old]]=0, tblPiNHistorical[[#This Row],[Shelter - new]]="", tblPiNHistorical[[#This Row],[Shelter - new]]=0), "", tblPiNHistorical[[#This Row],[Shelter - new]]-tblPiNHistorical[[#This Row],[Shelter - old]])</f>
        <v>1154.8608766054026</v>
      </c>
      <c r="AH12" s="341">
        <f>IF(OR(tblPiNHistorical[[#This Row],[WASH - old]]="", tblPiNHistorical[[#This Row],[WASH - old]]=0, tblPiNHistorical[[#This Row],[WASH - new]]="", tblPiNHistorical[[#This Row],[WASH - new]]=0), "", tblPiNHistorical[[#This Row],[WASH - new]]-tblPiNHistorical[[#This Row],[WASH - old]])</f>
        <v>1306.3783330238361</v>
      </c>
      <c r="AI12" s="342">
        <f>IFERROR(ROUND((tblPiNHistorical[[#This Row],[CCCM - new]] - tblPiNHistorical[[#This Row],[CCCM - old]])/tblPiNHistorical[[#This Row],[CCCM - old]], 1), "")</f>
        <v>-1</v>
      </c>
      <c r="AJ12" s="343">
        <f>IFERROR(ROUND((tblPiNHistorical[[#This Row],[Education - new]]-tblPiNHistorical[[#This Row],[Education - old]])/tblPiNHistorical[[#This Row],[Education - old]], 1), "")</f>
        <v>0</v>
      </c>
      <c r="AK12" s="343">
        <f>IFERROR(ROUND((tblPiNHistorical[[#This Row],[Nutrition - new]]-tblPiNHistorical[[#This Row],[Nutrition - old]])/tblPiNHistorical[[#This Row],[Nutrition - old]], 1), "")</f>
        <v>0.4</v>
      </c>
      <c r="AL12" s="343">
        <f>IFERROR(ROUND((tblPiNHistorical[[#This Row],[Food Security - new]]-tblPiNHistorical[[#This Row],[Food Security - old]])/tblPiNHistorical[[#This Row],[Food Security - old]], 1), "")</f>
        <v>-0.1</v>
      </c>
      <c r="AM12" s="343">
        <f>IFERROR(ROUND((tblPiNHistorical[[#This Row],[Health - new]]-tblPiNHistorical[[#This Row],[Health - old]])/tblPiNHistorical[[#This Row],[Health - old]], 1), "")</f>
        <v>1</v>
      </c>
      <c r="AN12" s="343">
        <f>IFERROR(ROUND((tblPiNHistorical[[#This Row],[Overarching Protection - new]]-tblPiNHistorical[[#This Row],[Overarching Protection - old]])/tblPiNHistorical[[#This Row],[Overarching Protection - old]], 1), "")</f>
        <v>0.7</v>
      </c>
      <c r="AO12" s="343">
        <f>IFERROR(ROUND((tblPiNHistorical[[#This Row],[Shelter - new]]-tblPiNHistorical[[#This Row],[Shelter - old]])/tblPiNHistorical[[#This Row],[Shelter - old]], 1), "")</f>
        <v>0.8</v>
      </c>
      <c r="AP12" s="38">
        <f>IFERROR(ROUND((tblPiNHistorical[[#This Row],[WASH - new]]-tblPiNHistorical[[#This Row],[WASH - old]])/tblPiNHistorical[[#This Row],[WASH - old]], 1), "")</f>
        <v>0.8</v>
      </c>
      <c r="AQ12" s="406">
        <v>3239</v>
      </c>
      <c r="AR12" s="406">
        <v>4315</v>
      </c>
    </row>
    <row r="13" spans="1:57" ht="15" customHeight="1" x14ac:dyDescent="0.55000000000000004">
      <c r="A1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 s="316" t="s">
        <v>250</v>
      </c>
      <c r="C13" s="218" t="s">
        <v>251</v>
      </c>
      <c r="D13" s="218" t="s">
        <v>256</v>
      </c>
      <c r="E13" s="105" t="s">
        <v>257</v>
      </c>
      <c r="F13" s="100"/>
      <c r="G13" s="34"/>
      <c r="H13" s="335"/>
      <c r="I13" s="97"/>
      <c r="J13" s="97" t="s">
        <v>412</v>
      </c>
      <c r="K13" s="336">
        <v>430</v>
      </c>
      <c r="L13" s="337">
        <v>550</v>
      </c>
      <c r="M13" s="319">
        <v>719.65837560852754</v>
      </c>
      <c r="N13" s="319">
        <v>1459</v>
      </c>
      <c r="O13" s="319">
        <v>630.70380357480246</v>
      </c>
      <c r="P13" s="319">
        <v>1259.5402248116789</v>
      </c>
      <c r="Q13" s="320">
        <v>202.35294117647058</v>
      </c>
      <c r="R13" s="319">
        <v>939.62962962962968</v>
      </c>
      <c r="S13" s="235">
        <f>tblPiNAnalysis[[#This Row],[CCCM]]</f>
        <v>0</v>
      </c>
      <c r="T13" s="236">
        <f>tblPiNAnalysis[[#This Row],[Education]]</f>
        <v>737.7784419202967</v>
      </c>
      <c r="U13" s="219">
        <f>tblPiNAnalysis[[#This Row],[Nutrition]]</f>
        <v>839.53465065268131</v>
      </c>
      <c r="V13" s="219">
        <f>tblPiNAnalysis[[#This Row],[Food Security]]</f>
        <v>1540.0205724248333</v>
      </c>
      <c r="W13" s="219">
        <f>tblPiNAnalysis[[#This Row],[Health]]</f>
        <v>837.76655048938323</v>
      </c>
      <c r="X13" s="219">
        <f>tblPiNAnalysis[[#This Row],[Overarching Protection]]</f>
        <v>1512</v>
      </c>
      <c r="Y13" s="219">
        <f>tblPiNAnalysis[[#This Row],[Shelter]]</f>
        <v>0</v>
      </c>
      <c r="Z13" s="230">
        <f>tblPiNAnalysis[[#This Row],[WASH]]</f>
        <v>1719.8192060549893</v>
      </c>
      <c r="AA13" s="339" t="str">
        <f>IF(OR(tblPiNHistorical[[#This Row],[CCCM - old]]="", tblPiNHistorical[[#This Row],[CCCM - old]]=0, tblPiNHistorical[[#This Row],[CCCM - new]]="", tblPiNHistorical[[#This Row],[CCCM - new]]=0), "", tblPiNHistorical[[#This Row],[CCCM - new]]-tblPiNHistorical[[#This Row],[CCCM - old]])</f>
        <v/>
      </c>
      <c r="AB13" s="340">
        <f>IF(OR(tblPiNHistorical[[#This Row],[Education - old]]="", tblPiNHistorical[[#This Row],[Education - old]]=0, tblPiNHistorical[[#This Row],[Education - new]]="", tblPiNHistorical[[#This Row],[Education - new]]=0), "", tblPiNHistorical[[#This Row],[Education - new]]-tblPiNHistorical[[#This Row],[Education - old]])</f>
        <v>187.7784419202967</v>
      </c>
      <c r="AC13" s="340">
        <f>IF(OR(tblPiNHistorical[[#This Row],[Nutrition - old]]="", tblPiNHistorical[[#This Row],[Nutrition - old]]=0, tblPiNHistorical[[#This Row],[Nutrition - new]]="", tblPiNHistorical[[#This Row],[Nutrition - new]]=0), "", tblPiNHistorical[[#This Row],[Nutrition - new]]-tblPiNHistorical[[#This Row],[Nutrition - old]])</f>
        <v>119.87627504415377</v>
      </c>
      <c r="AD13" s="340">
        <f>IF(OR(tblPiNHistorical[[#This Row],[Food Security - old]]="", tblPiNHistorical[[#This Row],[Food Security - old]]=0, tblPiNHistorical[[#This Row],[Food Security - new]]="", tblPiNHistorical[[#This Row],[Food Security - new]]=0), "", tblPiNHistorical[[#This Row],[Food Security - new]]-tblPiNHistorical[[#This Row],[Food Security - old]])</f>
        <v>81.02057242483329</v>
      </c>
      <c r="AE13" s="340">
        <f>IF(OR(tblPiNHistorical[[#This Row],[Health - old]]="", tblPiNHistorical[[#This Row],[Health - old]]=0, tblPiNHistorical[[#This Row],[Health - new]]="", tblPiNHistorical[[#This Row],[Health - new]]=0), "", tblPiNHistorical[[#This Row],[Health - new]]-tblPiNHistorical[[#This Row],[Health - old]])</f>
        <v>207.06274691458077</v>
      </c>
      <c r="AF1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252.45977518832115</v>
      </c>
      <c r="AG13" s="340" t="str">
        <f>IF(OR(tblPiNHistorical[[#This Row],[Shelter - old]]="", tblPiNHistorical[[#This Row],[Shelter - old]]=0, tblPiNHistorical[[#This Row],[Shelter - new]]="", tblPiNHistorical[[#This Row],[Shelter - new]]=0), "", tblPiNHistorical[[#This Row],[Shelter - new]]-tblPiNHistorical[[#This Row],[Shelter - old]])</f>
        <v/>
      </c>
      <c r="AH13" s="341">
        <f>IF(OR(tblPiNHistorical[[#This Row],[WASH - old]]="", tblPiNHistorical[[#This Row],[WASH - old]]=0, tblPiNHistorical[[#This Row],[WASH - new]]="", tblPiNHistorical[[#This Row],[WASH - new]]=0), "", tblPiNHistorical[[#This Row],[WASH - new]]-tblPiNHistorical[[#This Row],[WASH - old]])</f>
        <v>780.18957642535963</v>
      </c>
      <c r="AI13" s="342">
        <f>IFERROR(ROUND((tblPiNHistorical[[#This Row],[CCCM - new]] - tblPiNHistorical[[#This Row],[CCCM - old]])/tblPiNHistorical[[#This Row],[CCCM - old]], 1), "")</f>
        <v>-1</v>
      </c>
      <c r="AJ13" s="343">
        <f>IFERROR(ROUND((tblPiNHistorical[[#This Row],[Education - new]]-tblPiNHistorical[[#This Row],[Education - old]])/tblPiNHistorical[[#This Row],[Education - old]], 1), "")</f>
        <v>0.3</v>
      </c>
      <c r="AK13" s="343">
        <f>IFERROR(ROUND((tblPiNHistorical[[#This Row],[Nutrition - new]]-tblPiNHistorical[[#This Row],[Nutrition - old]])/tblPiNHistorical[[#This Row],[Nutrition - old]], 1), "")</f>
        <v>0.2</v>
      </c>
      <c r="AL13" s="343">
        <f>IFERROR(ROUND((tblPiNHistorical[[#This Row],[Food Security - new]]-tblPiNHistorical[[#This Row],[Food Security - old]])/tblPiNHistorical[[#This Row],[Food Security - old]], 1), "")</f>
        <v>0.1</v>
      </c>
      <c r="AM13" s="343">
        <f>IFERROR(ROUND((tblPiNHistorical[[#This Row],[Health - new]]-tblPiNHistorical[[#This Row],[Health - old]])/tblPiNHistorical[[#This Row],[Health - old]], 1), "")</f>
        <v>0.3</v>
      </c>
      <c r="AN13" s="343">
        <f>IFERROR(ROUND((tblPiNHistorical[[#This Row],[Overarching Protection - new]]-tblPiNHistorical[[#This Row],[Overarching Protection - old]])/tblPiNHistorical[[#This Row],[Overarching Protection - old]], 1), "")</f>
        <v>0.2</v>
      </c>
      <c r="AO13" s="343">
        <f>IFERROR(ROUND((tblPiNHistorical[[#This Row],[Shelter - new]]-tblPiNHistorical[[#This Row],[Shelter - old]])/tblPiNHistorical[[#This Row],[Shelter - old]], 1), "")</f>
        <v>-1</v>
      </c>
      <c r="AP13" s="38">
        <f>IFERROR(ROUND((tblPiNHistorical[[#This Row],[WASH - new]]-tblPiNHistorical[[#This Row],[WASH - old]])/tblPiNHistorical[[#This Row],[WASH - old]], 1), "")</f>
        <v>0.8</v>
      </c>
      <c r="AQ13" s="406">
        <v>1459</v>
      </c>
      <c r="AR13" s="406">
        <v>1719.8192060549893</v>
      </c>
    </row>
    <row r="14" spans="1:57" ht="15" customHeight="1" x14ac:dyDescent="0.55000000000000004">
      <c r="A1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 s="316" t="s">
        <v>250</v>
      </c>
      <c r="C14" s="218" t="s">
        <v>251</v>
      </c>
      <c r="D14" s="218" t="s">
        <v>258</v>
      </c>
      <c r="E14" s="105" t="s">
        <v>259</v>
      </c>
      <c r="F14" s="100"/>
      <c r="G14" s="34"/>
      <c r="H14" s="335"/>
      <c r="I14" s="97"/>
      <c r="J14" s="97" t="s">
        <v>412</v>
      </c>
      <c r="K14" s="336">
        <v>1869</v>
      </c>
      <c r="L14" s="337">
        <v>2705</v>
      </c>
      <c r="M14" s="319">
        <v>2401.1227847338223</v>
      </c>
      <c r="N14" s="319">
        <v>5789</v>
      </c>
      <c r="O14" s="319">
        <v>6838.3560863152634</v>
      </c>
      <c r="P14" s="319">
        <v>3587.7591862302811</v>
      </c>
      <c r="Q14" s="320">
        <v>0</v>
      </c>
      <c r="R14" s="319">
        <v>969.11111111111109</v>
      </c>
      <c r="S14" s="235">
        <f>tblPiNAnalysis[[#This Row],[CCCM]]</f>
        <v>0</v>
      </c>
      <c r="T14" s="236">
        <f>tblPiNAnalysis[[#This Row],[Education]]</f>
        <v>3040.872959698896</v>
      </c>
      <c r="U14" s="219">
        <f>tblPiNAnalysis[[#This Row],[Nutrition]]</f>
        <v>3020.3613084251488</v>
      </c>
      <c r="V14" s="219">
        <f>tblPiNAnalysis[[#This Row],[Food Security]]</f>
        <v>5691.5355279765563</v>
      </c>
      <c r="W14" s="219">
        <f>tblPiNAnalysis[[#This Row],[Health]]</f>
        <v>2855.4831771933182</v>
      </c>
      <c r="X14" s="219">
        <f>tblPiNAnalysis[[#This Row],[Overarching Protection]]</f>
        <v>4057</v>
      </c>
      <c r="Y14" s="219">
        <f>tblPiNAnalysis[[#This Row],[Shelter]]</f>
        <v>8023.4115031633146</v>
      </c>
      <c r="Z14" s="230">
        <f>tblPiNAnalysis[[#This Row],[WASH]]</f>
        <v>4122.1196713499603</v>
      </c>
      <c r="AA14" s="339" t="str">
        <f>IF(OR(tblPiNHistorical[[#This Row],[CCCM - old]]="", tblPiNHistorical[[#This Row],[CCCM - old]]=0, tblPiNHistorical[[#This Row],[CCCM - new]]="", tblPiNHistorical[[#This Row],[CCCM - new]]=0), "", tblPiNHistorical[[#This Row],[CCCM - new]]-tblPiNHistorical[[#This Row],[CCCM - old]])</f>
        <v/>
      </c>
      <c r="AB14" s="340">
        <f>IF(OR(tblPiNHistorical[[#This Row],[Education - old]]="", tblPiNHistorical[[#This Row],[Education - old]]=0, tblPiNHistorical[[#This Row],[Education - new]]="", tblPiNHistorical[[#This Row],[Education - new]]=0), "", tblPiNHistorical[[#This Row],[Education - new]]-tblPiNHistorical[[#This Row],[Education - old]])</f>
        <v>335.87295969889601</v>
      </c>
      <c r="AC14" s="340">
        <f>IF(OR(tblPiNHistorical[[#This Row],[Nutrition - old]]="", tblPiNHistorical[[#This Row],[Nutrition - old]]=0, tblPiNHistorical[[#This Row],[Nutrition - new]]="", tblPiNHistorical[[#This Row],[Nutrition - new]]=0), "", tblPiNHistorical[[#This Row],[Nutrition - new]]-tblPiNHistorical[[#This Row],[Nutrition - old]])</f>
        <v>619.23852369132646</v>
      </c>
      <c r="AD14" s="340">
        <f>IF(OR(tblPiNHistorical[[#This Row],[Food Security - old]]="", tblPiNHistorical[[#This Row],[Food Security - old]]=0, tblPiNHistorical[[#This Row],[Food Security - new]]="", tblPiNHistorical[[#This Row],[Food Security - new]]=0), "", tblPiNHistorical[[#This Row],[Food Security - new]]-tblPiNHistorical[[#This Row],[Food Security - old]])</f>
        <v>-97.464472023443705</v>
      </c>
      <c r="AE14" s="340">
        <f>IF(OR(tblPiNHistorical[[#This Row],[Health - old]]="", tblPiNHistorical[[#This Row],[Health - old]]=0, tblPiNHistorical[[#This Row],[Health - new]]="", tblPiNHistorical[[#This Row],[Health - new]]=0), "", tblPiNHistorical[[#This Row],[Health - new]]-tblPiNHistorical[[#This Row],[Health - old]])</f>
        <v>-3982.8729091219452</v>
      </c>
      <c r="AF1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469.2408137697189</v>
      </c>
      <c r="AG14" s="340" t="str">
        <f>IF(OR(tblPiNHistorical[[#This Row],[Shelter - old]]="", tblPiNHistorical[[#This Row],[Shelter - old]]=0, tblPiNHistorical[[#This Row],[Shelter - new]]="", tblPiNHistorical[[#This Row],[Shelter - new]]=0), "", tblPiNHistorical[[#This Row],[Shelter - new]]-tblPiNHistorical[[#This Row],[Shelter - old]])</f>
        <v/>
      </c>
      <c r="AH14" s="341">
        <f>IF(OR(tblPiNHistorical[[#This Row],[WASH - old]]="", tblPiNHistorical[[#This Row],[WASH - old]]=0, tblPiNHistorical[[#This Row],[WASH - new]]="", tblPiNHistorical[[#This Row],[WASH - new]]=0), "", tblPiNHistorical[[#This Row],[WASH - new]]-tblPiNHistorical[[#This Row],[WASH - old]])</f>
        <v>3153.008560238849</v>
      </c>
      <c r="AI14" s="342">
        <f>IFERROR(ROUND((tblPiNHistorical[[#This Row],[CCCM - new]] - tblPiNHistorical[[#This Row],[CCCM - old]])/tblPiNHistorical[[#This Row],[CCCM - old]], 1), "")</f>
        <v>-1</v>
      </c>
      <c r="AJ14" s="343">
        <f>IFERROR(ROUND((tblPiNHistorical[[#This Row],[Education - new]]-tblPiNHistorical[[#This Row],[Education - old]])/tblPiNHistorical[[#This Row],[Education - old]], 1), "")</f>
        <v>0.1</v>
      </c>
      <c r="AK14" s="343">
        <f>IFERROR(ROUND((tblPiNHistorical[[#This Row],[Nutrition - new]]-tblPiNHistorical[[#This Row],[Nutrition - old]])/tblPiNHistorical[[#This Row],[Nutrition - old]], 1), "")</f>
        <v>0.3</v>
      </c>
      <c r="AL14" s="343">
        <f>IFERROR(ROUND((tblPiNHistorical[[#This Row],[Food Security - new]]-tblPiNHistorical[[#This Row],[Food Security - old]])/tblPiNHistorical[[#This Row],[Food Security - old]], 1), "")</f>
        <v>0</v>
      </c>
      <c r="AM14" s="343">
        <f>IFERROR(ROUND((tblPiNHistorical[[#This Row],[Health - new]]-tblPiNHistorical[[#This Row],[Health - old]])/tblPiNHistorical[[#This Row],[Health - old]], 1), "")</f>
        <v>-0.6</v>
      </c>
      <c r="AN14" s="343">
        <f>IFERROR(ROUND((tblPiNHistorical[[#This Row],[Overarching Protection - new]]-tblPiNHistorical[[#This Row],[Overarching Protection - old]])/tblPiNHistorical[[#This Row],[Overarching Protection - old]], 1), "")</f>
        <v>0.1</v>
      </c>
      <c r="AO14" s="343" t="str">
        <f>IFERROR(ROUND((tblPiNHistorical[[#This Row],[Shelter - new]]-tblPiNHistorical[[#This Row],[Shelter - old]])/tblPiNHistorical[[#This Row],[Shelter - old]], 1), "")</f>
        <v/>
      </c>
      <c r="AP14" s="38">
        <f>IFERROR(ROUND((tblPiNHistorical[[#This Row],[WASH - new]]-tblPiNHistorical[[#This Row],[WASH - old]])/tblPiNHistorical[[#This Row],[WASH - old]], 1), "")</f>
        <v>3.3</v>
      </c>
      <c r="AQ14" s="406">
        <v>6838.3560863152634</v>
      </c>
      <c r="AR14" s="406">
        <v>8023.4115031633146</v>
      </c>
    </row>
    <row r="15" spans="1:57" ht="15" customHeight="1" x14ac:dyDescent="0.55000000000000004">
      <c r="A1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 s="316" t="s">
        <v>250</v>
      </c>
      <c r="C15" s="218" t="s">
        <v>251</v>
      </c>
      <c r="D15" s="218" t="s">
        <v>260</v>
      </c>
      <c r="E15" s="105" t="s">
        <v>261</v>
      </c>
      <c r="F15" s="100"/>
      <c r="G15" s="34"/>
      <c r="H15" s="335"/>
      <c r="I15" s="97"/>
      <c r="J15" s="97" t="s">
        <v>412</v>
      </c>
      <c r="K15" s="336">
        <v>1030.25</v>
      </c>
      <c r="L15" s="337">
        <v>1746</v>
      </c>
      <c r="M15" s="319">
        <v>1886.6813247691434</v>
      </c>
      <c r="N15" s="319">
        <v>1866</v>
      </c>
      <c r="O15" s="319">
        <v>1648.3801089692374</v>
      </c>
      <c r="P15" s="319">
        <v>3222.5349167995423</v>
      </c>
      <c r="Q15" s="320">
        <v>1471.7857142857142</v>
      </c>
      <c r="R15" s="319">
        <v>3434.166666666667</v>
      </c>
      <c r="S15" s="235">
        <f>tblPiNAnalysis[[#This Row],[CCCM]]</f>
        <v>0</v>
      </c>
      <c r="T15" s="236">
        <f>tblPiNAnalysis[[#This Row],[Education]]</f>
        <v>1199.4625573436151</v>
      </c>
      <c r="U15" s="219">
        <f>tblPiNAnalysis[[#This Row],[Nutrition]]</f>
        <v>1736.0189569086174</v>
      </c>
      <c r="V15" s="219">
        <f>tblPiNAnalysis[[#This Row],[Food Security]]</f>
        <v>2134.1291226372955</v>
      </c>
      <c r="W15" s="219">
        <f>tblPiNAnalysis[[#This Row],[Health]]</f>
        <v>2357.176214784763</v>
      </c>
      <c r="X15" s="219">
        <f>tblPiNAnalysis[[#This Row],[Overarching Protection]]</f>
        <v>3381</v>
      </c>
      <c r="Y15" s="219">
        <f>tblPiNAnalysis[[#This Row],[Shelter]]</f>
        <v>3622.3414918481394</v>
      </c>
      <c r="Z15" s="230">
        <f>tblPiNAnalysis[[#This Row],[WASH]]</f>
        <v>4785.06839046606</v>
      </c>
      <c r="AA15" s="339" t="str">
        <f>IF(OR(tblPiNHistorical[[#This Row],[CCCM - old]]="", tblPiNHistorical[[#This Row],[CCCM - old]]=0, tblPiNHistorical[[#This Row],[CCCM - new]]="", tblPiNHistorical[[#This Row],[CCCM - new]]=0), "", tblPiNHistorical[[#This Row],[CCCM - new]]-tblPiNHistorical[[#This Row],[CCCM - old]])</f>
        <v/>
      </c>
      <c r="AB15" s="340">
        <f>IF(OR(tblPiNHistorical[[#This Row],[Education - old]]="", tblPiNHistorical[[#This Row],[Education - old]]=0, tblPiNHistorical[[#This Row],[Education - new]]="", tblPiNHistorical[[#This Row],[Education - new]]=0), "", tblPiNHistorical[[#This Row],[Education - new]]-tblPiNHistorical[[#This Row],[Education - old]])</f>
        <v>-546.53744265638488</v>
      </c>
      <c r="AC15" s="340">
        <f>IF(OR(tblPiNHistorical[[#This Row],[Nutrition - old]]="", tblPiNHistorical[[#This Row],[Nutrition - old]]=0, tblPiNHistorical[[#This Row],[Nutrition - new]]="", tblPiNHistorical[[#This Row],[Nutrition - new]]=0), "", tblPiNHistorical[[#This Row],[Nutrition - new]]-tblPiNHistorical[[#This Row],[Nutrition - old]])</f>
        <v>-150.66236786052605</v>
      </c>
      <c r="AD15" s="340">
        <f>IF(OR(tblPiNHistorical[[#This Row],[Food Security - old]]="", tblPiNHistorical[[#This Row],[Food Security - old]]=0, tblPiNHistorical[[#This Row],[Food Security - new]]="", tblPiNHistorical[[#This Row],[Food Security - new]]=0), "", tblPiNHistorical[[#This Row],[Food Security - new]]-tblPiNHistorical[[#This Row],[Food Security - old]])</f>
        <v>268.1291226372955</v>
      </c>
      <c r="AE15" s="340">
        <f>IF(OR(tblPiNHistorical[[#This Row],[Health - old]]="", tblPiNHistorical[[#This Row],[Health - old]]=0, tblPiNHistorical[[#This Row],[Health - new]]="", tblPiNHistorical[[#This Row],[Health - new]]=0), "", tblPiNHistorical[[#This Row],[Health - new]]-tblPiNHistorical[[#This Row],[Health - old]])</f>
        <v>708.79610581552561</v>
      </c>
      <c r="AF1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158.46508320045768</v>
      </c>
      <c r="AG15" s="340">
        <f>IF(OR(tblPiNHistorical[[#This Row],[Shelter - old]]="", tblPiNHistorical[[#This Row],[Shelter - old]]=0, tblPiNHistorical[[#This Row],[Shelter - new]]="", tblPiNHistorical[[#This Row],[Shelter - new]]=0), "", tblPiNHistorical[[#This Row],[Shelter - new]]-tblPiNHistorical[[#This Row],[Shelter - old]])</f>
        <v>2150.5557775624252</v>
      </c>
      <c r="AH15" s="341">
        <f>IF(OR(tblPiNHistorical[[#This Row],[WASH - old]]="", tblPiNHistorical[[#This Row],[WASH - old]]=0, tblPiNHistorical[[#This Row],[WASH - new]]="", tblPiNHistorical[[#This Row],[WASH - new]]=0), "", tblPiNHistorical[[#This Row],[WASH - new]]-tblPiNHistorical[[#This Row],[WASH - old]])</f>
        <v>1350.901723799393</v>
      </c>
      <c r="AI15" s="342">
        <f>IFERROR(ROUND((tblPiNHistorical[[#This Row],[CCCM - new]] - tblPiNHistorical[[#This Row],[CCCM - old]])/tblPiNHistorical[[#This Row],[CCCM - old]], 1), "")</f>
        <v>-1</v>
      </c>
      <c r="AJ15" s="343">
        <f>IFERROR(ROUND((tblPiNHistorical[[#This Row],[Education - new]]-tblPiNHistorical[[#This Row],[Education - old]])/tblPiNHistorical[[#This Row],[Education - old]], 1), "")</f>
        <v>-0.3</v>
      </c>
      <c r="AK15" s="343">
        <f>IFERROR(ROUND((tblPiNHistorical[[#This Row],[Nutrition - new]]-tblPiNHistorical[[#This Row],[Nutrition - old]])/tblPiNHistorical[[#This Row],[Nutrition - old]], 1), "")</f>
        <v>-0.1</v>
      </c>
      <c r="AL15" s="343">
        <f>IFERROR(ROUND((tblPiNHistorical[[#This Row],[Food Security - new]]-tblPiNHistorical[[#This Row],[Food Security - old]])/tblPiNHistorical[[#This Row],[Food Security - old]], 1), "")</f>
        <v>0.1</v>
      </c>
      <c r="AM15" s="343">
        <f>IFERROR(ROUND((tblPiNHistorical[[#This Row],[Health - new]]-tblPiNHistorical[[#This Row],[Health - old]])/tblPiNHistorical[[#This Row],[Health - old]], 1), "")</f>
        <v>0.4</v>
      </c>
      <c r="AN15" s="343">
        <f>IFERROR(ROUND((tblPiNHistorical[[#This Row],[Overarching Protection - new]]-tblPiNHistorical[[#This Row],[Overarching Protection - old]])/tblPiNHistorical[[#This Row],[Overarching Protection - old]], 1), "")</f>
        <v>0</v>
      </c>
      <c r="AO15" s="343">
        <f>IFERROR(ROUND((tblPiNHistorical[[#This Row],[Shelter - new]]-tblPiNHistorical[[#This Row],[Shelter - old]])/tblPiNHistorical[[#This Row],[Shelter - old]], 1), "")</f>
        <v>1.5</v>
      </c>
      <c r="AP15" s="38">
        <f>IFERROR(ROUND((tblPiNHistorical[[#This Row],[WASH - new]]-tblPiNHistorical[[#This Row],[WASH - old]])/tblPiNHistorical[[#This Row],[WASH - old]], 1), "")</f>
        <v>0.4</v>
      </c>
      <c r="AQ15" s="406">
        <v>3434.166666666667</v>
      </c>
      <c r="AR15" s="406">
        <v>4785.06839046606</v>
      </c>
    </row>
    <row r="16" spans="1:57" ht="15" customHeight="1" x14ac:dyDescent="0.55000000000000004">
      <c r="A1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 s="316" t="s">
        <v>250</v>
      </c>
      <c r="C16" s="218" t="s">
        <v>251</v>
      </c>
      <c r="D16" s="218" t="s">
        <v>262</v>
      </c>
      <c r="E16" s="105" t="s">
        <v>263</v>
      </c>
      <c r="F16" s="100"/>
      <c r="G16" s="34"/>
      <c r="H16" s="335"/>
      <c r="I16" s="97"/>
      <c r="J16" s="97" t="s">
        <v>412</v>
      </c>
      <c r="K16" s="336">
        <v>7598</v>
      </c>
      <c r="L16" s="337">
        <v>2155</v>
      </c>
      <c r="M16" s="319">
        <v>2843.4568676821686</v>
      </c>
      <c r="N16" s="319">
        <v>5343</v>
      </c>
      <c r="O16" s="319">
        <v>3030.4655897318949</v>
      </c>
      <c r="P16" s="319">
        <v>2218.6618113741174</v>
      </c>
      <c r="Q16" s="320">
        <v>690.72727272727275</v>
      </c>
      <c r="R16" s="319">
        <v>2814.0740740740739</v>
      </c>
      <c r="S16" s="235">
        <f>tblPiNAnalysis[[#This Row],[CCCM]]</f>
        <v>14262.5</v>
      </c>
      <c r="T16" s="236">
        <f>tblPiNAnalysis[[#This Row],[Education]]</f>
        <v>1138.3285205493978</v>
      </c>
      <c r="U16" s="219">
        <f>tblPiNAnalysis[[#This Row],[Nutrition]]</f>
        <v>6949.2517940572598</v>
      </c>
      <c r="V16" s="219">
        <f>tblPiNAnalysis[[#This Row],[Food Security]]</f>
        <v>14604.061169572129</v>
      </c>
      <c r="W16" s="219">
        <f>tblPiNAnalysis[[#This Row],[Health]]</f>
        <v>8823.1210737882466</v>
      </c>
      <c r="X16" s="219">
        <f>tblPiNAnalysis[[#This Row],[Overarching Protection]]</f>
        <v>14039</v>
      </c>
      <c r="Y16" s="219">
        <f>tblPiNAnalysis[[#This Row],[Shelter]]</f>
        <v>7097.6962248995987</v>
      </c>
      <c r="Z16" s="230">
        <f>tblPiNAnalysis[[#This Row],[WASH]]</f>
        <v>6227.2240463741755</v>
      </c>
      <c r="AA16" s="339">
        <f>IF(OR(tblPiNHistorical[[#This Row],[CCCM - old]]="", tblPiNHistorical[[#This Row],[CCCM - old]]=0, tblPiNHistorical[[#This Row],[CCCM - new]]="", tblPiNHistorical[[#This Row],[CCCM - new]]=0), "", tblPiNHistorical[[#This Row],[CCCM - new]]-tblPiNHistorical[[#This Row],[CCCM - old]])</f>
        <v>6664.5</v>
      </c>
      <c r="AB16" s="340">
        <f>IF(OR(tblPiNHistorical[[#This Row],[Education - old]]="", tblPiNHistorical[[#This Row],[Education - old]]=0, tblPiNHistorical[[#This Row],[Education - new]]="", tblPiNHistorical[[#This Row],[Education - new]]=0), "", tblPiNHistorical[[#This Row],[Education - new]]-tblPiNHistorical[[#This Row],[Education - old]])</f>
        <v>-1016.6714794506022</v>
      </c>
      <c r="AC16" s="340">
        <f>IF(OR(tblPiNHistorical[[#This Row],[Nutrition - old]]="", tblPiNHistorical[[#This Row],[Nutrition - old]]=0, tblPiNHistorical[[#This Row],[Nutrition - new]]="", tblPiNHistorical[[#This Row],[Nutrition - new]]=0), "", tblPiNHistorical[[#This Row],[Nutrition - new]]-tblPiNHistorical[[#This Row],[Nutrition - old]])</f>
        <v>4105.7949263750907</v>
      </c>
      <c r="AD16" s="340">
        <f>IF(OR(tblPiNHistorical[[#This Row],[Food Security - old]]="", tblPiNHistorical[[#This Row],[Food Security - old]]=0, tblPiNHistorical[[#This Row],[Food Security - new]]="", tblPiNHistorical[[#This Row],[Food Security - new]]=0), "", tblPiNHistorical[[#This Row],[Food Security - new]]-tblPiNHistorical[[#This Row],[Food Security - old]])</f>
        <v>9261.0611695721291</v>
      </c>
      <c r="AE16" s="340">
        <f>IF(OR(tblPiNHistorical[[#This Row],[Health - old]]="", tblPiNHistorical[[#This Row],[Health - old]]=0, tblPiNHistorical[[#This Row],[Health - new]]="", tblPiNHistorical[[#This Row],[Health - new]]=0), "", tblPiNHistorical[[#This Row],[Health - new]]-tblPiNHistorical[[#This Row],[Health - old]])</f>
        <v>5792.6554840563513</v>
      </c>
      <c r="AF1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11820.338188625883</v>
      </c>
      <c r="AG16" s="340">
        <f>IF(OR(tblPiNHistorical[[#This Row],[Shelter - old]]="", tblPiNHistorical[[#This Row],[Shelter - old]]=0, tblPiNHistorical[[#This Row],[Shelter - new]]="", tblPiNHistorical[[#This Row],[Shelter - new]]=0), "", tblPiNHistorical[[#This Row],[Shelter - new]]-tblPiNHistorical[[#This Row],[Shelter - old]])</f>
        <v>6406.9689521723258</v>
      </c>
      <c r="AH16" s="341">
        <f>IF(OR(tblPiNHistorical[[#This Row],[WASH - old]]="", tblPiNHistorical[[#This Row],[WASH - old]]=0, tblPiNHistorical[[#This Row],[WASH - new]]="", tblPiNHistorical[[#This Row],[WASH - new]]=0), "", tblPiNHistorical[[#This Row],[WASH - new]]-tblPiNHistorical[[#This Row],[WASH - old]])</f>
        <v>3413.1499723001016</v>
      </c>
      <c r="AI16" s="342">
        <f>IFERROR(ROUND((tblPiNHistorical[[#This Row],[CCCM - new]] - tblPiNHistorical[[#This Row],[CCCM - old]])/tblPiNHistorical[[#This Row],[CCCM - old]], 1), "")</f>
        <v>0.9</v>
      </c>
      <c r="AJ16" s="343">
        <f>IFERROR(ROUND((tblPiNHistorical[[#This Row],[Education - new]]-tblPiNHistorical[[#This Row],[Education - old]])/tblPiNHistorical[[#This Row],[Education - old]], 1), "")</f>
        <v>-0.5</v>
      </c>
      <c r="AK16" s="343">
        <f>IFERROR(ROUND((tblPiNHistorical[[#This Row],[Nutrition - new]]-tblPiNHistorical[[#This Row],[Nutrition - old]])/tblPiNHistorical[[#This Row],[Nutrition - old]], 1), "")</f>
        <v>1.4</v>
      </c>
      <c r="AL16" s="343">
        <f>IFERROR(ROUND((tblPiNHistorical[[#This Row],[Food Security - new]]-tblPiNHistorical[[#This Row],[Food Security - old]])/tblPiNHistorical[[#This Row],[Food Security - old]], 1), "")</f>
        <v>1.7</v>
      </c>
      <c r="AM16" s="343">
        <f>IFERROR(ROUND((tblPiNHistorical[[#This Row],[Health - new]]-tblPiNHistorical[[#This Row],[Health - old]])/tblPiNHistorical[[#This Row],[Health - old]], 1), "")</f>
        <v>1.9</v>
      </c>
      <c r="AN16" s="343">
        <f>IFERROR(ROUND((tblPiNHistorical[[#This Row],[Overarching Protection - new]]-tblPiNHistorical[[#This Row],[Overarching Protection - old]])/tblPiNHistorical[[#This Row],[Overarching Protection - old]], 1), "")</f>
        <v>5.3</v>
      </c>
      <c r="AO16" s="343">
        <f>IFERROR(ROUND((tblPiNHistorical[[#This Row],[Shelter - new]]-tblPiNHistorical[[#This Row],[Shelter - old]])/tblPiNHistorical[[#This Row],[Shelter - old]], 1), "")</f>
        <v>9.3000000000000007</v>
      </c>
      <c r="AP16" s="38">
        <f>IFERROR(ROUND((tblPiNHistorical[[#This Row],[WASH - new]]-tblPiNHistorical[[#This Row],[WASH - old]])/tblPiNHistorical[[#This Row],[WASH - old]], 1), "")</f>
        <v>1.2</v>
      </c>
      <c r="AQ16" s="406">
        <v>7598</v>
      </c>
      <c r="AR16" s="406">
        <v>14604.061169572129</v>
      </c>
    </row>
    <row r="17" spans="1:44" ht="15" customHeight="1" x14ac:dyDescent="0.55000000000000004">
      <c r="A1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 s="316" t="s">
        <v>250</v>
      </c>
      <c r="C17" s="218" t="s">
        <v>251</v>
      </c>
      <c r="D17" s="218" t="s">
        <v>264</v>
      </c>
      <c r="E17" s="105" t="s">
        <v>265</v>
      </c>
      <c r="F17" s="100"/>
      <c r="G17" s="34"/>
      <c r="H17" s="335"/>
      <c r="I17" s="97"/>
      <c r="J17" s="97" t="s">
        <v>412</v>
      </c>
      <c r="K17" s="336">
        <v>10785.5</v>
      </c>
      <c r="L17" s="337">
        <v>1866</v>
      </c>
      <c r="M17" s="319">
        <v>10073.743094392479</v>
      </c>
      <c r="N17" s="319">
        <v>9847</v>
      </c>
      <c r="O17" s="319">
        <v>13560.359404519206</v>
      </c>
      <c r="P17" s="319">
        <v>25043.504611195578</v>
      </c>
      <c r="Q17" s="320">
        <v>12782.814814814814</v>
      </c>
      <c r="R17" s="319">
        <v>15436.128440366972</v>
      </c>
      <c r="S17" s="235">
        <f>tblPiNAnalysis[[#This Row],[CCCM]]</f>
        <v>0</v>
      </c>
      <c r="T17" s="236">
        <f>tblPiNAnalysis[[#This Row],[Education]]</f>
        <v>2692.6096762997117</v>
      </c>
      <c r="U17" s="219">
        <f>tblPiNAnalysis[[#This Row],[Nutrition]]</f>
        <v>13324.992433803691</v>
      </c>
      <c r="V17" s="219">
        <f>tblPiNAnalysis[[#This Row],[Food Security]]</f>
        <v>9914.5548055213094</v>
      </c>
      <c r="W17" s="219">
        <f>tblPiNAnalysis[[#This Row],[Health]]</f>
        <v>21383.94598798571</v>
      </c>
      <c r="X17" s="219">
        <f>tblPiNAnalysis[[#This Row],[Overarching Protection]]</f>
        <v>28480</v>
      </c>
      <c r="Y17" s="219">
        <f>tblPiNAnalysis[[#This Row],[Shelter]]</f>
        <v>2924.3281772763721</v>
      </c>
      <c r="Z17" s="230">
        <f>tblPiNAnalysis[[#This Row],[WASH]]</f>
        <v>14157.027998403373</v>
      </c>
      <c r="AA17" s="339" t="str">
        <f>IF(OR(tblPiNHistorical[[#This Row],[CCCM - old]]="", tblPiNHistorical[[#This Row],[CCCM - old]]=0, tblPiNHistorical[[#This Row],[CCCM - new]]="", tblPiNHistorical[[#This Row],[CCCM - new]]=0), "", tblPiNHistorical[[#This Row],[CCCM - new]]-tblPiNHistorical[[#This Row],[CCCM - old]])</f>
        <v/>
      </c>
      <c r="AB17" s="340">
        <f>IF(OR(tblPiNHistorical[[#This Row],[Education - old]]="", tblPiNHistorical[[#This Row],[Education - old]]=0, tblPiNHistorical[[#This Row],[Education - new]]="", tblPiNHistorical[[#This Row],[Education - new]]=0), "", tblPiNHistorical[[#This Row],[Education - new]]-tblPiNHistorical[[#This Row],[Education - old]])</f>
        <v>826.60967629971174</v>
      </c>
      <c r="AC17" s="340">
        <f>IF(OR(tblPiNHistorical[[#This Row],[Nutrition - old]]="", tblPiNHistorical[[#This Row],[Nutrition - old]]=0, tblPiNHistorical[[#This Row],[Nutrition - new]]="", tblPiNHistorical[[#This Row],[Nutrition - new]]=0), "", tblPiNHistorical[[#This Row],[Nutrition - new]]-tblPiNHistorical[[#This Row],[Nutrition - old]])</f>
        <v>3251.2493394112116</v>
      </c>
      <c r="AD17" s="340">
        <f>IF(OR(tblPiNHistorical[[#This Row],[Food Security - old]]="", tblPiNHistorical[[#This Row],[Food Security - old]]=0, tblPiNHistorical[[#This Row],[Food Security - new]]="", tblPiNHistorical[[#This Row],[Food Security - new]]=0), "", tblPiNHistorical[[#This Row],[Food Security - new]]-tblPiNHistorical[[#This Row],[Food Security - old]])</f>
        <v>67.55480552130939</v>
      </c>
      <c r="AE17" s="340">
        <f>IF(OR(tblPiNHistorical[[#This Row],[Health - old]]="", tblPiNHistorical[[#This Row],[Health - old]]=0, tblPiNHistorical[[#This Row],[Health - new]]="", tblPiNHistorical[[#This Row],[Health - new]]=0), "", tblPiNHistorical[[#This Row],[Health - new]]-tblPiNHistorical[[#This Row],[Health - old]])</f>
        <v>7823.5865834665037</v>
      </c>
      <c r="AF1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3436.495388804422</v>
      </c>
      <c r="AG17" s="340">
        <f>IF(OR(tblPiNHistorical[[#This Row],[Shelter - old]]="", tblPiNHistorical[[#This Row],[Shelter - old]]=0, tblPiNHistorical[[#This Row],[Shelter - new]]="", tblPiNHistorical[[#This Row],[Shelter - new]]=0), "", tblPiNHistorical[[#This Row],[Shelter - new]]-tblPiNHistorical[[#This Row],[Shelter - old]])</f>
        <v>-9858.4866375384408</v>
      </c>
      <c r="AH17" s="341">
        <f>IF(OR(tblPiNHistorical[[#This Row],[WASH - old]]="", tblPiNHistorical[[#This Row],[WASH - old]]=0, tblPiNHistorical[[#This Row],[WASH - new]]="", tblPiNHistorical[[#This Row],[WASH - new]]=0), "", tblPiNHistorical[[#This Row],[WASH - new]]-tblPiNHistorical[[#This Row],[WASH - old]])</f>
        <v>-1279.1004419635992</v>
      </c>
      <c r="AI17" s="342">
        <f>IFERROR(ROUND((tblPiNHistorical[[#This Row],[CCCM - new]] - tblPiNHistorical[[#This Row],[CCCM - old]])/tblPiNHistorical[[#This Row],[CCCM - old]], 1), "")</f>
        <v>-1</v>
      </c>
      <c r="AJ17" s="343">
        <f>IFERROR(ROUND((tblPiNHistorical[[#This Row],[Education - new]]-tblPiNHistorical[[#This Row],[Education - old]])/tblPiNHistorical[[#This Row],[Education - old]], 1), "")</f>
        <v>0.4</v>
      </c>
      <c r="AK17" s="343">
        <f>IFERROR(ROUND((tblPiNHistorical[[#This Row],[Nutrition - new]]-tblPiNHistorical[[#This Row],[Nutrition - old]])/tblPiNHistorical[[#This Row],[Nutrition - old]], 1), "")</f>
        <v>0.3</v>
      </c>
      <c r="AL17" s="343">
        <f>IFERROR(ROUND((tblPiNHistorical[[#This Row],[Food Security - new]]-tblPiNHistorical[[#This Row],[Food Security - old]])/tblPiNHistorical[[#This Row],[Food Security - old]], 1), "")</f>
        <v>0</v>
      </c>
      <c r="AM17" s="343">
        <f>IFERROR(ROUND((tblPiNHistorical[[#This Row],[Health - new]]-tblPiNHistorical[[#This Row],[Health - old]])/tblPiNHistorical[[#This Row],[Health - old]], 1), "")</f>
        <v>0.6</v>
      </c>
      <c r="AN17" s="343">
        <f>IFERROR(ROUND((tblPiNHistorical[[#This Row],[Overarching Protection - new]]-tblPiNHistorical[[#This Row],[Overarching Protection - old]])/tblPiNHistorical[[#This Row],[Overarching Protection - old]], 1), "")</f>
        <v>0.1</v>
      </c>
      <c r="AO17" s="343">
        <f>IFERROR(ROUND((tblPiNHistorical[[#This Row],[Shelter - new]]-tblPiNHistorical[[#This Row],[Shelter - old]])/tblPiNHistorical[[#This Row],[Shelter - old]], 1), "")</f>
        <v>-0.8</v>
      </c>
      <c r="AP17" s="38">
        <f>IFERROR(ROUND((tblPiNHistorical[[#This Row],[WASH - new]]-tblPiNHistorical[[#This Row],[WASH - old]])/tblPiNHistorical[[#This Row],[WASH - old]], 1), "")</f>
        <v>-0.1</v>
      </c>
      <c r="AQ17" s="406">
        <v>25043.504611195578</v>
      </c>
      <c r="AR17" s="406">
        <v>28480</v>
      </c>
    </row>
    <row r="18" spans="1:44" ht="15" customHeight="1" x14ac:dyDescent="0.55000000000000004">
      <c r="A1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 s="316" t="s">
        <v>250</v>
      </c>
      <c r="C18" s="218" t="s">
        <v>251</v>
      </c>
      <c r="D18" s="218" t="s">
        <v>266</v>
      </c>
      <c r="E18" s="105" t="s">
        <v>267</v>
      </c>
      <c r="F18" s="100"/>
      <c r="G18" s="34"/>
      <c r="H18" s="335"/>
      <c r="I18" s="97"/>
      <c r="J18" s="97" t="s">
        <v>412</v>
      </c>
      <c r="K18" s="336">
        <v>536.75</v>
      </c>
      <c r="L18" s="337">
        <v>494</v>
      </c>
      <c r="M18" s="319">
        <v>741.78875099549487</v>
      </c>
      <c r="N18" s="319">
        <v>1515</v>
      </c>
      <c r="O18" s="319">
        <v>780.50903392143368</v>
      </c>
      <c r="P18" s="319">
        <v>1637.2270049453607</v>
      </c>
      <c r="Q18" s="320">
        <v>1380.2142857142858</v>
      </c>
      <c r="R18" s="319">
        <v>1778.9428571428571</v>
      </c>
      <c r="S18" s="235">
        <f>tblPiNAnalysis[[#This Row],[CCCM]]</f>
        <v>0</v>
      </c>
      <c r="T18" s="236">
        <f>tblPiNAnalysis[[#This Row],[Education]]</f>
        <v>279.86546081571822</v>
      </c>
      <c r="U18" s="219">
        <f>tblPiNAnalysis[[#This Row],[Nutrition]]</f>
        <v>1219.1162945708784</v>
      </c>
      <c r="V18" s="219">
        <f>tblPiNAnalysis[[#This Row],[Food Security]]</f>
        <v>1404.6058331272616</v>
      </c>
      <c r="W18" s="219">
        <f>tblPiNAnalysis[[#This Row],[Health]]</f>
        <v>1981.0929952949004</v>
      </c>
      <c r="X18" s="219">
        <f>tblPiNAnalysis[[#This Row],[Overarching Protection]]</f>
        <v>1492</v>
      </c>
      <c r="Y18" s="219">
        <f>tblPiNAnalysis[[#This Row],[Shelter]]</f>
        <v>2501.5236312386551</v>
      </c>
      <c r="Z18" s="230">
        <f>tblPiNAnalysis[[#This Row],[WASH]]</f>
        <v>1728.3254179467071</v>
      </c>
      <c r="AA18" s="339" t="str">
        <f>IF(OR(tblPiNHistorical[[#This Row],[CCCM - old]]="", tblPiNHistorical[[#This Row],[CCCM - old]]=0, tblPiNHistorical[[#This Row],[CCCM - new]]="", tblPiNHistorical[[#This Row],[CCCM - new]]=0), "", tblPiNHistorical[[#This Row],[CCCM - new]]-tblPiNHistorical[[#This Row],[CCCM - old]])</f>
        <v/>
      </c>
      <c r="AB18" s="340">
        <f>IF(OR(tblPiNHistorical[[#This Row],[Education - old]]="", tblPiNHistorical[[#This Row],[Education - old]]=0, tblPiNHistorical[[#This Row],[Education - new]]="", tblPiNHistorical[[#This Row],[Education - new]]=0), "", tblPiNHistorical[[#This Row],[Education - new]]-tblPiNHistorical[[#This Row],[Education - old]])</f>
        <v>-214.13453918428178</v>
      </c>
      <c r="AC18" s="340">
        <f>IF(OR(tblPiNHistorical[[#This Row],[Nutrition - old]]="", tblPiNHistorical[[#This Row],[Nutrition - old]]=0, tblPiNHistorical[[#This Row],[Nutrition - new]]="", tblPiNHistorical[[#This Row],[Nutrition - new]]=0), "", tblPiNHistorical[[#This Row],[Nutrition - new]]-tblPiNHistorical[[#This Row],[Nutrition - old]])</f>
        <v>477.32754357538352</v>
      </c>
      <c r="AD18" s="340">
        <f>IF(OR(tblPiNHistorical[[#This Row],[Food Security - old]]="", tblPiNHistorical[[#This Row],[Food Security - old]]=0, tblPiNHistorical[[#This Row],[Food Security - new]]="", tblPiNHistorical[[#This Row],[Food Security - new]]=0), "", tblPiNHistorical[[#This Row],[Food Security - new]]-tblPiNHistorical[[#This Row],[Food Security - old]])</f>
        <v>-110.39416687273842</v>
      </c>
      <c r="AE18" s="340">
        <f>IF(OR(tblPiNHistorical[[#This Row],[Health - old]]="", tblPiNHistorical[[#This Row],[Health - old]]=0, tblPiNHistorical[[#This Row],[Health - new]]="", tblPiNHistorical[[#This Row],[Health - new]]=0), "", tblPiNHistorical[[#This Row],[Health - new]]-tblPiNHistorical[[#This Row],[Health - old]])</f>
        <v>1200.5839613734668</v>
      </c>
      <c r="AF1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-145.2270049453607</v>
      </c>
      <c r="AG18" s="340">
        <f>IF(OR(tblPiNHistorical[[#This Row],[Shelter - old]]="", tblPiNHistorical[[#This Row],[Shelter - old]]=0, tblPiNHistorical[[#This Row],[Shelter - new]]="", tblPiNHistorical[[#This Row],[Shelter - new]]=0), "", tblPiNHistorical[[#This Row],[Shelter - new]]-tblPiNHistorical[[#This Row],[Shelter - old]])</f>
        <v>1121.3093455243693</v>
      </c>
      <c r="AH18" s="341">
        <f>IF(OR(tblPiNHistorical[[#This Row],[WASH - old]]="", tblPiNHistorical[[#This Row],[WASH - old]]=0, tblPiNHistorical[[#This Row],[WASH - new]]="", tblPiNHistorical[[#This Row],[WASH - new]]=0), "", tblPiNHistorical[[#This Row],[WASH - new]]-tblPiNHistorical[[#This Row],[WASH - old]])</f>
        <v>-50.617439196149917</v>
      </c>
      <c r="AI18" s="342">
        <f>IFERROR(ROUND((tblPiNHistorical[[#This Row],[CCCM - new]] - tblPiNHistorical[[#This Row],[CCCM - old]])/tblPiNHistorical[[#This Row],[CCCM - old]], 1), "")</f>
        <v>-1</v>
      </c>
      <c r="AJ18" s="343">
        <f>IFERROR(ROUND((tblPiNHistorical[[#This Row],[Education - new]]-tblPiNHistorical[[#This Row],[Education - old]])/tblPiNHistorical[[#This Row],[Education - old]], 1), "")</f>
        <v>-0.4</v>
      </c>
      <c r="AK18" s="343">
        <f>IFERROR(ROUND((tblPiNHistorical[[#This Row],[Nutrition - new]]-tblPiNHistorical[[#This Row],[Nutrition - old]])/tblPiNHistorical[[#This Row],[Nutrition - old]], 1), "")</f>
        <v>0.6</v>
      </c>
      <c r="AL18" s="343">
        <f>IFERROR(ROUND((tblPiNHistorical[[#This Row],[Food Security - new]]-tblPiNHistorical[[#This Row],[Food Security - old]])/tblPiNHistorical[[#This Row],[Food Security - old]], 1), "")</f>
        <v>-0.1</v>
      </c>
      <c r="AM18" s="343">
        <f>IFERROR(ROUND((tblPiNHistorical[[#This Row],[Health - new]]-tblPiNHistorical[[#This Row],[Health - old]])/tblPiNHistorical[[#This Row],[Health - old]], 1), "")</f>
        <v>1.5</v>
      </c>
      <c r="AN18" s="343">
        <f>IFERROR(ROUND((tblPiNHistorical[[#This Row],[Overarching Protection - new]]-tblPiNHistorical[[#This Row],[Overarching Protection - old]])/tblPiNHistorical[[#This Row],[Overarching Protection - old]], 1), "")</f>
        <v>-0.1</v>
      </c>
      <c r="AO18" s="343">
        <f>IFERROR(ROUND((tblPiNHistorical[[#This Row],[Shelter - new]]-tblPiNHistorical[[#This Row],[Shelter - old]])/tblPiNHistorical[[#This Row],[Shelter - old]], 1), "")</f>
        <v>0.8</v>
      </c>
      <c r="AP18" s="38">
        <f>IFERROR(ROUND((tblPiNHistorical[[#This Row],[WASH - new]]-tblPiNHistorical[[#This Row],[WASH - old]])/tblPiNHistorical[[#This Row],[WASH - old]], 1), "")</f>
        <v>0</v>
      </c>
      <c r="AQ18" s="406">
        <v>1778.9428571428571</v>
      </c>
      <c r="AR18" s="406">
        <v>2501.5236312386551</v>
      </c>
    </row>
    <row r="19" spans="1:44" ht="15" customHeight="1" x14ac:dyDescent="0.55000000000000004">
      <c r="A1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 s="316" t="s">
        <v>268</v>
      </c>
      <c r="C19" s="218" t="s">
        <v>269</v>
      </c>
      <c r="D19" s="218" t="s">
        <v>270</v>
      </c>
      <c r="E19" s="105" t="s">
        <v>271</v>
      </c>
      <c r="F19" s="100"/>
      <c r="G19" s="34"/>
      <c r="H19" s="335"/>
      <c r="I19" s="97"/>
      <c r="J19" s="97" t="s">
        <v>412</v>
      </c>
      <c r="K19" s="336">
        <v>5918.5</v>
      </c>
      <c r="L19" s="337">
        <v>833</v>
      </c>
      <c r="M19" s="319">
        <v>7207.1770597219074</v>
      </c>
      <c r="N19" s="319">
        <v>13191</v>
      </c>
      <c r="O19" s="319">
        <v>8550.1487474041332</v>
      </c>
      <c r="P19" s="319">
        <v>12184.223068761237</v>
      </c>
      <c r="Q19" s="320">
        <v>1144</v>
      </c>
      <c r="R19" s="319">
        <v>8262.2222222222226</v>
      </c>
      <c r="S19" s="235">
        <f>tblPiNAnalysis[[#This Row],[CCCM]]</f>
        <v>30191.25</v>
      </c>
      <c r="T19" s="236">
        <f>tblPiNAnalysis[[#This Row],[Education]]</f>
        <v>9011.1330676597208</v>
      </c>
      <c r="U19" s="219">
        <f>tblPiNAnalysis[[#This Row],[Nutrition]]</f>
        <v>20328.448264613897</v>
      </c>
      <c r="V19" s="219">
        <f>tblPiNAnalysis[[#This Row],[Food Security]]</f>
        <v>39255.072141148179</v>
      </c>
      <c r="W19" s="219">
        <f>tblPiNAnalysis[[#This Row],[Health]]</f>
        <v>24457.221773689071</v>
      </c>
      <c r="X19" s="219">
        <f>tblPiNAnalysis[[#This Row],[Overarching Protection]]</f>
        <v>36373</v>
      </c>
      <c r="Y19" s="219">
        <f>tblPiNAnalysis[[#This Row],[Shelter]]</f>
        <v>40611.544070647637</v>
      </c>
      <c r="Z19" s="230">
        <f>tblPiNAnalysis[[#This Row],[WASH]]</f>
        <v>22843.993539739295</v>
      </c>
      <c r="AA19" s="339">
        <f>IF(OR(tblPiNHistorical[[#This Row],[CCCM - old]]="", tblPiNHistorical[[#This Row],[CCCM - old]]=0, tblPiNHistorical[[#This Row],[CCCM - new]]="", tblPiNHistorical[[#This Row],[CCCM - new]]=0), "", tblPiNHistorical[[#This Row],[CCCM - new]]-tblPiNHistorical[[#This Row],[CCCM - old]])</f>
        <v>24272.75</v>
      </c>
      <c r="AB19" s="340">
        <f>IF(OR(tblPiNHistorical[[#This Row],[Education - old]]="", tblPiNHistorical[[#This Row],[Education - old]]=0, tblPiNHistorical[[#This Row],[Education - new]]="", tblPiNHistorical[[#This Row],[Education - new]]=0), "", tblPiNHistorical[[#This Row],[Education - new]]-tblPiNHistorical[[#This Row],[Education - old]])</f>
        <v>8178.1330676597208</v>
      </c>
      <c r="AC19" s="340">
        <f>IF(OR(tblPiNHistorical[[#This Row],[Nutrition - old]]="", tblPiNHistorical[[#This Row],[Nutrition - old]]=0, tblPiNHistorical[[#This Row],[Nutrition - new]]="", tblPiNHistorical[[#This Row],[Nutrition - new]]=0), "", tblPiNHistorical[[#This Row],[Nutrition - new]]-tblPiNHistorical[[#This Row],[Nutrition - old]])</f>
        <v>13121.271204891989</v>
      </c>
      <c r="AD19" s="340">
        <f>IF(OR(tblPiNHistorical[[#This Row],[Food Security - old]]="", tblPiNHistorical[[#This Row],[Food Security - old]]=0, tblPiNHistorical[[#This Row],[Food Security - new]]="", tblPiNHistorical[[#This Row],[Food Security - new]]=0), "", tblPiNHistorical[[#This Row],[Food Security - new]]-tblPiNHistorical[[#This Row],[Food Security - old]])</f>
        <v>26064.072141148179</v>
      </c>
      <c r="AE19" s="340">
        <f>IF(OR(tblPiNHistorical[[#This Row],[Health - old]]="", tblPiNHistorical[[#This Row],[Health - old]]=0, tblPiNHistorical[[#This Row],[Health - new]]="", tblPiNHistorical[[#This Row],[Health - new]]=0), "", tblPiNHistorical[[#This Row],[Health - new]]-tblPiNHistorical[[#This Row],[Health - old]])</f>
        <v>15907.073026284937</v>
      </c>
      <c r="AF1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24188.776931238761</v>
      </c>
      <c r="AG19" s="340">
        <f>IF(OR(tblPiNHistorical[[#This Row],[Shelter - old]]="", tblPiNHistorical[[#This Row],[Shelter - old]]=0, tblPiNHistorical[[#This Row],[Shelter - new]]="", tblPiNHistorical[[#This Row],[Shelter - new]]=0), "", tblPiNHistorical[[#This Row],[Shelter - new]]-tblPiNHistorical[[#This Row],[Shelter - old]])</f>
        <v>39467.544070647637</v>
      </c>
      <c r="AH19" s="341">
        <f>IF(OR(tblPiNHistorical[[#This Row],[WASH - old]]="", tblPiNHistorical[[#This Row],[WASH - old]]=0, tblPiNHistorical[[#This Row],[WASH - new]]="", tblPiNHistorical[[#This Row],[WASH - new]]=0), "", tblPiNHistorical[[#This Row],[WASH - new]]-tblPiNHistorical[[#This Row],[WASH - old]])</f>
        <v>14581.771317517072</v>
      </c>
      <c r="AI19" s="342">
        <f>IFERROR(ROUND((tblPiNHistorical[[#This Row],[CCCM - new]] - tblPiNHistorical[[#This Row],[CCCM - old]])/tblPiNHistorical[[#This Row],[CCCM - old]], 1), "")</f>
        <v>4.0999999999999996</v>
      </c>
      <c r="AJ19" s="343">
        <f>IFERROR(ROUND((tblPiNHistorical[[#This Row],[Education - new]]-tblPiNHistorical[[#This Row],[Education - old]])/tblPiNHistorical[[#This Row],[Education - old]], 1), "")</f>
        <v>9.8000000000000007</v>
      </c>
      <c r="AK19" s="343">
        <f>IFERROR(ROUND((tblPiNHistorical[[#This Row],[Nutrition - new]]-tblPiNHistorical[[#This Row],[Nutrition - old]])/tblPiNHistorical[[#This Row],[Nutrition - old]], 1), "")</f>
        <v>1.8</v>
      </c>
      <c r="AL19" s="343">
        <f>IFERROR(ROUND((tblPiNHistorical[[#This Row],[Food Security - new]]-tblPiNHistorical[[#This Row],[Food Security - old]])/tblPiNHistorical[[#This Row],[Food Security - old]], 1), "")</f>
        <v>2</v>
      </c>
      <c r="AM19" s="343">
        <f>IFERROR(ROUND((tblPiNHistorical[[#This Row],[Health - new]]-tblPiNHistorical[[#This Row],[Health - old]])/tblPiNHistorical[[#This Row],[Health - old]], 1), "")</f>
        <v>1.9</v>
      </c>
      <c r="AN19" s="343">
        <f>IFERROR(ROUND((tblPiNHistorical[[#This Row],[Overarching Protection - new]]-tblPiNHistorical[[#This Row],[Overarching Protection - old]])/tblPiNHistorical[[#This Row],[Overarching Protection - old]], 1), "")</f>
        <v>2</v>
      </c>
      <c r="AO19" s="343">
        <f>IFERROR(ROUND((tblPiNHistorical[[#This Row],[Shelter - new]]-tblPiNHistorical[[#This Row],[Shelter - old]])/tblPiNHistorical[[#This Row],[Shelter - old]], 1), "")</f>
        <v>34.5</v>
      </c>
      <c r="AP19" s="38">
        <f>IFERROR(ROUND((tblPiNHistorical[[#This Row],[WASH - new]]-tblPiNHistorical[[#This Row],[WASH - old]])/tblPiNHistorical[[#This Row],[WASH - old]], 1), "")</f>
        <v>1.8</v>
      </c>
      <c r="AQ19" s="406">
        <v>13191</v>
      </c>
      <c r="AR19" s="406">
        <v>40611.544070647637</v>
      </c>
    </row>
    <row r="20" spans="1:44" ht="15" customHeight="1" x14ac:dyDescent="0.55000000000000004">
      <c r="A2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 s="316" t="s">
        <v>268</v>
      </c>
      <c r="C20" s="218" t="s">
        <v>269</v>
      </c>
      <c r="D20" s="218" t="s">
        <v>272</v>
      </c>
      <c r="E20" s="105" t="s">
        <v>273</v>
      </c>
      <c r="F20" s="100"/>
      <c r="G20" s="34"/>
      <c r="H20" s="335"/>
      <c r="I20" s="97"/>
      <c r="J20" s="97" t="s">
        <v>412</v>
      </c>
      <c r="K20" s="336">
        <v>3788</v>
      </c>
      <c r="L20" s="337">
        <v>3043</v>
      </c>
      <c r="M20" s="319">
        <v>5883.6282706848378</v>
      </c>
      <c r="N20" s="319">
        <v>12389</v>
      </c>
      <c r="O20" s="319">
        <v>5135.2107856059556</v>
      </c>
      <c r="P20" s="319">
        <v>9413.0503096089597</v>
      </c>
      <c r="Q20" s="320">
        <v>1894</v>
      </c>
      <c r="R20" s="319">
        <v>12907.259259259261</v>
      </c>
      <c r="S20" s="235">
        <f>tblPiNAnalysis[[#This Row],[CCCM]]</f>
        <v>0</v>
      </c>
      <c r="T20" s="236">
        <f>tblPiNAnalysis[[#This Row],[Education]]</f>
        <v>3012.1644584022056</v>
      </c>
      <c r="U20" s="219">
        <f>tblPiNAnalysis[[#This Row],[Nutrition]]</f>
        <v>7246.9332264528048</v>
      </c>
      <c r="V20" s="219">
        <f>tblPiNAnalysis[[#This Row],[Food Security]]</f>
        <v>16171.05136149268</v>
      </c>
      <c r="W20" s="219">
        <f>tblPiNAnalysis[[#This Row],[Health]]</f>
        <v>9814.1802232710907</v>
      </c>
      <c r="X20" s="219">
        <f>tblPiNAnalysis[[#This Row],[Overarching Protection]]</f>
        <v>16888</v>
      </c>
      <c r="Y20" s="219">
        <f>tblPiNAnalysis[[#This Row],[Shelter]]</f>
        <v>13871.225954180503</v>
      </c>
      <c r="Z20" s="230">
        <f>tblPiNAnalysis[[#This Row],[WASH]]</f>
        <v>18659.003131270158</v>
      </c>
      <c r="AA20" s="339" t="str">
        <f>IF(OR(tblPiNHistorical[[#This Row],[CCCM - old]]="", tblPiNHistorical[[#This Row],[CCCM - old]]=0, tblPiNHistorical[[#This Row],[CCCM - new]]="", tblPiNHistorical[[#This Row],[CCCM - new]]=0), "", tblPiNHistorical[[#This Row],[CCCM - new]]-tblPiNHistorical[[#This Row],[CCCM - old]])</f>
        <v/>
      </c>
      <c r="AB20" s="340">
        <f>IF(OR(tblPiNHistorical[[#This Row],[Education - old]]="", tblPiNHistorical[[#This Row],[Education - old]]=0, tblPiNHistorical[[#This Row],[Education - new]]="", tblPiNHistorical[[#This Row],[Education - new]]=0), "", tblPiNHistorical[[#This Row],[Education - new]]-tblPiNHistorical[[#This Row],[Education - old]])</f>
        <v>-30.835541597794418</v>
      </c>
      <c r="AC20" s="340">
        <f>IF(OR(tblPiNHistorical[[#This Row],[Nutrition - old]]="", tblPiNHistorical[[#This Row],[Nutrition - old]]=0, tblPiNHistorical[[#This Row],[Nutrition - new]]="", tblPiNHistorical[[#This Row],[Nutrition - new]]=0), "", tblPiNHistorical[[#This Row],[Nutrition - new]]-tblPiNHistorical[[#This Row],[Nutrition - old]])</f>
        <v>1363.3049557679669</v>
      </c>
      <c r="AD20" s="340">
        <f>IF(OR(tblPiNHistorical[[#This Row],[Food Security - old]]="", tblPiNHistorical[[#This Row],[Food Security - old]]=0, tblPiNHistorical[[#This Row],[Food Security - new]]="", tblPiNHistorical[[#This Row],[Food Security - new]]=0), "", tblPiNHistorical[[#This Row],[Food Security - new]]-tblPiNHistorical[[#This Row],[Food Security - old]])</f>
        <v>3782.0513614926804</v>
      </c>
      <c r="AE20" s="340">
        <f>IF(OR(tblPiNHistorical[[#This Row],[Health - old]]="", tblPiNHistorical[[#This Row],[Health - old]]=0, tblPiNHistorical[[#This Row],[Health - new]]="", tblPiNHistorical[[#This Row],[Health - new]]=0), "", tblPiNHistorical[[#This Row],[Health - new]]-tblPiNHistorical[[#This Row],[Health - old]])</f>
        <v>4678.969437665135</v>
      </c>
      <c r="AF2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7474.9496903910403</v>
      </c>
      <c r="AG20" s="340">
        <f>IF(OR(tblPiNHistorical[[#This Row],[Shelter - old]]="", tblPiNHistorical[[#This Row],[Shelter - old]]=0, tblPiNHistorical[[#This Row],[Shelter - new]]="", tblPiNHistorical[[#This Row],[Shelter - new]]=0), "", tblPiNHistorical[[#This Row],[Shelter - new]]-tblPiNHistorical[[#This Row],[Shelter - old]])</f>
        <v>11977.225954180503</v>
      </c>
      <c r="AH20" s="341">
        <f>IF(OR(tblPiNHistorical[[#This Row],[WASH - old]]="", tblPiNHistorical[[#This Row],[WASH - old]]=0, tblPiNHistorical[[#This Row],[WASH - new]]="", tblPiNHistorical[[#This Row],[WASH - new]]=0), "", tblPiNHistorical[[#This Row],[WASH - new]]-tblPiNHistorical[[#This Row],[WASH - old]])</f>
        <v>5751.7438720108967</v>
      </c>
      <c r="AI20" s="342">
        <f>IFERROR(ROUND((tblPiNHistorical[[#This Row],[CCCM - new]] - tblPiNHistorical[[#This Row],[CCCM - old]])/tblPiNHistorical[[#This Row],[CCCM - old]], 1), "")</f>
        <v>-1</v>
      </c>
      <c r="AJ20" s="343">
        <f>IFERROR(ROUND((tblPiNHistorical[[#This Row],[Education - new]]-tblPiNHistorical[[#This Row],[Education - old]])/tblPiNHistorical[[#This Row],[Education - old]], 1), "")</f>
        <v>0</v>
      </c>
      <c r="AK20" s="343">
        <f>IFERROR(ROUND((tblPiNHistorical[[#This Row],[Nutrition - new]]-tblPiNHistorical[[#This Row],[Nutrition - old]])/tblPiNHistorical[[#This Row],[Nutrition - old]], 1), "")</f>
        <v>0.2</v>
      </c>
      <c r="AL20" s="343">
        <f>IFERROR(ROUND((tblPiNHistorical[[#This Row],[Food Security - new]]-tblPiNHistorical[[#This Row],[Food Security - old]])/tblPiNHistorical[[#This Row],[Food Security - old]], 1), "")</f>
        <v>0.3</v>
      </c>
      <c r="AM20" s="343">
        <f>IFERROR(ROUND((tblPiNHistorical[[#This Row],[Health - new]]-tblPiNHistorical[[#This Row],[Health - old]])/tblPiNHistorical[[#This Row],[Health - old]], 1), "")</f>
        <v>0.9</v>
      </c>
      <c r="AN20" s="343">
        <f>IFERROR(ROUND((tblPiNHistorical[[#This Row],[Overarching Protection - new]]-tblPiNHistorical[[#This Row],[Overarching Protection - old]])/tblPiNHistorical[[#This Row],[Overarching Protection - old]], 1), "")</f>
        <v>0.8</v>
      </c>
      <c r="AO20" s="343">
        <f>IFERROR(ROUND((tblPiNHistorical[[#This Row],[Shelter - new]]-tblPiNHistorical[[#This Row],[Shelter - old]])/tblPiNHistorical[[#This Row],[Shelter - old]], 1), "")</f>
        <v>6.3</v>
      </c>
      <c r="AP20" s="38">
        <f>IFERROR(ROUND((tblPiNHistorical[[#This Row],[WASH - new]]-tblPiNHistorical[[#This Row],[WASH - old]])/tblPiNHistorical[[#This Row],[WASH - old]], 1), "")</f>
        <v>0.4</v>
      </c>
      <c r="AQ20" s="406">
        <v>12907.259259259261</v>
      </c>
      <c r="AR20" s="406">
        <v>18659.003131270158</v>
      </c>
    </row>
    <row r="21" spans="1:44" ht="15" customHeight="1" x14ac:dyDescent="0.55000000000000004">
      <c r="A2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 s="316" t="s">
        <v>268</v>
      </c>
      <c r="C21" s="218" t="s">
        <v>269</v>
      </c>
      <c r="D21" s="218" t="s">
        <v>274</v>
      </c>
      <c r="E21" s="105" t="s">
        <v>275</v>
      </c>
      <c r="F21" s="100"/>
      <c r="G21" s="34"/>
      <c r="H21" s="335"/>
      <c r="I21" s="97"/>
      <c r="J21" s="97" t="s">
        <v>412</v>
      </c>
      <c r="K21" s="336">
        <v>50215.5</v>
      </c>
      <c r="L21" s="337">
        <v>11460</v>
      </c>
      <c r="M21" s="319">
        <v>40492.937004859858</v>
      </c>
      <c r="N21" s="319">
        <v>26097</v>
      </c>
      <c r="O21" s="319">
        <v>33471.638942256955</v>
      </c>
      <c r="P21" s="319">
        <v>62188.894046899579</v>
      </c>
      <c r="Q21" s="320">
        <v>36828.375</v>
      </c>
      <c r="R21" s="319">
        <v>25675.555555555555</v>
      </c>
      <c r="S21" s="235">
        <f>tblPiNAnalysis[[#This Row],[CCCM]]</f>
        <v>50265</v>
      </c>
      <c r="T21" s="236">
        <f>tblPiNAnalysis[[#This Row],[Education]]</f>
        <v>19394.094729918648</v>
      </c>
      <c r="U21" s="219">
        <f>tblPiNAnalysis[[#This Row],[Nutrition]]</f>
        <v>36837.40550042902</v>
      </c>
      <c r="V21" s="219">
        <f>tblPiNAnalysis[[#This Row],[Food Security]]</f>
        <v>22913.183208266495</v>
      </c>
      <c r="W21" s="219">
        <f>tblPiNAnalysis[[#This Row],[Health]]</f>
        <v>53275.674539844593</v>
      </c>
      <c r="X21" s="219">
        <f>tblPiNAnalysis[[#This Row],[Overarching Protection]]</f>
        <v>66786</v>
      </c>
      <c r="Y21" s="219">
        <f>tblPiNAnalysis[[#This Row],[Shelter]]</f>
        <v>71925.881656722486</v>
      </c>
      <c r="Z21" s="230">
        <f>tblPiNAnalysis[[#This Row],[WASH]]</f>
        <v>45286.666228306742</v>
      </c>
      <c r="AA21" s="339">
        <f>IF(OR(tblPiNHistorical[[#This Row],[CCCM - old]]="", tblPiNHistorical[[#This Row],[CCCM - old]]=0, tblPiNHistorical[[#This Row],[CCCM - new]]="", tblPiNHistorical[[#This Row],[CCCM - new]]=0), "", tblPiNHistorical[[#This Row],[CCCM - new]]-tblPiNHistorical[[#This Row],[CCCM - old]])</f>
        <v>49.5</v>
      </c>
      <c r="AB21" s="340">
        <f>IF(OR(tblPiNHistorical[[#This Row],[Education - old]]="", tblPiNHistorical[[#This Row],[Education - old]]=0, tblPiNHistorical[[#This Row],[Education - new]]="", tblPiNHistorical[[#This Row],[Education - new]]=0), "", tblPiNHistorical[[#This Row],[Education - new]]-tblPiNHistorical[[#This Row],[Education - old]])</f>
        <v>7934.0947299186482</v>
      </c>
      <c r="AC21" s="340">
        <f>IF(OR(tblPiNHistorical[[#This Row],[Nutrition - old]]="", tblPiNHistorical[[#This Row],[Nutrition - old]]=0, tblPiNHistorical[[#This Row],[Nutrition - new]]="", tblPiNHistorical[[#This Row],[Nutrition - new]]=0), "", tblPiNHistorical[[#This Row],[Nutrition - new]]-tblPiNHistorical[[#This Row],[Nutrition - old]])</f>
        <v>-3655.5315044308372</v>
      </c>
      <c r="AD21" s="340">
        <f>IF(OR(tblPiNHistorical[[#This Row],[Food Security - old]]="", tblPiNHistorical[[#This Row],[Food Security - old]]=0, tblPiNHistorical[[#This Row],[Food Security - new]]="", tblPiNHistorical[[#This Row],[Food Security - new]]=0), "", tblPiNHistorical[[#This Row],[Food Security - new]]-tblPiNHistorical[[#This Row],[Food Security - old]])</f>
        <v>-3183.8167917335049</v>
      </c>
      <c r="AE21" s="340">
        <f>IF(OR(tblPiNHistorical[[#This Row],[Health - old]]="", tblPiNHistorical[[#This Row],[Health - old]]=0, tblPiNHistorical[[#This Row],[Health - new]]="", tblPiNHistorical[[#This Row],[Health - new]]=0), "", tblPiNHistorical[[#This Row],[Health - new]]-tblPiNHistorical[[#This Row],[Health - old]])</f>
        <v>19804.035597587637</v>
      </c>
      <c r="AF2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4597.1059531004212</v>
      </c>
      <c r="AG21" s="340">
        <f>IF(OR(tblPiNHistorical[[#This Row],[Shelter - old]]="", tblPiNHistorical[[#This Row],[Shelter - old]]=0, tblPiNHistorical[[#This Row],[Shelter - new]]="", tblPiNHistorical[[#This Row],[Shelter - new]]=0), "", tblPiNHistorical[[#This Row],[Shelter - new]]-tblPiNHistorical[[#This Row],[Shelter - old]])</f>
        <v>35097.506656722486</v>
      </c>
      <c r="AH21" s="341">
        <f>IF(OR(tblPiNHistorical[[#This Row],[WASH - old]]="", tblPiNHistorical[[#This Row],[WASH - old]]=0, tblPiNHistorical[[#This Row],[WASH - new]]="", tblPiNHistorical[[#This Row],[WASH - new]]=0), "", tblPiNHistorical[[#This Row],[WASH - new]]-tblPiNHistorical[[#This Row],[WASH - old]])</f>
        <v>19611.110672751187</v>
      </c>
      <c r="AI21" s="342">
        <f>IFERROR(ROUND((tblPiNHistorical[[#This Row],[CCCM - new]] - tblPiNHistorical[[#This Row],[CCCM - old]])/tblPiNHistorical[[#This Row],[CCCM - old]], 1), "")</f>
        <v>0</v>
      </c>
      <c r="AJ21" s="343">
        <f>IFERROR(ROUND((tblPiNHistorical[[#This Row],[Education - new]]-tblPiNHistorical[[#This Row],[Education - old]])/tblPiNHistorical[[#This Row],[Education - old]], 1), "")</f>
        <v>0.7</v>
      </c>
      <c r="AK21" s="343">
        <f>IFERROR(ROUND((tblPiNHistorical[[#This Row],[Nutrition - new]]-tblPiNHistorical[[#This Row],[Nutrition - old]])/tblPiNHistorical[[#This Row],[Nutrition - old]], 1), "")</f>
        <v>-0.1</v>
      </c>
      <c r="AL21" s="343">
        <f>IFERROR(ROUND((tblPiNHistorical[[#This Row],[Food Security - new]]-tblPiNHistorical[[#This Row],[Food Security - old]])/tblPiNHistorical[[#This Row],[Food Security - old]], 1), "")</f>
        <v>-0.1</v>
      </c>
      <c r="AM21" s="343">
        <f>IFERROR(ROUND((tblPiNHistorical[[#This Row],[Health - new]]-tblPiNHistorical[[#This Row],[Health - old]])/tblPiNHistorical[[#This Row],[Health - old]], 1), "")</f>
        <v>0.6</v>
      </c>
      <c r="AN21" s="343">
        <f>IFERROR(ROUND((tblPiNHistorical[[#This Row],[Overarching Protection - new]]-tblPiNHistorical[[#This Row],[Overarching Protection - old]])/tblPiNHistorical[[#This Row],[Overarching Protection - old]], 1), "")</f>
        <v>0.1</v>
      </c>
      <c r="AO21" s="343">
        <f>IFERROR(ROUND((tblPiNHistorical[[#This Row],[Shelter - new]]-tblPiNHistorical[[#This Row],[Shelter - old]])/tblPiNHistorical[[#This Row],[Shelter - old]], 1), "")</f>
        <v>1</v>
      </c>
      <c r="AP21" s="38">
        <f>IFERROR(ROUND((tblPiNHistorical[[#This Row],[WASH - new]]-tblPiNHistorical[[#This Row],[WASH - old]])/tblPiNHistorical[[#This Row],[WASH - old]], 1), "")</f>
        <v>0.8</v>
      </c>
      <c r="AQ21" s="406">
        <v>62188.894046899579</v>
      </c>
      <c r="AR21" s="406">
        <v>71925.881656722486</v>
      </c>
    </row>
    <row r="22" spans="1:44" ht="15" customHeight="1" x14ac:dyDescent="0.55000000000000004">
      <c r="A2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 s="316" t="s">
        <v>268</v>
      </c>
      <c r="C22" s="218" t="s">
        <v>269</v>
      </c>
      <c r="D22" s="218" t="s">
        <v>276</v>
      </c>
      <c r="E22" s="105" t="s">
        <v>277</v>
      </c>
      <c r="F22" s="100"/>
      <c r="G22" s="34"/>
      <c r="H22" s="335"/>
      <c r="I22" s="97"/>
      <c r="J22" s="97" t="s">
        <v>412</v>
      </c>
      <c r="K22" s="336">
        <v>14211.25</v>
      </c>
      <c r="L22" s="337">
        <v>0</v>
      </c>
      <c r="M22" s="319">
        <v>18268.781440783598</v>
      </c>
      <c r="N22" s="319">
        <v>39766</v>
      </c>
      <c r="O22" s="319">
        <v>17900.438142815641</v>
      </c>
      <c r="P22" s="319">
        <v>36202.199396724311</v>
      </c>
      <c r="Q22" s="320">
        <v>14593.327586206895</v>
      </c>
      <c r="R22" s="319">
        <v>30604.247706422022</v>
      </c>
      <c r="S22" s="235">
        <f>tblPiNAnalysis[[#This Row],[CCCM]]</f>
        <v>2940</v>
      </c>
      <c r="T22" s="236">
        <f>tblPiNAnalysis[[#This Row],[Education]]</f>
        <v>11234.283417306668</v>
      </c>
      <c r="U22" s="219">
        <f>tblPiNAnalysis[[#This Row],[Nutrition]]</f>
        <v>26154.980284305846</v>
      </c>
      <c r="V22" s="219">
        <f>tblPiNAnalysis[[#This Row],[Food Security]]</f>
        <v>60658.225579270336</v>
      </c>
      <c r="W22" s="219">
        <f>tblPiNAnalysis[[#This Row],[Health]]</f>
        <v>50858.935327370076</v>
      </c>
      <c r="X22" s="219">
        <f>tblPiNAnalysis[[#This Row],[Overarching Protection]]</f>
        <v>53298</v>
      </c>
      <c r="Y22" s="219">
        <f>tblPiNAnalysis[[#This Row],[Shelter]]</f>
        <v>69039.732902168529</v>
      </c>
      <c r="Z22" s="230">
        <f>tblPiNAnalysis[[#This Row],[WASH]]</f>
        <v>66482.705757643766</v>
      </c>
      <c r="AA22" s="339">
        <f>IF(OR(tblPiNHistorical[[#This Row],[CCCM - old]]="", tblPiNHistorical[[#This Row],[CCCM - old]]=0, tblPiNHistorical[[#This Row],[CCCM - new]]="", tblPiNHistorical[[#This Row],[CCCM - new]]=0), "", tblPiNHistorical[[#This Row],[CCCM - new]]-tblPiNHistorical[[#This Row],[CCCM - old]])</f>
        <v>-11271.25</v>
      </c>
      <c r="AB22" s="340" t="str">
        <f>IF(OR(tblPiNHistorical[[#This Row],[Education - old]]="", tblPiNHistorical[[#This Row],[Education - old]]=0, tblPiNHistorical[[#This Row],[Education - new]]="", tblPiNHistorical[[#This Row],[Education - new]]=0), "", tblPiNHistorical[[#This Row],[Education - new]]-tblPiNHistorical[[#This Row],[Education - old]])</f>
        <v/>
      </c>
      <c r="AC22" s="340">
        <f>IF(OR(tblPiNHistorical[[#This Row],[Nutrition - old]]="", tblPiNHistorical[[#This Row],[Nutrition - old]]=0, tblPiNHistorical[[#This Row],[Nutrition - new]]="", tblPiNHistorical[[#This Row],[Nutrition - new]]=0), "", tblPiNHistorical[[#This Row],[Nutrition - new]]-tblPiNHistorical[[#This Row],[Nutrition - old]])</f>
        <v>7886.1988435222484</v>
      </c>
      <c r="AD22" s="340">
        <f>IF(OR(tblPiNHistorical[[#This Row],[Food Security - old]]="", tblPiNHistorical[[#This Row],[Food Security - old]]=0, tblPiNHistorical[[#This Row],[Food Security - new]]="", tblPiNHistorical[[#This Row],[Food Security - new]]=0), "", tblPiNHistorical[[#This Row],[Food Security - new]]-tblPiNHistorical[[#This Row],[Food Security - old]])</f>
        <v>20892.225579270336</v>
      </c>
      <c r="AE22" s="340">
        <f>IF(OR(tblPiNHistorical[[#This Row],[Health - old]]="", tblPiNHistorical[[#This Row],[Health - old]]=0, tblPiNHistorical[[#This Row],[Health - new]]="", tblPiNHistorical[[#This Row],[Health - new]]=0), "", tblPiNHistorical[[#This Row],[Health - new]]-tblPiNHistorical[[#This Row],[Health - old]])</f>
        <v>32958.497184554435</v>
      </c>
      <c r="AF2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17095.800603275689</v>
      </c>
      <c r="AG22" s="340">
        <f>IF(OR(tblPiNHistorical[[#This Row],[Shelter - old]]="", tblPiNHistorical[[#This Row],[Shelter - old]]=0, tblPiNHistorical[[#This Row],[Shelter - new]]="", tblPiNHistorical[[#This Row],[Shelter - new]]=0), "", tblPiNHistorical[[#This Row],[Shelter - new]]-tblPiNHistorical[[#This Row],[Shelter - old]])</f>
        <v>54446.405315961631</v>
      </c>
      <c r="AH22" s="341">
        <f>IF(OR(tblPiNHistorical[[#This Row],[WASH - old]]="", tblPiNHistorical[[#This Row],[WASH - old]]=0, tblPiNHistorical[[#This Row],[WASH - new]]="", tblPiNHistorical[[#This Row],[WASH - new]]=0), "", tblPiNHistorical[[#This Row],[WASH - new]]-tblPiNHistorical[[#This Row],[WASH - old]])</f>
        <v>35878.458051221744</v>
      </c>
      <c r="AI22" s="342">
        <f>IFERROR(ROUND((tblPiNHistorical[[#This Row],[CCCM - new]] - tblPiNHistorical[[#This Row],[CCCM - old]])/tblPiNHistorical[[#This Row],[CCCM - old]], 1), "")</f>
        <v>-0.8</v>
      </c>
      <c r="AJ22" s="343" t="str">
        <f>IFERROR(ROUND((tblPiNHistorical[[#This Row],[Education - new]]-tblPiNHistorical[[#This Row],[Education - old]])/tblPiNHistorical[[#This Row],[Education - old]], 1), "")</f>
        <v/>
      </c>
      <c r="AK22" s="343">
        <f>IFERROR(ROUND((tblPiNHistorical[[#This Row],[Nutrition - new]]-tblPiNHistorical[[#This Row],[Nutrition - old]])/tblPiNHistorical[[#This Row],[Nutrition - old]], 1), "")</f>
        <v>0.4</v>
      </c>
      <c r="AL22" s="343">
        <f>IFERROR(ROUND((tblPiNHistorical[[#This Row],[Food Security - new]]-tblPiNHistorical[[#This Row],[Food Security - old]])/tblPiNHistorical[[#This Row],[Food Security - old]], 1), "")</f>
        <v>0.5</v>
      </c>
      <c r="AM22" s="343">
        <f>IFERROR(ROUND((tblPiNHistorical[[#This Row],[Health - new]]-tblPiNHistorical[[#This Row],[Health - old]])/tblPiNHistorical[[#This Row],[Health - old]], 1), "")</f>
        <v>1.8</v>
      </c>
      <c r="AN22" s="343">
        <f>IFERROR(ROUND((tblPiNHistorical[[#This Row],[Overarching Protection - new]]-tblPiNHistorical[[#This Row],[Overarching Protection - old]])/tblPiNHistorical[[#This Row],[Overarching Protection - old]], 1), "")</f>
        <v>0.5</v>
      </c>
      <c r="AO22" s="343">
        <f>IFERROR(ROUND((tblPiNHistorical[[#This Row],[Shelter - new]]-tblPiNHistorical[[#This Row],[Shelter - old]])/tblPiNHistorical[[#This Row],[Shelter - old]], 1), "")</f>
        <v>3.7</v>
      </c>
      <c r="AP22" s="38">
        <f>IFERROR(ROUND((tblPiNHistorical[[#This Row],[WASH - new]]-tblPiNHistorical[[#This Row],[WASH - old]])/tblPiNHistorical[[#This Row],[WASH - old]], 1), "")</f>
        <v>1.2</v>
      </c>
      <c r="AQ22" s="406">
        <v>39766</v>
      </c>
      <c r="AR22" s="406">
        <v>69039.732902168529</v>
      </c>
    </row>
    <row r="23" spans="1:44" ht="15" customHeight="1" x14ac:dyDescent="0.55000000000000004">
      <c r="A2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 s="316" t="s">
        <v>268</v>
      </c>
      <c r="C23" s="218" t="s">
        <v>269</v>
      </c>
      <c r="D23" s="218" t="s">
        <v>278</v>
      </c>
      <c r="E23" s="105" t="s">
        <v>279</v>
      </c>
      <c r="F23" s="100"/>
      <c r="G23" s="34"/>
      <c r="H23" s="335"/>
      <c r="I23" s="97"/>
      <c r="J23" s="97" t="s">
        <v>412</v>
      </c>
      <c r="K23" s="336">
        <v>14609.5</v>
      </c>
      <c r="L23" s="337">
        <v>6076</v>
      </c>
      <c r="M23" s="319">
        <v>16220.919148708319</v>
      </c>
      <c r="N23" s="319">
        <v>42092</v>
      </c>
      <c r="O23" s="319">
        <v>30649.673649155695</v>
      </c>
      <c r="P23" s="319">
        <v>40785.295886787091</v>
      </c>
      <c r="Q23" s="320">
        <v>54785.625</v>
      </c>
      <c r="R23" s="319">
        <v>19479.333333333332</v>
      </c>
      <c r="S23" s="235">
        <f>tblPiNAnalysis[[#This Row],[CCCM]]</f>
        <v>0</v>
      </c>
      <c r="T23" s="236">
        <f>tblPiNAnalysis[[#This Row],[Education]]</f>
        <v>8003.5578370362809</v>
      </c>
      <c r="U23" s="219">
        <f>tblPiNAnalysis[[#This Row],[Nutrition]]</f>
        <v>29219.09106715216</v>
      </c>
      <c r="V23" s="219">
        <f>tblPiNAnalysis[[#This Row],[Food Security]]</f>
        <v>53758.117095312671</v>
      </c>
      <c r="W23" s="219">
        <f>tblPiNAnalysis[[#This Row],[Health]]</f>
        <v>51263.151432420411</v>
      </c>
      <c r="X23" s="219">
        <f>tblPiNAnalysis[[#This Row],[Overarching Protection]]</f>
        <v>53948</v>
      </c>
      <c r="Y23" s="219">
        <f>tblPiNAnalysis[[#This Row],[Shelter]]</f>
        <v>77068.443303189997</v>
      </c>
      <c r="Z23" s="230">
        <f>tblPiNAnalysis[[#This Row],[WASH]]</f>
        <v>36393.431559839715</v>
      </c>
      <c r="AA23" s="339" t="str">
        <f>IF(OR(tblPiNHistorical[[#This Row],[CCCM - old]]="", tblPiNHistorical[[#This Row],[CCCM - old]]=0, tblPiNHistorical[[#This Row],[CCCM - new]]="", tblPiNHistorical[[#This Row],[CCCM - new]]=0), "", tblPiNHistorical[[#This Row],[CCCM - new]]-tblPiNHistorical[[#This Row],[CCCM - old]])</f>
        <v/>
      </c>
      <c r="AB23" s="340">
        <f>IF(OR(tblPiNHistorical[[#This Row],[Education - old]]="", tblPiNHistorical[[#This Row],[Education - old]]=0, tblPiNHistorical[[#This Row],[Education - new]]="", tblPiNHistorical[[#This Row],[Education - new]]=0), "", tblPiNHistorical[[#This Row],[Education - new]]-tblPiNHistorical[[#This Row],[Education - old]])</f>
        <v>1927.5578370362809</v>
      </c>
      <c r="AC23" s="340">
        <f>IF(OR(tblPiNHistorical[[#This Row],[Nutrition - old]]="", tblPiNHistorical[[#This Row],[Nutrition - old]]=0, tblPiNHistorical[[#This Row],[Nutrition - new]]="", tblPiNHistorical[[#This Row],[Nutrition - new]]=0), "", tblPiNHistorical[[#This Row],[Nutrition - new]]-tblPiNHistorical[[#This Row],[Nutrition - old]])</f>
        <v>12998.171918443841</v>
      </c>
      <c r="AD23" s="340">
        <f>IF(OR(tblPiNHistorical[[#This Row],[Food Security - old]]="", tblPiNHistorical[[#This Row],[Food Security - old]]=0, tblPiNHistorical[[#This Row],[Food Security - new]]="", tblPiNHistorical[[#This Row],[Food Security - new]]=0), "", tblPiNHistorical[[#This Row],[Food Security - new]]-tblPiNHistorical[[#This Row],[Food Security - old]])</f>
        <v>11666.117095312671</v>
      </c>
      <c r="AE23" s="340">
        <f>IF(OR(tblPiNHistorical[[#This Row],[Health - old]]="", tblPiNHistorical[[#This Row],[Health - old]]=0, tblPiNHistorical[[#This Row],[Health - new]]="", tblPiNHistorical[[#This Row],[Health - new]]=0), "", tblPiNHistorical[[#This Row],[Health - new]]-tblPiNHistorical[[#This Row],[Health - old]])</f>
        <v>20613.477783264716</v>
      </c>
      <c r="AF2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13162.704113212909</v>
      </c>
      <c r="AG23" s="340">
        <f>IF(OR(tblPiNHistorical[[#This Row],[Shelter - old]]="", tblPiNHistorical[[#This Row],[Shelter - old]]=0, tblPiNHistorical[[#This Row],[Shelter - new]]="", tblPiNHistorical[[#This Row],[Shelter - new]]=0), "", tblPiNHistorical[[#This Row],[Shelter - new]]-tblPiNHistorical[[#This Row],[Shelter - old]])</f>
        <v>22282.818303189997</v>
      </c>
      <c r="AH23" s="341">
        <f>IF(OR(tblPiNHistorical[[#This Row],[WASH - old]]="", tblPiNHistorical[[#This Row],[WASH - old]]=0, tblPiNHistorical[[#This Row],[WASH - new]]="", tblPiNHistorical[[#This Row],[WASH - new]]=0), "", tblPiNHistorical[[#This Row],[WASH - new]]-tblPiNHistorical[[#This Row],[WASH - old]])</f>
        <v>16914.098226506383</v>
      </c>
      <c r="AI23" s="342">
        <f>IFERROR(ROUND((tblPiNHistorical[[#This Row],[CCCM - new]] - tblPiNHistorical[[#This Row],[CCCM - old]])/tblPiNHistorical[[#This Row],[CCCM - old]], 1), "")</f>
        <v>-1</v>
      </c>
      <c r="AJ23" s="343">
        <f>IFERROR(ROUND((tblPiNHistorical[[#This Row],[Education - new]]-tblPiNHistorical[[#This Row],[Education - old]])/tblPiNHistorical[[#This Row],[Education - old]], 1), "")</f>
        <v>0.3</v>
      </c>
      <c r="AK23" s="343">
        <f>IFERROR(ROUND((tblPiNHistorical[[#This Row],[Nutrition - new]]-tblPiNHistorical[[#This Row],[Nutrition - old]])/tblPiNHistorical[[#This Row],[Nutrition - old]], 1), "")</f>
        <v>0.8</v>
      </c>
      <c r="AL23" s="343">
        <f>IFERROR(ROUND((tblPiNHistorical[[#This Row],[Food Security - new]]-tblPiNHistorical[[#This Row],[Food Security - old]])/tblPiNHistorical[[#This Row],[Food Security - old]], 1), "")</f>
        <v>0.3</v>
      </c>
      <c r="AM23" s="343">
        <f>IFERROR(ROUND((tblPiNHistorical[[#This Row],[Health - new]]-tblPiNHistorical[[#This Row],[Health - old]])/tblPiNHistorical[[#This Row],[Health - old]], 1), "")</f>
        <v>0.7</v>
      </c>
      <c r="AN23" s="343">
        <f>IFERROR(ROUND((tblPiNHistorical[[#This Row],[Overarching Protection - new]]-tblPiNHistorical[[#This Row],[Overarching Protection - old]])/tblPiNHistorical[[#This Row],[Overarching Protection - old]], 1), "")</f>
        <v>0.3</v>
      </c>
      <c r="AO23" s="343">
        <f>IFERROR(ROUND((tblPiNHistorical[[#This Row],[Shelter - new]]-tblPiNHistorical[[#This Row],[Shelter - old]])/tblPiNHistorical[[#This Row],[Shelter - old]], 1), "")</f>
        <v>0.4</v>
      </c>
      <c r="AP23" s="38">
        <f>IFERROR(ROUND((tblPiNHistorical[[#This Row],[WASH - new]]-tblPiNHistorical[[#This Row],[WASH - old]])/tblPiNHistorical[[#This Row],[WASH - old]], 1), "")</f>
        <v>0.9</v>
      </c>
      <c r="AQ23" s="406">
        <v>54785.625</v>
      </c>
      <c r="AR23" s="406">
        <v>77068.443303189997</v>
      </c>
    </row>
    <row r="24" spans="1:44" ht="15" customHeight="1" x14ac:dyDescent="0.55000000000000004">
      <c r="A2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4" s="316" t="s">
        <v>268</v>
      </c>
      <c r="C24" s="218" t="s">
        <v>269</v>
      </c>
      <c r="D24" s="218" t="s">
        <v>280</v>
      </c>
      <c r="E24" s="105" t="s">
        <v>281</v>
      </c>
      <c r="F24" s="100"/>
      <c r="G24" s="34"/>
      <c r="H24" s="335"/>
      <c r="I24" s="97"/>
      <c r="J24" s="97" t="s">
        <v>412</v>
      </c>
      <c r="K24" s="336">
        <v>72465.75</v>
      </c>
      <c r="L24" s="337">
        <v>34316</v>
      </c>
      <c r="M24" s="319">
        <v>30945.257480218417</v>
      </c>
      <c r="N24" s="319">
        <v>68450</v>
      </c>
      <c r="O24" s="319">
        <v>35074.019838143329</v>
      </c>
      <c r="P24" s="319">
        <v>75331.897104856587</v>
      </c>
      <c r="Q24" s="320">
        <v>64568.333333333328</v>
      </c>
      <c r="R24" s="319">
        <v>36196.926605504588</v>
      </c>
      <c r="S24" s="235">
        <f>tblPiNAnalysis[[#This Row],[CCCM]]</f>
        <v>53426.25</v>
      </c>
      <c r="T24" s="236">
        <f>tblPiNAnalysis[[#This Row],[Education]]</f>
        <v>44409.129453345799</v>
      </c>
      <c r="U24" s="219">
        <f>tblPiNAnalysis[[#This Row],[Nutrition]]</f>
        <v>40113.54086952786</v>
      </c>
      <c r="V24" s="219">
        <f>tblPiNAnalysis[[#This Row],[Food Security]]</f>
        <v>103011.12865811396</v>
      </c>
      <c r="W24" s="219">
        <f>tblPiNAnalysis[[#This Row],[Health]]</f>
        <v>77337.079860623839</v>
      </c>
      <c r="X24" s="219">
        <f>tblPiNAnalysis[[#This Row],[Overarching Protection]]</f>
        <v>94945</v>
      </c>
      <c r="Y24" s="219">
        <f>tblPiNAnalysis[[#This Row],[Shelter]]</f>
        <v>74762.844197551851</v>
      </c>
      <c r="Z24" s="230">
        <f>tblPiNAnalysis[[#This Row],[WASH]]</f>
        <v>93453.55524693981</v>
      </c>
      <c r="AA24" s="339">
        <f>IF(OR(tblPiNHistorical[[#This Row],[CCCM - old]]="", tblPiNHistorical[[#This Row],[CCCM - old]]=0, tblPiNHistorical[[#This Row],[CCCM - new]]="", tblPiNHistorical[[#This Row],[CCCM - new]]=0), "", tblPiNHistorical[[#This Row],[CCCM - new]]-tblPiNHistorical[[#This Row],[CCCM - old]])</f>
        <v>-19039.5</v>
      </c>
      <c r="AB24" s="340">
        <f>IF(OR(tblPiNHistorical[[#This Row],[Education - old]]="", tblPiNHistorical[[#This Row],[Education - old]]=0, tblPiNHistorical[[#This Row],[Education - new]]="", tblPiNHistorical[[#This Row],[Education - new]]=0), "", tblPiNHistorical[[#This Row],[Education - new]]-tblPiNHistorical[[#This Row],[Education - old]])</f>
        <v>10093.129453345799</v>
      </c>
      <c r="AC24" s="340">
        <f>IF(OR(tblPiNHistorical[[#This Row],[Nutrition - old]]="", tblPiNHistorical[[#This Row],[Nutrition - old]]=0, tblPiNHistorical[[#This Row],[Nutrition - new]]="", tblPiNHistorical[[#This Row],[Nutrition - new]]=0), "", tblPiNHistorical[[#This Row],[Nutrition - new]]-tblPiNHistorical[[#This Row],[Nutrition - old]])</f>
        <v>9168.283389309443</v>
      </c>
      <c r="AD24" s="340">
        <f>IF(OR(tblPiNHistorical[[#This Row],[Food Security - old]]="", tblPiNHistorical[[#This Row],[Food Security - old]]=0, tblPiNHistorical[[#This Row],[Food Security - new]]="", tblPiNHistorical[[#This Row],[Food Security - new]]=0), "", tblPiNHistorical[[#This Row],[Food Security - new]]-tblPiNHistorical[[#This Row],[Food Security - old]])</f>
        <v>34561.128658113957</v>
      </c>
      <c r="AE24" s="340">
        <f>IF(OR(tblPiNHistorical[[#This Row],[Health - old]]="", tblPiNHistorical[[#This Row],[Health - old]]=0, tblPiNHistorical[[#This Row],[Health - new]]="", tblPiNHistorical[[#This Row],[Health - new]]=0), "", tblPiNHistorical[[#This Row],[Health - new]]-tblPiNHistorical[[#This Row],[Health - old]])</f>
        <v>42263.060022480509</v>
      </c>
      <c r="AF2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19613.102895143413</v>
      </c>
      <c r="AG24" s="340">
        <f>IF(OR(tblPiNHistorical[[#This Row],[Shelter - old]]="", tblPiNHistorical[[#This Row],[Shelter - old]]=0, tblPiNHistorical[[#This Row],[Shelter - new]]="", tblPiNHistorical[[#This Row],[Shelter - new]]=0), "", tblPiNHistorical[[#This Row],[Shelter - new]]-tblPiNHistorical[[#This Row],[Shelter - old]])</f>
        <v>10194.510864218522</v>
      </c>
      <c r="AH24" s="341">
        <f>IF(OR(tblPiNHistorical[[#This Row],[WASH - old]]="", tblPiNHistorical[[#This Row],[WASH - old]]=0, tblPiNHistorical[[#This Row],[WASH - new]]="", tblPiNHistorical[[#This Row],[WASH - new]]=0), "", tblPiNHistorical[[#This Row],[WASH - new]]-tblPiNHistorical[[#This Row],[WASH - old]])</f>
        <v>57256.628641435222</v>
      </c>
      <c r="AI24" s="342">
        <f>IFERROR(ROUND((tblPiNHistorical[[#This Row],[CCCM - new]] - tblPiNHistorical[[#This Row],[CCCM - old]])/tblPiNHistorical[[#This Row],[CCCM - old]], 1), "")</f>
        <v>-0.3</v>
      </c>
      <c r="AJ24" s="343">
        <f>IFERROR(ROUND((tblPiNHistorical[[#This Row],[Education - new]]-tblPiNHistorical[[#This Row],[Education - old]])/tblPiNHistorical[[#This Row],[Education - old]], 1), "")</f>
        <v>0.3</v>
      </c>
      <c r="AK24" s="343">
        <f>IFERROR(ROUND((tblPiNHistorical[[#This Row],[Nutrition - new]]-tblPiNHistorical[[#This Row],[Nutrition - old]])/tblPiNHistorical[[#This Row],[Nutrition - old]], 1), "")</f>
        <v>0.3</v>
      </c>
      <c r="AL24" s="343">
        <f>IFERROR(ROUND((tblPiNHistorical[[#This Row],[Food Security - new]]-tblPiNHistorical[[#This Row],[Food Security - old]])/tblPiNHistorical[[#This Row],[Food Security - old]], 1), "")</f>
        <v>0.5</v>
      </c>
      <c r="AM24" s="343">
        <f>IFERROR(ROUND((tblPiNHistorical[[#This Row],[Health - new]]-tblPiNHistorical[[#This Row],[Health - old]])/tblPiNHistorical[[#This Row],[Health - old]], 1), "")</f>
        <v>1.2</v>
      </c>
      <c r="AN24" s="343">
        <f>IFERROR(ROUND((tblPiNHistorical[[#This Row],[Overarching Protection - new]]-tblPiNHistorical[[#This Row],[Overarching Protection - old]])/tblPiNHistorical[[#This Row],[Overarching Protection - old]], 1), "")</f>
        <v>0.3</v>
      </c>
      <c r="AO24" s="343">
        <f>IFERROR(ROUND((tblPiNHistorical[[#This Row],[Shelter - new]]-tblPiNHistorical[[#This Row],[Shelter - old]])/tblPiNHistorical[[#This Row],[Shelter - old]], 1), "")</f>
        <v>0.2</v>
      </c>
      <c r="AP24" s="38">
        <f>IFERROR(ROUND((tblPiNHistorical[[#This Row],[WASH - new]]-tblPiNHistorical[[#This Row],[WASH - old]])/tblPiNHistorical[[#This Row],[WASH - old]], 1), "")</f>
        <v>1.6</v>
      </c>
      <c r="AQ24" s="406">
        <v>75331.897104856587</v>
      </c>
      <c r="AR24" s="406">
        <v>103011.12865811396</v>
      </c>
    </row>
    <row r="25" spans="1:44" ht="15" customHeight="1" x14ac:dyDescent="0.55000000000000004">
      <c r="A2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5" s="316" t="s">
        <v>268</v>
      </c>
      <c r="C25" s="218" t="s">
        <v>269</v>
      </c>
      <c r="D25" s="218" t="s">
        <v>282</v>
      </c>
      <c r="E25" s="105" t="s">
        <v>283</v>
      </c>
      <c r="F25" s="100"/>
      <c r="G25" s="34"/>
      <c r="H25" s="335"/>
      <c r="I25" s="97"/>
      <c r="J25" s="97" t="s">
        <v>412</v>
      </c>
      <c r="K25" s="336">
        <v>15280</v>
      </c>
      <c r="L25" s="337">
        <v>5381</v>
      </c>
      <c r="M25" s="319">
        <v>16116.594698220941</v>
      </c>
      <c r="N25" s="319">
        <v>34939</v>
      </c>
      <c r="O25" s="319">
        <v>32801.933433099897</v>
      </c>
      <c r="P25" s="319">
        <v>23582.893712699999</v>
      </c>
      <c r="Q25" s="320">
        <v>7739.6</v>
      </c>
      <c r="R25" s="319">
        <v>19349</v>
      </c>
      <c r="S25" s="235">
        <f>tblPiNAnalysis[[#This Row],[CCCM]]</f>
        <v>9342.5</v>
      </c>
      <c r="T25" s="236">
        <f>tblPiNAnalysis[[#This Row],[Education]]</f>
        <v>18476.762707710903</v>
      </c>
      <c r="U25" s="219">
        <f>tblPiNAnalysis[[#This Row],[Nutrition]]</f>
        <v>22173.945694892671</v>
      </c>
      <c r="V25" s="219">
        <f>tblPiNAnalysis[[#This Row],[Food Security]]</f>
        <v>39836.572985494066</v>
      </c>
      <c r="W25" s="219">
        <f>tblPiNAnalysis[[#This Row],[Health]]</f>
        <v>37476.690262488526</v>
      </c>
      <c r="X25" s="219">
        <f>tblPiNAnalysis[[#This Row],[Overarching Protection]]</f>
        <v>37211</v>
      </c>
      <c r="Y25" s="219">
        <f>tblPiNAnalysis[[#This Row],[Shelter]]</f>
        <v>47024.570845233815</v>
      </c>
      <c r="Z25" s="230">
        <f>tblPiNAnalysis[[#This Row],[WASH]]</f>
        <v>36423.218319738276</v>
      </c>
      <c r="AA25" s="339">
        <f>IF(OR(tblPiNHistorical[[#This Row],[CCCM - old]]="", tblPiNHistorical[[#This Row],[CCCM - old]]=0, tblPiNHistorical[[#This Row],[CCCM - new]]="", tblPiNHistorical[[#This Row],[CCCM - new]]=0), "", tblPiNHistorical[[#This Row],[CCCM - new]]-tblPiNHistorical[[#This Row],[CCCM - old]])</f>
        <v>-5937.5</v>
      </c>
      <c r="AB25" s="340">
        <f>IF(OR(tblPiNHistorical[[#This Row],[Education - old]]="", tblPiNHistorical[[#This Row],[Education - old]]=0, tblPiNHistorical[[#This Row],[Education - new]]="", tblPiNHistorical[[#This Row],[Education - new]]=0), "", tblPiNHistorical[[#This Row],[Education - new]]-tblPiNHistorical[[#This Row],[Education - old]])</f>
        <v>13095.762707710903</v>
      </c>
      <c r="AC25" s="340">
        <f>IF(OR(tblPiNHistorical[[#This Row],[Nutrition - old]]="", tblPiNHistorical[[#This Row],[Nutrition - old]]=0, tblPiNHistorical[[#This Row],[Nutrition - new]]="", tblPiNHistorical[[#This Row],[Nutrition - new]]=0), "", tblPiNHistorical[[#This Row],[Nutrition - new]]-tblPiNHistorical[[#This Row],[Nutrition - old]])</f>
        <v>6057.3509966717302</v>
      </c>
      <c r="AD25" s="340">
        <f>IF(OR(tblPiNHistorical[[#This Row],[Food Security - old]]="", tblPiNHistorical[[#This Row],[Food Security - old]]=0, tblPiNHistorical[[#This Row],[Food Security - new]]="", tblPiNHistorical[[#This Row],[Food Security - new]]=0), "", tblPiNHistorical[[#This Row],[Food Security - new]]-tblPiNHistorical[[#This Row],[Food Security - old]])</f>
        <v>4897.5729854940655</v>
      </c>
      <c r="AE25" s="340">
        <f>IF(OR(tblPiNHistorical[[#This Row],[Health - old]]="", tblPiNHistorical[[#This Row],[Health - old]]=0, tblPiNHistorical[[#This Row],[Health - new]]="", tblPiNHistorical[[#This Row],[Health - new]]=0), "", tblPiNHistorical[[#This Row],[Health - new]]-tblPiNHistorical[[#This Row],[Health - old]])</f>
        <v>4674.7568293886288</v>
      </c>
      <c r="AF2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13628.106287300001</v>
      </c>
      <c r="AG25" s="340">
        <f>IF(OR(tblPiNHistorical[[#This Row],[Shelter - old]]="", tblPiNHistorical[[#This Row],[Shelter - old]]=0, tblPiNHistorical[[#This Row],[Shelter - new]]="", tblPiNHistorical[[#This Row],[Shelter - new]]=0), "", tblPiNHistorical[[#This Row],[Shelter - new]]-tblPiNHistorical[[#This Row],[Shelter - old]])</f>
        <v>39284.970845233816</v>
      </c>
      <c r="AH25" s="341">
        <f>IF(OR(tblPiNHistorical[[#This Row],[WASH - old]]="", tblPiNHistorical[[#This Row],[WASH - old]]=0, tblPiNHistorical[[#This Row],[WASH - new]]="", tblPiNHistorical[[#This Row],[WASH - new]]=0), "", tblPiNHistorical[[#This Row],[WASH - new]]-tblPiNHistorical[[#This Row],[WASH - old]])</f>
        <v>17074.218319738276</v>
      </c>
      <c r="AI25" s="342">
        <f>IFERROR(ROUND((tblPiNHistorical[[#This Row],[CCCM - new]] - tblPiNHistorical[[#This Row],[CCCM - old]])/tblPiNHistorical[[#This Row],[CCCM - old]], 1), "")</f>
        <v>-0.4</v>
      </c>
      <c r="AJ25" s="343">
        <f>IFERROR(ROUND((tblPiNHistorical[[#This Row],[Education - new]]-tblPiNHistorical[[#This Row],[Education - old]])/tblPiNHistorical[[#This Row],[Education - old]], 1), "")</f>
        <v>2.4</v>
      </c>
      <c r="AK25" s="343">
        <f>IFERROR(ROUND((tblPiNHistorical[[#This Row],[Nutrition - new]]-tblPiNHistorical[[#This Row],[Nutrition - old]])/tblPiNHistorical[[#This Row],[Nutrition - old]], 1), "")</f>
        <v>0.4</v>
      </c>
      <c r="AL25" s="343">
        <f>IFERROR(ROUND((tblPiNHistorical[[#This Row],[Food Security - new]]-tblPiNHistorical[[#This Row],[Food Security - old]])/tblPiNHistorical[[#This Row],[Food Security - old]], 1), "")</f>
        <v>0.1</v>
      </c>
      <c r="AM25" s="343">
        <f>IFERROR(ROUND((tblPiNHistorical[[#This Row],[Health - new]]-tblPiNHistorical[[#This Row],[Health - old]])/tblPiNHistorical[[#This Row],[Health - old]], 1), "")</f>
        <v>0.1</v>
      </c>
      <c r="AN25" s="343">
        <f>IFERROR(ROUND((tblPiNHistorical[[#This Row],[Overarching Protection - new]]-tblPiNHistorical[[#This Row],[Overarching Protection - old]])/tblPiNHistorical[[#This Row],[Overarching Protection - old]], 1), "")</f>
        <v>0.6</v>
      </c>
      <c r="AO25" s="343">
        <f>IFERROR(ROUND((tblPiNHistorical[[#This Row],[Shelter - new]]-tblPiNHistorical[[#This Row],[Shelter - old]])/tblPiNHistorical[[#This Row],[Shelter - old]], 1), "")</f>
        <v>5.0999999999999996</v>
      </c>
      <c r="AP25" s="38">
        <f>IFERROR(ROUND((tblPiNHistorical[[#This Row],[WASH - new]]-tblPiNHistorical[[#This Row],[WASH - old]])/tblPiNHistorical[[#This Row],[WASH - old]], 1), "")</f>
        <v>0.9</v>
      </c>
      <c r="AQ25" s="406">
        <v>34939</v>
      </c>
      <c r="AR25" s="406">
        <v>47024.570845233815</v>
      </c>
    </row>
    <row r="26" spans="1:44" ht="15" customHeight="1" x14ac:dyDescent="0.55000000000000004">
      <c r="A2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6" s="316" t="s">
        <v>268</v>
      </c>
      <c r="C26" s="218" t="s">
        <v>269</v>
      </c>
      <c r="D26" s="218" t="s">
        <v>284</v>
      </c>
      <c r="E26" s="105" t="s">
        <v>285</v>
      </c>
      <c r="F26" s="100"/>
      <c r="G26" s="34"/>
      <c r="H26" s="335"/>
      <c r="I26" s="97"/>
      <c r="J26" s="97" t="s">
        <v>412</v>
      </c>
      <c r="K26" s="336">
        <v>9966.25</v>
      </c>
      <c r="L26" s="337">
        <v>6213</v>
      </c>
      <c r="M26" s="319">
        <v>17339.947138486419</v>
      </c>
      <c r="N26" s="319">
        <v>30301</v>
      </c>
      <c r="O26" s="319">
        <v>25212.738313231264</v>
      </c>
      <c r="P26" s="319">
        <v>20981.193329016474</v>
      </c>
      <c r="Q26" s="320">
        <v>22445.185185185186</v>
      </c>
      <c r="R26" s="319">
        <v>23567.444444444445</v>
      </c>
      <c r="S26" s="235">
        <f>tblPiNAnalysis[[#This Row],[CCCM]]</f>
        <v>3985</v>
      </c>
      <c r="T26" s="236">
        <f>tblPiNAnalysis[[#This Row],[Education]]</f>
        <v>13385.024382988649</v>
      </c>
      <c r="U26" s="219">
        <f>tblPiNAnalysis[[#This Row],[Nutrition]]</f>
        <v>21719.780450793813</v>
      </c>
      <c r="V26" s="219">
        <f>tblPiNAnalysis[[#This Row],[Food Security]]</f>
        <v>37316.911865707822</v>
      </c>
      <c r="W26" s="219">
        <f>tblPiNAnalysis[[#This Row],[Health]]</f>
        <v>28450.937364045618</v>
      </c>
      <c r="X26" s="219">
        <f>tblPiNAnalysis[[#This Row],[Overarching Protection]]</f>
        <v>32535</v>
      </c>
      <c r="Y26" s="219">
        <f>tblPiNAnalysis[[#This Row],[Shelter]]</f>
        <v>32697.212630401442</v>
      </c>
      <c r="Z26" s="230">
        <f>tblPiNAnalysis[[#This Row],[WASH]]</f>
        <v>38060.2475062874</v>
      </c>
      <c r="AA26" s="339">
        <f>IF(OR(tblPiNHistorical[[#This Row],[CCCM - old]]="", tblPiNHistorical[[#This Row],[CCCM - old]]=0, tblPiNHistorical[[#This Row],[CCCM - new]]="", tblPiNHistorical[[#This Row],[CCCM - new]]=0), "", tblPiNHistorical[[#This Row],[CCCM - new]]-tblPiNHistorical[[#This Row],[CCCM - old]])</f>
        <v>-5981.25</v>
      </c>
      <c r="AB26" s="340">
        <f>IF(OR(tblPiNHistorical[[#This Row],[Education - old]]="", tblPiNHistorical[[#This Row],[Education - old]]=0, tblPiNHistorical[[#This Row],[Education - new]]="", tblPiNHistorical[[#This Row],[Education - new]]=0), "", tblPiNHistorical[[#This Row],[Education - new]]-tblPiNHistorical[[#This Row],[Education - old]])</f>
        <v>7172.0243829886494</v>
      </c>
      <c r="AC26" s="340">
        <f>IF(OR(tblPiNHistorical[[#This Row],[Nutrition - old]]="", tblPiNHistorical[[#This Row],[Nutrition - old]]=0, tblPiNHistorical[[#This Row],[Nutrition - new]]="", tblPiNHistorical[[#This Row],[Nutrition - new]]=0), "", tblPiNHistorical[[#This Row],[Nutrition - new]]-tblPiNHistorical[[#This Row],[Nutrition - old]])</f>
        <v>4379.8333123073935</v>
      </c>
      <c r="AD26" s="340">
        <f>IF(OR(tblPiNHistorical[[#This Row],[Food Security - old]]="", tblPiNHistorical[[#This Row],[Food Security - old]]=0, tblPiNHistorical[[#This Row],[Food Security - new]]="", tblPiNHistorical[[#This Row],[Food Security - new]]=0), "", tblPiNHistorical[[#This Row],[Food Security - new]]-tblPiNHistorical[[#This Row],[Food Security - old]])</f>
        <v>7015.9118657078216</v>
      </c>
      <c r="AE26" s="340">
        <f>IF(OR(tblPiNHistorical[[#This Row],[Health - old]]="", tblPiNHistorical[[#This Row],[Health - old]]=0, tblPiNHistorical[[#This Row],[Health - new]]="", tblPiNHistorical[[#This Row],[Health - new]]=0), "", tblPiNHistorical[[#This Row],[Health - new]]-tblPiNHistorical[[#This Row],[Health - old]])</f>
        <v>3238.1990508143535</v>
      </c>
      <c r="AF2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11553.806670983526</v>
      </c>
      <c r="AG26" s="340">
        <f>IF(OR(tblPiNHistorical[[#This Row],[Shelter - old]]="", tblPiNHistorical[[#This Row],[Shelter - old]]=0, tblPiNHistorical[[#This Row],[Shelter - new]]="", tblPiNHistorical[[#This Row],[Shelter - new]]=0), "", tblPiNHistorical[[#This Row],[Shelter - new]]-tblPiNHistorical[[#This Row],[Shelter - old]])</f>
        <v>10252.027445216256</v>
      </c>
      <c r="AH26" s="341">
        <f>IF(OR(tblPiNHistorical[[#This Row],[WASH - old]]="", tblPiNHistorical[[#This Row],[WASH - old]]=0, tblPiNHistorical[[#This Row],[WASH - new]]="", tblPiNHistorical[[#This Row],[WASH - new]]=0), "", tblPiNHistorical[[#This Row],[WASH - new]]-tblPiNHistorical[[#This Row],[WASH - old]])</f>
        <v>14492.803061842955</v>
      </c>
      <c r="AI26" s="342">
        <f>IFERROR(ROUND((tblPiNHistorical[[#This Row],[CCCM - new]] - tblPiNHistorical[[#This Row],[CCCM - old]])/tblPiNHistorical[[#This Row],[CCCM - old]], 1), "")</f>
        <v>-0.6</v>
      </c>
      <c r="AJ26" s="343">
        <f>IFERROR(ROUND((tblPiNHistorical[[#This Row],[Education - new]]-tblPiNHistorical[[#This Row],[Education - old]])/tblPiNHistorical[[#This Row],[Education - old]], 1), "")</f>
        <v>1.2</v>
      </c>
      <c r="AK26" s="343">
        <f>IFERROR(ROUND((tblPiNHistorical[[#This Row],[Nutrition - new]]-tblPiNHistorical[[#This Row],[Nutrition - old]])/tblPiNHistorical[[#This Row],[Nutrition - old]], 1), "")</f>
        <v>0.3</v>
      </c>
      <c r="AL26" s="343">
        <f>IFERROR(ROUND((tblPiNHistorical[[#This Row],[Food Security - new]]-tblPiNHistorical[[#This Row],[Food Security - old]])/tblPiNHistorical[[#This Row],[Food Security - old]], 1), "")</f>
        <v>0.2</v>
      </c>
      <c r="AM26" s="343">
        <f>IFERROR(ROUND((tblPiNHistorical[[#This Row],[Health - new]]-tblPiNHistorical[[#This Row],[Health - old]])/tblPiNHistorical[[#This Row],[Health - old]], 1), "")</f>
        <v>0.1</v>
      </c>
      <c r="AN26" s="343">
        <f>IFERROR(ROUND((tblPiNHistorical[[#This Row],[Overarching Protection - new]]-tblPiNHistorical[[#This Row],[Overarching Protection - old]])/tblPiNHistorical[[#This Row],[Overarching Protection - old]], 1), "")</f>
        <v>0.6</v>
      </c>
      <c r="AO26" s="343">
        <f>IFERROR(ROUND((tblPiNHistorical[[#This Row],[Shelter - new]]-tblPiNHistorical[[#This Row],[Shelter - old]])/tblPiNHistorical[[#This Row],[Shelter - old]], 1), "")</f>
        <v>0.5</v>
      </c>
      <c r="AP26" s="38">
        <f>IFERROR(ROUND((tblPiNHistorical[[#This Row],[WASH - new]]-tblPiNHistorical[[#This Row],[WASH - old]])/tblPiNHistorical[[#This Row],[WASH - old]], 1), "")</f>
        <v>0.6</v>
      </c>
      <c r="AQ26" s="406">
        <v>30301</v>
      </c>
      <c r="AR26" s="406">
        <v>38060.2475062874</v>
      </c>
    </row>
    <row r="27" spans="1:44" ht="15" customHeight="1" x14ac:dyDescent="0.55000000000000004">
      <c r="A2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7" s="316" t="s">
        <v>268</v>
      </c>
      <c r="C27" s="218" t="s">
        <v>269</v>
      </c>
      <c r="D27" s="218" t="s">
        <v>286</v>
      </c>
      <c r="E27" s="105" t="s">
        <v>287</v>
      </c>
      <c r="F27" s="100"/>
      <c r="G27" s="34"/>
      <c r="H27" s="335"/>
      <c r="I27" s="97"/>
      <c r="J27" s="97" t="s">
        <v>412</v>
      </c>
      <c r="K27" s="336">
        <v>3498</v>
      </c>
      <c r="L27" s="337">
        <v>1182</v>
      </c>
      <c r="M27" s="319">
        <v>3827.9031771053501</v>
      </c>
      <c r="N27" s="319">
        <v>11325</v>
      </c>
      <c r="O27" s="319">
        <v>7923.0580938754683</v>
      </c>
      <c r="P27" s="319">
        <v>8883.2205344165213</v>
      </c>
      <c r="Q27" s="320">
        <v>3767.0769230769233</v>
      </c>
      <c r="R27" s="319">
        <v>5052.6666666666661</v>
      </c>
      <c r="S27" s="235">
        <f>tblPiNAnalysis[[#This Row],[CCCM]]</f>
        <v>0</v>
      </c>
      <c r="T27" s="236">
        <f>tblPiNAnalysis[[#This Row],[Education]]</f>
        <v>1984.9080814557915</v>
      </c>
      <c r="U27" s="219">
        <f>tblPiNAnalysis[[#This Row],[Nutrition]]</f>
        <v>5322.885706808629</v>
      </c>
      <c r="V27" s="219">
        <f>tblPiNAnalysis[[#This Row],[Food Security]]</f>
        <v>10432.941512055986</v>
      </c>
      <c r="W27" s="219">
        <f>tblPiNAnalysis[[#This Row],[Health]]</f>
        <v>9774.8209809490527</v>
      </c>
      <c r="X27" s="219">
        <f>tblPiNAnalysis[[#This Row],[Overarching Protection]]</f>
        <v>10820</v>
      </c>
      <c r="Y27" s="219">
        <f>tblPiNAnalysis[[#This Row],[Shelter]]</f>
        <v>14426.851665151275</v>
      </c>
      <c r="Z27" s="230">
        <f>tblPiNAnalysis[[#This Row],[WASH]]</f>
        <v>567.24187412128219</v>
      </c>
      <c r="AA27" s="339" t="str">
        <f>IF(OR(tblPiNHistorical[[#This Row],[CCCM - old]]="", tblPiNHistorical[[#This Row],[CCCM - old]]=0, tblPiNHistorical[[#This Row],[CCCM - new]]="", tblPiNHistorical[[#This Row],[CCCM - new]]=0), "", tblPiNHistorical[[#This Row],[CCCM - new]]-tblPiNHistorical[[#This Row],[CCCM - old]])</f>
        <v/>
      </c>
      <c r="AB27" s="340">
        <f>IF(OR(tblPiNHistorical[[#This Row],[Education - old]]="", tblPiNHistorical[[#This Row],[Education - old]]=0, tblPiNHistorical[[#This Row],[Education - new]]="", tblPiNHistorical[[#This Row],[Education - new]]=0), "", tblPiNHistorical[[#This Row],[Education - new]]-tblPiNHistorical[[#This Row],[Education - old]])</f>
        <v>802.90808145579149</v>
      </c>
      <c r="AC27" s="340">
        <f>IF(OR(tblPiNHistorical[[#This Row],[Nutrition - old]]="", tblPiNHistorical[[#This Row],[Nutrition - old]]=0, tblPiNHistorical[[#This Row],[Nutrition - new]]="", tblPiNHistorical[[#This Row],[Nutrition - new]]=0), "", tblPiNHistorical[[#This Row],[Nutrition - new]]-tblPiNHistorical[[#This Row],[Nutrition - old]])</f>
        <v>1494.9825297032789</v>
      </c>
      <c r="AD27" s="340">
        <f>IF(OR(tblPiNHistorical[[#This Row],[Food Security - old]]="", tblPiNHistorical[[#This Row],[Food Security - old]]=0, tblPiNHistorical[[#This Row],[Food Security - new]]="", tblPiNHistorical[[#This Row],[Food Security - new]]=0), "", tblPiNHistorical[[#This Row],[Food Security - new]]-tblPiNHistorical[[#This Row],[Food Security - old]])</f>
        <v>-892.0584879440139</v>
      </c>
      <c r="AE27" s="340">
        <f>IF(OR(tblPiNHistorical[[#This Row],[Health - old]]="", tblPiNHistorical[[#This Row],[Health - old]]=0, tblPiNHistorical[[#This Row],[Health - new]]="", tblPiNHistorical[[#This Row],[Health - new]]=0), "", tblPiNHistorical[[#This Row],[Health - new]]-tblPiNHistorical[[#This Row],[Health - old]])</f>
        <v>1851.7628870735844</v>
      </c>
      <c r="AF2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1936.7794655834787</v>
      </c>
      <c r="AG27" s="340">
        <f>IF(OR(tblPiNHistorical[[#This Row],[Shelter - old]]="", tblPiNHistorical[[#This Row],[Shelter - old]]=0, tblPiNHistorical[[#This Row],[Shelter - new]]="", tblPiNHistorical[[#This Row],[Shelter - new]]=0), "", tblPiNHistorical[[#This Row],[Shelter - new]]-tblPiNHistorical[[#This Row],[Shelter - old]])</f>
        <v>10659.774742074351</v>
      </c>
      <c r="AH27" s="341">
        <f>IF(OR(tblPiNHistorical[[#This Row],[WASH - old]]="", tblPiNHistorical[[#This Row],[WASH - old]]=0, tblPiNHistorical[[#This Row],[WASH - new]]="", tblPiNHistorical[[#This Row],[WASH - new]]=0), "", tblPiNHistorical[[#This Row],[WASH - new]]-tblPiNHistorical[[#This Row],[WASH - old]])</f>
        <v>-4485.4247925453838</v>
      </c>
      <c r="AI27" s="342">
        <f>IFERROR(ROUND((tblPiNHistorical[[#This Row],[CCCM - new]] - tblPiNHistorical[[#This Row],[CCCM - old]])/tblPiNHistorical[[#This Row],[CCCM - old]], 1), "")</f>
        <v>-1</v>
      </c>
      <c r="AJ27" s="343">
        <f>IFERROR(ROUND((tblPiNHistorical[[#This Row],[Education - new]]-tblPiNHistorical[[#This Row],[Education - old]])/tblPiNHistorical[[#This Row],[Education - old]], 1), "")</f>
        <v>0.7</v>
      </c>
      <c r="AK27" s="343">
        <f>IFERROR(ROUND((tblPiNHistorical[[#This Row],[Nutrition - new]]-tblPiNHistorical[[#This Row],[Nutrition - old]])/tblPiNHistorical[[#This Row],[Nutrition - old]], 1), "")</f>
        <v>0.4</v>
      </c>
      <c r="AL27" s="343">
        <f>IFERROR(ROUND((tblPiNHistorical[[#This Row],[Food Security - new]]-tblPiNHistorical[[#This Row],[Food Security - old]])/tblPiNHistorical[[#This Row],[Food Security - old]], 1), "")</f>
        <v>-0.1</v>
      </c>
      <c r="AM27" s="343">
        <f>IFERROR(ROUND((tblPiNHistorical[[#This Row],[Health - new]]-tblPiNHistorical[[#This Row],[Health - old]])/tblPiNHistorical[[#This Row],[Health - old]], 1), "")</f>
        <v>0.2</v>
      </c>
      <c r="AN27" s="343">
        <f>IFERROR(ROUND((tblPiNHistorical[[#This Row],[Overarching Protection - new]]-tblPiNHistorical[[#This Row],[Overarching Protection - old]])/tblPiNHistorical[[#This Row],[Overarching Protection - old]], 1), "")</f>
        <v>0.2</v>
      </c>
      <c r="AO27" s="343">
        <f>IFERROR(ROUND((tblPiNHistorical[[#This Row],[Shelter - new]]-tblPiNHistorical[[#This Row],[Shelter - old]])/tblPiNHistorical[[#This Row],[Shelter - old]], 1), "")</f>
        <v>2.8</v>
      </c>
      <c r="AP27" s="38">
        <f>IFERROR(ROUND((tblPiNHistorical[[#This Row],[WASH - new]]-tblPiNHistorical[[#This Row],[WASH - old]])/tblPiNHistorical[[#This Row],[WASH - old]], 1), "")</f>
        <v>-0.9</v>
      </c>
      <c r="AQ27" s="406">
        <v>11325</v>
      </c>
      <c r="AR27" s="406">
        <v>14426.851665151275</v>
      </c>
    </row>
    <row r="28" spans="1:44" ht="15" customHeight="1" x14ac:dyDescent="0.55000000000000004">
      <c r="A2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8" s="316" t="s">
        <v>268</v>
      </c>
      <c r="C28" s="218" t="s">
        <v>269</v>
      </c>
      <c r="D28" s="218" t="s">
        <v>288</v>
      </c>
      <c r="E28" s="105" t="s">
        <v>289</v>
      </c>
      <c r="F28" s="100"/>
      <c r="G28" s="34"/>
      <c r="H28" s="335"/>
      <c r="I28" s="97"/>
      <c r="J28" s="97" t="s">
        <v>412</v>
      </c>
      <c r="K28" s="336">
        <v>4485</v>
      </c>
      <c r="L28" s="337">
        <v>5414</v>
      </c>
      <c r="M28" s="319">
        <v>7744.7578792314907</v>
      </c>
      <c r="N28" s="319">
        <v>15622</v>
      </c>
      <c r="O28" s="319">
        <v>7693.9138062086731</v>
      </c>
      <c r="P28" s="319">
        <v>16434.370990856871</v>
      </c>
      <c r="Q28" s="320">
        <v>12814.285714285714</v>
      </c>
      <c r="R28" s="319">
        <v>5813.8888888888887</v>
      </c>
      <c r="S28" s="235">
        <f>tblPiNAnalysis[[#This Row],[CCCM]]</f>
        <v>0</v>
      </c>
      <c r="T28" s="236">
        <f>tblPiNAnalysis[[#This Row],[Education]]</f>
        <v>7810.8088363169554</v>
      </c>
      <c r="U28" s="219">
        <f>tblPiNAnalysis[[#This Row],[Nutrition]]</f>
        <v>9979.4566480560989</v>
      </c>
      <c r="V28" s="219">
        <f>tblPiNAnalysis[[#This Row],[Food Security]]</f>
        <v>18946.094558254914</v>
      </c>
      <c r="W28" s="219">
        <f>tblPiNAnalysis[[#This Row],[Health]]</f>
        <v>14421.909777090057</v>
      </c>
      <c r="X28" s="219">
        <f>tblPiNAnalysis[[#This Row],[Overarching Protection]]</f>
        <v>20696</v>
      </c>
      <c r="Y28" s="219">
        <f>tblPiNAnalysis[[#This Row],[Shelter]]</f>
        <v>25870.030094616064</v>
      </c>
      <c r="Z28" s="230">
        <f>tblPiNAnalysis[[#This Row],[WASH]]</f>
        <v>17246.68672974404</v>
      </c>
      <c r="AA28" s="339" t="str">
        <f>IF(OR(tblPiNHistorical[[#This Row],[CCCM - old]]="", tblPiNHistorical[[#This Row],[CCCM - old]]=0, tblPiNHistorical[[#This Row],[CCCM - new]]="", tblPiNHistorical[[#This Row],[CCCM - new]]=0), "", tblPiNHistorical[[#This Row],[CCCM - new]]-tblPiNHistorical[[#This Row],[CCCM - old]])</f>
        <v/>
      </c>
      <c r="AB28" s="340">
        <f>IF(OR(tblPiNHistorical[[#This Row],[Education - old]]="", tblPiNHistorical[[#This Row],[Education - old]]=0, tblPiNHistorical[[#This Row],[Education - new]]="", tblPiNHistorical[[#This Row],[Education - new]]=0), "", tblPiNHistorical[[#This Row],[Education - new]]-tblPiNHistorical[[#This Row],[Education - old]])</f>
        <v>2396.8088363169554</v>
      </c>
      <c r="AC28" s="340">
        <f>IF(OR(tblPiNHistorical[[#This Row],[Nutrition - old]]="", tblPiNHistorical[[#This Row],[Nutrition - old]]=0, tblPiNHistorical[[#This Row],[Nutrition - new]]="", tblPiNHistorical[[#This Row],[Nutrition - new]]=0), "", tblPiNHistorical[[#This Row],[Nutrition - new]]-tblPiNHistorical[[#This Row],[Nutrition - old]])</f>
        <v>2234.6987688246081</v>
      </c>
      <c r="AD28" s="340">
        <f>IF(OR(tblPiNHistorical[[#This Row],[Food Security - old]]="", tblPiNHistorical[[#This Row],[Food Security - old]]=0, tblPiNHistorical[[#This Row],[Food Security - new]]="", tblPiNHistorical[[#This Row],[Food Security - new]]=0), "", tblPiNHistorical[[#This Row],[Food Security - new]]-tblPiNHistorical[[#This Row],[Food Security - old]])</f>
        <v>3324.0945582549139</v>
      </c>
      <c r="AE28" s="340">
        <f>IF(OR(tblPiNHistorical[[#This Row],[Health - old]]="", tblPiNHistorical[[#This Row],[Health - old]]=0, tblPiNHistorical[[#This Row],[Health - new]]="", tblPiNHistorical[[#This Row],[Health - new]]=0), "", tblPiNHistorical[[#This Row],[Health - new]]-tblPiNHistorical[[#This Row],[Health - old]])</f>
        <v>6727.995970881384</v>
      </c>
      <c r="AF2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4261.6290091431292</v>
      </c>
      <c r="AG28" s="340">
        <f>IF(OR(tblPiNHistorical[[#This Row],[Shelter - old]]="", tblPiNHistorical[[#This Row],[Shelter - old]]=0, tblPiNHistorical[[#This Row],[Shelter - new]]="", tblPiNHistorical[[#This Row],[Shelter - new]]=0), "", tblPiNHistorical[[#This Row],[Shelter - new]]-tblPiNHistorical[[#This Row],[Shelter - old]])</f>
        <v>13055.74438033035</v>
      </c>
      <c r="AH28" s="341">
        <f>IF(OR(tblPiNHistorical[[#This Row],[WASH - old]]="", tblPiNHistorical[[#This Row],[WASH - old]]=0, tblPiNHistorical[[#This Row],[WASH - new]]="", tblPiNHistorical[[#This Row],[WASH - new]]=0), "", tblPiNHistorical[[#This Row],[WASH - new]]-tblPiNHistorical[[#This Row],[WASH - old]])</f>
        <v>11432.797840855152</v>
      </c>
      <c r="AI28" s="342">
        <f>IFERROR(ROUND((tblPiNHistorical[[#This Row],[CCCM - new]] - tblPiNHistorical[[#This Row],[CCCM - old]])/tblPiNHistorical[[#This Row],[CCCM - old]], 1), "")</f>
        <v>-1</v>
      </c>
      <c r="AJ28" s="343">
        <f>IFERROR(ROUND((tblPiNHistorical[[#This Row],[Education - new]]-tblPiNHistorical[[#This Row],[Education - old]])/tblPiNHistorical[[#This Row],[Education - old]], 1), "")</f>
        <v>0.4</v>
      </c>
      <c r="AK28" s="343">
        <f>IFERROR(ROUND((tblPiNHistorical[[#This Row],[Nutrition - new]]-tblPiNHistorical[[#This Row],[Nutrition - old]])/tblPiNHistorical[[#This Row],[Nutrition - old]], 1), "")</f>
        <v>0.3</v>
      </c>
      <c r="AL28" s="343">
        <f>IFERROR(ROUND((tblPiNHistorical[[#This Row],[Food Security - new]]-tblPiNHistorical[[#This Row],[Food Security - old]])/tblPiNHistorical[[#This Row],[Food Security - old]], 1), "")</f>
        <v>0.2</v>
      </c>
      <c r="AM28" s="343">
        <f>IFERROR(ROUND((tblPiNHistorical[[#This Row],[Health - new]]-tblPiNHistorical[[#This Row],[Health - old]])/tblPiNHistorical[[#This Row],[Health - old]], 1), "")</f>
        <v>0.9</v>
      </c>
      <c r="AN28" s="343">
        <f>IFERROR(ROUND((tblPiNHistorical[[#This Row],[Overarching Protection - new]]-tblPiNHistorical[[#This Row],[Overarching Protection - old]])/tblPiNHistorical[[#This Row],[Overarching Protection - old]], 1), "")</f>
        <v>0.3</v>
      </c>
      <c r="AO28" s="343">
        <f>IFERROR(ROUND((tblPiNHistorical[[#This Row],[Shelter - new]]-tblPiNHistorical[[#This Row],[Shelter - old]])/tblPiNHistorical[[#This Row],[Shelter - old]], 1), "")</f>
        <v>1</v>
      </c>
      <c r="AP28" s="38">
        <f>IFERROR(ROUND((tblPiNHistorical[[#This Row],[WASH - new]]-tblPiNHistorical[[#This Row],[WASH - old]])/tblPiNHistorical[[#This Row],[WASH - old]], 1), "")</f>
        <v>2</v>
      </c>
      <c r="AQ28" s="406">
        <v>16434.370990856871</v>
      </c>
      <c r="AR28" s="406">
        <v>25870.030094616064</v>
      </c>
    </row>
    <row r="29" spans="1:44" ht="15" customHeight="1" x14ac:dyDescent="0.55000000000000004">
      <c r="A2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9" s="316" t="s">
        <v>268</v>
      </c>
      <c r="C29" s="218" t="s">
        <v>269</v>
      </c>
      <c r="D29" s="218" t="s">
        <v>290</v>
      </c>
      <c r="E29" s="105" t="s">
        <v>291</v>
      </c>
      <c r="F29" s="100"/>
      <c r="G29" s="34"/>
      <c r="H29" s="335"/>
      <c r="I29" s="97"/>
      <c r="J29" s="97" t="s">
        <v>412</v>
      </c>
      <c r="K29" s="336">
        <v>6545</v>
      </c>
      <c r="L29" s="337">
        <v>4225</v>
      </c>
      <c r="M29" s="319">
        <v>10282.273892618377</v>
      </c>
      <c r="N29" s="319">
        <v>15170</v>
      </c>
      <c r="O29" s="319">
        <v>13695.923318570642</v>
      </c>
      <c r="P29" s="319">
        <v>13115.331498734711</v>
      </c>
      <c r="Q29" s="320">
        <v>10737.5</v>
      </c>
      <c r="R29" s="319">
        <v>14725.714285714288</v>
      </c>
      <c r="S29" s="235">
        <f>tblPiNAnalysis[[#This Row],[CCCM]]</f>
        <v>3750</v>
      </c>
      <c r="T29" s="236">
        <f>tblPiNAnalysis[[#This Row],[Education]]</f>
        <v>5890.5930862472778</v>
      </c>
      <c r="U29" s="219">
        <f>tblPiNAnalysis[[#This Row],[Nutrition]]</f>
        <v>12235.778897909482</v>
      </c>
      <c r="V29" s="219">
        <f>tblPiNAnalysis[[#This Row],[Food Security]]</f>
        <v>19540.244000728337</v>
      </c>
      <c r="W29" s="219">
        <f>tblPiNAnalysis[[#This Row],[Health]]</f>
        <v>11494.910930784306</v>
      </c>
      <c r="X29" s="219">
        <f>tblPiNAnalysis[[#This Row],[Overarching Protection]]</f>
        <v>16783</v>
      </c>
      <c r="Y29" s="219">
        <f>tblPiNAnalysis[[#This Row],[Shelter]]</f>
        <v>23976.103995536083</v>
      </c>
      <c r="Z29" s="230">
        <f>tblPiNAnalysis[[#This Row],[WASH]]</f>
        <v>19980.086662946735</v>
      </c>
      <c r="AA29" s="339">
        <f>IF(OR(tblPiNHistorical[[#This Row],[CCCM - old]]="", tblPiNHistorical[[#This Row],[CCCM - old]]=0, tblPiNHistorical[[#This Row],[CCCM - new]]="", tblPiNHistorical[[#This Row],[CCCM - new]]=0), "", tblPiNHistorical[[#This Row],[CCCM - new]]-tblPiNHistorical[[#This Row],[CCCM - old]])</f>
        <v>-2795</v>
      </c>
      <c r="AB29" s="340">
        <f>IF(OR(tblPiNHistorical[[#This Row],[Education - old]]="", tblPiNHistorical[[#This Row],[Education - old]]=0, tblPiNHistorical[[#This Row],[Education - new]]="", tblPiNHistorical[[#This Row],[Education - new]]=0), "", tblPiNHistorical[[#This Row],[Education - new]]-tblPiNHistorical[[#This Row],[Education - old]])</f>
        <v>1665.5930862472778</v>
      </c>
      <c r="AC29" s="340">
        <f>IF(OR(tblPiNHistorical[[#This Row],[Nutrition - old]]="", tblPiNHistorical[[#This Row],[Nutrition - old]]=0, tblPiNHistorical[[#This Row],[Nutrition - new]]="", tblPiNHistorical[[#This Row],[Nutrition - new]]=0), "", tblPiNHistorical[[#This Row],[Nutrition - new]]-tblPiNHistorical[[#This Row],[Nutrition - old]])</f>
        <v>1953.5050052911047</v>
      </c>
      <c r="AD29" s="340">
        <f>IF(OR(tblPiNHistorical[[#This Row],[Food Security - old]]="", tblPiNHistorical[[#This Row],[Food Security - old]]=0, tblPiNHistorical[[#This Row],[Food Security - new]]="", tblPiNHistorical[[#This Row],[Food Security - new]]=0), "", tblPiNHistorical[[#This Row],[Food Security - new]]-tblPiNHistorical[[#This Row],[Food Security - old]])</f>
        <v>4370.2440007283367</v>
      </c>
      <c r="AE29" s="340">
        <f>IF(OR(tblPiNHistorical[[#This Row],[Health - old]]="", tblPiNHistorical[[#This Row],[Health - old]]=0, tblPiNHistorical[[#This Row],[Health - new]]="", tblPiNHistorical[[#This Row],[Health - new]]=0), "", tblPiNHistorical[[#This Row],[Health - new]]-tblPiNHistorical[[#This Row],[Health - old]])</f>
        <v>-2201.0123877863352</v>
      </c>
      <c r="AF2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3667.6685012652888</v>
      </c>
      <c r="AG29" s="340">
        <f>IF(OR(tblPiNHistorical[[#This Row],[Shelter - old]]="", tblPiNHistorical[[#This Row],[Shelter - old]]=0, tblPiNHistorical[[#This Row],[Shelter - new]]="", tblPiNHistorical[[#This Row],[Shelter - new]]=0), "", tblPiNHistorical[[#This Row],[Shelter - new]]-tblPiNHistorical[[#This Row],[Shelter - old]])</f>
        <v>13238.603995536083</v>
      </c>
      <c r="AH29" s="341">
        <f>IF(OR(tblPiNHistorical[[#This Row],[WASH - old]]="", tblPiNHistorical[[#This Row],[WASH - old]]=0, tblPiNHistorical[[#This Row],[WASH - new]]="", tblPiNHistorical[[#This Row],[WASH - new]]=0), "", tblPiNHistorical[[#This Row],[WASH - new]]-tblPiNHistorical[[#This Row],[WASH - old]])</f>
        <v>5254.3723772324465</v>
      </c>
      <c r="AI29" s="342">
        <f>IFERROR(ROUND((tblPiNHistorical[[#This Row],[CCCM - new]] - tblPiNHistorical[[#This Row],[CCCM - old]])/tblPiNHistorical[[#This Row],[CCCM - old]], 1), "")</f>
        <v>-0.4</v>
      </c>
      <c r="AJ29" s="343">
        <f>IFERROR(ROUND((tblPiNHistorical[[#This Row],[Education - new]]-tblPiNHistorical[[#This Row],[Education - old]])/tblPiNHistorical[[#This Row],[Education - old]], 1), "")</f>
        <v>0.4</v>
      </c>
      <c r="AK29" s="343">
        <f>IFERROR(ROUND((tblPiNHistorical[[#This Row],[Nutrition - new]]-tblPiNHistorical[[#This Row],[Nutrition - old]])/tblPiNHistorical[[#This Row],[Nutrition - old]], 1), "")</f>
        <v>0.2</v>
      </c>
      <c r="AL29" s="343">
        <f>IFERROR(ROUND((tblPiNHistorical[[#This Row],[Food Security - new]]-tblPiNHistorical[[#This Row],[Food Security - old]])/tblPiNHistorical[[#This Row],[Food Security - old]], 1), "")</f>
        <v>0.3</v>
      </c>
      <c r="AM29" s="343">
        <f>IFERROR(ROUND((tblPiNHistorical[[#This Row],[Health - new]]-tblPiNHistorical[[#This Row],[Health - old]])/tblPiNHistorical[[#This Row],[Health - old]], 1), "")</f>
        <v>-0.2</v>
      </c>
      <c r="AN29" s="343">
        <f>IFERROR(ROUND((tblPiNHistorical[[#This Row],[Overarching Protection - new]]-tblPiNHistorical[[#This Row],[Overarching Protection - old]])/tblPiNHistorical[[#This Row],[Overarching Protection - old]], 1), "")</f>
        <v>0.3</v>
      </c>
      <c r="AO29" s="343">
        <f>IFERROR(ROUND((tblPiNHistorical[[#This Row],[Shelter - new]]-tblPiNHistorical[[#This Row],[Shelter - old]])/tblPiNHistorical[[#This Row],[Shelter - old]], 1), "")</f>
        <v>1.2</v>
      </c>
      <c r="AP29" s="38">
        <f>IFERROR(ROUND((tblPiNHistorical[[#This Row],[WASH - new]]-tblPiNHistorical[[#This Row],[WASH - old]])/tblPiNHistorical[[#This Row],[WASH - old]], 1), "")</f>
        <v>0.4</v>
      </c>
      <c r="AQ29" s="406">
        <v>15170</v>
      </c>
      <c r="AR29" s="406">
        <v>23976.103995536083</v>
      </c>
    </row>
    <row r="30" spans="1:44" ht="15" customHeight="1" x14ac:dyDescent="0.55000000000000004">
      <c r="A3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0" s="316" t="s">
        <v>292</v>
      </c>
      <c r="C30" s="218" t="s">
        <v>293</v>
      </c>
      <c r="D30" s="218" t="s">
        <v>294</v>
      </c>
      <c r="E30" s="105" t="s">
        <v>295</v>
      </c>
      <c r="F30" s="100"/>
      <c r="G30" s="34"/>
      <c r="H30" s="335"/>
      <c r="I30" s="97"/>
      <c r="J30" s="97" t="s">
        <v>412</v>
      </c>
      <c r="K30" s="336">
        <v>27068</v>
      </c>
      <c r="L30" s="337">
        <v>7636</v>
      </c>
      <c r="M30" s="319">
        <v>17629.632508059069</v>
      </c>
      <c r="N30" s="319">
        <v>30278</v>
      </c>
      <c r="O30" s="319">
        <v>22471.143127085408</v>
      </c>
      <c r="P30" s="319">
        <v>23845.799432644893</v>
      </c>
      <c r="Q30" s="320">
        <v>27494.23076923077</v>
      </c>
      <c r="R30" s="319">
        <v>23532.568807339449</v>
      </c>
      <c r="S30" s="235">
        <f>tblPiNAnalysis[[#This Row],[CCCM]]</f>
        <v>27592.5</v>
      </c>
      <c r="T30" s="236">
        <f>tblPiNAnalysis[[#This Row],[Education]]</f>
        <v>18644.644746991911</v>
      </c>
      <c r="U30" s="219">
        <f>tblPiNAnalysis[[#This Row],[Nutrition]]</f>
        <v>16670.82020771665</v>
      </c>
      <c r="V30" s="219">
        <f>tblPiNAnalysis[[#This Row],[Food Security]]</f>
        <v>31631.790952911062</v>
      </c>
      <c r="W30" s="219">
        <f>tblPiNAnalysis[[#This Row],[Health]]</f>
        <v>23801.97264963109</v>
      </c>
      <c r="X30" s="219">
        <f>tblPiNAnalysis[[#This Row],[Overarching Protection]]</f>
        <v>9694</v>
      </c>
      <c r="Y30" s="219">
        <f>tblPiNAnalysis[[#This Row],[Shelter]]</f>
        <v>39461.327790493742</v>
      </c>
      <c r="Z30" s="230">
        <f>tblPiNAnalysis[[#This Row],[WASH]]</f>
        <v>36501.72820620671</v>
      </c>
      <c r="AA30" s="339">
        <f>IF(OR(tblPiNHistorical[[#This Row],[CCCM - old]]="", tblPiNHistorical[[#This Row],[CCCM - old]]=0, tblPiNHistorical[[#This Row],[CCCM - new]]="", tblPiNHistorical[[#This Row],[CCCM - new]]=0), "", tblPiNHistorical[[#This Row],[CCCM - new]]-tblPiNHistorical[[#This Row],[CCCM - old]])</f>
        <v>524.5</v>
      </c>
      <c r="AB30" s="340">
        <f>IF(OR(tblPiNHistorical[[#This Row],[Education - old]]="", tblPiNHistorical[[#This Row],[Education - old]]=0, tblPiNHistorical[[#This Row],[Education - new]]="", tblPiNHistorical[[#This Row],[Education - new]]=0), "", tblPiNHistorical[[#This Row],[Education - new]]-tblPiNHistorical[[#This Row],[Education - old]])</f>
        <v>11008.644746991911</v>
      </c>
      <c r="AC30" s="340">
        <f>IF(OR(tblPiNHistorical[[#This Row],[Nutrition - old]]="", tblPiNHistorical[[#This Row],[Nutrition - old]]=0, tblPiNHistorical[[#This Row],[Nutrition - new]]="", tblPiNHistorical[[#This Row],[Nutrition - new]]=0), "", tblPiNHistorical[[#This Row],[Nutrition - new]]-tblPiNHistorical[[#This Row],[Nutrition - old]])</f>
        <v>-958.81230034241889</v>
      </c>
      <c r="AD30" s="340">
        <f>IF(OR(tblPiNHistorical[[#This Row],[Food Security - old]]="", tblPiNHistorical[[#This Row],[Food Security - old]]=0, tblPiNHistorical[[#This Row],[Food Security - new]]="", tblPiNHistorical[[#This Row],[Food Security - new]]=0), "", tblPiNHistorical[[#This Row],[Food Security - new]]-tblPiNHistorical[[#This Row],[Food Security - old]])</f>
        <v>1353.790952911062</v>
      </c>
      <c r="AE30" s="340">
        <f>IF(OR(tblPiNHistorical[[#This Row],[Health - old]]="", tblPiNHistorical[[#This Row],[Health - old]]=0, tblPiNHistorical[[#This Row],[Health - new]]="", tblPiNHistorical[[#This Row],[Health - new]]=0), "", tblPiNHistorical[[#This Row],[Health - new]]-tblPiNHistorical[[#This Row],[Health - old]])</f>
        <v>1330.8295225456823</v>
      </c>
      <c r="AF3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-14151.799432644893</v>
      </c>
      <c r="AG30" s="340">
        <f>IF(OR(tblPiNHistorical[[#This Row],[Shelter - old]]="", tblPiNHistorical[[#This Row],[Shelter - old]]=0, tblPiNHistorical[[#This Row],[Shelter - new]]="", tblPiNHistorical[[#This Row],[Shelter - new]]=0), "", tblPiNHistorical[[#This Row],[Shelter - new]]-tblPiNHistorical[[#This Row],[Shelter - old]])</f>
        <v>11967.097021262973</v>
      </c>
      <c r="AH30" s="341">
        <f>IF(OR(tblPiNHistorical[[#This Row],[WASH - old]]="", tblPiNHistorical[[#This Row],[WASH - old]]=0, tblPiNHistorical[[#This Row],[WASH - new]]="", tblPiNHistorical[[#This Row],[WASH - new]]=0), "", tblPiNHistorical[[#This Row],[WASH - new]]-tblPiNHistorical[[#This Row],[WASH - old]])</f>
        <v>12969.159398867261</v>
      </c>
      <c r="AI30" s="342">
        <f>IFERROR(ROUND((tblPiNHistorical[[#This Row],[CCCM - new]] - tblPiNHistorical[[#This Row],[CCCM - old]])/tblPiNHistorical[[#This Row],[CCCM - old]], 1), "")</f>
        <v>0</v>
      </c>
      <c r="AJ30" s="343">
        <f>IFERROR(ROUND((tblPiNHistorical[[#This Row],[Education - new]]-tblPiNHistorical[[#This Row],[Education - old]])/tblPiNHistorical[[#This Row],[Education - old]], 1), "")</f>
        <v>1.4</v>
      </c>
      <c r="AK30" s="343">
        <f>IFERROR(ROUND((tblPiNHistorical[[#This Row],[Nutrition - new]]-tblPiNHistorical[[#This Row],[Nutrition - old]])/tblPiNHistorical[[#This Row],[Nutrition - old]], 1), "")</f>
        <v>-0.1</v>
      </c>
      <c r="AL30" s="343">
        <f>IFERROR(ROUND((tblPiNHistorical[[#This Row],[Food Security - new]]-tblPiNHistorical[[#This Row],[Food Security - old]])/tblPiNHistorical[[#This Row],[Food Security - old]], 1), "")</f>
        <v>0</v>
      </c>
      <c r="AM30" s="343">
        <f>IFERROR(ROUND((tblPiNHistorical[[#This Row],[Health - new]]-tblPiNHistorical[[#This Row],[Health - old]])/tblPiNHistorical[[#This Row],[Health - old]], 1), "")</f>
        <v>0.1</v>
      </c>
      <c r="AN30" s="343">
        <f>IFERROR(ROUND((tblPiNHistorical[[#This Row],[Overarching Protection - new]]-tblPiNHistorical[[#This Row],[Overarching Protection - old]])/tblPiNHistorical[[#This Row],[Overarching Protection - old]], 1), "")</f>
        <v>-0.6</v>
      </c>
      <c r="AO30" s="343">
        <f>IFERROR(ROUND((tblPiNHistorical[[#This Row],[Shelter - new]]-tblPiNHistorical[[#This Row],[Shelter - old]])/tblPiNHistorical[[#This Row],[Shelter - old]], 1), "")</f>
        <v>0.4</v>
      </c>
      <c r="AP30" s="38">
        <f>IFERROR(ROUND((tblPiNHistorical[[#This Row],[WASH - new]]-tblPiNHistorical[[#This Row],[WASH - old]])/tblPiNHistorical[[#This Row],[WASH - old]], 1), "")</f>
        <v>0.6</v>
      </c>
      <c r="AQ30" s="406">
        <v>30278</v>
      </c>
      <c r="AR30" s="406">
        <v>39461.327790493742</v>
      </c>
    </row>
    <row r="31" spans="1:44" ht="15" customHeight="1" x14ac:dyDescent="0.55000000000000004">
      <c r="A3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1" s="316" t="s">
        <v>292</v>
      </c>
      <c r="C31" s="218" t="s">
        <v>293</v>
      </c>
      <c r="D31" s="218" t="s">
        <v>296</v>
      </c>
      <c r="E31" s="105" t="s">
        <v>297</v>
      </c>
      <c r="F31" s="100"/>
      <c r="G31" s="34"/>
      <c r="H31" s="335"/>
      <c r="I31" s="97"/>
      <c r="J31" s="97" t="s">
        <v>412</v>
      </c>
      <c r="K31" s="336">
        <v>1302.75</v>
      </c>
      <c r="L31" s="337">
        <v>1883</v>
      </c>
      <c r="M31" s="319">
        <v>1593.388129693768</v>
      </c>
      <c r="N31" s="319">
        <v>4058</v>
      </c>
      <c r="O31" s="319">
        <v>3442.4385858028509</v>
      </c>
      <c r="P31" s="319">
        <v>4751.8393979930197</v>
      </c>
      <c r="Q31" s="320">
        <v>5211</v>
      </c>
      <c r="R31" s="319">
        <v>192.99999999999997</v>
      </c>
      <c r="S31" s="235">
        <f>tblPiNAnalysis[[#This Row],[CCCM]]</f>
        <v>0</v>
      </c>
      <c r="T31" s="236">
        <f>tblPiNAnalysis[[#This Row],[Education]]</f>
        <v>1524.9950226490353</v>
      </c>
      <c r="U31" s="219">
        <f>tblPiNAnalysis[[#This Row],[Nutrition]]</f>
        <v>1761.9655989273585</v>
      </c>
      <c r="V31" s="219">
        <f>tblPiNAnalysis[[#This Row],[Food Security]]</f>
        <v>2820.6659228924295</v>
      </c>
      <c r="W31" s="219">
        <f>tblPiNAnalysis[[#This Row],[Health]]</f>
        <v>2281.8772120135632</v>
      </c>
      <c r="X31" s="219">
        <f>tblPiNAnalysis[[#This Row],[Overarching Protection]]</f>
        <v>1089</v>
      </c>
      <c r="Y31" s="219">
        <f>tblPiNAnalysis[[#This Row],[Shelter]]</f>
        <v>2721.8736237073922</v>
      </c>
      <c r="Z31" s="230">
        <f>tblPiNAnalysis[[#This Row],[WASH]]</f>
        <v>3578.7597645041642</v>
      </c>
      <c r="AA31" s="339" t="str">
        <f>IF(OR(tblPiNHistorical[[#This Row],[CCCM - old]]="", tblPiNHistorical[[#This Row],[CCCM - old]]=0, tblPiNHistorical[[#This Row],[CCCM - new]]="", tblPiNHistorical[[#This Row],[CCCM - new]]=0), "", tblPiNHistorical[[#This Row],[CCCM - new]]-tblPiNHistorical[[#This Row],[CCCM - old]])</f>
        <v/>
      </c>
      <c r="AB31" s="340">
        <f>IF(OR(tblPiNHistorical[[#This Row],[Education - old]]="", tblPiNHistorical[[#This Row],[Education - old]]=0, tblPiNHistorical[[#This Row],[Education - new]]="", tblPiNHistorical[[#This Row],[Education - new]]=0), "", tblPiNHistorical[[#This Row],[Education - new]]-tblPiNHistorical[[#This Row],[Education - old]])</f>
        <v>-358.00497735096474</v>
      </c>
      <c r="AC31" s="340">
        <f>IF(OR(tblPiNHistorical[[#This Row],[Nutrition - old]]="", tblPiNHistorical[[#This Row],[Nutrition - old]]=0, tblPiNHistorical[[#This Row],[Nutrition - new]]="", tblPiNHistorical[[#This Row],[Nutrition - new]]=0), "", tblPiNHistorical[[#This Row],[Nutrition - new]]-tblPiNHistorical[[#This Row],[Nutrition - old]])</f>
        <v>168.57746923359059</v>
      </c>
      <c r="AD31" s="340">
        <f>IF(OR(tblPiNHistorical[[#This Row],[Food Security - old]]="", tblPiNHistorical[[#This Row],[Food Security - old]]=0, tblPiNHistorical[[#This Row],[Food Security - new]]="", tblPiNHistorical[[#This Row],[Food Security - new]]=0), "", tblPiNHistorical[[#This Row],[Food Security - new]]-tblPiNHistorical[[#This Row],[Food Security - old]])</f>
        <v>-1237.3340771075705</v>
      </c>
      <c r="AE31" s="340">
        <f>IF(OR(tblPiNHistorical[[#This Row],[Health - old]]="", tblPiNHistorical[[#This Row],[Health - old]]=0, tblPiNHistorical[[#This Row],[Health - new]]="", tblPiNHistorical[[#This Row],[Health - new]]=0), "", tblPiNHistorical[[#This Row],[Health - new]]-tblPiNHistorical[[#This Row],[Health - old]])</f>
        <v>-1160.5613737892877</v>
      </c>
      <c r="AF3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-3662.8393979930197</v>
      </c>
      <c r="AG31" s="340">
        <f>IF(OR(tblPiNHistorical[[#This Row],[Shelter - old]]="", tblPiNHistorical[[#This Row],[Shelter - old]]=0, tblPiNHistorical[[#This Row],[Shelter - new]]="", tblPiNHistorical[[#This Row],[Shelter - new]]=0), "", tblPiNHistorical[[#This Row],[Shelter - new]]-tblPiNHistorical[[#This Row],[Shelter - old]])</f>
        <v>-2489.1263762926078</v>
      </c>
      <c r="AH31" s="341">
        <f>IF(OR(tblPiNHistorical[[#This Row],[WASH - old]]="", tblPiNHistorical[[#This Row],[WASH - old]]=0, tblPiNHistorical[[#This Row],[WASH - new]]="", tblPiNHistorical[[#This Row],[WASH - new]]=0), "", tblPiNHistorical[[#This Row],[WASH - new]]-tblPiNHistorical[[#This Row],[WASH - old]])</f>
        <v>3385.7597645041642</v>
      </c>
      <c r="AI31" s="342">
        <f>IFERROR(ROUND((tblPiNHistorical[[#This Row],[CCCM - new]] - tblPiNHistorical[[#This Row],[CCCM - old]])/tblPiNHistorical[[#This Row],[CCCM - old]], 1), "")</f>
        <v>-1</v>
      </c>
      <c r="AJ31" s="343">
        <f>IFERROR(ROUND((tblPiNHistorical[[#This Row],[Education - new]]-tblPiNHistorical[[#This Row],[Education - old]])/tblPiNHistorical[[#This Row],[Education - old]], 1), "")</f>
        <v>-0.2</v>
      </c>
      <c r="AK31" s="343">
        <f>IFERROR(ROUND((tblPiNHistorical[[#This Row],[Nutrition - new]]-tblPiNHistorical[[#This Row],[Nutrition - old]])/tblPiNHistorical[[#This Row],[Nutrition - old]], 1), "")</f>
        <v>0.1</v>
      </c>
      <c r="AL31" s="343">
        <f>IFERROR(ROUND((tblPiNHistorical[[#This Row],[Food Security - new]]-tblPiNHistorical[[#This Row],[Food Security - old]])/tblPiNHistorical[[#This Row],[Food Security - old]], 1), "")</f>
        <v>-0.3</v>
      </c>
      <c r="AM31" s="343">
        <f>IFERROR(ROUND((tblPiNHistorical[[#This Row],[Health - new]]-tblPiNHistorical[[#This Row],[Health - old]])/tblPiNHistorical[[#This Row],[Health - old]], 1), "")</f>
        <v>-0.3</v>
      </c>
      <c r="AN31" s="343">
        <f>IFERROR(ROUND((tblPiNHistorical[[#This Row],[Overarching Protection - new]]-tblPiNHistorical[[#This Row],[Overarching Protection - old]])/tblPiNHistorical[[#This Row],[Overarching Protection - old]], 1), "")</f>
        <v>-0.8</v>
      </c>
      <c r="AO31" s="343">
        <f>IFERROR(ROUND((tblPiNHistorical[[#This Row],[Shelter - new]]-tblPiNHistorical[[#This Row],[Shelter - old]])/tblPiNHistorical[[#This Row],[Shelter - old]], 1), "")</f>
        <v>-0.5</v>
      </c>
      <c r="AP31" s="38">
        <f>IFERROR(ROUND((tblPiNHistorical[[#This Row],[WASH - new]]-tblPiNHistorical[[#This Row],[WASH - old]])/tblPiNHistorical[[#This Row],[WASH - old]], 1), "")</f>
        <v>17.5</v>
      </c>
      <c r="AQ31" s="406">
        <v>5211</v>
      </c>
      <c r="AR31" s="406">
        <v>3578.7597645041642</v>
      </c>
    </row>
    <row r="32" spans="1:44" ht="15" customHeight="1" x14ac:dyDescent="0.55000000000000004">
      <c r="A3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2" s="316" t="s">
        <v>292</v>
      </c>
      <c r="C32" s="218" t="s">
        <v>293</v>
      </c>
      <c r="D32" s="218" t="s">
        <v>298</v>
      </c>
      <c r="E32" s="105" t="s">
        <v>299</v>
      </c>
      <c r="F32" s="100"/>
      <c r="G32" s="34"/>
      <c r="H32" s="335"/>
      <c r="I32" s="97"/>
      <c r="J32" s="97" t="s">
        <v>412</v>
      </c>
      <c r="K32" s="336">
        <v>615.5</v>
      </c>
      <c r="L32" s="337">
        <v>882</v>
      </c>
      <c r="M32" s="319">
        <v>897.47485245997177</v>
      </c>
      <c r="N32" s="319">
        <v>1766</v>
      </c>
      <c r="O32" s="319">
        <v>1085.4991003790067</v>
      </c>
      <c r="P32" s="319">
        <v>1655.3141089039998</v>
      </c>
      <c r="Q32" s="320">
        <v>1805.4666666666667</v>
      </c>
      <c r="R32" s="319">
        <v>136.77777777777777</v>
      </c>
      <c r="S32" s="235">
        <f>tblPiNAnalysis[[#This Row],[CCCM]]</f>
        <v>0</v>
      </c>
      <c r="T32" s="236">
        <f>tblPiNAnalysis[[#This Row],[Education]]</f>
        <v>770.42874910787771</v>
      </c>
      <c r="U32" s="219">
        <f>tblPiNAnalysis[[#This Row],[Nutrition]]</f>
        <v>936.82857757413524</v>
      </c>
      <c r="V32" s="219">
        <f>tblPiNAnalysis[[#This Row],[Food Security]]</f>
        <v>2086.7142353334721</v>
      </c>
      <c r="W32" s="219">
        <f>tblPiNAnalysis[[#This Row],[Health]]</f>
        <v>1464.6374692423374</v>
      </c>
      <c r="X32" s="219">
        <f>tblPiNAnalysis[[#This Row],[Overarching Protection]]</f>
        <v>584</v>
      </c>
      <c r="Y32" s="219">
        <f>tblPiNAnalysis[[#This Row],[Shelter]]</f>
        <v>0</v>
      </c>
      <c r="Z32" s="230">
        <f>tblPiNAnalysis[[#This Row],[WASH]]</f>
        <v>1420.4381149722392</v>
      </c>
      <c r="AA32" s="339" t="str">
        <f>IF(OR(tblPiNHistorical[[#This Row],[CCCM - old]]="", tblPiNHistorical[[#This Row],[CCCM - old]]=0, tblPiNHistorical[[#This Row],[CCCM - new]]="", tblPiNHistorical[[#This Row],[CCCM - new]]=0), "", tblPiNHistorical[[#This Row],[CCCM - new]]-tblPiNHistorical[[#This Row],[CCCM - old]])</f>
        <v/>
      </c>
      <c r="AB32" s="340">
        <f>IF(OR(tblPiNHistorical[[#This Row],[Education - old]]="", tblPiNHistorical[[#This Row],[Education - old]]=0, tblPiNHistorical[[#This Row],[Education - new]]="", tblPiNHistorical[[#This Row],[Education - new]]=0), "", tblPiNHistorical[[#This Row],[Education - new]]-tblPiNHistorical[[#This Row],[Education - old]])</f>
        <v>-111.57125089212229</v>
      </c>
      <c r="AC32" s="340">
        <f>IF(OR(tblPiNHistorical[[#This Row],[Nutrition - old]]="", tblPiNHistorical[[#This Row],[Nutrition - old]]=0, tblPiNHistorical[[#This Row],[Nutrition - new]]="", tblPiNHistorical[[#This Row],[Nutrition - new]]=0), "", tblPiNHistorical[[#This Row],[Nutrition - new]]-tblPiNHistorical[[#This Row],[Nutrition - old]])</f>
        <v>39.353725114163467</v>
      </c>
      <c r="AD32" s="340">
        <f>IF(OR(tblPiNHistorical[[#This Row],[Food Security - old]]="", tblPiNHistorical[[#This Row],[Food Security - old]]=0, tblPiNHistorical[[#This Row],[Food Security - new]]="", tblPiNHistorical[[#This Row],[Food Security - new]]=0), "", tblPiNHistorical[[#This Row],[Food Security - new]]-tblPiNHistorical[[#This Row],[Food Security - old]])</f>
        <v>320.71423533347206</v>
      </c>
      <c r="AE32" s="340">
        <f>IF(OR(tblPiNHistorical[[#This Row],[Health - old]]="", tblPiNHistorical[[#This Row],[Health - old]]=0, tblPiNHistorical[[#This Row],[Health - new]]="", tblPiNHistorical[[#This Row],[Health - new]]=0), "", tblPiNHistorical[[#This Row],[Health - new]]-tblPiNHistorical[[#This Row],[Health - old]])</f>
        <v>379.1383688633307</v>
      </c>
      <c r="AF3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-1071.3141089039998</v>
      </c>
      <c r="AG32" s="340" t="str">
        <f>IF(OR(tblPiNHistorical[[#This Row],[Shelter - old]]="", tblPiNHistorical[[#This Row],[Shelter - old]]=0, tblPiNHistorical[[#This Row],[Shelter - new]]="", tblPiNHistorical[[#This Row],[Shelter - new]]=0), "", tblPiNHistorical[[#This Row],[Shelter - new]]-tblPiNHistorical[[#This Row],[Shelter - old]])</f>
        <v/>
      </c>
      <c r="AH32" s="341">
        <f>IF(OR(tblPiNHistorical[[#This Row],[WASH - old]]="", tblPiNHistorical[[#This Row],[WASH - old]]=0, tblPiNHistorical[[#This Row],[WASH - new]]="", tblPiNHistorical[[#This Row],[WASH - new]]=0), "", tblPiNHistorical[[#This Row],[WASH - new]]-tblPiNHistorical[[#This Row],[WASH - old]])</f>
        <v>1283.6603371944614</v>
      </c>
      <c r="AI32" s="342">
        <f>IFERROR(ROUND((tblPiNHistorical[[#This Row],[CCCM - new]] - tblPiNHistorical[[#This Row],[CCCM - old]])/tblPiNHistorical[[#This Row],[CCCM - old]], 1), "")</f>
        <v>-1</v>
      </c>
      <c r="AJ32" s="343">
        <f>IFERROR(ROUND((tblPiNHistorical[[#This Row],[Education - new]]-tblPiNHistorical[[#This Row],[Education - old]])/tblPiNHistorical[[#This Row],[Education - old]], 1), "")</f>
        <v>-0.1</v>
      </c>
      <c r="AK32" s="343">
        <f>IFERROR(ROUND((tblPiNHistorical[[#This Row],[Nutrition - new]]-tblPiNHistorical[[#This Row],[Nutrition - old]])/tblPiNHistorical[[#This Row],[Nutrition - old]], 1), "")</f>
        <v>0</v>
      </c>
      <c r="AL32" s="343">
        <f>IFERROR(ROUND((tblPiNHistorical[[#This Row],[Food Security - new]]-tblPiNHistorical[[#This Row],[Food Security - old]])/tblPiNHistorical[[#This Row],[Food Security - old]], 1), "")</f>
        <v>0.2</v>
      </c>
      <c r="AM32" s="343">
        <f>IFERROR(ROUND((tblPiNHistorical[[#This Row],[Health - new]]-tblPiNHistorical[[#This Row],[Health - old]])/tblPiNHistorical[[#This Row],[Health - old]], 1), "")</f>
        <v>0.3</v>
      </c>
      <c r="AN32" s="343">
        <f>IFERROR(ROUND((tblPiNHistorical[[#This Row],[Overarching Protection - new]]-tblPiNHistorical[[#This Row],[Overarching Protection - old]])/tblPiNHistorical[[#This Row],[Overarching Protection - old]], 1), "")</f>
        <v>-0.6</v>
      </c>
      <c r="AO32" s="343">
        <f>IFERROR(ROUND((tblPiNHistorical[[#This Row],[Shelter - new]]-tblPiNHistorical[[#This Row],[Shelter - old]])/tblPiNHistorical[[#This Row],[Shelter - old]], 1), "")</f>
        <v>-1</v>
      </c>
      <c r="AP32" s="38">
        <f>IFERROR(ROUND((tblPiNHistorical[[#This Row],[WASH - new]]-tblPiNHistorical[[#This Row],[WASH - old]])/tblPiNHistorical[[#This Row],[WASH - old]], 1), "")</f>
        <v>9.4</v>
      </c>
      <c r="AQ32" s="406">
        <v>1805.4666666666667</v>
      </c>
      <c r="AR32" s="406">
        <v>2086.7142353334721</v>
      </c>
    </row>
    <row r="33" spans="1:44" ht="15" customHeight="1" x14ac:dyDescent="0.55000000000000004">
      <c r="A3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3" s="316" t="s">
        <v>292</v>
      </c>
      <c r="C33" s="218" t="s">
        <v>293</v>
      </c>
      <c r="D33" s="218" t="s">
        <v>300</v>
      </c>
      <c r="E33" s="105" t="s">
        <v>301</v>
      </c>
      <c r="F33" s="100"/>
      <c r="G33" s="34"/>
      <c r="H33" s="335"/>
      <c r="I33" s="97"/>
      <c r="J33" s="97" t="s">
        <v>412</v>
      </c>
      <c r="K33" s="336">
        <v>2748.75</v>
      </c>
      <c r="L33" s="337">
        <v>1009</v>
      </c>
      <c r="M33" s="319">
        <v>1726.9736674286082</v>
      </c>
      <c r="N33" s="319">
        <v>5285</v>
      </c>
      <c r="O33" s="319">
        <v>5838.2477956541015</v>
      </c>
      <c r="P33" s="319">
        <v>3607.5231597387192</v>
      </c>
      <c r="Q33" s="320">
        <v>0</v>
      </c>
      <c r="R33" s="319">
        <v>1182.3589743589744</v>
      </c>
      <c r="S33" s="235">
        <f>tblPiNAnalysis[[#This Row],[CCCM]]</f>
        <v>1961.25</v>
      </c>
      <c r="T33" s="236">
        <f>tblPiNAnalysis[[#This Row],[Education]]</f>
        <v>974.6032897238814</v>
      </c>
      <c r="U33" s="219">
        <f>tblPiNAnalysis[[#This Row],[Nutrition]]</f>
        <v>2225.9042651408727</v>
      </c>
      <c r="V33" s="219">
        <f>tblPiNAnalysis[[#This Row],[Food Security]]</f>
        <v>5229.8277387173584</v>
      </c>
      <c r="W33" s="219">
        <f>tblPiNAnalysis[[#This Row],[Health]]</f>
        <v>2473.1027379150541</v>
      </c>
      <c r="X33" s="219">
        <f>tblPiNAnalysis[[#This Row],[Overarching Protection]]</f>
        <v>1362</v>
      </c>
      <c r="Y33" s="219">
        <f>tblPiNAnalysis[[#This Row],[Shelter]]</f>
        <v>6808.1234044964567</v>
      </c>
      <c r="Z33" s="230">
        <f>tblPiNAnalysis[[#This Row],[WASH]]</f>
        <v>3656.2144209332823</v>
      </c>
      <c r="AA33" s="339">
        <f>IF(OR(tblPiNHistorical[[#This Row],[CCCM - old]]="", tblPiNHistorical[[#This Row],[CCCM - old]]=0, tblPiNHistorical[[#This Row],[CCCM - new]]="", tblPiNHistorical[[#This Row],[CCCM - new]]=0), "", tblPiNHistorical[[#This Row],[CCCM - new]]-tblPiNHistorical[[#This Row],[CCCM - old]])</f>
        <v>-787.5</v>
      </c>
      <c r="AB33" s="340">
        <f>IF(OR(tblPiNHistorical[[#This Row],[Education - old]]="", tblPiNHistorical[[#This Row],[Education - old]]=0, tblPiNHistorical[[#This Row],[Education - new]]="", tblPiNHistorical[[#This Row],[Education - new]]=0), "", tblPiNHistorical[[#This Row],[Education - new]]-tblPiNHistorical[[#This Row],[Education - old]])</f>
        <v>-34.396710276118597</v>
      </c>
      <c r="AC33" s="340">
        <f>IF(OR(tblPiNHistorical[[#This Row],[Nutrition - old]]="", tblPiNHistorical[[#This Row],[Nutrition - old]]=0, tblPiNHistorical[[#This Row],[Nutrition - new]]="", tblPiNHistorical[[#This Row],[Nutrition - new]]=0), "", tblPiNHistorical[[#This Row],[Nutrition - new]]-tblPiNHistorical[[#This Row],[Nutrition - old]])</f>
        <v>498.93059771226444</v>
      </c>
      <c r="AD33" s="340">
        <f>IF(OR(tblPiNHistorical[[#This Row],[Food Security - old]]="", tblPiNHistorical[[#This Row],[Food Security - old]]=0, tblPiNHistorical[[#This Row],[Food Security - new]]="", tblPiNHistorical[[#This Row],[Food Security - new]]=0), "", tblPiNHistorical[[#This Row],[Food Security - new]]-tblPiNHistorical[[#This Row],[Food Security - old]])</f>
        <v>-55.172261282641557</v>
      </c>
      <c r="AE33" s="340">
        <f>IF(OR(tblPiNHistorical[[#This Row],[Health - old]]="", tblPiNHistorical[[#This Row],[Health - old]]=0, tblPiNHistorical[[#This Row],[Health - new]]="", tblPiNHistorical[[#This Row],[Health - new]]=0), "", tblPiNHistorical[[#This Row],[Health - new]]-tblPiNHistorical[[#This Row],[Health - old]])</f>
        <v>-3365.1450577390474</v>
      </c>
      <c r="AF3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-2245.5231597387192</v>
      </c>
      <c r="AG33" s="340" t="str">
        <f>IF(OR(tblPiNHistorical[[#This Row],[Shelter - old]]="", tblPiNHistorical[[#This Row],[Shelter - old]]=0, tblPiNHistorical[[#This Row],[Shelter - new]]="", tblPiNHistorical[[#This Row],[Shelter - new]]=0), "", tblPiNHistorical[[#This Row],[Shelter - new]]-tblPiNHistorical[[#This Row],[Shelter - old]])</f>
        <v/>
      </c>
      <c r="AH33" s="341">
        <f>IF(OR(tblPiNHistorical[[#This Row],[WASH - old]]="", tblPiNHistorical[[#This Row],[WASH - old]]=0, tblPiNHistorical[[#This Row],[WASH - new]]="", tblPiNHistorical[[#This Row],[WASH - new]]=0), "", tblPiNHistorical[[#This Row],[WASH - new]]-tblPiNHistorical[[#This Row],[WASH - old]])</f>
        <v>2473.8554465743082</v>
      </c>
      <c r="AI33" s="342">
        <f>IFERROR(ROUND((tblPiNHistorical[[#This Row],[CCCM - new]] - tblPiNHistorical[[#This Row],[CCCM - old]])/tblPiNHistorical[[#This Row],[CCCM - old]], 1), "")</f>
        <v>-0.3</v>
      </c>
      <c r="AJ33" s="343">
        <f>IFERROR(ROUND((tblPiNHistorical[[#This Row],[Education - new]]-tblPiNHistorical[[#This Row],[Education - old]])/tblPiNHistorical[[#This Row],[Education - old]], 1), "")</f>
        <v>0</v>
      </c>
      <c r="AK33" s="343">
        <f>IFERROR(ROUND((tblPiNHistorical[[#This Row],[Nutrition - new]]-tblPiNHistorical[[#This Row],[Nutrition - old]])/tblPiNHistorical[[#This Row],[Nutrition - old]], 1), "")</f>
        <v>0.3</v>
      </c>
      <c r="AL33" s="343">
        <f>IFERROR(ROUND((tblPiNHistorical[[#This Row],[Food Security - new]]-tblPiNHistorical[[#This Row],[Food Security - old]])/tblPiNHistorical[[#This Row],[Food Security - old]], 1), "")</f>
        <v>0</v>
      </c>
      <c r="AM33" s="343">
        <f>IFERROR(ROUND((tblPiNHistorical[[#This Row],[Health - new]]-tblPiNHistorical[[#This Row],[Health - old]])/tblPiNHistorical[[#This Row],[Health - old]], 1), "")</f>
        <v>-0.6</v>
      </c>
      <c r="AN33" s="343">
        <f>IFERROR(ROUND((tblPiNHistorical[[#This Row],[Overarching Protection - new]]-tblPiNHistorical[[#This Row],[Overarching Protection - old]])/tblPiNHistorical[[#This Row],[Overarching Protection - old]], 1), "")</f>
        <v>-0.6</v>
      </c>
      <c r="AO33" s="343" t="str">
        <f>IFERROR(ROUND((tblPiNHistorical[[#This Row],[Shelter - new]]-tblPiNHistorical[[#This Row],[Shelter - old]])/tblPiNHistorical[[#This Row],[Shelter - old]], 1), "")</f>
        <v/>
      </c>
      <c r="AP33" s="38">
        <f>IFERROR(ROUND((tblPiNHistorical[[#This Row],[WASH - new]]-tblPiNHistorical[[#This Row],[WASH - old]])/tblPiNHistorical[[#This Row],[WASH - old]], 1), "")</f>
        <v>2.1</v>
      </c>
      <c r="AQ33" s="406">
        <v>5838.2477956541015</v>
      </c>
      <c r="AR33" s="406">
        <v>6808.1234044964567</v>
      </c>
    </row>
    <row r="34" spans="1:44" ht="15" customHeight="1" x14ac:dyDescent="0.55000000000000004">
      <c r="A3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4" s="316" t="s">
        <v>292</v>
      </c>
      <c r="C34" s="218" t="s">
        <v>293</v>
      </c>
      <c r="D34" s="218" t="s">
        <v>302</v>
      </c>
      <c r="E34" s="105" t="s">
        <v>303</v>
      </c>
      <c r="F34" s="100"/>
      <c r="G34" s="34"/>
      <c r="H34" s="335"/>
      <c r="I34" s="97"/>
      <c r="J34" s="97" t="s">
        <v>412</v>
      </c>
      <c r="K34" s="336">
        <v>4660.75</v>
      </c>
      <c r="L34" s="337">
        <v>6296</v>
      </c>
      <c r="M34" s="319">
        <v>4702.4492200552904</v>
      </c>
      <c r="N34" s="319">
        <v>14731</v>
      </c>
      <c r="O34" s="319">
        <v>8249.2478401262888</v>
      </c>
      <c r="P34" s="319">
        <v>9867.1807564052197</v>
      </c>
      <c r="Q34" s="320">
        <v>5126.8249999999998</v>
      </c>
      <c r="R34" s="319">
        <v>7940.5370370370365</v>
      </c>
      <c r="S34" s="235">
        <f>tblPiNAnalysis[[#This Row],[CCCM]]</f>
        <v>0</v>
      </c>
      <c r="T34" s="236">
        <f>tblPiNAnalysis[[#This Row],[Education]]</f>
        <v>6297.210323174766</v>
      </c>
      <c r="U34" s="219">
        <f>tblPiNAnalysis[[#This Row],[Nutrition]]</f>
        <v>7424.7877396599824</v>
      </c>
      <c r="V34" s="219">
        <f>tblPiNAnalysis[[#This Row],[Food Security]]</f>
        <v>16423.63054500983</v>
      </c>
      <c r="W34" s="219">
        <f>tblPiNAnalysis[[#This Row],[Health]]</f>
        <v>12362.758698726082</v>
      </c>
      <c r="X34" s="219">
        <f>tblPiNAnalysis[[#This Row],[Overarching Protection]]</f>
        <v>4385</v>
      </c>
      <c r="Y34" s="219">
        <f>tblPiNAnalysis[[#This Row],[Shelter]]</f>
        <v>16898.630855553747</v>
      </c>
      <c r="Z34" s="230">
        <f>tblPiNAnalysis[[#This Row],[WASH]]</f>
        <v>4288.4042637550656</v>
      </c>
      <c r="AA34" s="339" t="str">
        <f>IF(OR(tblPiNHistorical[[#This Row],[CCCM - old]]="", tblPiNHistorical[[#This Row],[CCCM - old]]=0, tblPiNHistorical[[#This Row],[CCCM - new]]="", tblPiNHistorical[[#This Row],[CCCM - new]]=0), "", tblPiNHistorical[[#This Row],[CCCM - new]]-tblPiNHistorical[[#This Row],[CCCM - old]])</f>
        <v/>
      </c>
      <c r="AB34" s="340">
        <f>IF(OR(tblPiNHistorical[[#This Row],[Education - old]]="", tblPiNHistorical[[#This Row],[Education - old]]=0, tblPiNHistorical[[#This Row],[Education - new]]="", tblPiNHistorical[[#This Row],[Education - new]]=0), "", tblPiNHistorical[[#This Row],[Education - new]]-tblPiNHistorical[[#This Row],[Education - old]])</f>
        <v>1.2103231747660175</v>
      </c>
      <c r="AC34" s="340">
        <f>IF(OR(tblPiNHistorical[[#This Row],[Nutrition - old]]="", tblPiNHistorical[[#This Row],[Nutrition - old]]=0, tblPiNHistorical[[#This Row],[Nutrition - new]]="", tblPiNHistorical[[#This Row],[Nutrition - new]]=0), "", tblPiNHistorical[[#This Row],[Nutrition - new]]-tblPiNHistorical[[#This Row],[Nutrition - old]])</f>
        <v>2722.338519604692</v>
      </c>
      <c r="AD34" s="340">
        <f>IF(OR(tblPiNHistorical[[#This Row],[Food Security - old]]="", tblPiNHistorical[[#This Row],[Food Security - old]]=0, tblPiNHistorical[[#This Row],[Food Security - new]]="", tblPiNHistorical[[#This Row],[Food Security - new]]=0), "", tblPiNHistorical[[#This Row],[Food Security - new]]-tblPiNHistorical[[#This Row],[Food Security - old]])</f>
        <v>1692.6305450098298</v>
      </c>
      <c r="AE34" s="340">
        <f>IF(OR(tblPiNHistorical[[#This Row],[Health - old]]="", tblPiNHistorical[[#This Row],[Health - old]]=0, tblPiNHistorical[[#This Row],[Health - new]]="", tblPiNHistorical[[#This Row],[Health - new]]=0), "", tblPiNHistorical[[#This Row],[Health - new]]-tblPiNHistorical[[#This Row],[Health - old]])</f>
        <v>4113.5108585997932</v>
      </c>
      <c r="AF3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-5482.1807564052197</v>
      </c>
      <c r="AG34" s="340">
        <f>IF(OR(tblPiNHistorical[[#This Row],[Shelter - old]]="", tblPiNHistorical[[#This Row],[Shelter - old]]=0, tblPiNHistorical[[#This Row],[Shelter - new]]="", tblPiNHistorical[[#This Row],[Shelter - new]]=0), "", tblPiNHistorical[[#This Row],[Shelter - new]]-tblPiNHistorical[[#This Row],[Shelter - old]])</f>
        <v>11771.805855553746</v>
      </c>
      <c r="AH34" s="341">
        <f>IF(OR(tblPiNHistorical[[#This Row],[WASH - old]]="", tblPiNHistorical[[#This Row],[WASH - old]]=0, tblPiNHistorical[[#This Row],[WASH - new]]="", tblPiNHistorical[[#This Row],[WASH - new]]=0), "", tblPiNHistorical[[#This Row],[WASH - new]]-tblPiNHistorical[[#This Row],[WASH - old]])</f>
        <v>-3652.1327732819709</v>
      </c>
      <c r="AI34" s="342">
        <f>IFERROR(ROUND((tblPiNHistorical[[#This Row],[CCCM - new]] - tblPiNHistorical[[#This Row],[CCCM - old]])/tblPiNHistorical[[#This Row],[CCCM - old]], 1), "")</f>
        <v>-1</v>
      </c>
      <c r="AJ34" s="343">
        <f>IFERROR(ROUND((tblPiNHistorical[[#This Row],[Education - new]]-tblPiNHistorical[[#This Row],[Education - old]])/tblPiNHistorical[[#This Row],[Education - old]], 1), "")</f>
        <v>0</v>
      </c>
      <c r="AK34" s="343">
        <f>IFERROR(ROUND((tblPiNHistorical[[#This Row],[Nutrition - new]]-tblPiNHistorical[[#This Row],[Nutrition - old]])/tblPiNHistorical[[#This Row],[Nutrition - old]], 1), "")</f>
        <v>0.6</v>
      </c>
      <c r="AL34" s="343">
        <f>IFERROR(ROUND((tblPiNHistorical[[#This Row],[Food Security - new]]-tblPiNHistorical[[#This Row],[Food Security - old]])/tblPiNHistorical[[#This Row],[Food Security - old]], 1), "")</f>
        <v>0.1</v>
      </c>
      <c r="AM34" s="343">
        <f>IFERROR(ROUND((tblPiNHistorical[[#This Row],[Health - new]]-tblPiNHistorical[[#This Row],[Health - old]])/tblPiNHistorical[[#This Row],[Health - old]], 1), "")</f>
        <v>0.5</v>
      </c>
      <c r="AN34" s="343">
        <f>IFERROR(ROUND((tblPiNHistorical[[#This Row],[Overarching Protection - new]]-tblPiNHistorical[[#This Row],[Overarching Protection - old]])/tblPiNHistorical[[#This Row],[Overarching Protection - old]], 1), "")</f>
        <v>-0.6</v>
      </c>
      <c r="AO34" s="343">
        <f>IFERROR(ROUND((tblPiNHistorical[[#This Row],[Shelter - new]]-tblPiNHistorical[[#This Row],[Shelter - old]])/tblPiNHistorical[[#This Row],[Shelter - old]], 1), "")</f>
        <v>2.2999999999999998</v>
      </c>
      <c r="AP34" s="38">
        <f>IFERROR(ROUND((tblPiNHistorical[[#This Row],[WASH - new]]-tblPiNHistorical[[#This Row],[WASH - old]])/tblPiNHistorical[[#This Row],[WASH - old]], 1), "")</f>
        <v>-0.5</v>
      </c>
      <c r="AQ34" s="406">
        <v>14731</v>
      </c>
      <c r="AR34" s="406">
        <v>16898.630855553747</v>
      </c>
    </row>
    <row r="35" spans="1:44" ht="15" customHeight="1" x14ac:dyDescent="0.55000000000000004">
      <c r="A3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5" s="316" t="s">
        <v>292</v>
      </c>
      <c r="C35" s="218" t="s">
        <v>293</v>
      </c>
      <c r="D35" s="218" t="s">
        <v>304</v>
      </c>
      <c r="E35" s="105" t="s">
        <v>305</v>
      </c>
      <c r="F35" s="100"/>
      <c r="G35" s="34"/>
      <c r="H35" s="335"/>
      <c r="I35" s="97"/>
      <c r="J35" s="97" t="s">
        <v>412</v>
      </c>
      <c r="K35" s="336">
        <v>2481.5</v>
      </c>
      <c r="L35" s="337">
        <v>1548</v>
      </c>
      <c r="M35" s="319">
        <v>4454.5194127172908</v>
      </c>
      <c r="N35" s="319">
        <v>5016</v>
      </c>
      <c r="O35" s="319">
        <v>7330.1128409390512</v>
      </c>
      <c r="P35" s="319">
        <v>4098.3911176020301</v>
      </c>
      <c r="Q35" s="320">
        <v>4779.1851851851852</v>
      </c>
      <c r="R35" s="319">
        <v>6801.1481481481469</v>
      </c>
      <c r="S35" s="235">
        <f>tblPiNAnalysis[[#This Row],[CCCM]]</f>
        <v>0</v>
      </c>
      <c r="T35" s="236">
        <f>tblPiNAnalysis[[#This Row],[Education]]</f>
        <v>1474.8568307925018</v>
      </c>
      <c r="U35" s="219">
        <f>tblPiNAnalysis[[#This Row],[Nutrition]]</f>
        <v>3392.5638313927398</v>
      </c>
      <c r="V35" s="219">
        <f>tblPiNAnalysis[[#This Row],[Food Security]]</f>
        <v>2414.8464910307239</v>
      </c>
      <c r="W35" s="219">
        <f>tblPiNAnalysis[[#This Row],[Health]]</f>
        <v>4727.5994284799453</v>
      </c>
      <c r="X35" s="219">
        <f>tblPiNAnalysis[[#This Row],[Overarching Protection]]</f>
        <v>1921</v>
      </c>
      <c r="Y35" s="219">
        <f>tblPiNAnalysis[[#This Row],[Shelter]]</f>
        <v>8322.595947165386</v>
      </c>
      <c r="Z35" s="230">
        <f>tblPiNAnalysis[[#This Row],[WASH]]</f>
        <v>5334.9974020290929</v>
      </c>
      <c r="AA35" s="339" t="str">
        <f>IF(OR(tblPiNHistorical[[#This Row],[CCCM - old]]="", tblPiNHistorical[[#This Row],[CCCM - old]]=0, tblPiNHistorical[[#This Row],[CCCM - new]]="", tblPiNHistorical[[#This Row],[CCCM - new]]=0), "", tblPiNHistorical[[#This Row],[CCCM - new]]-tblPiNHistorical[[#This Row],[CCCM - old]])</f>
        <v/>
      </c>
      <c r="AB35" s="340">
        <f>IF(OR(tblPiNHistorical[[#This Row],[Education - old]]="", tblPiNHistorical[[#This Row],[Education - old]]=0, tblPiNHistorical[[#This Row],[Education - new]]="", tblPiNHistorical[[#This Row],[Education - new]]=0), "", tblPiNHistorical[[#This Row],[Education - new]]-tblPiNHistorical[[#This Row],[Education - old]])</f>
        <v>-73.143169207498204</v>
      </c>
      <c r="AC35" s="340">
        <f>IF(OR(tblPiNHistorical[[#This Row],[Nutrition - old]]="", tblPiNHistorical[[#This Row],[Nutrition - old]]=0, tblPiNHistorical[[#This Row],[Nutrition - new]]="", tblPiNHistorical[[#This Row],[Nutrition - new]]=0), "", tblPiNHistorical[[#This Row],[Nutrition - new]]-tblPiNHistorical[[#This Row],[Nutrition - old]])</f>
        <v>-1061.9555813245511</v>
      </c>
      <c r="AD35" s="340">
        <f>IF(OR(tblPiNHistorical[[#This Row],[Food Security - old]]="", tblPiNHistorical[[#This Row],[Food Security - old]]=0, tblPiNHistorical[[#This Row],[Food Security - new]]="", tblPiNHistorical[[#This Row],[Food Security - new]]=0), "", tblPiNHistorical[[#This Row],[Food Security - new]]-tblPiNHistorical[[#This Row],[Food Security - old]])</f>
        <v>-2601.1535089692761</v>
      </c>
      <c r="AE35" s="340">
        <f>IF(OR(tblPiNHistorical[[#This Row],[Health - old]]="", tblPiNHistorical[[#This Row],[Health - old]]=0, tblPiNHistorical[[#This Row],[Health - new]]="", tblPiNHistorical[[#This Row],[Health - new]]=0), "", tblPiNHistorical[[#This Row],[Health - new]]-tblPiNHistorical[[#This Row],[Health - old]])</f>
        <v>-2602.5134124591059</v>
      </c>
      <c r="AF3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-2177.3911176020301</v>
      </c>
      <c r="AG35" s="340">
        <f>IF(OR(tblPiNHistorical[[#This Row],[Shelter - old]]="", tblPiNHistorical[[#This Row],[Shelter - old]]=0, tblPiNHistorical[[#This Row],[Shelter - new]]="", tblPiNHistorical[[#This Row],[Shelter - new]]=0), "", tblPiNHistorical[[#This Row],[Shelter - new]]-tblPiNHistorical[[#This Row],[Shelter - old]])</f>
        <v>3543.4107619802007</v>
      </c>
      <c r="AH35" s="341">
        <f>IF(OR(tblPiNHistorical[[#This Row],[WASH - old]]="", tblPiNHistorical[[#This Row],[WASH - old]]=0, tblPiNHistorical[[#This Row],[WASH - new]]="", tblPiNHistorical[[#This Row],[WASH - new]]=0), "", tblPiNHistorical[[#This Row],[WASH - new]]-tblPiNHistorical[[#This Row],[WASH - old]])</f>
        <v>-1466.150746119054</v>
      </c>
      <c r="AI35" s="342">
        <f>IFERROR(ROUND((tblPiNHistorical[[#This Row],[CCCM - new]] - tblPiNHistorical[[#This Row],[CCCM - old]])/tblPiNHistorical[[#This Row],[CCCM - old]], 1), "")</f>
        <v>-1</v>
      </c>
      <c r="AJ35" s="343">
        <f>IFERROR(ROUND((tblPiNHistorical[[#This Row],[Education - new]]-tblPiNHistorical[[#This Row],[Education - old]])/tblPiNHistorical[[#This Row],[Education - old]], 1), "")</f>
        <v>0</v>
      </c>
      <c r="AK35" s="343">
        <f>IFERROR(ROUND((tblPiNHistorical[[#This Row],[Nutrition - new]]-tblPiNHistorical[[#This Row],[Nutrition - old]])/tblPiNHistorical[[#This Row],[Nutrition - old]], 1), "")</f>
        <v>-0.2</v>
      </c>
      <c r="AL35" s="343">
        <f>IFERROR(ROUND((tblPiNHistorical[[#This Row],[Food Security - new]]-tblPiNHistorical[[#This Row],[Food Security - old]])/tblPiNHistorical[[#This Row],[Food Security - old]], 1), "")</f>
        <v>-0.5</v>
      </c>
      <c r="AM35" s="343">
        <f>IFERROR(ROUND((tblPiNHistorical[[#This Row],[Health - new]]-tblPiNHistorical[[#This Row],[Health - old]])/tblPiNHistorical[[#This Row],[Health - old]], 1), "")</f>
        <v>-0.4</v>
      </c>
      <c r="AN35" s="343">
        <f>IFERROR(ROUND((tblPiNHistorical[[#This Row],[Overarching Protection - new]]-tblPiNHistorical[[#This Row],[Overarching Protection - old]])/tblPiNHistorical[[#This Row],[Overarching Protection - old]], 1), "")</f>
        <v>-0.5</v>
      </c>
      <c r="AO35" s="343">
        <f>IFERROR(ROUND((tblPiNHistorical[[#This Row],[Shelter - new]]-tblPiNHistorical[[#This Row],[Shelter - old]])/tblPiNHistorical[[#This Row],[Shelter - old]], 1), "")</f>
        <v>0.7</v>
      </c>
      <c r="AP35" s="38">
        <f>IFERROR(ROUND((tblPiNHistorical[[#This Row],[WASH - new]]-tblPiNHistorical[[#This Row],[WASH - old]])/tblPiNHistorical[[#This Row],[WASH - old]], 1), "")</f>
        <v>-0.2</v>
      </c>
      <c r="AQ35" s="406">
        <v>7330.1128409390512</v>
      </c>
      <c r="AR35" s="406">
        <v>8322.595947165386</v>
      </c>
    </row>
    <row r="36" spans="1:44" ht="15" customHeight="1" x14ac:dyDescent="0.55000000000000004">
      <c r="A3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6" s="316" t="s">
        <v>292</v>
      </c>
      <c r="C36" s="218" t="s">
        <v>293</v>
      </c>
      <c r="D36" s="218" t="s">
        <v>306</v>
      </c>
      <c r="E36" s="105" t="s">
        <v>307</v>
      </c>
      <c r="F36" s="100"/>
      <c r="G36" s="34"/>
      <c r="H36" s="335"/>
      <c r="I36" s="97"/>
      <c r="J36" s="97" t="s">
        <v>412</v>
      </c>
      <c r="K36" s="336">
        <v>5331</v>
      </c>
      <c r="L36" s="337">
        <v>3870</v>
      </c>
      <c r="M36" s="319">
        <v>4915.7861477635934</v>
      </c>
      <c r="N36" s="319">
        <v>13425</v>
      </c>
      <c r="O36" s="319">
        <v>9617.0375254636838</v>
      </c>
      <c r="P36" s="319">
        <v>9426.9346943443688</v>
      </c>
      <c r="Q36" s="320">
        <v>16403.076923076922</v>
      </c>
      <c r="R36" s="319">
        <v>5331</v>
      </c>
      <c r="S36" s="235">
        <f>tblPiNAnalysis[[#This Row],[CCCM]]</f>
        <v>0</v>
      </c>
      <c r="T36" s="236">
        <f>tblPiNAnalysis[[#This Row],[Education]]</f>
        <v>3896.0591450919933</v>
      </c>
      <c r="U36" s="219">
        <f>tblPiNAnalysis[[#This Row],[Nutrition]]</f>
        <v>7543.5561506952527</v>
      </c>
      <c r="V36" s="219">
        <f>tblPiNAnalysis[[#This Row],[Food Security]]</f>
        <v>17522.912022449935</v>
      </c>
      <c r="W36" s="219">
        <f>tblPiNAnalysis[[#This Row],[Health]]</f>
        <v>9003.6718509253769</v>
      </c>
      <c r="X36" s="219">
        <f>tblPiNAnalysis[[#This Row],[Overarching Protection]]</f>
        <v>15391</v>
      </c>
      <c r="Y36" s="219">
        <f>tblPiNAnalysis[[#This Row],[Shelter]]</f>
        <v>21917.524443586823</v>
      </c>
      <c r="Z36" s="230">
        <f>tblPiNAnalysis[[#This Row],[WASH]]</f>
        <v>15585.795159883963</v>
      </c>
      <c r="AA36" s="339" t="str">
        <f>IF(OR(tblPiNHistorical[[#This Row],[CCCM - old]]="", tblPiNHistorical[[#This Row],[CCCM - old]]=0, tblPiNHistorical[[#This Row],[CCCM - new]]="", tblPiNHistorical[[#This Row],[CCCM - new]]=0), "", tblPiNHistorical[[#This Row],[CCCM - new]]-tblPiNHistorical[[#This Row],[CCCM - old]])</f>
        <v/>
      </c>
      <c r="AB36" s="340">
        <f>IF(OR(tblPiNHistorical[[#This Row],[Education - old]]="", tblPiNHistorical[[#This Row],[Education - old]]=0, tblPiNHistorical[[#This Row],[Education - new]]="", tblPiNHistorical[[#This Row],[Education - new]]=0), "", tblPiNHistorical[[#This Row],[Education - new]]-tblPiNHistorical[[#This Row],[Education - old]])</f>
        <v>26.059145091993287</v>
      </c>
      <c r="AC36" s="340">
        <f>IF(OR(tblPiNHistorical[[#This Row],[Nutrition - old]]="", tblPiNHistorical[[#This Row],[Nutrition - old]]=0, tblPiNHistorical[[#This Row],[Nutrition - new]]="", tblPiNHistorical[[#This Row],[Nutrition - new]]=0), "", tblPiNHistorical[[#This Row],[Nutrition - new]]-tblPiNHistorical[[#This Row],[Nutrition - old]])</f>
        <v>2627.7700029316593</v>
      </c>
      <c r="AD36" s="340">
        <f>IF(OR(tblPiNHistorical[[#This Row],[Food Security - old]]="", tblPiNHistorical[[#This Row],[Food Security - old]]=0, tblPiNHistorical[[#This Row],[Food Security - new]]="", tblPiNHistorical[[#This Row],[Food Security - new]]=0), "", tblPiNHistorical[[#This Row],[Food Security - new]]-tblPiNHistorical[[#This Row],[Food Security - old]])</f>
        <v>4097.9120224499347</v>
      </c>
      <c r="AE36" s="340">
        <f>IF(OR(tblPiNHistorical[[#This Row],[Health - old]]="", tblPiNHistorical[[#This Row],[Health - old]]=0, tblPiNHistorical[[#This Row],[Health - new]]="", tblPiNHistorical[[#This Row],[Health - new]]=0), "", tblPiNHistorical[[#This Row],[Health - new]]-tblPiNHistorical[[#This Row],[Health - old]])</f>
        <v>-613.36567453830685</v>
      </c>
      <c r="AF3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5964.0653056556312</v>
      </c>
      <c r="AG36" s="340">
        <f>IF(OR(tblPiNHistorical[[#This Row],[Shelter - old]]="", tblPiNHistorical[[#This Row],[Shelter - old]]=0, tblPiNHistorical[[#This Row],[Shelter - new]]="", tblPiNHistorical[[#This Row],[Shelter - new]]=0), "", tblPiNHistorical[[#This Row],[Shelter - new]]-tblPiNHistorical[[#This Row],[Shelter - old]])</f>
        <v>5514.4475205099006</v>
      </c>
      <c r="AH36" s="341">
        <f>IF(OR(tblPiNHistorical[[#This Row],[WASH - old]]="", tblPiNHistorical[[#This Row],[WASH - old]]=0, tblPiNHistorical[[#This Row],[WASH - new]]="", tblPiNHistorical[[#This Row],[WASH - new]]=0), "", tblPiNHistorical[[#This Row],[WASH - new]]-tblPiNHistorical[[#This Row],[WASH - old]])</f>
        <v>10254.795159883963</v>
      </c>
      <c r="AI36" s="342">
        <f>IFERROR(ROUND((tblPiNHistorical[[#This Row],[CCCM - new]] - tblPiNHistorical[[#This Row],[CCCM - old]])/tblPiNHistorical[[#This Row],[CCCM - old]], 1), "")</f>
        <v>-1</v>
      </c>
      <c r="AJ36" s="343">
        <f>IFERROR(ROUND((tblPiNHistorical[[#This Row],[Education - new]]-tblPiNHistorical[[#This Row],[Education - old]])/tblPiNHistorical[[#This Row],[Education - old]], 1), "")</f>
        <v>0</v>
      </c>
      <c r="AK36" s="343">
        <f>IFERROR(ROUND((tblPiNHistorical[[#This Row],[Nutrition - new]]-tblPiNHistorical[[#This Row],[Nutrition - old]])/tblPiNHistorical[[#This Row],[Nutrition - old]], 1), "")</f>
        <v>0.5</v>
      </c>
      <c r="AL36" s="343">
        <f>IFERROR(ROUND((tblPiNHistorical[[#This Row],[Food Security - new]]-tblPiNHistorical[[#This Row],[Food Security - old]])/tblPiNHistorical[[#This Row],[Food Security - old]], 1), "")</f>
        <v>0.3</v>
      </c>
      <c r="AM36" s="343">
        <f>IFERROR(ROUND((tblPiNHistorical[[#This Row],[Health - new]]-tblPiNHistorical[[#This Row],[Health - old]])/tblPiNHistorical[[#This Row],[Health - old]], 1), "")</f>
        <v>-0.1</v>
      </c>
      <c r="AN36" s="343">
        <f>IFERROR(ROUND((tblPiNHistorical[[#This Row],[Overarching Protection - new]]-tblPiNHistorical[[#This Row],[Overarching Protection - old]])/tblPiNHistorical[[#This Row],[Overarching Protection - old]], 1), "")</f>
        <v>0.6</v>
      </c>
      <c r="AO36" s="343">
        <f>IFERROR(ROUND((tblPiNHistorical[[#This Row],[Shelter - new]]-tblPiNHistorical[[#This Row],[Shelter - old]])/tblPiNHistorical[[#This Row],[Shelter - old]], 1), "")</f>
        <v>0.3</v>
      </c>
      <c r="AP36" s="38">
        <f>IFERROR(ROUND((tblPiNHistorical[[#This Row],[WASH - new]]-tblPiNHistorical[[#This Row],[WASH - old]])/tblPiNHistorical[[#This Row],[WASH - old]], 1), "")</f>
        <v>1.9</v>
      </c>
      <c r="AQ36" s="406">
        <v>16403.076923076922</v>
      </c>
      <c r="AR36" s="406">
        <v>21917.524443586823</v>
      </c>
    </row>
    <row r="37" spans="1:44" ht="15" customHeight="1" x14ac:dyDescent="0.55000000000000004">
      <c r="A3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7" s="316" t="s">
        <v>292</v>
      </c>
      <c r="C37" s="218" t="s">
        <v>293</v>
      </c>
      <c r="D37" s="218" t="s">
        <v>308</v>
      </c>
      <c r="E37" s="105" t="s">
        <v>309</v>
      </c>
      <c r="F37" s="100"/>
      <c r="G37" s="34"/>
      <c r="H37" s="335"/>
      <c r="I37" s="97"/>
      <c r="J37" s="97" t="s">
        <v>412</v>
      </c>
      <c r="K37" s="336">
        <v>2464</v>
      </c>
      <c r="L37" s="337">
        <v>3405</v>
      </c>
      <c r="M37" s="319">
        <v>2828.5634960665166</v>
      </c>
      <c r="N37" s="319">
        <v>6953</v>
      </c>
      <c r="O37" s="319">
        <v>7409.7254147260783</v>
      </c>
      <c r="P37" s="319">
        <v>7720.4642174081837</v>
      </c>
      <c r="Q37" s="320">
        <v>3790.7692307692309</v>
      </c>
      <c r="R37" s="319">
        <v>2142.6086956521744</v>
      </c>
      <c r="S37" s="235">
        <f>tblPiNAnalysis[[#This Row],[CCCM]]</f>
        <v>0</v>
      </c>
      <c r="T37" s="236">
        <f>tblPiNAnalysis[[#This Row],[Education]]</f>
        <v>2415.563218963121</v>
      </c>
      <c r="U37" s="219">
        <f>tblPiNAnalysis[[#This Row],[Nutrition]]</f>
        <v>3755.1502060352823</v>
      </c>
      <c r="V37" s="219">
        <f>tblPiNAnalysis[[#This Row],[Food Security]]</f>
        <v>7422.1695295511654</v>
      </c>
      <c r="W37" s="219">
        <f>tblPiNAnalysis[[#This Row],[Health]]</f>
        <v>4653.255551786312</v>
      </c>
      <c r="X37" s="219">
        <f>tblPiNAnalysis[[#This Row],[Overarching Protection]]</f>
        <v>2079</v>
      </c>
      <c r="Y37" s="219">
        <f>tblPiNAnalysis[[#This Row],[Shelter]]</f>
        <v>10362.576522388546</v>
      </c>
      <c r="Z37" s="230">
        <f>tblPiNAnalysis[[#This Row],[WASH]]</f>
        <v>7556.0453809083147</v>
      </c>
      <c r="AA37" s="339" t="str">
        <f>IF(OR(tblPiNHistorical[[#This Row],[CCCM - old]]="", tblPiNHistorical[[#This Row],[CCCM - old]]=0, tblPiNHistorical[[#This Row],[CCCM - new]]="", tblPiNHistorical[[#This Row],[CCCM - new]]=0), "", tblPiNHistorical[[#This Row],[CCCM - new]]-tblPiNHistorical[[#This Row],[CCCM - old]])</f>
        <v/>
      </c>
      <c r="AB37" s="340">
        <f>IF(OR(tblPiNHistorical[[#This Row],[Education - old]]="", tblPiNHistorical[[#This Row],[Education - old]]=0, tblPiNHistorical[[#This Row],[Education - new]]="", tblPiNHistorical[[#This Row],[Education - new]]=0), "", tblPiNHistorical[[#This Row],[Education - new]]-tblPiNHistorical[[#This Row],[Education - old]])</f>
        <v>-989.43678103687898</v>
      </c>
      <c r="AC37" s="340">
        <f>IF(OR(tblPiNHistorical[[#This Row],[Nutrition - old]]="", tblPiNHistorical[[#This Row],[Nutrition - old]]=0, tblPiNHistorical[[#This Row],[Nutrition - new]]="", tblPiNHistorical[[#This Row],[Nutrition - new]]=0), "", tblPiNHistorical[[#This Row],[Nutrition - new]]-tblPiNHistorical[[#This Row],[Nutrition - old]])</f>
        <v>926.58670996876572</v>
      </c>
      <c r="AD37" s="340">
        <f>IF(OR(tblPiNHistorical[[#This Row],[Food Security - old]]="", tblPiNHistorical[[#This Row],[Food Security - old]]=0, tblPiNHistorical[[#This Row],[Food Security - new]]="", tblPiNHistorical[[#This Row],[Food Security - new]]=0), "", tblPiNHistorical[[#This Row],[Food Security - new]]-tblPiNHistorical[[#This Row],[Food Security - old]])</f>
        <v>469.1695295511654</v>
      </c>
      <c r="AE37" s="340">
        <f>IF(OR(tblPiNHistorical[[#This Row],[Health - old]]="", tblPiNHistorical[[#This Row],[Health - old]]=0, tblPiNHistorical[[#This Row],[Health - new]]="", tblPiNHistorical[[#This Row],[Health - new]]=0), "", tblPiNHistorical[[#This Row],[Health - new]]-tblPiNHistorical[[#This Row],[Health - old]])</f>
        <v>-2756.4698629397662</v>
      </c>
      <c r="AF3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-5641.4642174081837</v>
      </c>
      <c r="AG37" s="340">
        <f>IF(OR(tblPiNHistorical[[#This Row],[Shelter - old]]="", tblPiNHistorical[[#This Row],[Shelter - old]]=0, tblPiNHistorical[[#This Row],[Shelter - new]]="", tblPiNHistorical[[#This Row],[Shelter - new]]=0), "", tblPiNHistorical[[#This Row],[Shelter - new]]-tblPiNHistorical[[#This Row],[Shelter - old]])</f>
        <v>6571.8072916193159</v>
      </c>
      <c r="AH37" s="341">
        <f>IF(OR(tblPiNHistorical[[#This Row],[WASH - old]]="", tblPiNHistorical[[#This Row],[WASH - old]]=0, tblPiNHistorical[[#This Row],[WASH - new]]="", tblPiNHistorical[[#This Row],[WASH - new]]=0), "", tblPiNHistorical[[#This Row],[WASH - new]]-tblPiNHistorical[[#This Row],[WASH - old]])</f>
        <v>5413.4366852561398</v>
      </c>
      <c r="AI37" s="342">
        <f>IFERROR(ROUND((tblPiNHistorical[[#This Row],[CCCM - new]] - tblPiNHistorical[[#This Row],[CCCM - old]])/tblPiNHistorical[[#This Row],[CCCM - old]], 1), "")</f>
        <v>-1</v>
      </c>
      <c r="AJ37" s="343">
        <f>IFERROR(ROUND((tblPiNHistorical[[#This Row],[Education - new]]-tblPiNHistorical[[#This Row],[Education - old]])/tblPiNHistorical[[#This Row],[Education - old]], 1), "")</f>
        <v>-0.3</v>
      </c>
      <c r="AK37" s="343">
        <f>IFERROR(ROUND((tblPiNHistorical[[#This Row],[Nutrition - new]]-tblPiNHistorical[[#This Row],[Nutrition - old]])/tblPiNHistorical[[#This Row],[Nutrition - old]], 1), "")</f>
        <v>0.3</v>
      </c>
      <c r="AL37" s="343">
        <f>IFERROR(ROUND((tblPiNHistorical[[#This Row],[Food Security - new]]-tblPiNHistorical[[#This Row],[Food Security - old]])/tblPiNHistorical[[#This Row],[Food Security - old]], 1), "")</f>
        <v>0.1</v>
      </c>
      <c r="AM37" s="343">
        <f>IFERROR(ROUND((tblPiNHistorical[[#This Row],[Health - new]]-tblPiNHistorical[[#This Row],[Health - old]])/tblPiNHistorical[[#This Row],[Health - old]], 1), "")</f>
        <v>-0.4</v>
      </c>
      <c r="AN37" s="343">
        <f>IFERROR(ROUND((tblPiNHistorical[[#This Row],[Overarching Protection - new]]-tblPiNHistorical[[#This Row],[Overarching Protection - old]])/tblPiNHistorical[[#This Row],[Overarching Protection - old]], 1), "")</f>
        <v>-0.7</v>
      </c>
      <c r="AO37" s="343">
        <f>IFERROR(ROUND((tblPiNHistorical[[#This Row],[Shelter - new]]-tblPiNHistorical[[#This Row],[Shelter - old]])/tblPiNHistorical[[#This Row],[Shelter - old]], 1), "")</f>
        <v>1.7</v>
      </c>
      <c r="AP37" s="38">
        <f>IFERROR(ROUND((tblPiNHistorical[[#This Row],[WASH - new]]-tblPiNHistorical[[#This Row],[WASH - old]])/tblPiNHistorical[[#This Row],[WASH - old]], 1), "")</f>
        <v>2.5</v>
      </c>
      <c r="AQ37" s="406">
        <v>7720.4642174081837</v>
      </c>
      <c r="AR37" s="406">
        <v>10362.576522388546</v>
      </c>
    </row>
    <row r="38" spans="1:44" ht="15" customHeight="1" x14ac:dyDescent="0.55000000000000004">
      <c r="A3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8" s="316" t="s">
        <v>310</v>
      </c>
      <c r="C38" s="218" t="s">
        <v>311</v>
      </c>
      <c r="D38" s="218" t="s">
        <v>312</v>
      </c>
      <c r="E38" s="105" t="s">
        <v>313</v>
      </c>
      <c r="F38" s="100"/>
      <c r="G38" s="34"/>
      <c r="H38" s="335"/>
      <c r="I38" s="97"/>
      <c r="J38" s="97" t="s">
        <v>412</v>
      </c>
      <c r="K38" s="336">
        <v>1668</v>
      </c>
      <c r="L38" s="337">
        <v>1528</v>
      </c>
      <c r="M38" s="319">
        <v>2405.745639283115</v>
      </c>
      <c r="N38" s="319">
        <v>3927</v>
      </c>
      <c r="O38" s="319">
        <v>3242.8521120381333</v>
      </c>
      <c r="P38" s="319">
        <v>3256.1801724592469</v>
      </c>
      <c r="Q38" s="320">
        <v>2908.3076923076924</v>
      </c>
      <c r="R38" s="319">
        <v>2965.3333333333335</v>
      </c>
      <c r="S38" s="235">
        <f>tblPiNAnalysis[[#This Row],[CCCM]]</f>
        <v>0</v>
      </c>
      <c r="T38" s="236">
        <f>tblPiNAnalysis[[#This Row],[Education]]</f>
        <v>1526.1228870978489</v>
      </c>
      <c r="U38" s="219">
        <f>tblPiNAnalysis[[#This Row],[Nutrition]]</f>
        <v>6096.439632573115</v>
      </c>
      <c r="V38" s="219">
        <f>tblPiNAnalysis[[#This Row],[Food Security]]</f>
        <v>5317.2943643502422</v>
      </c>
      <c r="W38" s="219">
        <f>tblPiNAnalysis[[#This Row],[Health]]</f>
        <v>7245.0982575978587</v>
      </c>
      <c r="X38" s="219">
        <f>tblPiNAnalysis[[#This Row],[Overarching Protection]]</f>
        <v>6157</v>
      </c>
      <c r="Y38" s="219">
        <f>tblPiNAnalysis[[#This Row],[Shelter]]</f>
        <v>6156.3526632264156</v>
      </c>
      <c r="Z38" s="230">
        <f>tblPiNAnalysis[[#This Row],[WASH]]</f>
        <v>5753.6006198377709</v>
      </c>
      <c r="AA38" s="339" t="str">
        <f>IF(OR(tblPiNHistorical[[#This Row],[CCCM - old]]="", tblPiNHistorical[[#This Row],[CCCM - old]]=0, tblPiNHistorical[[#This Row],[CCCM - new]]="", tblPiNHistorical[[#This Row],[CCCM - new]]=0), "", tblPiNHistorical[[#This Row],[CCCM - new]]-tblPiNHistorical[[#This Row],[CCCM - old]])</f>
        <v/>
      </c>
      <c r="AB38" s="340">
        <f>IF(OR(tblPiNHistorical[[#This Row],[Education - old]]="", tblPiNHistorical[[#This Row],[Education - old]]=0, tblPiNHistorical[[#This Row],[Education - new]]="", tblPiNHistorical[[#This Row],[Education - new]]=0), "", tblPiNHistorical[[#This Row],[Education - new]]-tblPiNHistorical[[#This Row],[Education - old]])</f>
        <v>-1.8771129021511115</v>
      </c>
      <c r="AC38" s="340">
        <f>IF(OR(tblPiNHistorical[[#This Row],[Nutrition - old]]="", tblPiNHistorical[[#This Row],[Nutrition - old]]=0, tblPiNHistorical[[#This Row],[Nutrition - new]]="", tblPiNHistorical[[#This Row],[Nutrition - new]]=0), "", tblPiNHistorical[[#This Row],[Nutrition - new]]-tblPiNHistorical[[#This Row],[Nutrition - old]])</f>
        <v>3690.69399329</v>
      </c>
      <c r="AD38" s="340">
        <f>IF(OR(tblPiNHistorical[[#This Row],[Food Security - old]]="", tblPiNHistorical[[#This Row],[Food Security - old]]=0, tblPiNHistorical[[#This Row],[Food Security - new]]="", tblPiNHistorical[[#This Row],[Food Security - new]]=0), "", tblPiNHistorical[[#This Row],[Food Security - new]]-tblPiNHistorical[[#This Row],[Food Security - old]])</f>
        <v>1390.2943643502422</v>
      </c>
      <c r="AE38" s="340">
        <f>IF(OR(tblPiNHistorical[[#This Row],[Health - old]]="", tblPiNHistorical[[#This Row],[Health - old]]=0, tblPiNHistorical[[#This Row],[Health - new]]="", tblPiNHistorical[[#This Row],[Health - new]]=0), "", tblPiNHistorical[[#This Row],[Health - new]]-tblPiNHistorical[[#This Row],[Health - old]])</f>
        <v>4002.2461455597254</v>
      </c>
      <c r="AF3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2900.8198275407531</v>
      </c>
      <c r="AG38" s="340">
        <f>IF(OR(tblPiNHistorical[[#This Row],[Shelter - old]]="", tblPiNHistorical[[#This Row],[Shelter - old]]=0, tblPiNHistorical[[#This Row],[Shelter - new]]="", tblPiNHistorical[[#This Row],[Shelter - new]]=0), "", tblPiNHistorical[[#This Row],[Shelter - new]]-tblPiNHistorical[[#This Row],[Shelter - old]])</f>
        <v>3248.0449709187233</v>
      </c>
      <c r="AH38" s="341">
        <f>IF(OR(tblPiNHistorical[[#This Row],[WASH - old]]="", tblPiNHistorical[[#This Row],[WASH - old]]=0, tblPiNHistorical[[#This Row],[WASH - new]]="", tblPiNHistorical[[#This Row],[WASH - new]]=0), "", tblPiNHistorical[[#This Row],[WASH - new]]-tblPiNHistorical[[#This Row],[WASH - old]])</f>
        <v>2788.2672865044374</v>
      </c>
      <c r="AI38" s="342">
        <f>IFERROR(ROUND((tblPiNHistorical[[#This Row],[CCCM - new]] - tblPiNHistorical[[#This Row],[CCCM - old]])/tblPiNHistorical[[#This Row],[CCCM - old]], 1), "")</f>
        <v>-1</v>
      </c>
      <c r="AJ38" s="343">
        <f>IFERROR(ROUND((tblPiNHistorical[[#This Row],[Education - new]]-tblPiNHistorical[[#This Row],[Education - old]])/tblPiNHistorical[[#This Row],[Education - old]], 1), "")</f>
        <v>0</v>
      </c>
      <c r="AK38" s="343">
        <f>IFERROR(ROUND((tblPiNHistorical[[#This Row],[Nutrition - new]]-tblPiNHistorical[[#This Row],[Nutrition - old]])/tblPiNHistorical[[#This Row],[Nutrition - old]], 1), "")</f>
        <v>1.5</v>
      </c>
      <c r="AL38" s="343">
        <f>IFERROR(ROUND((tblPiNHistorical[[#This Row],[Food Security - new]]-tblPiNHistorical[[#This Row],[Food Security - old]])/tblPiNHistorical[[#This Row],[Food Security - old]], 1), "")</f>
        <v>0.4</v>
      </c>
      <c r="AM38" s="343">
        <f>IFERROR(ROUND((tblPiNHistorical[[#This Row],[Health - new]]-tblPiNHistorical[[#This Row],[Health - old]])/tblPiNHistorical[[#This Row],[Health - old]], 1), "")</f>
        <v>1.2</v>
      </c>
      <c r="AN38" s="343">
        <f>IFERROR(ROUND((tblPiNHistorical[[#This Row],[Overarching Protection - new]]-tblPiNHistorical[[#This Row],[Overarching Protection - old]])/tblPiNHistorical[[#This Row],[Overarching Protection - old]], 1), "")</f>
        <v>0.9</v>
      </c>
      <c r="AO38" s="343">
        <f>IFERROR(ROUND((tblPiNHistorical[[#This Row],[Shelter - new]]-tblPiNHistorical[[#This Row],[Shelter - old]])/tblPiNHistorical[[#This Row],[Shelter - old]], 1), "")</f>
        <v>1.1000000000000001</v>
      </c>
      <c r="AP38" s="38">
        <f>IFERROR(ROUND((tblPiNHistorical[[#This Row],[WASH - new]]-tblPiNHistorical[[#This Row],[WASH - old]])/tblPiNHistorical[[#This Row],[WASH - old]], 1), "")</f>
        <v>0.9</v>
      </c>
      <c r="AQ38" s="406">
        <v>3927</v>
      </c>
      <c r="AR38" s="406">
        <v>7245.0982575978587</v>
      </c>
    </row>
    <row r="39" spans="1:44" ht="15" customHeight="1" x14ac:dyDescent="0.55000000000000004">
      <c r="A3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39" s="316" t="s">
        <v>310</v>
      </c>
      <c r="C39" s="218" t="s">
        <v>311</v>
      </c>
      <c r="D39" s="218" t="s">
        <v>314</v>
      </c>
      <c r="E39" s="105" t="s">
        <v>315</v>
      </c>
      <c r="F39" s="100"/>
      <c r="G39" s="34"/>
      <c r="H39" s="335"/>
      <c r="I39" s="97"/>
      <c r="J39" s="97" t="s">
        <v>412</v>
      </c>
      <c r="K39" s="336">
        <v>19426.75</v>
      </c>
      <c r="L39" s="337">
        <v>7852</v>
      </c>
      <c r="M39" s="319">
        <v>8456.3841088863883</v>
      </c>
      <c r="N39" s="319">
        <v>16502</v>
      </c>
      <c r="O39" s="319">
        <v>13346.097926209113</v>
      </c>
      <c r="P39" s="319">
        <v>16203.742935073427</v>
      </c>
      <c r="Q39" s="320">
        <v>17938.846153846156</v>
      </c>
      <c r="R39" s="319">
        <v>6375.0925925925931</v>
      </c>
      <c r="S39" s="235">
        <f>tblPiNAnalysis[[#This Row],[CCCM]]</f>
        <v>31645</v>
      </c>
      <c r="T39" s="236">
        <f>tblPiNAnalysis[[#This Row],[Education]]</f>
        <v>20725.79920737167</v>
      </c>
      <c r="U39" s="219">
        <f>tblPiNAnalysis[[#This Row],[Nutrition]]</f>
        <v>21802.567492248902</v>
      </c>
      <c r="V39" s="219">
        <f>tblPiNAnalysis[[#This Row],[Food Security]]</f>
        <v>43545.091047850299</v>
      </c>
      <c r="W39" s="219">
        <f>tblPiNAnalysis[[#This Row],[Health]]</f>
        <v>23873.32943540845</v>
      </c>
      <c r="X39" s="219">
        <f>tblPiNAnalysis[[#This Row],[Overarching Protection]]</f>
        <v>39123</v>
      </c>
      <c r="Y39" s="219">
        <f>tblPiNAnalysis[[#This Row],[Shelter]]</f>
        <v>47590.974521375632</v>
      </c>
      <c r="Z39" s="230">
        <f>tblPiNAnalysis[[#This Row],[WASH]]</f>
        <v>23024.33721057294</v>
      </c>
      <c r="AA39" s="339">
        <f>IF(OR(tblPiNHistorical[[#This Row],[CCCM - old]]="", tblPiNHistorical[[#This Row],[CCCM - old]]=0, tblPiNHistorical[[#This Row],[CCCM - new]]="", tblPiNHistorical[[#This Row],[CCCM - new]]=0), "", tblPiNHistorical[[#This Row],[CCCM - new]]-tblPiNHistorical[[#This Row],[CCCM - old]])</f>
        <v>12218.25</v>
      </c>
      <c r="AB39" s="340">
        <f>IF(OR(tblPiNHistorical[[#This Row],[Education - old]]="", tblPiNHistorical[[#This Row],[Education - old]]=0, tblPiNHistorical[[#This Row],[Education - new]]="", tblPiNHistorical[[#This Row],[Education - new]]=0), "", tblPiNHistorical[[#This Row],[Education - new]]-tblPiNHistorical[[#This Row],[Education - old]])</f>
        <v>12873.79920737167</v>
      </c>
      <c r="AC39" s="340">
        <f>IF(OR(tblPiNHistorical[[#This Row],[Nutrition - old]]="", tblPiNHistorical[[#This Row],[Nutrition - old]]=0, tblPiNHistorical[[#This Row],[Nutrition - new]]="", tblPiNHistorical[[#This Row],[Nutrition - new]]=0), "", tblPiNHistorical[[#This Row],[Nutrition - new]]-tblPiNHistorical[[#This Row],[Nutrition - old]])</f>
        <v>13346.183383362513</v>
      </c>
      <c r="AD39" s="340">
        <f>IF(OR(tblPiNHistorical[[#This Row],[Food Security - old]]="", tblPiNHistorical[[#This Row],[Food Security - old]]=0, tblPiNHistorical[[#This Row],[Food Security - new]]="", tblPiNHistorical[[#This Row],[Food Security - new]]=0), "", tblPiNHistorical[[#This Row],[Food Security - new]]-tblPiNHistorical[[#This Row],[Food Security - old]])</f>
        <v>27043.091047850299</v>
      </c>
      <c r="AE39" s="340">
        <f>IF(OR(tblPiNHistorical[[#This Row],[Health - old]]="", tblPiNHistorical[[#This Row],[Health - old]]=0, tblPiNHistorical[[#This Row],[Health - new]]="", tblPiNHistorical[[#This Row],[Health - new]]=0), "", tblPiNHistorical[[#This Row],[Health - new]]-tblPiNHistorical[[#This Row],[Health - old]])</f>
        <v>10527.231509199337</v>
      </c>
      <c r="AF3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22919.257064926573</v>
      </c>
      <c r="AG39" s="340">
        <f>IF(OR(tblPiNHistorical[[#This Row],[Shelter - old]]="", tblPiNHistorical[[#This Row],[Shelter - old]]=0, tblPiNHistorical[[#This Row],[Shelter - new]]="", tblPiNHistorical[[#This Row],[Shelter - new]]=0), "", tblPiNHistorical[[#This Row],[Shelter - new]]-tblPiNHistorical[[#This Row],[Shelter - old]])</f>
        <v>29652.128367529476</v>
      </c>
      <c r="AH39" s="341">
        <f>IF(OR(tblPiNHistorical[[#This Row],[WASH - old]]="", tblPiNHistorical[[#This Row],[WASH - old]]=0, tblPiNHistorical[[#This Row],[WASH - new]]="", tblPiNHistorical[[#This Row],[WASH - new]]=0), "", tblPiNHistorical[[#This Row],[WASH - new]]-tblPiNHistorical[[#This Row],[WASH - old]])</f>
        <v>16649.244617980345</v>
      </c>
      <c r="AI39" s="342">
        <f>IFERROR(ROUND((tblPiNHistorical[[#This Row],[CCCM - new]] - tblPiNHistorical[[#This Row],[CCCM - old]])/tblPiNHistorical[[#This Row],[CCCM - old]], 1), "")</f>
        <v>0.6</v>
      </c>
      <c r="AJ39" s="343">
        <f>IFERROR(ROUND((tblPiNHistorical[[#This Row],[Education - new]]-tblPiNHistorical[[#This Row],[Education - old]])/tblPiNHistorical[[#This Row],[Education - old]], 1), "")</f>
        <v>1.6</v>
      </c>
      <c r="AK39" s="343">
        <f>IFERROR(ROUND((tblPiNHistorical[[#This Row],[Nutrition - new]]-tblPiNHistorical[[#This Row],[Nutrition - old]])/tblPiNHistorical[[#This Row],[Nutrition - old]], 1), "")</f>
        <v>1.6</v>
      </c>
      <c r="AL39" s="343">
        <f>IFERROR(ROUND((tblPiNHistorical[[#This Row],[Food Security - new]]-tblPiNHistorical[[#This Row],[Food Security - old]])/tblPiNHistorical[[#This Row],[Food Security - old]], 1), "")</f>
        <v>1.6</v>
      </c>
      <c r="AM39" s="343">
        <f>IFERROR(ROUND((tblPiNHistorical[[#This Row],[Health - new]]-tblPiNHistorical[[#This Row],[Health - old]])/tblPiNHistorical[[#This Row],[Health - old]], 1), "")</f>
        <v>0.8</v>
      </c>
      <c r="AN39" s="343">
        <f>IFERROR(ROUND((tblPiNHistorical[[#This Row],[Overarching Protection - new]]-tblPiNHistorical[[#This Row],[Overarching Protection - old]])/tblPiNHistorical[[#This Row],[Overarching Protection - old]], 1), "")</f>
        <v>1.4</v>
      </c>
      <c r="AO39" s="343">
        <f>IFERROR(ROUND((tblPiNHistorical[[#This Row],[Shelter - new]]-tblPiNHistorical[[#This Row],[Shelter - old]])/tblPiNHistorical[[#This Row],[Shelter - old]], 1), "")</f>
        <v>1.7</v>
      </c>
      <c r="AP39" s="38">
        <f>IFERROR(ROUND((tblPiNHistorical[[#This Row],[WASH - new]]-tblPiNHistorical[[#This Row],[WASH - old]])/tblPiNHistorical[[#This Row],[WASH - old]], 1), "")</f>
        <v>2.6</v>
      </c>
      <c r="AQ39" s="406">
        <v>19426.75</v>
      </c>
      <c r="AR39" s="406">
        <v>47590.974521375632</v>
      </c>
    </row>
    <row r="40" spans="1:44" ht="15" customHeight="1" x14ac:dyDescent="0.55000000000000004">
      <c r="A4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0" s="316" t="s">
        <v>310</v>
      </c>
      <c r="C40" s="218" t="s">
        <v>311</v>
      </c>
      <c r="D40" s="218" t="s">
        <v>316</v>
      </c>
      <c r="E40" s="105" t="s">
        <v>317</v>
      </c>
      <c r="F40" s="100"/>
      <c r="G40" s="34"/>
      <c r="H40" s="335"/>
      <c r="I40" s="97"/>
      <c r="J40" s="97" t="s">
        <v>412</v>
      </c>
      <c r="K40" s="336">
        <v>0</v>
      </c>
      <c r="L40" s="337">
        <v>0</v>
      </c>
      <c r="M40" s="319">
        <v>0</v>
      </c>
      <c r="N40" s="319">
        <v>0</v>
      </c>
      <c r="O40" s="319">
        <v>0</v>
      </c>
      <c r="P40" s="319">
        <v>0</v>
      </c>
      <c r="Q40" s="320">
        <v>0</v>
      </c>
      <c r="R40" s="319">
        <v>0</v>
      </c>
      <c r="S40" s="235">
        <f>tblPiNAnalysis[[#This Row],[CCCM]]</f>
        <v>0</v>
      </c>
      <c r="T40" s="236">
        <f>tblPiNAnalysis[[#This Row],[Education]]</f>
        <v>0</v>
      </c>
      <c r="U40" s="219">
        <f>tblPiNAnalysis[[#This Row],[Nutrition]]</f>
        <v>0</v>
      </c>
      <c r="V40" s="219">
        <f>tblPiNAnalysis[[#This Row],[Food Security]]</f>
        <v>0</v>
      </c>
      <c r="W40" s="219">
        <f>tblPiNAnalysis[[#This Row],[Health]]</f>
        <v>0</v>
      </c>
      <c r="X40" s="219">
        <f>tblPiNAnalysis[[#This Row],[Overarching Protection]]</f>
        <v>0</v>
      </c>
      <c r="Y40" s="219">
        <f>tblPiNAnalysis[[#This Row],[Shelter]]</f>
        <v>0</v>
      </c>
      <c r="Z40" s="230">
        <f>tblPiNAnalysis[[#This Row],[WASH]]</f>
        <v>0</v>
      </c>
      <c r="AA40" s="339" t="str">
        <f>IF(OR(tblPiNHistorical[[#This Row],[CCCM - old]]="", tblPiNHistorical[[#This Row],[CCCM - old]]=0, tblPiNHistorical[[#This Row],[CCCM - new]]="", tblPiNHistorical[[#This Row],[CCCM - new]]=0), "", tblPiNHistorical[[#This Row],[CCCM - new]]-tblPiNHistorical[[#This Row],[CCCM - old]])</f>
        <v/>
      </c>
      <c r="AB40" s="340" t="str">
        <f>IF(OR(tblPiNHistorical[[#This Row],[Education - old]]="", tblPiNHistorical[[#This Row],[Education - old]]=0, tblPiNHistorical[[#This Row],[Education - new]]="", tblPiNHistorical[[#This Row],[Education - new]]=0), "", tblPiNHistorical[[#This Row],[Education - new]]-tblPiNHistorical[[#This Row],[Education - old]])</f>
        <v/>
      </c>
      <c r="AC40" s="340" t="str">
        <f>IF(OR(tblPiNHistorical[[#This Row],[Nutrition - old]]="", tblPiNHistorical[[#This Row],[Nutrition - old]]=0, tblPiNHistorical[[#This Row],[Nutrition - new]]="", tblPiNHistorical[[#This Row],[Nutrition - new]]=0), "", tblPiNHistorical[[#This Row],[Nutrition - new]]-tblPiNHistorical[[#This Row],[Nutrition - old]])</f>
        <v/>
      </c>
      <c r="AD40"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40" s="340" t="str">
        <f>IF(OR(tblPiNHistorical[[#This Row],[Health - old]]="", tblPiNHistorical[[#This Row],[Health - old]]=0, tblPiNHistorical[[#This Row],[Health - new]]="", tblPiNHistorical[[#This Row],[Health - new]]=0), "", tblPiNHistorical[[#This Row],[Health - new]]-tblPiNHistorical[[#This Row],[Health - old]])</f>
        <v/>
      </c>
      <c r="AF40"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40" s="340" t="str">
        <f>IF(OR(tblPiNHistorical[[#This Row],[Shelter - old]]="", tblPiNHistorical[[#This Row],[Shelter - old]]=0, tblPiNHistorical[[#This Row],[Shelter - new]]="", tblPiNHistorical[[#This Row],[Shelter - new]]=0), "", tblPiNHistorical[[#This Row],[Shelter - new]]-tblPiNHistorical[[#This Row],[Shelter - old]])</f>
        <v/>
      </c>
      <c r="AH40" s="341" t="str">
        <f>IF(OR(tblPiNHistorical[[#This Row],[WASH - old]]="", tblPiNHistorical[[#This Row],[WASH - old]]=0, tblPiNHistorical[[#This Row],[WASH - new]]="", tblPiNHistorical[[#This Row],[WASH - new]]=0), "", tblPiNHistorical[[#This Row],[WASH - new]]-tblPiNHistorical[[#This Row],[WASH - old]])</f>
        <v/>
      </c>
      <c r="AI40" s="342" t="str">
        <f>IFERROR(ROUND((tblPiNHistorical[[#This Row],[CCCM - new]] - tblPiNHistorical[[#This Row],[CCCM - old]])/tblPiNHistorical[[#This Row],[CCCM - old]], 1), "")</f>
        <v/>
      </c>
      <c r="AJ40" s="343" t="str">
        <f>IFERROR(ROUND((tblPiNHistorical[[#This Row],[Education - new]]-tblPiNHistorical[[#This Row],[Education - old]])/tblPiNHistorical[[#This Row],[Education - old]], 1), "")</f>
        <v/>
      </c>
      <c r="AK40" s="343" t="str">
        <f>IFERROR(ROUND((tblPiNHistorical[[#This Row],[Nutrition - new]]-tblPiNHistorical[[#This Row],[Nutrition - old]])/tblPiNHistorical[[#This Row],[Nutrition - old]], 1), "")</f>
        <v/>
      </c>
      <c r="AL40" s="343" t="str">
        <f>IFERROR(ROUND((tblPiNHistorical[[#This Row],[Food Security - new]]-tblPiNHistorical[[#This Row],[Food Security - old]])/tblPiNHistorical[[#This Row],[Food Security - old]], 1), "")</f>
        <v/>
      </c>
      <c r="AM40" s="343" t="str">
        <f>IFERROR(ROUND((tblPiNHistorical[[#This Row],[Health - new]]-tblPiNHistorical[[#This Row],[Health - old]])/tblPiNHistorical[[#This Row],[Health - old]], 1), "")</f>
        <v/>
      </c>
      <c r="AN40" s="343" t="str">
        <f>IFERROR(ROUND((tblPiNHistorical[[#This Row],[Overarching Protection - new]]-tblPiNHistorical[[#This Row],[Overarching Protection - old]])/tblPiNHistorical[[#This Row],[Overarching Protection - old]], 1), "")</f>
        <v/>
      </c>
      <c r="AO40" s="343" t="str">
        <f>IFERROR(ROUND((tblPiNHistorical[[#This Row],[Shelter - new]]-tblPiNHistorical[[#This Row],[Shelter - old]])/tblPiNHistorical[[#This Row],[Shelter - old]], 1), "")</f>
        <v/>
      </c>
      <c r="AP40" s="38" t="str">
        <f>IFERROR(ROUND((tblPiNHistorical[[#This Row],[WASH - new]]-tblPiNHistorical[[#This Row],[WASH - old]])/tblPiNHistorical[[#This Row],[WASH - old]], 1), "")</f>
        <v/>
      </c>
      <c r="AQ40" s="406">
        <v>0</v>
      </c>
      <c r="AR40" s="406">
        <v>0</v>
      </c>
    </row>
    <row r="41" spans="1:44" ht="15" customHeight="1" x14ac:dyDescent="0.55000000000000004">
      <c r="A4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1" s="316" t="s">
        <v>310</v>
      </c>
      <c r="C41" s="218" t="s">
        <v>311</v>
      </c>
      <c r="D41" s="218" t="s">
        <v>318</v>
      </c>
      <c r="E41" s="105" t="s">
        <v>319</v>
      </c>
      <c r="F41" s="100"/>
      <c r="G41" s="34"/>
      <c r="H41" s="335"/>
      <c r="I41" s="97"/>
      <c r="J41" s="97" t="s">
        <v>412</v>
      </c>
      <c r="K41" s="336">
        <v>1505.75</v>
      </c>
      <c r="L41" s="337">
        <v>881</v>
      </c>
      <c r="M41" s="319">
        <v>2942.629442509925</v>
      </c>
      <c r="N41" s="319">
        <v>5353</v>
      </c>
      <c r="O41" s="319">
        <v>3298.0279458715222</v>
      </c>
      <c r="P41" s="319">
        <v>3505.705672898278</v>
      </c>
      <c r="Q41" s="320">
        <v>3243.1538461538462</v>
      </c>
      <c r="R41" s="319">
        <v>2080.6727272727276</v>
      </c>
      <c r="S41" s="235">
        <f>tblPiNAnalysis[[#This Row],[CCCM]]</f>
        <v>0</v>
      </c>
      <c r="T41" s="236">
        <f>tblPiNAnalysis[[#This Row],[Education]]</f>
        <v>1504.2826069903681</v>
      </c>
      <c r="U41" s="219">
        <f>tblPiNAnalysis[[#This Row],[Nutrition]]</f>
        <v>3824.0659036693</v>
      </c>
      <c r="V41" s="219">
        <f>tblPiNAnalysis[[#This Row],[Food Security]]</f>
        <v>6262.5878943591415</v>
      </c>
      <c r="W41" s="219">
        <f>tblPiNAnalysis[[#This Row],[Health]]</f>
        <v>3888.5009814634523</v>
      </c>
      <c r="X41" s="219">
        <f>tblPiNAnalysis[[#This Row],[Overarching Protection]]</f>
        <v>5772</v>
      </c>
      <c r="Y41" s="219">
        <f>tblPiNAnalysis[[#This Row],[Shelter]]</f>
        <v>6413.1419429378875</v>
      </c>
      <c r="Z41" s="230">
        <f>tblPiNAnalysis[[#This Row],[WASH]]</f>
        <v>4722.4045216178984</v>
      </c>
      <c r="AA41" s="339" t="str">
        <f>IF(OR(tblPiNHistorical[[#This Row],[CCCM - old]]="", tblPiNHistorical[[#This Row],[CCCM - old]]=0, tblPiNHistorical[[#This Row],[CCCM - new]]="", tblPiNHistorical[[#This Row],[CCCM - new]]=0), "", tblPiNHistorical[[#This Row],[CCCM - new]]-tblPiNHistorical[[#This Row],[CCCM - old]])</f>
        <v/>
      </c>
      <c r="AB41" s="340">
        <f>IF(OR(tblPiNHistorical[[#This Row],[Education - old]]="", tblPiNHistorical[[#This Row],[Education - old]]=0, tblPiNHistorical[[#This Row],[Education - new]]="", tblPiNHistorical[[#This Row],[Education - new]]=0), "", tblPiNHistorical[[#This Row],[Education - new]]-tblPiNHistorical[[#This Row],[Education - old]])</f>
        <v>623.28260699036809</v>
      </c>
      <c r="AC41" s="340">
        <f>IF(OR(tblPiNHistorical[[#This Row],[Nutrition - old]]="", tblPiNHistorical[[#This Row],[Nutrition - old]]=0, tblPiNHistorical[[#This Row],[Nutrition - new]]="", tblPiNHistorical[[#This Row],[Nutrition - new]]=0), "", tblPiNHistorical[[#This Row],[Nutrition - new]]-tblPiNHistorical[[#This Row],[Nutrition - old]])</f>
        <v>881.43646115937509</v>
      </c>
      <c r="AD41" s="340">
        <f>IF(OR(tblPiNHistorical[[#This Row],[Food Security - old]]="", tblPiNHistorical[[#This Row],[Food Security - old]]=0, tblPiNHistorical[[#This Row],[Food Security - new]]="", tblPiNHistorical[[#This Row],[Food Security - new]]=0), "", tblPiNHistorical[[#This Row],[Food Security - new]]-tblPiNHistorical[[#This Row],[Food Security - old]])</f>
        <v>909.5878943591415</v>
      </c>
      <c r="AE41" s="340">
        <f>IF(OR(tblPiNHistorical[[#This Row],[Health - old]]="", tblPiNHistorical[[#This Row],[Health - old]]=0, tblPiNHistorical[[#This Row],[Health - new]]="", tblPiNHistorical[[#This Row],[Health - new]]=0), "", tblPiNHistorical[[#This Row],[Health - new]]-tblPiNHistorical[[#This Row],[Health - old]])</f>
        <v>590.47303559193006</v>
      </c>
      <c r="AF4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2266.294327101722</v>
      </c>
      <c r="AG41" s="340">
        <f>IF(OR(tblPiNHistorical[[#This Row],[Shelter - old]]="", tblPiNHistorical[[#This Row],[Shelter - old]]=0, tblPiNHistorical[[#This Row],[Shelter - new]]="", tblPiNHistorical[[#This Row],[Shelter - new]]=0), "", tblPiNHistorical[[#This Row],[Shelter - new]]-tblPiNHistorical[[#This Row],[Shelter - old]])</f>
        <v>3169.9880967840413</v>
      </c>
      <c r="AH41" s="341">
        <f>IF(OR(tblPiNHistorical[[#This Row],[WASH - old]]="", tblPiNHistorical[[#This Row],[WASH - old]]=0, tblPiNHistorical[[#This Row],[WASH - new]]="", tblPiNHistorical[[#This Row],[WASH - new]]=0), "", tblPiNHistorical[[#This Row],[WASH - new]]-tblPiNHistorical[[#This Row],[WASH - old]])</f>
        <v>2641.7317943451708</v>
      </c>
      <c r="AI41" s="342">
        <f>IFERROR(ROUND((tblPiNHistorical[[#This Row],[CCCM - new]] - tblPiNHistorical[[#This Row],[CCCM - old]])/tblPiNHistorical[[#This Row],[CCCM - old]], 1), "")</f>
        <v>-1</v>
      </c>
      <c r="AJ41" s="343">
        <f>IFERROR(ROUND((tblPiNHistorical[[#This Row],[Education - new]]-tblPiNHistorical[[#This Row],[Education - old]])/tblPiNHistorical[[#This Row],[Education - old]], 1), "")</f>
        <v>0.7</v>
      </c>
      <c r="AK41" s="343">
        <f>IFERROR(ROUND((tblPiNHistorical[[#This Row],[Nutrition - new]]-tblPiNHistorical[[#This Row],[Nutrition - old]])/tblPiNHistorical[[#This Row],[Nutrition - old]], 1), "")</f>
        <v>0.3</v>
      </c>
      <c r="AL41" s="343">
        <f>IFERROR(ROUND((tblPiNHistorical[[#This Row],[Food Security - new]]-tblPiNHistorical[[#This Row],[Food Security - old]])/tblPiNHistorical[[#This Row],[Food Security - old]], 1), "")</f>
        <v>0.2</v>
      </c>
      <c r="AM41" s="343">
        <f>IFERROR(ROUND((tblPiNHistorical[[#This Row],[Health - new]]-tblPiNHistorical[[#This Row],[Health - old]])/tblPiNHistorical[[#This Row],[Health - old]], 1), "")</f>
        <v>0.2</v>
      </c>
      <c r="AN41" s="343">
        <f>IFERROR(ROUND((tblPiNHistorical[[#This Row],[Overarching Protection - new]]-tblPiNHistorical[[#This Row],[Overarching Protection - old]])/tblPiNHistorical[[#This Row],[Overarching Protection - old]], 1), "")</f>
        <v>0.6</v>
      </c>
      <c r="AO41" s="343">
        <f>IFERROR(ROUND((tblPiNHistorical[[#This Row],[Shelter - new]]-tblPiNHistorical[[#This Row],[Shelter - old]])/tblPiNHistorical[[#This Row],[Shelter - old]], 1), "")</f>
        <v>1</v>
      </c>
      <c r="AP41" s="38">
        <f>IFERROR(ROUND((tblPiNHistorical[[#This Row],[WASH - new]]-tblPiNHistorical[[#This Row],[WASH - old]])/tblPiNHistorical[[#This Row],[WASH - old]], 1), "")</f>
        <v>1.3</v>
      </c>
      <c r="AQ41" s="406">
        <v>5353</v>
      </c>
      <c r="AR41" s="406">
        <v>6413.1419429378875</v>
      </c>
    </row>
    <row r="42" spans="1:44" ht="15" customHeight="1" x14ac:dyDescent="0.55000000000000004">
      <c r="A4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2" s="316" t="s">
        <v>310</v>
      </c>
      <c r="C42" s="218" t="s">
        <v>311</v>
      </c>
      <c r="D42" s="218" t="s">
        <v>320</v>
      </c>
      <c r="E42" s="105" t="s">
        <v>321</v>
      </c>
      <c r="F42" s="100"/>
      <c r="G42" s="34"/>
      <c r="H42" s="335"/>
      <c r="I42" s="97"/>
      <c r="J42" s="97" t="s">
        <v>412</v>
      </c>
      <c r="K42" s="336">
        <v>140</v>
      </c>
      <c r="L42" s="337">
        <v>128.80000000000001</v>
      </c>
      <c r="M42" s="319">
        <v>231.04182686702384</v>
      </c>
      <c r="N42" s="319">
        <v>439</v>
      </c>
      <c r="O42" s="319">
        <v>300.92439753141241</v>
      </c>
      <c r="P42" s="319">
        <v>406.41155858823521</v>
      </c>
      <c r="Q42" s="320">
        <v>0</v>
      </c>
      <c r="R42" s="319">
        <v>36.296296296296298</v>
      </c>
      <c r="S42" s="235">
        <f>tblPiNAnalysis[[#This Row],[CCCM]]</f>
        <v>0</v>
      </c>
      <c r="T42" s="236">
        <f>tblPiNAnalysis[[#This Row],[Education]]</f>
        <v>115.4004071302418</v>
      </c>
      <c r="U42" s="219">
        <f>tblPiNAnalysis[[#This Row],[Nutrition]]</f>
        <v>254.73760012449753</v>
      </c>
      <c r="V42" s="219">
        <f>tblPiNAnalysis[[#This Row],[Food Security]]</f>
        <v>498.34516109062099</v>
      </c>
      <c r="W42" s="219">
        <f>tblPiNAnalysis[[#This Row],[Health]]</f>
        <v>313.3875472339538</v>
      </c>
      <c r="X42" s="219">
        <f>tblPiNAnalysis[[#This Row],[Overarching Protection]]</f>
        <v>469</v>
      </c>
      <c r="Y42" s="219">
        <f>tblPiNAnalysis[[#This Row],[Shelter]]</f>
        <v>633.7956031707995</v>
      </c>
      <c r="Z42" s="230">
        <f>tblPiNAnalysis[[#This Row],[WASH]]</f>
        <v>283.81722274397816</v>
      </c>
      <c r="AA42" s="339" t="str">
        <f>IF(OR(tblPiNHistorical[[#This Row],[CCCM - old]]="", tblPiNHistorical[[#This Row],[CCCM - old]]=0, tblPiNHistorical[[#This Row],[CCCM - new]]="", tblPiNHistorical[[#This Row],[CCCM - new]]=0), "", tblPiNHistorical[[#This Row],[CCCM - new]]-tblPiNHistorical[[#This Row],[CCCM - old]])</f>
        <v/>
      </c>
      <c r="AB42" s="340">
        <f>IF(OR(tblPiNHistorical[[#This Row],[Education - old]]="", tblPiNHistorical[[#This Row],[Education - old]]=0, tblPiNHistorical[[#This Row],[Education - new]]="", tblPiNHistorical[[#This Row],[Education - new]]=0), "", tblPiNHistorical[[#This Row],[Education - new]]-tblPiNHistorical[[#This Row],[Education - old]])</f>
        <v>-13.399592869758209</v>
      </c>
      <c r="AC42" s="340">
        <f>IF(OR(tblPiNHistorical[[#This Row],[Nutrition - old]]="", tblPiNHistorical[[#This Row],[Nutrition - old]]=0, tblPiNHistorical[[#This Row],[Nutrition - new]]="", tblPiNHistorical[[#This Row],[Nutrition - new]]=0), "", tblPiNHistorical[[#This Row],[Nutrition - new]]-tblPiNHistorical[[#This Row],[Nutrition - old]])</f>
        <v>23.695773257473689</v>
      </c>
      <c r="AD42" s="340">
        <f>IF(OR(tblPiNHistorical[[#This Row],[Food Security - old]]="", tblPiNHistorical[[#This Row],[Food Security - old]]=0, tblPiNHistorical[[#This Row],[Food Security - new]]="", tblPiNHistorical[[#This Row],[Food Security - new]]=0), "", tblPiNHistorical[[#This Row],[Food Security - new]]-tblPiNHistorical[[#This Row],[Food Security - old]])</f>
        <v>59.345161090620991</v>
      </c>
      <c r="AE42" s="340">
        <f>IF(OR(tblPiNHistorical[[#This Row],[Health - old]]="", tblPiNHistorical[[#This Row],[Health - old]]=0, tblPiNHistorical[[#This Row],[Health - new]]="", tblPiNHistorical[[#This Row],[Health - new]]=0), "", tblPiNHistorical[[#This Row],[Health - new]]-tblPiNHistorical[[#This Row],[Health - old]])</f>
        <v>12.463149702541386</v>
      </c>
      <c r="AF4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62.588441411764791</v>
      </c>
      <c r="AG42" s="340" t="str">
        <f>IF(OR(tblPiNHistorical[[#This Row],[Shelter - old]]="", tblPiNHistorical[[#This Row],[Shelter - old]]=0, tblPiNHistorical[[#This Row],[Shelter - new]]="", tblPiNHistorical[[#This Row],[Shelter - new]]=0), "", tblPiNHistorical[[#This Row],[Shelter - new]]-tblPiNHistorical[[#This Row],[Shelter - old]])</f>
        <v/>
      </c>
      <c r="AH42" s="341">
        <f>IF(OR(tblPiNHistorical[[#This Row],[WASH - old]]="", tblPiNHistorical[[#This Row],[WASH - old]]=0, tblPiNHistorical[[#This Row],[WASH - new]]="", tblPiNHistorical[[#This Row],[WASH - new]]=0), "", tblPiNHistorical[[#This Row],[WASH - new]]-tblPiNHistorical[[#This Row],[WASH - old]])</f>
        <v>247.52092644768186</v>
      </c>
      <c r="AI42" s="342">
        <f>IFERROR(ROUND((tblPiNHistorical[[#This Row],[CCCM - new]] - tblPiNHistorical[[#This Row],[CCCM - old]])/tblPiNHistorical[[#This Row],[CCCM - old]], 1), "")</f>
        <v>-1</v>
      </c>
      <c r="AJ42" s="343">
        <f>IFERROR(ROUND((tblPiNHistorical[[#This Row],[Education - new]]-tblPiNHistorical[[#This Row],[Education - old]])/tblPiNHistorical[[#This Row],[Education - old]], 1), "")</f>
        <v>-0.1</v>
      </c>
      <c r="AK42" s="343">
        <f>IFERROR(ROUND((tblPiNHistorical[[#This Row],[Nutrition - new]]-tblPiNHistorical[[#This Row],[Nutrition - old]])/tblPiNHistorical[[#This Row],[Nutrition - old]], 1), "")</f>
        <v>0.1</v>
      </c>
      <c r="AL42" s="343">
        <f>IFERROR(ROUND((tblPiNHistorical[[#This Row],[Food Security - new]]-tblPiNHistorical[[#This Row],[Food Security - old]])/tblPiNHistorical[[#This Row],[Food Security - old]], 1), "")</f>
        <v>0.1</v>
      </c>
      <c r="AM42" s="343">
        <f>IFERROR(ROUND((tblPiNHistorical[[#This Row],[Health - new]]-tblPiNHistorical[[#This Row],[Health - old]])/tblPiNHistorical[[#This Row],[Health - old]], 1), "")</f>
        <v>0</v>
      </c>
      <c r="AN42" s="343">
        <f>IFERROR(ROUND((tblPiNHistorical[[#This Row],[Overarching Protection - new]]-tblPiNHistorical[[#This Row],[Overarching Protection - old]])/tblPiNHistorical[[#This Row],[Overarching Protection - old]], 1), "")</f>
        <v>0.2</v>
      </c>
      <c r="AO42" s="343" t="str">
        <f>IFERROR(ROUND((tblPiNHistorical[[#This Row],[Shelter - new]]-tblPiNHistorical[[#This Row],[Shelter - old]])/tblPiNHistorical[[#This Row],[Shelter - old]], 1), "")</f>
        <v/>
      </c>
      <c r="AP42" s="38">
        <f>IFERROR(ROUND((tblPiNHistorical[[#This Row],[WASH - new]]-tblPiNHistorical[[#This Row],[WASH - old]])/tblPiNHistorical[[#This Row],[WASH - old]], 1), "")</f>
        <v>6.8</v>
      </c>
      <c r="AQ42" s="406">
        <v>439</v>
      </c>
      <c r="AR42" s="406">
        <v>633.7956031707995</v>
      </c>
    </row>
    <row r="43" spans="1:44" ht="15" customHeight="1" x14ac:dyDescent="0.55000000000000004">
      <c r="A4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3" s="316" t="s">
        <v>322</v>
      </c>
      <c r="C43" s="218" t="s">
        <v>323</v>
      </c>
      <c r="D43" s="218" t="s">
        <v>324</v>
      </c>
      <c r="E43" s="105" t="s">
        <v>325</v>
      </c>
      <c r="F43" s="100"/>
      <c r="G43" s="34"/>
      <c r="H43" s="335"/>
      <c r="I43" s="97"/>
      <c r="J43" s="97" t="s">
        <v>412</v>
      </c>
      <c r="K43" s="336">
        <v>1729.5</v>
      </c>
      <c r="L43" s="337">
        <v>561</v>
      </c>
      <c r="M43" s="319">
        <v>2776.4972669742251</v>
      </c>
      <c r="N43" s="319">
        <v>5138</v>
      </c>
      <c r="O43" s="319">
        <v>2917.8549029677197</v>
      </c>
      <c r="P43" s="319">
        <v>3577.2937656570839</v>
      </c>
      <c r="Q43" s="320">
        <v>3991.1538461538462</v>
      </c>
      <c r="R43" s="319">
        <v>612.21238938053102</v>
      </c>
      <c r="S43" s="235">
        <f>tblPiNAnalysis[[#This Row],[CCCM]]</f>
        <v>0</v>
      </c>
      <c r="T43" s="236">
        <f>tblPiNAnalysis[[#This Row],[Education]]</f>
        <v>652.26536606779484</v>
      </c>
      <c r="U43" s="219">
        <f>tblPiNAnalysis[[#This Row],[Nutrition]]</f>
        <v>3213.6343218737725</v>
      </c>
      <c r="V43" s="219">
        <f>tblPiNAnalysis[[#This Row],[Food Security]]</f>
        <v>5106.1027347013696</v>
      </c>
      <c r="W43" s="219">
        <f>tblPiNAnalysis[[#This Row],[Health]]</f>
        <v>4152.3577038046233</v>
      </c>
      <c r="X43" s="219">
        <f>tblPiNAnalysis[[#This Row],[Overarching Protection]]</f>
        <v>1638</v>
      </c>
      <c r="Y43" s="219">
        <f>tblPiNAnalysis[[#This Row],[Shelter]]</f>
        <v>8191.9832367247782</v>
      </c>
      <c r="Z43" s="230">
        <f>tblPiNAnalysis[[#This Row],[WASH]]</f>
        <v>2123.8475058175354</v>
      </c>
      <c r="AA43" s="339" t="str">
        <f>IF(OR(tblPiNHistorical[[#This Row],[CCCM - old]]="", tblPiNHistorical[[#This Row],[CCCM - old]]=0, tblPiNHistorical[[#This Row],[CCCM - new]]="", tblPiNHistorical[[#This Row],[CCCM - new]]=0), "", tblPiNHistorical[[#This Row],[CCCM - new]]-tblPiNHistorical[[#This Row],[CCCM - old]])</f>
        <v/>
      </c>
      <c r="AB43" s="340">
        <f>IF(OR(tblPiNHistorical[[#This Row],[Education - old]]="", tblPiNHistorical[[#This Row],[Education - old]]=0, tblPiNHistorical[[#This Row],[Education - new]]="", tblPiNHistorical[[#This Row],[Education - new]]=0), "", tblPiNHistorical[[#This Row],[Education - new]]-tblPiNHistorical[[#This Row],[Education - old]])</f>
        <v>91.265366067794844</v>
      </c>
      <c r="AC43" s="340">
        <f>IF(OR(tblPiNHistorical[[#This Row],[Nutrition - old]]="", tblPiNHistorical[[#This Row],[Nutrition - old]]=0, tblPiNHistorical[[#This Row],[Nutrition - new]]="", tblPiNHistorical[[#This Row],[Nutrition - new]]=0), "", tblPiNHistorical[[#This Row],[Nutrition - new]]-tblPiNHistorical[[#This Row],[Nutrition - old]])</f>
        <v>437.13705489954737</v>
      </c>
      <c r="AD43" s="340">
        <f>IF(OR(tblPiNHistorical[[#This Row],[Food Security - old]]="", tblPiNHistorical[[#This Row],[Food Security - old]]=0, tblPiNHistorical[[#This Row],[Food Security - new]]="", tblPiNHistorical[[#This Row],[Food Security - new]]=0), "", tblPiNHistorical[[#This Row],[Food Security - new]]-tblPiNHistorical[[#This Row],[Food Security - old]])</f>
        <v>-31.897265298630373</v>
      </c>
      <c r="AE43" s="340">
        <f>IF(OR(tblPiNHistorical[[#This Row],[Health - old]]="", tblPiNHistorical[[#This Row],[Health - old]]=0, tblPiNHistorical[[#This Row],[Health - new]]="", tblPiNHistorical[[#This Row],[Health - new]]=0), "", tblPiNHistorical[[#This Row],[Health - new]]-tblPiNHistorical[[#This Row],[Health - old]])</f>
        <v>1234.5028008369036</v>
      </c>
      <c r="AF4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-1939.2937656570839</v>
      </c>
      <c r="AG43" s="340">
        <f>IF(OR(tblPiNHistorical[[#This Row],[Shelter - old]]="", tblPiNHistorical[[#This Row],[Shelter - old]]=0, tblPiNHistorical[[#This Row],[Shelter - new]]="", tblPiNHistorical[[#This Row],[Shelter - new]]=0), "", tblPiNHistorical[[#This Row],[Shelter - new]]-tblPiNHistorical[[#This Row],[Shelter - old]])</f>
        <v>4200.8293905709324</v>
      </c>
      <c r="AH43" s="341">
        <f>IF(OR(tblPiNHistorical[[#This Row],[WASH - old]]="", tblPiNHistorical[[#This Row],[WASH - old]]=0, tblPiNHistorical[[#This Row],[WASH - new]]="", tblPiNHistorical[[#This Row],[WASH - new]]=0), "", tblPiNHistorical[[#This Row],[WASH - new]]-tblPiNHistorical[[#This Row],[WASH - old]])</f>
        <v>1511.6351164370044</v>
      </c>
      <c r="AI43" s="342">
        <f>IFERROR(ROUND((tblPiNHistorical[[#This Row],[CCCM - new]] - tblPiNHistorical[[#This Row],[CCCM - old]])/tblPiNHistorical[[#This Row],[CCCM - old]], 1), "")</f>
        <v>-1</v>
      </c>
      <c r="AJ43" s="343">
        <f>IFERROR(ROUND((tblPiNHistorical[[#This Row],[Education - new]]-tblPiNHistorical[[#This Row],[Education - old]])/tblPiNHistorical[[#This Row],[Education - old]], 1), "")</f>
        <v>0.2</v>
      </c>
      <c r="AK43" s="343">
        <f>IFERROR(ROUND((tblPiNHistorical[[#This Row],[Nutrition - new]]-tblPiNHistorical[[#This Row],[Nutrition - old]])/tblPiNHistorical[[#This Row],[Nutrition - old]], 1), "")</f>
        <v>0.2</v>
      </c>
      <c r="AL43" s="343">
        <f>IFERROR(ROUND((tblPiNHistorical[[#This Row],[Food Security - new]]-tblPiNHistorical[[#This Row],[Food Security - old]])/tblPiNHistorical[[#This Row],[Food Security - old]], 1), "")</f>
        <v>0</v>
      </c>
      <c r="AM43" s="343">
        <f>IFERROR(ROUND((tblPiNHistorical[[#This Row],[Health - new]]-tblPiNHistorical[[#This Row],[Health - old]])/tblPiNHistorical[[#This Row],[Health - old]], 1), "")</f>
        <v>0.4</v>
      </c>
      <c r="AN43" s="343">
        <f>IFERROR(ROUND((tblPiNHistorical[[#This Row],[Overarching Protection - new]]-tblPiNHistorical[[#This Row],[Overarching Protection - old]])/tblPiNHistorical[[#This Row],[Overarching Protection - old]], 1), "")</f>
        <v>-0.5</v>
      </c>
      <c r="AO43" s="343">
        <f>IFERROR(ROUND((tblPiNHistorical[[#This Row],[Shelter - new]]-tblPiNHistorical[[#This Row],[Shelter - old]])/tblPiNHistorical[[#This Row],[Shelter - old]], 1), "")</f>
        <v>1.1000000000000001</v>
      </c>
      <c r="AP43" s="38">
        <f>IFERROR(ROUND((tblPiNHistorical[[#This Row],[WASH - new]]-tblPiNHistorical[[#This Row],[WASH - old]])/tblPiNHistorical[[#This Row],[WASH - old]], 1), "")</f>
        <v>2.5</v>
      </c>
      <c r="AQ43" s="406">
        <v>5138</v>
      </c>
      <c r="AR43" s="406">
        <v>8191.9832367247782</v>
      </c>
    </row>
    <row r="44" spans="1:44" ht="15" customHeight="1" x14ac:dyDescent="0.55000000000000004">
      <c r="A4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4" s="316" t="s">
        <v>322</v>
      </c>
      <c r="C44" s="218" t="s">
        <v>323</v>
      </c>
      <c r="D44" s="218" t="s">
        <v>326</v>
      </c>
      <c r="E44" s="105" t="s">
        <v>327</v>
      </c>
      <c r="F44" s="100"/>
      <c r="G44" s="34"/>
      <c r="H44" s="335"/>
      <c r="I44" s="97"/>
      <c r="J44" s="97" t="s">
        <v>412</v>
      </c>
      <c r="K44" s="336">
        <v>16446</v>
      </c>
      <c r="L44" s="337">
        <v>717</v>
      </c>
      <c r="M44" s="319">
        <v>9192.1365855035729</v>
      </c>
      <c r="N44" s="319">
        <v>23670</v>
      </c>
      <c r="O44" s="319">
        <v>10486.755766778775</v>
      </c>
      <c r="P44" s="319">
        <v>16628.747828263229</v>
      </c>
      <c r="Q44" s="320">
        <v>8297.3076923076915</v>
      </c>
      <c r="R44" s="319">
        <v>20640.833333333332</v>
      </c>
      <c r="S44" s="235">
        <f>tblPiNAnalysis[[#This Row],[CCCM]]</f>
        <v>22557.5</v>
      </c>
      <c r="T44" s="236">
        <f>tblPiNAnalysis[[#This Row],[Education]]</f>
        <v>5909.7676997474728</v>
      </c>
      <c r="U44" s="219">
        <f>tblPiNAnalysis[[#This Row],[Nutrition]]</f>
        <v>8966.1074964812524</v>
      </c>
      <c r="V44" s="219">
        <f>tblPiNAnalysis[[#This Row],[Food Security]]</f>
        <v>21363.392178563096</v>
      </c>
      <c r="W44" s="219">
        <f>tblPiNAnalysis[[#This Row],[Health]]</f>
        <v>13327.318954058459</v>
      </c>
      <c r="X44" s="219">
        <f>tblPiNAnalysis[[#This Row],[Overarching Protection]]</f>
        <v>18094</v>
      </c>
      <c r="Y44" s="219">
        <f>tblPiNAnalysis[[#This Row],[Shelter]]</f>
        <v>22234.052129981661</v>
      </c>
      <c r="Z44" s="230">
        <f>tblPiNAnalysis[[#This Row],[WASH]]</f>
        <v>13450.229066285201</v>
      </c>
      <c r="AA44" s="339">
        <f>IF(OR(tblPiNHistorical[[#This Row],[CCCM - old]]="", tblPiNHistorical[[#This Row],[CCCM - old]]=0, tblPiNHistorical[[#This Row],[CCCM - new]]="", tblPiNHistorical[[#This Row],[CCCM - new]]=0), "", tblPiNHistorical[[#This Row],[CCCM - new]]-tblPiNHistorical[[#This Row],[CCCM - old]])</f>
        <v>6111.5</v>
      </c>
      <c r="AB44" s="340">
        <f>IF(OR(tblPiNHistorical[[#This Row],[Education - old]]="", tblPiNHistorical[[#This Row],[Education - old]]=0, tblPiNHistorical[[#This Row],[Education - new]]="", tblPiNHistorical[[#This Row],[Education - new]]=0), "", tblPiNHistorical[[#This Row],[Education - new]]-tblPiNHistorical[[#This Row],[Education - old]])</f>
        <v>5192.7676997474728</v>
      </c>
      <c r="AC44" s="340">
        <f>IF(OR(tblPiNHistorical[[#This Row],[Nutrition - old]]="", tblPiNHistorical[[#This Row],[Nutrition - old]]=0, tblPiNHistorical[[#This Row],[Nutrition - new]]="", tblPiNHistorical[[#This Row],[Nutrition - new]]=0), "", tblPiNHistorical[[#This Row],[Nutrition - new]]-tblPiNHistorical[[#This Row],[Nutrition - old]])</f>
        <v>-226.02908902232048</v>
      </c>
      <c r="AD44" s="340">
        <f>IF(OR(tblPiNHistorical[[#This Row],[Food Security - old]]="", tblPiNHistorical[[#This Row],[Food Security - old]]=0, tblPiNHistorical[[#This Row],[Food Security - new]]="", tblPiNHistorical[[#This Row],[Food Security - new]]=0), "", tblPiNHistorical[[#This Row],[Food Security - new]]-tblPiNHistorical[[#This Row],[Food Security - old]])</f>
        <v>-2306.6078214369045</v>
      </c>
      <c r="AE44" s="340">
        <f>IF(OR(tblPiNHistorical[[#This Row],[Health - old]]="", tblPiNHistorical[[#This Row],[Health - old]]=0, tblPiNHistorical[[#This Row],[Health - new]]="", tblPiNHistorical[[#This Row],[Health - new]]=0), "", tblPiNHistorical[[#This Row],[Health - new]]-tblPiNHistorical[[#This Row],[Health - old]])</f>
        <v>2840.5631872796839</v>
      </c>
      <c r="AF4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1465.2521717367708</v>
      </c>
      <c r="AG44" s="340">
        <f>IF(OR(tblPiNHistorical[[#This Row],[Shelter - old]]="", tblPiNHistorical[[#This Row],[Shelter - old]]=0, tblPiNHistorical[[#This Row],[Shelter - new]]="", tblPiNHistorical[[#This Row],[Shelter - new]]=0), "", tblPiNHistorical[[#This Row],[Shelter - new]]-tblPiNHistorical[[#This Row],[Shelter - old]])</f>
        <v>13936.74443767397</v>
      </c>
      <c r="AH44" s="341">
        <f>IF(OR(tblPiNHistorical[[#This Row],[WASH - old]]="", tblPiNHistorical[[#This Row],[WASH - old]]=0, tblPiNHistorical[[#This Row],[WASH - new]]="", tblPiNHistorical[[#This Row],[WASH - new]]=0), "", tblPiNHistorical[[#This Row],[WASH - new]]-tblPiNHistorical[[#This Row],[WASH - old]])</f>
        <v>-7190.6042670481311</v>
      </c>
      <c r="AI44" s="342">
        <f>IFERROR(ROUND((tblPiNHistorical[[#This Row],[CCCM - new]] - tblPiNHistorical[[#This Row],[CCCM - old]])/tblPiNHistorical[[#This Row],[CCCM - old]], 1), "")</f>
        <v>0.4</v>
      </c>
      <c r="AJ44" s="343">
        <f>IFERROR(ROUND((tblPiNHistorical[[#This Row],[Education - new]]-tblPiNHistorical[[#This Row],[Education - old]])/tblPiNHistorical[[#This Row],[Education - old]], 1), "")</f>
        <v>7.2</v>
      </c>
      <c r="AK44" s="343">
        <f>IFERROR(ROUND((tblPiNHistorical[[#This Row],[Nutrition - new]]-tblPiNHistorical[[#This Row],[Nutrition - old]])/tblPiNHistorical[[#This Row],[Nutrition - old]], 1), "")</f>
        <v>0</v>
      </c>
      <c r="AL44" s="343">
        <f>IFERROR(ROUND((tblPiNHistorical[[#This Row],[Food Security - new]]-tblPiNHistorical[[#This Row],[Food Security - old]])/tblPiNHistorical[[#This Row],[Food Security - old]], 1), "")</f>
        <v>-0.1</v>
      </c>
      <c r="AM44" s="343">
        <f>IFERROR(ROUND((tblPiNHistorical[[#This Row],[Health - new]]-tblPiNHistorical[[#This Row],[Health - old]])/tblPiNHistorical[[#This Row],[Health - old]], 1), "")</f>
        <v>0.3</v>
      </c>
      <c r="AN44" s="343">
        <f>IFERROR(ROUND((tblPiNHistorical[[#This Row],[Overarching Protection - new]]-tblPiNHistorical[[#This Row],[Overarching Protection - old]])/tblPiNHistorical[[#This Row],[Overarching Protection - old]], 1), "")</f>
        <v>0.1</v>
      </c>
      <c r="AO44" s="343">
        <f>IFERROR(ROUND((tblPiNHistorical[[#This Row],[Shelter - new]]-tblPiNHistorical[[#This Row],[Shelter - old]])/tblPiNHistorical[[#This Row],[Shelter - old]], 1), "")</f>
        <v>1.7</v>
      </c>
      <c r="AP44" s="38">
        <f>IFERROR(ROUND((tblPiNHistorical[[#This Row],[WASH - new]]-tblPiNHistorical[[#This Row],[WASH - old]])/tblPiNHistorical[[#This Row],[WASH - old]], 1), "")</f>
        <v>-0.3</v>
      </c>
      <c r="AQ44" s="406">
        <v>23670</v>
      </c>
      <c r="AR44" s="406">
        <v>22557.5</v>
      </c>
    </row>
    <row r="45" spans="1:44" ht="15" customHeight="1" x14ac:dyDescent="0.55000000000000004">
      <c r="A4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5" s="316" t="s">
        <v>322</v>
      </c>
      <c r="C45" s="218" t="s">
        <v>323</v>
      </c>
      <c r="D45" s="218" t="s">
        <v>328</v>
      </c>
      <c r="E45" s="105" t="s">
        <v>329</v>
      </c>
      <c r="F45" s="100"/>
      <c r="G45" s="34"/>
      <c r="H45" s="335"/>
      <c r="I45" s="97"/>
      <c r="J45" s="97" t="s">
        <v>412</v>
      </c>
      <c r="K45" s="336">
        <v>6235.5</v>
      </c>
      <c r="L45" s="337">
        <v>5981</v>
      </c>
      <c r="M45" s="319">
        <v>8290.3224293966559</v>
      </c>
      <c r="N45" s="319">
        <v>20475</v>
      </c>
      <c r="O45" s="319">
        <v>12416.463715876507</v>
      </c>
      <c r="P45" s="319">
        <v>14490.476953285053</v>
      </c>
      <c r="Q45" s="320">
        <v>6715.1538461538466</v>
      </c>
      <c r="R45" s="319">
        <v>6697.3888888888887</v>
      </c>
      <c r="S45" s="235">
        <f>tblPiNAnalysis[[#This Row],[CCCM]]</f>
        <v>0</v>
      </c>
      <c r="T45" s="236">
        <f>tblPiNAnalysis[[#This Row],[Education]]</f>
        <v>7478.939574753982</v>
      </c>
      <c r="U45" s="219">
        <f>tblPiNAnalysis[[#This Row],[Nutrition]]</f>
        <v>12005.797664351909</v>
      </c>
      <c r="V45" s="219">
        <f>tblPiNAnalysis[[#This Row],[Food Security]]</f>
        <v>25721.288553470346</v>
      </c>
      <c r="W45" s="219">
        <f>tblPiNAnalysis[[#This Row],[Health]]</f>
        <v>15994.252409673876</v>
      </c>
      <c r="X45" s="219">
        <f>tblPiNAnalysis[[#This Row],[Overarching Protection]]</f>
        <v>20386</v>
      </c>
      <c r="Y45" s="219">
        <f>tblPiNAnalysis[[#This Row],[Shelter]]</f>
        <v>7799.5705610333916</v>
      </c>
      <c r="Z45" s="230">
        <f>tblPiNAnalysis[[#This Row],[WASH]]</f>
        <v>18776.743943228539</v>
      </c>
      <c r="AA45" s="339" t="str">
        <f>IF(OR(tblPiNHistorical[[#This Row],[CCCM - old]]="", tblPiNHistorical[[#This Row],[CCCM - old]]=0, tblPiNHistorical[[#This Row],[CCCM - new]]="", tblPiNHistorical[[#This Row],[CCCM - new]]=0), "", tblPiNHistorical[[#This Row],[CCCM - new]]-tblPiNHistorical[[#This Row],[CCCM - old]])</f>
        <v/>
      </c>
      <c r="AB45" s="340">
        <f>IF(OR(tblPiNHistorical[[#This Row],[Education - old]]="", tblPiNHistorical[[#This Row],[Education - old]]=0, tblPiNHistorical[[#This Row],[Education - new]]="", tblPiNHistorical[[#This Row],[Education - new]]=0), "", tblPiNHistorical[[#This Row],[Education - new]]-tblPiNHistorical[[#This Row],[Education - old]])</f>
        <v>1497.939574753982</v>
      </c>
      <c r="AC45" s="340">
        <f>IF(OR(tblPiNHistorical[[#This Row],[Nutrition - old]]="", tblPiNHistorical[[#This Row],[Nutrition - old]]=0, tblPiNHistorical[[#This Row],[Nutrition - new]]="", tblPiNHistorical[[#This Row],[Nutrition - new]]=0), "", tblPiNHistorical[[#This Row],[Nutrition - new]]-tblPiNHistorical[[#This Row],[Nutrition - old]])</f>
        <v>3715.4752349552527</v>
      </c>
      <c r="AD45" s="340">
        <f>IF(OR(tblPiNHistorical[[#This Row],[Food Security - old]]="", tblPiNHistorical[[#This Row],[Food Security - old]]=0, tblPiNHistorical[[#This Row],[Food Security - new]]="", tblPiNHistorical[[#This Row],[Food Security - new]]=0), "", tblPiNHistorical[[#This Row],[Food Security - new]]-tblPiNHistorical[[#This Row],[Food Security - old]])</f>
        <v>5246.2885534703455</v>
      </c>
      <c r="AE45" s="340">
        <f>IF(OR(tblPiNHistorical[[#This Row],[Health - old]]="", tblPiNHistorical[[#This Row],[Health - old]]=0, tblPiNHistorical[[#This Row],[Health - new]]="", tblPiNHistorical[[#This Row],[Health - new]]=0), "", tblPiNHistorical[[#This Row],[Health - new]]-tblPiNHistorical[[#This Row],[Health - old]])</f>
        <v>3577.788693797369</v>
      </c>
      <c r="AF4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5895.5230467149468</v>
      </c>
      <c r="AG45" s="340">
        <f>IF(OR(tblPiNHistorical[[#This Row],[Shelter - old]]="", tblPiNHistorical[[#This Row],[Shelter - old]]=0, tblPiNHistorical[[#This Row],[Shelter - new]]="", tblPiNHistorical[[#This Row],[Shelter - new]]=0), "", tblPiNHistorical[[#This Row],[Shelter - new]]-tblPiNHistorical[[#This Row],[Shelter - old]])</f>
        <v>1084.416714879545</v>
      </c>
      <c r="AH45" s="341">
        <f>IF(OR(tblPiNHistorical[[#This Row],[WASH - old]]="", tblPiNHistorical[[#This Row],[WASH - old]]=0, tblPiNHistorical[[#This Row],[WASH - new]]="", tblPiNHistorical[[#This Row],[WASH - new]]=0), "", tblPiNHistorical[[#This Row],[WASH - new]]-tblPiNHistorical[[#This Row],[WASH - old]])</f>
        <v>12079.35505433965</v>
      </c>
      <c r="AI45" s="342">
        <f>IFERROR(ROUND((tblPiNHistorical[[#This Row],[CCCM - new]] - tblPiNHistorical[[#This Row],[CCCM - old]])/tblPiNHistorical[[#This Row],[CCCM - old]], 1), "")</f>
        <v>-1</v>
      </c>
      <c r="AJ45" s="343">
        <f>IFERROR(ROUND((tblPiNHistorical[[#This Row],[Education - new]]-tblPiNHistorical[[#This Row],[Education - old]])/tblPiNHistorical[[#This Row],[Education - old]], 1), "")</f>
        <v>0.3</v>
      </c>
      <c r="AK45" s="343">
        <f>IFERROR(ROUND((tblPiNHistorical[[#This Row],[Nutrition - new]]-tblPiNHistorical[[#This Row],[Nutrition - old]])/tblPiNHistorical[[#This Row],[Nutrition - old]], 1), "")</f>
        <v>0.4</v>
      </c>
      <c r="AL45" s="343">
        <f>IFERROR(ROUND((tblPiNHistorical[[#This Row],[Food Security - new]]-tblPiNHistorical[[#This Row],[Food Security - old]])/tblPiNHistorical[[#This Row],[Food Security - old]], 1), "")</f>
        <v>0.3</v>
      </c>
      <c r="AM45" s="343">
        <f>IFERROR(ROUND((tblPiNHistorical[[#This Row],[Health - new]]-tblPiNHistorical[[#This Row],[Health - old]])/tblPiNHistorical[[#This Row],[Health - old]], 1), "")</f>
        <v>0.3</v>
      </c>
      <c r="AN45" s="343">
        <f>IFERROR(ROUND((tblPiNHistorical[[#This Row],[Overarching Protection - new]]-tblPiNHistorical[[#This Row],[Overarching Protection - old]])/tblPiNHistorical[[#This Row],[Overarching Protection - old]], 1), "")</f>
        <v>0.4</v>
      </c>
      <c r="AO45" s="343">
        <f>IFERROR(ROUND((tblPiNHistorical[[#This Row],[Shelter - new]]-tblPiNHistorical[[#This Row],[Shelter - old]])/tblPiNHistorical[[#This Row],[Shelter - old]], 1), "")</f>
        <v>0.2</v>
      </c>
      <c r="AP45" s="38">
        <f>IFERROR(ROUND((tblPiNHistorical[[#This Row],[WASH - new]]-tblPiNHistorical[[#This Row],[WASH - old]])/tblPiNHistorical[[#This Row],[WASH - old]], 1), "")</f>
        <v>1.8</v>
      </c>
      <c r="AQ45" s="406">
        <v>20475</v>
      </c>
      <c r="AR45" s="406">
        <v>25721.288553470346</v>
      </c>
    </row>
    <row r="46" spans="1:44" ht="15" customHeight="1" x14ac:dyDescent="0.55000000000000004">
      <c r="A4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6" s="316" t="s">
        <v>322</v>
      </c>
      <c r="C46" s="218" t="s">
        <v>323</v>
      </c>
      <c r="D46" s="218" t="s">
        <v>330</v>
      </c>
      <c r="E46" s="105" t="s">
        <v>331</v>
      </c>
      <c r="F46" s="100"/>
      <c r="G46" s="34"/>
      <c r="H46" s="335"/>
      <c r="I46" s="97"/>
      <c r="J46" s="97" t="s">
        <v>412</v>
      </c>
      <c r="K46" s="336">
        <v>23931</v>
      </c>
      <c r="L46" s="337">
        <v>9497</v>
      </c>
      <c r="M46" s="319">
        <v>11907.045779618473</v>
      </c>
      <c r="N46" s="319">
        <v>31198</v>
      </c>
      <c r="O46" s="319">
        <v>34882.09139432112</v>
      </c>
      <c r="P46" s="319">
        <v>25270.644729198597</v>
      </c>
      <c r="Q46" s="320">
        <v>15322.800000000001</v>
      </c>
      <c r="R46" s="319">
        <v>10640.833333333334</v>
      </c>
      <c r="S46" s="235">
        <f>tblPiNAnalysis[[#This Row],[CCCM]]</f>
        <v>25145</v>
      </c>
      <c r="T46" s="236">
        <f>tblPiNAnalysis[[#This Row],[Education]]</f>
        <v>8773.086432071088</v>
      </c>
      <c r="U46" s="219">
        <f>tblPiNAnalysis[[#This Row],[Nutrition]]</f>
        <v>15288.695997555973</v>
      </c>
      <c r="V46" s="219">
        <f>tblPiNAnalysis[[#This Row],[Food Security]]</f>
        <v>32430.489674210403</v>
      </c>
      <c r="W46" s="219">
        <f>tblPiNAnalysis[[#This Row],[Health]]</f>
        <v>24942.84097150544</v>
      </c>
      <c r="X46" s="219">
        <f>tblPiNAnalysis[[#This Row],[Overarching Protection]]</f>
        <v>31478</v>
      </c>
      <c r="Y46" s="219">
        <f>tblPiNAnalysis[[#This Row],[Shelter]]</f>
        <v>38545.029603347393</v>
      </c>
      <c r="Z46" s="230">
        <f>tblPiNAnalysis[[#This Row],[WASH]]</f>
        <v>16238.878212521355</v>
      </c>
      <c r="AA46" s="339">
        <f>IF(OR(tblPiNHistorical[[#This Row],[CCCM - old]]="", tblPiNHistorical[[#This Row],[CCCM - old]]=0, tblPiNHistorical[[#This Row],[CCCM - new]]="", tblPiNHistorical[[#This Row],[CCCM - new]]=0), "", tblPiNHistorical[[#This Row],[CCCM - new]]-tblPiNHistorical[[#This Row],[CCCM - old]])</f>
        <v>1214</v>
      </c>
      <c r="AB46" s="340">
        <f>IF(OR(tblPiNHistorical[[#This Row],[Education - old]]="", tblPiNHistorical[[#This Row],[Education - old]]=0, tblPiNHistorical[[#This Row],[Education - new]]="", tblPiNHistorical[[#This Row],[Education - new]]=0), "", tblPiNHistorical[[#This Row],[Education - new]]-tblPiNHistorical[[#This Row],[Education - old]])</f>
        <v>-723.91356792891202</v>
      </c>
      <c r="AC46" s="340">
        <f>IF(OR(tblPiNHistorical[[#This Row],[Nutrition - old]]="", tblPiNHistorical[[#This Row],[Nutrition - old]]=0, tblPiNHistorical[[#This Row],[Nutrition - new]]="", tblPiNHistorical[[#This Row],[Nutrition - new]]=0), "", tblPiNHistorical[[#This Row],[Nutrition - new]]-tblPiNHistorical[[#This Row],[Nutrition - old]])</f>
        <v>3381.6502179375002</v>
      </c>
      <c r="AD46" s="340">
        <f>IF(OR(tblPiNHistorical[[#This Row],[Food Security - old]]="", tblPiNHistorical[[#This Row],[Food Security - old]]=0, tblPiNHistorical[[#This Row],[Food Security - new]]="", tblPiNHistorical[[#This Row],[Food Security - new]]=0), "", tblPiNHistorical[[#This Row],[Food Security - new]]-tblPiNHistorical[[#This Row],[Food Security - old]])</f>
        <v>1232.4896742104029</v>
      </c>
      <c r="AE46" s="340">
        <f>IF(OR(tblPiNHistorical[[#This Row],[Health - old]]="", tblPiNHistorical[[#This Row],[Health - old]]=0, tblPiNHistorical[[#This Row],[Health - new]]="", tblPiNHistorical[[#This Row],[Health - new]]=0), "", tblPiNHistorical[[#This Row],[Health - new]]-tblPiNHistorical[[#This Row],[Health - old]])</f>
        <v>-9939.2504228156795</v>
      </c>
      <c r="AF4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6207.3552708014031</v>
      </c>
      <c r="AG46" s="340">
        <f>IF(OR(tblPiNHistorical[[#This Row],[Shelter - old]]="", tblPiNHistorical[[#This Row],[Shelter - old]]=0, tblPiNHistorical[[#This Row],[Shelter - new]]="", tblPiNHistorical[[#This Row],[Shelter - new]]=0), "", tblPiNHistorical[[#This Row],[Shelter - new]]-tblPiNHistorical[[#This Row],[Shelter - old]])</f>
        <v>23222.22960334739</v>
      </c>
      <c r="AH46" s="341">
        <f>IF(OR(tblPiNHistorical[[#This Row],[WASH - old]]="", tblPiNHistorical[[#This Row],[WASH - old]]=0, tblPiNHistorical[[#This Row],[WASH - new]]="", tblPiNHistorical[[#This Row],[WASH - new]]=0), "", tblPiNHistorical[[#This Row],[WASH - new]]-tblPiNHistorical[[#This Row],[WASH - old]])</f>
        <v>5598.0448791880208</v>
      </c>
      <c r="AI46" s="342">
        <f>IFERROR(ROUND((tblPiNHistorical[[#This Row],[CCCM - new]] - tblPiNHistorical[[#This Row],[CCCM - old]])/tblPiNHistorical[[#This Row],[CCCM - old]], 1), "")</f>
        <v>0.1</v>
      </c>
      <c r="AJ46" s="343">
        <f>IFERROR(ROUND((tblPiNHistorical[[#This Row],[Education - new]]-tblPiNHistorical[[#This Row],[Education - old]])/tblPiNHistorical[[#This Row],[Education - old]], 1), "")</f>
        <v>-0.1</v>
      </c>
      <c r="AK46" s="343">
        <f>IFERROR(ROUND((tblPiNHistorical[[#This Row],[Nutrition - new]]-tblPiNHistorical[[#This Row],[Nutrition - old]])/tblPiNHistorical[[#This Row],[Nutrition - old]], 1), "")</f>
        <v>0.3</v>
      </c>
      <c r="AL46" s="343">
        <f>IFERROR(ROUND((tblPiNHistorical[[#This Row],[Food Security - new]]-tblPiNHistorical[[#This Row],[Food Security - old]])/tblPiNHistorical[[#This Row],[Food Security - old]], 1), "")</f>
        <v>0</v>
      </c>
      <c r="AM46" s="343">
        <f>IFERROR(ROUND((tblPiNHistorical[[#This Row],[Health - new]]-tblPiNHistorical[[#This Row],[Health - old]])/tblPiNHistorical[[#This Row],[Health - old]], 1), "")</f>
        <v>-0.3</v>
      </c>
      <c r="AN46" s="343">
        <f>IFERROR(ROUND((tblPiNHistorical[[#This Row],[Overarching Protection - new]]-tblPiNHistorical[[#This Row],[Overarching Protection - old]])/tblPiNHistorical[[#This Row],[Overarching Protection - old]], 1), "")</f>
        <v>0.2</v>
      </c>
      <c r="AO46" s="343">
        <f>IFERROR(ROUND((tblPiNHistorical[[#This Row],[Shelter - new]]-tblPiNHistorical[[#This Row],[Shelter - old]])/tblPiNHistorical[[#This Row],[Shelter - old]], 1), "")</f>
        <v>1.5</v>
      </c>
      <c r="AP46" s="38">
        <f>IFERROR(ROUND((tblPiNHistorical[[#This Row],[WASH - new]]-tblPiNHistorical[[#This Row],[WASH - old]])/tblPiNHistorical[[#This Row],[WASH - old]], 1), "")</f>
        <v>0.5</v>
      </c>
      <c r="AQ46" s="406">
        <v>34882.09139432112</v>
      </c>
      <c r="AR46" s="406">
        <v>38545.029603347393</v>
      </c>
    </row>
    <row r="47" spans="1:44" ht="15" customHeight="1" x14ac:dyDescent="0.55000000000000004">
      <c r="A4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7" s="316" t="s">
        <v>322</v>
      </c>
      <c r="C47" s="218" t="s">
        <v>323</v>
      </c>
      <c r="D47" s="218" t="s">
        <v>332</v>
      </c>
      <c r="E47" s="105" t="s">
        <v>333</v>
      </c>
      <c r="F47" s="100"/>
      <c r="G47" s="34"/>
      <c r="H47" s="335"/>
      <c r="I47" s="97"/>
      <c r="J47" s="97" t="s">
        <v>412</v>
      </c>
      <c r="K47" s="336">
        <v>15042</v>
      </c>
      <c r="L47" s="337">
        <v>1169</v>
      </c>
      <c r="M47" s="319">
        <v>10168.52436456941</v>
      </c>
      <c r="N47" s="319">
        <v>22499</v>
      </c>
      <c r="O47" s="319">
        <v>13943.482929485355</v>
      </c>
      <c r="P47" s="319">
        <v>17185.379852791521</v>
      </c>
      <c r="Q47" s="320">
        <v>12853.5</v>
      </c>
      <c r="R47" s="319">
        <v>10235.194444444445</v>
      </c>
      <c r="S47" s="235">
        <f>tblPiNAnalysis[[#This Row],[CCCM]]</f>
        <v>15678.75</v>
      </c>
      <c r="T47" s="236">
        <f>tblPiNAnalysis[[#This Row],[Education]]</f>
        <v>1377.7508543217234</v>
      </c>
      <c r="U47" s="219">
        <f>tblPiNAnalysis[[#This Row],[Nutrition]]</f>
        <v>12808.60290556908</v>
      </c>
      <c r="V47" s="219">
        <f>tblPiNAnalysis[[#This Row],[Food Security]]</f>
        <v>22768.814394256126</v>
      </c>
      <c r="W47" s="219">
        <f>tblPiNAnalysis[[#This Row],[Health]]</f>
        <v>14585.685611122632</v>
      </c>
      <c r="X47" s="219">
        <f>tblPiNAnalysis[[#This Row],[Overarching Protection]]</f>
        <v>21273</v>
      </c>
      <c r="Y47" s="219">
        <f>tblPiNAnalysis[[#This Row],[Shelter]]</f>
        <v>30389.775329136304</v>
      </c>
      <c r="Z47" s="230">
        <f>tblPiNAnalysis[[#This Row],[WASH]]</f>
        <v>12381.019578537012</v>
      </c>
      <c r="AA47" s="339">
        <f>IF(OR(tblPiNHistorical[[#This Row],[CCCM - old]]="", tblPiNHistorical[[#This Row],[CCCM - old]]=0, tblPiNHistorical[[#This Row],[CCCM - new]]="", tblPiNHistorical[[#This Row],[CCCM - new]]=0), "", tblPiNHistorical[[#This Row],[CCCM - new]]-tblPiNHistorical[[#This Row],[CCCM - old]])</f>
        <v>636.75</v>
      </c>
      <c r="AB47" s="340">
        <f>IF(OR(tblPiNHistorical[[#This Row],[Education - old]]="", tblPiNHistorical[[#This Row],[Education - old]]=0, tblPiNHistorical[[#This Row],[Education - new]]="", tblPiNHistorical[[#This Row],[Education - new]]=0), "", tblPiNHistorical[[#This Row],[Education - new]]-tblPiNHistorical[[#This Row],[Education - old]])</f>
        <v>208.75085432172341</v>
      </c>
      <c r="AC47" s="340">
        <f>IF(OR(tblPiNHistorical[[#This Row],[Nutrition - old]]="", tblPiNHistorical[[#This Row],[Nutrition - old]]=0, tblPiNHistorical[[#This Row],[Nutrition - new]]="", tblPiNHistorical[[#This Row],[Nutrition - new]]=0), "", tblPiNHistorical[[#This Row],[Nutrition - new]]-tblPiNHistorical[[#This Row],[Nutrition - old]])</f>
        <v>2640.0785409996697</v>
      </c>
      <c r="AD47" s="340">
        <f>IF(OR(tblPiNHistorical[[#This Row],[Food Security - old]]="", tblPiNHistorical[[#This Row],[Food Security - old]]=0, tblPiNHistorical[[#This Row],[Food Security - new]]="", tblPiNHistorical[[#This Row],[Food Security - new]]=0), "", tblPiNHistorical[[#This Row],[Food Security - new]]-tblPiNHistorical[[#This Row],[Food Security - old]])</f>
        <v>269.81439425612552</v>
      </c>
      <c r="AE47" s="340">
        <f>IF(OR(tblPiNHistorical[[#This Row],[Health - old]]="", tblPiNHistorical[[#This Row],[Health - old]]=0, tblPiNHistorical[[#This Row],[Health - new]]="", tblPiNHistorical[[#This Row],[Health - new]]=0), "", tblPiNHistorical[[#This Row],[Health - new]]-tblPiNHistorical[[#This Row],[Health - old]])</f>
        <v>642.20268163727633</v>
      </c>
      <c r="AF4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4087.6201472084795</v>
      </c>
      <c r="AG47" s="340">
        <f>IF(OR(tblPiNHistorical[[#This Row],[Shelter - old]]="", tblPiNHistorical[[#This Row],[Shelter - old]]=0, tblPiNHistorical[[#This Row],[Shelter - new]]="", tblPiNHistorical[[#This Row],[Shelter - new]]=0), "", tblPiNHistorical[[#This Row],[Shelter - new]]-tblPiNHistorical[[#This Row],[Shelter - old]])</f>
        <v>17536.275329136304</v>
      </c>
      <c r="AH47" s="341">
        <f>IF(OR(tblPiNHistorical[[#This Row],[WASH - old]]="", tblPiNHistorical[[#This Row],[WASH - old]]=0, tblPiNHistorical[[#This Row],[WASH - new]]="", tblPiNHistorical[[#This Row],[WASH - new]]=0), "", tblPiNHistorical[[#This Row],[WASH - new]]-tblPiNHistorical[[#This Row],[WASH - old]])</f>
        <v>2145.8251340925672</v>
      </c>
      <c r="AI47" s="342">
        <f>IFERROR(ROUND((tblPiNHistorical[[#This Row],[CCCM - new]] - tblPiNHistorical[[#This Row],[CCCM - old]])/tblPiNHistorical[[#This Row],[CCCM - old]], 1), "")</f>
        <v>0</v>
      </c>
      <c r="AJ47" s="343">
        <f>IFERROR(ROUND((tblPiNHistorical[[#This Row],[Education - new]]-tblPiNHistorical[[#This Row],[Education - old]])/tblPiNHistorical[[#This Row],[Education - old]], 1), "")</f>
        <v>0.2</v>
      </c>
      <c r="AK47" s="343">
        <f>IFERROR(ROUND((tblPiNHistorical[[#This Row],[Nutrition - new]]-tblPiNHistorical[[#This Row],[Nutrition - old]])/tblPiNHistorical[[#This Row],[Nutrition - old]], 1), "")</f>
        <v>0.3</v>
      </c>
      <c r="AL47" s="343">
        <f>IFERROR(ROUND((tblPiNHistorical[[#This Row],[Food Security - new]]-tblPiNHistorical[[#This Row],[Food Security - old]])/tblPiNHistorical[[#This Row],[Food Security - old]], 1), "")</f>
        <v>0</v>
      </c>
      <c r="AM47" s="343">
        <f>IFERROR(ROUND((tblPiNHistorical[[#This Row],[Health - new]]-tblPiNHistorical[[#This Row],[Health - old]])/tblPiNHistorical[[#This Row],[Health - old]], 1), "")</f>
        <v>0</v>
      </c>
      <c r="AN47" s="343">
        <f>IFERROR(ROUND((tblPiNHistorical[[#This Row],[Overarching Protection - new]]-tblPiNHistorical[[#This Row],[Overarching Protection - old]])/tblPiNHistorical[[#This Row],[Overarching Protection - old]], 1), "")</f>
        <v>0.2</v>
      </c>
      <c r="AO47" s="343">
        <f>IFERROR(ROUND((tblPiNHistorical[[#This Row],[Shelter - new]]-tblPiNHistorical[[#This Row],[Shelter - old]])/tblPiNHistorical[[#This Row],[Shelter - old]], 1), "")</f>
        <v>1.4</v>
      </c>
      <c r="AP47" s="38">
        <f>IFERROR(ROUND((tblPiNHistorical[[#This Row],[WASH - new]]-tblPiNHistorical[[#This Row],[WASH - old]])/tblPiNHistorical[[#This Row],[WASH - old]], 1), "")</f>
        <v>0.2</v>
      </c>
      <c r="AQ47" s="406">
        <v>22499</v>
      </c>
      <c r="AR47" s="406">
        <v>30389.775329136304</v>
      </c>
    </row>
    <row r="48" spans="1:44" ht="15" customHeight="1" x14ac:dyDescent="0.55000000000000004">
      <c r="A4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8" s="316" t="s">
        <v>322</v>
      </c>
      <c r="C48" s="218" t="s">
        <v>323</v>
      </c>
      <c r="D48" s="218" t="s">
        <v>334</v>
      </c>
      <c r="E48" s="105" t="s">
        <v>335</v>
      </c>
      <c r="F48" s="100"/>
      <c r="G48" s="34"/>
      <c r="H48" s="335"/>
      <c r="I48" s="97"/>
      <c r="J48" s="97" t="s">
        <v>412</v>
      </c>
      <c r="K48" s="336">
        <v>8649.25</v>
      </c>
      <c r="L48" s="337">
        <v>12559</v>
      </c>
      <c r="M48" s="319">
        <v>14002.048679965308</v>
      </c>
      <c r="N48" s="319">
        <v>21043</v>
      </c>
      <c r="O48" s="319">
        <v>24570.540096919249</v>
      </c>
      <c r="P48" s="319">
        <v>26157.990501388689</v>
      </c>
      <c r="Q48" s="320">
        <v>26613.076923076922</v>
      </c>
      <c r="R48" s="319">
        <v>19220.555555555558</v>
      </c>
      <c r="S48" s="235">
        <f>tblPiNAnalysis[[#This Row],[CCCM]]</f>
        <v>0</v>
      </c>
      <c r="T48" s="236">
        <f>tblPiNAnalysis[[#This Row],[Education]]</f>
        <v>13507.755956227185</v>
      </c>
      <c r="U48" s="219">
        <f>tblPiNAnalysis[[#This Row],[Nutrition]]</f>
        <v>16137.025442343989</v>
      </c>
      <c r="V48" s="219">
        <f>tblPiNAnalysis[[#This Row],[Food Security]]</f>
        <v>29153.471897626488</v>
      </c>
      <c r="W48" s="219">
        <f>tblPiNAnalysis[[#This Row],[Health]]</f>
        <v>23834.92627879652</v>
      </c>
      <c r="X48" s="219">
        <f>tblPiNAnalysis[[#This Row],[Overarching Protection]]</f>
        <v>30899</v>
      </c>
      <c r="Y48" s="219">
        <f>tblPiNAnalysis[[#This Row],[Shelter]]</f>
        <v>16815.883823183147</v>
      </c>
      <c r="Z48" s="230">
        <f>tblPiNAnalysis[[#This Row],[WASH]]</f>
        <v>18801.092330086714</v>
      </c>
      <c r="AA48" s="339" t="str">
        <f>IF(OR(tblPiNHistorical[[#This Row],[CCCM - old]]="", tblPiNHistorical[[#This Row],[CCCM - old]]=0, tblPiNHistorical[[#This Row],[CCCM - new]]="", tblPiNHistorical[[#This Row],[CCCM - new]]=0), "", tblPiNHistorical[[#This Row],[CCCM - new]]-tblPiNHistorical[[#This Row],[CCCM - old]])</f>
        <v/>
      </c>
      <c r="AB48" s="340">
        <f>IF(OR(tblPiNHistorical[[#This Row],[Education - old]]="", tblPiNHistorical[[#This Row],[Education - old]]=0, tblPiNHistorical[[#This Row],[Education - new]]="", tblPiNHistorical[[#This Row],[Education - new]]=0), "", tblPiNHistorical[[#This Row],[Education - new]]-tblPiNHistorical[[#This Row],[Education - old]])</f>
        <v>948.75595622718538</v>
      </c>
      <c r="AC48" s="340">
        <f>IF(OR(tblPiNHistorical[[#This Row],[Nutrition - old]]="", tblPiNHistorical[[#This Row],[Nutrition - old]]=0, tblPiNHistorical[[#This Row],[Nutrition - new]]="", tblPiNHistorical[[#This Row],[Nutrition - new]]=0), "", tblPiNHistorical[[#This Row],[Nutrition - new]]-tblPiNHistorical[[#This Row],[Nutrition - old]])</f>
        <v>2134.9767623786811</v>
      </c>
      <c r="AD48" s="340">
        <f>IF(OR(tblPiNHistorical[[#This Row],[Food Security - old]]="", tblPiNHistorical[[#This Row],[Food Security - old]]=0, tblPiNHistorical[[#This Row],[Food Security - new]]="", tblPiNHistorical[[#This Row],[Food Security - new]]=0), "", tblPiNHistorical[[#This Row],[Food Security - new]]-tblPiNHistorical[[#This Row],[Food Security - old]])</f>
        <v>8110.4718976264885</v>
      </c>
      <c r="AE48" s="340">
        <f>IF(OR(tblPiNHistorical[[#This Row],[Health - old]]="", tblPiNHistorical[[#This Row],[Health - old]]=0, tblPiNHistorical[[#This Row],[Health - new]]="", tblPiNHistorical[[#This Row],[Health - new]]=0), "", tblPiNHistorical[[#This Row],[Health - new]]-tblPiNHistorical[[#This Row],[Health - old]])</f>
        <v>-735.61381812272884</v>
      </c>
      <c r="AF4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4741.0094986113108</v>
      </c>
      <c r="AG48" s="340">
        <f>IF(OR(tblPiNHistorical[[#This Row],[Shelter - old]]="", tblPiNHistorical[[#This Row],[Shelter - old]]=0, tblPiNHistorical[[#This Row],[Shelter - new]]="", tblPiNHistorical[[#This Row],[Shelter - new]]=0), "", tblPiNHistorical[[#This Row],[Shelter - new]]-tblPiNHistorical[[#This Row],[Shelter - old]])</f>
        <v>-9797.1930998937751</v>
      </c>
      <c r="AH48" s="341">
        <f>IF(OR(tblPiNHistorical[[#This Row],[WASH - old]]="", tblPiNHistorical[[#This Row],[WASH - old]]=0, tblPiNHistorical[[#This Row],[WASH - new]]="", tblPiNHistorical[[#This Row],[WASH - new]]=0), "", tblPiNHistorical[[#This Row],[WASH - new]]-tblPiNHistorical[[#This Row],[WASH - old]])</f>
        <v>-419.46322546884403</v>
      </c>
      <c r="AI48" s="342">
        <f>IFERROR(ROUND((tblPiNHistorical[[#This Row],[CCCM - new]] - tblPiNHistorical[[#This Row],[CCCM - old]])/tblPiNHistorical[[#This Row],[CCCM - old]], 1), "")</f>
        <v>-1</v>
      </c>
      <c r="AJ48" s="343">
        <f>IFERROR(ROUND((tblPiNHistorical[[#This Row],[Education - new]]-tblPiNHistorical[[#This Row],[Education - old]])/tblPiNHistorical[[#This Row],[Education - old]], 1), "")</f>
        <v>0.1</v>
      </c>
      <c r="AK48" s="343">
        <f>IFERROR(ROUND((tblPiNHistorical[[#This Row],[Nutrition - new]]-tblPiNHistorical[[#This Row],[Nutrition - old]])/tblPiNHistorical[[#This Row],[Nutrition - old]], 1), "")</f>
        <v>0.2</v>
      </c>
      <c r="AL48" s="343">
        <f>IFERROR(ROUND((tblPiNHistorical[[#This Row],[Food Security - new]]-tblPiNHistorical[[#This Row],[Food Security - old]])/tblPiNHistorical[[#This Row],[Food Security - old]], 1), "")</f>
        <v>0.4</v>
      </c>
      <c r="AM48" s="343">
        <f>IFERROR(ROUND((tblPiNHistorical[[#This Row],[Health - new]]-tblPiNHistorical[[#This Row],[Health - old]])/tblPiNHistorical[[#This Row],[Health - old]], 1), "")</f>
        <v>0</v>
      </c>
      <c r="AN48" s="343">
        <f>IFERROR(ROUND((tblPiNHistorical[[#This Row],[Overarching Protection - new]]-tblPiNHistorical[[#This Row],[Overarching Protection - old]])/tblPiNHistorical[[#This Row],[Overarching Protection - old]], 1), "")</f>
        <v>0.2</v>
      </c>
      <c r="AO48" s="343">
        <f>IFERROR(ROUND((tblPiNHistorical[[#This Row],[Shelter - new]]-tblPiNHistorical[[#This Row],[Shelter - old]])/tblPiNHistorical[[#This Row],[Shelter - old]], 1), "")</f>
        <v>-0.4</v>
      </c>
      <c r="AP48" s="38">
        <f>IFERROR(ROUND((tblPiNHistorical[[#This Row],[WASH - new]]-tblPiNHistorical[[#This Row],[WASH - old]])/tblPiNHistorical[[#This Row],[WASH - old]], 1), "")</f>
        <v>0</v>
      </c>
      <c r="AQ48" s="406">
        <v>26613.076923076922</v>
      </c>
      <c r="AR48" s="406">
        <v>30899</v>
      </c>
    </row>
    <row r="49" spans="1:44" ht="15" customHeight="1" x14ac:dyDescent="0.55000000000000004">
      <c r="A4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49" s="316" t="s">
        <v>322</v>
      </c>
      <c r="C49" s="218" t="s">
        <v>323</v>
      </c>
      <c r="D49" s="218" t="s">
        <v>336</v>
      </c>
      <c r="E49" s="105" t="s">
        <v>337</v>
      </c>
      <c r="F49" s="100"/>
      <c r="G49" s="34"/>
      <c r="H49" s="335"/>
      <c r="I49" s="97"/>
      <c r="J49" s="97" t="s">
        <v>412</v>
      </c>
      <c r="K49" s="336">
        <v>26365</v>
      </c>
      <c r="L49" s="337">
        <v>5221</v>
      </c>
      <c r="M49" s="319">
        <v>11660.722960472262</v>
      </c>
      <c r="N49" s="319">
        <v>22353</v>
      </c>
      <c r="O49" s="319">
        <v>11232.383269466922</v>
      </c>
      <c r="P49" s="319">
        <v>14259.399986349999</v>
      </c>
      <c r="Q49" s="320">
        <v>6760.2564102564102</v>
      </c>
      <c r="R49" s="319">
        <v>15379.583333333332</v>
      </c>
      <c r="S49" s="235">
        <f>tblPiNAnalysis[[#This Row],[CCCM]]</f>
        <v>34478.75</v>
      </c>
      <c r="T49" s="236">
        <f>tblPiNAnalysis[[#This Row],[Education]]</f>
        <v>12479.729405043756</v>
      </c>
      <c r="U49" s="219">
        <f>tblPiNAnalysis[[#This Row],[Nutrition]]</f>
        <v>24607.146779216342</v>
      </c>
      <c r="V49" s="219">
        <f>tblPiNAnalysis[[#This Row],[Food Security]]</f>
        <v>46221.661749142266</v>
      </c>
      <c r="W49" s="219">
        <f>tblPiNAnalysis[[#This Row],[Health]]</f>
        <v>40518.916515767763</v>
      </c>
      <c r="X49" s="219">
        <f>tblPiNAnalysis[[#This Row],[Overarching Protection]]</f>
        <v>43485</v>
      </c>
      <c r="Y49" s="219">
        <f>tblPiNAnalysis[[#This Row],[Shelter]]</f>
        <v>54052.320164047829</v>
      </c>
      <c r="Z49" s="230">
        <f>tblPiNAnalysis[[#This Row],[WASH]]</f>
        <v>33282.215656566485</v>
      </c>
      <c r="AA49" s="339">
        <f>IF(OR(tblPiNHistorical[[#This Row],[CCCM - old]]="", tblPiNHistorical[[#This Row],[CCCM - old]]=0, tblPiNHistorical[[#This Row],[CCCM - new]]="", tblPiNHistorical[[#This Row],[CCCM - new]]=0), "", tblPiNHistorical[[#This Row],[CCCM - new]]-tblPiNHistorical[[#This Row],[CCCM - old]])</f>
        <v>8113.75</v>
      </c>
      <c r="AB49" s="340">
        <f>IF(OR(tblPiNHistorical[[#This Row],[Education - old]]="", tblPiNHistorical[[#This Row],[Education - old]]=0, tblPiNHistorical[[#This Row],[Education - new]]="", tblPiNHistorical[[#This Row],[Education - new]]=0), "", tblPiNHistorical[[#This Row],[Education - new]]-tblPiNHistorical[[#This Row],[Education - old]])</f>
        <v>7258.7294050437558</v>
      </c>
      <c r="AC49" s="340">
        <f>IF(OR(tblPiNHistorical[[#This Row],[Nutrition - old]]="", tblPiNHistorical[[#This Row],[Nutrition - old]]=0, tblPiNHistorical[[#This Row],[Nutrition - new]]="", tblPiNHistorical[[#This Row],[Nutrition - new]]=0), "", tblPiNHistorical[[#This Row],[Nutrition - new]]-tblPiNHistorical[[#This Row],[Nutrition - old]])</f>
        <v>12946.423818744081</v>
      </c>
      <c r="AD49" s="340">
        <f>IF(OR(tblPiNHistorical[[#This Row],[Food Security - old]]="", tblPiNHistorical[[#This Row],[Food Security - old]]=0, tblPiNHistorical[[#This Row],[Food Security - new]]="", tblPiNHistorical[[#This Row],[Food Security - new]]=0), "", tblPiNHistorical[[#This Row],[Food Security - new]]-tblPiNHistorical[[#This Row],[Food Security - old]])</f>
        <v>23868.661749142266</v>
      </c>
      <c r="AE49" s="340">
        <f>IF(OR(tblPiNHistorical[[#This Row],[Health - old]]="", tblPiNHistorical[[#This Row],[Health - old]]=0, tblPiNHistorical[[#This Row],[Health - new]]="", tblPiNHistorical[[#This Row],[Health - new]]=0), "", tblPiNHistorical[[#This Row],[Health - new]]-tblPiNHistorical[[#This Row],[Health - old]])</f>
        <v>29286.533246300842</v>
      </c>
      <c r="AF4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29225.600013650001</v>
      </c>
      <c r="AG49" s="340">
        <f>IF(OR(tblPiNHistorical[[#This Row],[Shelter - old]]="", tblPiNHistorical[[#This Row],[Shelter - old]]=0, tblPiNHistorical[[#This Row],[Shelter - new]]="", tblPiNHistorical[[#This Row],[Shelter - new]]=0), "", tblPiNHistorical[[#This Row],[Shelter - new]]-tblPiNHistorical[[#This Row],[Shelter - old]])</f>
        <v>47292.063753791415</v>
      </c>
      <c r="AH49" s="341">
        <f>IF(OR(tblPiNHistorical[[#This Row],[WASH - old]]="", tblPiNHistorical[[#This Row],[WASH - old]]=0, tblPiNHistorical[[#This Row],[WASH - new]]="", tblPiNHistorical[[#This Row],[WASH - new]]=0), "", tblPiNHistorical[[#This Row],[WASH - new]]-tblPiNHistorical[[#This Row],[WASH - old]])</f>
        <v>17902.632323233152</v>
      </c>
      <c r="AI49" s="342">
        <f>IFERROR(ROUND((tblPiNHistorical[[#This Row],[CCCM - new]] - tblPiNHistorical[[#This Row],[CCCM - old]])/tblPiNHistorical[[#This Row],[CCCM - old]], 1), "")</f>
        <v>0.3</v>
      </c>
      <c r="AJ49" s="343">
        <f>IFERROR(ROUND((tblPiNHistorical[[#This Row],[Education - new]]-tblPiNHistorical[[#This Row],[Education - old]])/tblPiNHistorical[[#This Row],[Education - old]], 1), "")</f>
        <v>1.4</v>
      </c>
      <c r="AK49" s="343">
        <f>IFERROR(ROUND((tblPiNHistorical[[#This Row],[Nutrition - new]]-tblPiNHistorical[[#This Row],[Nutrition - old]])/tblPiNHistorical[[#This Row],[Nutrition - old]], 1), "")</f>
        <v>1.1000000000000001</v>
      </c>
      <c r="AL49" s="343">
        <f>IFERROR(ROUND((tblPiNHistorical[[#This Row],[Food Security - new]]-tblPiNHistorical[[#This Row],[Food Security - old]])/tblPiNHistorical[[#This Row],[Food Security - old]], 1), "")</f>
        <v>1.1000000000000001</v>
      </c>
      <c r="AM49" s="343">
        <f>IFERROR(ROUND((tblPiNHistorical[[#This Row],[Health - new]]-tblPiNHistorical[[#This Row],[Health - old]])/tblPiNHistorical[[#This Row],[Health - old]], 1), "")</f>
        <v>2.6</v>
      </c>
      <c r="AN49" s="343">
        <f>IFERROR(ROUND((tblPiNHistorical[[#This Row],[Overarching Protection - new]]-tblPiNHistorical[[#This Row],[Overarching Protection - old]])/tblPiNHistorical[[#This Row],[Overarching Protection - old]], 1), "")</f>
        <v>2</v>
      </c>
      <c r="AO49" s="343">
        <f>IFERROR(ROUND((tblPiNHistorical[[#This Row],[Shelter - new]]-tblPiNHistorical[[#This Row],[Shelter - old]])/tblPiNHistorical[[#This Row],[Shelter - old]], 1), "")</f>
        <v>7</v>
      </c>
      <c r="AP49" s="38">
        <f>IFERROR(ROUND((tblPiNHistorical[[#This Row],[WASH - new]]-tblPiNHistorical[[#This Row],[WASH - old]])/tblPiNHistorical[[#This Row],[WASH - old]], 1), "")</f>
        <v>1.2</v>
      </c>
      <c r="AQ49" s="406">
        <v>26365</v>
      </c>
      <c r="AR49" s="406">
        <v>54052.320164047829</v>
      </c>
    </row>
    <row r="50" spans="1:44" ht="15" customHeight="1" x14ac:dyDescent="0.55000000000000004">
      <c r="A5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0" s="316" t="s">
        <v>322</v>
      </c>
      <c r="C50" s="218" t="s">
        <v>323</v>
      </c>
      <c r="D50" s="218" t="s">
        <v>338</v>
      </c>
      <c r="E50" s="105" t="s">
        <v>339</v>
      </c>
      <c r="F50" s="100"/>
      <c r="G50" s="34"/>
      <c r="H50" s="335"/>
      <c r="I50" s="97"/>
      <c r="J50" s="97" t="s">
        <v>412</v>
      </c>
      <c r="K50" s="336">
        <v>2653.5</v>
      </c>
      <c r="L50" s="337">
        <v>1602</v>
      </c>
      <c r="M50" s="319">
        <v>2970.5934831802115</v>
      </c>
      <c r="N50" s="319">
        <v>7028</v>
      </c>
      <c r="O50" s="319">
        <v>3095.3356273295817</v>
      </c>
      <c r="P50" s="319">
        <v>7018.9207980211604</v>
      </c>
      <c r="Q50" s="320">
        <v>3032.5714285714284</v>
      </c>
      <c r="R50" s="319">
        <v>3341.4444444444443</v>
      </c>
      <c r="S50" s="235">
        <f>tblPiNAnalysis[[#This Row],[CCCM]]</f>
        <v>0</v>
      </c>
      <c r="T50" s="236">
        <f>tblPiNAnalysis[[#This Row],[Education]]</f>
        <v>1850.3643598033841</v>
      </c>
      <c r="U50" s="219">
        <f>tblPiNAnalysis[[#This Row],[Nutrition]]</f>
        <v>4697.5558725250112</v>
      </c>
      <c r="V50" s="219">
        <f>tblPiNAnalysis[[#This Row],[Food Security]]</f>
        <v>7754.778001379178</v>
      </c>
      <c r="W50" s="219">
        <f>tblPiNAnalysis[[#This Row],[Health]]</f>
        <v>10954.255548004925</v>
      </c>
      <c r="X50" s="219">
        <f>tblPiNAnalysis[[#This Row],[Overarching Protection]]</f>
        <v>2451</v>
      </c>
      <c r="Y50" s="219">
        <f>tblPiNAnalysis[[#This Row],[Shelter]]</f>
        <v>5252.5785360493928</v>
      </c>
      <c r="Z50" s="230">
        <f>tblPiNAnalysis[[#This Row],[WASH]]</f>
        <v>5172.2638795348767</v>
      </c>
      <c r="AA50" s="339" t="str">
        <f>IF(OR(tblPiNHistorical[[#This Row],[CCCM - old]]="", tblPiNHistorical[[#This Row],[CCCM - old]]=0, tblPiNHistorical[[#This Row],[CCCM - new]]="", tblPiNHistorical[[#This Row],[CCCM - new]]=0), "", tblPiNHistorical[[#This Row],[CCCM - new]]-tblPiNHistorical[[#This Row],[CCCM - old]])</f>
        <v/>
      </c>
      <c r="AB50" s="340">
        <f>IF(OR(tblPiNHistorical[[#This Row],[Education - old]]="", tblPiNHistorical[[#This Row],[Education - old]]=0, tblPiNHistorical[[#This Row],[Education - new]]="", tblPiNHistorical[[#This Row],[Education - new]]=0), "", tblPiNHistorical[[#This Row],[Education - new]]-tblPiNHistorical[[#This Row],[Education - old]])</f>
        <v>248.3643598033841</v>
      </c>
      <c r="AC50" s="340">
        <f>IF(OR(tblPiNHistorical[[#This Row],[Nutrition - old]]="", tblPiNHistorical[[#This Row],[Nutrition - old]]=0, tblPiNHistorical[[#This Row],[Nutrition - new]]="", tblPiNHistorical[[#This Row],[Nutrition - new]]=0), "", tblPiNHistorical[[#This Row],[Nutrition - new]]-tblPiNHistorical[[#This Row],[Nutrition - old]])</f>
        <v>1726.9623893447997</v>
      </c>
      <c r="AD50" s="340">
        <f>IF(OR(tblPiNHistorical[[#This Row],[Food Security - old]]="", tblPiNHistorical[[#This Row],[Food Security - old]]=0, tblPiNHistorical[[#This Row],[Food Security - new]]="", tblPiNHistorical[[#This Row],[Food Security - new]]=0), "", tblPiNHistorical[[#This Row],[Food Security - new]]-tblPiNHistorical[[#This Row],[Food Security - old]])</f>
        <v>726.77800137917802</v>
      </c>
      <c r="AE50" s="340">
        <f>IF(OR(tblPiNHistorical[[#This Row],[Health - old]]="", tblPiNHistorical[[#This Row],[Health - old]]=0, tblPiNHistorical[[#This Row],[Health - new]]="", tblPiNHistorical[[#This Row],[Health - new]]=0), "", tblPiNHistorical[[#This Row],[Health - new]]-tblPiNHistorical[[#This Row],[Health - old]])</f>
        <v>7858.9199206753437</v>
      </c>
      <c r="AF5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-4567.9207980211604</v>
      </c>
      <c r="AG50" s="340">
        <f>IF(OR(tblPiNHistorical[[#This Row],[Shelter - old]]="", tblPiNHistorical[[#This Row],[Shelter - old]]=0, tblPiNHistorical[[#This Row],[Shelter - new]]="", tblPiNHistorical[[#This Row],[Shelter - new]]=0), "", tblPiNHistorical[[#This Row],[Shelter - new]]-tblPiNHistorical[[#This Row],[Shelter - old]])</f>
        <v>2220.0071074779644</v>
      </c>
      <c r="AH50" s="341">
        <f>IF(OR(tblPiNHistorical[[#This Row],[WASH - old]]="", tblPiNHistorical[[#This Row],[WASH - old]]=0, tblPiNHistorical[[#This Row],[WASH - new]]="", tblPiNHistorical[[#This Row],[WASH - new]]=0), "", tblPiNHistorical[[#This Row],[WASH - new]]-tblPiNHistorical[[#This Row],[WASH - old]])</f>
        <v>1830.8194350904323</v>
      </c>
      <c r="AI50" s="342">
        <f>IFERROR(ROUND((tblPiNHistorical[[#This Row],[CCCM - new]] - tblPiNHistorical[[#This Row],[CCCM - old]])/tblPiNHistorical[[#This Row],[CCCM - old]], 1), "")</f>
        <v>-1</v>
      </c>
      <c r="AJ50" s="343">
        <f>IFERROR(ROUND((tblPiNHistorical[[#This Row],[Education - new]]-tblPiNHistorical[[#This Row],[Education - old]])/tblPiNHistorical[[#This Row],[Education - old]], 1), "")</f>
        <v>0.2</v>
      </c>
      <c r="AK50" s="343">
        <f>IFERROR(ROUND((tblPiNHistorical[[#This Row],[Nutrition - new]]-tblPiNHistorical[[#This Row],[Nutrition - old]])/tblPiNHistorical[[#This Row],[Nutrition - old]], 1), "")</f>
        <v>0.6</v>
      </c>
      <c r="AL50" s="343">
        <f>IFERROR(ROUND((tblPiNHistorical[[#This Row],[Food Security - new]]-tblPiNHistorical[[#This Row],[Food Security - old]])/tblPiNHistorical[[#This Row],[Food Security - old]], 1), "")</f>
        <v>0.1</v>
      </c>
      <c r="AM50" s="343">
        <f>IFERROR(ROUND((tblPiNHistorical[[#This Row],[Health - new]]-tblPiNHistorical[[#This Row],[Health - old]])/tblPiNHistorical[[#This Row],[Health - old]], 1), "")</f>
        <v>2.5</v>
      </c>
      <c r="AN50" s="343">
        <f>IFERROR(ROUND((tblPiNHistorical[[#This Row],[Overarching Protection - new]]-tblPiNHistorical[[#This Row],[Overarching Protection - old]])/tblPiNHistorical[[#This Row],[Overarching Protection - old]], 1), "")</f>
        <v>-0.7</v>
      </c>
      <c r="AO50" s="343">
        <f>IFERROR(ROUND((tblPiNHistorical[[#This Row],[Shelter - new]]-tblPiNHistorical[[#This Row],[Shelter - old]])/tblPiNHistorical[[#This Row],[Shelter - old]], 1), "")</f>
        <v>0.7</v>
      </c>
      <c r="AP50" s="38">
        <f>IFERROR(ROUND((tblPiNHistorical[[#This Row],[WASH - new]]-tblPiNHistorical[[#This Row],[WASH - old]])/tblPiNHistorical[[#This Row],[WASH - old]], 1), "")</f>
        <v>0.5</v>
      </c>
      <c r="AQ50" s="406">
        <v>7028</v>
      </c>
      <c r="AR50" s="406">
        <v>10954.255548004925</v>
      </c>
    </row>
    <row r="51" spans="1:44" ht="15" customHeight="1" x14ac:dyDescent="0.55000000000000004">
      <c r="A5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1" s="316" t="s">
        <v>322</v>
      </c>
      <c r="C51" s="218" t="s">
        <v>323</v>
      </c>
      <c r="D51" s="218" t="s">
        <v>340</v>
      </c>
      <c r="E51" s="105" t="s">
        <v>341</v>
      </c>
      <c r="F51" s="100"/>
      <c r="G51" s="34"/>
      <c r="H51" s="335"/>
      <c r="I51" s="97"/>
      <c r="J51" s="97" t="s">
        <v>412</v>
      </c>
      <c r="K51" s="336">
        <v>199435</v>
      </c>
      <c r="L51" s="337">
        <v>20397</v>
      </c>
      <c r="M51" s="319">
        <v>75434.465230720598</v>
      </c>
      <c r="N51" s="319">
        <v>204710</v>
      </c>
      <c r="O51" s="319">
        <v>143981.38288555076</v>
      </c>
      <c r="P51" s="319">
        <v>181709.50525911874</v>
      </c>
      <c r="Q51" s="320">
        <v>53125.974999999999</v>
      </c>
      <c r="R51" s="319">
        <v>101803.39814814815</v>
      </c>
      <c r="S51" s="235">
        <f>tblPiNAnalysis[[#This Row],[CCCM]]</f>
        <v>233351.6448103383</v>
      </c>
      <c r="T51" s="236">
        <f>tblPiNAnalysis[[#This Row],[Education]]</f>
        <v>64255.662244645791</v>
      </c>
      <c r="U51" s="219">
        <f>tblPiNAnalysis[[#This Row],[Nutrition]]</f>
        <v>74302.744858180435</v>
      </c>
      <c r="V51" s="219">
        <f>tblPiNAnalysis[[#This Row],[Food Security]]</f>
        <v>193493.98589746177</v>
      </c>
      <c r="W51" s="219">
        <f>tblPiNAnalysis[[#This Row],[Health]]</f>
        <v>147561.08000448596</v>
      </c>
      <c r="X51" s="219">
        <f>tblPiNAnalysis[[#This Row],[Overarching Protection]]</f>
        <v>162104</v>
      </c>
      <c r="Y51" s="219">
        <f>tblPiNAnalysis[[#This Row],[Shelter]]</f>
        <v>143193.05476998031</v>
      </c>
      <c r="Z51" s="230">
        <f>tblPiNAnalysis[[#This Row],[WASH]]</f>
        <v>110193.83227154864</v>
      </c>
      <c r="AA51" s="339">
        <f>IF(OR(tblPiNHistorical[[#This Row],[CCCM - old]]="", tblPiNHistorical[[#This Row],[CCCM - old]]=0, tblPiNHistorical[[#This Row],[CCCM - new]]="", tblPiNHistorical[[#This Row],[CCCM - new]]=0), "", tblPiNHistorical[[#This Row],[CCCM - new]]-tblPiNHistorical[[#This Row],[CCCM - old]])</f>
        <v>33916.644810338301</v>
      </c>
      <c r="AB51" s="340">
        <f>IF(OR(tblPiNHistorical[[#This Row],[Education - old]]="", tblPiNHistorical[[#This Row],[Education - old]]=0, tblPiNHistorical[[#This Row],[Education - new]]="", tblPiNHistorical[[#This Row],[Education - new]]=0), "", tblPiNHistorical[[#This Row],[Education - new]]-tblPiNHistorical[[#This Row],[Education - old]])</f>
        <v>43858.662244645791</v>
      </c>
      <c r="AC51" s="340">
        <f>IF(OR(tblPiNHistorical[[#This Row],[Nutrition - old]]="", tblPiNHistorical[[#This Row],[Nutrition - old]]=0, tblPiNHistorical[[#This Row],[Nutrition - new]]="", tblPiNHistorical[[#This Row],[Nutrition - new]]=0), "", tblPiNHistorical[[#This Row],[Nutrition - new]]-tblPiNHistorical[[#This Row],[Nutrition - old]])</f>
        <v>-1131.7203725401632</v>
      </c>
      <c r="AD51" s="340">
        <f>IF(OR(tblPiNHistorical[[#This Row],[Food Security - old]]="", tblPiNHistorical[[#This Row],[Food Security - old]]=0, tblPiNHistorical[[#This Row],[Food Security - new]]="", tblPiNHistorical[[#This Row],[Food Security - new]]=0), "", tblPiNHistorical[[#This Row],[Food Security - new]]-tblPiNHistorical[[#This Row],[Food Security - old]])</f>
        <v>-11216.014102538233</v>
      </c>
      <c r="AE51" s="340">
        <f>IF(OR(tblPiNHistorical[[#This Row],[Health - old]]="", tblPiNHistorical[[#This Row],[Health - old]]=0, tblPiNHistorical[[#This Row],[Health - new]]="", tblPiNHistorical[[#This Row],[Health - new]]=0), "", tblPiNHistorical[[#This Row],[Health - new]]-tblPiNHistorical[[#This Row],[Health - old]])</f>
        <v>3579.6971189352043</v>
      </c>
      <c r="AF5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-19605.505259118741</v>
      </c>
      <c r="AG51" s="340">
        <f>IF(OR(tblPiNHistorical[[#This Row],[Shelter - old]]="", tblPiNHistorical[[#This Row],[Shelter - old]]=0, tblPiNHistorical[[#This Row],[Shelter - new]]="", tblPiNHistorical[[#This Row],[Shelter - new]]=0), "", tblPiNHistorical[[#This Row],[Shelter - new]]-tblPiNHistorical[[#This Row],[Shelter - old]])</f>
        <v>90067.079769980308</v>
      </c>
      <c r="AH51" s="341">
        <f>IF(OR(tblPiNHistorical[[#This Row],[WASH - old]]="", tblPiNHistorical[[#This Row],[WASH - old]]=0, tblPiNHistorical[[#This Row],[WASH - new]]="", tblPiNHistorical[[#This Row],[WASH - new]]=0), "", tblPiNHistorical[[#This Row],[WASH - new]]-tblPiNHistorical[[#This Row],[WASH - old]])</f>
        <v>8390.4341234004969</v>
      </c>
      <c r="AI51" s="342">
        <f>IFERROR(ROUND((tblPiNHistorical[[#This Row],[CCCM - new]] - tblPiNHistorical[[#This Row],[CCCM - old]])/tblPiNHistorical[[#This Row],[CCCM - old]], 1), "")</f>
        <v>0.2</v>
      </c>
      <c r="AJ51" s="343">
        <f>IFERROR(ROUND((tblPiNHistorical[[#This Row],[Education - new]]-tblPiNHistorical[[#This Row],[Education - old]])/tblPiNHistorical[[#This Row],[Education - old]], 1), "")</f>
        <v>2.2000000000000002</v>
      </c>
      <c r="AK51" s="343">
        <f>IFERROR(ROUND((tblPiNHistorical[[#This Row],[Nutrition - new]]-tblPiNHistorical[[#This Row],[Nutrition - old]])/tblPiNHistorical[[#This Row],[Nutrition - old]], 1), "")</f>
        <v>0</v>
      </c>
      <c r="AL51" s="343">
        <f>IFERROR(ROUND((tblPiNHistorical[[#This Row],[Food Security - new]]-tblPiNHistorical[[#This Row],[Food Security - old]])/tblPiNHistorical[[#This Row],[Food Security - old]], 1), "")</f>
        <v>-0.1</v>
      </c>
      <c r="AM51" s="343">
        <f>IFERROR(ROUND((tblPiNHistorical[[#This Row],[Health - new]]-tblPiNHistorical[[#This Row],[Health - old]])/tblPiNHistorical[[#This Row],[Health - old]], 1), "")</f>
        <v>0</v>
      </c>
      <c r="AN51" s="343">
        <f>IFERROR(ROUND((tblPiNHistorical[[#This Row],[Overarching Protection - new]]-tblPiNHistorical[[#This Row],[Overarching Protection - old]])/tblPiNHistorical[[#This Row],[Overarching Protection - old]], 1), "")</f>
        <v>-0.1</v>
      </c>
      <c r="AO51" s="343">
        <f>IFERROR(ROUND((tblPiNHistorical[[#This Row],[Shelter - new]]-tblPiNHistorical[[#This Row],[Shelter - old]])/tblPiNHistorical[[#This Row],[Shelter - old]], 1), "")</f>
        <v>1.7</v>
      </c>
      <c r="AP51" s="38">
        <f>IFERROR(ROUND((tblPiNHistorical[[#This Row],[WASH - new]]-tblPiNHistorical[[#This Row],[WASH - old]])/tblPiNHistorical[[#This Row],[WASH - old]], 1), "")</f>
        <v>0.1</v>
      </c>
      <c r="AQ51" s="406">
        <v>204710</v>
      </c>
      <c r="AR51" s="406">
        <v>233351.6448103383</v>
      </c>
    </row>
    <row r="52" spans="1:44" ht="15" customHeight="1" x14ac:dyDescent="0.55000000000000004">
      <c r="A5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2" s="316" t="s">
        <v>342</v>
      </c>
      <c r="C52" s="218" t="s">
        <v>343</v>
      </c>
      <c r="D52" s="218" t="s">
        <v>344</v>
      </c>
      <c r="E52" s="105" t="s">
        <v>345</v>
      </c>
      <c r="F52" s="100"/>
      <c r="G52" s="34"/>
      <c r="H52" s="335"/>
      <c r="I52" s="97"/>
      <c r="J52" s="97" t="s">
        <v>412</v>
      </c>
      <c r="K52" s="336">
        <v>1644</v>
      </c>
      <c r="L52" s="337">
        <v>458</v>
      </c>
      <c r="M52" s="319">
        <v>2311.6425333415577</v>
      </c>
      <c r="N52" s="319">
        <v>3432</v>
      </c>
      <c r="O52" s="319">
        <v>1982.5575089607964</v>
      </c>
      <c r="P52" s="319">
        <v>3009.0582128741958</v>
      </c>
      <c r="Q52" s="320">
        <v>184.61538461538461</v>
      </c>
      <c r="R52" s="319">
        <v>4577.7777777777783</v>
      </c>
      <c r="S52" s="235">
        <f>tblPiNAnalysis[[#This Row],[CCCM]]</f>
        <v>740</v>
      </c>
      <c r="T52" s="236">
        <f>tblPiNAnalysis[[#This Row],[Education]]</f>
        <v>486.8037560810393</v>
      </c>
      <c r="U52" s="219">
        <f>tblPiNAnalysis[[#This Row],[Nutrition]]</f>
        <v>3347.4854039009592</v>
      </c>
      <c r="V52" s="219">
        <f>tblPiNAnalysis[[#This Row],[Food Security]]</f>
        <v>4897.2706090857473</v>
      </c>
      <c r="W52" s="219">
        <f>tblPiNAnalysis[[#This Row],[Health]]</f>
        <v>3001.1641404185989</v>
      </c>
      <c r="X52" s="219">
        <f>tblPiNAnalysis[[#This Row],[Overarching Protection]]</f>
        <v>1215</v>
      </c>
      <c r="Y52" s="219">
        <f>tblPiNAnalysis[[#This Row],[Shelter]]</f>
        <v>3037.3599635684295</v>
      </c>
      <c r="Z52" s="230">
        <f>tblPiNAnalysis[[#This Row],[WASH]]</f>
        <v>5455.9984530766233</v>
      </c>
      <c r="AA52" s="339">
        <f>IF(OR(tblPiNHistorical[[#This Row],[CCCM - old]]="", tblPiNHistorical[[#This Row],[CCCM - old]]=0, tblPiNHistorical[[#This Row],[CCCM - new]]="", tblPiNHistorical[[#This Row],[CCCM - new]]=0), "", tblPiNHistorical[[#This Row],[CCCM - new]]-tblPiNHistorical[[#This Row],[CCCM - old]])</f>
        <v>-904</v>
      </c>
      <c r="AB52" s="340">
        <f>IF(OR(tblPiNHistorical[[#This Row],[Education - old]]="", tblPiNHistorical[[#This Row],[Education - old]]=0, tblPiNHistorical[[#This Row],[Education - new]]="", tblPiNHistorical[[#This Row],[Education - new]]=0), "", tblPiNHistorical[[#This Row],[Education - new]]-tblPiNHistorical[[#This Row],[Education - old]])</f>
        <v>28.803756081039296</v>
      </c>
      <c r="AC52" s="340">
        <f>IF(OR(tblPiNHistorical[[#This Row],[Nutrition - old]]="", tblPiNHistorical[[#This Row],[Nutrition - old]]=0, tblPiNHistorical[[#This Row],[Nutrition - new]]="", tblPiNHistorical[[#This Row],[Nutrition - new]]=0), "", tblPiNHistorical[[#This Row],[Nutrition - new]]-tblPiNHistorical[[#This Row],[Nutrition - old]])</f>
        <v>1035.8428705594015</v>
      </c>
      <c r="AD52" s="340">
        <f>IF(OR(tblPiNHistorical[[#This Row],[Food Security - old]]="", tblPiNHistorical[[#This Row],[Food Security - old]]=0, tblPiNHistorical[[#This Row],[Food Security - new]]="", tblPiNHistorical[[#This Row],[Food Security - new]]=0), "", tblPiNHistorical[[#This Row],[Food Security - new]]-tblPiNHistorical[[#This Row],[Food Security - old]])</f>
        <v>1465.2706090857473</v>
      </c>
      <c r="AE52" s="340">
        <f>IF(OR(tblPiNHistorical[[#This Row],[Health - old]]="", tblPiNHistorical[[#This Row],[Health - old]]=0, tblPiNHistorical[[#This Row],[Health - new]]="", tblPiNHistorical[[#This Row],[Health - new]]=0), "", tblPiNHistorical[[#This Row],[Health - new]]-tblPiNHistorical[[#This Row],[Health - old]])</f>
        <v>1018.6066314578025</v>
      </c>
      <c r="AF5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-1794.0582128741958</v>
      </c>
      <c r="AG52" s="340">
        <f>IF(OR(tblPiNHistorical[[#This Row],[Shelter - old]]="", tblPiNHistorical[[#This Row],[Shelter - old]]=0, tblPiNHistorical[[#This Row],[Shelter - new]]="", tblPiNHistorical[[#This Row],[Shelter - new]]=0), "", tblPiNHistorical[[#This Row],[Shelter - new]]-tblPiNHistorical[[#This Row],[Shelter - old]])</f>
        <v>2852.7445789530448</v>
      </c>
      <c r="AH52" s="341">
        <f>IF(OR(tblPiNHistorical[[#This Row],[WASH - old]]="", tblPiNHistorical[[#This Row],[WASH - old]]=0, tblPiNHistorical[[#This Row],[WASH - new]]="", tblPiNHistorical[[#This Row],[WASH - new]]=0), "", tblPiNHistorical[[#This Row],[WASH - new]]-tblPiNHistorical[[#This Row],[WASH - old]])</f>
        <v>878.22067529884498</v>
      </c>
      <c r="AI52" s="342">
        <f>IFERROR(ROUND((tblPiNHistorical[[#This Row],[CCCM - new]] - tblPiNHistorical[[#This Row],[CCCM - old]])/tblPiNHistorical[[#This Row],[CCCM - old]], 1), "")</f>
        <v>-0.5</v>
      </c>
      <c r="AJ52" s="343">
        <f>IFERROR(ROUND((tblPiNHistorical[[#This Row],[Education - new]]-tblPiNHistorical[[#This Row],[Education - old]])/tblPiNHistorical[[#This Row],[Education - old]], 1), "")</f>
        <v>0.1</v>
      </c>
      <c r="AK52" s="343">
        <f>IFERROR(ROUND((tblPiNHistorical[[#This Row],[Nutrition - new]]-tblPiNHistorical[[#This Row],[Nutrition - old]])/tblPiNHistorical[[#This Row],[Nutrition - old]], 1), "")</f>
        <v>0.4</v>
      </c>
      <c r="AL52" s="343">
        <f>IFERROR(ROUND((tblPiNHistorical[[#This Row],[Food Security - new]]-tblPiNHistorical[[#This Row],[Food Security - old]])/tblPiNHistorical[[#This Row],[Food Security - old]], 1), "")</f>
        <v>0.4</v>
      </c>
      <c r="AM52" s="343">
        <f>IFERROR(ROUND((tblPiNHistorical[[#This Row],[Health - new]]-tblPiNHistorical[[#This Row],[Health - old]])/tblPiNHistorical[[#This Row],[Health - old]], 1), "")</f>
        <v>0.5</v>
      </c>
      <c r="AN52" s="343">
        <f>IFERROR(ROUND((tblPiNHistorical[[#This Row],[Overarching Protection - new]]-tblPiNHistorical[[#This Row],[Overarching Protection - old]])/tblPiNHistorical[[#This Row],[Overarching Protection - old]], 1), "")</f>
        <v>-0.6</v>
      </c>
      <c r="AO52" s="343">
        <f>IFERROR(ROUND((tblPiNHistorical[[#This Row],[Shelter - new]]-tblPiNHistorical[[#This Row],[Shelter - old]])/tblPiNHistorical[[#This Row],[Shelter - old]], 1), "")</f>
        <v>15.5</v>
      </c>
      <c r="AP52" s="38">
        <f>IFERROR(ROUND((tblPiNHistorical[[#This Row],[WASH - new]]-tblPiNHistorical[[#This Row],[WASH - old]])/tblPiNHistorical[[#This Row],[WASH - old]], 1), "")</f>
        <v>0.2</v>
      </c>
      <c r="AQ52" s="406">
        <v>4577.7777777777783</v>
      </c>
      <c r="AR52" s="406">
        <v>5455.9984530766233</v>
      </c>
    </row>
    <row r="53" spans="1:44" ht="15" customHeight="1" x14ac:dyDescent="0.55000000000000004">
      <c r="A5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3" s="316" t="s">
        <v>342</v>
      </c>
      <c r="C53" s="218" t="s">
        <v>343</v>
      </c>
      <c r="D53" s="218" t="s">
        <v>346</v>
      </c>
      <c r="E53" s="105" t="s">
        <v>347</v>
      </c>
      <c r="F53" s="100"/>
      <c r="G53" s="34"/>
      <c r="H53" s="335"/>
      <c r="I53" s="97"/>
      <c r="J53" s="97" t="s">
        <v>412</v>
      </c>
      <c r="K53" s="336">
        <v>11199</v>
      </c>
      <c r="L53" s="337">
        <v>3119</v>
      </c>
      <c r="M53" s="319">
        <v>2948.9501361956609</v>
      </c>
      <c r="N53" s="319">
        <v>8284</v>
      </c>
      <c r="O53" s="319">
        <v>4479.5286151322562</v>
      </c>
      <c r="P53" s="319">
        <v>10214.62321508449</v>
      </c>
      <c r="Q53" s="320">
        <v>254.52272727272728</v>
      </c>
      <c r="R53" s="319">
        <v>8814.0277777777774</v>
      </c>
      <c r="S53" s="235">
        <f>tblPiNAnalysis[[#This Row],[CCCM]]</f>
        <v>19468.75</v>
      </c>
      <c r="T53" s="236">
        <f>tblPiNAnalysis[[#This Row],[Education]]</f>
        <v>10474.612669666001</v>
      </c>
      <c r="U53" s="219">
        <f>tblPiNAnalysis[[#This Row],[Nutrition]]</f>
        <v>9891.9663615882655</v>
      </c>
      <c r="V53" s="219">
        <f>tblPiNAnalysis[[#This Row],[Food Security]]</f>
        <v>21266.865942258526</v>
      </c>
      <c r="W53" s="219">
        <f>tblPiNAnalysis[[#This Row],[Health]]</f>
        <v>13521.010083917387</v>
      </c>
      <c r="X53" s="219">
        <f>tblPiNAnalysis[[#This Row],[Overarching Protection]]</f>
        <v>24497</v>
      </c>
      <c r="Y53" s="219">
        <f>tblPiNAnalysis[[#This Row],[Shelter]]</f>
        <v>24570.41277395792</v>
      </c>
      <c r="Z53" s="230">
        <f>tblPiNAnalysis[[#This Row],[WASH]]</f>
        <v>29304.162023986508</v>
      </c>
      <c r="AA53" s="339">
        <f>IF(OR(tblPiNHistorical[[#This Row],[CCCM - old]]="", tblPiNHistorical[[#This Row],[CCCM - old]]=0, tblPiNHistorical[[#This Row],[CCCM - new]]="", tblPiNHistorical[[#This Row],[CCCM - new]]=0), "", tblPiNHistorical[[#This Row],[CCCM - new]]-tblPiNHistorical[[#This Row],[CCCM - old]])</f>
        <v>8269.75</v>
      </c>
      <c r="AB53" s="340">
        <f>IF(OR(tblPiNHistorical[[#This Row],[Education - old]]="", tblPiNHistorical[[#This Row],[Education - old]]=0, tblPiNHistorical[[#This Row],[Education - new]]="", tblPiNHistorical[[#This Row],[Education - new]]=0), "", tblPiNHistorical[[#This Row],[Education - new]]-tblPiNHistorical[[#This Row],[Education - old]])</f>
        <v>7355.6126696660012</v>
      </c>
      <c r="AC53" s="340">
        <f>IF(OR(tblPiNHistorical[[#This Row],[Nutrition - old]]="", tblPiNHistorical[[#This Row],[Nutrition - old]]=0, tblPiNHistorical[[#This Row],[Nutrition - new]]="", tblPiNHistorical[[#This Row],[Nutrition - new]]=0), "", tblPiNHistorical[[#This Row],[Nutrition - new]]-tblPiNHistorical[[#This Row],[Nutrition - old]])</f>
        <v>6943.0162253926046</v>
      </c>
      <c r="AD53" s="340">
        <f>IF(OR(tblPiNHistorical[[#This Row],[Food Security - old]]="", tblPiNHistorical[[#This Row],[Food Security - old]]=0, tblPiNHistorical[[#This Row],[Food Security - new]]="", tblPiNHistorical[[#This Row],[Food Security - new]]=0), "", tblPiNHistorical[[#This Row],[Food Security - new]]-tblPiNHistorical[[#This Row],[Food Security - old]])</f>
        <v>12982.865942258526</v>
      </c>
      <c r="AE53" s="340">
        <f>IF(OR(tblPiNHistorical[[#This Row],[Health - old]]="", tblPiNHistorical[[#This Row],[Health - old]]=0, tblPiNHistorical[[#This Row],[Health - new]]="", tblPiNHistorical[[#This Row],[Health - new]]=0), "", tblPiNHistorical[[#This Row],[Health - new]]-tblPiNHistorical[[#This Row],[Health - old]])</f>
        <v>9041.4814687851303</v>
      </c>
      <c r="AF5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14282.37678491551</v>
      </c>
      <c r="AG53" s="340">
        <f>IF(OR(tblPiNHistorical[[#This Row],[Shelter - old]]="", tblPiNHistorical[[#This Row],[Shelter - old]]=0, tblPiNHistorical[[#This Row],[Shelter - new]]="", tblPiNHistorical[[#This Row],[Shelter - new]]=0), "", tblPiNHistorical[[#This Row],[Shelter - new]]-tblPiNHistorical[[#This Row],[Shelter - old]])</f>
        <v>24315.890046685192</v>
      </c>
      <c r="AH53" s="341">
        <f>IF(OR(tblPiNHistorical[[#This Row],[WASH - old]]="", tblPiNHistorical[[#This Row],[WASH - old]]=0, tblPiNHistorical[[#This Row],[WASH - new]]="", tblPiNHistorical[[#This Row],[WASH - new]]=0), "", tblPiNHistorical[[#This Row],[WASH - new]]-tblPiNHistorical[[#This Row],[WASH - old]])</f>
        <v>20490.13424620873</v>
      </c>
      <c r="AI53" s="342">
        <f>IFERROR(ROUND((tblPiNHistorical[[#This Row],[CCCM - new]] - tblPiNHistorical[[#This Row],[CCCM - old]])/tblPiNHistorical[[#This Row],[CCCM - old]], 1), "")</f>
        <v>0.7</v>
      </c>
      <c r="AJ53" s="343">
        <f>IFERROR(ROUND((tblPiNHistorical[[#This Row],[Education - new]]-tblPiNHistorical[[#This Row],[Education - old]])/tblPiNHistorical[[#This Row],[Education - old]], 1), "")</f>
        <v>2.4</v>
      </c>
      <c r="AK53" s="343">
        <f>IFERROR(ROUND((tblPiNHistorical[[#This Row],[Nutrition - new]]-tblPiNHistorical[[#This Row],[Nutrition - old]])/tblPiNHistorical[[#This Row],[Nutrition - old]], 1), "")</f>
        <v>2.4</v>
      </c>
      <c r="AL53" s="343">
        <f>IFERROR(ROUND((tblPiNHistorical[[#This Row],[Food Security - new]]-tblPiNHistorical[[#This Row],[Food Security - old]])/tblPiNHistorical[[#This Row],[Food Security - old]], 1), "")</f>
        <v>1.6</v>
      </c>
      <c r="AM53" s="343">
        <f>IFERROR(ROUND((tblPiNHistorical[[#This Row],[Health - new]]-tblPiNHistorical[[#This Row],[Health - old]])/tblPiNHistorical[[#This Row],[Health - old]], 1), "")</f>
        <v>2</v>
      </c>
      <c r="AN53" s="343">
        <f>IFERROR(ROUND((tblPiNHistorical[[#This Row],[Overarching Protection - new]]-tblPiNHistorical[[#This Row],[Overarching Protection - old]])/tblPiNHistorical[[#This Row],[Overarching Protection - old]], 1), "")</f>
        <v>1.4</v>
      </c>
      <c r="AO53" s="343">
        <f>IFERROR(ROUND((tblPiNHistorical[[#This Row],[Shelter - new]]-tblPiNHistorical[[#This Row],[Shelter - old]])/tblPiNHistorical[[#This Row],[Shelter - old]], 1), "")</f>
        <v>95.5</v>
      </c>
      <c r="AP53" s="38">
        <f>IFERROR(ROUND((tblPiNHistorical[[#This Row],[WASH - new]]-tblPiNHistorical[[#This Row],[WASH - old]])/tblPiNHistorical[[#This Row],[WASH - old]], 1), "")</f>
        <v>2.2999999999999998</v>
      </c>
      <c r="AQ53" s="406">
        <v>11199</v>
      </c>
      <c r="AR53" s="406">
        <v>29304.162023986508</v>
      </c>
    </row>
    <row r="54" spans="1:44" ht="15" customHeight="1" x14ac:dyDescent="0.55000000000000004">
      <c r="A5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4" s="316" t="s">
        <v>342</v>
      </c>
      <c r="C54" s="218" t="s">
        <v>343</v>
      </c>
      <c r="D54" s="218" t="s">
        <v>348</v>
      </c>
      <c r="E54" s="105" t="s">
        <v>349</v>
      </c>
      <c r="F54" s="100"/>
      <c r="G54" s="34"/>
      <c r="H54" s="335"/>
      <c r="I54" s="97"/>
      <c r="J54" s="97" t="s">
        <v>412</v>
      </c>
      <c r="K54" s="336">
        <v>738.25</v>
      </c>
      <c r="L54" s="337">
        <v>590.6</v>
      </c>
      <c r="M54" s="319">
        <v>818.1268289859845</v>
      </c>
      <c r="N54" s="319">
        <v>2271</v>
      </c>
      <c r="O54" s="319">
        <v>2647.4772984161391</v>
      </c>
      <c r="P54" s="319">
        <v>1861.4562234678301</v>
      </c>
      <c r="Q54" s="320">
        <v>0</v>
      </c>
      <c r="R54" s="319">
        <v>1339.787037037037</v>
      </c>
      <c r="S54" s="235">
        <f>tblPiNAnalysis[[#This Row],[CCCM]]</f>
        <v>0</v>
      </c>
      <c r="T54" s="236">
        <f>tblPiNAnalysis[[#This Row],[Education]]</f>
        <v>1471.4770882493167</v>
      </c>
      <c r="U54" s="219">
        <f>tblPiNAnalysis[[#This Row],[Nutrition]]</f>
        <v>1455.4663953559398</v>
      </c>
      <c r="V54" s="219">
        <f>tblPiNAnalysis[[#This Row],[Food Security]]</f>
        <v>3884.6441218386626</v>
      </c>
      <c r="W54" s="219">
        <f>tblPiNAnalysis[[#This Row],[Health]]</f>
        <v>1854.771206867475</v>
      </c>
      <c r="X54" s="219">
        <f>tblPiNAnalysis[[#This Row],[Overarching Protection]]</f>
        <v>3417</v>
      </c>
      <c r="Y54" s="219">
        <f>tblPiNAnalysis[[#This Row],[Shelter]]</f>
        <v>4270.8268474169781</v>
      </c>
      <c r="Z54" s="230">
        <f>tblPiNAnalysis[[#This Row],[WASH]]</f>
        <v>1449.7302142608091</v>
      </c>
      <c r="AA54" s="339" t="str">
        <f>IF(OR(tblPiNHistorical[[#This Row],[CCCM - old]]="", tblPiNHistorical[[#This Row],[CCCM - old]]=0, tblPiNHistorical[[#This Row],[CCCM - new]]="", tblPiNHistorical[[#This Row],[CCCM - new]]=0), "", tblPiNHistorical[[#This Row],[CCCM - new]]-tblPiNHistorical[[#This Row],[CCCM - old]])</f>
        <v/>
      </c>
      <c r="AB54" s="340">
        <f>IF(OR(tblPiNHistorical[[#This Row],[Education - old]]="", tblPiNHistorical[[#This Row],[Education - old]]=0, tblPiNHistorical[[#This Row],[Education - new]]="", tblPiNHistorical[[#This Row],[Education - new]]=0), "", tblPiNHistorical[[#This Row],[Education - new]]-tblPiNHistorical[[#This Row],[Education - old]])</f>
        <v>880.87708824931667</v>
      </c>
      <c r="AC54" s="340">
        <f>IF(OR(tblPiNHistorical[[#This Row],[Nutrition - old]]="", tblPiNHistorical[[#This Row],[Nutrition - old]]=0, tblPiNHistorical[[#This Row],[Nutrition - new]]="", tblPiNHistorical[[#This Row],[Nutrition - new]]=0), "", tblPiNHistorical[[#This Row],[Nutrition - new]]-tblPiNHistorical[[#This Row],[Nutrition - old]])</f>
        <v>637.33956636995526</v>
      </c>
      <c r="AD54" s="340">
        <f>IF(OR(tblPiNHistorical[[#This Row],[Food Security - old]]="", tblPiNHistorical[[#This Row],[Food Security - old]]=0, tblPiNHistorical[[#This Row],[Food Security - new]]="", tblPiNHistorical[[#This Row],[Food Security - new]]=0), "", tblPiNHistorical[[#This Row],[Food Security - new]]-tblPiNHistorical[[#This Row],[Food Security - old]])</f>
        <v>1613.6441218386626</v>
      </c>
      <c r="AE54" s="340">
        <f>IF(OR(tblPiNHistorical[[#This Row],[Health - old]]="", tblPiNHistorical[[#This Row],[Health - old]]=0, tblPiNHistorical[[#This Row],[Health - new]]="", tblPiNHistorical[[#This Row],[Health - new]]=0), "", tblPiNHistorical[[#This Row],[Health - new]]-tblPiNHistorical[[#This Row],[Health - old]])</f>
        <v>-792.70609154866406</v>
      </c>
      <c r="AF5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1555.5437765321699</v>
      </c>
      <c r="AG54" s="340" t="str">
        <f>IF(OR(tblPiNHistorical[[#This Row],[Shelter - old]]="", tblPiNHistorical[[#This Row],[Shelter - old]]=0, tblPiNHistorical[[#This Row],[Shelter - new]]="", tblPiNHistorical[[#This Row],[Shelter - new]]=0), "", tblPiNHistorical[[#This Row],[Shelter - new]]-tblPiNHistorical[[#This Row],[Shelter - old]])</f>
        <v/>
      </c>
      <c r="AH54" s="341">
        <f>IF(OR(tblPiNHistorical[[#This Row],[WASH - old]]="", tblPiNHistorical[[#This Row],[WASH - old]]=0, tblPiNHistorical[[#This Row],[WASH - new]]="", tblPiNHistorical[[#This Row],[WASH - new]]=0), "", tblPiNHistorical[[#This Row],[WASH - new]]-tblPiNHistorical[[#This Row],[WASH - old]])</f>
        <v>109.94317722377218</v>
      </c>
      <c r="AI54" s="342">
        <f>IFERROR(ROUND((tblPiNHistorical[[#This Row],[CCCM - new]] - tblPiNHistorical[[#This Row],[CCCM - old]])/tblPiNHistorical[[#This Row],[CCCM - old]], 1), "")</f>
        <v>-1</v>
      </c>
      <c r="AJ54" s="343">
        <f>IFERROR(ROUND((tblPiNHistorical[[#This Row],[Education - new]]-tblPiNHistorical[[#This Row],[Education - old]])/tblPiNHistorical[[#This Row],[Education - old]], 1), "")</f>
        <v>1.5</v>
      </c>
      <c r="AK54" s="343">
        <f>IFERROR(ROUND((tblPiNHistorical[[#This Row],[Nutrition - new]]-tblPiNHistorical[[#This Row],[Nutrition - old]])/tblPiNHistorical[[#This Row],[Nutrition - old]], 1), "")</f>
        <v>0.8</v>
      </c>
      <c r="AL54" s="343">
        <f>IFERROR(ROUND((tblPiNHistorical[[#This Row],[Food Security - new]]-tblPiNHistorical[[#This Row],[Food Security - old]])/tblPiNHistorical[[#This Row],[Food Security - old]], 1), "")</f>
        <v>0.7</v>
      </c>
      <c r="AM54" s="343">
        <f>IFERROR(ROUND((tblPiNHistorical[[#This Row],[Health - new]]-tblPiNHistorical[[#This Row],[Health - old]])/tblPiNHistorical[[#This Row],[Health - old]], 1), "")</f>
        <v>-0.3</v>
      </c>
      <c r="AN54" s="343">
        <f>IFERROR(ROUND((tblPiNHistorical[[#This Row],[Overarching Protection - new]]-tblPiNHistorical[[#This Row],[Overarching Protection - old]])/tblPiNHistorical[[#This Row],[Overarching Protection - old]], 1), "")</f>
        <v>0.8</v>
      </c>
      <c r="AO54" s="343" t="str">
        <f>IFERROR(ROUND((tblPiNHistorical[[#This Row],[Shelter - new]]-tblPiNHistorical[[#This Row],[Shelter - old]])/tblPiNHistorical[[#This Row],[Shelter - old]], 1), "")</f>
        <v/>
      </c>
      <c r="AP54" s="38">
        <f>IFERROR(ROUND((tblPiNHistorical[[#This Row],[WASH - new]]-tblPiNHistorical[[#This Row],[WASH - old]])/tblPiNHistorical[[#This Row],[WASH - old]], 1), "")</f>
        <v>0.1</v>
      </c>
      <c r="AQ54" s="406">
        <v>2647.4772984161391</v>
      </c>
      <c r="AR54" s="406">
        <v>4270.8268474169781</v>
      </c>
    </row>
    <row r="55" spans="1:44" ht="15" customHeight="1" x14ac:dyDescent="0.55000000000000004">
      <c r="A5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5" s="316" t="s">
        <v>342</v>
      </c>
      <c r="C55" s="218" t="s">
        <v>343</v>
      </c>
      <c r="D55" s="218" t="s">
        <v>350</v>
      </c>
      <c r="E55" s="105" t="s">
        <v>351</v>
      </c>
      <c r="F55" s="100"/>
      <c r="G55" s="34"/>
      <c r="H55" s="335"/>
      <c r="I55" s="97"/>
      <c r="J55" s="97" t="s">
        <v>412</v>
      </c>
      <c r="K55" s="336">
        <v>3200</v>
      </c>
      <c r="L55" s="337">
        <v>832</v>
      </c>
      <c r="M55" s="319">
        <v>1128.0143003173034</v>
      </c>
      <c r="N55" s="319">
        <v>2649</v>
      </c>
      <c r="O55" s="319">
        <v>2141.3837004266265</v>
      </c>
      <c r="P55" s="319">
        <v>2482.4567141533335</v>
      </c>
      <c r="Q55" s="320">
        <v>3200</v>
      </c>
      <c r="R55" s="319">
        <v>2052.8301886792451</v>
      </c>
      <c r="S55" s="235">
        <f>tblPiNAnalysis[[#This Row],[CCCM]]</f>
        <v>15476.25</v>
      </c>
      <c r="T55" s="236">
        <f>tblPiNAnalysis[[#This Row],[Education]]</f>
        <v>0</v>
      </c>
      <c r="U55" s="219">
        <f>tblPiNAnalysis[[#This Row],[Nutrition]]</f>
        <v>6587.4605130774107</v>
      </c>
      <c r="V55" s="219">
        <f>tblPiNAnalysis[[#This Row],[Food Security]]</f>
        <v>15813.857369323312</v>
      </c>
      <c r="W55" s="219">
        <f>tblPiNAnalysis[[#This Row],[Health]]</f>
        <v>10860.326796665742</v>
      </c>
      <c r="X55" s="219">
        <f>tblPiNAnalysis[[#This Row],[Overarching Protection]]</f>
        <v>14010</v>
      </c>
      <c r="Y55" s="219">
        <f>tblPiNAnalysis[[#This Row],[Shelter]]</f>
        <v>10992.275475365275</v>
      </c>
      <c r="Z55" s="230">
        <f>tblPiNAnalysis[[#This Row],[WASH]]</f>
        <v>13190.730570438327</v>
      </c>
      <c r="AA55" s="339">
        <f>IF(OR(tblPiNHistorical[[#This Row],[CCCM - old]]="", tblPiNHistorical[[#This Row],[CCCM - old]]=0, tblPiNHistorical[[#This Row],[CCCM - new]]="", tblPiNHistorical[[#This Row],[CCCM - new]]=0), "", tblPiNHistorical[[#This Row],[CCCM - new]]-tblPiNHistorical[[#This Row],[CCCM - old]])</f>
        <v>12276.25</v>
      </c>
      <c r="AB55" s="340" t="str">
        <f>IF(OR(tblPiNHistorical[[#This Row],[Education - old]]="", tblPiNHistorical[[#This Row],[Education - old]]=0, tblPiNHistorical[[#This Row],[Education - new]]="", tblPiNHistorical[[#This Row],[Education - new]]=0), "", tblPiNHistorical[[#This Row],[Education - new]]-tblPiNHistorical[[#This Row],[Education - old]])</f>
        <v/>
      </c>
      <c r="AC55" s="340">
        <f>IF(OR(tblPiNHistorical[[#This Row],[Nutrition - old]]="", tblPiNHistorical[[#This Row],[Nutrition - old]]=0, tblPiNHistorical[[#This Row],[Nutrition - new]]="", tblPiNHistorical[[#This Row],[Nutrition - new]]=0), "", tblPiNHistorical[[#This Row],[Nutrition - new]]-tblPiNHistorical[[#This Row],[Nutrition - old]])</f>
        <v>5459.4462127601073</v>
      </c>
      <c r="AD55" s="340">
        <f>IF(OR(tblPiNHistorical[[#This Row],[Food Security - old]]="", tblPiNHistorical[[#This Row],[Food Security - old]]=0, tblPiNHistorical[[#This Row],[Food Security - new]]="", tblPiNHistorical[[#This Row],[Food Security - new]]=0), "", tblPiNHistorical[[#This Row],[Food Security - new]]-tblPiNHistorical[[#This Row],[Food Security - old]])</f>
        <v>13164.857369323312</v>
      </c>
      <c r="AE55" s="340">
        <f>IF(OR(tblPiNHistorical[[#This Row],[Health - old]]="", tblPiNHistorical[[#This Row],[Health - old]]=0, tblPiNHistorical[[#This Row],[Health - new]]="", tblPiNHistorical[[#This Row],[Health - new]]=0), "", tblPiNHistorical[[#This Row],[Health - new]]-tblPiNHistorical[[#This Row],[Health - old]])</f>
        <v>8718.9430962391161</v>
      </c>
      <c r="AF5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11527.543285846667</v>
      </c>
      <c r="AG55" s="340">
        <f>IF(OR(tblPiNHistorical[[#This Row],[Shelter - old]]="", tblPiNHistorical[[#This Row],[Shelter - old]]=0, tblPiNHistorical[[#This Row],[Shelter - new]]="", tblPiNHistorical[[#This Row],[Shelter - new]]=0), "", tblPiNHistorical[[#This Row],[Shelter - new]]-tblPiNHistorical[[#This Row],[Shelter - old]])</f>
        <v>7792.2754753652753</v>
      </c>
      <c r="AH55" s="341">
        <f>IF(OR(tblPiNHistorical[[#This Row],[WASH - old]]="", tblPiNHistorical[[#This Row],[WASH - old]]=0, tblPiNHistorical[[#This Row],[WASH - new]]="", tblPiNHistorical[[#This Row],[WASH - new]]=0), "", tblPiNHistorical[[#This Row],[WASH - new]]-tblPiNHistorical[[#This Row],[WASH - old]])</f>
        <v>11137.900381759082</v>
      </c>
      <c r="AI55" s="342">
        <f>IFERROR(ROUND((tblPiNHistorical[[#This Row],[CCCM - new]] - tblPiNHistorical[[#This Row],[CCCM - old]])/tblPiNHistorical[[#This Row],[CCCM - old]], 1), "")</f>
        <v>3.8</v>
      </c>
      <c r="AJ55" s="343">
        <f>IFERROR(ROUND((tblPiNHistorical[[#This Row],[Education - new]]-tblPiNHistorical[[#This Row],[Education - old]])/tblPiNHistorical[[#This Row],[Education - old]], 1), "")</f>
        <v>-1</v>
      </c>
      <c r="AK55" s="343">
        <f>IFERROR(ROUND((tblPiNHistorical[[#This Row],[Nutrition - new]]-tblPiNHistorical[[#This Row],[Nutrition - old]])/tblPiNHistorical[[#This Row],[Nutrition - old]], 1), "")</f>
        <v>4.8</v>
      </c>
      <c r="AL55" s="343">
        <f>IFERROR(ROUND((tblPiNHistorical[[#This Row],[Food Security - new]]-tblPiNHistorical[[#This Row],[Food Security - old]])/tblPiNHistorical[[#This Row],[Food Security - old]], 1), "")</f>
        <v>5</v>
      </c>
      <c r="AM55" s="343">
        <f>IFERROR(ROUND((tblPiNHistorical[[#This Row],[Health - new]]-tblPiNHistorical[[#This Row],[Health - old]])/tblPiNHistorical[[#This Row],[Health - old]], 1), "")</f>
        <v>4.0999999999999996</v>
      </c>
      <c r="AN55" s="343">
        <f>IFERROR(ROUND((tblPiNHistorical[[#This Row],[Overarching Protection - new]]-tblPiNHistorical[[#This Row],[Overarching Protection - old]])/tblPiNHistorical[[#This Row],[Overarching Protection - old]], 1), "")</f>
        <v>4.5999999999999996</v>
      </c>
      <c r="AO55" s="343">
        <f>IFERROR(ROUND((tblPiNHistorical[[#This Row],[Shelter - new]]-tblPiNHistorical[[#This Row],[Shelter - old]])/tblPiNHistorical[[#This Row],[Shelter - old]], 1), "")</f>
        <v>2.4</v>
      </c>
      <c r="AP55" s="38">
        <f>IFERROR(ROUND((tblPiNHistorical[[#This Row],[WASH - new]]-tblPiNHistorical[[#This Row],[WASH - old]])/tblPiNHistorical[[#This Row],[WASH - old]], 1), "")</f>
        <v>5.4</v>
      </c>
      <c r="AQ55" s="406">
        <v>3200</v>
      </c>
      <c r="AR55" s="406">
        <v>15813.857369323312</v>
      </c>
    </row>
    <row r="56" spans="1:44" ht="15" customHeight="1" x14ac:dyDescent="0.55000000000000004">
      <c r="A5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6" s="316" t="s">
        <v>342</v>
      </c>
      <c r="C56" s="218" t="s">
        <v>343</v>
      </c>
      <c r="D56" s="218" t="s">
        <v>352</v>
      </c>
      <c r="E56" s="105" t="s">
        <v>353</v>
      </c>
      <c r="F56" s="100"/>
      <c r="G56" s="34"/>
      <c r="H56" s="335"/>
      <c r="I56" s="97"/>
      <c r="J56" s="97" t="s">
        <v>412</v>
      </c>
      <c r="K56" s="336">
        <v>3616</v>
      </c>
      <c r="L56" s="337">
        <v>960</v>
      </c>
      <c r="M56" s="319">
        <v>870.76071083865918</v>
      </c>
      <c r="N56" s="319">
        <v>2969</v>
      </c>
      <c r="O56" s="319">
        <v>1029.985910252768</v>
      </c>
      <c r="P56" s="319">
        <v>3225.4428625355217</v>
      </c>
      <c r="Q56" s="320">
        <v>1071.4074074074074</v>
      </c>
      <c r="R56" s="319">
        <v>1406.2222222222224</v>
      </c>
      <c r="S56" s="235">
        <f>tblPiNAnalysis[[#This Row],[CCCM]]</f>
        <v>7217.5</v>
      </c>
      <c r="T56" s="236">
        <f>tblPiNAnalysis[[#This Row],[Education]]</f>
        <v>3698.0957753325883</v>
      </c>
      <c r="U56" s="219">
        <f>tblPiNAnalysis[[#This Row],[Nutrition]]</f>
        <v>3331.5582463381697</v>
      </c>
      <c r="V56" s="219">
        <f>tblPiNAnalysis[[#This Row],[Food Security]]</f>
        <v>6994.220324453735</v>
      </c>
      <c r="W56" s="219">
        <f>tblPiNAnalysis[[#This Row],[Health]]</f>
        <v>6107.5659290461826</v>
      </c>
      <c r="X56" s="219">
        <f>tblPiNAnalysis[[#This Row],[Overarching Protection]]</f>
        <v>7487</v>
      </c>
      <c r="Y56" s="219">
        <f>tblPiNAnalysis[[#This Row],[Shelter]]</f>
        <v>10736.997624544605</v>
      </c>
      <c r="Z56" s="230">
        <f>tblPiNAnalysis[[#This Row],[WASH]]</f>
        <v>5368.4988122723025</v>
      </c>
      <c r="AA56" s="339">
        <f>IF(OR(tblPiNHistorical[[#This Row],[CCCM - old]]="", tblPiNHistorical[[#This Row],[CCCM - old]]=0, tblPiNHistorical[[#This Row],[CCCM - new]]="", tblPiNHistorical[[#This Row],[CCCM - new]]=0), "", tblPiNHistorical[[#This Row],[CCCM - new]]-tblPiNHistorical[[#This Row],[CCCM - old]])</f>
        <v>3601.5</v>
      </c>
      <c r="AB56" s="340">
        <f>IF(OR(tblPiNHistorical[[#This Row],[Education - old]]="", tblPiNHistorical[[#This Row],[Education - old]]=0, tblPiNHistorical[[#This Row],[Education - new]]="", tblPiNHistorical[[#This Row],[Education - new]]=0), "", tblPiNHistorical[[#This Row],[Education - new]]-tblPiNHistorical[[#This Row],[Education - old]])</f>
        <v>2738.0957753325883</v>
      </c>
      <c r="AC56" s="340">
        <f>IF(OR(tblPiNHistorical[[#This Row],[Nutrition - old]]="", tblPiNHistorical[[#This Row],[Nutrition - old]]=0, tblPiNHistorical[[#This Row],[Nutrition - new]]="", tblPiNHistorical[[#This Row],[Nutrition - new]]=0), "", tblPiNHistorical[[#This Row],[Nutrition - new]]-tblPiNHistorical[[#This Row],[Nutrition - old]])</f>
        <v>2460.7975354995106</v>
      </c>
      <c r="AD56" s="340">
        <f>IF(OR(tblPiNHistorical[[#This Row],[Food Security - old]]="", tblPiNHistorical[[#This Row],[Food Security - old]]=0, tblPiNHistorical[[#This Row],[Food Security - new]]="", tblPiNHistorical[[#This Row],[Food Security - new]]=0), "", tblPiNHistorical[[#This Row],[Food Security - new]]-tblPiNHistorical[[#This Row],[Food Security - old]])</f>
        <v>4025.220324453735</v>
      </c>
      <c r="AE56" s="340">
        <f>IF(OR(tblPiNHistorical[[#This Row],[Health - old]]="", tblPiNHistorical[[#This Row],[Health - old]]=0, tblPiNHistorical[[#This Row],[Health - new]]="", tblPiNHistorical[[#This Row],[Health - new]]=0), "", tblPiNHistorical[[#This Row],[Health - new]]-tblPiNHistorical[[#This Row],[Health - old]])</f>
        <v>5077.5800187934146</v>
      </c>
      <c r="AF5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4261.5571374644787</v>
      </c>
      <c r="AG56" s="340">
        <f>IF(OR(tblPiNHistorical[[#This Row],[Shelter - old]]="", tblPiNHistorical[[#This Row],[Shelter - old]]=0, tblPiNHistorical[[#This Row],[Shelter - new]]="", tblPiNHistorical[[#This Row],[Shelter - new]]=0), "", tblPiNHistorical[[#This Row],[Shelter - new]]-tblPiNHistorical[[#This Row],[Shelter - old]])</f>
        <v>9665.5902171371981</v>
      </c>
      <c r="AH56" s="341">
        <f>IF(OR(tblPiNHistorical[[#This Row],[WASH - old]]="", tblPiNHistorical[[#This Row],[WASH - old]]=0, tblPiNHistorical[[#This Row],[WASH - new]]="", tblPiNHistorical[[#This Row],[WASH - new]]=0), "", tblPiNHistorical[[#This Row],[WASH - new]]-tblPiNHistorical[[#This Row],[WASH - old]])</f>
        <v>3962.2765900500799</v>
      </c>
      <c r="AI56" s="342">
        <f>IFERROR(ROUND((tblPiNHistorical[[#This Row],[CCCM - new]] - tblPiNHistorical[[#This Row],[CCCM - old]])/tblPiNHistorical[[#This Row],[CCCM - old]], 1), "")</f>
        <v>1</v>
      </c>
      <c r="AJ56" s="343">
        <f>IFERROR(ROUND((tblPiNHistorical[[#This Row],[Education - new]]-tblPiNHistorical[[#This Row],[Education - old]])/tblPiNHistorical[[#This Row],[Education - old]], 1), "")</f>
        <v>2.9</v>
      </c>
      <c r="AK56" s="343">
        <f>IFERROR(ROUND((tblPiNHistorical[[#This Row],[Nutrition - new]]-tblPiNHistorical[[#This Row],[Nutrition - old]])/tblPiNHistorical[[#This Row],[Nutrition - old]], 1), "")</f>
        <v>2.8</v>
      </c>
      <c r="AL56" s="343">
        <f>IFERROR(ROUND((tblPiNHistorical[[#This Row],[Food Security - new]]-tblPiNHistorical[[#This Row],[Food Security - old]])/tblPiNHistorical[[#This Row],[Food Security - old]], 1), "")</f>
        <v>1.4</v>
      </c>
      <c r="AM56" s="343">
        <f>IFERROR(ROUND((tblPiNHistorical[[#This Row],[Health - new]]-tblPiNHistorical[[#This Row],[Health - old]])/tblPiNHistorical[[#This Row],[Health - old]], 1), "")</f>
        <v>4.9000000000000004</v>
      </c>
      <c r="AN56" s="343">
        <f>IFERROR(ROUND((tblPiNHistorical[[#This Row],[Overarching Protection - new]]-tblPiNHistorical[[#This Row],[Overarching Protection - old]])/tblPiNHistorical[[#This Row],[Overarching Protection - old]], 1), "")</f>
        <v>1.3</v>
      </c>
      <c r="AO56" s="343">
        <f>IFERROR(ROUND((tblPiNHistorical[[#This Row],[Shelter - new]]-tblPiNHistorical[[#This Row],[Shelter - old]])/tblPiNHistorical[[#This Row],[Shelter - old]], 1), "")</f>
        <v>9</v>
      </c>
      <c r="AP56" s="38">
        <f>IFERROR(ROUND((tblPiNHistorical[[#This Row],[WASH - new]]-tblPiNHistorical[[#This Row],[WASH - old]])/tblPiNHistorical[[#This Row],[WASH - old]], 1), "")</f>
        <v>2.8</v>
      </c>
      <c r="AQ56" s="406">
        <v>3616</v>
      </c>
      <c r="AR56" s="406">
        <v>10736.997624544605</v>
      </c>
    </row>
    <row r="57" spans="1:44" ht="15" customHeight="1" x14ac:dyDescent="0.55000000000000004">
      <c r="A5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7" s="316" t="s">
        <v>342</v>
      </c>
      <c r="C57" s="218" t="s">
        <v>343</v>
      </c>
      <c r="D57" s="218" t="s">
        <v>354</v>
      </c>
      <c r="E57" s="105" t="s">
        <v>355</v>
      </c>
      <c r="F57" s="100"/>
      <c r="G57" s="34"/>
      <c r="H57" s="335"/>
      <c r="I57" s="97"/>
      <c r="J57" s="97" t="s">
        <v>412</v>
      </c>
      <c r="K57" s="336">
        <v>100</v>
      </c>
      <c r="L57" s="337">
        <v>116</v>
      </c>
      <c r="M57" s="319">
        <v>113.45085397561</v>
      </c>
      <c r="N57" s="319">
        <v>309</v>
      </c>
      <c r="O57" s="319">
        <v>387.30107626628285</v>
      </c>
      <c r="P57" s="319">
        <v>325.68703795773723</v>
      </c>
      <c r="Q57" s="320">
        <v>266.66666666666663</v>
      </c>
      <c r="R57" s="319">
        <v>196.2962962962963</v>
      </c>
      <c r="S57" s="235">
        <f>tblPiNAnalysis[[#This Row],[CCCM]]</f>
        <v>0</v>
      </c>
      <c r="T57" s="236">
        <f>tblPiNAnalysis[[#This Row],[Education]]</f>
        <v>101.68949018639236</v>
      </c>
      <c r="U57" s="219">
        <f>tblPiNAnalysis[[#This Row],[Nutrition]]</f>
        <v>172.35776823736074</v>
      </c>
      <c r="V57" s="219">
        <f>tblPiNAnalysis[[#This Row],[Food Security]]</f>
        <v>323.57340367304914</v>
      </c>
      <c r="W57" s="219">
        <f>tblPiNAnalysis[[#This Row],[Health]]</f>
        <v>237.26650978335931</v>
      </c>
      <c r="X57" s="219">
        <f>tblPiNAnalysis[[#This Row],[Overarching Protection]]</f>
        <v>379</v>
      </c>
      <c r="Y57" s="219">
        <f>tblPiNAnalysis[[#This Row],[Shelter]]</f>
        <v>0</v>
      </c>
      <c r="Z57" s="230">
        <f>tblPiNAnalysis[[#This Row],[WASH]]</f>
        <v>435.8532900082605</v>
      </c>
      <c r="AA57" s="339" t="str">
        <f>IF(OR(tblPiNHistorical[[#This Row],[CCCM - old]]="", tblPiNHistorical[[#This Row],[CCCM - old]]=0, tblPiNHistorical[[#This Row],[CCCM - new]]="", tblPiNHistorical[[#This Row],[CCCM - new]]=0), "", tblPiNHistorical[[#This Row],[CCCM - new]]-tblPiNHistorical[[#This Row],[CCCM - old]])</f>
        <v/>
      </c>
      <c r="AB57" s="340">
        <f>IF(OR(tblPiNHistorical[[#This Row],[Education - old]]="", tblPiNHistorical[[#This Row],[Education - old]]=0, tblPiNHistorical[[#This Row],[Education - new]]="", tblPiNHistorical[[#This Row],[Education - new]]=0), "", tblPiNHistorical[[#This Row],[Education - new]]-tblPiNHistorical[[#This Row],[Education - old]])</f>
        <v>-14.310509813607638</v>
      </c>
      <c r="AC57" s="340">
        <f>IF(OR(tblPiNHistorical[[#This Row],[Nutrition - old]]="", tblPiNHistorical[[#This Row],[Nutrition - old]]=0, tblPiNHistorical[[#This Row],[Nutrition - new]]="", tblPiNHistorical[[#This Row],[Nutrition - new]]=0), "", tblPiNHistorical[[#This Row],[Nutrition - new]]-tblPiNHistorical[[#This Row],[Nutrition - old]])</f>
        <v>58.906914261750742</v>
      </c>
      <c r="AD57" s="340">
        <f>IF(OR(tblPiNHistorical[[#This Row],[Food Security - old]]="", tblPiNHistorical[[#This Row],[Food Security - old]]=0, tblPiNHistorical[[#This Row],[Food Security - new]]="", tblPiNHistorical[[#This Row],[Food Security - new]]=0), "", tblPiNHistorical[[#This Row],[Food Security - new]]-tblPiNHistorical[[#This Row],[Food Security - old]])</f>
        <v>14.573403673049143</v>
      </c>
      <c r="AE57" s="340">
        <f>IF(OR(tblPiNHistorical[[#This Row],[Health - old]]="", tblPiNHistorical[[#This Row],[Health - old]]=0, tblPiNHistorical[[#This Row],[Health - new]]="", tblPiNHistorical[[#This Row],[Health - new]]=0), "", tblPiNHistorical[[#This Row],[Health - new]]-tblPiNHistorical[[#This Row],[Health - old]])</f>
        <v>-150.03456648292354</v>
      </c>
      <c r="AF5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53.312962042262768</v>
      </c>
      <c r="AG57" s="340" t="str">
        <f>IF(OR(tblPiNHistorical[[#This Row],[Shelter - old]]="", tblPiNHistorical[[#This Row],[Shelter - old]]=0, tblPiNHistorical[[#This Row],[Shelter - new]]="", tblPiNHistorical[[#This Row],[Shelter - new]]=0), "", tblPiNHistorical[[#This Row],[Shelter - new]]-tblPiNHistorical[[#This Row],[Shelter - old]])</f>
        <v/>
      </c>
      <c r="AH57" s="341">
        <f>IF(OR(tblPiNHistorical[[#This Row],[WASH - old]]="", tblPiNHistorical[[#This Row],[WASH - old]]=0, tblPiNHistorical[[#This Row],[WASH - new]]="", tblPiNHistorical[[#This Row],[WASH - new]]=0), "", tblPiNHistorical[[#This Row],[WASH - new]]-tblPiNHistorical[[#This Row],[WASH - old]])</f>
        <v>239.5569937119642</v>
      </c>
      <c r="AI57" s="342">
        <f>IFERROR(ROUND((tblPiNHistorical[[#This Row],[CCCM - new]] - tblPiNHistorical[[#This Row],[CCCM - old]])/tblPiNHistorical[[#This Row],[CCCM - old]], 1), "")</f>
        <v>-1</v>
      </c>
      <c r="AJ57" s="343">
        <f>IFERROR(ROUND((tblPiNHistorical[[#This Row],[Education - new]]-tblPiNHistorical[[#This Row],[Education - old]])/tblPiNHistorical[[#This Row],[Education - old]], 1), "")</f>
        <v>-0.1</v>
      </c>
      <c r="AK57" s="343">
        <f>IFERROR(ROUND((tblPiNHistorical[[#This Row],[Nutrition - new]]-tblPiNHistorical[[#This Row],[Nutrition - old]])/tblPiNHistorical[[#This Row],[Nutrition - old]], 1), "")</f>
        <v>0.5</v>
      </c>
      <c r="AL57" s="343">
        <f>IFERROR(ROUND((tblPiNHistorical[[#This Row],[Food Security - new]]-tblPiNHistorical[[#This Row],[Food Security - old]])/tblPiNHistorical[[#This Row],[Food Security - old]], 1), "")</f>
        <v>0</v>
      </c>
      <c r="AM57" s="343">
        <f>IFERROR(ROUND((tblPiNHistorical[[#This Row],[Health - new]]-tblPiNHistorical[[#This Row],[Health - old]])/tblPiNHistorical[[#This Row],[Health - old]], 1), "")</f>
        <v>-0.4</v>
      </c>
      <c r="AN57" s="343">
        <f>IFERROR(ROUND((tblPiNHistorical[[#This Row],[Overarching Protection - new]]-tblPiNHistorical[[#This Row],[Overarching Protection - old]])/tblPiNHistorical[[#This Row],[Overarching Protection - old]], 1), "")</f>
        <v>0.2</v>
      </c>
      <c r="AO57" s="343">
        <f>IFERROR(ROUND((tblPiNHistorical[[#This Row],[Shelter - new]]-tblPiNHistorical[[#This Row],[Shelter - old]])/tblPiNHistorical[[#This Row],[Shelter - old]], 1), "")</f>
        <v>-1</v>
      </c>
      <c r="AP57" s="38">
        <f>IFERROR(ROUND((tblPiNHistorical[[#This Row],[WASH - new]]-tblPiNHistorical[[#This Row],[WASH - old]])/tblPiNHistorical[[#This Row],[WASH - old]], 1), "")</f>
        <v>1.2</v>
      </c>
      <c r="AQ57" s="406">
        <v>387.30107626628285</v>
      </c>
      <c r="AR57" s="406">
        <v>435.8532900082605</v>
      </c>
    </row>
    <row r="58" spans="1:44" ht="15" customHeight="1" x14ac:dyDescent="0.55000000000000004">
      <c r="A5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8" s="316" t="s">
        <v>342</v>
      </c>
      <c r="C58" s="218" t="s">
        <v>343</v>
      </c>
      <c r="D58" s="218" t="s">
        <v>356</v>
      </c>
      <c r="E58" s="105" t="s">
        <v>357</v>
      </c>
      <c r="F58" s="100"/>
      <c r="G58" s="34"/>
      <c r="H58" s="335"/>
      <c r="I58" s="97"/>
      <c r="J58" s="97" t="s">
        <v>412</v>
      </c>
      <c r="K58" s="336">
        <v>61564.75</v>
      </c>
      <c r="L58" s="337">
        <v>7154.72</v>
      </c>
      <c r="M58" s="319">
        <v>32725.457973514895</v>
      </c>
      <c r="N58" s="319">
        <v>76923</v>
      </c>
      <c r="O58" s="319">
        <v>46023.283275962058</v>
      </c>
      <c r="P58" s="319">
        <v>80788.010451570401</v>
      </c>
      <c r="Q58" s="320">
        <v>15110.656188605109</v>
      </c>
      <c r="R58" s="319">
        <v>80153.113207547154</v>
      </c>
      <c r="S58" s="235">
        <f>tblPiNAnalysis[[#This Row],[CCCM]]</f>
        <v>74185</v>
      </c>
      <c r="T58" s="236">
        <f>tblPiNAnalysis[[#This Row],[Education]]</f>
        <v>3013.7694631152058</v>
      </c>
      <c r="U58" s="219">
        <f>tblPiNAnalysis[[#This Row],[Nutrition]]</f>
        <v>39329.93079403638</v>
      </c>
      <c r="V58" s="219">
        <f>tblPiNAnalysis[[#This Row],[Food Security]]</f>
        <v>87059.249524592815</v>
      </c>
      <c r="W58" s="219">
        <f>tblPiNAnalysis[[#This Row],[Health]]</f>
        <v>72678.61042533537</v>
      </c>
      <c r="X58" s="219">
        <f>tblPiNAnalysis[[#This Row],[Overarching Protection]]</f>
        <v>75082</v>
      </c>
      <c r="Y58" s="219">
        <f>tblPiNAnalysis[[#This Row],[Shelter]]</f>
        <v>85703.579043920239</v>
      </c>
      <c r="Z58" s="230">
        <f>tblPiNAnalysis[[#This Row],[WASH]]</f>
        <v>85273.480666712072</v>
      </c>
      <c r="AA58" s="339">
        <f>IF(OR(tblPiNHistorical[[#This Row],[CCCM - old]]="", tblPiNHistorical[[#This Row],[CCCM - old]]=0, tblPiNHistorical[[#This Row],[CCCM - new]]="", tblPiNHistorical[[#This Row],[CCCM - new]]=0), "", tblPiNHistorical[[#This Row],[CCCM - new]]-tblPiNHistorical[[#This Row],[CCCM - old]])</f>
        <v>12620.25</v>
      </c>
      <c r="AB58" s="340">
        <f>IF(OR(tblPiNHistorical[[#This Row],[Education - old]]="", tblPiNHistorical[[#This Row],[Education - old]]=0, tblPiNHistorical[[#This Row],[Education - new]]="", tblPiNHistorical[[#This Row],[Education - new]]=0), "", tblPiNHistorical[[#This Row],[Education - new]]-tblPiNHistorical[[#This Row],[Education - old]])</f>
        <v>-4140.9505368847949</v>
      </c>
      <c r="AC58" s="340">
        <f>IF(OR(tblPiNHistorical[[#This Row],[Nutrition - old]]="", tblPiNHistorical[[#This Row],[Nutrition - old]]=0, tblPiNHistorical[[#This Row],[Nutrition - new]]="", tblPiNHistorical[[#This Row],[Nutrition - new]]=0), "", tblPiNHistorical[[#This Row],[Nutrition - new]]-tblPiNHistorical[[#This Row],[Nutrition - old]])</f>
        <v>6604.4728205214851</v>
      </c>
      <c r="AD58" s="340">
        <f>IF(OR(tblPiNHistorical[[#This Row],[Food Security - old]]="", tblPiNHistorical[[#This Row],[Food Security - old]]=0, tblPiNHistorical[[#This Row],[Food Security - new]]="", tblPiNHistorical[[#This Row],[Food Security - new]]=0), "", tblPiNHistorical[[#This Row],[Food Security - new]]-tblPiNHistorical[[#This Row],[Food Security - old]])</f>
        <v>10136.249524592815</v>
      </c>
      <c r="AE58" s="340">
        <f>IF(OR(tblPiNHistorical[[#This Row],[Health - old]]="", tblPiNHistorical[[#This Row],[Health - old]]=0, tblPiNHistorical[[#This Row],[Health - new]]="", tblPiNHistorical[[#This Row],[Health - new]]=0), "", tblPiNHistorical[[#This Row],[Health - new]]-tblPiNHistorical[[#This Row],[Health - old]])</f>
        <v>26655.327149373312</v>
      </c>
      <c r="AF5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-5706.0104515704006</v>
      </c>
      <c r="AG58" s="340">
        <f>IF(OR(tblPiNHistorical[[#This Row],[Shelter - old]]="", tblPiNHistorical[[#This Row],[Shelter - old]]=0, tblPiNHistorical[[#This Row],[Shelter - new]]="", tblPiNHistorical[[#This Row],[Shelter - new]]=0), "", tblPiNHistorical[[#This Row],[Shelter - new]]-tblPiNHistorical[[#This Row],[Shelter - old]])</f>
        <v>70592.922855315133</v>
      </c>
      <c r="AH58" s="341">
        <f>IF(OR(tblPiNHistorical[[#This Row],[WASH - old]]="", tblPiNHistorical[[#This Row],[WASH - old]]=0, tblPiNHistorical[[#This Row],[WASH - new]]="", tblPiNHistorical[[#This Row],[WASH - new]]=0), "", tblPiNHistorical[[#This Row],[WASH - new]]-tblPiNHistorical[[#This Row],[WASH - old]])</f>
        <v>5120.3674591649178</v>
      </c>
      <c r="AI58" s="342">
        <f>IFERROR(ROUND((tblPiNHistorical[[#This Row],[CCCM - new]] - tblPiNHistorical[[#This Row],[CCCM - old]])/tblPiNHistorical[[#This Row],[CCCM - old]], 1), "")</f>
        <v>0.2</v>
      </c>
      <c r="AJ58" s="343">
        <f>IFERROR(ROUND((tblPiNHistorical[[#This Row],[Education - new]]-tblPiNHistorical[[#This Row],[Education - old]])/tblPiNHistorical[[#This Row],[Education - old]], 1), "")</f>
        <v>-0.6</v>
      </c>
      <c r="AK58" s="343">
        <f>IFERROR(ROUND((tblPiNHistorical[[#This Row],[Nutrition - new]]-tblPiNHistorical[[#This Row],[Nutrition - old]])/tblPiNHistorical[[#This Row],[Nutrition - old]], 1), "")</f>
        <v>0.2</v>
      </c>
      <c r="AL58" s="343">
        <f>IFERROR(ROUND((tblPiNHistorical[[#This Row],[Food Security - new]]-tblPiNHistorical[[#This Row],[Food Security - old]])/tblPiNHistorical[[#This Row],[Food Security - old]], 1), "")</f>
        <v>0.1</v>
      </c>
      <c r="AM58" s="343">
        <f>IFERROR(ROUND((tblPiNHistorical[[#This Row],[Health - new]]-tblPiNHistorical[[#This Row],[Health - old]])/tblPiNHistorical[[#This Row],[Health - old]], 1), "")</f>
        <v>0.6</v>
      </c>
      <c r="AN58" s="343">
        <f>IFERROR(ROUND((tblPiNHistorical[[#This Row],[Overarching Protection - new]]-tblPiNHistorical[[#This Row],[Overarching Protection - old]])/tblPiNHistorical[[#This Row],[Overarching Protection - old]], 1), "")</f>
        <v>-0.1</v>
      </c>
      <c r="AO58" s="343">
        <f>IFERROR(ROUND((tblPiNHistorical[[#This Row],[Shelter - new]]-tblPiNHistorical[[#This Row],[Shelter - old]])/tblPiNHistorical[[#This Row],[Shelter - old]], 1), "")</f>
        <v>4.7</v>
      </c>
      <c r="AP58" s="38">
        <f>IFERROR(ROUND((tblPiNHistorical[[#This Row],[WASH - new]]-tblPiNHistorical[[#This Row],[WASH - old]])/tblPiNHistorical[[#This Row],[WASH - old]], 1), "")</f>
        <v>0.1</v>
      </c>
      <c r="AQ58" s="406">
        <v>80788.010451570401</v>
      </c>
      <c r="AR58" s="406">
        <v>87059.249524592815</v>
      </c>
    </row>
    <row r="59" spans="1:44" ht="15" customHeight="1" x14ac:dyDescent="0.55000000000000004">
      <c r="A5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59" s="316" t="s">
        <v>342</v>
      </c>
      <c r="C59" s="218" t="s">
        <v>343</v>
      </c>
      <c r="D59" s="218" t="s">
        <v>358</v>
      </c>
      <c r="E59" s="105" t="s">
        <v>359</v>
      </c>
      <c r="F59" s="100"/>
      <c r="G59" s="34"/>
      <c r="H59" s="335"/>
      <c r="I59" s="97"/>
      <c r="J59" s="97" t="s">
        <v>412</v>
      </c>
      <c r="K59" s="336">
        <v>3441.75</v>
      </c>
      <c r="L59" s="337">
        <v>1360</v>
      </c>
      <c r="M59" s="319">
        <v>6278.311041197856</v>
      </c>
      <c r="N59" s="319">
        <v>10699</v>
      </c>
      <c r="O59" s="319">
        <v>5506.8239629684231</v>
      </c>
      <c r="P59" s="319">
        <v>11066.702423072331</v>
      </c>
      <c r="Q59" s="320">
        <v>4589</v>
      </c>
      <c r="R59" s="319">
        <v>13641.845454545455</v>
      </c>
      <c r="S59" s="235">
        <f>tblPiNAnalysis[[#This Row],[CCCM]]</f>
        <v>0</v>
      </c>
      <c r="T59" s="236">
        <f>tblPiNAnalysis[[#This Row],[Education]]</f>
        <v>2123.7721623295765</v>
      </c>
      <c r="U59" s="219">
        <f>tblPiNAnalysis[[#This Row],[Nutrition]]</f>
        <v>7457.1688528865989</v>
      </c>
      <c r="V59" s="219">
        <f>tblPiNAnalysis[[#This Row],[Food Security]]</f>
        <v>13885.140815532421</v>
      </c>
      <c r="W59" s="219">
        <f>tblPiNAnalysis[[#This Row],[Health]]</f>
        <v>9737.7592085402703</v>
      </c>
      <c r="X59" s="219">
        <f>tblPiNAnalysis[[#This Row],[Overarching Protection]]</f>
        <v>13821</v>
      </c>
      <c r="Y59" s="219">
        <f>tblPiNAnalysis[[#This Row],[Shelter]]</f>
        <v>11957.349871600618</v>
      </c>
      <c r="Z59" s="230">
        <f>tblPiNAnalysis[[#This Row],[WASH]]</f>
        <v>16635.753126703614</v>
      </c>
      <c r="AA59" s="339" t="str">
        <f>IF(OR(tblPiNHistorical[[#This Row],[CCCM - old]]="", tblPiNHistorical[[#This Row],[CCCM - old]]=0, tblPiNHistorical[[#This Row],[CCCM - new]]="", tblPiNHistorical[[#This Row],[CCCM - new]]=0), "", tblPiNHistorical[[#This Row],[CCCM - new]]-tblPiNHistorical[[#This Row],[CCCM - old]])</f>
        <v/>
      </c>
      <c r="AB59" s="340">
        <f>IF(OR(tblPiNHistorical[[#This Row],[Education - old]]="", tblPiNHistorical[[#This Row],[Education - old]]=0, tblPiNHistorical[[#This Row],[Education - new]]="", tblPiNHistorical[[#This Row],[Education - new]]=0), "", tblPiNHistorical[[#This Row],[Education - new]]-tblPiNHistorical[[#This Row],[Education - old]])</f>
        <v>763.77216232957653</v>
      </c>
      <c r="AC59" s="340">
        <f>IF(OR(tblPiNHistorical[[#This Row],[Nutrition - old]]="", tblPiNHistorical[[#This Row],[Nutrition - old]]=0, tblPiNHistorical[[#This Row],[Nutrition - new]]="", tblPiNHistorical[[#This Row],[Nutrition - new]]=0), "", tblPiNHistorical[[#This Row],[Nutrition - new]]-tblPiNHistorical[[#This Row],[Nutrition - old]])</f>
        <v>1178.8578116887429</v>
      </c>
      <c r="AD59" s="340">
        <f>IF(OR(tblPiNHistorical[[#This Row],[Food Security - old]]="", tblPiNHistorical[[#This Row],[Food Security - old]]=0, tblPiNHistorical[[#This Row],[Food Security - new]]="", tblPiNHistorical[[#This Row],[Food Security - new]]=0), "", tblPiNHistorical[[#This Row],[Food Security - new]]-tblPiNHistorical[[#This Row],[Food Security - old]])</f>
        <v>3186.1408155324207</v>
      </c>
      <c r="AE59" s="340">
        <f>IF(OR(tblPiNHistorical[[#This Row],[Health - old]]="", tblPiNHistorical[[#This Row],[Health - old]]=0, tblPiNHistorical[[#This Row],[Health - new]]="", tblPiNHistorical[[#This Row],[Health - new]]=0), "", tblPiNHistorical[[#This Row],[Health - new]]-tblPiNHistorical[[#This Row],[Health - old]])</f>
        <v>4230.9352455718472</v>
      </c>
      <c r="AF5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2754.2975769276691</v>
      </c>
      <c r="AG59" s="340">
        <f>IF(OR(tblPiNHistorical[[#This Row],[Shelter - old]]="", tblPiNHistorical[[#This Row],[Shelter - old]]=0, tblPiNHistorical[[#This Row],[Shelter - new]]="", tblPiNHistorical[[#This Row],[Shelter - new]]=0), "", tblPiNHistorical[[#This Row],[Shelter - new]]-tblPiNHistorical[[#This Row],[Shelter - old]])</f>
        <v>7368.3498716006179</v>
      </c>
      <c r="AH59" s="341">
        <f>IF(OR(tblPiNHistorical[[#This Row],[WASH - old]]="", tblPiNHistorical[[#This Row],[WASH - old]]=0, tblPiNHistorical[[#This Row],[WASH - new]]="", tblPiNHistorical[[#This Row],[WASH - new]]=0), "", tblPiNHistorical[[#This Row],[WASH - new]]-tblPiNHistorical[[#This Row],[WASH - old]])</f>
        <v>2993.9076721581587</v>
      </c>
      <c r="AI59" s="342">
        <f>IFERROR(ROUND((tblPiNHistorical[[#This Row],[CCCM - new]] - tblPiNHistorical[[#This Row],[CCCM - old]])/tblPiNHistorical[[#This Row],[CCCM - old]], 1), "")</f>
        <v>-1</v>
      </c>
      <c r="AJ59" s="343">
        <f>IFERROR(ROUND((tblPiNHistorical[[#This Row],[Education - new]]-tblPiNHistorical[[#This Row],[Education - old]])/tblPiNHistorical[[#This Row],[Education - old]], 1), "")</f>
        <v>0.6</v>
      </c>
      <c r="AK59" s="343">
        <f>IFERROR(ROUND((tblPiNHistorical[[#This Row],[Nutrition - new]]-tblPiNHistorical[[#This Row],[Nutrition - old]])/tblPiNHistorical[[#This Row],[Nutrition - old]], 1), "")</f>
        <v>0.2</v>
      </c>
      <c r="AL59" s="343">
        <f>IFERROR(ROUND((tblPiNHistorical[[#This Row],[Food Security - new]]-tblPiNHistorical[[#This Row],[Food Security - old]])/tblPiNHistorical[[#This Row],[Food Security - old]], 1), "")</f>
        <v>0.3</v>
      </c>
      <c r="AM59" s="343">
        <f>IFERROR(ROUND((tblPiNHistorical[[#This Row],[Health - new]]-tblPiNHistorical[[#This Row],[Health - old]])/tblPiNHistorical[[#This Row],[Health - old]], 1), "")</f>
        <v>0.8</v>
      </c>
      <c r="AN59" s="343">
        <f>IFERROR(ROUND((tblPiNHistorical[[#This Row],[Overarching Protection - new]]-tblPiNHistorical[[#This Row],[Overarching Protection - old]])/tblPiNHistorical[[#This Row],[Overarching Protection - old]], 1), "")</f>
        <v>0.2</v>
      </c>
      <c r="AO59" s="343">
        <f>IFERROR(ROUND((tblPiNHistorical[[#This Row],[Shelter - new]]-tblPiNHistorical[[#This Row],[Shelter - old]])/tblPiNHistorical[[#This Row],[Shelter - old]], 1), "")</f>
        <v>1.6</v>
      </c>
      <c r="AP59" s="38">
        <f>IFERROR(ROUND((tblPiNHistorical[[#This Row],[WASH - new]]-tblPiNHistorical[[#This Row],[WASH - old]])/tblPiNHistorical[[#This Row],[WASH - old]], 1), "")</f>
        <v>0.2</v>
      </c>
      <c r="AQ59" s="406">
        <v>13641.845454545455</v>
      </c>
      <c r="AR59" s="406">
        <v>16635.753126703614</v>
      </c>
    </row>
    <row r="60" spans="1:44" ht="15" customHeight="1" x14ac:dyDescent="0.55000000000000004">
      <c r="A6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0" s="316" t="s">
        <v>342</v>
      </c>
      <c r="C60" s="218" t="s">
        <v>343</v>
      </c>
      <c r="D60" s="218" t="s">
        <v>360</v>
      </c>
      <c r="E60" s="105" t="s">
        <v>361</v>
      </c>
      <c r="F60" s="100"/>
      <c r="G60" s="34"/>
      <c r="H60" s="335"/>
      <c r="I60" s="97"/>
      <c r="J60" s="97" t="s">
        <v>412</v>
      </c>
      <c r="K60" s="336">
        <v>27581.25</v>
      </c>
      <c r="L60" s="337">
        <v>7824</v>
      </c>
      <c r="M60" s="319">
        <v>11317.25987300409</v>
      </c>
      <c r="N60" s="319">
        <v>18795</v>
      </c>
      <c r="O60" s="319">
        <v>17626.120335055533</v>
      </c>
      <c r="P60" s="319">
        <v>17063.587101450194</v>
      </c>
      <c r="Q60" s="320">
        <v>21294.692307692309</v>
      </c>
      <c r="R60" s="319">
        <v>19081.972222222219</v>
      </c>
      <c r="S60" s="235">
        <f>tblPiNAnalysis[[#This Row],[CCCM]]</f>
        <v>27668.75</v>
      </c>
      <c r="T60" s="236">
        <f>tblPiNAnalysis[[#This Row],[Education]]</f>
        <v>7214.4408204062447</v>
      </c>
      <c r="U60" s="219">
        <f>tblPiNAnalysis[[#This Row],[Nutrition]]</f>
        <v>12061.434048358844</v>
      </c>
      <c r="V60" s="219">
        <f>tblPiNAnalysis[[#This Row],[Food Security]]</f>
        <v>22661.952052378263</v>
      </c>
      <c r="W60" s="219">
        <f>tblPiNAnalysis[[#This Row],[Health]]</f>
        <v>16478.699802361254</v>
      </c>
      <c r="X60" s="219">
        <f>tblPiNAnalysis[[#This Row],[Overarching Protection]]</f>
        <v>21793</v>
      </c>
      <c r="Y60" s="219">
        <f>tblPiNAnalysis[[#This Row],[Shelter]]</f>
        <v>0</v>
      </c>
      <c r="Z60" s="230">
        <f>tblPiNAnalysis[[#This Row],[WASH]]</f>
        <v>3133.912445489912</v>
      </c>
      <c r="AA60" s="339">
        <f>IF(OR(tblPiNHistorical[[#This Row],[CCCM - old]]="", tblPiNHistorical[[#This Row],[CCCM - old]]=0, tblPiNHistorical[[#This Row],[CCCM - new]]="", tblPiNHistorical[[#This Row],[CCCM - new]]=0), "", tblPiNHistorical[[#This Row],[CCCM - new]]-tblPiNHistorical[[#This Row],[CCCM - old]])</f>
        <v>87.5</v>
      </c>
      <c r="AB60" s="340">
        <f>IF(OR(tblPiNHistorical[[#This Row],[Education - old]]="", tblPiNHistorical[[#This Row],[Education - old]]=0, tblPiNHistorical[[#This Row],[Education - new]]="", tblPiNHistorical[[#This Row],[Education - new]]=0), "", tblPiNHistorical[[#This Row],[Education - new]]-tblPiNHistorical[[#This Row],[Education - old]])</f>
        <v>-609.55917959375529</v>
      </c>
      <c r="AC60" s="340">
        <f>IF(OR(tblPiNHistorical[[#This Row],[Nutrition - old]]="", tblPiNHistorical[[#This Row],[Nutrition - old]]=0, tblPiNHistorical[[#This Row],[Nutrition - new]]="", tblPiNHistorical[[#This Row],[Nutrition - new]]=0), "", tblPiNHistorical[[#This Row],[Nutrition - new]]-tblPiNHistorical[[#This Row],[Nutrition - old]])</f>
        <v>744.17417535475397</v>
      </c>
      <c r="AD60" s="340">
        <f>IF(OR(tblPiNHistorical[[#This Row],[Food Security - old]]="", tblPiNHistorical[[#This Row],[Food Security - old]]=0, tblPiNHistorical[[#This Row],[Food Security - new]]="", tblPiNHistorical[[#This Row],[Food Security - new]]=0), "", tblPiNHistorical[[#This Row],[Food Security - new]]-tblPiNHistorical[[#This Row],[Food Security - old]])</f>
        <v>3866.952052378263</v>
      </c>
      <c r="AE60" s="340">
        <f>IF(OR(tblPiNHistorical[[#This Row],[Health - old]]="", tblPiNHistorical[[#This Row],[Health - old]]=0, tblPiNHistorical[[#This Row],[Health - new]]="", tblPiNHistorical[[#This Row],[Health - new]]=0), "", tblPiNHistorical[[#This Row],[Health - new]]-tblPiNHistorical[[#This Row],[Health - old]])</f>
        <v>-1147.4205326942792</v>
      </c>
      <c r="AF6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4729.4128985498064</v>
      </c>
      <c r="AG60" s="340" t="str">
        <f>IF(OR(tblPiNHistorical[[#This Row],[Shelter - old]]="", tblPiNHistorical[[#This Row],[Shelter - old]]=0, tblPiNHistorical[[#This Row],[Shelter - new]]="", tblPiNHistorical[[#This Row],[Shelter - new]]=0), "", tblPiNHistorical[[#This Row],[Shelter - new]]-tblPiNHistorical[[#This Row],[Shelter - old]])</f>
        <v/>
      </c>
      <c r="AH60" s="341">
        <f>IF(OR(tblPiNHistorical[[#This Row],[WASH - old]]="", tblPiNHistorical[[#This Row],[WASH - old]]=0, tblPiNHistorical[[#This Row],[WASH - new]]="", tblPiNHistorical[[#This Row],[WASH - new]]=0), "", tblPiNHistorical[[#This Row],[WASH - new]]-tblPiNHistorical[[#This Row],[WASH - old]])</f>
        <v>-15948.059776732307</v>
      </c>
      <c r="AI60" s="342">
        <f>IFERROR(ROUND((tblPiNHistorical[[#This Row],[CCCM - new]] - tblPiNHistorical[[#This Row],[CCCM - old]])/tblPiNHistorical[[#This Row],[CCCM - old]], 1), "")</f>
        <v>0</v>
      </c>
      <c r="AJ60" s="343">
        <f>IFERROR(ROUND((tblPiNHistorical[[#This Row],[Education - new]]-tblPiNHistorical[[#This Row],[Education - old]])/tblPiNHistorical[[#This Row],[Education - old]], 1), "")</f>
        <v>-0.1</v>
      </c>
      <c r="AK60" s="343">
        <f>IFERROR(ROUND((tblPiNHistorical[[#This Row],[Nutrition - new]]-tblPiNHistorical[[#This Row],[Nutrition - old]])/tblPiNHistorical[[#This Row],[Nutrition - old]], 1), "")</f>
        <v>0.1</v>
      </c>
      <c r="AL60" s="343">
        <f>IFERROR(ROUND((tblPiNHistorical[[#This Row],[Food Security - new]]-tblPiNHistorical[[#This Row],[Food Security - old]])/tblPiNHistorical[[#This Row],[Food Security - old]], 1), "")</f>
        <v>0.2</v>
      </c>
      <c r="AM60" s="343">
        <f>IFERROR(ROUND((tblPiNHistorical[[#This Row],[Health - new]]-tblPiNHistorical[[#This Row],[Health - old]])/tblPiNHistorical[[#This Row],[Health - old]], 1), "")</f>
        <v>-0.1</v>
      </c>
      <c r="AN60" s="343">
        <f>IFERROR(ROUND((tblPiNHistorical[[#This Row],[Overarching Protection - new]]-tblPiNHistorical[[#This Row],[Overarching Protection - old]])/tblPiNHistorical[[#This Row],[Overarching Protection - old]], 1), "")</f>
        <v>0.3</v>
      </c>
      <c r="AO60" s="343">
        <f>IFERROR(ROUND((tblPiNHistorical[[#This Row],[Shelter - new]]-tblPiNHistorical[[#This Row],[Shelter - old]])/tblPiNHistorical[[#This Row],[Shelter - old]], 1), "")</f>
        <v>-1</v>
      </c>
      <c r="AP60" s="38">
        <f>IFERROR(ROUND((tblPiNHistorical[[#This Row],[WASH - new]]-tblPiNHistorical[[#This Row],[WASH - old]])/tblPiNHistorical[[#This Row],[WASH - old]], 1), "")</f>
        <v>-0.8</v>
      </c>
      <c r="AQ60" s="406">
        <v>27581.25</v>
      </c>
      <c r="AR60" s="406">
        <v>27668.75</v>
      </c>
    </row>
    <row r="61" spans="1:44" ht="15" customHeight="1" x14ac:dyDescent="0.55000000000000004">
      <c r="A6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1" s="316" t="s">
        <v>342</v>
      </c>
      <c r="C61" s="218" t="s">
        <v>343</v>
      </c>
      <c r="D61" s="218" t="s">
        <v>362</v>
      </c>
      <c r="E61" s="105" t="s">
        <v>363</v>
      </c>
      <c r="F61" s="100"/>
      <c r="G61" s="34"/>
      <c r="H61" s="335"/>
      <c r="I61" s="97"/>
      <c r="J61" s="97" t="s">
        <v>412</v>
      </c>
      <c r="K61" s="336">
        <v>4505.75</v>
      </c>
      <c r="L61" s="337">
        <v>1925</v>
      </c>
      <c r="M61" s="319">
        <v>4708.2268150957971</v>
      </c>
      <c r="N61" s="319">
        <v>10351</v>
      </c>
      <c r="O61" s="319">
        <v>10798.725924454033</v>
      </c>
      <c r="P61" s="319">
        <v>11296.029756823429</v>
      </c>
      <c r="Q61" s="320">
        <v>7579.4651162790697</v>
      </c>
      <c r="R61" s="319">
        <v>10963.56880733945</v>
      </c>
      <c r="S61" s="235">
        <f>tblPiNAnalysis[[#This Row],[CCCM]]</f>
        <v>2480</v>
      </c>
      <c r="T61" s="236">
        <f>tblPiNAnalysis[[#This Row],[Education]]</f>
        <v>1409.2553047593842</v>
      </c>
      <c r="U61" s="219">
        <f>tblPiNAnalysis[[#This Row],[Nutrition]]</f>
        <v>8248.3502247827291</v>
      </c>
      <c r="V61" s="219">
        <f>tblPiNAnalysis[[#This Row],[Food Security]]</f>
        <v>14303.487592208576</v>
      </c>
      <c r="W61" s="219">
        <f>tblPiNAnalysis[[#This Row],[Health]]</f>
        <v>10357.715611792308</v>
      </c>
      <c r="X61" s="219">
        <f>tblPiNAnalysis[[#This Row],[Overarching Protection]]</f>
        <v>13630</v>
      </c>
      <c r="Y61" s="219">
        <f>tblPiNAnalysis[[#This Row],[Shelter]]</f>
        <v>14074.985983508948</v>
      </c>
      <c r="Z61" s="230">
        <f>tblPiNAnalysis[[#This Row],[WASH]]</f>
        <v>16263.67997615986</v>
      </c>
      <c r="AA61" s="339">
        <f>IF(OR(tblPiNHistorical[[#This Row],[CCCM - old]]="", tblPiNHistorical[[#This Row],[CCCM - old]]=0, tblPiNHistorical[[#This Row],[CCCM - new]]="", tblPiNHistorical[[#This Row],[CCCM - new]]=0), "", tblPiNHistorical[[#This Row],[CCCM - new]]-tblPiNHistorical[[#This Row],[CCCM - old]])</f>
        <v>-2025.75</v>
      </c>
      <c r="AB61" s="340">
        <f>IF(OR(tblPiNHistorical[[#This Row],[Education - old]]="", tblPiNHistorical[[#This Row],[Education - old]]=0, tblPiNHistorical[[#This Row],[Education - new]]="", tblPiNHistorical[[#This Row],[Education - new]]=0), "", tblPiNHistorical[[#This Row],[Education - new]]-tblPiNHistorical[[#This Row],[Education - old]])</f>
        <v>-515.74469524061578</v>
      </c>
      <c r="AC61" s="340">
        <f>IF(OR(tblPiNHistorical[[#This Row],[Nutrition - old]]="", tblPiNHistorical[[#This Row],[Nutrition - old]]=0, tblPiNHistorical[[#This Row],[Nutrition - new]]="", tblPiNHistorical[[#This Row],[Nutrition - new]]=0), "", tblPiNHistorical[[#This Row],[Nutrition - new]]-tblPiNHistorical[[#This Row],[Nutrition - old]])</f>
        <v>3540.1234096869321</v>
      </c>
      <c r="AD61" s="340">
        <f>IF(OR(tblPiNHistorical[[#This Row],[Food Security - old]]="", tblPiNHistorical[[#This Row],[Food Security - old]]=0, tblPiNHistorical[[#This Row],[Food Security - new]]="", tblPiNHistorical[[#This Row],[Food Security - new]]=0), "", tblPiNHistorical[[#This Row],[Food Security - new]]-tblPiNHistorical[[#This Row],[Food Security - old]])</f>
        <v>3952.4875922085757</v>
      </c>
      <c r="AE61" s="340">
        <f>IF(OR(tblPiNHistorical[[#This Row],[Health - old]]="", tblPiNHistorical[[#This Row],[Health - old]]=0, tblPiNHistorical[[#This Row],[Health - new]]="", tblPiNHistorical[[#This Row],[Health - new]]=0), "", tblPiNHistorical[[#This Row],[Health - new]]-tblPiNHistorical[[#This Row],[Health - old]])</f>
        <v>-441.01031266172504</v>
      </c>
      <c r="AF6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2333.9702431765709</v>
      </c>
      <c r="AG61" s="340">
        <f>IF(OR(tblPiNHistorical[[#This Row],[Shelter - old]]="", tblPiNHistorical[[#This Row],[Shelter - old]]=0, tblPiNHistorical[[#This Row],[Shelter - new]]="", tblPiNHistorical[[#This Row],[Shelter - new]]=0), "", tblPiNHistorical[[#This Row],[Shelter - new]]-tblPiNHistorical[[#This Row],[Shelter - old]])</f>
        <v>6495.5208672298786</v>
      </c>
      <c r="AH61" s="341">
        <f>IF(OR(tblPiNHistorical[[#This Row],[WASH - old]]="", tblPiNHistorical[[#This Row],[WASH - old]]=0, tblPiNHistorical[[#This Row],[WASH - new]]="", tblPiNHistorical[[#This Row],[WASH - new]]=0), "", tblPiNHistorical[[#This Row],[WASH - new]]-tblPiNHistorical[[#This Row],[WASH - old]])</f>
        <v>5300.1111688204091</v>
      </c>
      <c r="AI61" s="342">
        <f>IFERROR(ROUND((tblPiNHistorical[[#This Row],[CCCM - new]] - tblPiNHistorical[[#This Row],[CCCM - old]])/tblPiNHistorical[[#This Row],[CCCM - old]], 1), "")</f>
        <v>-0.4</v>
      </c>
      <c r="AJ61" s="343">
        <f>IFERROR(ROUND((tblPiNHistorical[[#This Row],[Education - new]]-tblPiNHistorical[[#This Row],[Education - old]])/tblPiNHistorical[[#This Row],[Education - old]], 1), "")</f>
        <v>-0.3</v>
      </c>
      <c r="AK61" s="343">
        <f>IFERROR(ROUND((tblPiNHistorical[[#This Row],[Nutrition - new]]-tblPiNHistorical[[#This Row],[Nutrition - old]])/tblPiNHistorical[[#This Row],[Nutrition - old]], 1), "")</f>
        <v>0.8</v>
      </c>
      <c r="AL61" s="343">
        <f>IFERROR(ROUND((tblPiNHistorical[[#This Row],[Food Security - new]]-tblPiNHistorical[[#This Row],[Food Security - old]])/tblPiNHistorical[[#This Row],[Food Security - old]], 1), "")</f>
        <v>0.4</v>
      </c>
      <c r="AM61" s="343">
        <f>IFERROR(ROUND((tblPiNHistorical[[#This Row],[Health - new]]-tblPiNHistorical[[#This Row],[Health - old]])/tblPiNHistorical[[#This Row],[Health - old]], 1), "")</f>
        <v>0</v>
      </c>
      <c r="AN61" s="343">
        <f>IFERROR(ROUND((tblPiNHistorical[[#This Row],[Overarching Protection - new]]-tblPiNHistorical[[#This Row],[Overarching Protection - old]])/tblPiNHistorical[[#This Row],[Overarching Protection - old]], 1), "")</f>
        <v>0.2</v>
      </c>
      <c r="AO61" s="343">
        <f>IFERROR(ROUND((tblPiNHistorical[[#This Row],[Shelter - new]]-tblPiNHistorical[[#This Row],[Shelter - old]])/tblPiNHistorical[[#This Row],[Shelter - old]], 1), "")</f>
        <v>0.9</v>
      </c>
      <c r="AP61" s="38">
        <f>IFERROR(ROUND((tblPiNHistorical[[#This Row],[WASH - new]]-tblPiNHistorical[[#This Row],[WASH - old]])/tblPiNHistorical[[#This Row],[WASH - old]], 1), "")</f>
        <v>0.5</v>
      </c>
      <c r="AQ61" s="406">
        <v>11296.029756823429</v>
      </c>
      <c r="AR61" s="406">
        <v>16263.67997615986</v>
      </c>
    </row>
    <row r="62" spans="1:44" ht="15" customHeight="1" x14ac:dyDescent="0.55000000000000004">
      <c r="A6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2" s="316" t="s">
        <v>342</v>
      </c>
      <c r="C62" s="218" t="s">
        <v>343</v>
      </c>
      <c r="D62" s="218" t="s">
        <v>364</v>
      </c>
      <c r="E62" s="105" t="s">
        <v>365</v>
      </c>
      <c r="F62" s="100"/>
      <c r="G62" s="34"/>
      <c r="H62" s="335"/>
      <c r="I62" s="97"/>
      <c r="J62" s="97" t="s">
        <v>412</v>
      </c>
      <c r="K62" s="336">
        <v>21409.25</v>
      </c>
      <c r="L62" s="337">
        <v>34854</v>
      </c>
      <c r="M62" s="319">
        <v>17715.934815504159</v>
      </c>
      <c r="N62" s="319">
        <v>61304</v>
      </c>
      <c r="O62" s="319">
        <v>33062.804539106401</v>
      </c>
      <c r="P62" s="319">
        <v>49928.794769982553</v>
      </c>
      <c r="Q62" s="320">
        <v>85637</v>
      </c>
      <c r="R62" s="319">
        <v>59470.138888888883</v>
      </c>
      <c r="S62" s="235">
        <f>tblPiNAnalysis[[#This Row],[CCCM]]</f>
        <v>14442.5</v>
      </c>
      <c r="T62" s="236">
        <f>tblPiNAnalysis[[#This Row],[Education]]</f>
        <v>21877.250895656147</v>
      </c>
      <c r="U62" s="219">
        <f>tblPiNAnalysis[[#This Row],[Nutrition]]</f>
        <v>35482.086558697258</v>
      </c>
      <c r="V62" s="219">
        <f>tblPiNAnalysis[[#This Row],[Food Security]]</f>
        <v>79879.706711881663</v>
      </c>
      <c r="W62" s="219">
        <f>tblPiNAnalysis[[#This Row],[Health]]</f>
        <v>50475.166102858719</v>
      </c>
      <c r="X62" s="219">
        <f>tblPiNAnalysis[[#This Row],[Overarching Protection]]</f>
        <v>83615</v>
      </c>
      <c r="Y62" s="219">
        <f>tblPiNAnalysis[[#This Row],[Shelter]]</f>
        <v>39816.636446730634</v>
      </c>
      <c r="Z62" s="230">
        <f>tblPiNAnalysis[[#This Row],[WASH]]</f>
        <v>57512.919311944243</v>
      </c>
      <c r="AA62" s="339">
        <f>IF(OR(tblPiNHistorical[[#This Row],[CCCM - old]]="", tblPiNHistorical[[#This Row],[CCCM - old]]=0, tblPiNHistorical[[#This Row],[CCCM - new]]="", tblPiNHistorical[[#This Row],[CCCM - new]]=0), "", tblPiNHistorical[[#This Row],[CCCM - new]]-tblPiNHistorical[[#This Row],[CCCM - old]])</f>
        <v>-6966.75</v>
      </c>
      <c r="AB62" s="340">
        <f>IF(OR(tblPiNHistorical[[#This Row],[Education - old]]="", tblPiNHistorical[[#This Row],[Education - old]]=0, tblPiNHistorical[[#This Row],[Education - new]]="", tblPiNHistorical[[#This Row],[Education - new]]=0), "", tblPiNHistorical[[#This Row],[Education - new]]-tblPiNHistorical[[#This Row],[Education - old]])</f>
        <v>-12976.749104343853</v>
      </c>
      <c r="AC62" s="340">
        <f>IF(OR(tblPiNHistorical[[#This Row],[Nutrition - old]]="", tblPiNHistorical[[#This Row],[Nutrition - old]]=0, tblPiNHistorical[[#This Row],[Nutrition - new]]="", tblPiNHistorical[[#This Row],[Nutrition - new]]=0), "", tblPiNHistorical[[#This Row],[Nutrition - new]]-tblPiNHistorical[[#This Row],[Nutrition - old]])</f>
        <v>17766.151743193099</v>
      </c>
      <c r="AD62" s="340">
        <f>IF(OR(tblPiNHistorical[[#This Row],[Food Security - old]]="", tblPiNHistorical[[#This Row],[Food Security - old]]=0, tblPiNHistorical[[#This Row],[Food Security - new]]="", tblPiNHistorical[[#This Row],[Food Security - new]]=0), "", tblPiNHistorical[[#This Row],[Food Security - new]]-tblPiNHistorical[[#This Row],[Food Security - old]])</f>
        <v>18575.706711881663</v>
      </c>
      <c r="AE62" s="340">
        <f>IF(OR(tblPiNHistorical[[#This Row],[Health - old]]="", tblPiNHistorical[[#This Row],[Health - old]]=0, tblPiNHistorical[[#This Row],[Health - new]]="", tblPiNHistorical[[#This Row],[Health - new]]=0), "", tblPiNHistorical[[#This Row],[Health - new]]-tblPiNHistorical[[#This Row],[Health - old]])</f>
        <v>17412.361563752318</v>
      </c>
      <c r="AF6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33686.205230017447</v>
      </c>
      <c r="AG62" s="340">
        <f>IF(OR(tblPiNHistorical[[#This Row],[Shelter - old]]="", tblPiNHistorical[[#This Row],[Shelter - old]]=0, tblPiNHistorical[[#This Row],[Shelter - new]]="", tblPiNHistorical[[#This Row],[Shelter - new]]=0), "", tblPiNHistorical[[#This Row],[Shelter - new]]-tblPiNHistorical[[#This Row],[Shelter - old]])</f>
        <v>-45820.363553269366</v>
      </c>
      <c r="AH62" s="341">
        <f>IF(OR(tblPiNHistorical[[#This Row],[WASH - old]]="", tblPiNHistorical[[#This Row],[WASH - old]]=0, tblPiNHistorical[[#This Row],[WASH - new]]="", tblPiNHistorical[[#This Row],[WASH - new]]=0), "", tblPiNHistorical[[#This Row],[WASH - new]]-tblPiNHistorical[[#This Row],[WASH - old]])</f>
        <v>-1957.2195769446407</v>
      </c>
      <c r="AI62" s="342">
        <f>IFERROR(ROUND((tblPiNHistorical[[#This Row],[CCCM - new]] - tblPiNHistorical[[#This Row],[CCCM - old]])/tblPiNHistorical[[#This Row],[CCCM - old]], 1), "")</f>
        <v>-0.3</v>
      </c>
      <c r="AJ62" s="343">
        <f>IFERROR(ROUND((tblPiNHistorical[[#This Row],[Education - new]]-tblPiNHistorical[[#This Row],[Education - old]])/tblPiNHistorical[[#This Row],[Education - old]], 1), "")</f>
        <v>-0.4</v>
      </c>
      <c r="AK62" s="343">
        <f>IFERROR(ROUND((tblPiNHistorical[[#This Row],[Nutrition - new]]-tblPiNHistorical[[#This Row],[Nutrition - old]])/tblPiNHistorical[[#This Row],[Nutrition - old]], 1), "")</f>
        <v>1</v>
      </c>
      <c r="AL62" s="343">
        <f>IFERROR(ROUND((tblPiNHistorical[[#This Row],[Food Security - new]]-tblPiNHistorical[[#This Row],[Food Security - old]])/tblPiNHistorical[[#This Row],[Food Security - old]], 1), "")</f>
        <v>0.3</v>
      </c>
      <c r="AM62" s="343">
        <f>IFERROR(ROUND((tblPiNHistorical[[#This Row],[Health - new]]-tblPiNHistorical[[#This Row],[Health - old]])/tblPiNHistorical[[#This Row],[Health - old]], 1), "")</f>
        <v>0.5</v>
      </c>
      <c r="AN62" s="343">
        <f>IFERROR(ROUND((tblPiNHistorical[[#This Row],[Overarching Protection - new]]-tblPiNHistorical[[#This Row],[Overarching Protection - old]])/tblPiNHistorical[[#This Row],[Overarching Protection - old]], 1), "")</f>
        <v>0.7</v>
      </c>
      <c r="AO62" s="343">
        <f>IFERROR(ROUND((tblPiNHistorical[[#This Row],[Shelter - new]]-tblPiNHistorical[[#This Row],[Shelter - old]])/tblPiNHistorical[[#This Row],[Shelter - old]], 1), "")</f>
        <v>-0.5</v>
      </c>
      <c r="AP62" s="38">
        <f>IFERROR(ROUND((tblPiNHistorical[[#This Row],[WASH - new]]-tblPiNHistorical[[#This Row],[WASH - old]])/tblPiNHistorical[[#This Row],[WASH - old]], 1), "")</f>
        <v>0</v>
      </c>
      <c r="AQ62" s="406">
        <v>85637</v>
      </c>
      <c r="AR62" s="406">
        <v>83615</v>
      </c>
    </row>
    <row r="63" spans="1:44" ht="15" customHeight="1" x14ac:dyDescent="0.55000000000000004">
      <c r="A6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3" s="316" t="s">
        <v>342</v>
      </c>
      <c r="C63" s="218" t="s">
        <v>343</v>
      </c>
      <c r="D63" s="218" t="s">
        <v>366</v>
      </c>
      <c r="E63" s="105" t="s">
        <v>367</v>
      </c>
      <c r="F63" s="100"/>
      <c r="G63" s="34"/>
      <c r="H63" s="335"/>
      <c r="I63" s="97"/>
      <c r="J63" s="97" t="s">
        <v>412</v>
      </c>
      <c r="K63" s="336">
        <v>0</v>
      </c>
      <c r="L63" s="337">
        <v>0</v>
      </c>
      <c r="M63" s="319">
        <v>0</v>
      </c>
      <c r="N63" s="319">
        <v>0</v>
      </c>
      <c r="O63" s="319">
        <v>0</v>
      </c>
      <c r="P63" s="319">
        <v>0</v>
      </c>
      <c r="Q63" s="320">
        <v>0</v>
      </c>
      <c r="R63" s="319">
        <v>0</v>
      </c>
      <c r="S63" s="235">
        <f>tblPiNAnalysis[[#This Row],[CCCM]]</f>
        <v>18966</v>
      </c>
      <c r="T63" s="236">
        <f>tblPiNAnalysis[[#This Row],[Education]]</f>
        <v>6161.2947599999998</v>
      </c>
      <c r="U63" s="219">
        <f>tblPiNAnalysis[[#This Row],[Nutrition]]</f>
        <v>6832.5707043785615</v>
      </c>
      <c r="V63" s="219">
        <f>tblPiNAnalysis[[#This Row],[Food Security]]</f>
        <v>16512.268942576724</v>
      </c>
      <c r="W63" s="219">
        <f>tblPiNAnalysis[[#This Row],[Health]]</f>
        <v>12227.112267970875</v>
      </c>
      <c r="X63" s="219">
        <f>tblPiNAnalysis[[#This Row],[Overarching Protection]]</f>
        <v>15173</v>
      </c>
      <c r="Y63" s="219">
        <f>tblPiNAnalysis[[#This Row],[Shelter]]</f>
        <v>12644</v>
      </c>
      <c r="Z63" s="230">
        <f>tblPiNAnalysis[[#This Row],[WASH]]</f>
        <v>14224.500000000002</v>
      </c>
      <c r="AA63" s="339" t="str">
        <f>IF(OR(tblPiNHistorical[[#This Row],[CCCM - old]]="", tblPiNHistorical[[#This Row],[CCCM - old]]=0, tblPiNHistorical[[#This Row],[CCCM - new]]="", tblPiNHistorical[[#This Row],[CCCM - new]]=0), "", tblPiNHistorical[[#This Row],[CCCM - new]]-tblPiNHistorical[[#This Row],[CCCM - old]])</f>
        <v/>
      </c>
      <c r="AB63" s="340" t="str">
        <f>IF(OR(tblPiNHistorical[[#This Row],[Education - old]]="", tblPiNHistorical[[#This Row],[Education - old]]=0, tblPiNHistorical[[#This Row],[Education - new]]="", tblPiNHistorical[[#This Row],[Education - new]]=0), "", tblPiNHistorical[[#This Row],[Education - new]]-tblPiNHistorical[[#This Row],[Education - old]])</f>
        <v/>
      </c>
      <c r="AC63" s="340" t="str">
        <f>IF(OR(tblPiNHistorical[[#This Row],[Nutrition - old]]="", tblPiNHistorical[[#This Row],[Nutrition - old]]=0, tblPiNHistorical[[#This Row],[Nutrition - new]]="", tblPiNHistorical[[#This Row],[Nutrition - new]]=0), "", tblPiNHistorical[[#This Row],[Nutrition - new]]-tblPiNHistorical[[#This Row],[Nutrition - old]])</f>
        <v/>
      </c>
      <c r="AD63"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63" s="340" t="str">
        <f>IF(OR(tblPiNHistorical[[#This Row],[Health - old]]="", tblPiNHistorical[[#This Row],[Health - old]]=0, tblPiNHistorical[[#This Row],[Health - new]]="", tblPiNHistorical[[#This Row],[Health - new]]=0), "", tblPiNHistorical[[#This Row],[Health - new]]-tblPiNHistorical[[#This Row],[Health - old]])</f>
        <v/>
      </c>
      <c r="AF63"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63" s="340" t="str">
        <f>IF(OR(tblPiNHistorical[[#This Row],[Shelter - old]]="", tblPiNHistorical[[#This Row],[Shelter - old]]=0, tblPiNHistorical[[#This Row],[Shelter - new]]="", tblPiNHistorical[[#This Row],[Shelter - new]]=0), "", tblPiNHistorical[[#This Row],[Shelter - new]]-tblPiNHistorical[[#This Row],[Shelter - old]])</f>
        <v/>
      </c>
      <c r="AH63" s="341" t="str">
        <f>IF(OR(tblPiNHistorical[[#This Row],[WASH - old]]="", tblPiNHistorical[[#This Row],[WASH - old]]=0, tblPiNHistorical[[#This Row],[WASH - new]]="", tblPiNHistorical[[#This Row],[WASH - new]]=0), "", tblPiNHistorical[[#This Row],[WASH - new]]-tblPiNHistorical[[#This Row],[WASH - old]])</f>
        <v/>
      </c>
      <c r="AI63" s="342" t="str">
        <f>IFERROR(ROUND((tblPiNHistorical[[#This Row],[CCCM - new]] - tblPiNHistorical[[#This Row],[CCCM - old]])/tblPiNHistorical[[#This Row],[CCCM - old]], 1), "")</f>
        <v/>
      </c>
      <c r="AJ63" s="343" t="str">
        <f>IFERROR(ROUND((tblPiNHistorical[[#This Row],[Education - new]]-tblPiNHistorical[[#This Row],[Education - old]])/tblPiNHistorical[[#This Row],[Education - old]], 1), "")</f>
        <v/>
      </c>
      <c r="AK63" s="343" t="str">
        <f>IFERROR(ROUND((tblPiNHistorical[[#This Row],[Nutrition - new]]-tblPiNHistorical[[#This Row],[Nutrition - old]])/tblPiNHistorical[[#This Row],[Nutrition - old]], 1), "")</f>
        <v/>
      </c>
      <c r="AL63" s="343" t="str">
        <f>IFERROR(ROUND((tblPiNHistorical[[#This Row],[Food Security - new]]-tblPiNHistorical[[#This Row],[Food Security - old]])/tblPiNHistorical[[#This Row],[Food Security - old]], 1), "")</f>
        <v/>
      </c>
      <c r="AM63" s="343" t="str">
        <f>IFERROR(ROUND((tblPiNHistorical[[#This Row],[Health - new]]-tblPiNHistorical[[#This Row],[Health - old]])/tblPiNHistorical[[#This Row],[Health - old]], 1), "")</f>
        <v/>
      </c>
      <c r="AN63" s="343" t="str">
        <f>IFERROR(ROUND((tblPiNHistorical[[#This Row],[Overarching Protection - new]]-tblPiNHistorical[[#This Row],[Overarching Protection - old]])/tblPiNHistorical[[#This Row],[Overarching Protection - old]], 1), "")</f>
        <v/>
      </c>
      <c r="AO63" s="343" t="str">
        <f>IFERROR(ROUND((tblPiNHistorical[[#This Row],[Shelter - new]]-tblPiNHistorical[[#This Row],[Shelter - old]])/tblPiNHistorical[[#This Row],[Shelter - old]], 1), "")</f>
        <v/>
      </c>
      <c r="AP63" s="38" t="str">
        <f>IFERROR(ROUND((tblPiNHistorical[[#This Row],[WASH - new]]-tblPiNHistorical[[#This Row],[WASH - old]])/tblPiNHistorical[[#This Row],[WASH - old]], 1), "")</f>
        <v/>
      </c>
      <c r="AQ63" s="406">
        <v>0</v>
      </c>
      <c r="AR63" s="406">
        <v>18966</v>
      </c>
    </row>
    <row r="64" spans="1:44" ht="15" customHeight="1" x14ac:dyDescent="0.55000000000000004">
      <c r="A6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4" s="316" t="s">
        <v>368</v>
      </c>
      <c r="C64" s="218" t="s">
        <v>369</v>
      </c>
      <c r="D64" s="218" t="s">
        <v>370</v>
      </c>
      <c r="E64" s="105" t="s">
        <v>371</v>
      </c>
      <c r="F64" s="100"/>
      <c r="G64" s="34"/>
      <c r="H64" s="335"/>
      <c r="I64" s="97"/>
      <c r="J64" s="97" t="s">
        <v>412</v>
      </c>
      <c r="K64" s="336">
        <v>3173.5</v>
      </c>
      <c r="L64" s="337">
        <v>4778</v>
      </c>
      <c r="M64" s="319">
        <v>4654.4828660089124</v>
      </c>
      <c r="N64" s="319">
        <v>10431</v>
      </c>
      <c r="O64" s="319">
        <v>5077.5952631672171</v>
      </c>
      <c r="P64" s="319">
        <v>9240.2222420908347</v>
      </c>
      <c r="Q64" s="320">
        <v>12694</v>
      </c>
      <c r="R64" s="319">
        <v>2468.2777777777778</v>
      </c>
      <c r="S64" s="235">
        <f>tblPiNAnalysis[[#This Row],[CCCM]]</f>
        <v>0</v>
      </c>
      <c r="T64" s="236">
        <f>tblPiNAnalysis[[#This Row],[Education]]</f>
        <v>6898.0693044142718</v>
      </c>
      <c r="U64" s="219">
        <f>tblPiNAnalysis[[#This Row],[Nutrition]]</f>
        <v>6544.1632097958354</v>
      </c>
      <c r="V64" s="219">
        <f>tblPiNAnalysis[[#This Row],[Food Security]]</f>
        <v>10733.781411342512</v>
      </c>
      <c r="W64" s="219">
        <f>tblPiNAnalysis[[#This Row],[Health]]</f>
        <v>8819.012139698023</v>
      </c>
      <c r="X64" s="219">
        <f>tblPiNAnalysis[[#This Row],[Overarching Protection]]</f>
        <v>12072</v>
      </c>
      <c r="Y64" s="219">
        <f>tblPiNAnalysis[[#This Row],[Shelter]]</f>
        <v>14399.340053999733</v>
      </c>
      <c r="Z64" s="230">
        <f>tblPiNAnalysis[[#This Row],[WASH]]</f>
        <v>6108.8109319998857</v>
      </c>
      <c r="AA64" s="339" t="str">
        <f>IF(OR(tblPiNHistorical[[#This Row],[CCCM - old]]="", tblPiNHistorical[[#This Row],[CCCM - old]]=0, tblPiNHistorical[[#This Row],[CCCM - new]]="", tblPiNHistorical[[#This Row],[CCCM - new]]=0), "", tblPiNHistorical[[#This Row],[CCCM - new]]-tblPiNHistorical[[#This Row],[CCCM - old]])</f>
        <v/>
      </c>
      <c r="AB64" s="340">
        <f>IF(OR(tblPiNHistorical[[#This Row],[Education - old]]="", tblPiNHistorical[[#This Row],[Education - old]]=0, tblPiNHistorical[[#This Row],[Education - new]]="", tblPiNHistorical[[#This Row],[Education - new]]=0), "", tblPiNHistorical[[#This Row],[Education - new]]-tblPiNHistorical[[#This Row],[Education - old]])</f>
        <v>2120.0693044142718</v>
      </c>
      <c r="AC64" s="340">
        <f>IF(OR(tblPiNHistorical[[#This Row],[Nutrition - old]]="", tblPiNHistorical[[#This Row],[Nutrition - old]]=0, tblPiNHistorical[[#This Row],[Nutrition - new]]="", tblPiNHistorical[[#This Row],[Nutrition - new]]=0), "", tblPiNHistorical[[#This Row],[Nutrition - new]]-tblPiNHistorical[[#This Row],[Nutrition - old]])</f>
        <v>1889.680343786923</v>
      </c>
      <c r="AD64" s="340">
        <f>IF(OR(tblPiNHistorical[[#This Row],[Food Security - old]]="", tblPiNHistorical[[#This Row],[Food Security - old]]=0, tblPiNHistorical[[#This Row],[Food Security - new]]="", tblPiNHistorical[[#This Row],[Food Security - new]]=0), "", tblPiNHistorical[[#This Row],[Food Security - new]]-tblPiNHistorical[[#This Row],[Food Security - old]])</f>
        <v>302.781411342512</v>
      </c>
      <c r="AE64" s="340">
        <f>IF(OR(tblPiNHistorical[[#This Row],[Health - old]]="", tblPiNHistorical[[#This Row],[Health - old]]=0, tblPiNHistorical[[#This Row],[Health - new]]="", tblPiNHistorical[[#This Row],[Health - new]]=0), "", tblPiNHistorical[[#This Row],[Health - new]]-tblPiNHistorical[[#This Row],[Health - old]])</f>
        <v>3741.4168765308059</v>
      </c>
      <c r="AF6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2831.7777579091653</v>
      </c>
      <c r="AG64" s="340">
        <f>IF(OR(tblPiNHistorical[[#This Row],[Shelter - old]]="", tblPiNHistorical[[#This Row],[Shelter - old]]=0, tblPiNHistorical[[#This Row],[Shelter - new]]="", tblPiNHistorical[[#This Row],[Shelter - new]]=0), "", tblPiNHistorical[[#This Row],[Shelter - new]]-tblPiNHistorical[[#This Row],[Shelter - old]])</f>
        <v>1705.3400539997328</v>
      </c>
      <c r="AH64" s="341">
        <f>IF(OR(tblPiNHistorical[[#This Row],[WASH - old]]="", tblPiNHistorical[[#This Row],[WASH - old]]=0, tblPiNHistorical[[#This Row],[WASH - new]]="", tblPiNHistorical[[#This Row],[WASH - new]]=0), "", tblPiNHistorical[[#This Row],[WASH - new]]-tblPiNHistorical[[#This Row],[WASH - old]])</f>
        <v>3640.5331542221079</v>
      </c>
      <c r="AI64" s="342">
        <f>IFERROR(ROUND((tblPiNHistorical[[#This Row],[CCCM - new]] - tblPiNHistorical[[#This Row],[CCCM - old]])/tblPiNHistorical[[#This Row],[CCCM - old]], 1), "")</f>
        <v>-1</v>
      </c>
      <c r="AJ64" s="343">
        <f>IFERROR(ROUND((tblPiNHistorical[[#This Row],[Education - new]]-tblPiNHistorical[[#This Row],[Education - old]])/tblPiNHistorical[[#This Row],[Education - old]], 1), "")</f>
        <v>0.4</v>
      </c>
      <c r="AK64" s="343">
        <f>IFERROR(ROUND((tblPiNHistorical[[#This Row],[Nutrition - new]]-tblPiNHistorical[[#This Row],[Nutrition - old]])/tblPiNHistorical[[#This Row],[Nutrition - old]], 1), "")</f>
        <v>0.4</v>
      </c>
      <c r="AL64" s="343">
        <f>IFERROR(ROUND((tblPiNHistorical[[#This Row],[Food Security - new]]-tblPiNHistorical[[#This Row],[Food Security - old]])/tblPiNHistorical[[#This Row],[Food Security - old]], 1), "")</f>
        <v>0</v>
      </c>
      <c r="AM64" s="343">
        <f>IFERROR(ROUND((tblPiNHistorical[[#This Row],[Health - new]]-tblPiNHistorical[[#This Row],[Health - old]])/tblPiNHistorical[[#This Row],[Health - old]], 1), "")</f>
        <v>0.7</v>
      </c>
      <c r="AN64" s="343">
        <f>IFERROR(ROUND((tblPiNHistorical[[#This Row],[Overarching Protection - new]]-tblPiNHistorical[[#This Row],[Overarching Protection - old]])/tblPiNHistorical[[#This Row],[Overarching Protection - old]], 1), "")</f>
        <v>0.3</v>
      </c>
      <c r="AO64" s="343">
        <f>IFERROR(ROUND((tblPiNHistorical[[#This Row],[Shelter - new]]-tblPiNHistorical[[#This Row],[Shelter - old]])/tblPiNHistorical[[#This Row],[Shelter - old]], 1), "")</f>
        <v>0.1</v>
      </c>
      <c r="AP64" s="38">
        <f>IFERROR(ROUND((tblPiNHistorical[[#This Row],[WASH - new]]-tblPiNHistorical[[#This Row],[WASH - old]])/tblPiNHistorical[[#This Row],[WASH - old]], 1), "")</f>
        <v>1.5</v>
      </c>
      <c r="AQ64" s="406">
        <v>12694</v>
      </c>
      <c r="AR64" s="406">
        <v>14399.340053999733</v>
      </c>
    </row>
    <row r="65" spans="1:44" ht="15" customHeight="1" x14ac:dyDescent="0.55000000000000004">
      <c r="A6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5" s="316" t="s">
        <v>368</v>
      </c>
      <c r="C65" s="218" t="s">
        <v>369</v>
      </c>
      <c r="D65" s="218" t="s">
        <v>372</v>
      </c>
      <c r="E65" s="105" t="s">
        <v>373</v>
      </c>
      <c r="F65" s="100"/>
      <c r="G65" s="34"/>
      <c r="H65" s="335"/>
      <c r="I65" s="97"/>
      <c r="J65" s="97" t="s">
        <v>412</v>
      </c>
      <c r="K65" s="336">
        <v>5943.75</v>
      </c>
      <c r="L65" s="337">
        <v>419</v>
      </c>
      <c r="M65" s="319">
        <v>6491.0948751861342</v>
      </c>
      <c r="N65" s="319">
        <v>13201</v>
      </c>
      <c r="O65" s="319">
        <v>8251.8349064141203</v>
      </c>
      <c r="P65" s="319">
        <v>12294.319154861249</v>
      </c>
      <c r="Q65" s="320">
        <v>14814.461538461539</v>
      </c>
      <c r="R65" s="319">
        <v>4745.1588785046724</v>
      </c>
      <c r="S65" s="235">
        <f>tblPiNAnalysis[[#This Row],[CCCM]]</f>
        <v>2611.25</v>
      </c>
      <c r="T65" s="236">
        <f>tblPiNAnalysis[[#This Row],[Education]]</f>
        <v>5617.8884378467201</v>
      </c>
      <c r="U65" s="219">
        <f>tblPiNAnalysis[[#This Row],[Nutrition]]</f>
        <v>8915.6976319139521</v>
      </c>
      <c r="V65" s="219">
        <f>tblPiNAnalysis[[#This Row],[Food Security]]</f>
        <v>13123.758275597456</v>
      </c>
      <c r="W65" s="219">
        <f>tblPiNAnalysis[[#This Row],[Health]]</f>
        <v>12514.74824793882</v>
      </c>
      <c r="X65" s="219">
        <f>tblPiNAnalysis[[#This Row],[Overarching Protection]]</f>
        <v>17195</v>
      </c>
      <c r="Y65" s="219">
        <f>tblPiNAnalysis[[#This Row],[Shelter]]</f>
        <v>15709.615483457397</v>
      </c>
      <c r="Z65" s="230">
        <f>tblPiNAnalysis[[#This Row],[WASH]]</f>
        <v>12343.26930843081</v>
      </c>
      <c r="AA65" s="339">
        <f>IF(OR(tblPiNHistorical[[#This Row],[CCCM - old]]="", tblPiNHistorical[[#This Row],[CCCM - old]]=0, tblPiNHistorical[[#This Row],[CCCM - new]]="", tblPiNHistorical[[#This Row],[CCCM - new]]=0), "", tblPiNHistorical[[#This Row],[CCCM - new]]-tblPiNHistorical[[#This Row],[CCCM - old]])</f>
        <v>-3332.5</v>
      </c>
      <c r="AB65" s="340">
        <f>IF(OR(tblPiNHistorical[[#This Row],[Education - old]]="", tblPiNHistorical[[#This Row],[Education - old]]=0, tblPiNHistorical[[#This Row],[Education - new]]="", tblPiNHistorical[[#This Row],[Education - new]]=0), "", tblPiNHistorical[[#This Row],[Education - new]]-tblPiNHistorical[[#This Row],[Education - old]])</f>
        <v>5198.8884378467201</v>
      </c>
      <c r="AC65" s="340">
        <f>IF(OR(tblPiNHistorical[[#This Row],[Nutrition - old]]="", tblPiNHistorical[[#This Row],[Nutrition - old]]=0, tblPiNHistorical[[#This Row],[Nutrition - new]]="", tblPiNHistorical[[#This Row],[Nutrition - new]]=0), "", tblPiNHistorical[[#This Row],[Nutrition - new]]-tblPiNHistorical[[#This Row],[Nutrition - old]])</f>
        <v>2424.6027567278179</v>
      </c>
      <c r="AD65" s="340">
        <f>IF(OR(tblPiNHistorical[[#This Row],[Food Security - old]]="", tblPiNHistorical[[#This Row],[Food Security - old]]=0, tblPiNHistorical[[#This Row],[Food Security - new]]="", tblPiNHistorical[[#This Row],[Food Security - new]]=0), "", tblPiNHistorical[[#This Row],[Food Security - new]]-tblPiNHistorical[[#This Row],[Food Security - old]])</f>
        <v>-77.241724402543696</v>
      </c>
      <c r="AE65" s="340">
        <f>IF(OR(tblPiNHistorical[[#This Row],[Health - old]]="", tblPiNHistorical[[#This Row],[Health - old]]=0, tblPiNHistorical[[#This Row],[Health - new]]="", tblPiNHistorical[[#This Row],[Health - new]]=0), "", tblPiNHistorical[[#This Row],[Health - new]]-tblPiNHistorical[[#This Row],[Health - old]])</f>
        <v>4262.9133415246997</v>
      </c>
      <c r="AF6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4900.6808451387515</v>
      </c>
      <c r="AG65" s="340">
        <f>IF(OR(tblPiNHistorical[[#This Row],[Shelter - old]]="", tblPiNHistorical[[#This Row],[Shelter - old]]=0, tblPiNHistorical[[#This Row],[Shelter - new]]="", tblPiNHistorical[[#This Row],[Shelter - new]]=0), "", tblPiNHistorical[[#This Row],[Shelter - new]]-tblPiNHistorical[[#This Row],[Shelter - old]])</f>
        <v>895.15394499585818</v>
      </c>
      <c r="AH65" s="341">
        <f>IF(OR(tblPiNHistorical[[#This Row],[WASH - old]]="", tblPiNHistorical[[#This Row],[WASH - old]]=0, tblPiNHistorical[[#This Row],[WASH - new]]="", tblPiNHistorical[[#This Row],[WASH - new]]=0), "", tblPiNHistorical[[#This Row],[WASH - new]]-tblPiNHistorical[[#This Row],[WASH - old]])</f>
        <v>7598.1104299261378</v>
      </c>
      <c r="AI65" s="342">
        <f>IFERROR(ROUND((tblPiNHistorical[[#This Row],[CCCM - new]] - tblPiNHistorical[[#This Row],[CCCM - old]])/tblPiNHistorical[[#This Row],[CCCM - old]], 1), "")</f>
        <v>-0.6</v>
      </c>
      <c r="AJ65" s="343">
        <f>IFERROR(ROUND((tblPiNHistorical[[#This Row],[Education - new]]-tblPiNHistorical[[#This Row],[Education - old]])/tblPiNHistorical[[#This Row],[Education - old]], 1), "")</f>
        <v>12.4</v>
      </c>
      <c r="AK65" s="343">
        <f>IFERROR(ROUND((tblPiNHistorical[[#This Row],[Nutrition - new]]-tblPiNHistorical[[#This Row],[Nutrition - old]])/tblPiNHistorical[[#This Row],[Nutrition - old]], 1), "")</f>
        <v>0.4</v>
      </c>
      <c r="AL65" s="343">
        <f>IFERROR(ROUND((tblPiNHistorical[[#This Row],[Food Security - new]]-tblPiNHistorical[[#This Row],[Food Security - old]])/tblPiNHistorical[[#This Row],[Food Security - old]], 1), "")</f>
        <v>0</v>
      </c>
      <c r="AM65" s="343">
        <f>IFERROR(ROUND((tblPiNHistorical[[#This Row],[Health - new]]-tblPiNHistorical[[#This Row],[Health - old]])/tblPiNHistorical[[#This Row],[Health - old]], 1), "")</f>
        <v>0.5</v>
      </c>
      <c r="AN65" s="343">
        <f>IFERROR(ROUND((tblPiNHistorical[[#This Row],[Overarching Protection - new]]-tblPiNHistorical[[#This Row],[Overarching Protection - old]])/tblPiNHistorical[[#This Row],[Overarching Protection - old]], 1), "")</f>
        <v>0.4</v>
      </c>
      <c r="AO65" s="343">
        <f>IFERROR(ROUND((tblPiNHistorical[[#This Row],[Shelter - new]]-tblPiNHistorical[[#This Row],[Shelter - old]])/tblPiNHistorical[[#This Row],[Shelter - old]], 1), "")</f>
        <v>0.1</v>
      </c>
      <c r="AP65" s="38">
        <f>IFERROR(ROUND((tblPiNHistorical[[#This Row],[WASH - new]]-tblPiNHistorical[[#This Row],[WASH - old]])/tblPiNHistorical[[#This Row],[WASH - old]], 1), "")</f>
        <v>1.6</v>
      </c>
      <c r="AQ65" s="406">
        <v>14814.461538461539</v>
      </c>
      <c r="AR65" s="406">
        <v>17195</v>
      </c>
    </row>
    <row r="66" spans="1:44" ht="15" customHeight="1" x14ac:dyDescent="0.55000000000000004">
      <c r="A6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6" s="316" t="s">
        <v>368</v>
      </c>
      <c r="C66" s="218" t="s">
        <v>369</v>
      </c>
      <c r="D66" s="218" t="s">
        <v>374</v>
      </c>
      <c r="E66" s="105" t="s">
        <v>375</v>
      </c>
      <c r="F66" s="100"/>
      <c r="G66" s="34"/>
      <c r="H66" s="335"/>
      <c r="I66" s="97"/>
      <c r="J66" s="97" t="s">
        <v>412</v>
      </c>
      <c r="K66" s="336">
        <v>3878.25</v>
      </c>
      <c r="L66" s="337">
        <v>6085</v>
      </c>
      <c r="M66" s="319">
        <v>6839.7423200419998</v>
      </c>
      <c r="N66" s="319">
        <v>11441</v>
      </c>
      <c r="O66" s="319">
        <v>13751.488401467117</v>
      </c>
      <c r="P66" s="319">
        <v>11001.311007758361</v>
      </c>
      <c r="Q66" s="320">
        <v>14937</v>
      </c>
      <c r="R66" s="319">
        <v>5117.3055555555557</v>
      </c>
      <c r="S66" s="235">
        <f>tblPiNAnalysis[[#This Row],[CCCM]]</f>
        <v>240</v>
      </c>
      <c r="T66" s="236">
        <f>tblPiNAnalysis[[#This Row],[Education]]</f>
        <v>7700.4762670911396</v>
      </c>
      <c r="U66" s="219">
        <f>tblPiNAnalysis[[#This Row],[Nutrition]]</f>
        <v>10047.548765193676</v>
      </c>
      <c r="V66" s="219">
        <f>tblPiNAnalysis[[#This Row],[Food Security]]</f>
        <v>17357.362182742232</v>
      </c>
      <c r="W66" s="219">
        <f>tblPiNAnalysis[[#This Row],[Health]]</f>
        <v>10068.816557931883</v>
      </c>
      <c r="X66" s="219">
        <f>tblPiNAnalysis[[#This Row],[Overarching Protection]]</f>
        <v>18831</v>
      </c>
      <c r="Y66" s="219">
        <f>tblPiNAnalysis[[#This Row],[Shelter]]</f>
        <v>23538.621025019514</v>
      </c>
      <c r="Z66" s="230">
        <f>tblPiNAnalysis[[#This Row],[WASH]]</f>
        <v>11551.360317833653</v>
      </c>
      <c r="AA66" s="339">
        <f>IF(OR(tblPiNHistorical[[#This Row],[CCCM - old]]="", tblPiNHistorical[[#This Row],[CCCM - old]]=0, tblPiNHistorical[[#This Row],[CCCM - new]]="", tblPiNHistorical[[#This Row],[CCCM - new]]=0), "", tblPiNHistorical[[#This Row],[CCCM - new]]-tblPiNHistorical[[#This Row],[CCCM - old]])</f>
        <v>-3638.25</v>
      </c>
      <c r="AB66" s="340">
        <f>IF(OR(tblPiNHistorical[[#This Row],[Education - old]]="", tblPiNHistorical[[#This Row],[Education - old]]=0, tblPiNHistorical[[#This Row],[Education - new]]="", tblPiNHistorical[[#This Row],[Education - new]]=0), "", tblPiNHistorical[[#This Row],[Education - new]]-tblPiNHistorical[[#This Row],[Education - old]])</f>
        <v>1615.4762670911396</v>
      </c>
      <c r="AC66" s="340">
        <f>IF(OR(tblPiNHistorical[[#This Row],[Nutrition - old]]="", tblPiNHistorical[[#This Row],[Nutrition - old]]=0, tblPiNHistorical[[#This Row],[Nutrition - new]]="", tblPiNHistorical[[#This Row],[Nutrition - new]]=0), "", tblPiNHistorical[[#This Row],[Nutrition - new]]-tblPiNHistorical[[#This Row],[Nutrition - old]])</f>
        <v>3207.8064451516766</v>
      </c>
      <c r="AD66" s="340">
        <f>IF(OR(tblPiNHistorical[[#This Row],[Food Security - old]]="", tblPiNHistorical[[#This Row],[Food Security - old]]=0, tblPiNHistorical[[#This Row],[Food Security - new]]="", tblPiNHistorical[[#This Row],[Food Security - new]]=0), "", tblPiNHistorical[[#This Row],[Food Security - new]]-tblPiNHistorical[[#This Row],[Food Security - old]])</f>
        <v>5916.3621827422321</v>
      </c>
      <c r="AE66" s="340">
        <f>IF(OR(tblPiNHistorical[[#This Row],[Health - old]]="", tblPiNHistorical[[#This Row],[Health - old]]=0, tblPiNHistorical[[#This Row],[Health - new]]="", tblPiNHistorical[[#This Row],[Health - new]]=0), "", tblPiNHistorical[[#This Row],[Health - new]]-tblPiNHistorical[[#This Row],[Health - old]])</f>
        <v>-3682.6718435352341</v>
      </c>
      <c r="AF6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7829.6889922416394</v>
      </c>
      <c r="AG66" s="340">
        <f>IF(OR(tblPiNHistorical[[#This Row],[Shelter - old]]="", tblPiNHistorical[[#This Row],[Shelter - old]]=0, tblPiNHistorical[[#This Row],[Shelter - new]]="", tblPiNHistorical[[#This Row],[Shelter - new]]=0), "", tblPiNHistorical[[#This Row],[Shelter - new]]-tblPiNHistorical[[#This Row],[Shelter - old]])</f>
        <v>8601.6210250195145</v>
      </c>
      <c r="AH66" s="341">
        <f>IF(OR(tblPiNHistorical[[#This Row],[WASH - old]]="", tblPiNHistorical[[#This Row],[WASH - old]]=0, tblPiNHistorical[[#This Row],[WASH - new]]="", tblPiNHistorical[[#This Row],[WASH - new]]=0), "", tblPiNHistorical[[#This Row],[WASH - new]]-tblPiNHistorical[[#This Row],[WASH - old]])</f>
        <v>6434.0547622780969</v>
      </c>
      <c r="AI66" s="342">
        <f>IFERROR(ROUND((tblPiNHistorical[[#This Row],[CCCM - new]] - tblPiNHistorical[[#This Row],[CCCM - old]])/tblPiNHistorical[[#This Row],[CCCM - old]], 1), "")</f>
        <v>-0.9</v>
      </c>
      <c r="AJ66" s="343">
        <f>IFERROR(ROUND((tblPiNHistorical[[#This Row],[Education - new]]-tblPiNHistorical[[#This Row],[Education - old]])/tblPiNHistorical[[#This Row],[Education - old]], 1), "")</f>
        <v>0.3</v>
      </c>
      <c r="AK66" s="343">
        <f>IFERROR(ROUND((tblPiNHistorical[[#This Row],[Nutrition - new]]-tblPiNHistorical[[#This Row],[Nutrition - old]])/tblPiNHistorical[[#This Row],[Nutrition - old]], 1), "")</f>
        <v>0.5</v>
      </c>
      <c r="AL66" s="343">
        <f>IFERROR(ROUND((tblPiNHistorical[[#This Row],[Food Security - new]]-tblPiNHistorical[[#This Row],[Food Security - old]])/tblPiNHistorical[[#This Row],[Food Security - old]], 1), "")</f>
        <v>0.5</v>
      </c>
      <c r="AM66" s="343">
        <f>IFERROR(ROUND((tblPiNHistorical[[#This Row],[Health - new]]-tblPiNHistorical[[#This Row],[Health - old]])/tblPiNHistorical[[#This Row],[Health - old]], 1), "")</f>
        <v>-0.3</v>
      </c>
      <c r="AN66" s="343">
        <f>IFERROR(ROUND((tblPiNHistorical[[#This Row],[Overarching Protection - new]]-tblPiNHistorical[[#This Row],[Overarching Protection - old]])/tblPiNHistorical[[#This Row],[Overarching Protection - old]], 1), "")</f>
        <v>0.7</v>
      </c>
      <c r="AO66" s="343">
        <f>IFERROR(ROUND((tblPiNHistorical[[#This Row],[Shelter - new]]-tblPiNHistorical[[#This Row],[Shelter - old]])/tblPiNHistorical[[#This Row],[Shelter - old]], 1), "")</f>
        <v>0.6</v>
      </c>
      <c r="AP66" s="38">
        <f>IFERROR(ROUND((tblPiNHistorical[[#This Row],[WASH - new]]-tblPiNHistorical[[#This Row],[WASH - old]])/tblPiNHistorical[[#This Row],[WASH - old]], 1), "")</f>
        <v>1.3</v>
      </c>
      <c r="AQ66" s="406">
        <v>14937</v>
      </c>
      <c r="AR66" s="406">
        <v>23538.621025019514</v>
      </c>
    </row>
    <row r="67" spans="1:44" ht="15" customHeight="1" x14ac:dyDescent="0.55000000000000004">
      <c r="A6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7" s="316" t="s">
        <v>368</v>
      </c>
      <c r="C67" s="218" t="s">
        <v>369</v>
      </c>
      <c r="D67" s="218" t="s">
        <v>376</v>
      </c>
      <c r="E67" s="105" t="s">
        <v>377</v>
      </c>
      <c r="F67" s="100"/>
      <c r="G67" s="34"/>
      <c r="H67" s="335"/>
      <c r="I67" s="97"/>
      <c r="J67" s="97" t="s">
        <v>412</v>
      </c>
      <c r="K67" s="336">
        <v>5840.5</v>
      </c>
      <c r="L67" s="337">
        <v>8015</v>
      </c>
      <c r="M67" s="319">
        <v>8831.5523316768285</v>
      </c>
      <c r="N67" s="319">
        <v>16382</v>
      </c>
      <c r="O67" s="319">
        <v>13327.658647227136</v>
      </c>
      <c r="P67" s="319">
        <v>13618.485470703374</v>
      </c>
      <c r="Q67" s="320">
        <v>18170.444444444445</v>
      </c>
      <c r="R67" s="319">
        <v>3028.4074074074069</v>
      </c>
      <c r="S67" s="235">
        <f>tblPiNAnalysis[[#This Row],[CCCM]]</f>
        <v>0</v>
      </c>
      <c r="T67" s="236">
        <f>tblPiNAnalysis[[#This Row],[Education]]</f>
        <v>9480.6166758104409</v>
      </c>
      <c r="U67" s="219">
        <f>tblPiNAnalysis[[#This Row],[Nutrition]]</f>
        <v>13420.801446190691</v>
      </c>
      <c r="V67" s="219">
        <f>tblPiNAnalysis[[#This Row],[Food Security]]</f>
        <v>22205.011671083026</v>
      </c>
      <c r="W67" s="219">
        <f>tblPiNAnalysis[[#This Row],[Health]]</f>
        <v>16120.24674715752</v>
      </c>
      <c r="X67" s="219">
        <f>tblPiNAnalysis[[#This Row],[Overarching Protection]]</f>
        <v>25029</v>
      </c>
      <c r="Y67" s="219">
        <f>tblPiNAnalysis[[#This Row],[Shelter]]</f>
        <v>17878.106167565114</v>
      </c>
      <c r="Z67" s="230">
        <f>tblPiNAnalysis[[#This Row],[WASH]]</f>
        <v>21519.942609106154</v>
      </c>
      <c r="AA67" s="339" t="str">
        <f>IF(OR(tblPiNHistorical[[#This Row],[CCCM - old]]="", tblPiNHistorical[[#This Row],[CCCM - old]]=0, tblPiNHistorical[[#This Row],[CCCM - new]]="", tblPiNHistorical[[#This Row],[CCCM - new]]=0), "", tblPiNHistorical[[#This Row],[CCCM - new]]-tblPiNHistorical[[#This Row],[CCCM - old]])</f>
        <v/>
      </c>
      <c r="AB67" s="340">
        <f>IF(OR(tblPiNHistorical[[#This Row],[Education - old]]="", tblPiNHistorical[[#This Row],[Education - old]]=0, tblPiNHistorical[[#This Row],[Education - new]]="", tblPiNHistorical[[#This Row],[Education - new]]=0), "", tblPiNHistorical[[#This Row],[Education - new]]-tblPiNHistorical[[#This Row],[Education - old]])</f>
        <v>1465.6166758104409</v>
      </c>
      <c r="AC67" s="340">
        <f>IF(OR(tblPiNHistorical[[#This Row],[Nutrition - old]]="", tblPiNHistorical[[#This Row],[Nutrition - old]]=0, tblPiNHistorical[[#This Row],[Nutrition - new]]="", tblPiNHistorical[[#This Row],[Nutrition - new]]=0), "", tblPiNHistorical[[#This Row],[Nutrition - new]]-tblPiNHistorical[[#This Row],[Nutrition - old]])</f>
        <v>4589.2491145138629</v>
      </c>
      <c r="AD67" s="340">
        <f>IF(OR(tblPiNHistorical[[#This Row],[Food Security - old]]="", tblPiNHistorical[[#This Row],[Food Security - old]]=0, tblPiNHistorical[[#This Row],[Food Security - new]]="", tblPiNHistorical[[#This Row],[Food Security - new]]=0), "", tblPiNHistorical[[#This Row],[Food Security - new]]-tblPiNHistorical[[#This Row],[Food Security - old]])</f>
        <v>5823.0116710830262</v>
      </c>
      <c r="AE67" s="340">
        <f>IF(OR(tblPiNHistorical[[#This Row],[Health - old]]="", tblPiNHistorical[[#This Row],[Health - old]]=0, tblPiNHistorical[[#This Row],[Health - new]]="", tblPiNHistorical[[#This Row],[Health - new]]=0), "", tblPiNHistorical[[#This Row],[Health - new]]-tblPiNHistorical[[#This Row],[Health - old]])</f>
        <v>2792.5880999303845</v>
      </c>
      <c r="AF6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11410.514529296626</v>
      </c>
      <c r="AG67" s="340">
        <f>IF(OR(tblPiNHistorical[[#This Row],[Shelter - old]]="", tblPiNHistorical[[#This Row],[Shelter - old]]=0, tblPiNHistorical[[#This Row],[Shelter - new]]="", tblPiNHistorical[[#This Row],[Shelter - new]]=0), "", tblPiNHistorical[[#This Row],[Shelter - new]]-tblPiNHistorical[[#This Row],[Shelter - old]])</f>
        <v>-292.33827687933081</v>
      </c>
      <c r="AH67" s="341">
        <f>IF(OR(tblPiNHistorical[[#This Row],[WASH - old]]="", tblPiNHistorical[[#This Row],[WASH - old]]=0, tblPiNHistorical[[#This Row],[WASH - new]]="", tblPiNHistorical[[#This Row],[WASH - new]]=0), "", tblPiNHistorical[[#This Row],[WASH - new]]-tblPiNHistorical[[#This Row],[WASH - old]])</f>
        <v>18491.535201698745</v>
      </c>
      <c r="AI67" s="342">
        <f>IFERROR(ROUND((tblPiNHistorical[[#This Row],[CCCM - new]] - tblPiNHistorical[[#This Row],[CCCM - old]])/tblPiNHistorical[[#This Row],[CCCM - old]], 1), "")</f>
        <v>-1</v>
      </c>
      <c r="AJ67" s="343">
        <f>IFERROR(ROUND((tblPiNHistorical[[#This Row],[Education - new]]-tblPiNHistorical[[#This Row],[Education - old]])/tblPiNHistorical[[#This Row],[Education - old]], 1), "")</f>
        <v>0.2</v>
      </c>
      <c r="AK67" s="343">
        <f>IFERROR(ROUND((tblPiNHistorical[[#This Row],[Nutrition - new]]-tblPiNHistorical[[#This Row],[Nutrition - old]])/tblPiNHistorical[[#This Row],[Nutrition - old]], 1), "")</f>
        <v>0.5</v>
      </c>
      <c r="AL67" s="343">
        <f>IFERROR(ROUND((tblPiNHistorical[[#This Row],[Food Security - new]]-tblPiNHistorical[[#This Row],[Food Security - old]])/tblPiNHistorical[[#This Row],[Food Security - old]], 1), "")</f>
        <v>0.4</v>
      </c>
      <c r="AM67" s="343">
        <f>IFERROR(ROUND((tblPiNHistorical[[#This Row],[Health - new]]-tblPiNHistorical[[#This Row],[Health - old]])/tblPiNHistorical[[#This Row],[Health - old]], 1), "")</f>
        <v>0.2</v>
      </c>
      <c r="AN67" s="343">
        <f>IFERROR(ROUND((tblPiNHistorical[[#This Row],[Overarching Protection - new]]-tblPiNHistorical[[#This Row],[Overarching Protection - old]])/tblPiNHistorical[[#This Row],[Overarching Protection - old]], 1), "")</f>
        <v>0.8</v>
      </c>
      <c r="AO67" s="343">
        <f>IFERROR(ROUND((tblPiNHistorical[[#This Row],[Shelter - new]]-tblPiNHistorical[[#This Row],[Shelter - old]])/tblPiNHistorical[[#This Row],[Shelter - old]], 1), "")</f>
        <v>0</v>
      </c>
      <c r="AP67" s="38">
        <f>IFERROR(ROUND((tblPiNHistorical[[#This Row],[WASH - new]]-tblPiNHistorical[[#This Row],[WASH - old]])/tblPiNHistorical[[#This Row],[WASH - old]], 1), "")</f>
        <v>6.1</v>
      </c>
      <c r="AQ67" s="406">
        <v>18170.444444444445</v>
      </c>
      <c r="AR67" s="406">
        <v>25029</v>
      </c>
    </row>
    <row r="68" spans="1:44" ht="15" customHeight="1" x14ac:dyDescent="0.55000000000000004">
      <c r="A6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8" s="316" t="s">
        <v>368</v>
      </c>
      <c r="C68" s="218" t="s">
        <v>369</v>
      </c>
      <c r="D68" s="218" t="s">
        <v>378</v>
      </c>
      <c r="E68" s="105" t="s">
        <v>379</v>
      </c>
      <c r="F68" s="100"/>
      <c r="G68" s="34"/>
      <c r="H68" s="335"/>
      <c r="I68" s="97"/>
      <c r="J68" s="97" t="s">
        <v>412</v>
      </c>
      <c r="K68" s="336">
        <v>1484.5</v>
      </c>
      <c r="L68" s="337">
        <v>1111</v>
      </c>
      <c r="M68" s="319">
        <v>1735.6277573380335</v>
      </c>
      <c r="N68" s="319">
        <v>3374</v>
      </c>
      <c r="O68" s="319">
        <v>1992.976278686619</v>
      </c>
      <c r="P68" s="319">
        <v>3991.1994692756211</v>
      </c>
      <c r="Q68" s="320">
        <v>2740.6153846153848</v>
      </c>
      <c r="R68" s="319">
        <v>1099.6296296296296</v>
      </c>
      <c r="S68" s="235">
        <f>tblPiNAnalysis[[#This Row],[CCCM]]</f>
        <v>0</v>
      </c>
      <c r="T68" s="236">
        <f>tblPiNAnalysis[[#This Row],[Education]]</f>
        <v>1158.2925523798729</v>
      </c>
      <c r="U68" s="219">
        <f>tblPiNAnalysis[[#This Row],[Nutrition]]</f>
        <v>3325.3650088040599</v>
      </c>
      <c r="V68" s="219">
        <f>tblPiNAnalysis[[#This Row],[Food Security]]</f>
        <v>4228.2661319429981</v>
      </c>
      <c r="W68" s="219">
        <f>tblPiNAnalysis[[#This Row],[Health]]</f>
        <v>4251.9555195741968</v>
      </c>
      <c r="X68" s="219">
        <f>tblPiNAnalysis[[#This Row],[Overarching Protection]]</f>
        <v>5221</v>
      </c>
      <c r="Y68" s="219">
        <f>tblPiNAnalysis[[#This Row],[Shelter]]</f>
        <v>4971.7194451360283</v>
      </c>
      <c r="Z68" s="230">
        <f>tblPiNAnalysis[[#This Row],[WASH]]</f>
        <v>5731.2876936984776</v>
      </c>
      <c r="AA68" s="339" t="str">
        <f>IF(OR(tblPiNHistorical[[#This Row],[CCCM - old]]="", tblPiNHistorical[[#This Row],[CCCM - old]]=0, tblPiNHistorical[[#This Row],[CCCM - new]]="", tblPiNHistorical[[#This Row],[CCCM - new]]=0), "", tblPiNHistorical[[#This Row],[CCCM - new]]-tblPiNHistorical[[#This Row],[CCCM - old]])</f>
        <v/>
      </c>
      <c r="AB68" s="340">
        <f>IF(OR(tblPiNHistorical[[#This Row],[Education - old]]="", tblPiNHistorical[[#This Row],[Education - old]]=0, tblPiNHistorical[[#This Row],[Education - new]]="", tblPiNHistorical[[#This Row],[Education - new]]=0), "", tblPiNHistorical[[#This Row],[Education - new]]-tblPiNHistorical[[#This Row],[Education - old]])</f>
        <v>47.292552379872859</v>
      </c>
      <c r="AC68" s="340">
        <f>IF(OR(tblPiNHistorical[[#This Row],[Nutrition - old]]="", tblPiNHistorical[[#This Row],[Nutrition - old]]=0, tblPiNHistorical[[#This Row],[Nutrition - new]]="", tblPiNHistorical[[#This Row],[Nutrition - new]]=0), "", tblPiNHistorical[[#This Row],[Nutrition - new]]-tblPiNHistorical[[#This Row],[Nutrition - old]])</f>
        <v>1589.7372514660265</v>
      </c>
      <c r="AD68" s="340">
        <f>IF(OR(tblPiNHistorical[[#This Row],[Food Security - old]]="", tblPiNHistorical[[#This Row],[Food Security - old]]=0, tblPiNHistorical[[#This Row],[Food Security - new]]="", tblPiNHistorical[[#This Row],[Food Security - new]]=0), "", tblPiNHistorical[[#This Row],[Food Security - new]]-tblPiNHistorical[[#This Row],[Food Security - old]])</f>
        <v>854.26613194299807</v>
      </c>
      <c r="AE68" s="340">
        <f>IF(OR(tblPiNHistorical[[#This Row],[Health - old]]="", tblPiNHistorical[[#This Row],[Health - old]]=0, tblPiNHistorical[[#This Row],[Health - new]]="", tblPiNHistorical[[#This Row],[Health - new]]=0), "", tblPiNHistorical[[#This Row],[Health - new]]-tblPiNHistorical[[#This Row],[Health - old]])</f>
        <v>2258.9792408875778</v>
      </c>
      <c r="AF6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1229.8005307243789</v>
      </c>
      <c r="AG68" s="340">
        <f>IF(OR(tblPiNHistorical[[#This Row],[Shelter - old]]="", tblPiNHistorical[[#This Row],[Shelter - old]]=0, tblPiNHistorical[[#This Row],[Shelter - new]]="", tblPiNHistorical[[#This Row],[Shelter - new]]=0), "", tblPiNHistorical[[#This Row],[Shelter - new]]-tblPiNHistorical[[#This Row],[Shelter - old]])</f>
        <v>2231.1040605206435</v>
      </c>
      <c r="AH68" s="341">
        <f>IF(OR(tblPiNHistorical[[#This Row],[WASH - old]]="", tblPiNHistorical[[#This Row],[WASH - old]]=0, tblPiNHistorical[[#This Row],[WASH - new]]="", tblPiNHistorical[[#This Row],[WASH - new]]=0), "", tblPiNHistorical[[#This Row],[WASH - new]]-tblPiNHistorical[[#This Row],[WASH - old]])</f>
        <v>4631.658064068848</v>
      </c>
      <c r="AI68" s="342">
        <f>IFERROR(ROUND((tblPiNHistorical[[#This Row],[CCCM - new]] - tblPiNHistorical[[#This Row],[CCCM - old]])/tblPiNHistorical[[#This Row],[CCCM - old]], 1), "")</f>
        <v>-1</v>
      </c>
      <c r="AJ68" s="343">
        <f>IFERROR(ROUND((tblPiNHistorical[[#This Row],[Education - new]]-tblPiNHistorical[[#This Row],[Education - old]])/tblPiNHistorical[[#This Row],[Education - old]], 1), "")</f>
        <v>0</v>
      </c>
      <c r="AK68" s="343">
        <f>IFERROR(ROUND((tblPiNHistorical[[#This Row],[Nutrition - new]]-tblPiNHistorical[[#This Row],[Nutrition - old]])/tblPiNHistorical[[#This Row],[Nutrition - old]], 1), "")</f>
        <v>0.9</v>
      </c>
      <c r="AL68" s="343">
        <f>IFERROR(ROUND((tblPiNHistorical[[#This Row],[Food Security - new]]-tblPiNHistorical[[#This Row],[Food Security - old]])/tblPiNHistorical[[#This Row],[Food Security - old]], 1), "")</f>
        <v>0.3</v>
      </c>
      <c r="AM68" s="343">
        <f>IFERROR(ROUND((tblPiNHistorical[[#This Row],[Health - new]]-tblPiNHistorical[[#This Row],[Health - old]])/tblPiNHistorical[[#This Row],[Health - old]], 1), "")</f>
        <v>1.1000000000000001</v>
      </c>
      <c r="AN68" s="343">
        <f>IFERROR(ROUND((tblPiNHistorical[[#This Row],[Overarching Protection - new]]-tblPiNHistorical[[#This Row],[Overarching Protection - old]])/tblPiNHistorical[[#This Row],[Overarching Protection - old]], 1), "")</f>
        <v>0.3</v>
      </c>
      <c r="AO68" s="343">
        <f>IFERROR(ROUND((tblPiNHistorical[[#This Row],[Shelter - new]]-tblPiNHistorical[[#This Row],[Shelter - old]])/tblPiNHistorical[[#This Row],[Shelter - old]], 1), "")</f>
        <v>0.8</v>
      </c>
      <c r="AP68" s="38">
        <f>IFERROR(ROUND((tblPiNHistorical[[#This Row],[WASH - new]]-tblPiNHistorical[[#This Row],[WASH - old]])/tblPiNHistorical[[#This Row],[WASH - old]], 1), "")</f>
        <v>4.2</v>
      </c>
      <c r="AQ68" s="406">
        <v>3991.1994692756211</v>
      </c>
      <c r="AR68" s="406">
        <v>5731.2876936984776</v>
      </c>
    </row>
    <row r="69" spans="1:44" ht="15" customHeight="1" x14ac:dyDescent="0.55000000000000004">
      <c r="A6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69" s="316" t="s">
        <v>368</v>
      </c>
      <c r="C69" s="218" t="s">
        <v>369</v>
      </c>
      <c r="D69" s="218" t="s">
        <v>380</v>
      </c>
      <c r="E69" s="105" t="s">
        <v>381</v>
      </c>
      <c r="F69" s="100"/>
      <c r="G69" s="34"/>
      <c r="H69" s="335"/>
      <c r="I69" s="97"/>
      <c r="J69" s="97" t="s">
        <v>412</v>
      </c>
      <c r="K69" s="336">
        <v>52737</v>
      </c>
      <c r="L69" s="337">
        <v>8893</v>
      </c>
      <c r="M69" s="319">
        <v>27065.175661714355</v>
      </c>
      <c r="N69" s="319">
        <v>41241</v>
      </c>
      <c r="O69" s="319">
        <v>24709.740126632223</v>
      </c>
      <c r="P69" s="319">
        <v>36210.789699802299</v>
      </c>
      <c r="Q69" s="320">
        <v>18735.513157894737</v>
      </c>
      <c r="R69" s="319">
        <v>9766.1111111111113</v>
      </c>
      <c r="S69" s="235">
        <f>tblPiNAnalysis[[#This Row],[CCCM]]</f>
        <v>84325</v>
      </c>
      <c r="T69" s="236">
        <f>tblPiNAnalysis[[#This Row],[Education]]</f>
        <v>18528.283976612929</v>
      </c>
      <c r="U69" s="219">
        <f>tblPiNAnalysis[[#This Row],[Nutrition]]</f>
        <v>62421.428794820094</v>
      </c>
      <c r="V69" s="219">
        <f>tblPiNAnalysis[[#This Row],[Food Security]]</f>
        <v>88035.172558781574</v>
      </c>
      <c r="W69" s="219">
        <f>tblPiNAnalysis[[#This Row],[Health]]</f>
        <v>91148.735693234499</v>
      </c>
      <c r="X69" s="219">
        <f>tblPiNAnalysis[[#This Row],[Overarching Protection]]</f>
        <v>116376</v>
      </c>
      <c r="Y69" s="219">
        <f>tblPiNAnalysis[[#This Row],[Shelter]]</f>
        <v>85279.623577851424</v>
      </c>
      <c r="Z69" s="230">
        <f>tblPiNAnalysis[[#This Row],[WASH]]</f>
        <v>68454.512658289575</v>
      </c>
      <c r="AA69" s="339">
        <f>IF(OR(tblPiNHistorical[[#This Row],[CCCM - old]]="", tblPiNHistorical[[#This Row],[CCCM - old]]=0, tblPiNHistorical[[#This Row],[CCCM - new]]="", tblPiNHistorical[[#This Row],[CCCM - new]]=0), "", tblPiNHistorical[[#This Row],[CCCM - new]]-tblPiNHistorical[[#This Row],[CCCM - old]])</f>
        <v>31588</v>
      </c>
      <c r="AB69" s="340">
        <f>IF(OR(tblPiNHistorical[[#This Row],[Education - old]]="", tblPiNHistorical[[#This Row],[Education - old]]=0, tblPiNHistorical[[#This Row],[Education - new]]="", tblPiNHistorical[[#This Row],[Education - new]]=0), "", tblPiNHistorical[[#This Row],[Education - new]]-tblPiNHistorical[[#This Row],[Education - old]])</f>
        <v>9635.2839766129291</v>
      </c>
      <c r="AC69" s="340">
        <f>IF(OR(tblPiNHistorical[[#This Row],[Nutrition - old]]="", tblPiNHistorical[[#This Row],[Nutrition - old]]=0, tblPiNHistorical[[#This Row],[Nutrition - new]]="", tblPiNHistorical[[#This Row],[Nutrition - new]]=0), "", tblPiNHistorical[[#This Row],[Nutrition - new]]-tblPiNHistorical[[#This Row],[Nutrition - old]])</f>
        <v>35356.25313310574</v>
      </c>
      <c r="AD69" s="340">
        <f>IF(OR(tblPiNHistorical[[#This Row],[Food Security - old]]="", tblPiNHistorical[[#This Row],[Food Security - old]]=0, tblPiNHistorical[[#This Row],[Food Security - new]]="", tblPiNHistorical[[#This Row],[Food Security - new]]=0), "", tblPiNHistorical[[#This Row],[Food Security - new]]-tblPiNHistorical[[#This Row],[Food Security - old]])</f>
        <v>46794.172558781574</v>
      </c>
      <c r="AE69" s="340">
        <f>IF(OR(tblPiNHistorical[[#This Row],[Health - old]]="", tblPiNHistorical[[#This Row],[Health - old]]=0, tblPiNHistorical[[#This Row],[Health - new]]="", tblPiNHistorical[[#This Row],[Health - new]]=0), "", tblPiNHistorical[[#This Row],[Health - new]]-tblPiNHistorical[[#This Row],[Health - old]])</f>
        <v>66438.995566602272</v>
      </c>
      <c r="AF6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80165.210300197708</v>
      </c>
      <c r="AG69" s="340">
        <f>IF(OR(tblPiNHistorical[[#This Row],[Shelter - old]]="", tblPiNHistorical[[#This Row],[Shelter - old]]=0, tblPiNHistorical[[#This Row],[Shelter - new]]="", tblPiNHistorical[[#This Row],[Shelter - new]]=0), "", tblPiNHistorical[[#This Row],[Shelter - new]]-tblPiNHistorical[[#This Row],[Shelter - old]])</f>
        <v>66544.110419956691</v>
      </c>
      <c r="AH69" s="341">
        <f>IF(OR(tblPiNHistorical[[#This Row],[WASH - old]]="", tblPiNHistorical[[#This Row],[WASH - old]]=0, tblPiNHistorical[[#This Row],[WASH - new]]="", tblPiNHistorical[[#This Row],[WASH - new]]=0), "", tblPiNHistorical[[#This Row],[WASH - new]]-tblPiNHistorical[[#This Row],[WASH - old]])</f>
        <v>58688.401547178466</v>
      </c>
      <c r="AI69" s="342">
        <f>IFERROR(ROUND((tblPiNHistorical[[#This Row],[CCCM - new]] - tblPiNHistorical[[#This Row],[CCCM - old]])/tblPiNHistorical[[#This Row],[CCCM - old]], 1), "")</f>
        <v>0.6</v>
      </c>
      <c r="AJ69" s="343">
        <f>IFERROR(ROUND((tblPiNHistorical[[#This Row],[Education - new]]-tblPiNHistorical[[#This Row],[Education - old]])/tblPiNHistorical[[#This Row],[Education - old]], 1), "")</f>
        <v>1.1000000000000001</v>
      </c>
      <c r="AK69" s="343">
        <f>IFERROR(ROUND((tblPiNHistorical[[#This Row],[Nutrition - new]]-tblPiNHistorical[[#This Row],[Nutrition - old]])/tblPiNHistorical[[#This Row],[Nutrition - old]], 1), "")</f>
        <v>1.3</v>
      </c>
      <c r="AL69" s="343">
        <f>IFERROR(ROUND((tblPiNHistorical[[#This Row],[Food Security - new]]-tblPiNHistorical[[#This Row],[Food Security - old]])/tblPiNHistorical[[#This Row],[Food Security - old]], 1), "")</f>
        <v>1.1000000000000001</v>
      </c>
      <c r="AM69" s="343">
        <f>IFERROR(ROUND((tblPiNHistorical[[#This Row],[Health - new]]-tblPiNHistorical[[#This Row],[Health - old]])/tblPiNHistorical[[#This Row],[Health - old]], 1), "")</f>
        <v>2.7</v>
      </c>
      <c r="AN69" s="343">
        <f>IFERROR(ROUND((tblPiNHistorical[[#This Row],[Overarching Protection - new]]-tblPiNHistorical[[#This Row],[Overarching Protection - old]])/tblPiNHistorical[[#This Row],[Overarching Protection - old]], 1), "")</f>
        <v>2.2000000000000002</v>
      </c>
      <c r="AO69" s="343">
        <f>IFERROR(ROUND((tblPiNHistorical[[#This Row],[Shelter - new]]-tblPiNHistorical[[#This Row],[Shelter - old]])/tblPiNHistorical[[#This Row],[Shelter - old]], 1), "")</f>
        <v>3.6</v>
      </c>
      <c r="AP69" s="38">
        <f>IFERROR(ROUND((tblPiNHistorical[[#This Row],[WASH - new]]-tblPiNHistorical[[#This Row],[WASH - old]])/tblPiNHistorical[[#This Row],[WASH - old]], 1), "")</f>
        <v>6</v>
      </c>
      <c r="AQ69" s="406">
        <v>52737</v>
      </c>
      <c r="AR69" s="406">
        <v>116376</v>
      </c>
    </row>
    <row r="70" spans="1:44" ht="15" customHeight="1" x14ac:dyDescent="0.55000000000000004">
      <c r="A7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0" s="316" t="s">
        <v>382</v>
      </c>
      <c r="C70" s="218" t="s">
        <v>383</v>
      </c>
      <c r="D70" s="218" t="s">
        <v>384</v>
      </c>
      <c r="E70" s="105" t="s">
        <v>385</v>
      </c>
      <c r="F70" s="100"/>
      <c r="G70" s="34"/>
      <c r="H70" s="335"/>
      <c r="I70" s="97"/>
      <c r="J70" s="97" t="s">
        <v>412</v>
      </c>
      <c r="K70" s="336">
        <v>15448</v>
      </c>
      <c r="L70" s="337">
        <v>2474</v>
      </c>
      <c r="M70" s="319">
        <v>4783.7011101705139</v>
      </c>
      <c r="N70" s="319">
        <v>4957</v>
      </c>
      <c r="O70" s="319">
        <v>5713.0434803779017</v>
      </c>
      <c r="P70" s="319">
        <v>11985.848122163587</v>
      </c>
      <c r="Q70" s="320">
        <v>4894.4158415841594</v>
      </c>
      <c r="R70" s="319">
        <v>2717.7037037037035</v>
      </c>
      <c r="S70" s="235">
        <f>tblPiNAnalysis[[#This Row],[CCCM]]</f>
        <v>29770</v>
      </c>
      <c r="T70" s="236">
        <f>tblPiNAnalysis[[#This Row],[Education]]</f>
        <v>9690.8068186849396</v>
      </c>
      <c r="U70" s="219">
        <f>tblPiNAnalysis[[#This Row],[Nutrition]]</f>
        <v>14544.814203475513</v>
      </c>
      <c r="V70" s="219">
        <f>tblPiNAnalysis[[#This Row],[Food Security]]</f>
        <v>14505.466379567835</v>
      </c>
      <c r="W70" s="219">
        <f>tblPiNAnalysis[[#This Row],[Health]]</f>
        <v>24636.291496195918</v>
      </c>
      <c r="X70" s="219">
        <f>tblPiNAnalysis[[#This Row],[Overarching Protection]]</f>
        <v>33053</v>
      </c>
      <c r="Y70" s="219">
        <f>tblPiNAnalysis[[#This Row],[Shelter]]</f>
        <v>22751.198911488282</v>
      </c>
      <c r="Z70" s="230">
        <f>tblPiNAnalysis[[#This Row],[WASH]]</f>
        <v>33793.25455603005</v>
      </c>
      <c r="AA70" s="339">
        <f>IF(OR(tblPiNHistorical[[#This Row],[CCCM - old]]="", tblPiNHistorical[[#This Row],[CCCM - old]]=0, tblPiNHistorical[[#This Row],[CCCM - new]]="", tblPiNHistorical[[#This Row],[CCCM - new]]=0), "", tblPiNHistorical[[#This Row],[CCCM - new]]-tblPiNHistorical[[#This Row],[CCCM - old]])</f>
        <v>14322</v>
      </c>
      <c r="AB70" s="340">
        <f>IF(OR(tblPiNHistorical[[#This Row],[Education - old]]="", tblPiNHistorical[[#This Row],[Education - old]]=0, tblPiNHistorical[[#This Row],[Education - new]]="", tblPiNHistorical[[#This Row],[Education - new]]=0), "", tblPiNHistorical[[#This Row],[Education - new]]-tblPiNHistorical[[#This Row],[Education - old]])</f>
        <v>7216.8068186849396</v>
      </c>
      <c r="AC70" s="340">
        <f>IF(OR(tblPiNHistorical[[#This Row],[Nutrition - old]]="", tblPiNHistorical[[#This Row],[Nutrition - old]]=0, tblPiNHistorical[[#This Row],[Nutrition - new]]="", tblPiNHistorical[[#This Row],[Nutrition - new]]=0), "", tblPiNHistorical[[#This Row],[Nutrition - new]]-tblPiNHistorical[[#This Row],[Nutrition - old]])</f>
        <v>9761.113093304999</v>
      </c>
      <c r="AD70" s="340">
        <f>IF(OR(tblPiNHistorical[[#This Row],[Food Security - old]]="", tblPiNHistorical[[#This Row],[Food Security - old]]=0, tblPiNHistorical[[#This Row],[Food Security - new]]="", tblPiNHistorical[[#This Row],[Food Security - new]]=0), "", tblPiNHistorical[[#This Row],[Food Security - new]]-tblPiNHistorical[[#This Row],[Food Security - old]])</f>
        <v>9548.4663795678352</v>
      </c>
      <c r="AE70" s="340">
        <f>IF(OR(tblPiNHistorical[[#This Row],[Health - old]]="", tblPiNHistorical[[#This Row],[Health - old]]=0, tblPiNHistorical[[#This Row],[Health - new]]="", tblPiNHistorical[[#This Row],[Health - new]]=0), "", tblPiNHistorical[[#This Row],[Health - new]]-tblPiNHistorical[[#This Row],[Health - old]])</f>
        <v>18923.248015818015</v>
      </c>
      <c r="AF7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21067.151877836412</v>
      </c>
      <c r="AG70" s="340">
        <f>IF(OR(tblPiNHistorical[[#This Row],[Shelter - old]]="", tblPiNHistorical[[#This Row],[Shelter - old]]=0, tblPiNHistorical[[#This Row],[Shelter - new]]="", tblPiNHistorical[[#This Row],[Shelter - new]]=0), "", tblPiNHistorical[[#This Row],[Shelter - new]]-tblPiNHistorical[[#This Row],[Shelter - old]])</f>
        <v>17856.783069904122</v>
      </c>
      <c r="AH70" s="341">
        <f>IF(OR(tblPiNHistorical[[#This Row],[WASH - old]]="", tblPiNHistorical[[#This Row],[WASH - old]]=0, tblPiNHistorical[[#This Row],[WASH - new]]="", tblPiNHistorical[[#This Row],[WASH - new]]=0), "", tblPiNHistorical[[#This Row],[WASH - new]]-tblPiNHistorical[[#This Row],[WASH - old]])</f>
        <v>31075.550852326345</v>
      </c>
      <c r="AI70" s="342">
        <f>IFERROR(ROUND((tblPiNHistorical[[#This Row],[CCCM - new]] - tblPiNHistorical[[#This Row],[CCCM - old]])/tblPiNHistorical[[#This Row],[CCCM - old]], 1), "")</f>
        <v>0.9</v>
      </c>
      <c r="AJ70" s="343">
        <f>IFERROR(ROUND((tblPiNHistorical[[#This Row],[Education - new]]-tblPiNHistorical[[#This Row],[Education - old]])/tblPiNHistorical[[#This Row],[Education - old]], 1), "")</f>
        <v>2.9</v>
      </c>
      <c r="AK70" s="343">
        <f>IFERROR(ROUND((tblPiNHistorical[[#This Row],[Nutrition - new]]-tblPiNHistorical[[#This Row],[Nutrition - old]])/tblPiNHistorical[[#This Row],[Nutrition - old]], 1), "")</f>
        <v>2</v>
      </c>
      <c r="AL70" s="343">
        <f>IFERROR(ROUND((tblPiNHistorical[[#This Row],[Food Security - new]]-tblPiNHistorical[[#This Row],[Food Security - old]])/tblPiNHistorical[[#This Row],[Food Security - old]], 1), "")</f>
        <v>1.9</v>
      </c>
      <c r="AM70" s="343">
        <f>IFERROR(ROUND((tblPiNHistorical[[#This Row],[Health - new]]-tblPiNHistorical[[#This Row],[Health - old]])/tblPiNHistorical[[#This Row],[Health - old]], 1), "")</f>
        <v>3.3</v>
      </c>
      <c r="AN70" s="343">
        <f>IFERROR(ROUND((tblPiNHistorical[[#This Row],[Overarching Protection - new]]-tblPiNHistorical[[#This Row],[Overarching Protection - old]])/tblPiNHistorical[[#This Row],[Overarching Protection - old]], 1), "")</f>
        <v>1.8</v>
      </c>
      <c r="AO70" s="343">
        <f>IFERROR(ROUND((tblPiNHistorical[[#This Row],[Shelter - new]]-tblPiNHistorical[[#This Row],[Shelter - old]])/tblPiNHistorical[[#This Row],[Shelter - old]], 1), "")</f>
        <v>3.6</v>
      </c>
      <c r="AP70" s="38">
        <f>IFERROR(ROUND((tblPiNHistorical[[#This Row],[WASH - new]]-tblPiNHistorical[[#This Row],[WASH - old]])/tblPiNHistorical[[#This Row],[WASH - old]], 1), "")</f>
        <v>11.4</v>
      </c>
      <c r="AQ70" s="406">
        <v>15448</v>
      </c>
      <c r="AR70" s="406">
        <v>33793.25455603005</v>
      </c>
    </row>
    <row r="71" spans="1:44" ht="15" customHeight="1" x14ac:dyDescent="0.55000000000000004">
      <c r="A7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1" s="316" t="s">
        <v>382</v>
      </c>
      <c r="C71" s="218" t="s">
        <v>383</v>
      </c>
      <c r="D71" s="218" t="s">
        <v>386</v>
      </c>
      <c r="E71" s="105" t="s">
        <v>387</v>
      </c>
      <c r="F71" s="100"/>
      <c r="G71" s="34"/>
      <c r="H71" s="335"/>
      <c r="I71" s="97"/>
      <c r="J71" s="97" t="s">
        <v>412</v>
      </c>
      <c r="K71" s="336">
        <v>1792.75</v>
      </c>
      <c r="L71" s="337">
        <v>505.7</v>
      </c>
      <c r="M71" s="319">
        <v>364.00792777135467</v>
      </c>
      <c r="N71" s="319">
        <v>1371</v>
      </c>
      <c r="O71" s="319">
        <v>690.16430197495072</v>
      </c>
      <c r="P71" s="319">
        <v>1302.5806401465102</v>
      </c>
      <c r="Q71" s="320">
        <v>149.61538461538461</v>
      </c>
      <c r="R71" s="319">
        <v>400.44117647058823</v>
      </c>
      <c r="S71" s="235">
        <f>tblPiNAnalysis[[#This Row],[CCCM]]</f>
        <v>5708.75</v>
      </c>
      <c r="T71" s="236">
        <f>tblPiNAnalysis[[#This Row],[Education]]</f>
        <v>2002.2181943831749</v>
      </c>
      <c r="U71" s="219">
        <f>tblPiNAnalysis[[#This Row],[Nutrition]]</f>
        <v>2396.4767092317202</v>
      </c>
      <c r="V71" s="219">
        <f>tblPiNAnalysis[[#This Row],[Food Security]]</f>
        <v>3957.0969391456388</v>
      </c>
      <c r="W71" s="219">
        <f>tblPiNAnalysis[[#This Row],[Health]]</f>
        <v>3945.0872702433403</v>
      </c>
      <c r="X71" s="219">
        <f>tblPiNAnalysis[[#This Row],[Overarching Protection]]</f>
        <v>5112</v>
      </c>
      <c r="Y71" s="219">
        <f>tblPiNAnalysis[[#This Row],[Shelter]]</f>
        <v>6684.9605914462118</v>
      </c>
      <c r="Z71" s="230">
        <f>tblPiNAnalysis[[#This Row],[WASH]]</f>
        <v>1972.1914388557791</v>
      </c>
      <c r="AA71" s="339">
        <f>IF(OR(tblPiNHistorical[[#This Row],[CCCM - old]]="", tblPiNHistorical[[#This Row],[CCCM - old]]=0, tblPiNHistorical[[#This Row],[CCCM - new]]="", tblPiNHistorical[[#This Row],[CCCM - new]]=0), "", tblPiNHistorical[[#This Row],[CCCM - new]]-tblPiNHistorical[[#This Row],[CCCM - old]])</f>
        <v>3916</v>
      </c>
      <c r="AB71" s="340">
        <f>IF(OR(tblPiNHistorical[[#This Row],[Education - old]]="", tblPiNHistorical[[#This Row],[Education - old]]=0, tblPiNHistorical[[#This Row],[Education - new]]="", tblPiNHistorical[[#This Row],[Education - new]]=0), "", tblPiNHistorical[[#This Row],[Education - new]]-tblPiNHistorical[[#This Row],[Education - old]])</f>
        <v>1496.5181943831749</v>
      </c>
      <c r="AC71" s="340">
        <f>IF(OR(tblPiNHistorical[[#This Row],[Nutrition - old]]="", tblPiNHistorical[[#This Row],[Nutrition - old]]=0, tblPiNHistorical[[#This Row],[Nutrition - new]]="", tblPiNHistorical[[#This Row],[Nutrition - new]]=0), "", tblPiNHistorical[[#This Row],[Nutrition - new]]-tblPiNHistorical[[#This Row],[Nutrition - old]])</f>
        <v>2032.4687814603656</v>
      </c>
      <c r="AD71" s="340">
        <f>IF(OR(tblPiNHistorical[[#This Row],[Food Security - old]]="", tblPiNHistorical[[#This Row],[Food Security - old]]=0, tblPiNHistorical[[#This Row],[Food Security - new]]="", tblPiNHistorical[[#This Row],[Food Security - new]]=0), "", tblPiNHistorical[[#This Row],[Food Security - new]]-tblPiNHistorical[[#This Row],[Food Security - old]])</f>
        <v>2586.0969391456388</v>
      </c>
      <c r="AE71" s="340">
        <f>IF(OR(tblPiNHistorical[[#This Row],[Health - old]]="", tblPiNHistorical[[#This Row],[Health - old]]=0, tblPiNHistorical[[#This Row],[Health - new]]="", tblPiNHistorical[[#This Row],[Health - new]]=0), "", tblPiNHistorical[[#This Row],[Health - new]]-tblPiNHistorical[[#This Row],[Health - old]])</f>
        <v>3254.9229682683895</v>
      </c>
      <c r="AF7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3809.4193598534898</v>
      </c>
      <c r="AG71" s="340">
        <f>IF(OR(tblPiNHistorical[[#This Row],[Shelter - old]]="", tblPiNHistorical[[#This Row],[Shelter - old]]=0, tblPiNHistorical[[#This Row],[Shelter - new]]="", tblPiNHistorical[[#This Row],[Shelter - new]]=0), "", tblPiNHistorical[[#This Row],[Shelter - new]]-tblPiNHistorical[[#This Row],[Shelter - old]])</f>
        <v>6535.345206830827</v>
      </c>
      <c r="AH71" s="341">
        <f>IF(OR(tblPiNHistorical[[#This Row],[WASH - old]]="", tblPiNHistorical[[#This Row],[WASH - old]]=0, tblPiNHistorical[[#This Row],[WASH - new]]="", tblPiNHistorical[[#This Row],[WASH - new]]=0), "", tblPiNHistorical[[#This Row],[WASH - new]]-tblPiNHistorical[[#This Row],[WASH - old]])</f>
        <v>1571.7502623851908</v>
      </c>
      <c r="AI71" s="342">
        <f>IFERROR(ROUND((tblPiNHistorical[[#This Row],[CCCM - new]] - tblPiNHistorical[[#This Row],[CCCM - old]])/tblPiNHistorical[[#This Row],[CCCM - old]], 1), "")</f>
        <v>2.2000000000000002</v>
      </c>
      <c r="AJ71" s="343">
        <f>IFERROR(ROUND((tblPiNHistorical[[#This Row],[Education - new]]-tblPiNHistorical[[#This Row],[Education - old]])/tblPiNHistorical[[#This Row],[Education - old]], 1), "")</f>
        <v>3</v>
      </c>
      <c r="AK71" s="343">
        <f>IFERROR(ROUND((tblPiNHistorical[[#This Row],[Nutrition - new]]-tblPiNHistorical[[#This Row],[Nutrition - old]])/tblPiNHistorical[[#This Row],[Nutrition - old]], 1), "")</f>
        <v>5.6</v>
      </c>
      <c r="AL71" s="343">
        <f>IFERROR(ROUND((tblPiNHistorical[[#This Row],[Food Security - new]]-tblPiNHistorical[[#This Row],[Food Security - old]])/tblPiNHistorical[[#This Row],[Food Security - old]], 1), "")</f>
        <v>1.9</v>
      </c>
      <c r="AM71" s="343">
        <f>IFERROR(ROUND((tblPiNHistorical[[#This Row],[Health - new]]-tblPiNHistorical[[#This Row],[Health - old]])/tblPiNHistorical[[#This Row],[Health - old]], 1), "")</f>
        <v>4.7</v>
      </c>
      <c r="AN71" s="343">
        <f>IFERROR(ROUND((tblPiNHistorical[[#This Row],[Overarching Protection - new]]-tblPiNHistorical[[#This Row],[Overarching Protection - old]])/tblPiNHistorical[[#This Row],[Overarching Protection - old]], 1), "")</f>
        <v>2.9</v>
      </c>
      <c r="AO71" s="343">
        <f>IFERROR(ROUND((tblPiNHistorical[[#This Row],[Shelter - new]]-tblPiNHistorical[[#This Row],[Shelter - old]])/tblPiNHistorical[[#This Row],[Shelter - old]], 1), "")</f>
        <v>43.7</v>
      </c>
      <c r="AP71" s="38">
        <f>IFERROR(ROUND((tblPiNHistorical[[#This Row],[WASH - new]]-tblPiNHistorical[[#This Row],[WASH - old]])/tblPiNHistorical[[#This Row],[WASH - old]], 1), "")</f>
        <v>3.9</v>
      </c>
      <c r="AQ71" s="406">
        <v>1792.75</v>
      </c>
      <c r="AR71" s="406">
        <v>6684.9605914462118</v>
      </c>
    </row>
    <row r="72" spans="1:44" ht="15" customHeight="1" x14ac:dyDescent="0.55000000000000004">
      <c r="A7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2" s="316" t="s">
        <v>382</v>
      </c>
      <c r="C72" s="218" t="s">
        <v>383</v>
      </c>
      <c r="D72" s="218" t="s">
        <v>388</v>
      </c>
      <c r="E72" s="105" t="s">
        <v>389</v>
      </c>
      <c r="F72" s="100"/>
      <c r="G72" s="34"/>
      <c r="H72" s="335"/>
      <c r="I72" s="97"/>
      <c r="J72" s="97" t="s">
        <v>412</v>
      </c>
      <c r="K72" s="336">
        <v>11206.75</v>
      </c>
      <c r="L72" s="337">
        <v>1949</v>
      </c>
      <c r="M72" s="319">
        <v>3653.9840628344718</v>
      </c>
      <c r="N72" s="319">
        <v>9374</v>
      </c>
      <c r="O72" s="319">
        <v>3029.8522662683981</v>
      </c>
      <c r="P72" s="319">
        <v>10785.502264407647</v>
      </c>
      <c r="Q72" s="320">
        <v>2328.4601063829787</v>
      </c>
      <c r="R72" s="319">
        <v>3709.7500000000005</v>
      </c>
      <c r="S72" s="235">
        <f>tblPiNAnalysis[[#This Row],[CCCM]]</f>
        <v>12495</v>
      </c>
      <c r="T72" s="236">
        <f>tblPiNAnalysis[[#This Row],[Education]]</f>
        <v>2435.5974311469831</v>
      </c>
      <c r="U72" s="219">
        <f>tblPiNAnalysis[[#This Row],[Nutrition]]</f>
        <v>5600.7481603773604</v>
      </c>
      <c r="V72" s="219">
        <f>tblPiNAnalysis[[#This Row],[Food Security]]</f>
        <v>8857.7260476905867</v>
      </c>
      <c r="W72" s="219">
        <f>tblPiNAnalysis[[#This Row],[Health]]</f>
        <v>8138.121867898999</v>
      </c>
      <c r="X72" s="219">
        <f>tblPiNAnalysis[[#This Row],[Overarching Protection]]</f>
        <v>12461</v>
      </c>
      <c r="Y72" s="219">
        <f>tblPiNAnalysis[[#This Row],[Shelter]]</f>
        <v>11809.741744864135</v>
      </c>
      <c r="Z72" s="230">
        <f>tblPiNAnalysis[[#This Row],[WASH]]</f>
        <v>7776.1729460144043</v>
      </c>
      <c r="AA72" s="339">
        <f>IF(OR(tblPiNHistorical[[#This Row],[CCCM - old]]="", tblPiNHistorical[[#This Row],[CCCM - old]]=0, tblPiNHistorical[[#This Row],[CCCM - new]]="", tblPiNHistorical[[#This Row],[CCCM - new]]=0), "", tblPiNHistorical[[#This Row],[CCCM - new]]-tblPiNHistorical[[#This Row],[CCCM - old]])</f>
        <v>1288.25</v>
      </c>
      <c r="AB72" s="340">
        <f>IF(OR(tblPiNHistorical[[#This Row],[Education - old]]="", tblPiNHistorical[[#This Row],[Education - old]]=0, tblPiNHistorical[[#This Row],[Education - new]]="", tblPiNHistorical[[#This Row],[Education - new]]=0), "", tblPiNHistorical[[#This Row],[Education - new]]-tblPiNHistorical[[#This Row],[Education - old]])</f>
        <v>486.59743114698313</v>
      </c>
      <c r="AC72" s="340">
        <f>IF(OR(tblPiNHistorical[[#This Row],[Nutrition - old]]="", tblPiNHistorical[[#This Row],[Nutrition - old]]=0, tblPiNHistorical[[#This Row],[Nutrition - new]]="", tblPiNHistorical[[#This Row],[Nutrition - new]]=0), "", tblPiNHistorical[[#This Row],[Nutrition - new]]-tblPiNHistorical[[#This Row],[Nutrition - old]])</f>
        <v>1946.7640975428885</v>
      </c>
      <c r="AD72" s="340">
        <f>IF(OR(tblPiNHistorical[[#This Row],[Food Security - old]]="", tblPiNHistorical[[#This Row],[Food Security - old]]=0, tblPiNHistorical[[#This Row],[Food Security - new]]="", tblPiNHistorical[[#This Row],[Food Security - new]]=0), "", tblPiNHistorical[[#This Row],[Food Security - new]]-tblPiNHistorical[[#This Row],[Food Security - old]])</f>
        <v>-516.27395230941329</v>
      </c>
      <c r="AE72" s="340">
        <f>IF(OR(tblPiNHistorical[[#This Row],[Health - old]]="", tblPiNHistorical[[#This Row],[Health - old]]=0, tblPiNHistorical[[#This Row],[Health - new]]="", tblPiNHistorical[[#This Row],[Health - new]]=0), "", tblPiNHistorical[[#This Row],[Health - new]]-tblPiNHistorical[[#This Row],[Health - old]])</f>
        <v>5108.2696016306008</v>
      </c>
      <c r="AF7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1675.4977355923529</v>
      </c>
      <c r="AG72" s="340">
        <f>IF(OR(tblPiNHistorical[[#This Row],[Shelter - old]]="", tblPiNHistorical[[#This Row],[Shelter - old]]=0, tblPiNHistorical[[#This Row],[Shelter - new]]="", tblPiNHistorical[[#This Row],[Shelter - new]]=0), "", tblPiNHistorical[[#This Row],[Shelter - new]]-tblPiNHistorical[[#This Row],[Shelter - old]])</f>
        <v>9481.2816384811558</v>
      </c>
      <c r="AH72" s="341">
        <f>IF(OR(tblPiNHistorical[[#This Row],[WASH - old]]="", tblPiNHistorical[[#This Row],[WASH - old]]=0, tblPiNHistorical[[#This Row],[WASH - new]]="", tblPiNHistorical[[#This Row],[WASH - new]]=0), "", tblPiNHistorical[[#This Row],[WASH - new]]-tblPiNHistorical[[#This Row],[WASH - old]])</f>
        <v>4066.4229460144038</v>
      </c>
      <c r="AI72" s="342">
        <f>IFERROR(ROUND((tblPiNHistorical[[#This Row],[CCCM - new]] - tblPiNHistorical[[#This Row],[CCCM - old]])/tblPiNHistorical[[#This Row],[CCCM - old]], 1), "")</f>
        <v>0.1</v>
      </c>
      <c r="AJ72" s="343">
        <f>IFERROR(ROUND((tblPiNHistorical[[#This Row],[Education - new]]-tblPiNHistorical[[#This Row],[Education - old]])/tblPiNHistorical[[#This Row],[Education - old]], 1), "")</f>
        <v>0.2</v>
      </c>
      <c r="AK72" s="343">
        <f>IFERROR(ROUND((tblPiNHistorical[[#This Row],[Nutrition - new]]-tblPiNHistorical[[#This Row],[Nutrition - old]])/tblPiNHistorical[[#This Row],[Nutrition - old]], 1), "")</f>
        <v>0.5</v>
      </c>
      <c r="AL72" s="343">
        <f>IFERROR(ROUND((tblPiNHistorical[[#This Row],[Food Security - new]]-tblPiNHistorical[[#This Row],[Food Security - old]])/tblPiNHistorical[[#This Row],[Food Security - old]], 1), "")</f>
        <v>-0.1</v>
      </c>
      <c r="AM72" s="343">
        <f>IFERROR(ROUND((tblPiNHistorical[[#This Row],[Health - new]]-tblPiNHistorical[[#This Row],[Health - old]])/tblPiNHistorical[[#This Row],[Health - old]], 1), "")</f>
        <v>1.7</v>
      </c>
      <c r="AN72" s="343">
        <f>IFERROR(ROUND((tblPiNHistorical[[#This Row],[Overarching Protection - new]]-tblPiNHistorical[[#This Row],[Overarching Protection - old]])/tblPiNHistorical[[#This Row],[Overarching Protection - old]], 1), "")</f>
        <v>0.2</v>
      </c>
      <c r="AO72" s="343">
        <f>IFERROR(ROUND((tblPiNHistorical[[#This Row],[Shelter - new]]-tblPiNHistorical[[#This Row],[Shelter - old]])/tblPiNHistorical[[#This Row],[Shelter - old]], 1), "")</f>
        <v>4.0999999999999996</v>
      </c>
      <c r="AP72" s="38">
        <f>IFERROR(ROUND((tblPiNHistorical[[#This Row],[WASH - new]]-tblPiNHistorical[[#This Row],[WASH - old]])/tblPiNHistorical[[#This Row],[WASH - old]], 1), "")</f>
        <v>1.1000000000000001</v>
      </c>
      <c r="AQ72" s="406">
        <v>11206.75</v>
      </c>
      <c r="AR72" s="406">
        <v>12495</v>
      </c>
    </row>
    <row r="73" spans="1:44" ht="15" customHeight="1" x14ac:dyDescent="0.55000000000000004">
      <c r="A7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3" s="316" t="s">
        <v>390</v>
      </c>
      <c r="C73" s="218" t="s">
        <v>391</v>
      </c>
      <c r="D73" s="218" t="s">
        <v>392</v>
      </c>
      <c r="E73" s="105" t="s">
        <v>393</v>
      </c>
      <c r="F73" s="100"/>
      <c r="G73" s="34"/>
      <c r="H73" s="335"/>
      <c r="I73" s="97"/>
      <c r="J73" s="97" t="s">
        <v>412</v>
      </c>
      <c r="K73" s="336">
        <v>5443.25</v>
      </c>
      <c r="L73" s="337">
        <v>2905</v>
      </c>
      <c r="M73" s="319">
        <v>5449.3753309339745</v>
      </c>
      <c r="N73" s="319">
        <v>3569</v>
      </c>
      <c r="O73" s="319">
        <v>5730.8111322119148</v>
      </c>
      <c r="P73" s="319">
        <v>10275.61633298714</v>
      </c>
      <c r="Q73" s="320">
        <v>2865.45</v>
      </c>
      <c r="R73" s="319">
        <v>15388.527777777779</v>
      </c>
      <c r="S73" s="235">
        <f>tblPiNAnalysis[[#This Row],[CCCM]]</f>
        <v>28443.75</v>
      </c>
      <c r="T73" s="236">
        <f>tblPiNAnalysis[[#This Row],[Education]]</f>
        <v>9063.5482324180903</v>
      </c>
      <c r="U73" s="219">
        <f>tblPiNAnalysis[[#This Row],[Nutrition]]</f>
        <v>15443.460454234011</v>
      </c>
      <c r="V73" s="219">
        <f>tblPiNAnalysis[[#This Row],[Food Security]]</f>
        <v>7366.4824054815472</v>
      </c>
      <c r="W73" s="219">
        <f>tblPiNAnalysis[[#This Row],[Health]]</f>
        <v>20365.728284970235</v>
      </c>
      <c r="X73" s="219">
        <f>tblPiNAnalysis[[#This Row],[Overarching Protection]]</f>
        <v>27390</v>
      </c>
      <c r="Y73" s="219">
        <f>tblPiNAnalysis[[#This Row],[Shelter]]</f>
        <v>32680.101003340977</v>
      </c>
      <c r="Z73" s="230">
        <f>tblPiNAnalysis[[#This Row],[WASH]]</f>
        <v>30522.477587661459</v>
      </c>
      <c r="AA73" s="339">
        <f>IF(OR(tblPiNHistorical[[#This Row],[CCCM - old]]="", tblPiNHistorical[[#This Row],[CCCM - old]]=0, tblPiNHistorical[[#This Row],[CCCM - new]]="", tblPiNHistorical[[#This Row],[CCCM - new]]=0), "", tblPiNHistorical[[#This Row],[CCCM - new]]-tblPiNHistorical[[#This Row],[CCCM - old]])</f>
        <v>23000.5</v>
      </c>
      <c r="AB73" s="340">
        <f>IF(OR(tblPiNHistorical[[#This Row],[Education - old]]="", tblPiNHistorical[[#This Row],[Education - old]]=0, tblPiNHistorical[[#This Row],[Education - new]]="", tblPiNHistorical[[#This Row],[Education - new]]=0), "", tblPiNHistorical[[#This Row],[Education - new]]-tblPiNHistorical[[#This Row],[Education - old]])</f>
        <v>6158.5482324180903</v>
      </c>
      <c r="AC73" s="340">
        <f>IF(OR(tblPiNHistorical[[#This Row],[Nutrition - old]]="", tblPiNHistorical[[#This Row],[Nutrition - old]]=0, tblPiNHistorical[[#This Row],[Nutrition - new]]="", tblPiNHistorical[[#This Row],[Nutrition - new]]=0), "", tblPiNHistorical[[#This Row],[Nutrition - new]]-tblPiNHistorical[[#This Row],[Nutrition - old]])</f>
        <v>9994.0851233000358</v>
      </c>
      <c r="AD73" s="340">
        <f>IF(OR(tblPiNHistorical[[#This Row],[Food Security - old]]="", tblPiNHistorical[[#This Row],[Food Security - old]]=0, tblPiNHistorical[[#This Row],[Food Security - new]]="", tblPiNHistorical[[#This Row],[Food Security - new]]=0), "", tblPiNHistorical[[#This Row],[Food Security - new]]-tblPiNHistorical[[#This Row],[Food Security - old]])</f>
        <v>3797.4824054815472</v>
      </c>
      <c r="AE73" s="340">
        <f>IF(OR(tblPiNHistorical[[#This Row],[Health - old]]="", tblPiNHistorical[[#This Row],[Health - old]]=0, tblPiNHistorical[[#This Row],[Health - new]]="", tblPiNHistorical[[#This Row],[Health - new]]=0), "", tblPiNHistorical[[#This Row],[Health - new]]-tblPiNHistorical[[#This Row],[Health - old]])</f>
        <v>14634.91715275832</v>
      </c>
      <c r="AF7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17114.383667012858</v>
      </c>
      <c r="AG73" s="340">
        <f>IF(OR(tblPiNHistorical[[#This Row],[Shelter - old]]="", tblPiNHistorical[[#This Row],[Shelter - old]]=0, tblPiNHistorical[[#This Row],[Shelter - new]]="", tblPiNHistorical[[#This Row],[Shelter - new]]=0), "", tblPiNHistorical[[#This Row],[Shelter - new]]-tblPiNHistorical[[#This Row],[Shelter - old]])</f>
        <v>29814.651003340976</v>
      </c>
      <c r="AH73" s="341">
        <f>IF(OR(tblPiNHistorical[[#This Row],[WASH - old]]="", tblPiNHistorical[[#This Row],[WASH - old]]=0, tblPiNHistorical[[#This Row],[WASH - new]]="", tblPiNHistorical[[#This Row],[WASH - new]]=0), "", tblPiNHistorical[[#This Row],[WASH - new]]-tblPiNHistorical[[#This Row],[WASH - old]])</f>
        <v>15133.949809883679</v>
      </c>
      <c r="AI73" s="342">
        <f>IFERROR(ROUND((tblPiNHistorical[[#This Row],[CCCM - new]] - tblPiNHistorical[[#This Row],[CCCM - old]])/tblPiNHistorical[[#This Row],[CCCM - old]], 1), "")</f>
        <v>4.2</v>
      </c>
      <c r="AJ73" s="343">
        <f>IFERROR(ROUND((tblPiNHistorical[[#This Row],[Education - new]]-tblPiNHistorical[[#This Row],[Education - old]])/tblPiNHistorical[[#This Row],[Education - old]], 1), "")</f>
        <v>2.1</v>
      </c>
      <c r="AK73" s="343">
        <f>IFERROR(ROUND((tblPiNHistorical[[#This Row],[Nutrition - new]]-tblPiNHistorical[[#This Row],[Nutrition - old]])/tblPiNHistorical[[#This Row],[Nutrition - old]], 1), "")</f>
        <v>1.8</v>
      </c>
      <c r="AL73" s="343">
        <f>IFERROR(ROUND((tblPiNHistorical[[#This Row],[Food Security - new]]-tblPiNHistorical[[#This Row],[Food Security - old]])/tblPiNHistorical[[#This Row],[Food Security - old]], 1), "")</f>
        <v>1.1000000000000001</v>
      </c>
      <c r="AM73" s="343">
        <f>IFERROR(ROUND((tblPiNHistorical[[#This Row],[Health - new]]-tblPiNHistorical[[#This Row],[Health - old]])/tblPiNHistorical[[#This Row],[Health - old]], 1), "")</f>
        <v>2.6</v>
      </c>
      <c r="AN73" s="343">
        <f>IFERROR(ROUND((tblPiNHistorical[[#This Row],[Overarching Protection - new]]-tblPiNHistorical[[#This Row],[Overarching Protection - old]])/tblPiNHistorical[[#This Row],[Overarching Protection - old]], 1), "")</f>
        <v>1.7</v>
      </c>
      <c r="AO73" s="343">
        <f>IFERROR(ROUND((tblPiNHistorical[[#This Row],[Shelter - new]]-tblPiNHistorical[[#This Row],[Shelter - old]])/tblPiNHistorical[[#This Row],[Shelter - old]], 1), "")</f>
        <v>10.4</v>
      </c>
      <c r="AP73" s="38">
        <f>IFERROR(ROUND((tblPiNHistorical[[#This Row],[WASH - new]]-tblPiNHistorical[[#This Row],[WASH - old]])/tblPiNHistorical[[#This Row],[WASH - old]], 1), "")</f>
        <v>1</v>
      </c>
      <c r="AQ73" s="406">
        <v>15388.527777777779</v>
      </c>
      <c r="AR73" s="406">
        <v>32680.101003340977</v>
      </c>
    </row>
    <row r="74" spans="1:44" ht="15" customHeight="1" x14ac:dyDescent="0.55000000000000004">
      <c r="A7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4" s="316" t="s">
        <v>390</v>
      </c>
      <c r="C74" s="218" t="s">
        <v>391</v>
      </c>
      <c r="D74" s="218" t="s">
        <v>394</v>
      </c>
      <c r="E74" s="105" t="s">
        <v>395</v>
      </c>
      <c r="F74" s="100"/>
      <c r="G74" s="34"/>
      <c r="H74" s="335"/>
      <c r="I74" s="97"/>
      <c r="J74" s="97" t="s">
        <v>412</v>
      </c>
      <c r="K74" s="336">
        <v>1467.5</v>
      </c>
      <c r="L74" s="337">
        <v>1699</v>
      </c>
      <c r="M74" s="319">
        <v>1395.146584186409</v>
      </c>
      <c r="N74" s="319">
        <v>1497</v>
      </c>
      <c r="O74" s="319">
        <v>2851.6204748732334</v>
      </c>
      <c r="P74" s="319">
        <v>3626.9648120837987</v>
      </c>
      <c r="Q74" s="320">
        <v>1081.3157894736842</v>
      </c>
      <c r="R74" s="319">
        <v>4739.0825688073401</v>
      </c>
      <c r="S74" s="235">
        <f>tblPiNAnalysis[[#This Row],[CCCM]]</f>
        <v>0</v>
      </c>
      <c r="T74" s="236">
        <f>tblPiNAnalysis[[#This Row],[Education]]</f>
        <v>1065.1352596011284</v>
      </c>
      <c r="U74" s="219">
        <f>tblPiNAnalysis[[#This Row],[Nutrition]]</f>
        <v>2509.5581547841798</v>
      </c>
      <c r="V74" s="219">
        <f>tblPiNAnalysis[[#This Row],[Food Security]]</f>
        <v>1873.3688115038503</v>
      </c>
      <c r="W74" s="219">
        <f>tblPiNAnalysis[[#This Row],[Health]]</f>
        <v>3232.081327090078</v>
      </c>
      <c r="X74" s="219">
        <f>tblPiNAnalysis[[#This Row],[Overarching Protection]]</f>
        <v>5205</v>
      </c>
      <c r="Y74" s="219">
        <f>tblPiNAnalysis[[#This Row],[Shelter]]</f>
        <v>4956.5842517026076</v>
      </c>
      <c r="Z74" s="230">
        <f>tblPiNAnalysis[[#This Row],[WASH]]</f>
        <v>6333.4132105088875</v>
      </c>
      <c r="AA74" s="339" t="str">
        <f>IF(OR(tblPiNHistorical[[#This Row],[CCCM - old]]="", tblPiNHistorical[[#This Row],[CCCM - old]]=0, tblPiNHistorical[[#This Row],[CCCM - new]]="", tblPiNHistorical[[#This Row],[CCCM - new]]=0), "", tblPiNHistorical[[#This Row],[CCCM - new]]-tblPiNHistorical[[#This Row],[CCCM - old]])</f>
        <v/>
      </c>
      <c r="AB74" s="340">
        <f>IF(OR(tblPiNHistorical[[#This Row],[Education - old]]="", tblPiNHistorical[[#This Row],[Education - old]]=0, tblPiNHistorical[[#This Row],[Education - new]]="", tblPiNHistorical[[#This Row],[Education - new]]=0), "", tblPiNHistorical[[#This Row],[Education - new]]-tblPiNHistorical[[#This Row],[Education - old]])</f>
        <v>-633.86474039887162</v>
      </c>
      <c r="AC74" s="340">
        <f>IF(OR(tblPiNHistorical[[#This Row],[Nutrition - old]]="", tblPiNHistorical[[#This Row],[Nutrition - old]]=0, tblPiNHistorical[[#This Row],[Nutrition - new]]="", tblPiNHistorical[[#This Row],[Nutrition - new]]=0), "", tblPiNHistorical[[#This Row],[Nutrition - new]]-tblPiNHistorical[[#This Row],[Nutrition - old]])</f>
        <v>1114.4115705977708</v>
      </c>
      <c r="AD74" s="340">
        <f>IF(OR(tblPiNHistorical[[#This Row],[Food Security - old]]="", tblPiNHistorical[[#This Row],[Food Security - old]]=0, tblPiNHistorical[[#This Row],[Food Security - new]]="", tblPiNHistorical[[#This Row],[Food Security - new]]=0), "", tblPiNHistorical[[#This Row],[Food Security - new]]-tblPiNHistorical[[#This Row],[Food Security - old]])</f>
        <v>376.36881150385034</v>
      </c>
      <c r="AE74" s="340">
        <f>IF(OR(tblPiNHistorical[[#This Row],[Health - old]]="", tblPiNHistorical[[#This Row],[Health - old]]=0, tblPiNHistorical[[#This Row],[Health - new]]="", tblPiNHistorical[[#This Row],[Health - new]]=0), "", tblPiNHistorical[[#This Row],[Health - new]]-tblPiNHistorical[[#This Row],[Health - old]])</f>
        <v>380.46085221684461</v>
      </c>
      <c r="AF7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1578.0351879162013</v>
      </c>
      <c r="AG74" s="340">
        <f>IF(OR(tblPiNHistorical[[#This Row],[Shelter - old]]="", tblPiNHistorical[[#This Row],[Shelter - old]]=0, tblPiNHistorical[[#This Row],[Shelter - new]]="", tblPiNHistorical[[#This Row],[Shelter - new]]=0), "", tblPiNHistorical[[#This Row],[Shelter - new]]-tblPiNHistorical[[#This Row],[Shelter - old]])</f>
        <v>3875.2684622289235</v>
      </c>
      <c r="AH74" s="341">
        <f>IF(OR(tblPiNHistorical[[#This Row],[WASH - old]]="", tblPiNHistorical[[#This Row],[WASH - old]]=0, tblPiNHistorical[[#This Row],[WASH - new]]="", tblPiNHistorical[[#This Row],[WASH - new]]=0), "", tblPiNHistorical[[#This Row],[WASH - new]]-tblPiNHistorical[[#This Row],[WASH - old]])</f>
        <v>1594.3306417015474</v>
      </c>
      <c r="AI74" s="342">
        <f>IFERROR(ROUND((tblPiNHistorical[[#This Row],[CCCM - new]] - tblPiNHistorical[[#This Row],[CCCM - old]])/tblPiNHistorical[[#This Row],[CCCM - old]], 1), "")</f>
        <v>-1</v>
      </c>
      <c r="AJ74" s="343">
        <f>IFERROR(ROUND((tblPiNHistorical[[#This Row],[Education - new]]-tblPiNHistorical[[#This Row],[Education - old]])/tblPiNHistorical[[#This Row],[Education - old]], 1), "")</f>
        <v>-0.4</v>
      </c>
      <c r="AK74" s="343">
        <f>IFERROR(ROUND((tblPiNHistorical[[#This Row],[Nutrition - new]]-tblPiNHistorical[[#This Row],[Nutrition - old]])/tblPiNHistorical[[#This Row],[Nutrition - old]], 1), "")</f>
        <v>0.8</v>
      </c>
      <c r="AL74" s="343">
        <f>IFERROR(ROUND((tblPiNHistorical[[#This Row],[Food Security - new]]-tblPiNHistorical[[#This Row],[Food Security - old]])/tblPiNHistorical[[#This Row],[Food Security - old]], 1), "")</f>
        <v>0.3</v>
      </c>
      <c r="AM74" s="343">
        <f>IFERROR(ROUND((tblPiNHistorical[[#This Row],[Health - new]]-tblPiNHistorical[[#This Row],[Health - old]])/tblPiNHistorical[[#This Row],[Health - old]], 1), "")</f>
        <v>0.1</v>
      </c>
      <c r="AN74" s="343">
        <f>IFERROR(ROUND((tblPiNHistorical[[#This Row],[Overarching Protection - new]]-tblPiNHistorical[[#This Row],[Overarching Protection - old]])/tblPiNHistorical[[#This Row],[Overarching Protection - old]], 1), "")</f>
        <v>0.4</v>
      </c>
      <c r="AO74" s="343">
        <f>IFERROR(ROUND((tblPiNHistorical[[#This Row],[Shelter - new]]-tblPiNHistorical[[#This Row],[Shelter - old]])/tblPiNHistorical[[#This Row],[Shelter - old]], 1), "")</f>
        <v>3.6</v>
      </c>
      <c r="AP74" s="38">
        <f>IFERROR(ROUND((tblPiNHistorical[[#This Row],[WASH - new]]-tblPiNHistorical[[#This Row],[WASH - old]])/tblPiNHistorical[[#This Row],[WASH - old]], 1), "")</f>
        <v>0.3</v>
      </c>
      <c r="AQ74" s="406">
        <v>4739.0825688073401</v>
      </c>
      <c r="AR74" s="406">
        <v>6333.4132105088875</v>
      </c>
    </row>
    <row r="75" spans="1:44" ht="15" customHeight="1" x14ac:dyDescent="0.55000000000000004">
      <c r="A7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5" s="316" t="s">
        <v>390</v>
      </c>
      <c r="C75" s="218" t="s">
        <v>391</v>
      </c>
      <c r="D75" s="218" t="s">
        <v>396</v>
      </c>
      <c r="E75" s="105" t="s">
        <v>397</v>
      </c>
      <c r="F75" s="100"/>
      <c r="G75" s="34"/>
      <c r="H75" s="335"/>
      <c r="I75" s="97"/>
      <c r="J75" s="97" t="s">
        <v>412</v>
      </c>
      <c r="K75" s="336">
        <v>2243.75</v>
      </c>
      <c r="L75" s="337">
        <v>1397</v>
      </c>
      <c r="M75" s="319">
        <v>3515.1128945580658</v>
      </c>
      <c r="N75" s="319">
        <v>2293</v>
      </c>
      <c r="O75" s="319">
        <v>6191.541321797039</v>
      </c>
      <c r="P75" s="319">
        <v>5356.4736183227897</v>
      </c>
      <c r="Q75" s="320">
        <v>2071.1538461538462</v>
      </c>
      <c r="R75" s="319">
        <v>5650.925925925927</v>
      </c>
      <c r="S75" s="235">
        <f>tblPiNAnalysis[[#This Row],[CCCM]]</f>
        <v>0</v>
      </c>
      <c r="T75" s="236">
        <f>tblPiNAnalysis[[#This Row],[Education]]</f>
        <v>1799.3171552409522</v>
      </c>
      <c r="U75" s="219">
        <f>tblPiNAnalysis[[#This Row],[Nutrition]]</f>
        <v>5074.6842863832189</v>
      </c>
      <c r="V75" s="219">
        <f>tblPiNAnalysis[[#This Row],[Food Security]]</f>
        <v>2922.2520778946996</v>
      </c>
      <c r="W75" s="219">
        <f>tblPiNAnalysis[[#This Row],[Health]]</f>
        <v>4525.3940897146904</v>
      </c>
      <c r="X75" s="219">
        <f>tblPiNAnalysis[[#This Row],[Overarching Protection]]</f>
        <v>7305</v>
      </c>
      <c r="Y75" s="219">
        <f>tblPiNAnalysis[[#This Row],[Shelter]]</f>
        <v>5761.037390645879</v>
      </c>
      <c r="Z75" s="230">
        <f>tblPiNAnalysis[[#This Row],[WASH]]</f>
        <v>8321.4984531551581</v>
      </c>
      <c r="AA75" s="339" t="str">
        <f>IF(OR(tblPiNHistorical[[#This Row],[CCCM - old]]="", tblPiNHistorical[[#This Row],[CCCM - old]]=0, tblPiNHistorical[[#This Row],[CCCM - new]]="", tblPiNHistorical[[#This Row],[CCCM - new]]=0), "", tblPiNHistorical[[#This Row],[CCCM - new]]-tblPiNHistorical[[#This Row],[CCCM - old]])</f>
        <v/>
      </c>
      <c r="AB75" s="340">
        <f>IF(OR(tblPiNHistorical[[#This Row],[Education - old]]="", tblPiNHistorical[[#This Row],[Education - old]]=0, tblPiNHistorical[[#This Row],[Education - new]]="", tblPiNHistorical[[#This Row],[Education - new]]=0), "", tblPiNHistorical[[#This Row],[Education - new]]-tblPiNHistorical[[#This Row],[Education - old]])</f>
        <v>402.31715524095216</v>
      </c>
      <c r="AC75" s="340">
        <f>IF(OR(tblPiNHistorical[[#This Row],[Nutrition - old]]="", tblPiNHistorical[[#This Row],[Nutrition - old]]=0, tblPiNHistorical[[#This Row],[Nutrition - new]]="", tblPiNHistorical[[#This Row],[Nutrition - new]]=0), "", tblPiNHistorical[[#This Row],[Nutrition - new]]-tblPiNHistorical[[#This Row],[Nutrition - old]])</f>
        <v>1559.5713918251531</v>
      </c>
      <c r="AD75" s="340">
        <f>IF(OR(tblPiNHistorical[[#This Row],[Food Security - old]]="", tblPiNHistorical[[#This Row],[Food Security - old]]=0, tblPiNHistorical[[#This Row],[Food Security - new]]="", tblPiNHistorical[[#This Row],[Food Security - new]]=0), "", tblPiNHistorical[[#This Row],[Food Security - new]]-tblPiNHistorical[[#This Row],[Food Security - old]])</f>
        <v>629.2520778946996</v>
      </c>
      <c r="AE75" s="340">
        <f>IF(OR(tblPiNHistorical[[#This Row],[Health - old]]="", tblPiNHistorical[[#This Row],[Health - old]]=0, tblPiNHistorical[[#This Row],[Health - new]]="", tblPiNHistorical[[#This Row],[Health - new]]=0), "", tblPiNHistorical[[#This Row],[Health - new]]-tblPiNHistorical[[#This Row],[Health - old]])</f>
        <v>-1666.1472320823486</v>
      </c>
      <c r="AF7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1948.5263816772103</v>
      </c>
      <c r="AG75" s="340">
        <f>IF(OR(tblPiNHistorical[[#This Row],[Shelter - old]]="", tblPiNHistorical[[#This Row],[Shelter - old]]=0, tblPiNHistorical[[#This Row],[Shelter - new]]="", tblPiNHistorical[[#This Row],[Shelter - new]]=0), "", tblPiNHistorical[[#This Row],[Shelter - new]]-tblPiNHistorical[[#This Row],[Shelter - old]])</f>
        <v>3689.8835444920328</v>
      </c>
      <c r="AH75" s="341">
        <f>IF(OR(tblPiNHistorical[[#This Row],[WASH - old]]="", tblPiNHistorical[[#This Row],[WASH - old]]=0, tblPiNHistorical[[#This Row],[WASH - new]]="", tblPiNHistorical[[#This Row],[WASH - new]]=0), "", tblPiNHistorical[[#This Row],[WASH - new]]-tblPiNHistorical[[#This Row],[WASH - old]])</f>
        <v>2670.5725272292311</v>
      </c>
      <c r="AI75" s="342">
        <f>IFERROR(ROUND((tblPiNHistorical[[#This Row],[CCCM - new]] - tblPiNHistorical[[#This Row],[CCCM - old]])/tblPiNHistorical[[#This Row],[CCCM - old]], 1), "")</f>
        <v>-1</v>
      </c>
      <c r="AJ75" s="343">
        <f>IFERROR(ROUND((tblPiNHistorical[[#This Row],[Education - new]]-tblPiNHistorical[[#This Row],[Education - old]])/tblPiNHistorical[[#This Row],[Education - old]], 1), "")</f>
        <v>0.3</v>
      </c>
      <c r="AK75" s="343">
        <f>IFERROR(ROUND((tblPiNHistorical[[#This Row],[Nutrition - new]]-tblPiNHistorical[[#This Row],[Nutrition - old]])/tblPiNHistorical[[#This Row],[Nutrition - old]], 1), "")</f>
        <v>0.4</v>
      </c>
      <c r="AL75" s="343">
        <f>IFERROR(ROUND((tblPiNHistorical[[#This Row],[Food Security - new]]-tblPiNHistorical[[#This Row],[Food Security - old]])/tblPiNHistorical[[#This Row],[Food Security - old]], 1), "")</f>
        <v>0.3</v>
      </c>
      <c r="AM75" s="343">
        <f>IFERROR(ROUND((tblPiNHistorical[[#This Row],[Health - new]]-tblPiNHistorical[[#This Row],[Health - old]])/tblPiNHistorical[[#This Row],[Health - old]], 1), "")</f>
        <v>-0.3</v>
      </c>
      <c r="AN75" s="343">
        <f>IFERROR(ROUND((tblPiNHistorical[[#This Row],[Overarching Protection - new]]-tblPiNHistorical[[#This Row],[Overarching Protection - old]])/tblPiNHistorical[[#This Row],[Overarching Protection - old]], 1), "")</f>
        <v>0.4</v>
      </c>
      <c r="AO75" s="343">
        <f>IFERROR(ROUND((tblPiNHistorical[[#This Row],[Shelter - new]]-tblPiNHistorical[[#This Row],[Shelter - old]])/tblPiNHistorical[[#This Row],[Shelter - old]], 1), "")</f>
        <v>1.8</v>
      </c>
      <c r="AP75" s="38">
        <f>IFERROR(ROUND((tblPiNHistorical[[#This Row],[WASH - new]]-tblPiNHistorical[[#This Row],[WASH - old]])/tblPiNHistorical[[#This Row],[WASH - old]], 1), "")</f>
        <v>0.5</v>
      </c>
      <c r="AQ75" s="406">
        <v>6191.541321797039</v>
      </c>
      <c r="AR75" s="406">
        <v>8321.4984531551581</v>
      </c>
    </row>
    <row r="76" spans="1:44" ht="15" customHeight="1" x14ac:dyDescent="0.55000000000000004">
      <c r="A7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6" s="316" t="s">
        <v>390</v>
      </c>
      <c r="C76" s="218" t="s">
        <v>391</v>
      </c>
      <c r="D76" s="218" t="s">
        <v>398</v>
      </c>
      <c r="E76" s="105" t="s">
        <v>399</v>
      </c>
      <c r="F76" s="100"/>
      <c r="G76" s="34"/>
      <c r="H76" s="335"/>
      <c r="I76" s="97"/>
      <c r="J76" s="97" t="s">
        <v>412</v>
      </c>
      <c r="K76" s="336">
        <v>2910</v>
      </c>
      <c r="L76" s="337">
        <v>1418</v>
      </c>
      <c r="M76" s="319">
        <v>4100.9390643946826</v>
      </c>
      <c r="N76" s="319">
        <v>5153</v>
      </c>
      <c r="O76" s="319">
        <v>3533.5318440646952</v>
      </c>
      <c r="P76" s="319">
        <v>8865.1368047272572</v>
      </c>
      <c r="Q76" s="320">
        <v>3379.3548387096771</v>
      </c>
      <c r="R76" s="319">
        <v>2586.6666666666661</v>
      </c>
      <c r="S76" s="235">
        <f>tblPiNAnalysis[[#This Row],[CCCM]]</f>
        <v>0</v>
      </c>
      <c r="T76" s="236">
        <f>tblPiNAnalysis[[#This Row],[Education]]</f>
        <v>272.84276110374532</v>
      </c>
      <c r="U76" s="219">
        <f>tblPiNAnalysis[[#This Row],[Nutrition]]</f>
        <v>7034.7446622852367</v>
      </c>
      <c r="V76" s="219">
        <f>tblPiNAnalysis[[#This Row],[Food Security]]</f>
        <v>7466.511357740781</v>
      </c>
      <c r="W76" s="219">
        <f>tblPiNAnalysis[[#This Row],[Health]]</f>
        <v>8370.1757209202042</v>
      </c>
      <c r="X76" s="219">
        <f>tblPiNAnalysis[[#This Row],[Overarching Protection]]</f>
        <v>13014</v>
      </c>
      <c r="Y76" s="219">
        <f>tblPiNAnalysis[[#This Row],[Shelter]]</f>
        <v>7546.649157489629</v>
      </c>
      <c r="Z76" s="230">
        <f>tblPiNAnalysis[[#This Row],[WASH]]</f>
        <v>10767.950325640297</v>
      </c>
      <c r="AA76" s="339" t="str">
        <f>IF(OR(tblPiNHistorical[[#This Row],[CCCM - old]]="", tblPiNHistorical[[#This Row],[CCCM - old]]=0, tblPiNHistorical[[#This Row],[CCCM - new]]="", tblPiNHistorical[[#This Row],[CCCM - new]]=0), "", tblPiNHistorical[[#This Row],[CCCM - new]]-tblPiNHistorical[[#This Row],[CCCM - old]])</f>
        <v/>
      </c>
      <c r="AB76" s="340">
        <f>IF(OR(tblPiNHistorical[[#This Row],[Education - old]]="", tblPiNHistorical[[#This Row],[Education - old]]=0, tblPiNHistorical[[#This Row],[Education - new]]="", tblPiNHistorical[[#This Row],[Education - new]]=0), "", tblPiNHistorical[[#This Row],[Education - new]]-tblPiNHistorical[[#This Row],[Education - old]])</f>
        <v>-1145.1572388962547</v>
      </c>
      <c r="AC76" s="340">
        <f>IF(OR(tblPiNHistorical[[#This Row],[Nutrition - old]]="", tblPiNHistorical[[#This Row],[Nutrition - old]]=0, tblPiNHistorical[[#This Row],[Nutrition - new]]="", tblPiNHistorical[[#This Row],[Nutrition - new]]=0), "", tblPiNHistorical[[#This Row],[Nutrition - new]]-tblPiNHistorical[[#This Row],[Nutrition - old]])</f>
        <v>2933.8055978905541</v>
      </c>
      <c r="AD76" s="340">
        <f>IF(OR(tblPiNHistorical[[#This Row],[Food Security - old]]="", tblPiNHistorical[[#This Row],[Food Security - old]]=0, tblPiNHistorical[[#This Row],[Food Security - new]]="", tblPiNHistorical[[#This Row],[Food Security - new]]=0), "", tblPiNHistorical[[#This Row],[Food Security - new]]-tblPiNHistorical[[#This Row],[Food Security - old]])</f>
        <v>2313.511357740781</v>
      </c>
      <c r="AE76" s="340">
        <f>IF(OR(tblPiNHistorical[[#This Row],[Health - old]]="", tblPiNHistorical[[#This Row],[Health - old]]=0, tblPiNHistorical[[#This Row],[Health - new]]="", tblPiNHistorical[[#This Row],[Health - new]]=0), "", tblPiNHistorical[[#This Row],[Health - new]]-tblPiNHistorical[[#This Row],[Health - old]])</f>
        <v>4836.643876855509</v>
      </c>
      <c r="AF7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4148.8631952727428</v>
      </c>
      <c r="AG76" s="340">
        <f>IF(OR(tblPiNHistorical[[#This Row],[Shelter - old]]="", tblPiNHistorical[[#This Row],[Shelter - old]]=0, tblPiNHistorical[[#This Row],[Shelter - new]]="", tblPiNHistorical[[#This Row],[Shelter - new]]=0), "", tblPiNHistorical[[#This Row],[Shelter - new]]-tblPiNHistorical[[#This Row],[Shelter - old]])</f>
        <v>4167.2943187799519</v>
      </c>
      <c r="AH76" s="341">
        <f>IF(OR(tblPiNHistorical[[#This Row],[WASH - old]]="", tblPiNHistorical[[#This Row],[WASH - old]]=0, tblPiNHistorical[[#This Row],[WASH - new]]="", tblPiNHistorical[[#This Row],[WASH - new]]=0), "", tblPiNHistorical[[#This Row],[WASH - new]]-tblPiNHistorical[[#This Row],[WASH - old]])</f>
        <v>8181.2836589736307</v>
      </c>
      <c r="AI76" s="342">
        <f>IFERROR(ROUND((tblPiNHistorical[[#This Row],[CCCM - new]] - tblPiNHistorical[[#This Row],[CCCM - old]])/tblPiNHistorical[[#This Row],[CCCM - old]], 1), "")</f>
        <v>-1</v>
      </c>
      <c r="AJ76" s="343">
        <f>IFERROR(ROUND((tblPiNHistorical[[#This Row],[Education - new]]-tblPiNHistorical[[#This Row],[Education - old]])/tblPiNHistorical[[#This Row],[Education - old]], 1), "")</f>
        <v>-0.8</v>
      </c>
      <c r="AK76" s="343">
        <f>IFERROR(ROUND((tblPiNHistorical[[#This Row],[Nutrition - new]]-tblPiNHistorical[[#This Row],[Nutrition - old]])/tblPiNHistorical[[#This Row],[Nutrition - old]], 1), "")</f>
        <v>0.7</v>
      </c>
      <c r="AL76" s="343">
        <f>IFERROR(ROUND((tblPiNHistorical[[#This Row],[Food Security - new]]-tblPiNHistorical[[#This Row],[Food Security - old]])/tblPiNHistorical[[#This Row],[Food Security - old]], 1), "")</f>
        <v>0.4</v>
      </c>
      <c r="AM76" s="343">
        <f>IFERROR(ROUND((tblPiNHistorical[[#This Row],[Health - new]]-tblPiNHistorical[[#This Row],[Health - old]])/tblPiNHistorical[[#This Row],[Health - old]], 1), "")</f>
        <v>1.4</v>
      </c>
      <c r="AN76" s="343">
        <f>IFERROR(ROUND((tblPiNHistorical[[#This Row],[Overarching Protection - new]]-tblPiNHistorical[[#This Row],[Overarching Protection - old]])/tblPiNHistorical[[#This Row],[Overarching Protection - old]], 1), "")</f>
        <v>0.5</v>
      </c>
      <c r="AO76" s="343">
        <f>IFERROR(ROUND((tblPiNHistorical[[#This Row],[Shelter - new]]-tblPiNHistorical[[#This Row],[Shelter - old]])/tblPiNHistorical[[#This Row],[Shelter - old]], 1), "")</f>
        <v>1.2</v>
      </c>
      <c r="AP76" s="38">
        <f>IFERROR(ROUND((tblPiNHistorical[[#This Row],[WASH - new]]-tblPiNHistorical[[#This Row],[WASH - old]])/tblPiNHistorical[[#This Row],[WASH - old]], 1), "")</f>
        <v>3.2</v>
      </c>
      <c r="AQ76" s="406">
        <v>8865.1368047272572</v>
      </c>
      <c r="AR76" s="406">
        <v>13014</v>
      </c>
    </row>
    <row r="77" spans="1:44" ht="15" customHeight="1" x14ac:dyDescent="0.55000000000000004">
      <c r="A7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7" s="316" t="s">
        <v>390</v>
      </c>
      <c r="C77" s="218" t="s">
        <v>391</v>
      </c>
      <c r="D77" s="218" t="s">
        <v>400</v>
      </c>
      <c r="E77" s="105" t="s">
        <v>401</v>
      </c>
      <c r="F77" s="100"/>
      <c r="G77" s="34"/>
      <c r="H77" s="335"/>
      <c r="I77" s="97"/>
      <c r="J77" s="97" t="s">
        <v>412</v>
      </c>
      <c r="K77" s="336">
        <v>261.25</v>
      </c>
      <c r="L77" s="337">
        <v>43</v>
      </c>
      <c r="M77" s="319">
        <v>391.7346592502937</v>
      </c>
      <c r="N77" s="319">
        <v>271</v>
      </c>
      <c r="O77" s="319">
        <v>981.43080354400604</v>
      </c>
      <c r="P77" s="319">
        <v>839.48033438723132</v>
      </c>
      <c r="Q77" s="320">
        <v>803.84615384615381</v>
      </c>
      <c r="R77" s="319">
        <v>328.98148148148141</v>
      </c>
      <c r="S77" s="235">
        <f>tblPiNAnalysis[[#This Row],[CCCM]]</f>
        <v>0</v>
      </c>
      <c r="T77" s="236">
        <f>tblPiNAnalysis[[#This Row],[Education]]</f>
        <v>108.99890870107737</v>
      </c>
      <c r="U77" s="219">
        <f>tblPiNAnalysis[[#This Row],[Nutrition]]</f>
        <v>549.3738376210955</v>
      </c>
      <c r="V77" s="219">
        <f>tblPiNAnalysis[[#This Row],[Food Security]]</f>
        <v>509.88966782520589</v>
      </c>
      <c r="W77" s="219">
        <f>tblPiNAnalysis[[#This Row],[Health]]</f>
        <v>657.96969478899121</v>
      </c>
      <c r="X77" s="219">
        <f>tblPiNAnalysis[[#This Row],[Overarching Protection]]</f>
        <v>928</v>
      </c>
      <c r="Y77" s="219">
        <f>tblPiNAnalysis[[#This Row],[Shelter]]</f>
        <v>1326.2143950586142</v>
      </c>
      <c r="Z77" s="230">
        <f>tblPiNAnalysis[[#This Row],[WASH]]</f>
        <v>502.35393752220233</v>
      </c>
      <c r="AA77" s="339" t="str">
        <f>IF(OR(tblPiNHistorical[[#This Row],[CCCM - old]]="", tblPiNHistorical[[#This Row],[CCCM - old]]=0, tblPiNHistorical[[#This Row],[CCCM - new]]="", tblPiNHistorical[[#This Row],[CCCM - new]]=0), "", tblPiNHistorical[[#This Row],[CCCM - new]]-tblPiNHistorical[[#This Row],[CCCM - old]])</f>
        <v/>
      </c>
      <c r="AB77" s="340">
        <f>IF(OR(tblPiNHistorical[[#This Row],[Education - old]]="", tblPiNHistorical[[#This Row],[Education - old]]=0, tblPiNHistorical[[#This Row],[Education - new]]="", tblPiNHistorical[[#This Row],[Education - new]]=0), "", tblPiNHistorical[[#This Row],[Education - new]]-tblPiNHistorical[[#This Row],[Education - old]])</f>
        <v>65.998908701077369</v>
      </c>
      <c r="AC77" s="340">
        <f>IF(OR(tblPiNHistorical[[#This Row],[Nutrition - old]]="", tblPiNHistorical[[#This Row],[Nutrition - old]]=0, tblPiNHistorical[[#This Row],[Nutrition - new]]="", tblPiNHistorical[[#This Row],[Nutrition - new]]=0), "", tblPiNHistorical[[#This Row],[Nutrition - new]]-tblPiNHistorical[[#This Row],[Nutrition - old]])</f>
        <v>157.6391783708018</v>
      </c>
      <c r="AD77" s="340">
        <f>IF(OR(tblPiNHistorical[[#This Row],[Food Security - old]]="", tblPiNHistorical[[#This Row],[Food Security - old]]=0, tblPiNHistorical[[#This Row],[Food Security - new]]="", tblPiNHistorical[[#This Row],[Food Security - new]]=0), "", tblPiNHistorical[[#This Row],[Food Security - new]]-tblPiNHistorical[[#This Row],[Food Security - old]])</f>
        <v>238.88966782520589</v>
      </c>
      <c r="AE77" s="340">
        <f>IF(OR(tblPiNHistorical[[#This Row],[Health - old]]="", tblPiNHistorical[[#This Row],[Health - old]]=0, tblPiNHistorical[[#This Row],[Health - new]]="", tblPiNHistorical[[#This Row],[Health - new]]=0), "", tblPiNHistorical[[#This Row],[Health - new]]-tblPiNHistorical[[#This Row],[Health - old]])</f>
        <v>-323.46110875501483</v>
      </c>
      <c r="AF7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88.519665612768677</v>
      </c>
      <c r="AG77" s="340">
        <f>IF(OR(tblPiNHistorical[[#This Row],[Shelter - old]]="", tblPiNHistorical[[#This Row],[Shelter - old]]=0, tblPiNHistorical[[#This Row],[Shelter - new]]="", tblPiNHistorical[[#This Row],[Shelter - new]]=0), "", tblPiNHistorical[[#This Row],[Shelter - new]]-tblPiNHistorical[[#This Row],[Shelter - old]])</f>
        <v>522.36824121246036</v>
      </c>
      <c r="AH77" s="341">
        <f>IF(OR(tblPiNHistorical[[#This Row],[WASH - old]]="", tblPiNHistorical[[#This Row],[WASH - old]]=0, tblPiNHistorical[[#This Row],[WASH - new]]="", tblPiNHistorical[[#This Row],[WASH - new]]=0), "", tblPiNHistorical[[#This Row],[WASH - new]]-tblPiNHistorical[[#This Row],[WASH - old]])</f>
        <v>173.37245604072092</v>
      </c>
      <c r="AI77" s="342">
        <f>IFERROR(ROUND((tblPiNHistorical[[#This Row],[CCCM - new]] - tblPiNHistorical[[#This Row],[CCCM - old]])/tblPiNHistorical[[#This Row],[CCCM - old]], 1), "")</f>
        <v>-1</v>
      </c>
      <c r="AJ77" s="343">
        <f>IFERROR(ROUND((tblPiNHistorical[[#This Row],[Education - new]]-tblPiNHistorical[[#This Row],[Education - old]])/tblPiNHistorical[[#This Row],[Education - old]], 1), "")</f>
        <v>1.5</v>
      </c>
      <c r="AK77" s="343">
        <f>IFERROR(ROUND((tblPiNHistorical[[#This Row],[Nutrition - new]]-tblPiNHistorical[[#This Row],[Nutrition - old]])/tblPiNHistorical[[#This Row],[Nutrition - old]], 1), "")</f>
        <v>0.4</v>
      </c>
      <c r="AL77" s="343">
        <f>IFERROR(ROUND((tblPiNHistorical[[#This Row],[Food Security - new]]-tblPiNHistorical[[#This Row],[Food Security - old]])/tblPiNHistorical[[#This Row],[Food Security - old]], 1), "")</f>
        <v>0.9</v>
      </c>
      <c r="AM77" s="343">
        <f>IFERROR(ROUND((tblPiNHistorical[[#This Row],[Health - new]]-tblPiNHistorical[[#This Row],[Health - old]])/tblPiNHistorical[[#This Row],[Health - old]], 1), "")</f>
        <v>-0.3</v>
      </c>
      <c r="AN77" s="343">
        <f>IFERROR(ROUND((tblPiNHistorical[[#This Row],[Overarching Protection - new]]-tblPiNHistorical[[#This Row],[Overarching Protection - old]])/tblPiNHistorical[[#This Row],[Overarching Protection - old]], 1), "")</f>
        <v>0.1</v>
      </c>
      <c r="AO77" s="343">
        <f>IFERROR(ROUND((tblPiNHistorical[[#This Row],[Shelter - new]]-tblPiNHistorical[[#This Row],[Shelter - old]])/tblPiNHistorical[[#This Row],[Shelter - old]], 1), "")</f>
        <v>0.6</v>
      </c>
      <c r="AP77" s="38">
        <f>IFERROR(ROUND((tblPiNHistorical[[#This Row],[WASH - new]]-tblPiNHistorical[[#This Row],[WASH - old]])/tblPiNHistorical[[#This Row],[WASH - old]], 1), "")</f>
        <v>0.5</v>
      </c>
      <c r="AQ77" s="406">
        <v>981.43080354400604</v>
      </c>
      <c r="AR77" s="406">
        <v>1326.2143950586142</v>
      </c>
    </row>
    <row r="78" spans="1:44" ht="15" customHeight="1" x14ac:dyDescent="0.55000000000000004">
      <c r="A7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8" s="316" t="s">
        <v>390</v>
      </c>
      <c r="C78" s="218" t="s">
        <v>391</v>
      </c>
      <c r="D78" s="218" t="s">
        <v>402</v>
      </c>
      <c r="E78" s="105" t="s">
        <v>403</v>
      </c>
      <c r="F78" s="100"/>
      <c r="G78" s="34"/>
      <c r="H78" s="335"/>
      <c r="I78" s="97"/>
      <c r="J78" s="97" t="s">
        <v>412</v>
      </c>
      <c r="K78" s="336">
        <v>0</v>
      </c>
      <c r="L78" s="337">
        <v>0</v>
      </c>
      <c r="M78" s="319">
        <v>0</v>
      </c>
      <c r="N78" s="319">
        <v>0</v>
      </c>
      <c r="O78" s="319">
        <v>0</v>
      </c>
      <c r="P78" s="319">
        <v>0</v>
      </c>
      <c r="Q78" s="320">
        <v>0</v>
      </c>
      <c r="R78" s="319">
        <v>0</v>
      </c>
      <c r="S78" s="235">
        <f>tblPiNAnalysis[[#This Row],[CCCM]]</f>
        <v>0</v>
      </c>
      <c r="T78" s="236">
        <f>tblPiNAnalysis[[#This Row],[Education]]</f>
        <v>0</v>
      </c>
      <c r="U78" s="219">
        <f>tblPiNAnalysis[[#This Row],[Nutrition]]</f>
        <v>0</v>
      </c>
      <c r="V78" s="219">
        <f>tblPiNAnalysis[[#This Row],[Food Security]]</f>
        <v>0</v>
      </c>
      <c r="W78" s="219">
        <f>tblPiNAnalysis[[#This Row],[Health]]</f>
        <v>0</v>
      </c>
      <c r="X78" s="219">
        <f>tblPiNAnalysis[[#This Row],[Overarching Protection]]</f>
        <v>0</v>
      </c>
      <c r="Y78" s="219">
        <f>tblPiNAnalysis[[#This Row],[Shelter]]</f>
        <v>0</v>
      </c>
      <c r="Z78" s="230">
        <f>tblPiNAnalysis[[#This Row],[WASH]]</f>
        <v>0</v>
      </c>
      <c r="AA78" s="339" t="str">
        <f>IF(OR(tblPiNHistorical[[#This Row],[CCCM - old]]="", tblPiNHistorical[[#This Row],[CCCM - old]]=0, tblPiNHistorical[[#This Row],[CCCM - new]]="", tblPiNHistorical[[#This Row],[CCCM - new]]=0), "", tblPiNHistorical[[#This Row],[CCCM - new]]-tblPiNHistorical[[#This Row],[CCCM - old]])</f>
        <v/>
      </c>
      <c r="AB78" s="340" t="str">
        <f>IF(OR(tblPiNHistorical[[#This Row],[Education - old]]="", tblPiNHistorical[[#This Row],[Education - old]]=0, tblPiNHistorical[[#This Row],[Education - new]]="", tblPiNHistorical[[#This Row],[Education - new]]=0), "", tblPiNHistorical[[#This Row],[Education - new]]-tblPiNHistorical[[#This Row],[Education - old]])</f>
        <v/>
      </c>
      <c r="AC78" s="340" t="str">
        <f>IF(OR(tblPiNHistorical[[#This Row],[Nutrition - old]]="", tblPiNHistorical[[#This Row],[Nutrition - old]]=0, tblPiNHistorical[[#This Row],[Nutrition - new]]="", tblPiNHistorical[[#This Row],[Nutrition - new]]=0), "", tblPiNHistorical[[#This Row],[Nutrition - new]]-tblPiNHistorical[[#This Row],[Nutrition - old]])</f>
        <v/>
      </c>
      <c r="AD78"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78" s="340" t="str">
        <f>IF(OR(tblPiNHistorical[[#This Row],[Health - old]]="", tblPiNHistorical[[#This Row],[Health - old]]=0, tblPiNHistorical[[#This Row],[Health - new]]="", tblPiNHistorical[[#This Row],[Health - new]]=0), "", tblPiNHistorical[[#This Row],[Health - new]]-tblPiNHistorical[[#This Row],[Health - old]])</f>
        <v/>
      </c>
      <c r="AF78"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78" s="340" t="str">
        <f>IF(OR(tblPiNHistorical[[#This Row],[Shelter - old]]="", tblPiNHistorical[[#This Row],[Shelter - old]]=0, tblPiNHistorical[[#This Row],[Shelter - new]]="", tblPiNHistorical[[#This Row],[Shelter - new]]=0), "", tblPiNHistorical[[#This Row],[Shelter - new]]-tblPiNHistorical[[#This Row],[Shelter - old]])</f>
        <v/>
      </c>
      <c r="AH78" s="341" t="str">
        <f>IF(OR(tblPiNHistorical[[#This Row],[WASH - old]]="", tblPiNHistorical[[#This Row],[WASH - old]]=0, tblPiNHistorical[[#This Row],[WASH - new]]="", tblPiNHistorical[[#This Row],[WASH - new]]=0), "", tblPiNHistorical[[#This Row],[WASH - new]]-tblPiNHistorical[[#This Row],[WASH - old]])</f>
        <v/>
      </c>
      <c r="AI78" s="342" t="str">
        <f>IFERROR(ROUND((tblPiNHistorical[[#This Row],[CCCM - new]] - tblPiNHistorical[[#This Row],[CCCM - old]])/tblPiNHistorical[[#This Row],[CCCM - old]], 1), "")</f>
        <v/>
      </c>
      <c r="AJ78" s="343" t="str">
        <f>IFERROR(ROUND((tblPiNHistorical[[#This Row],[Education - new]]-tblPiNHistorical[[#This Row],[Education - old]])/tblPiNHistorical[[#This Row],[Education - old]], 1), "")</f>
        <v/>
      </c>
      <c r="AK78" s="343" t="str">
        <f>IFERROR(ROUND((tblPiNHistorical[[#This Row],[Nutrition - new]]-tblPiNHistorical[[#This Row],[Nutrition - old]])/tblPiNHistorical[[#This Row],[Nutrition - old]], 1), "")</f>
        <v/>
      </c>
      <c r="AL78" s="343" t="str">
        <f>IFERROR(ROUND((tblPiNHistorical[[#This Row],[Food Security - new]]-tblPiNHistorical[[#This Row],[Food Security - old]])/tblPiNHistorical[[#This Row],[Food Security - old]], 1), "")</f>
        <v/>
      </c>
      <c r="AM78" s="343" t="str">
        <f>IFERROR(ROUND((tblPiNHistorical[[#This Row],[Health - new]]-tblPiNHistorical[[#This Row],[Health - old]])/tblPiNHistorical[[#This Row],[Health - old]], 1), "")</f>
        <v/>
      </c>
      <c r="AN78" s="343" t="str">
        <f>IFERROR(ROUND((tblPiNHistorical[[#This Row],[Overarching Protection - new]]-tblPiNHistorical[[#This Row],[Overarching Protection - old]])/tblPiNHistorical[[#This Row],[Overarching Protection - old]], 1), "")</f>
        <v/>
      </c>
      <c r="AO78" s="343" t="str">
        <f>IFERROR(ROUND((tblPiNHistorical[[#This Row],[Shelter - new]]-tblPiNHistorical[[#This Row],[Shelter - old]])/tblPiNHistorical[[#This Row],[Shelter - old]], 1), "")</f>
        <v/>
      </c>
      <c r="AP78" s="38" t="str">
        <f>IFERROR(ROUND((tblPiNHistorical[[#This Row],[WASH - new]]-tblPiNHistorical[[#This Row],[WASH - old]])/tblPiNHistorical[[#This Row],[WASH - old]], 1), "")</f>
        <v/>
      </c>
      <c r="AQ78" s="406">
        <v>0</v>
      </c>
      <c r="AR78" s="406">
        <v>0</v>
      </c>
    </row>
    <row r="79" spans="1:44" ht="15" customHeight="1" x14ac:dyDescent="0.55000000000000004">
      <c r="A7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79" s="316" t="s">
        <v>390</v>
      </c>
      <c r="C79" s="218" t="s">
        <v>391</v>
      </c>
      <c r="D79" s="218" t="s">
        <v>404</v>
      </c>
      <c r="E79" s="105" t="s">
        <v>405</v>
      </c>
      <c r="F79" s="100"/>
      <c r="G79" s="34"/>
      <c r="H79" s="335"/>
      <c r="I79" s="97"/>
      <c r="J79" s="97" t="s">
        <v>412</v>
      </c>
      <c r="K79" s="336">
        <v>8849</v>
      </c>
      <c r="L79" s="337">
        <v>1303</v>
      </c>
      <c r="M79" s="319">
        <v>6957.441744478534</v>
      </c>
      <c r="N79" s="319">
        <v>14468</v>
      </c>
      <c r="O79" s="319">
        <v>7928.6352790439805</v>
      </c>
      <c r="P79" s="319">
        <v>15638.090852563731</v>
      </c>
      <c r="Q79" s="320">
        <v>6216.5</v>
      </c>
      <c r="R79" s="319">
        <v>18419.259259259255</v>
      </c>
      <c r="S79" s="235">
        <f>tblPiNAnalysis[[#This Row],[CCCM]]</f>
        <v>4387.5</v>
      </c>
      <c r="T79" s="236">
        <f>tblPiNAnalysis[[#This Row],[Education]]</f>
        <v>1916.1336092422125</v>
      </c>
      <c r="U79" s="219">
        <f>tblPiNAnalysis[[#This Row],[Nutrition]]</f>
        <v>12211.82251672217</v>
      </c>
      <c r="V79" s="219">
        <f>tblPiNAnalysis[[#This Row],[Food Security]]</f>
        <v>20297.572470561903</v>
      </c>
      <c r="W79" s="219">
        <f>tblPiNAnalysis[[#This Row],[Health]]</f>
        <v>19755.537132872738</v>
      </c>
      <c r="X79" s="219">
        <f>tblPiNAnalysis[[#This Row],[Overarching Protection]]</f>
        <v>24688</v>
      </c>
      <c r="Y79" s="219">
        <f>tblPiNAnalysis[[#This Row],[Shelter]]</f>
        <v>9786.0338379201185</v>
      </c>
      <c r="Z79" s="230">
        <f>tblPiNAnalysis[[#This Row],[WASH]]</f>
        <v>24356.350885490076</v>
      </c>
      <c r="AA79" s="339">
        <f>IF(OR(tblPiNHistorical[[#This Row],[CCCM - old]]="", tblPiNHistorical[[#This Row],[CCCM - old]]=0, tblPiNHistorical[[#This Row],[CCCM - new]]="", tblPiNHistorical[[#This Row],[CCCM - new]]=0), "", tblPiNHistorical[[#This Row],[CCCM - new]]-tblPiNHistorical[[#This Row],[CCCM - old]])</f>
        <v>-4461.5</v>
      </c>
      <c r="AB79" s="340">
        <f>IF(OR(tblPiNHistorical[[#This Row],[Education - old]]="", tblPiNHistorical[[#This Row],[Education - old]]=0, tblPiNHistorical[[#This Row],[Education - new]]="", tblPiNHistorical[[#This Row],[Education - new]]=0), "", tblPiNHistorical[[#This Row],[Education - new]]-tblPiNHistorical[[#This Row],[Education - old]])</f>
        <v>613.13360924221251</v>
      </c>
      <c r="AC79" s="340">
        <f>IF(OR(tblPiNHistorical[[#This Row],[Nutrition - old]]="", tblPiNHistorical[[#This Row],[Nutrition - old]]=0, tblPiNHistorical[[#This Row],[Nutrition - new]]="", tblPiNHistorical[[#This Row],[Nutrition - new]]=0), "", tblPiNHistorical[[#This Row],[Nutrition - new]]-tblPiNHistorical[[#This Row],[Nutrition - old]])</f>
        <v>5254.3807722436359</v>
      </c>
      <c r="AD79" s="340">
        <f>IF(OR(tblPiNHistorical[[#This Row],[Food Security - old]]="", tblPiNHistorical[[#This Row],[Food Security - old]]=0, tblPiNHistorical[[#This Row],[Food Security - new]]="", tblPiNHistorical[[#This Row],[Food Security - new]]=0), "", tblPiNHistorical[[#This Row],[Food Security - new]]-tblPiNHistorical[[#This Row],[Food Security - old]])</f>
        <v>5829.5724705619032</v>
      </c>
      <c r="AE79" s="340">
        <f>IF(OR(tblPiNHistorical[[#This Row],[Health - old]]="", tblPiNHistorical[[#This Row],[Health - old]]=0, tblPiNHistorical[[#This Row],[Health - new]]="", tblPiNHistorical[[#This Row],[Health - new]]=0), "", tblPiNHistorical[[#This Row],[Health - new]]-tblPiNHistorical[[#This Row],[Health - old]])</f>
        <v>11826.901853828756</v>
      </c>
      <c r="AF7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9049.9091474362685</v>
      </c>
      <c r="AG79" s="340">
        <f>IF(OR(tblPiNHistorical[[#This Row],[Shelter - old]]="", tblPiNHistorical[[#This Row],[Shelter - old]]=0, tblPiNHistorical[[#This Row],[Shelter - new]]="", tblPiNHistorical[[#This Row],[Shelter - new]]=0), "", tblPiNHistorical[[#This Row],[Shelter - new]]-tblPiNHistorical[[#This Row],[Shelter - old]])</f>
        <v>3569.5338379201185</v>
      </c>
      <c r="AH79" s="341">
        <f>IF(OR(tblPiNHistorical[[#This Row],[WASH - old]]="", tblPiNHistorical[[#This Row],[WASH - old]]=0, tblPiNHistorical[[#This Row],[WASH - new]]="", tblPiNHistorical[[#This Row],[WASH - new]]=0), "", tblPiNHistorical[[#This Row],[WASH - new]]-tblPiNHistorical[[#This Row],[WASH - old]])</f>
        <v>5937.0916262308201</v>
      </c>
      <c r="AI79" s="342">
        <f>IFERROR(ROUND((tblPiNHistorical[[#This Row],[CCCM - new]] - tblPiNHistorical[[#This Row],[CCCM - old]])/tblPiNHistorical[[#This Row],[CCCM - old]], 1), "")</f>
        <v>-0.5</v>
      </c>
      <c r="AJ79" s="343">
        <f>IFERROR(ROUND((tblPiNHistorical[[#This Row],[Education - new]]-tblPiNHistorical[[#This Row],[Education - old]])/tblPiNHistorical[[#This Row],[Education - old]], 1), "")</f>
        <v>0.5</v>
      </c>
      <c r="AK79" s="343">
        <f>IFERROR(ROUND((tblPiNHistorical[[#This Row],[Nutrition - new]]-tblPiNHistorical[[#This Row],[Nutrition - old]])/tblPiNHistorical[[#This Row],[Nutrition - old]], 1), "")</f>
        <v>0.8</v>
      </c>
      <c r="AL79" s="343">
        <f>IFERROR(ROUND((tblPiNHistorical[[#This Row],[Food Security - new]]-tblPiNHistorical[[#This Row],[Food Security - old]])/tblPiNHistorical[[#This Row],[Food Security - old]], 1), "")</f>
        <v>0.4</v>
      </c>
      <c r="AM79" s="343">
        <f>IFERROR(ROUND((tblPiNHistorical[[#This Row],[Health - new]]-tblPiNHistorical[[#This Row],[Health - old]])/tblPiNHistorical[[#This Row],[Health - old]], 1), "")</f>
        <v>1.5</v>
      </c>
      <c r="AN79" s="343">
        <f>IFERROR(ROUND((tblPiNHistorical[[#This Row],[Overarching Protection - new]]-tblPiNHistorical[[#This Row],[Overarching Protection - old]])/tblPiNHistorical[[#This Row],[Overarching Protection - old]], 1), "")</f>
        <v>0.6</v>
      </c>
      <c r="AO79" s="343">
        <f>IFERROR(ROUND((tblPiNHistorical[[#This Row],[Shelter - new]]-tblPiNHistorical[[#This Row],[Shelter - old]])/tblPiNHistorical[[#This Row],[Shelter - old]], 1), "")</f>
        <v>0.6</v>
      </c>
      <c r="AP79" s="38">
        <f>IFERROR(ROUND((tblPiNHistorical[[#This Row],[WASH - new]]-tblPiNHistorical[[#This Row],[WASH - old]])/tblPiNHistorical[[#This Row],[WASH - old]], 1), "")</f>
        <v>0.3</v>
      </c>
      <c r="AQ79" s="406">
        <v>18419.259259259255</v>
      </c>
      <c r="AR79" s="406">
        <v>24688</v>
      </c>
    </row>
    <row r="80" spans="1:44" ht="15" customHeight="1" x14ac:dyDescent="0.55000000000000004">
      <c r="A8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0" s="316" t="s">
        <v>390</v>
      </c>
      <c r="C80" s="218" t="s">
        <v>391</v>
      </c>
      <c r="D80" s="218" t="s">
        <v>406</v>
      </c>
      <c r="E80" s="105" t="s">
        <v>407</v>
      </c>
      <c r="F80" s="100"/>
      <c r="G80" s="34"/>
      <c r="H80" s="335"/>
      <c r="I80" s="97"/>
      <c r="J80" s="97" t="s">
        <v>412</v>
      </c>
      <c r="K80" s="336">
        <v>854.5</v>
      </c>
      <c r="L80" s="337">
        <v>190</v>
      </c>
      <c r="M80" s="319">
        <v>1147.441666595812</v>
      </c>
      <c r="N80" s="319">
        <v>442</v>
      </c>
      <c r="O80" s="319">
        <v>1776.2993070517805</v>
      </c>
      <c r="P80" s="319">
        <v>2081.7409603647998</v>
      </c>
      <c r="Q80" s="320">
        <v>131.46153846153848</v>
      </c>
      <c r="R80" s="319">
        <v>2088.7777777777778</v>
      </c>
      <c r="S80" s="235">
        <f>tblPiNAnalysis[[#This Row],[CCCM]]</f>
        <v>0</v>
      </c>
      <c r="T80" s="236">
        <f>tblPiNAnalysis[[#This Row],[Education]]</f>
        <v>529.06790875977435</v>
      </c>
      <c r="U80" s="219">
        <f>tblPiNAnalysis[[#This Row],[Nutrition]]</f>
        <v>1135.9991627354789</v>
      </c>
      <c r="V80" s="219">
        <f>tblPiNAnalysis[[#This Row],[Food Security]]</f>
        <v>536.39969440630443</v>
      </c>
      <c r="W80" s="219">
        <f>tblPiNAnalysis[[#This Row],[Health]]</f>
        <v>1199.984685202463</v>
      </c>
      <c r="X80" s="219">
        <f>tblPiNAnalysis[[#This Row],[Overarching Protection]]</f>
        <v>1933</v>
      </c>
      <c r="Y80" s="219">
        <f>tblPiNAnalysis[[#This Row],[Shelter]]</f>
        <v>2761.8509896481692</v>
      </c>
      <c r="Z80" s="230">
        <f>tblPiNAnalysis[[#This Row],[WASH]]</f>
        <v>2173.6790196305033</v>
      </c>
      <c r="AA80" s="339" t="str">
        <f>IF(OR(tblPiNHistorical[[#This Row],[CCCM - old]]="", tblPiNHistorical[[#This Row],[CCCM - old]]=0, tblPiNHistorical[[#This Row],[CCCM - new]]="", tblPiNHistorical[[#This Row],[CCCM - new]]=0), "", tblPiNHistorical[[#This Row],[CCCM - new]]-tblPiNHistorical[[#This Row],[CCCM - old]])</f>
        <v/>
      </c>
      <c r="AB80" s="340">
        <f>IF(OR(tblPiNHistorical[[#This Row],[Education - old]]="", tblPiNHistorical[[#This Row],[Education - old]]=0, tblPiNHistorical[[#This Row],[Education - new]]="", tblPiNHistorical[[#This Row],[Education - new]]=0), "", tblPiNHistorical[[#This Row],[Education - new]]-tblPiNHistorical[[#This Row],[Education - old]])</f>
        <v>339.06790875977435</v>
      </c>
      <c r="AC80" s="340">
        <f>IF(OR(tblPiNHistorical[[#This Row],[Nutrition - old]]="", tblPiNHistorical[[#This Row],[Nutrition - old]]=0, tblPiNHistorical[[#This Row],[Nutrition - new]]="", tblPiNHistorical[[#This Row],[Nutrition - new]]=0), "", tblPiNHistorical[[#This Row],[Nutrition - new]]-tblPiNHistorical[[#This Row],[Nutrition - old]])</f>
        <v>-11.44250386033309</v>
      </c>
      <c r="AD80" s="340">
        <f>IF(OR(tblPiNHistorical[[#This Row],[Food Security - old]]="", tblPiNHistorical[[#This Row],[Food Security - old]]=0, tblPiNHistorical[[#This Row],[Food Security - new]]="", tblPiNHistorical[[#This Row],[Food Security - new]]=0), "", tblPiNHistorical[[#This Row],[Food Security - new]]-tblPiNHistorical[[#This Row],[Food Security - old]])</f>
        <v>94.399694406304434</v>
      </c>
      <c r="AE80" s="340">
        <f>IF(OR(tblPiNHistorical[[#This Row],[Health - old]]="", tblPiNHistorical[[#This Row],[Health - old]]=0, tblPiNHistorical[[#This Row],[Health - new]]="", tblPiNHistorical[[#This Row],[Health - new]]=0), "", tblPiNHistorical[[#This Row],[Health - new]]-tblPiNHistorical[[#This Row],[Health - old]])</f>
        <v>-576.31462184931752</v>
      </c>
      <c r="AF8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-148.74096036479978</v>
      </c>
      <c r="AG80" s="340">
        <f>IF(OR(tblPiNHistorical[[#This Row],[Shelter - old]]="", tblPiNHistorical[[#This Row],[Shelter - old]]=0, tblPiNHistorical[[#This Row],[Shelter - new]]="", tblPiNHistorical[[#This Row],[Shelter - new]]=0), "", tblPiNHistorical[[#This Row],[Shelter - new]]-tblPiNHistorical[[#This Row],[Shelter - old]])</f>
        <v>2630.3894511866306</v>
      </c>
      <c r="AH80" s="341">
        <f>IF(OR(tblPiNHistorical[[#This Row],[WASH - old]]="", tblPiNHistorical[[#This Row],[WASH - old]]=0, tblPiNHistorical[[#This Row],[WASH - new]]="", tblPiNHistorical[[#This Row],[WASH - new]]=0), "", tblPiNHistorical[[#This Row],[WASH - new]]-tblPiNHistorical[[#This Row],[WASH - old]])</f>
        <v>84.901241852725434</v>
      </c>
      <c r="AI80" s="342">
        <f>IFERROR(ROUND((tblPiNHistorical[[#This Row],[CCCM - new]] - tblPiNHistorical[[#This Row],[CCCM - old]])/tblPiNHistorical[[#This Row],[CCCM - old]], 1), "")</f>
        <v>-1</v>
      </c>
      <c r="AJ80" s="343">
        <f>IFERROR(ROUND((tblPiNHistorical[[#This Row],[Education - new]]-tblPiNHistorical[[#This Row],[Education - old]])/tblPiNHistorical[[#This Row],[Education - old]], 1), "")</f>
        <v>1.8</v>
      </c>
      <c r="AK80" s="343">
        <f>IFERROR(ROUND((tblPiNHistorical[[#This Row],[Nutrition - new]]-tblPiNHistorical[[#This Row],[Nutrition - old]])/tblPiNHistorical[[#This Row],[Nutrition - old]], 1), "")</f>
        <v>0</v>
      </c>
      <c r="AL80" s="343">
        <f>IFERROR(ROUND((tblPiNHistorical[[#This Row],[Food Security - new]]-tblPiNHistorical[[#This Row],[Food Security - old]])/tblPiNHistorical[[#This Row],[Food Security - old]], 1), "")</f>
        <v>0.2</v>
      </c>
      <c r="AM80" s="343">
        <f>IFERROR(ROUND((tblPiNHistorical[[#This Row],[Health - new]]-tblPiNHistorical[[#This Row],[Health - old]])/tblPiNHistorical[[#This Row],[Health - old]], 1), "")</f>
        <v>-0.3</v>
      </c>
      <c r="AN80" s="343">
        <f>IFERROR(ROUND((tblPiNHistorical[[#This Row],[Overarching Protection - new]]-tblPiNHistorical[[#This Row],[Overarching Protection - old]])/tblPiNHistorical[[#This Row],[Overarching Protection - old]], 1), "")</f>
        <v>-0.1</v>
      </c>
      <c r="AO80" s="343">
        <f>IFERROR(ROUND((tblPiNHistorical[[#This Row],[Shelter - new]]-tblPiNHistorical[[#This Row],[Shelter - old]])/tblPiNHistorical[[#This Row],[Shelter - old]], 1), "")</f>
        <v>20</v>
      </c>
      <c r="AP80" s="38">
        <f>IFERROR(ROUND((tblPiNHistorical[[#This Row],[WASH - new]]-tblPiNHistorical[[#This Row],[WASH - old]])/tblPiNHistorical[[#This Row],[WASH - old]], 1), "")</f>
        <v>0</v>
      </c>
      <c r="AQ80" s="406">
        <v>2088.7777777777778</v>
      </c>
      <c r="AR80" s="406">
        <v>2761.8509896481692</v>
      </c>
    </row>
    <row r="81" spans="1:44" ht="15" customHeight="1" x14ac:dyDescent="0.55000000000000004">
      <c r="A8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1" s="316" t="s">
        <v>390</v>
      </c>
      <c r="C81" s="218" t="s">
        <v>391</v>
      </c>
      <c r="D81" s="218" t="s">
        <v>408</v>
      </c>
      <c r="E81" s="105" t="s">
        <v>409</v>
      </c>
      <c r="F81" s="100"/>
      <c r="G81" s="34"/>
      <c r="H81" s="335"/>
      <c r="I81" s="97"/>
      <c r="J81" s="97" t="s">
        <v>412</v>
      </c>
      <c r="K81" s="336">
        <v>22496</v>
      </c>
      <c r="L81" s="337">
        <v>4753</v>
      </c>
      <c r="M81" s="319">
        <v>6925.9088853527728</v>
      </c>
      <c r="N81" s="319">
        <v>11856</v>
      </c>
      <c r="O81" s="319">
        <v>8590.9705677453458</v>
      </c>
      <c r="P81" s="319">
        <v>17794.6933146095</v>
      </c>
      <c r="Q81" s="320">
        <v>7218.2795698924729</v>
      </c>
      <c r="R81" s="319">
        <v>12431.481481481485</v>
      </c>
      <c r="S81" s="235">
        <f>tblPiNAnalysis[[#This Row],[CCCM]]</f>
        <v>24855.8360229996</v>
      </c>
      <c r="T81" s="236">
        <f>tblPiNAnalysis[[#This Row],[Education]]</f>
        <v>5005.1948441154063</v>
      </c>
      <c r="U81" s="219">
        <f>tblPiNAnalysis[[#This Row],[Nutrition]]</f>
        <v>8189.1338242402062</v>
      </c>
      <c r="V81" s="219">
        <f>tblPiNAnalysis[[#This Row],[Food Security]]</f>
        <v>10683.7141002236</v>
      </c>
      <c r="W81" s="219">
        <f>tblPiNAnalysis[[#This Row],[Health]]</f>
        <v>15120.438459041348</v>
      </c>
      <c r="X81" s="219">
        <f>tblPiNAnalysis[[#This Row],[Overarching Protection]]</f>
        <v>19885</v>
      </c>
      <c r="Y81" s="219">
        <f>tblPiNAnalysis[[#This Row],[Shelter]]</f>
        <v>24124.782022323139</v>
      </c>
      <c r="Z81" s="230">
        <f>tblPiNAnalysis[[#This Row],[WASH]]</f>
        <v>19102.170276934878</v>
      </c>
      <c r="AA81" s="339">
        <f>IF(OR(tblPiNHistorical[[#This Row],[CCCM - old]]="", tblPiNHistorical[[#This Row],[CCCM - old]]=0, tblPiNHistorical[[#This Row],[CCCM - new]]="", tblPiNHistorical[[#This Row],[CCCM - new]]=0), "", tblPiNHistorical[[#This Row],[CCCM - new]]-tblPiNHistorical[[#This Row],[CCCM - old]])</f>
        <v>2359.8360229995997</v>
      </c>
      <c r="AB81" s="340">
        <f>IF(OR(tblPiNHistorical[[#This Row],[Education - old]]="", tblPiNHistorical[[#This Row],[Education - old]]=0, tblPiNHistorical[[#This Row],[Education - new]]="", tblPiNHistorical[[#This Row],[Education - new]]=0), "", tblPiNHistorical[[#This Row],[Education - new]]-tblPiNHistorical[[#This Row],[Education - old]])</f>
        <v>252.19484411540634</v>
      </c>
      <c r="AC81" s="340">
        <f>IF(OR(tblPiNHistorical[[#This Row],[Nutrition - old]]="", tblPiNHistorical[[#This Row],[Nutrition - old]]=0, tblPiNHistorical[[#This Row],[Nutrition - new]]="", tblPiNHistorical[[#This Row],[Nutrition - new]]=0), "", tblPiNHistorical[[#This Row],[Nutrition - new]]-tblPiNHistorical[[#This Row],[Nutrition - old]])</f>
        <v>1263.2249388874334</v>
      </c>
      <c r="AD81" s="340">
        <f>IF(OR(tblPiNHistorical[[#This Row],[Food Security - old]]="", tblPiNHistorical[[#This Row],[Food Security - old]]=0, tblPiNHistorical[[#This Row],[Food Security - new]]="", tblPiNHistorical[[#This Row],[Food Security - new]]=0), "", tblPiNHistorical[[#This Row],[Food Security - new]]-tblPiNHistorical[[#This Row],[Food Security - old]])</f>
        <v>-1172.2858997763997</v>
      </c>
      <c r="AE81" s="340">
        <f>IF(OR(tblPiNHistorical[[#This Row],[Health - old]]="", tblPiNHistorical[[#This Row],[Health - old]]=0, tblPiNHistorical[[#This Row],[Health - new]]="", tblPiNHistorical[[#This Row],[Health - new]]=0), "", tblPiNHistorical[[#This Row],[Health - new]]-tblPiNHistorical[[#This Row],[Health - old]])</f>
        <v>6529.4678912960026</v>
      </c>
      <c r="AF8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2090.3066853905002</v>
      </c>
      <c r="AG81" s="340">
        <f>IF(OR(tblPiNHistorical[[#This Row],[Shelter - old]]="", tblPiNHistorical[[#This Row],[Shelter - old]]=0, tblPiNHistorical[[#This Row],[Shelter - new]]="", tblPiNHistorical[[#This Row],[Shelter - new]]=0), "", tblPiNHistorical[[#This Row],[Shelter - new]]-tblPiNHistorical[[#This Row],[Shelter - old]])</f>
        <v>16906.502452430665</v>
      </c>
      <c r="AH81" s="341">
        <f>IF(OR(tblPiNHistorical[[#This Row],[WASH - old]]="", tblPiNHistorical[[#This Row],[WASH - old]]=0, tblPiNHistorical[[#This Row],[WASH - new]]="", tblPiNHistorical[[#This Row],[WASH - new]]=0), "", tblPiNHistorical[[#This Row],[WASH - new]]-tblPiNHistorical[[#This Row],[WASH - old]])</f>
        <v>6670.6887954533922</v>
      </c>
      <c r="AI81" s="342">
        <f>IFERROR(ROUND((tblPiNHistorical[[#This Row],[CCCM - new]] - tblPiNHistorical[[#This Row],[CCCM - old]])/tblPiNHistorical[[#This Row],[CCCM - old]], 1), "")</f>
        <v>0.1</v>
      </c>
      <c r="AJ81" s="343">
        <f>IFERROR(ROUND((tblPiNHistorical[[#This Row],[Education - new]]-tblPiNHistorical[[#This Row],[Education - old]])/tblPiNHistorical[[#This Row],[Education - old]], 1), "")</f>
        <v>0.1</v>
      </c>
      <c r="AK81" s="343">
        <f>IFERROR(ROUND((tblPiNHistorical[[#This Row],[Nutrition - new]]-tblPiNHistorical[[#This Row],[Nutrition - old]])/tblPiNHistorical[[#This Row],[Nutrition - old]], 1), "")</f>
        <v>0.2</v>
      </c>
      <c r="AL81" s="343">
        <f>IFERROR(ROUND((tblPiNHistorical[[#This Row],[Food Security - new]]-tblPiNHistorical[[#This Row],[Food Security - old]])/tblPiNHistorical[[#This Row],[Food Security - old]], 1), "")</f>
        <v>-0.1</v>
      </c>
      <c r="AM81" s="343">
        <f>IFERROR(ROUND((tblPiNHistorical[[#This Row],[Health - new]]-tblPiNHistorical[[#This Row],[Health - old]])/tblPiNHistorical[[#This Row],[Health - old]], 1), "")</f>
        <v>0.8</v>
      </c>
      <c r="AN81" s="343">
        <f>IFERROR(ROUND((tblPiNHistorical[[#This Row],[Overarching Protection - new]]-tblPiNHistorical[[#This Row],[Overarching Protection - old]])/tblPiNHistorical[[#This Row],[Overarching Protection - old]], 1), "")</f>
        <v>0.1</v>
      </c>
      <c r="AO81" s="343">
        <f>IFERROR(ROUND((tblPiNHistorical[[#This Row],[Shelter - new]]-tblPiNHistorical[[#This Row],[Shelter - old]])/tblPiNHistorical[[#This Row],[Shelter - old]], 1), "")</f>
        <v>2.2999999999999998</v>
      </c>
      <c r="AP81" s="38">
        <f>IFERROR(ROUND((tblPiNHistorical[[#This Row],[WASH - new]]-tblPiNHistorical[[#This Row],[WASH - old]])/tblPiNHistorical[[#This Row],[WASH - old]], 1), "")</f>
        <v>0.5</v>
      </c>
      <c r="AQ81" s="406">
        <v>22496</v>
      </c>
      <c r="AR81" s="406">
        <v>24855.8360229996</v>
      </c>
    </row>
    <row r="82" spans="1:44" ht="15" customHeight="1" x14ac:dyDescent="0.55000000000000004">
      <c r="A8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2" s="316" t="s">
        <v>390</v>
      </c>
      <c r="C82" s="218" t="s">
        <v>391</v>
      </c>
      <c r="D82" s="218" t="s">
        <v>410</v>
      </c>
      <c r="E82" s="105" t="s">
        <v>411</v>
      </c>
      <c r="F82" s="100"/>
      <c r="G82" s="34"/>
      <c r="H82" s="335"/>
      <c r="I82" s="97"/>
      <c r="J82" s="97" t="s">
        <v>412</v>
      </c>
      <c r="K82" s="336">
        <v>1689.5</v>
      </c>
      <c r="L82" s="337">
        <v>1367</v>
      </c>
      <c r="M82" s="319">
        <v>1573.1449643890392</v>
      </c>
      <c r="N82" s="319">
        <v>1310</v>
      </c>
      <c r="O82" s="319">
        <v>2867.9093064198482</v>
      </c>
      <c r="P82" s="319">
        <v>4938.3392770144455</v>
      </c>
      <c r="Q82" s="320">
        <v>519.84615384615392</v>
      </c>
      <c r="R82" s="319">
        <v>2480</v>
      </c>
      <c r="S82" s="235">
        <f>tblPiNAnalysis[[#This Row],[CCCM]]</f>
        <v>0</v>
      </c>
      <c r="T82" s="236">
        <f>tblPiNAnalysis[[#This Row],[Education]]</f>
        <v>2032.0839522128661</v>
      </c>
      <c r="U82" s="219">
        <f>tblPiNAnalysis[[#This Row],[Nutrition]]</f>
        <v>3636.2835444713837</v>
      </c>
      <c r="V82" s="219">
        <f>tblPiNAnalysis[[#This Row],[Food Security]]</f>
        <v>2782.9095656369154</v>
      </c>
      <c r="W82" s="219">
        <f>tblPiNAnalysis[[#This Row],[Health]]</f>
        <v>5371.2361664480359</v>
      </c>
      <c r="X82" s="219">
        <f>tblPiNAnalysis[[#This Row],[Overarching Protection]]</f>
        <v>8779</v>
      </c>
      <c r="Y82" s="219">
        <f>tblPiNAnalysis[[#This Row],[Shelter]]</f>
        <v>8779.0381138500288</v>
      </c>
      <c r="Z82" s="230">
        <f>tblPiNAnalysis[[#This Row],[WASH]]</f>
        <v>8230.3482317344024</v>
      </c>
      <c r="AA82" s="339" t="str">
        <f>IF(OR(tblPiNHistorical[[#This Row],[CCCM - old]]="", tblPiNHistorical[[#This Row],[CCCM - old]]=0, tblPiNHistorical[[#This Row],[CCCM - new]]="", tblPiNHistorical[[#This Row],[CCCM - new]]=0), "", tblPiNHistorical[[#This Row],[CCCM - new]]-tblPiNHistorical[[#This Row],[CCCM - old]])</f>
        <v/>
      </c>
      <c r="AB82" s="340">
        <f>IF(OR(tblPiNHistorical[[#This Row],[Education - old]]="", tblPiNHistorical[[#This Row],[Education - old]]=0, tblPiNHistorical[[#This Row],[Education - new]]="", tblPiNHistorical[[#This Row],[Education - new]]=0), "", tblPiNHistorical[[#This Row],[Education - new]]-tblPiNHistorical[[#This Row],[Education - old]])</f>
        <v>665.08395221286605</v>
      </c>
      <c r="AC82" s="340">
        <f>IF(OR(tblPiNHistorical[[#This Row],[Nutrition - old]]="", tblPiNHistorical[[#This Row],[Nutrition - old]]=0, tblPiNHistorical[[#This Row],[Nutrition - new]]="", tblPiNHistorical[[#This Row],[Nutrition - new]]=0), "", tblPiNHistorical[[#This Row],[Nutrition - new]]-tblPiNHistorical[[#This Row],[Nutrition - old]])</f>
        <v>2063.1385800823446</v>
      </c>
      <c r="AD82" s="340">
        <f>IF(OR(tblPiNHistorical[[#This Row],[Food Security - old]]="", tblPiNHistorical[[#This Row],[Food Security - old]]=0, tblPiNHistorical[[#This Row],[Food Security - new]]="", tblPiNHistorical[[#This Row],[Food Security - new]]=0), "", tblPiNHistorical[[#This Row],[Food Security - new]]-tblPiNHistorical[[#This Row],[Food Security - old]])</f>
        <v>1472.9095656369154</v>
      </c>
      <c r="AE82" s="340">
        <f>IF(OR(tblPiNHistorical[[#This Row],[Health - old]]="", tblPiNHistorical[[#This Row],[Health - old]]=0, tblPiNHistorical[[#This Row],[Health - new]]="", tblPiNHistorical[[#This Row],[Health - new]]=0), "", tblPiNHistorical[[#This Row],[Health - new]]-tblPiNHistorical[[#This Row],[Health - old]])</f>
        <v>2503.3268600281876</v>
      </c>
      <c r="AF8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3840.6607229855545</v>
      </c>
      <c r="AG82" s="340">
        <f>IF(OR(tblPiNHistorical[[#This Row],[Shelter - old]]="", tblPiNHistorical[[#This Row],[Shelter - old]]=0, tblPiNHistorical[[#This Row],[Shelter - new]]="", tblPiNHistorical[[#This Row],[Shelter - new]]=0), "", tblPiNHistorical[[#This Row],[Shelter - new]]-tblPiNHistorical[[#This Row],[Shelter - old]])</f>
        <v>8259.1919600038746</v>
      </c>
      <c r="AH82" s="341">
        <f>IF(OR(tblPiNHistorical[[#This Row],[WASH - old]]="", tblPiNHistorical[[#This Row],[WASH - old]]=0, tblPiNHistorical[[#This Row],[WASH - new]]="", tblPiNHistorical[[#This Row],[WASH - new]]=0), "", tblPiNHistorical[[#This Row],[WASH - new]]-tblPiNHistorical[[#This Row],[WASH - old]])</f>
        <v>5750.3482317344024</v>
      </c>
      <c r="AI82" s="342">
        <f>IFERROR(ROUND((tblPiNHistorical[[#This Row],[CCCM - new]] - tblPiNHistorical[[#This Row],[CCCM - old]])/tblPiNHistorical[[#This Row],[CCCM - old]], 1), "")</f>
        <v>-1</v>
      </c>
      <c r="AJ82" s="343">
        <f>IFERROR(ROUND((tblPiNHistorical[[#This Row],[Education - new]]-tblPiNHistorical[[#This Row],[Education - old]])/tblPiNHistorical[[#This Row],[Education - old]], 1), "")</f>
        <v>0.5</v>
      </c>
      <c r="AK82" s="343">
        <f>IFERROR(ROUND((tblPiNHistorical[[#This Row],[Nutrition - new]]-tblPiNHistorical[[#This Row],[Nutrition - old]])/tblPiNHistorical[[#This Row],[Nutrition - old]], 1), "")</f>
        <v>1.3</v>
      </c>
      <c r="AL82" s="343">
        <f>IFERROR(ROUND((tblPiNHistorical[[#This Row],[Food Security - new]]-tblPiNHistorical[[#This Row],[Food Security - old]])/tblPiNHistorical[[#This Row],[Food Security - old]], 1), "")</f>
        <v>1.1000000000000001</v>
      </c>
      <c r="AM82" s="343">
        <f>IFERROR(ROUND((tblPiNHistorical[[#This Row],[Health - new]]-tblPiNHistorical[[#This Row],[Health - old]])/tblPiNHistorical[[#This Row],[Health - old]], 1), "")</f>
        <v>0.9</v>
      </c>
      <c r="AN82" s="343">
        <f>IFERROR(ROUND((tblPiNHistorical[[#This Row],[Overarching Protection - new]]-tblPiNHistorical[[#This Row],[Overarching Protection - old]])/tblPiNHistorical[[#This Row],[Overarching Protection - old]], 1), "")</f>
        <v>0.8</v>
      </c>
      <c r="AO82" s="343">
        <f>IFERROR(ROUND((tblPiNHistorical[[#This Row],[Shelter - new]]-tblPiNHistorical[[#This Row],[Shelter - old]])/tblPiNHistorical[[#This Row],[Shelter - old]], 1), "")</f>
        <v>15.9</v>
      </c>
      <c r="AP82" s="38">
        <f>IFERROR(ROUND((tblPiNHistorical[[#This Row],[WASH - new]]-tblPiNHistorical[[#This Row],[WASH - old]])/tblPiNHistorical[[#This Row],[WASH - old]], 1), "")</f>
        <v>2.2999999999999998</v>
      </c>
      <c r="AQ82" s="406">
        <v>4938.3392770144455</v>
      </c>
      <c r="AR82" s="406">
        <v>8779.0381138500288</v>
      </c>
    </row>
    <row r="83" spans="1:44" ht="15" customHeight="1" x14ac:dyDescent="0.55000000000000004">
      <c r="A8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3" s="316" t="s">
        <v>233</v>
      </c>
      <c r="C83" s="218" t="s">
        <v>234</v>
      </c>
      <c r="D83" s="218" t="s">
        <v>233</v>
      </c>
      <c r="E83" s="105" t="s">
        <v>235</v>
      </c>
      <c r="F83" s="100"/>
      <c r="G83" s="34"/>
      <c r="H83" s="335"/>
      <c r="I83" s="97"/>
      <c r="J83" s="97" t="s">
        <v>413</v>
      </c>
      <c r="K83" s="336">
        <v>0</v>
      </c>
      <c r="L83" s="337">
        <v>3856</v>
      </c>
      <c r="M83" s="319">
        <v>29315.374427416511</v>
      </c>
      <c r="N83" s="319">
        <v>31836</v>
      </c>
      <c r="O83" s="319">
        <v>19182.06962886047</v>
      </c>
      <c r="P83" s="319">
        <v>17506.659448750001</v>
      </c>
      <c r="Q83" s="320">
        <v>13421.558620689657</v>
      </c>
      <c r="R83" s="319">
        <v>17411.255814814813</v>
      </c>
      <c r="S83" s="235">
        <f>tblPiNAnalysis[[#This Row],[CCCM]]</f>
        <v>0</v>
      </c>
      <c r="T83" s="236">
        <f>tblPiNAnalysis[[#This Row],[Education]]</f>
        <v>1280.3819825051648</v>
      </c>
      <c r="U83" s="219">
        <f>tblPiNAnalysis[[#This Row],[Nutrition]]</f>
        <v>7035.6908697905883</v>
      </c>
      <c r="V83" s="219">
        <f>tblPiNAnalysis[[#This Row],[Food Security]]</f>
        <v>8960.7014556909598</v>
      </c>
      <c r="W83" s="219">
        <f>tblPiNAnalysis[[#This Row],[Health]]</f>
        <v>10162.535731393538</v>
      </c>
      <c r="X83" s="219">
        <f>tblPiNAnalysis[[#This Row],[Overarching Protection]]</f>
        <v>2555</v>
      </c>
      <c r="Y83" s="219">
        <f>tblPiNAnalysis[[#This Row],[Shelter]]</f>
        <v>4573.7870962039569</v>
      </c>
      <c r="Z83" s="230">
        <f>tblPiNAnalysis[[#This Row],[WASH]]</f>
        <v>5645.423203285558</v>
      </c>
      <c r="AA83" s="339" t="str">
        <f>IF(OR(tblPiNHistorical[[#This Row],[CCCM - old]]="", tblPiNHistorical[[#This Row],[CCCM - old]]=0, tblPiNHistorical[[#This Row],[CCCM - new]]="", tblPiNHistorical[[#This Row],[CCCM - new]]=0), "", tblPiNHistorical[[#This Row],[CCCM - new]]-tblPiNHistorical[[#This Row],[CCCM - old]])</f>
        <v/>
      </c>
      <c r="AB83" s="340">
        <f>IF(OR(tblPiNHistorical[[#This Row],[Education - old]]="", tblPiNHistorical[[#This Row],[Education - old]]=0, tblPiNHistorical[[#This Row],[Education - new]]="", tblPiNHistorical[[#This Row],[Education - new]]=0), "", tblPiNHistorical[[#This Row],[Education - new]]-tblPiNHistorical[[#This Row],[Education - old]])</f>
        <v>-2575.6180174948349</v>
      </c>
      <c r="AC83" s="340">
        <f>IF(OR(tblPiNHistorical[[#This Row],[Nutrition - old]]="", tblPiNHistorical[[#This Row],[Nutrition - old]]=0, tblPiNHistorical[[#This Row],[Nutrition - new]]="", tblPiNHistorical[[#This Row],[Nutrition - new]]=0), "", tblPiNHistorical[[#This Row],[Nutrition - new]]-tblPiNHistorical[[#This Row],[Nutrition - old]])</f>
        <v>-22279.683557625922</v>
      </c>
      <c r="AD83" s="340">
        <f>IF(OR(tblPiNHistorical[[#This Row],[Food Security - old]]="", tblPiNHistorical[[#This Row],[Food Security - old]]=0, tblPiNHistorical[[#This Row],[Food Security - new]]="", tblPiNHistorical[[#This Row],[Food Security - new]]=0), "", tblPiNHistorical[[#This Row],[Food Security - new]]-tblPiNHistorical[[#This Row],[Food Security - old]])</f>
        <v>-22875.29854430904</v>
      </c>
      <c r="AE83" s="340">
        <f>IF(OR(tblPiNHistorical[[#This Row],[Health - old]]="", tblPiNHistorical[[#This Row],[Health - old]]=0, tblPiNHistorical[[#This Row],[Health - new]]="", tblPiNHistorical[[#This Row],[Health - new]]=0), "", tblPiNHistorical[[#This Row],[Health - new]]-tblPiNHistorical[[#This Row],[Health - old]])</f>
        <v>-9019.5338974669321</v>
      </c>
      <c r="AF8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-14951.659448750001</v>
      </c>
      <c r="AG83" s="340">
        <f>IF(OR(tblPiNHistorical[[#This Row],[Shelter - old]]="", tblPiNHistorical[[#This Row],[Shelter - old]]=0, tblPiNHistorical[[#This Row],[Shelter - new]]="", tblPiNHistorical[[#This Row],[Shelter - new]]=0), "", tblPiNHistorical[[#This Row],[Shelter - new]]-tblPiNHistorical[[#This Row],[Shelter - old]])</f>
        <v>-8847.771524485699</v>
      </c>
      <c r="AH83" s="341">
        <f>IF(OR(tblPiNHistorical[[#This Row],[WASH - old]]="", tblPiNHistorical[[#This Row],[WASH - old]]=0, tblPiNHistorical[[#This Row],[WASH - new]]="", tblPiNHistorical[[#This Row],[WASH - new]]=0), "", tblPiNHistorical[[#This Row],[WASH - new]]-tblPiNHistorical[[#This Row],[WASH - old]])</f>
        <v>-11765.832611529255</v>
      </c>
      <c r="AI83" s="342" t="str">
        <f>IFERROR(ROUND((tblPiNHistorical[[#This Row],[CCCM - new]] - tblPiNHistorical[[#This Row],[CCCM - old]])/tblPiNHistorical[[#This Row],[CCCM - old]], 1), "")</f>
        <v/>
      </c>
      <c r="AJ83" s="343">
        <f>IFERROR(ROUND((tblPiNHistorical[[#This Row],[Education - new]]-tblPiNHistorical[[#This Row],[Education - old]])/tblPiNHistorical[[#This Row],[Education - old]], 1), "")</f>
        <v>-0.7</v>
      </c>
      <c r="AK83" s="343">
        <f>IFERROR(ROUND((tblPiNHistorical[[#This Row],[Nutrition - new]]-tblPiNHistorical[[#This Row],[Nutrition - old]])/tblPiNHistorical[[#This Row],[Nutrition - old]], 1), "")</f>
        <v>-0.8</v>
      </c>
      <c r="AL83" s="343">
        <f>IFERROR(ROUND((tblPiNHistorical[[#This Row],[Food Security - new]]-tblPiNHistorical[[#This Row],[Food Security - old]])/tblPiNHistorical[[#This Row],[Food Security - old]], 1), "")</f>
        <v>-0.7</v>
      </c>
      <c r="AM83" s="343">
        <f>IFERROR(ROUND((tblPiNHistorical[[#This Row],[Health - new]]-tblPiNHistorical[[#This Row],[Health - old]])/tblPiNHistorical[[#This Row],[Health - old]], 1), "")</f>
        <v>-0.5</v>
      </c>
      <c r="AN83" s="343">
        <f>IFERROR(ROUND((tblPiNHistorical[[#This Row],[Overarching Protection - new]]-tblPiNHistorical[[#This Row],[Overarching Protection - old]])/tblPiNHistorical[[#This Row],[Overarching Protection - old]], 1), "")</f>
        <v>-0.9</v>
      </c>
      <c r="AO83" s="343">
        <f>IFERROR(ROUND((tblPiNHistorical[[#This Row],[Shelter - new]]-tblPiNHistorical[[#This Row],[Shelter - old]])/tblPiNHistorical[[#This Row],[Shelter - old]], 1), "")</f>
        <v>-0.7</v>
      </c>
      <c r="AP83" s="38">
        <f>IFERROR(ROUND((tblPiNHistorical[[#This Row],[WASH - new]]-tblPiNHistorical[[#This Row],[WASH - old]])/tblPiNHistorical[[#This Row],[WASH - old]], 1), "")</f>
        <v>-0.7</v>
      </c>
      <c r="AQ83" s="406">
        <v>31836</v>
      </c>
      <c r="AR83" s="406">
        <v>10162.535731393538</v>
      </c>
    </row>
    <row r="84" spans="1:44" ht="15" customHeight="1" x14ac:dyDescent="0.55000000000000004">
      <c r="A8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4" s="316" t="s">
        <v>236</v>
      </c>
      <c r="C84" s="218" t="s">
        <v>237</v>
      </c>
      <c r="D84" s="218" t="s">
        <v>238</v>
      </c>
      <c r="E84" s="105" t="s">
        <v>239</v>
      </c>
      <c r="F84" s="100"/>
      <c r="G84" s="34"/>
      <c r="H84" s="335"/>
      <c r="I84" s="97"/>
      <c r="J84" s="97" t="s">
        <v>413</v>
      </c>
      <c r="K84" s="336">
        <v>0</v>
      </c>
      <c r="L84" s="337">
        <v>25066</v>
      </c>
      <c r="M84" s="319">
        <v>75910.136452734761</v>
      </c>
      <c r="N84" s="319">
        <v>185931</v>
      </c>
      <c r="O84" s="319">
        <v>56858.48697431742</v>
      </c>
      <c r="P84" s="319">
        <v>96129.62990945614</v>
      </c>
      <c r="Q84" s="320">
        <v>68133.048077817177</v>
      </c>
      <c r="R84" s="319">
        <v>155989.3946213249</v>
      </c>
      <c r="S84" s="235">
        <f>tblPiNAnalysis[[#This Row],[CCCM]]</f>
        <v>0</v>
      </c>
      <c r="T84" s="236">
        <f>tblPiNAnalysis[[#This Row],[Education]]</f>
        <v>34506.328912287157</v>
      </c>
      <c r="U84" s="219">
        <f>tblPiNAnalysis[[#This Row],[Nutrition]]</f>
        <v>121870.66637679518</v>
      </c>
      <c r="V84" s="219">
        <f>tblPiNAnalysis[[#This Row],[Food Security]]</f>
        <v>218524.29063527889</v>
      </c>
      <c r="W84" s="219">
        <f>tblPiNAnalysis[[#This Row],[Health]]</f>
        <v>172216.93776355864</v>
      </c>
      <c r="X84" s="219">
        <f>tblPiNAnalysis[[#This Row],[Overarching Protection]]</f>
        <v>109312</v>
      </c>
      <c r="Y84" s="219">
        <f>tblPiNAnalysis[[#This Row],[Shelter]]</f>
        <v>115937.20734302783</v>
      </c>
      <c r="Z84" s="230">
        <f>tblPiNAnalysis[[#This Row],[WASH]]</f>
        <v>121395.29015625475</v>
      </c>
      <c r="AA84" s="339" t="str">
        <f>IF(OR(tblPiNHistorical[[#This Row],[CCCM - old]]="", tblPiNHistorical[[#This Row],[CCCM - old]]=0, tblPiNHistorical[[#This Row],[CCCM - new]]="", tblPiNHistorical[[#This Row],[CCCM - new]]=0), "", tblPiNHistorical[[#This Row],[CCCM - new]]-tblPiNHistorical[[#This Row],[CCCM - old]])</f>
        <v/>
      </c>
      <c r="AB84" s="340">
        <f>IF(OR(tblPiNHistorical[[#This Row],[Education - old]]="", tblPiNHistorical[[#This Row],[Education - old]]=0, tblPiNHistorical[[#This Row],[Education - new]]="", tblPiNHistorical[[#This Row],[Education - new]]=0), "", tblPiNHistorical[[#This Row],[Education - new]]-tblPiNHistorical[[#This Row],[Education - old]])</f>
        <v>9440.3289122871574</v>
      </c>
      <c r="AC84" s="340">
        <f>IF(OR(tblPiNHistorical[[#This Row],[Nutrition - old]]="", tblPiNHistorical[[#This Row],[Nutrition - old]]=0, tblPiNHistorical[[#This Row],[Nutrition - new]]="", tblPiNHistorical[[#This Row],[Nutrition - new]]=0), "", tblPiNHistorical[[#This Row],[Nutrition - new]]-tblPiNHistorical[[#This Row],[Nutrition - old]])</f>
        <v>45960.529924060422</v>
      </c>
      <c r="AD84" s="340">
        <f>IF(OR(tblPiNHistorical[[#This Row],[Food Security - old]]="", tblPiNHistorical[[#This Row],[Food Security - old]]=0, tblPiNHistorical[[#This Row],[Food Security - new]]="", tblPiNHistorical[[#This Row],[Food Security - new]]=0), "", tblPiNHistorical[[#This Row],[Food Security - new]]-tblPiNHistorical[[#This Row],[Food Security - old]])</f>
        <v>32593.290635278885</v>
      </c>
      <c r="AE84" s="340">
        <f>IF(OR(tblPiNHistorical[[#This Row],[Health - old]]="", tblPiNHistorical[[#This Row],[Health - old]]=0, tblPiNHistorical[[#This Row],[Health - new]]="", tblPiNHistorical[[#This Row],[Health - new]]=0), "", tblPiNHistorical[[#This Row],[Health - new]]-tblPiNHistorical[[#This Row],[Health - old]])</f>
        <v>115358.45078924122</v>
      </c>
      <c r="AF8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13182.37009054386</v>
      </c>
      <c r="AG84" s="340">
        <f>IF(OR(tblPiNHistorical[[#This Row],[Shelter - old]]="", tblPiNHistorical[[#This Row],[Shelter - old]]=0, tblPiNHistorical[[#This Row],[Shelter - new]]="", tblPiNHistorical[[#This Row],[Shelter - new]]=0), "", tblPiNHistorical[[#This Row],[Shelter - new]]-tblPiNHistorical[[#This Row],[Shelter - old]])</f>
        <v>47804.159265210648</v>
      </c>
      <c r="AH84" s="341">
        <f>IF(OR(tblPiNHistorical[[#This Row],[WASH - old]]="", tblPiNHistorical[[#This Row],[WASH - old]]=0, tblPiNHistorical[[#This Row],[WASH - new]]="", tblPiNHistorical[[#This Row],[WASH - new]]=0), "", tblPiNHistorical[[#This Row],[WASH - new]]-tblPiNHistorical[[#This Row],[WASH - old]])</f>
        <v>-34594.104465070151</v>
      </c>
      <c r="AI84" s="342" t="str">
        <f>IFERROR(ROUND((tblPiNHistorical[[#This Row],[CCCM - new]] - tblPiNHistorical[[#This Row],[CCCM - old]])/tblPiNHistorical[[#This Row],[CCCM - old]], 1), "")</f>
        <v/>
      </c>
      <c r="AJ84" s="343">
        <f>IFERROR(ROUND((tblPiNHistorical[[#This Row],[Education - new]]-tblPiNHistorical[[#This Row],[Education - old]])/tblPiNHistorical[[#This Row],[Education - old]], 1), "")</f>
        <v>0.4</v>
      </c>
      <c r="AK84" s="343">
        <f>IFERROR(ROUND((tblPiNHistorical[[#This Row],[Nutrition - new]]-tblPiNHistorical[[#This Row],[Nutrition - old]])/tblPiNHistorical[[#This Row],[Nutrition - old]], 1), "")</f>
        <v>0.6</v>
      </c>
      <c r="AL84" s="343">
        <f>IFERROR(ROUND((tblPiNHistorical[[#This Row],[Food Security - new]]-tblPiNHistorical[[#This Row],[Food Security - old]])/tblPiNHistorical[[#This Row],[Food Security - old]], 1), "")</f>
        <v>0.2</v>
      </c>
      <c r="AM84" s="343">
        <f>IFERROR(ROUND((tblPiNHistorical[[#This Row],[Health - new]]-tblPiNHistorical[[#This Row],[Health - old]])/tblPiNHistorical[[#This Row],[Health - old]], 1), "")</f>
        <v>2</v>
      </c>
      <c r="AN84" s="343">
        <f>IFERROR(ROUND((tblPiNHistorical[[#This Row],[Overarching Protection - new]]-tblPiNHistorical[[#This Row],[Overarching Protection - old]])/tblPiNHistorical[[#This Row],[Overarching Protection - old]], 1), "")</f>
        <v>0.1</v>
      </c>
      <c r="AO84" s="343">
        <f>IFERROR(ROUND((tblPiNHistorical[[#This Row],[Shelter - new]]-tblPiNHistorical[[#This Row],[Shelter - old]])/tblPiNHistorical[[#This Row],[Shelter - old]], 1), "")</f>
        <v>0.7</v>
      </c>
      <c r="AP84" s="38">
        <f>IFERROR(ROUND((tblPiNHistorical[[#This Row],[WASH - new]]-tblPiNHistorical[[#This Row],[WASH - old]])/tblPiNHistorical[[#This Row],[WASH - old]], 1), "")</f>
        <v>-0.2</v>
      </c>
      <c r="AQ84" s="406">
        <v>185931</v>
      </c>
      <c r="AR84" s="406">
        <v>218524.29063527889</v>
      </c>
    </row>
    <row r="85" spans="1:44" ht="15" customHeight="1" x14ac:dyDescent="0.55000000000000004">
      <c r="A8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5" s="316" t="s">
        <v>236</v>
      </c>
      <c r="C85" s="218" t="s">
        <v>237</v>
      </c>
      <c r="D85" s="218" t="s">
        <v>240</v>
      </c>
      <c r="E85" s="105" t="s">
        <v>241</v>
      </c>
      <c r="F85" s="100"/>
      <c r="G85" s="34"/>
      <c r="H85" s="335"/>
      <c r="I85" s="97"/>
      <c r="J85" s="97" t="s">
        <v>413</v>
      </c>
      <c r="K85" s="336">
        <v>0</v>
      </c>
      <c r="L85" s="337">
        <v>6717</v>
      </c>
      <c r="M85" s="319">
        <v>49431.471064328754</v>
      </c>
      <c r="N85" s="319">
        <v>119299</v>
      </c>
      <c r="O85" s="319">
        <v>89647.342161968409</v>
      </c>
      <c r="P85" s="319">
        <v>46756.590000161916</v>
      </c>
      <c r="Q85" s="320">
        <v>71818.63380370861</v>
      </c>
      <c r="R85" s="319">
        <v>111017.75343526715</v>
      </c>
      <c r="S85" s="235">
        <f>tblPiNAnalysis[[#This Row],[CCCM]]</f>
        <v>0</v>
      </c>
      <c r="T85" s="236">
        <f>tblPiNAnalysis[[#This Row],[Education]]</f>
        <v>12328.366291356146</v>
      </c>
      <c r="U85" s="219">
        <f>tblPiNAnalysis[[#This Row],[Nutrition]]</f>
        <v>72634.349974065291</v>
      </c>
      <c r="V85" s="219">
        <f>tblPiNAnalysis[[#This Row],[Food Security]]</f>
        <v>114316.81637306442</v>
      </c>
      <c r="W85" s="219">
        <f>tblPiNAnalysis[[#This Row],[Health]]</f>
        <v>87461.53402342253</v>
      </c>
      <c r="X85" s="219">
        <f>tblPiNAnalysis[[#This Row],[Overarching Protection]]</f>
        <v>53008</v>
      </c>
      <c r="Y85" s="219">
        <f>tblPiNAnalysis[[#This Row],[Shelter]]</f>
        <v>98446.897913869063</v>
      </c>
      <c r="Z85" s="230">
        <f>tblPiNAnalysis[[#This Row],[WASH]]</f>
        <v>134516.04626635785</v>
      </c>
      <c r="AA85" s="339" t="str">
        <f>IF(OR(tblPiNHistorical[[#This Row],[CCCM - old]]="", tblPiNHistorical[[#This Row],[CCCM - old]]=0, tblPiNHistorical[[#This Row],[CCCM - new]]="", tblPiNHistorical[[#This Row],[CCCM - new]]=0), "", tblPiNHistorical[[#This Row],[CCCM - new]]-tblPiNHistorical[[#This Row],[CCCM - old]])</f>
        <v/>
      </c>
      <c r="AB85" s="340">
        <f>IF(OR(tblPiNHistorical[[#This Row],[Education - old]]="", tblPiNHistorical[[#This Row],[Education - old]]=0, tblPiNHistorical[[#This Row],[Education - new]]="", tblPiNHistorical[[#This Row],[Education - new]]=0), "", tblPiNHistorical[[#This Row],[Education - new]]-tblPiNHistorical[[#This Row],[Education - old]])</f>
        <v>5611.3662913561457</v>
      </c>
      <c r="AC85" s="340">
        <f>IF(OR(tblPiNHistorical[[#This Row],[Nutrition - old]]="", tblPiNHistorical[[#This Row],[Nutrition - old]]=0, tblPiNHistorical[[#This Row],[Nutrition - new]]="", tblPiNHistorical[[#This Row],[Nutrition - new]]=0), "", tblPiNHistorical[[#This Row],[Nutrition - new]]-tblPiNHistorical[[#This Row],[Nutrition - old]])</f>
        <v>23202.878909736537</v>
      </c>
      <c r="AD85" s="340">
        <f>IF(OR(tblPiNHistorical[[#This Row],[Food Security - old]]="", tblPiNHistorical[[#This Row],[Food Security - old]]=0, tblPiNHistorical[[#This Row],[Food Security - new]]="", tblPiNHistorical[[#This Row],[Food Security - new]]=0), "", tblPiNHistorical[[#This Row],[Food Security - new]]-tblPiNHistorical[[#This Row],[Food Security - old]])</f>
        <v>-4982.1836269355845</v>
      </c>
      <c r="AE85" s="340">
        <f>IF(OR(tblPiNHistorical[[#This Row],[Health - old]]="", tblPiNHistorical[[#This Row],[Health - old]]=0, tblPiNHistorical[[#This Row],[Health - new]]="", tblPiNHistorical[[#This Row],[Health - new]]=0), "", tblPiNHistorical[[#This Row],[Health - new]]-tblPiNHistorical[[#This Row],[Health - old]])</f>
        <v>-2185.808138545879</v>
      </c>
      <c r="AF8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6251.4099998380843</v>
      </c>
      <c r="AG85" s="340">
        <f>IF(OR(tblPiNHistorical[[#This Row],[Shelter - old]]="", tblPiNHistorical[[#This Row],[Shelter - old]]=0, tblPiNHistorical[[#This Row],[Shelter - new]]="", tblPiNHistorical[[#This Row],[Shelter - new]]=0), "", tblPiNHistorical[[#This Row],[Shelter - new]]-tblPiNHistorical[[#This Row],[Shelter - old]])</f>
        <v>26628.264110160453</v>
      </c>
      <c r="AH85" s="341">
        <f>IF(OR(tblPiNHistorical[[#This Row],[WASH - old]]="", tblPiNHistorical[[#This Row],[WASH - old]]=0, tblPiNHistorical[[#This Row],[WASH - new]]="", tblPiNHistorical[[#This Row],[WASH - new]]=0), "", tblPiNHistorical[[#This Row],[WASH - new]]-tblPiNHistorical[[#This Row],[WASH - old]])</f>
        <v>23498.292831090701</v>
      </c>
      <c r="AI85" s="342" t="str">
        <f>IFERROR(ROUND((tblPiNHistorical[[#This Row],[CCCM - new]] - tblPiNHistorical[[#This Row],[CCCM - old]])/tblPiNHistorical[[#This Row],[CCCM - old]], 1), "")</f>
        <v/>
      </c>
      <c r="AJ85" s="343">
        <f>IFERROR(ROUND((tblPiNHistorical[[#This Row],[Education - new]]-tblPiNHistorical[[#This Row],[Education - old]])/tblPiNHistorical[[#This Row],[Education - old]], 1), "")</f>
        <v>0.8</v>
      </c>
      <c r="AK85" s="343">
        <f>IFERROR(ROUND((tblPiNHistorical[[#This Row],[Nutrition - new]]-tblPiNHistorical[[#This Row],[Nutrition - old]])/tblPiNHistorical[[#This Row],[Nutrition - old]], 1), "")</f>
        <v>0.5</v>
      </c>
      <c r="AL85" s="343">
        <f>IFERROR(ROUND((tblPiNHistorical[[#This Row],[Food Security - new]]-tblPiNHistorical[[#This Row],[Food Security - old]])/tblPiNHistorical[[#This Row],[Food Security - old]], 1), "")</f>
        <v>0</v>
      </c>
      <c r="AM85" s="343">
        <f>IFERROR(ROUND((tblPiNHistorical[[#This Row],[Health - new]]-tblPiNHistorical[[#This Row],[Health - old]])/tblPiNHistorical[[#This Row],[Health - old]], 1), "")</f>
        <v>0</v>
      </c>
      <c r="AN85" s="343">
        <f>IFERROR(ROUND((tblPiNHistorical[[#This Row],[Overarching Protection - new]]-tblPiNHistorical[[#This Row],[Overarching Protection - old]])/tblPiNHistorical[[#This Row],[Overarching Protection - old]], 1), "")</f>
        <v>0.1</v>
      </c>
      <c r="AO85" s="343">
        <f>IFERROR(ROUND((tblPiNHistorical[[#This Row],[Shelter - new]]-tblPiNHistorical[[#This Row],[Shelter - old]])/tblPiNHistorical[[#This Row],[Shelter - old]], 1), "")</f>
        <v>0.4</v>
      </c>
      <c r="AP85" s="38">
        <f>IFERROR(ROUND((tblPiNHistorical[[#This Row],[WASH - new]]-tblPiNHistorical[[#This Row],[WASH - old]])/tblPiNHistorical[[#This Row],[WASH - old]], 1), "")</f>
        <v>0.2</v>
      </c>
      <c r="AQ85" s="406">
        <v>119299</v>
      </c>
      <c r="AR85" s="406">
        <v>134516.04626635785</v>
      </c>
    </row>
    <row r="86" spans="1:44" ht="15" customHeight="1" x14ac:dyDescent="0.55000000000000004">
      <c r="A8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6" s="316" t="s">
        <v>236</v>
      </c>
      <c r="C86" s="218" t="s">
        <v>237</v>
      </c>
      <c r="D86" s="218" t="s">
        <v>242</v>
      </c>
      <c r="E86" s="105" t="s">
        <v>243</v>
      </c>
      <c r="F86" s="100"/>
      <c r="G86" s="34"/>
      <c r="H86" s="335"/>
      <c r="I86" s="97"/>
      <c r="J86" s="97" t="s">
        <v>413</v>
      </c>
      <c r="K86" s="336">
        <v>0</v>
      </c>
      <c r="L86" s="337">
        <v>11339</v>
      </c>
      <c r="M86" s="319">
        <v>32427.770775383982</v>
      </c>
      <c r="N86" s="319">
        <v>58511</v>
      </c>
      <c r="O86" s="319">
        <v>34414.130817396435</v>
      </c>
      <c r="P86" s="319">
        <v>38390.947505648619</v>
      </c>
      <c r="Q86" s="320">
        <v>31750.711111111112</v>
      </c>
      <c r="R86" s="319">
        <v>43608.872006416183</v>
      </c>
      <c r="S86" s="235">
        <f>tblPiNAnalysis[[#This Row],[CCCM]]</f>
        <v>0</v>
      </c>
      <c r="T86" s="236">
        <f>tblPiNAnalysis[[#This Row],[Education]]</f>
        <v>10737.772930237736</v>
      </c>
      <c r="U86" s="219">
        <f>tblPiNAnalysis[[#This Row],[Nutrition]]</f>
        <v>43190.130773320248</v>
      </c>
      <c r="V86" s="219">
        <f>tblPiNAnalysis[[#This Row],[Food Security]]</f>
        <v>51309.967154464714</v>
      </c>
      <c r="W86" s="219">
        <f>tblPiNAnalysis[[#This Row],[Health]]</f>
        <v>37036.600003788044</v>
      </c>
      <c r="X86" s="219">
        <f>tblPiNAnalysis[[#This Row],[Overarching Protection]]</f>
        <v>16640</v>
      </c>
      <c r="Y86" s="219">
        <f>tblPiNAnalysis[[#This Row],[Shelter]]</f>
        <v>42131.375834322847</v>
      </c>
      <c r="Z86" s="230">
        <f>tblPiNAnalysis[[#This Row],[WASH]]</f>
        <v>48191.616802739656</v>
      </c>
      <c r="AA86" s="339" t="str">
        <f>IF(OR(tblPiNHistorical[[#This Row],[CCCM - old]]="", tblPiNHistorical[[#This Row],[CCCM - old]]=0, tblPiNHistorical[[#This Row],[CCCM - new]]="", tblPiNHistorical[[#This Row],[CCCM - new]]=0), "", tblPiNHistorical[[#This Row],[CCCM - new]]-tblPiNHistorical[[#This Row],[CCCM - old]])</f>
        <v/>
      </c>
      <c r="AB86" s="340">
        <f>IF(OR(tblPiNHistorical[[#This Row],[Education - old]]="", tblPiNHistorical[[#This Row],[Education - old]]=0, tblPiNHistorical[[#This Row],[Education - new]]="", tblPiNHistorical[[#This Row],[Education - new]]=0), "", tblPiNHistorical[[#This Row],[Education - new]]-tblPiNHistorical[[#This Row],[Education - old]])</f>
        <v>-601.22706976226436</v>
      </c>
      <c r="AC86" s="340">
        <f>IF(OR(tblPiNHistorical[[#This Row],[Nutrition - old]]="", tblPiNHistorical[[#This Row],[Nutrition - old]]=0, tblPiNHistorical[[#This Row],[Nutrition - new]]="", tblPiNHistorical[[#This Row],[Nutrition - new]]=0), "", tblPiNHistorical[[#This Row],[Nutrition - new]]-tblPiNHistorical[[#This Row],[Nutrition - old]])</f>
        <v>10762.359997936266</v>
      </c>
      <c r="AD86" s="340">
        <f>IF(OR(tblPiNHistorical[[#This Row],[Food Security - old]]="", tblPiNHistorical[[#This Row],[Food Security - old]]=0, tblPiNHistorical[[#This Row],[Food Security - new]]="", tblPiNHistorical[[#This Row],[Food Security - new]]=0), "", tblPiNHistorical[[#This Row],[Food Security - new]]-tblPiNHistorical[[#This Row],[Food Security - old]])</f>
        <v>-7201.0328455352865</v>
      </c>
      <c r="AE86" s="340">
        <f>IF(OR(tblPiNHistorical[[#This Row],[Health - old]]="", tblPiNHistorical[[#This Row],[Health - old]]=0, tblPiNHistorical[[#This Row],[Health - new]]="", tblPiNHistorical[[#This Row],[Health - new]]=0), "", tblPiNHistorical[[#This Row],[Health - new]]-tblPiNHistorical[[#This Row],[Health - old]])</f>
        <v>2622.4691863916087</v>
      </c>
      <c r="AF8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-21750.947505648619</v>
      </c>
      <c r="AG86" s="340">
        <f>IF(OR(tblPiNHistorical[[#This Row],[Shelter - old]]="", tblPiNHistorical[[#This Row],[Shelter - old]]=0, tblPiNHistorical[[#This Row],[Shelter - new]]="", tblPiNHistorical[[#This Row],[Shelter - new]]=0), "", tblPiNHistorical[[#This Row],[Shelter - new]]-tblPiNHistorical[[#This Row],[Shelter - old]])</f>
        <v>10380.664723211736</v>
      </c>
      <c r="AH86" s="341">
        <f>IF(OR(tblPiNHistorical[[#This Row],[WASH - old]]="", tblPiNHistorical[[#This Row],[WASH - old]]=0, tblPiNHistorical[[#This Row],[WASH - new]]="", tblPiNHistorical[[#This Row],[WASH - new]]=0), "", tblPiNHistorical[[#This Row],[WASH - new]]-tblPiNHistorical[[#This Row],[WASH - old]])</f>
        <v>4582.7447963234736</v>
      </c>
      <c r="AI86" s="342" t="str">
        <f>IFERROR(ROUND((tblPiNHistorical[[#This Row],[CCCM - new]] - tblPiNHistorical[[#This Row],[CCCM - old]])/tblPiNHistorical[[#This Row],[CCCM - old]], 1), "")</f>
        <v/>
      </c>
      <c r="AJ86" s="343">
        <f>IFERROR(ROUND((tblPiNHistorical[[#This Row],[Education - new]]-tblPiNHistorical[[#This Row],[Education - old]])/tblPiNHistorical[[#This Row],[Education - old]], 1), "")</f>
        <v>-0.1</v>
      </c>
      <c r="AK86" s="343">
        <f>IFERROR(ROUND((tblPiNHistorical[[#This Row],[Nutrition - new]]-tblPiNHistorical[[#This Row],[Nutrition - old]])/tblPiNHistorical[[#This Row],[Nutrition - old]], 1), "")</f>
        <v>0.3</v>
      </c>
      <c r="AL86" s="343">
        <f>IFERROR(ROUND((tblPiNHistorical[[#This Row],[Food Security - new]]-tblPiNHistorical[[#This Row],[Food Security - old]])/tblPiNHistorical[[#This Row],[Food Security - old]], 1), "")</f>
        <v>-0.1</v>
      </c>
      <c r="AM86" s="343">
        <f>IFERROR(ROUND((tblPiNHistorical[[#This Row],[Health - new]]-tblPiNHistorical[[#This Row],[Health - old]])/tblPiNHistorical[[#This Row],[Health - old]], 1), "")</f>
        <v>0.1</v>
      </c>
      <c r="AN86" s="343">
        <f>IFERROR(ROUND((tblPiNHistorical[[#This Row],[Overarching Protection - new]]-tblPiNHistorical[[#This Row],[Overarching Protection - old]])/tblPiNHistorical[[#This Row],[Overarching Protection - old]], 1), "")</f>
        <v>-0.6</v>
      </c>
      <c r="AO86" s="343">
        <f>IFERROR(ROUND((tblPiNHistorical[[#This Row],[Shelter - new]]-tblPiNHistorical[[#This Row],[Shelter - old]])/tblPiNHistorical[[#This Row],[Shelter - old]], 1), "")</f>
        <v>0.3</v>
      </c>
      <c r="AP86" s="38">
        <f>IFERROR(ROUND((tblPiNHistorical[[#This Row],[WASH - new]]-tblPiNHistorical[[#This Row],[WASH - old]])/tblPiNHistorical[[#This Row],[WASH - old]], 1), "")</f>
        <v>0.1</v>
      </c>
      <c r="AQ86" s="406">
        <v>58511</v>
      </c>
      <c r="AR86" s="406">
        <v>51309.967154464714</v>
      </c>
    </row>
    <row r="87" spans="1:44" ht="15" customHeight="1" x14ac:dyDescent="0.55000000000000004">
      <c r="A8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7" s="316" t="s">
        <v>236</v>
      </c>
      <c r="C87" s="218" t="s">
        <v>237</v>
      </c>
      <c r="D87" s="218" t="s">
        <v>244</v>
      </c>
      <c r="E87" s="105" t="s">
        <v>245</v>
      </c>
      <c r="F87" s="100"/>
      <c r="G87" s="34"/>
      <c r="H87" s="335"/>
      <c r="I87" s="97"/>
      <c r="J87" s="97" t="s">
        <v>413</v>
      </c>
      <c r="K87" s="336">
        <v>0</v>
      </c>
      <c r="L87" s="337">
        <v>23781</v>
      </c>
      <c r="M87" s="319">
        <v>23134.153078962685</v>
      </c>
      <c r="N87" s="319">
        <v>47744</v>
      </c>
      <c r="O87" s="319">
        <v>54062.529207286854</v>
      </c>
      <c r="P87" s="319">
        <v>37750.438766767045</v>
      </c>
      <c r="Q87" s="320">
        <v>31890.692039218891</v>
      </c>
      <c r="R87" s="319">
        <v>59151.564276388512</v>
      </c>
      <c r="S87" s="235">
        <f>tblPiNAnalysis[[#This Row],[CCCM]]</f>
        <v>0</v>
      </c>
      <c r="T87" s="236">
        <f>tblPiNAnalysis[[#This Row],[Education]]</f>
        <v>13457.17088869327</v>
      </c>
      <c r="U87" s="219">
        <f>tblPiNAnalysis[[#This Row],[Nutrition]]</f>
        <v>33058.440464696396</v>
      </c>
      <c r="V87" s="219">
        <f>tblPiNAnalysis[[#This Row],[Food Security]]</f>
        <v>51659.39705423377</v>
      </c>
      <c r="W87" s="219">
        <f>tblPiNAnalysis[[#This Row],[Health]]</f>
        <v>49372.875595759877</v>
      </c>
      <c r="X87" s="219">
        <f>tblPiNAnalysis[[#This Row],[Overarching Protection]]</f>
        <v>26850</v>
      </c>
      <c r="Y87" s="219">
        <f>tblPiNAnalysis[[#This Row],[Shelter]]</f>
        <v>44275.428292600132</v>
      </c>
      <c r="Z87" s="230">
        <f>tblPiNAnalysis[[#This Row],[WASH]]</f>
        <v>42947.521928752023</v>
      </c>
      <c r="AA87" s="339" t="str">
        <f>IF(OR(tblPiNHistorical[[#This Row],[CCCM - old]]="", tblPiNHistorical[[#This Row],[CCCM - old]]=0, tblPiNHistorical[[#This Row],[CCCM - new]]="", tblPiNHistorical[[#This Row],[CCCM - new]]=0), "", tblPiNHistorical[[#This Row],[CCCM - new]]-tblPiNHistorical[[#This Row],[CCCM - old]])</f>
        <v/>
      </c>
      <c r="AB87" s="340">
        <f>IF(OR(tblPiNHistorical[[#This Row],[Education - old]]="", tblPiNHistorical[[#This Row],[Education - old]]=0, tblPiNHistorical[[#This Row],[Education - new]]="", tblPiNHistorical[[#This Row],[Education - new]]=0), "", tblPiNHistorical[[#This Row],[Education - new]]-tblPiNHistorical[[#This Row],[Education - old]])</f>
        <v>-10323.82911130673</v>
      </c>
      <c r="AC87" s="340">
        <f>IF(OR(tblPiNHistorical[[#This Row],[Nutrition - old]]="", tblPiNHistorical[[#This Row],[Nutrition - old]]=0, tblPiNHistorical[[#This Row],[Nutrition - new]]="", tblPiNHistorical[[#This Row],[Nutrition - new]]=0), "", tblPiNHistorical[[#This Row],[Nutrition - new]]-tblPiNHistorical[[#This Row],[Nutrition - old]])</f>
        <v>9924.2873857337108</v>
      </c>
      <c r="AD87" s="340">
        <f>IF(OR(tblPiNHistorical[[#This Row],[Food Security - old]]="", tblPiNHistorical[[#This Row],[Food Security - old]]=0, tblPiNHistorical[[#This Row],[Food Security - new]]="", tblPiNHistorical[[#This Row],[Food Security - new]]=0), "", tblPiNHistorical[[#This Row],[Food Security - new]]-tblPiNHistorical[[#This Row],[Food Security - old]])</f>
        <v>3915.3970542337702</v>
      </c>
      <c r="AE87" s="340">
        <f>IF(OR(tblPiNHistorical[[#This Row],[Health - old]]="", tblPiNHistorical[[#This Row],[Health - old]]=0, tblPiNHistorical[[#This Row],[Health - new]]="", tblPiNHistorical[[#This Row],[Health - new]]=0), "", tblPiNHistorical[[#This Row],[Health - new]]-tblPiNHistorical[[#This Row],[Health - old]])</f>
        <v>-4689.6536115269773</v>
      </c>
      <c r="AF8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-10900.438766767045</v>
      </c>
      <c r="AG87" s="340">
        <f>IF(OR(tblPiNHistorical[[#This Row],[Shelter - old]]="", tblPiNHistorical[[#This Row],[Shelter - old]]=0, tblPiNHistorical[[#This Row],[Shelter - new]]="", tblPiNHistorical[[#This Row],[Shelter - new]]=0), "", tblPiNHistorical[[#This Row],[Shelter - new]]-tblPiNHistorical[[#This Row],[Shelter - old]])</f>
        <v>12384.736253381241</v>
      </c>
      <c r="AH87" s="341">
        <f>IF(OR(tblPiNHistorical[[#This Row],[WASH - old]]="", tblPiNHistorical[[#This Row],[WASH - old]]=0, tblPiNHistorical[[#This Row],[WASH - new]]="", tblPiNHistorical[[#This Row],[WASH - new]]=0), "", tblPiNHistorical[[#This Row],[WASH - new]]-tblPiNHistorical[[#This Row],[WASH - old]])</f>
        <v>-16204.042347636489</v>
      </c>
      <c r="AI87" s="342" t="str">
        <f>IFERROR(ROUND((tblPiNHistorical[[#This Row],[CCCM - new]] - tblPiNHistorical[[#This Row],[CCCM - old]])/tblPiNHistorical[[#This Row],[CCCM - old]], 1), "")</f>
        <v/>
      </c>
      <c r="AJ87" s="343">
        <f>IFERROR(ROUND((tblPiNHistorical[[#This Row],[Education - new]]-tblPiNHistorical[[#This Row],[Education - old]])/tblPiNHistorical[[#This Row],[Education - old]], 1), "")</f>
        <v>-0.4</v>
      </c>
      <c r="AK87" s="343">
        <f>IFERROR(ROUND((tblPiNHistorical[[#This Row],[Nutrition - new]]-tblPiNHistorical[[#This Row],[Nutrition - old]])/tblPiNHistorical[[#This Row],[Nutrition - old]], 1), "")</f>
        <v>0.4</v>
      </c>
      <c r="AL87" s="343">
        <f>IFERROR(ROUND((tblPiNHistorical[[#This Row],[Food Security - new]]-tblPiNHistorical[[#This Row],[Food Security - old]])/tblPiNHistorical[[#This Row],[Food Security - old]], 1), "")</f>
        <v>0.1</v>
      </c>
      <c r="AM87" s="343">
        <f>IFERROR(ROUND((tblPiNHistorical[[#This Row],[Health - new]]-tblPiNHistorical[[#This Row],[Health - old]])/tblPiNHistorical[[#This Row],[Health - old]], 1), "")</f>
        <v>-0.1</v>
      </c>
      <c r="AN87" s="343">
        <f>IFERROR(ROUND((tblPiNHistorical[[#This Row],[Overarching Protection - new]]-tblPiNHistorical[[#This Row],[Overarching Protection - old]])/tblPiNHistorical[[#This Row],[Overarching Protection - old]], 1), "")</f>
        <v>-0.3</v>
      </c>
      <c r="AO87" s="343">
        <f>IFERROR(ROUND((tblPiNHistorical[[#This Row],[Shelter - new]]-tblPiNHistorical[[#This Row],[Shelter - old]])/tblPiNHistorical[[#This Row],[Shelter - old]], 1), "")</f>
        <v>0.4</v>
      </c>
      <c r="AP87" s="38">
        <f>IFERROR(ROUND((tblPiNHistorical[[#This Row],[WASH - new]]-tblPiNHistorical[[#This Row],[WASH - old]])/tblPiNHistorical[[#This Row],[WASH - old]], 1), "")</f>
        <v>-0.3</v>
      </c>
      <c r="AQ87" s="406">
        <v>59151.564276388512</v>
      </c>
      <c r="AR87" s="406">
        <v>51659.39705423377</v>
      </c>
    </row>
    <row r="88" spans="1:44" ht="15" customHeight="1" x14ac:dyDescent="0.55000000000000004">
      <c r="A8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8" s="316" t="s">
        <v>236</v>
      </c>
      <c r="C88" s="218" t="s">
        <v>237</v>
      </c>
      <c r="D88" s="218" t="s">
        <v>246</v>
      </c>
      <c r="E88" s="105" t="s">
        <v>247</v>
      </c>
      <c r="F88" s="100"/>
      <c r="G88" s="34"/>
      <c r="H88" s="335"/>
      <c r="I88" s="97"/>
      <c r="J88" s="97" t="s">
        <v>413</v>
      </c>
      <c r="K88" s="336">
        <v>0</v>
      </c>
      <c r="L88" s="337">
        <v>58059</v>
      </c>
      <c r="M88" s="319">
        <v>48279.184733995295</v>
      </c>
      <c r="N88" s="319">
        <v>125632</v>
      </c>
      <c r="O88" s="319">
        <v>112551.78876849999</v>
      </c>
      <c r="P88" s="319">
        <v>67698.585323848034</v>
      </c>
      <c r="Q88" s="320">
        <v>72028.476891341503</v>
      </c>
      <c r="R88" s="319">
        <v>93833.40422065153</v>
      </c>
      <c r="S88" s="235">
        <f>tblPiNAnalysis[[#This Row],[CCCM]]</f>
        <v>0</v>
      </c>
      <c r="T88" s="236">
        <f>tblPiNAnalysis[[#This Row],[Education]]</f>
        <v>52758.949897778082</v>
      </c>
      <c r="U88" s="219">
        <f>tblPiNAnalysis[[#This Row],[Nutrition]]</f>
        <v>76543.726766279651</v>
      </c>
      <c r="V88" s="219">
        <f>tblPiNAnalysis[[#This Row],[Food Security]]</f>
        <v>128069.22419123921</v>
      </c>
      <c r="W88" s="219">
        <f>tblPiNAnalysis[[#This Row],[Health]]</f>
        <v>101701.93188031472</v>
      </c>
      <c r="X88" s="219">
        <f>tblPiNAnalysis[[#This Row],[Overarching Protection]]</f>
        <v>70441</v>
      </c>
      <c r="Y88" s="219">
        <f>tblPiNAnalysis[[#This Row],[Shelter]]</f>
        <v>151270.7126438173</v>
      </c>
      <c r="Z88" s="230">
        <f>tblPiNAnalysis[[#This Row],[WASH]]</f>
        <v>71811.096732598671</v>
      </c>
      <c r="AA88" s="339" t="str">
        <f>IF(OR(tblPiNHistorical[[#This Row],[CCCM - old]]="", tblPiNHistorical[[#This Row],[CCCM - old]]=0, tblPiNHistorical[[#This Row],[CCCM - new]]="", tblPiNHistorical[[#This Row],[CCCM - new]]=0), "", tblPiNHistorical[[#This Row],[CCCM - new]]-tblPiNHistorical[[#This Row],[CCCM - old]])</f>
        <v/>
      </c>
      <c r="AB88" s="340">
        <f>IF(OR(tblPiNHistorical[[#This Row],[Education - old]]="", tblPiNHistorical[[#This Row],[Education - old]]=0, tblPiNHistorical[[#This Row],[Education - new]]="", tblPiNHistorical[[#This Row],[Education - new]]=0), "", tblPiNHistorical[[#This Row],[Education - new]]-tblPiNHistorical[[#This Row],[Education - old]])</f>
        <v>-5300.0501022219178</v>
      </c>
      <c r="AC88" s="340">
        <f>IF(OR(tblPiNHistorical[[#This Row],[Nutrition - old]]="", tblPiNHistorical[[#This Row],[Nutrition - old]]=0, tblPiNHistorical[[#This Row],[Nutrition - new]]="", tblPiNHistorical[[#This Row],[Nutrition - new]]=0), "", tblPiNHistorical[[#This Row],[Nutrition - new]]-tblPiNHistorical[[#This Row],[Nutrition - old]])</f>
        <v>28264.542032284357</v>
      </c>
      <c r="AD88" s="340">
        <f>IF(OR(tblPiNHistorical[[#This Row],[Food Security - old]]="", tblPiNHistorical[[#This Row],[Food Security - old]]=0, tblPiNHistorical[[#This Row],[Food Security - new]]="", tblPiNHistorical[[#This Row],[Food Security - new]]=0), "", tblPiNHistorical[[#This Row],[Food Security - new]]-tblPiNHistorical[[#This Row],[Food Security - old]])</f>
        <v>2437.2241912392055</v>
      </c>
      <c r="AE88" s="340">
        <f>IF(OR(tblPiNHistorical[[#This Row],[Health - old]]="", tblPiNHistorical[[#This Row],[Health - old]]=0, tblPiNHistorical[[#This Row],[Health - new]]="", tblPiNHistorical[[#This Row],[Health - new]]=0), "", tblPiNHistorical[[#This Row],[Health - new]]-tblPiNHistorical[[#This Row],[Health - old]])</f>
        <v>-10849.85688818527</v>
      </c>
      <c r="AF8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2742.414676151966</v>
      </c>
      <c r="AG88" s="340">
        <f>IF(OR(tblPiNHistorical[[#This Row],[Shelter - old]]="", tblPiNHistorical[[#This Row],[Shelter - old]]=0, tblPiNHistorical[[#This Row],[Shelter - new]]="", tblPiNHistorical[[#This Row],[Shelter - new]]=0), "", tblPiNHistorical[[#This Row],[Shelter - new]]-tblPiNHistorical[[#This Row],[Shelter - old]])</f>
        <v>79242.235752475797</v>
      </c>
      <c r="AH88" s="341">
        <f>IF(OR(tblPiNHistorical[[#This Row],[WASH - old]]="", tblPiNHistorical[[#This Row],[WASH - old]]=0, tblPiNHistorical[[#This Row],[WASH - new]]="", tblPiNHistorical[[#This Row],[WASH - new]]=0), "", tblPiNHistorical[[#This Row],[WASH - new]]-tblPiNHistorical[[#This Row],[WASH - old]])</f>
        <v>-22022.307488052858</v>
      </c>
      <c r="AI88" s="342" t="str">
        <f>IFERROR(ROUND((tblPiNHistorical[[#This Row],[CCCM - new]] - tblPiNHistorical[[#This Row],[CCCM - old]])/tblPiNHistorical[[#This Row],[CCCM - old]], 1), "")</f>
        <v/>
      </c>
      <c r="AJ88" s="343">
        <f>IFERROR(ROUND((tblPiNHistorical[[#This Row],[Education - new]]-tblPiNHistorical[[#This Row],[Education - old]])/tblPiNHistorical[[#This Row],[Education - old]], 1), "")</f>
        <v>-0.1</v>
      </c>
      <c r="AK88" s="343">
        <f>IFERROR(ROUND((tblPiNHistorical[[#This Row],[Nutrition - new]]-tblPiNHistorical[[#This Row],[Nutrition - old]])/tblPiNHistorical[[#This Row],[Nutrition - old]], 1), "")</f>
        <v>0.6</v>
      </c>
      <c r="AL88" s="343">
        <f>IFERROR(ROUND((tblPiNHistorical[[#This Row],[Food Security - new]]-tblPiNHistorical[[#This Row],[Food Security - old]])/tblPiNHistorical[[#This Row],[Food Security - old]], 1), "")</f>
        <v>0</v>
      </c>
      <c r="AM88" s="343">
        <f>IFERROR(ROUND((tblPiNHistorical[[#This Row],[Health - new]]-tblPiNHistorical[[#This Row],[Health - old]])/tblPiNHistorical[[#This Row],[Health - old]], 1), "")</f>
        <v>-0.1</v>
      </c>
      <c r="AN88" s="343">
        <f>IFERROR(ROUND((tblPiNHistorical[[#This Row],[Overarching Protection - new]]-tblPiNHistorical[[#This Row],[Overarching Protection - old]])/tblPiNHistorical[[#This Row],[Overarching Protection - old]], 1), "")</f>
        <v>0</v>
      </c>
      <c r="AO88" s="343">
        <f>IFERROR(ROUND((tblPiNHistorical[[#This Row],[Shelter - new]]-tblPiNHistorical[[#This Row],[Shelter - old]])/tblPiNHistorical[[#This Row],[Shelter - old]], 1), "")</f>
        <v>1.1000000000000001</v>
      </c>
      <c r="AP88" s="38">
        <f>IFERROR(ROUND((tblPiNHistorical[[#This Row],[WASH - new]]-tblPiNHistorical[[#This Row],[WASH - old]])/tblPiNHistorical[[#This Row],[WASH - old]], 1), "")</f>
        <v>-0.2</v>
      </c>
      <c r="AQ88" s="406">
        <v>125632</v>
      </c>
      <c r="AR88" s="406">
        <v>151270.7126438173</v>
      </c>
    </row>
    <row r="89" spans="1:44" ht="15" customHeight="1" x14ac:dyDescent="0.55000000000000004">
      <c r="A8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89" s="316" t="s">
        <v>236</v>
      </c>
      <c r="C89" s="218" t="s">
        <v>237</v>
      </c>
      <c r="D89" s="218" t="s">
        <v>248</v>
      </c>
      <c r="E89" s="105" t="s">
        <v>249</v>
      </c>
      <c r="F89" s="100"/>
      <c r="G89" s="34"/>
      <c r="H89" s="335"/>
      <c r="I89" s="97"/>
      <c r="J89" s="97" t="s">
        <v>413</v>
      </c>
      <c r="K89" s="336">
        <v>0</v>
      </c>
      <c r="L89" s="337">
        <v>30268</v>
      </c>
      <c r="M89" s="319">
        <v>73650.433805557303</v>
      </c>
      <c r="N89" s="319">
        <v>128458</v>
      </c>
      <c r="O89" s="319">
        <v>71539.210748769678</v>
      </c>
      <c r="P89" s="319">
        <v>106356.12612763786</v>
      </c>
      <c r="Q89" s="320">
        <v>37706.946052091691</v>
      </c>
      <c r="R89" s="319">
        <v>116065.99503981601</v>
      </c>
      <c r="S89" s="235">
        <f>tblPiNAnalysis[[#This Row],[CCCM]]</f>
        <v>0</v>
      </c>
      <c r="T89" s="236">
        <f>tblPiNAnalysis[[#This Row],[Education]]</f>
        <v>34025.73412238578</v>
      </c>
      <c r="U89" s="219">
        <f>tblPiNAnalysis[[#This Row],[Nutrition]]</f>
        <v>87344.841219222537</v>
      </c>
      <c r="V89" s="219">
        <f>tblPiNAnalysis[[#This Row],[Food Security]]</f>
        <v>95436.106026903348</v>
      </c>
      <c r="W89" s="219">
        <f>tblPiNAnalysis[[#This Row],[Health]]</f>
        <v>89654.848775627062</v>
      </c>
      <c r="X89" s="219">
        <f>tblPiNAnalysis[[#This Row],[Overarching Protection]]</f>
        <v>63216</v>
      </c>
      <c r="Y89" s="219">
        <f>tblPiNAnalysis[[#This Row],[Shelter]]</f>
        <v>87999.262430901275</v>
      </c>
      <c r="Z89" s="230">
        <f>tblPiNAnalysis[[#This Row],[WASH]]</f>
        <v>158241.33014394506</v>
      </c>
      <c r="AA89" s="339" t="str">
        <f>IF(OR(tblPiNHistorical[[#This Row],[CCCM - old]]="", tblPiNHistorical[[#This Row],[CCCM - old]]=0, tblPiNHistorical[[#This Row],[CCCM - new]]="", tblPiNHistorical[[#This Row],[CCCM - new]]=0), "", tblPiNHistorical[[#This Row],[CCCM - new]]-tblPiNHistorical[[#This Row],[CCCM - old]])</f>
        <v/>
      </c>
      <c r="AB89" s="340">
        <f>IF(OR(tblPiNHistorical[[#This Row],[Education - old]]="", tblPiNHistorical[[#This Row],[Education - old]]=0, tblPiNHistorical[[#This Row],[Education - new]]="", tblPiNHistorical[[#This Row],[Education - new]]=0), "", tblPiNHistorical[[#This Row],[Education - new]]-tblPiNHistorical[[#This Row],[Education - old]])</f>
        <v>3757.7341223857802</v>
      </c>
      <c r="AC89" s="340">
        <f>IF(OR(tblPiNHistorical[[#This Row],[Nutrition - old]]="", tblPiNHistorical[[#This Row],[Nutrition - old]]=0, tblPiNHistorical[[#This Row],[Nutrition - new]]="", tblPiNHistorical[[#This Row],[Nutrition - new]]=0), "", tblPiNHistorical[[#This Row],[Nutrition - new]]-tblPiNHistorical[[#This Row],[Nutrition - old]])</f>
        <v>13694.407413665234</v>
      </c>
      <c r="AD89" s="340">
        <f>IF(OR(tblPiNHistorical[[#This Row],[Food Security - old]]="", tblPiNHistorical[[#This Row],[Food Security - old]]=0, tblPiNHistorical[[#This Row],[Food Security - new]]="", tblPiNHistorical[[#This Row],[Food Security - new]]=0), "", tblPiNHistorical[[#This Row],[Food Security - new]]-tblPiNHistorical[[#This Row],[Food Security - old]])</f>
        <v>-33021.893973096652</v>
      </c>
      <c r="AE89" s="340">
        <f>IF(OR(tblPiNHistorical[[#This Row],[Health - old]]="", tblPiNHistorical[[#This Row],[Health - old]]=0, tblPiNHistorical[[#This Row],[Health - new]]="", tblPiNHistorical[[#This Row],[Health - new]]=0), "", tblPiNHistorical[[#This Row],[Health - new]]-tblPiNHistorical[[#This Row],[Health - old]])</f>
        <v>18115.638026857385</v>
      </c>
      <c r="AF8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-43140.126127637865</v>
      </c>
      <c r="AG89" s="340">
        <f>IF(OR(tblPiNHistorical[[#This Row],[Shelter - old]]="", tblPiNHistorical[[#This Row],[Shelter - old]]=0, tblPiNHistorical[[#This Row],[Shelter - new]]="", tblPiNHistorical[[#This Row],[Shelter - new]]=0), "", tblPiNHistorical[[#This Row],[Shelter - new]]-tblPiNHistorical[[#This Row],[Shelter - old]])</f>
        <v>50292.316378809584</v>
      </c>
      <c r="AH89" s="341">
        <f>IF(OR(tblPiNHistorical[[#This Row],[WASH - old]]="", tblPiNHistorical[[#This Row],[WASH - old]]=0, tblPiNHistorical[[#This Row],[WASH - new]]="", tblPiNHistorical[[#This Row],[WASH - new]]=0), "", tblPiNHistorical[[#This Row],[WASH - new]]-tblPiNHistorical[[#This Row],[WASH - old]])</f>
        <v>42175.335104129044</v>
      </c>
      <c r="AI89" s="342" t="str">
        <f>IFERROR(ROUND((tblPiNHistorical[[#This Row],[CCCM - new]] - tblPiNHistorical[[#This Row],[CCCM - old]])/tblPiNHistorical[[#This Row],[CCCM - old]], 1), "")</f>
        <v/>
      </c>
      <c r="AJ89" s="343">
        <f>IFERROR(ROUND((tblPiNHistorical[[#This Row],[Education - new]]-tblPiNHistorical[[#This Row],[Education - old]])/tblPiNHistorical[[#This Row],[Education - old]], 1), "")</f>
        <v>0.1</v>
      </c>
      <c r="AK89" s="343">
        <f>IFERROR(ROUND((tblPiNHistorical[[#This Row],[Nutrition - new]]-tblPiNHistorical[[#This Row],[Nutrition - old]])/tblPiNHistorical[[#This Row],[Nutrition - old]], 1), "")</f>
        <v>0.2</v>
      </c>
      <c r="AL89" s="343">
        <f>IFERROR(ROUND((tblPiNHistorical[[#This Row],[Food Security - new]]-tblPiNHistorical[[#This Row],[Food Security - old]])/tblPiNHistorical[[#This Row],[Food Security - old]], 1), "")</f>
        <v>-0.3</v>
      </c>
      <c r="AM89" s="343">
        <f>IFERROR(ROUND((tblPiNHistorical[[#This Row],[Health - new]]-tblPiNHistorical[[#This Row],[Health - old]])/tblPiNHistorical[[#This Row],[Health - old]], 1), "")</f>
        <v>0.3</v>
      </c>
      <c r="AN89" s="343">
        <f>IFERROR(ROUND((tblPiNHistorical[[#This Row],[Overarching Protection - new]]-tblPiNHistorical[[#This Row],[Overarching Protection - old]])/tblPiNHistorical[[#This Row],[Overarching Protection - old]], 1), "")</f>
        <v>-0.4</v>
      </c>
      <c r="AO89" s="343">
        <f>IFERROR(ROUND((tblPiNHistorical[[#This Row],[Shelter - new]]-tblPiNHistorical[[#This Row],[Shelter - old]])/tblPiNHistorical[[#This Row],[Shelter - old]], 1), "")</f>
        <v>1.3</v>
      </c>
      <c r="AP89" s="38">
        <f>IFERROR(ROUND((tblPiNHistorical[[#This Row],[WASH - new]]-tblPiNHistorical[[#This Row],[WASH - old]])/tblPiNHistorical[[#This Row],[WASH - old]], 1), "")</f>
        <v>0.4</v>
      </c>
      <c r="AQ89" s="406">
        <v>128458</v>
      </c>
      <c r="AR89" s="406">
        <v>158241.33014394506</v>
      </c>
    </row>
    <row r="90" spans="1:44" ht="15" customHeight="1" x14ac:dyDescent="0.55000000000000004">
      <c r="A9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0" s="316" t="s">
        <v>250</v>
      </c>
      <c r="C90" s="218" t="s">
        <v>251</v>
      </c>
      <c r="D90" s="218" t="s">
        <v>252</v>
      </c>
      <c r="E90" s="105" t="s">
        <v>253</v>
      </c>
      <c r="F90" s="100"/>
      <c r="G90" s="34"/>
      <c r="H90" s="335"/>
      <c r="I90" s="97"/>
      <c r="J90" s="97" t="s">
        <v>413</v>
      </c>
      <c r="K90" s="336">
        <v>0</v>
      </c>
      <c r="L90" s="337">
        <v>16208</v>
      </c>
      <c r="M90" s="319">
        <v>41125.94381518646</v>
      </c>
      <c r="N90" s="319">
        <v>51522</v>
      </c>
      <c r="O90" s="319">
        <v>27234.486735471026</v>
      </c>
      <c r="P90" s="319">
        <v>22700.350394496621</v>
      </c>
      <c r="Q90" s="320">
        <v>41781.518534662748</v>
      </c>
      <c r="R90" s="319">
        <v>42118.091878414205</v>
      </c>
      <c r="S90" s="235">
        <f>tblPiNAnalysis[[#This Row],[CCCM]]</f>
        <v>0</v>
      </c>
      <c r="T90" s="236">
        <f>tblPiNAnalysis[[#This Row],[Education]]</f>
        <v>26470.35974093292</v>
      </c>
      <c r="U90" s="219">
        <f>tblPiNAnalysis[[#This Row],[Nutrition]]</f>
        <v>42094.260145199667</v>
      </c>
      <c r="V90" s="219">
        <f>tblPiNAnalysis[[#This Row],[Food Security]]</f>
        <v>52040.353809790613</v>
      </c>
      <c r="W90" s="219">
        <f>tblPiNAnalysis[[#This Row],[Health]]</f>
        <v>35482.701808864054</v>
      </c>
      <c r="X90" s="219">
        <f>tblPiNAnalysis[[#This Row],[Overarching Protection]]</f>
        <v>13243</v>
      </c>
      <c r="Y90" s="219">
        <f>tblPiNAnalysis[[#This Row],[Shelter]]</f>
        <v>46442.887891856524</v>
      </c>
      <c r="Z90" s="230">
        <f>tblPiNAnalysis[[#This Row],[WASH]]</f>
        <v>60733.007243196989</v>
      </c>
      <c r="AA90" s="339" t="str">
        <f>IF(OR(tblPiNHistorical[[#This Row],[CCCM - old]]="", tblPiNHistorical[[#This Row],[CCCM - old]]=0, tblPiNHistorical[[#This Row],[CCCM - new]]="", tblPiNHistorical[[#This Row],[CCCM - new]]=0), "", tblPiNHistorical[[#This Row],[CCCM - new]]-tblPiNHistorical[[#This Row],[CCCM - old]])</f>
        <v/>
      </c>
      <c r="AB90" s="340">
        <f>IF(OR(tblPiNHistorical[[#This Row],[Education - old]]="", tblPiNHistorical[[#This Row],[Education - old]]=0, tblPiNHistorical[[#This Row],[Education - new]]="", tblPiNHistorical[[#This Row],[Education - new]]=0), "", tblPiNHistorical[[#This Row],[Education - new]]-tblPiNHistorical[[#This Row],[Education - old]])</f>
        <v>10262.35974093292</v>
      </c>
      <c r="AC90" s="340">
        <f>IF(OR(tblPiNHistorical[[#This Row],[Nutrition - old]]="", tblPiNHistorical[[#This Row],[Nutrition - old]]=0, tblPiNHistorical[[#This Row],[Nutrition - new]]="", tblPiNHistorical[[#This Row],[Nutrition - new]]=0), "", tblPiNHistorical[[#This Row],[Nutrition - new]]-tblPiNHistorical[[#This Row],[Nutrition - old]])</f>
        <v>968.31633001320733</v>
      </c>
      <c r="AD90" s="340">
        <f>IF(OR(tblPiNHistorical[[#This Row],[Food Security - old]]="", tblPiNHistorical[[#This Row],[Food Security - old]]=0, tblPiNHistorical[[#This Row],[Food Security - new]]="", tblPiNHistorical[[#This Row],[Food Security - new]]=0), "", tblPiNHistorical[[#This Row],[Food Security - new]]-tblPiNHistorical[[#This Row],[Food Security - old]])</f>
        <v>518.35380979061301</v>
      </c>
      <c r="AE90" s="340">
        <f>IF(OR(tblPiNHistorical[[#This Row],[Health - old]]="", tblPiNHistorical[[#This Row],[Health - old]]=0, tblPiNHistorical[[#This Row],[Health - new]]="", tblPiNHistorical[[#This Row],[Health - new]]=0), "", tblPiNHistorical[[#This Row],[Health - new]]-tblPiNHistorical[[#This Row],[Health - old]])</f>
        <v>8248.2150733930284</v>
      </c>
      <c r="AF9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-9457.3503944966214</v>
      </c>
      <c r="AG90" s="340">
        <f>IF(OR(tblPiNHistorical[[#This Row],[Shelter - old]]="", tblPiNHistorical[[#This Row],[Shelter - old]]=0, tblPiNHistorical[[#This Row],[Shelter - new]]="", tblPiNHistorical[[#This Row],[Shelter - new]]=0), "", tblPiNHistorical[[#This Row],[Shelter - new]]-tblPiNHistorical[[#This Row],[Shelter - old]])</f>
        <v>4661.3693571937765</v>
      </c>
      <c r="AH90" s="341">
        <f>IF(OR(tblPiNHistorical[[#This Row],[WASH - old]]="", tblPiNHistorical[[#This Row],[WASH - old]]=0, tblPiNHistorical[[#This Row],[WASH - new]]="", tblPiNHistorical[[#This Row],[WASH - new]]=0), "", tblPiNHistorical[[#This Row],[WASH - new]]-tblPiNHistorical[[#This Row],[WASH - old]])</f>
        <v>18614.915364782784</v>
      </c>
      <c r="AI90" s="342" t="str">
        <f>IFERROR(ROUND((tblPiNHistorical[[#This Row],[CCCM - new]] - tblPiNHistorical[[#This Row],[CCCM - old]])/tblPiNHistorical[[#This Row],[CCCM - old]], 1), "")</f>
        <v/>
      </c>
      <c r="AJ90" s="343">
        <f>IFERROR(ROUND((tblPiNHistorical[[#This Row],[Education - new]]-tblPiNHistorical[[#This Row],[Education - old]])/tblPiNHistorical[[#This Row],[Education - old]], 1), "")</f>
        <v>0.6</v>
      </c>
      <c r="AK90" s="343">
        <f>IFERROR(ROUND((tblPiNHistorical[[#This Row],[Nutrition - new]]-tblPiNHistorical[[#This Row],[Nutrition - old]])/tblPiNHistorical[[#This Row],[Nutrition - old]], 1), "")</f>
        <v>0</v>
      </c>
      <c r="AL90" s="343">
        <f>IFERROR(ROUND((tblPiNHistorical[[#This Row],[Food Security - new]]-tblPiNHistorical[[#This Row],[Food Security - old]])/tblPiNHistorical[[#This Row],[Food Security - old]], 1), "")</f>
        <v>0</v>
      </c>
      <c r="AM90" s="343">
        <f>IFERROR(ROUND((tblPiNHistorical[[#This Row],[Health - new]]-tblPiNHistorical[[#This Row],[Health - old]])/tblPiNHistorical[[#This Row],[Health - old]], 1), "")</f>
        <v>0.3</v>
      </c>
      <c r="AN90" s="343">
        <f>IFERROR(ROUND((tblPiNHistorical[[#This Row],[Overarching Protection - new]]-tblPiNHistorical[[#This Row],[Overarching Protection - old]])/tblPiNHistorical[[#This Row],[Overarching Protection - old]], 1), "")</f>
        <v>-0.4</v>
      </c>
      <c r="AO90" s="343">
        <f>IFERROR(ROUND((tblPiNHistorical[[#This Row],[Shelter - new]]-tblPiNHistorical[[#This Row],[Shelter - old]])/tblPiNHistorical[[#This Row],[Shelter - old]], 1), "")</f>
        <v>0.1</v>
      </c>
      <c r="AP90" s="38">
        <f>IFERROR(ROUND((tblPiNHistorical[[#This Row],[WASH - new]]-tblPiNHistorical[[#This Row],[WASH - old]])/tblPiNHistorical[[#This Row],[WASH - old]], 1), "")</f>
        <v>0.4</v>
      </c>
      <c r="AQ90" s="406">
        <v>51522</v>
      </c>
      <c r="AR90" s="406">
        <v>60733.007243196989</v>
      </c>
    </row>
    <row r="91" spans="1:44" ht="15" customHeight="1" x14ac:dyDescent="0.55000000000000004">
      <c r="A9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1" s="316" t="s">
        <v>250</v>
      </c>
      <c r="C91" s="218" t="s">
        <v>251</v>
      </c>
      <c r="D91" s="218" t="s">
        <v>254</v>
      </c>
      <c r="E91" s="105" t="s">
        <v>255</v>
      </c>
      <c r="F91" s="100"/>
      <c r="G91" s="34"/>
      <c r="H91" s="335"/>
      <c r="I91" s="97"/>
      <c r="J91" s="97" t="s">
        <v>413</v>
      </c>
      <c r="K91" s="336">
        <v>0</v>
      </c>
      <c r="L91" s="337">
        <v>10601</v>
      </c>
      <c r="M91" s="319">
        <v>36196.005270535199</v>
      </c>
      <c r="N91" s="319">
        <v>40800</v>
      </c>
      <c r="O91" s="319">
        <v>21582.794528476839</v>
      </c>
      <c r="P91" s="319">
        <v>32436.891144716876</v>
      </c>
      <c r="Q91" s="320">
        <v>24109.822534302017</v>
      </c>
      <c r="R91" s="319">
        <v>21433.036928734382</v>
      </c>
      <c r="S91" s="235">
        <f>tblPiNAnalysis[[#This Row],[CCCM]]</f>
        <v>0</v>
      </c>
      <c r="T91" s="236">
        <f>tblPiNAnalysis[[#This Row],[Education]]</f>
        <v>10528.407321281551</v>
      </c>
      <c r="U91" s="219">
        <f>tblPiNAnalysis[[#This Row],[Nutrition]]</f>
        <v>42184.060293550596</v>
      </c>
      <c r="V91" s="219">
        <f>tblPiNAnalysis[[#This Row],[Food Security]]</f>
        <v>35471.478825328893</v>
      </c>
      <c r="W91" s="219">
        <f>tblPiNAnalysis[[#This Row],[Health]]</f>
        <v>44732.491459357952</v>
      </c>
      <c r="X91" s="219">
        <f>tblPiNAnalysis[[#This Row],[Overarching Protection]]</f>
        <v>14557</v>
      </c>
      <c r="Y91" s="219">
        <f>tblPiNAnalysis[[#This Row],[Shelter]]</f>
        <v>19014.843225455534</v>
      </c>
      <c r="Z91" s="230">
        <f>tblPiNAnalysis[[#This Row],[WASH]]</f>
        <v>38634.024521969128</v>
      </c>
      <c r="AA91" s="339" t="str">
        <f>IF(OR(tblPiNHistorical[[#This Row],[CCCM - old]]="", tblPiNHistorical[[#This Row],[CCCM - old]]=0, tblPiNHistorical[[#This Row],[CCCM - new]]="", tblPiNHistorical[[#This Row],[CCCM - new]]=0), "", tblPiNHistorical[[#This Row],[CCCM - new]]-tblPiNHistorical[[#This Row],[CCCM - old]])</f>
        <v/>
      </c>
      <c r="AB91" s="340">
        <f>IF(OR(tblPiNHistorical[[#This Row],[Education - old]]="", tblPiNHistorical[[#This Row],[Education - old]]=0, tblPiNHistorical[[#This Row],[Education - new]]="", tblPiNHistorical[[#This Row],[Education - new]]=0), "", tblPiNHistorical[[#This Row],[Education - new]]-tblPiNHistorical[[#This Row],[Education - old]])</f>
        <v>-72.592678718448951</v>
      </c>
      <c r="AC91" s="340">
        <f>IF(OR(tblPiNHistorical[[#This Row],[Nutrition - old]]="", tblPiNHistorical[[#This Row],[Nutrition - old]]=0, tblPiNHistorical[[#This Row],[Nutrition - new]]="", tblPiNHistorical[[#This Row],[Nutrition - new]]=0), "", tblPiNHistorical[[#This Row],[Nutrition - new]]-tblPiNHistorical[[#This Row],[Nutrition - old]])</f>
        <v>5988.0550230153967</v>
      </c>
      <c r="AD91" s="340">
        <f>IF(OR(tblPiNHistorical[[#This Row],[Food Security - old]]="", tblPiNHistorical[[#This Row],[Food Security - old]]=0, tblPiNHistorical[[#This Row],[Food Security - new]]="", tblPiNHistorical[[#This Row],[Food Security - new]]=0), "", tblPiNHistorical[[#This Row],[Food Security - new]]-tblPiNHistorical[[#This Row],[Food Security - old]])</f>
        <v>-5328.5211746711066</v>
      </c>
      <c r="AE91" s="340">
        <f>IF(OR(tblPiNHistorical[[#This Row],[Health - old]]="", tblPiNHistorical[[#This Row],[Health - old]]=0, tblPiNHistorical[[#This Row],[Health - new]]="", tblPiNHistorical[[#This Row],[Health - new]]=0), "", tblPiNHistorical[[#This Row],[Health - new]]-tblPiNHistorical[[#This Row],[Health - old]])</f>
        <v>23149.696930881113</v>
      </c>
      <c r="AF9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-17879.891144716876</v>
      </c>
      <c r="AG91" s="340">
        <f>IF(OR(tblPiNHistorical[[#This Row],[Shelter - old]]="", tblPiNHistorical[[#This Row],[Shelter - old]]=0, tblPiNHistorical[[#This Row],[Shelter - new]]="", tblPiNHistorical[[#This Row],[Shelter - new]]=0), "", tblPiNHistorical[[#This Row],[Shelter - new]]-tblPiNHistorical[[#This Row],[Shelter - old]])</f>
        <v>-5094.979308846483</v>
      </c>
      <c r="AH91" s="341">
        <f>IF(OR(tblPiNHistorical[[#This Row],[WASH - old]]="", tblPiNHistorical[[#This Row],[WASH - old]]=0, tblPiNHistorical[[#This Row],[WASH - new]]="", tblPiNHistorical[[#This Row],[WASH - new]]=0), "", tblPiNHistorical[[#This Row],[WASH - new]]-tblPiNHistorical[[#This Row],[WASH - old]])</f>
        <v>17200.987593234746</v>
      </c>
      <c r="AI91" s="342" t="str">
        <f>IFERROR(ROUND((tblPiNHistorical[[#This Row],[CCCM - new]] - tblPiNHistorical[[#This Row],[CCCM - old]])/tblPiNHistorical[[#This Row],[CCCM - old]], 1), "")</f>
        <v/>
      </c>
      <c r="AJ91" s="343">
        <f>IFERROR(ROUND((tblPiNHistorical[[#This Row],[Education - new]]-tblPiNHistorical[[#This Row],[Education - old]])/tblPiNHistorical[[#This Row],[Education - old]], 1), "")</f>
        <v>0</v>
      </c>
      <c r="AK91" s="343">
        <f>IFERROR(ROUND((tblPiNHistorical[[#This Row],[Nutrition - new]]-tblPiNHistorical[[#This Row],[Nutrition - old]])/tblPiNHistorical[[#This Row],[Nutrition - old]], 1), "")</f>
        <v>0.2</v>
      </c>
      <c r="AL91" s="343">
        <f>IFERROR(ROUND((tblPiNHistorical[[#This Row],[Food Security - new]]-tblPiNHistorical[[#This Row],[Food Security - old]])/tblPiNHistorical[[#This Row],[Food Security - old]], 1), "")</f>
        <v>-0.1</v>
      </c>
      <c r="AM91" s="343">
        <f>IFERROR(ROUND((tblPiNHistorical[[#This Row],[Health - new]]-tblPiNHistorical[[#This Row],[Health - old]])/tblPiNHistorical[[#This Row],[Health - old]], 1), "")</f>
        <v>1.1000000000000001</v>
      </c>
      <c r="AN91" s="343">
        <f>IFERROR(ROUND((tblPiNHistorical[[#This Row],[Overarching Protection - new]]-tblPiNHistorical[[#This Row],[Overarching Protection - old]])/tblPiNHistorical[[#This Row],[Overarching Protection - old]], 1), "")</f>
        <v>-0.6</v>
      </c>
      <c r="AO91" s="343">
        <f>IFERROR(ROUND((tblPiNHistorical[[#This Row],[Shelter - new]]-tblPiNHistorical[[#This Row],[Shelter - old]])/tblPiNHistorical[[#This Row],[Shelter - old]], 1), "")</f>
        <v>-0.2</v>
      </c>
      <c r="AP91" s="38">
        <f>IFERROR(ROUND((tblPiNHistorical[[#This Row],[WASH - new]]-tblPiNHistorical[[#This Row],[WASH - old]])/tblPiNHistorical[[#This Row],[WASH - old]], 1), "")</f>
        <v>0.8</v>
      </c>
      <c r="AQ91" s="406">
        <v>40800</v>
      </c>
      <c r="AR91" s="406">
        <v>44732.491459357952</v>
      </c>
    </row>
    <row r="92" spans="1:44" ht="15" customHeight="1" x14ac:dyDescent="0.55000000000000004">
      <c r="A9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2" s="316" t="s">
        <v>250</v>
      </c>
      <c r="C92" s="218" t="s">
        <v>251</v>
      </c>
      <c r="D92" s="218" t="s">
        <v>256</v>
      </c>
      <c r="E92" s="105" t="s">
        <v>257</v>
      </c>
      <c r="F92" s="100"/>
      <c r="G92" s="34"/>
      <c r="H92" s="335"/>
      <c r="I92" s="97"/>
      <c r="J92" s="97" t="s">
        <v>413</v>
      </c>
      <c r="K92" s="336">
        <v>0</v>
      </c>
      <c r="L92" s="337">
        <v>42615</v>
      </c>
      <c r="M92" s="319">
        <v>55370.967501840933</v>
      </c>
      <c r="N92" s="319">
        <v>112342</v>
      </c>
      <c r="O92" s="319">
        <v>48566.169414722521</v>
      </c>
      <c r="P92" s="319">
        <v>50875.221436006505</v>
      </c>
      <c r="Q92" s="320">
        <v>18771.231151507454</v>
      </c>
      <c r="R92" s="319">
        <v>72354.426152233093</v>
      </c>
      <c r="S92" s="235">
        <f>tblPiNAnalysis[[#This Row],[CCCM]]</f>
        <v>0</v>
      </c>
      <c r="T92" s="236">
        <f>tblPiNAnalysis[[#This Row],[Education]]</f>
        <v>46429.992605053216</v>
      </c>
      <c r="U92" s="219">
        <f>tblPiNAnalysis[[#This Row],[Nutrition]]</f>
        <v>69154.097960808984</v>
      </c>
      <c r="V92" s="219">
        <f>tblPiNAnalysis[[#This Row],[Food Security]]</f>
        <v>96916.824518761714</v>
      </c>
      <c r="W92" s="219">
        <f>tblPiNAnalysis[[#This Row],[Health]]</f>
        <v>52722.460475722546</v>
      </c>
      <c r="X92" s="219">
        <f>tblPiNAnalysis[[#This Row],[Overarching Protection]]</f>
        <v>45226</v>
      </c>
      <c r="Y92" s="219">
        <f>tblPiNAnalysis[[#This Row],[Shelter]]</f>
        <v>70224.910751202638</v>
      </c>
      <c r="Z92" s="230">
        <f>tblPiNAnalysis[[#This Row],[WASH]]</f>
        <v>108231.94130113669</v>
      </c>
      <c r="AA92" s="339" t="str">
        <f>IF(OR(tblPiNHistorical[[#This Row],[CCCM - old]]="", tblPiNHistorical[[#This Row],[CCCM - old]]=0, tblPiNHistorical[[#This Row],[CCCM - new]]="", tblPiNHistorical[[#This Row],[CCCM - new]]=0), "", tblPiNHistorical[[#This Row],[CCCM - new]]-tblPiNHistorical[[#This Row],[CCCM - old]])</f>
        <v/>
      </c>
      <c r="AB92" s="340">
        <f>IF(OR(tblPiNHistorical[[#This Row],[Education - old]]="", tblPiNHistorical[[#This Row],[Education - old]]=0, tblPiNHistorical[[#This Row],[Education - new]]="", tblPiNHistorical[[#This Row],[Education - new]]=0), "", tblPiNHistorical[[#This Row],[Education - new]]-tblPiNHistorical[[#This Row],[Education - old]])</f>
        <v>3814.9926050532158</v>
      </c>
      <c r="AC92" s="340">
        <f>IF(OR(tblPiNHistorical[[#This Row],[Nutrition - old]]="", tblPiNHistorical[[#This Row],[Nutrition - old]]=0, tblPiNHistorical[[#This Row],[Nutrition - new]]="", tblPiNHistorical[[#This Row],[Nutrition - new]]=0), "", tblPiNHistorical[[#This Row],[Nutrition - new]]-tblPiNHistorical[[#This Row],[Nutrition - old]])</f>
        <v>13783.130458968051</v>
      </c>
      <c r="AD92" s="340">
        <f>IF(OR(tblPiNHistorical[[#This Row],[Food Security - old]]="", tblPiNHistorical[[#This Row],[Food Security - old]]=0, tblPiNHistorical[[#This Row],[Food Security - new]]="", tblPiNHistorical[[#This Row],[Food Security - new]]=0), "", tblPiNHistorical[[#This Row],[Food Security - new]]-tblPiNHistorical[[#This Row],[Food Security - old]])</f>
        <v>-15425.175481238286</v>
      </c>
      <c r="AE92" s="340">
        <f>IF(OR(tblPiNHistorical[[#This Row],[Health - old]]="", tblPiNHistorical[[#This Row],[Health - old]]=0, tblPiNHistorical[[#This Row],[Health - new]]="", tblPiNHistorical[[#This Row],[Health - new]]=0), "", tblPiNHistorical[[#This Row],[Health - new]]-tblPiNHistorical[[#This Row],[Health - old]])</f>
        <v>4156.2910610000254</v>
      </c>
      <c r="AF9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-5649.2214360065045</v>
      </c>
      <c r="AG92" s="340">
        <f>IF(OR(tblPiNHistorical[[#This Row],[Shelter - old]]="", tblPiNHistorical[[#This Row],[Shelter - old]]=0, tblPiNHistorical[[#This Row],[Shelter - new]]="", tblPiNHistorical[[#This Row],[Shelter - new]]=0), "", tblPiNHistorical[[#This Row],[Shelter - new]]-tblPiNHistorical[[#This Row],[Shelter - old]])</f>
        <v>51453.679599695184</v>
      </c>
      <c r="AH92" s="341">
        <f>IF(OR(tblPiNHistorical[[#This Row],[WASH - old]]="", tblPiNHistorical[[#This Row],[WASH - old]]=0, tblPiNHistorical[[#This Row],[WASH - new]]="", tblPiNHistorical[[#This Row],[WASH - new]]=0), "", tblPiNHistorical[[#This Row],[WASH - new]]-tblPiNHistorical[[#This Row],[WASH - old]])</f>
        <v>35877.515148903592</v>
      </c>
      <c r="AI92" s="342" t="str">
        <f>IFERROR(ROUND((tblPiNHistorical[[#This Row],[CCCM - new]] - tblPiNHistorical[[#This Row],[CCCM - old]])/tblPiNHistorical[[#This Row],[CCCM - old]], 1), "")</f>
        <v/>
      </c>
      <c r="AJ92" s="343">
        <f>IFERROR(ROUND((tblPiNHistorical[[#This Row],[Education - new]]-tblPiNHistorical[[#This Row],[Education - old]])/tblPiNHistorical[[#This Row],[Education - old]], 1), "")</f>
        <v>0.1</v>
      </c>
      <c r="AK92" s="343">
        <f>IFERROR(ROUND((tblPiNHistorical[[#This Row],[Nutrition - new]]-tblPiNHistorical[[#This Row],[Nutrition - old]])/tblPiNHistorical[[#This Row],[Nutrition - old]], 1), "")</f>
        <v>0.2</v>
      </c>
      <c r="AL92" s="343">
        <f>IFERROR(ROUND((tblPiNHistorical[[#This Row],[Food Security - new]]-tblPiNHistorical[[#This Row],[Food Security - old]])/tblPiNHistorical[[#This Row],[Food Security - old]], 1), "")</f>
        <v>-0.1</v>
      </c>
      <c r="AM92" s="343">
        <f>IFERROR(ROUND((tblPiNHistorical[[#This Row],[Health - new]]-tblPiNHistorical[[#This Row],[Health - old]])/tblPiNHistorical[[#This Row],[Health - old]], 1), "")</f>
        <v>0.1</v>
      </c>
      <c r="AN92" s="343">
        <f>IFERROR(ROUND((tblPiNHistorical[[#This Row],[Overarching Protection - new]]-tblPiNHistorical[[#This Row],[Overarching Protection - old]])/tblPiNHistorical[[#This Row],[Overarching Protection - old]], 1), "")</f>
        <v>-0.1</v>
      </c>
      <c r="AO92" s="343">
        <f>IFERROR(ROUND((tblPiNHistorical[[#This Row],[Shelter - new]]-tblPiNHistorical[[#This Row],[Shelter - old]])/tblPiNHistorical[[#This Row],[Shelter - old]], 1), "")</f>
        <v>2.7</v>
      </c>
      <c r="AP92" s="38">
        <f>IFERROR(ROUND((tblPiNHistorical[[#This Row],[WASH - new]]-tblPiNHistorical[[#This Row],[WASH - old]])/tblPiNHistorical[[#This Row],[WASH - old]], 1), "")</f>
        <v>0.5</v>
      </c>
      <c r="AQ92" s="406">
        <v>112342</v>
      </c>
      <c r="AR92" s="406">
        <v>108231.94130113669</v>
      </c>
    </row>
    <row r="93" spans="1:44" ht="15" customHeight="1" x14ac:dyDescent="0.55000000000000004">
      <c r="A9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3" s="316" t="s">
        <v>250</v>
      </c>
      <c r="C93" s="218" t="s">
        <v>251</v>
      </c>
      <c r="D93" s="218" t="s">
        <v>258</v>
      </c>
      <c r="E93" s="105" t="s">
        <v>259</v>
      </c>
      <c r="F93" s="100"/>
      <c r="G93" s="34"/>
      <c r="H93" s="335"/>
      <c r="I93" s="97"/>
      <c r="J93" s="97" t="s">
        <v>413</v>
      </c>
      <c r="K93" s="336">
        <v>0</v>
      </c>
      <c r="L93" s="337">
        <v>43431</v>
      </c>
      <c r="M93" s="319">
        <v>38119.37460090316</v>
      </c>
      <c r="N93" s="319">
        <v>91506</v>
      </c>
      <c r="O93" s="319">
        <v>108097.6041871038</v>
      </c>
      <c r="P93" s="319">
        <v>39783.535318740433</v>
      </c>
      <c r="Q93" s="320">
        <v>8653.5486710848272</v>
      </c>
      <c r="R93" s="319">
        <v>15319.265036790548</v>
      </c>
      <c r="S93" s="235">
        <f>tblPiNAnalysis[[#This Row],[CCCM]]</f>
        <v>0</v>
      </c>
      <c r="T93" s="236">
        <f>tblPiNAnalysis[[#This Row],[Education]]</f>
        <v>46042.449106219196</v>
      </c>
      <c r="U93" s="219">
        <f>tblPiNAnalysis[[#This Row],[Nutrition]]</f>
        <v>59858.47932407858</v>
      </c>
      <c r="V93" s="219">
        <f>tblPiNAnalysis[[#This Row],[Food Security]]</f>
        <v>86176.646757728115</v>
      </c>
      <c r="W93" s="219">
        <f>tblPiNAnalysis[[#This Row],[Health]]</f>
        <v>43235.42634040417</v>
      </c>
      <c r="X93" s="219">
        <f>tblPiNAnalysis[[#This Row],[Overarching Protection]]</f>
        <v>20486</v>
      </c>
      <c r="Y93" s="219">
        <f>tblPiNAnalysis[[#This Row],[Shelter]]</f>
        <v>89929.739884675801</v>
      </c>
      <c r="Z93" s="230">
        <f>tblPiNAnalysis[[#This Row],[WASH]]</f>
        <v>62413.815931550314</v>
      </c>
      <c r="AA93" s="339" t="str">
        <f>IF(OR(tblPiNHistorical[[#This Row],[CCCM - old]]="", tblPiNHistorical[[#This Row],[CCCM - old]]=0, tblPiNHistorical[[#This Row],[CCCM - new]]="", tblPiNHistorical[[#This Row],[CCCM - new]]=0), "", tblPiNHistorical[[#This Row],[CCCM - new]]-tblPiNHistorical[[#This Row],[CCCM - old]])</f>
        <v/>
      </c>
      <c r="AB93" s="340">
        <f>IF(OR(tblPiNHistorical[[#This Row],[Education - old]]="", tblPiNHistorical[[#This Row],[Education - old]]=0, tblPiNHistorical[[#This Row],[Education - new]]="", tblPiNHistorical[[#This Row],[Education - new]]=0), "", tblPiNHistorical[[#This Row],[Education - new]]-tblPiNHistorical[[#This Row],[Education - old]])</f>
        <v>2611.4491062191955</v>
      </c>
      <c r="AC93" s="340">
        <f>IF(OR(tblPiNHistorical[[#This Row],[Nutrition - old]]="", tblPiNHistorical[[#This Row],[Nutrition - old]]=0, tblPiNHistorical[[#This Row],[Nutrition - new]]="", tblPiNHistorical[[#This Row],[Nutrition - new]]=0), "", tblPiNHistorical[[#This Row],[Nutrition - new]]-tblPiNHistorical[[#This Row],[Nutrition - old]])</f>
        <v>21739.10472317542</v>
      </c>
      <c r="AD93" s="340">
        <f>IF(OR(tblPiNHistorical[[#This Row],[Food Security - old]]="", tblPiNHistorical[[#This Row],[Food Security - old]]=0, tblPiNHistorical[[#This Row],[Food Security - new]]="", tblPiNHistorical[[#This Row],[Food Security - new]]=0), "", tblPiNHistorical[[#This Row],[Food Security - new]]-tblPiNHistorical[[#This Row],[Food Security - old]])</f>
        <v>-5329.3532422718854</v>
      </c>
      <c r="AE93" s="340">
        <f>IF(OR(tblPiNHistorical[[#This Row],[Health - old]]="", tblPiNHistorical[[#This Row],[Health - old]]=0, tblPiNHistorical[[#This Row],[Health - new]]="", tblPiNHistorical[[#This Row],[Health - new]]=0), "", tblPiNHistorical[[#This Row],[Health - new]]-tblPiNHistorical[[#This Row],[Health - old]])</f>
        <v>-64862.177846699633</v>
      </c>
      <c r="AF9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-19297.535318740433</v>
      </c>
      <c r="AG93" s="340">
        <f>IF(OR(tblPiNHistorical[[#This Row],[Shelter - old]]="", tblPiNHistorical[[#This Row],[Shelter - old]]=0, tblPiNHistorical[[#This Row],[Shelter - new]]="", tblPiNHistorical[[#This Row],[Shelter - new]]=0), "", tblPiNHistorical[[#This Row],[Shelter - new]]-tblPiNHistorical[[#This Row],[Shelter - old]])</f>
        <v>81276.191213590966</v>
      </c>
      <c r="AH93" s="341">
        <f>IF(OR(tblPiNHistorical[[#This Row],[WASH - old]]="", tblPiNHistorical[[#This Row],[WASH - old]]=0, tblPiNHistorical[[#This Row],[WASH - new]]="", tblPiNHistorical[[#This Row],[WASH - new]]=0), "", tblPiNHistorical[[#This Row],[WASH - new]]-tblPiNHistorical[[#This Row],[WASH - old]])</f>
        <v>47094.55089475977</v>
      </c>
      <c r="AI93" s="342" t="str">
        <f>IFERROR(ROUND((tblPiNHistorical[[#This Row],[CCCM - new]] - tblPiNHistorical[[#This Row],[CCCM - old]])/tblPiNHistorical[[#This Row],[CCCM - old]], 1), "")</f>
        <v/>
      </c>
      <c r="AJ93" s="343">
        <f>IFERROR(ROUND((tblPiNHistorical[[#This Row],[Education - new]]-tblPiNHistorical[[#This Row],[Education - old]])/tblPiNHistorical[[#This Row],[Education - old]], 1), "")</f>
        <v>0.1</v>
      </c>
      <c r="AK93" s="343">
        <f>IFERROR(ROUND((tblPiNHistorical[[#This Row],[Nutrition - new]]-tblPiNHistorical[[#This Row],[Nutrition - old]])/tblPiNHistorical[[#This Row],[Nutrition - old]], 1), "")</f>
        <v>0.6</v>
      </c>
      <c r="AL93" s="343">
        <f>IFERROR(ROUND((tblPiNHistorical[[#This Row],[Food Security - new]]-tblPiNHistorical[[#This Row],[Food Security - old]])/tblPiNHistorical[[#This Row],[Food Security - old]], 1), "")</f>
        <v>-0.1</v>
      </c>
      <c r="AM93" s="343">
        <f>IFERROR(ROUND((tblPiNHistorical[[#This Row],[Health - new]]-tblPiNHistorical[[#This Row],[Health - old]])/tblPiNHistorical[[#This Row],[Health - old]], 1), "")</f>
        <v>-0.6</v>
      </c>
      <c r="AN93" s="343">
        <f>IFERROR(ROUND((tblPiNHistorical[[#This Row],[Overarching Protection - new]]-tblPiNHistorical[[#This Row],[Overarching Protection - old]])/tblPiNHistorical[[#This Row],[Overarching Protection - old]], 1), "")</f>
        <v>-0.5</v>
      </c>
      <c r="AO93" s="343">
        <f>IFERROR(ROUND((tblPiNHistorical[[#This Row],[Shelter - new]]-tblPiNHistorical[[#This Row],[Shelter - old]])/tblPiNHistorical[[#This Row],[Shelter - old]], 1), "")</f>
        <v>9.4</v>
      </c>
      <c r="AP93" s="38">
        <f>IFERROR(ROUND((tblPiNHistorical[[#This Row],[WASH - new]]-tblPiNHistorical[[#This Row],[WASH - old]])/tblPiNHistorical[[#This Row],[WASH - old]], 1), "")</f>
        <v>3.1</v>
      </c>
      <c r="AQ93" s="406">
        <v>108097.6041871038</v>
      </c>
      <c r="AR93" s="406">
        <v>89929.739884675801</v>
      </c>
    </row>
    <row r="94" spans="1:44" ht="15" customHeight="1" x14ac:dyDescent="0.55000000000000004">
      <c r="A9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4" s="316" t="s">
        <v>250</v>
      </c>
      <c r="C94" s="218" t="s">
        <v>251</v>
      </c>
      <c r="D94" s="218" t="s">
        <v>260</v>
      </c>
      <c r="E94" s="105" t="s">
        <v>261</v>
      </c>
      <c r="F94" s="100"/>
      <c r="G94" s="34"/>
      <c r="H94" s="335"/>
      <c r="I94" s="97"/>
      <c r="J94" s="97" t="s">
        <v>413</v>
      </c>
      <c r="K94" s="336">
        <v>0</v>
      </c>
      <c r="L94" s="337">
        <v>27056</v>
      </c>
      <c r="M94" s="319">
        <v>35437.292711091854</v>
      </c>
      <c r="N94" s="319">
        <v>35050</v>
      </c>
      <c r="O94" s="319">
        <v>30969.236944946682</v>
      </c>
      <c r="P94" s="319">
        <v>25386.643422129655</v>
      </c>
      <c r="Q94" s="320">
        <v>8504.085229905555</v>
      </c>
      <c r="R94" s="319">
        <v>64520.022190113996</v>
      </c>
      <c r="S94" s="235">
        <f>tblPiNAnalysis[[#This Row],[CCCM]]</f>
        <v>0</v>
      </c>
      <c r="T94" s="236">
        <f>tblPiNAnalysis[[#This Row],[Education]]</f>
        <v>19686.721186953062</v>
      </c>
      <c r="U94" s="219">
        <f>tblPiNAnalysis[[#This Row],[Nutrition]]</f>
        <v>37294.758549978993</v>
      </c>
      <c r="V94" s="219">
        <f>tblPiNAnalysis[[#This Row],[Food Security]]</f>
        <v>35027.358509100399</v>
      </c>
      <c r="W94" s="219">
        <f>tblPiNAnalysis[[#This Row],[Health]]</f>
        <v>38688.219690455218</v>
      </c>
      <c r="X94" s="219">
        <f>tblPiNAnalysis[[#This Row],[Overarching Protection]]</f>
        <v>14100</v>
      </c>
      <c r="Y94" s="219">
        <f>tblPiNAnalysis[[#This Row],[Shelter]]</f>
        <v>42994.488733571816</v>
      </c>
      <c r="Z94" s="230">
        <f>tblPiNAnalysis[[#This Row],[WASH]]</f>
        <v>78537.097041388552</v>
      </c>
      <c r="AA94" s="339" t="str">
        <f>IF(OR(tblPiNHistorical[[#This Row],[CCCM - old]]="", tblPiNHistorical[[#This Row],[CCCM - old]]=0, tblPiNHistorical[[#This Row],[CCCM - new]]="", tblPiNHistorical[[#This Row],[CCCM - new]]=0), "", tblPiNHistorical[[#This Row],[CCCM - new]]-tblPiNHistorical[[#This Row],[CCCM - old]])</f>
        <v/>
      </c>
      <c r="AB94" s="340">
        <f>IF(OR(tblPiNHistorical[[#This Row],[Education - old]]="", tblPiNHistorical[[#This Row],[Education - old]]=0, tblPiNHistorical[[#This Row],[Education - new]]="", tblPiNHistorical[[#This Row],[Education - new]]=0), "", tblPiNHistorical[[#This Row],[Education - new]]-tblPiNHistorical[[#This Row],[Education - old]])</f>
        <v>-7369.278813046938</v>
      </c>
      <c r="AC94" s="340">
        <f>IF(OR(tblPiNHistorical[[#This Row],[Nutrition - old]]="", tblPiNHistorical[[#This Row],[Nutrition - old]]=0, tblPiNHistorical[[#This Row],[Nutrition - new]]="", tblPiNHistorical[[#This Row],[Nutrition - new]]=0), "", tblPiNHistorical[[#This Row],[Nutrition - new]]-tblPiNHistorical[[#This Row],[Nutrition - old]])</f>
        <v>1857.4658388871394</v>
      </c>
      <c r="AD94" s="340">
        <f>IF(OR(tblPiNHistorical[[#This Row],[Food Security - old]]="", tblPiNHistorical[[#This Row],[Food Security - old]]=0, tblPiNHistorical[[#This Row],[Food Security - new]]="", tblPiNHistorical[[#This Row],[Food Security - new]]=0), "", tblPiNHistorical[[#This Row],[Food Security - new]]-tblPiNHistorical[[#This Row],[Food Security - old]])</f>
        <v>-22.641490899601195</v>
      </c>
      <c r="AE94" s="340">
        <f>IF(OR(tblPiNHistorical[[#This Row],[Health - old]]="", tblPiNHistorical[[#This Row],[Health - old]]=0, tblPiNHistorical[[#This Row],[Health - new]]="", tblPiNHistorical[[#This Row],[Health - new]]=0), "", tblPiNHistorical[[#This Row],[Health - new]]-tblPiNHistorical[[#This Row],[Health - old]])</f>
        <v>7718.982745508536</v>
      </c>
      <c r="AF9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-11286.643422129655</v>
      </c>
      <c r="AG94" s="340">
        <f>IF(OR(tblPiNHistorical[[#This Row],[Shelter - old]]="", tblPiNHistorical[[#This Row],[Shelter - old]]=0, tblPiNHistorical[[#This Row],[Shelter - new]]="", tblPiNHistorical[[#This Row],[Shelter - new]]=0), "", tblPiNHistorical[[#This Row],[Shelter - new]]-tblPiNHistorical[[#This Row],[Shelter - old]])</f>
        <v>34490.403503666261</v>
      </c>
      <c r="AH94" s="341">
        <f>IF(OR(tblPiNHistorical[[#This Row],[WASH - old]]="", tblPiNHistorical[[#This Row],[WASH - old]]=0, tblPiNHistorical[[#This Row],[WASH - new]]="", tblPiNHistorical[[#This Row],[WASH - new]]=0), "", tblPiNHistorical[[#This Row],[WASH - new]]-tblPiNHistorical[[#This Row],[WASH - old]])</f>
        <v>14017.074851274556</v>
      </c>
      <c r="AI94" s="342" t="str">
        <f>IFERROR(ROUND((tblPiNHistorical[[#This Row],[CCCM - new]] - tblPiNHistorical[[#This Row],[CCCM - old]])/tblPiNHistorical[[#This Row],[CCCM - old]], 1), "")</f>
        <v/>
      </c>
      <c r="AJ94" s="343">
        <f>IFERROR(ROUND((tblPiNHistorical[[#This Row],[Education - new]]-tblPiNHistorical[[#This Row],[Education - old]])/tblPiNHistorical[[#This Row],[Education - old]], 1), "")</f>
        <v>-0.3</v>
      </c>
      <c r="AK94" s="343">
        <f>IFERROR(ROUND((tblPiNHistorical[[#This Row],[Nutrition - new]]-tblPiNHistorical[[#This Row],[Nutrition - old]])/tblPiNHistorical[[#This Row],[Nutrition - old]], 1), "")</f>
        <v>0.1</v>
      </c>
      <c r="AL94" s="343">
        <f>IFERROR(ROUND((tblPiNHistorical[[#This Row],[Food Security - new]]-tblPiNHistorical[[#This Row],[Food Security - old]])/tblPiNHistorical[[#This Row],[Food Security - old]], 1), "")</f>
        <v>0</v>
      </c>
      <c r="AM94" s="343">
        <f>IFERROR(ROUND((tblPiNHistorical[[#This Row],[Health - new]]-tblPiNHistorical[[#This Row],[Health - old]])/tblPiNHistorical[[#This Row],[Health - old]], 1), "")</f>
        <v>0.2</v>
      </c>
      <c r="AN94" s="343">
        <f>IFERROR(ROUND((tblPiNHistorical[[#This Row],[Overarching Protection - new]]-tblPiNHistorical[[#This Row],[Overarching Protection - old]])/tblPiNHistorical[[#This Row],[Overarching Protection - old]], 1), "")</f>
        <v>-0.4</v>
      </c>
      <c r="AO94" s="343">
        <f>IFERROR(ROUND((tblPiNHistorical[[#This Row],[Shelter - new]]-tblPiNHistorical[[#This Row],[Shelter - old]])/tblPiNHistorical[[#This Row],[Shelter - old]], 1), "")</f>
        <v>4.0999999999999996</v>
      </c>
      <c r="AP94" s="38">
        <f>IFERROR(ROUND((tblPiNHistorical[[#This Row],[WASH - new]]-tblPiNHistorical[[#This Row],[WASH - old]])/tblPiNHistorical[[#This Row],[WASH - old]], 1), "")</f>
        <v>0.2</v>
      </c>
      <c r="AQ94" s="406">
        <v>64520.022190113996</v>
      </c>
      <c r="AR94" s="406">
        <v>78537.097041388552</v>
      </c>
    </row>
    <row r="95" spans="1:44" ht="15" customHeight="1" x14ac:dyDescent="0.55000000000000004">
      <c r="A9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5" s="316" t="s">
        <v>250</v>
      </c>
      <c r="C95" s="218" t="s">
        <v>251</v>
      </c>
      <c r="D95" s="218" t="s">
        <v>262</v>
      </c>
      <c r="E95" s="105" t="s">
        <v>263</v>
      </c>
      <c r="F95" s="100"/>
      <c r="G95" s="34"/>
      <c r="H95" s="335"/>
      <c r="I95" s="97"/>
      <c r="J95" s="97" t="s">
        <v>413</v>
      </c>
      <c r="K95" s="336">
        <v>2787</v>
      </c>
      <c r="L95" s="337">
        <v>26933</v>
      </c>
      <c r="M95" s="319">
        <v>44373.146815378241</v>
      </c>
      <c r="N95" s="319">
        <v>83390</v>
      </c>
      <c r="O95" s="319">
        <v>47301.051597166406</v>
      </c>
      <c r="P95" s="319">
        <v>44451.228324625001</v>
      </c>
      <c r="Q95" s="320">
        <v>17247.448634630469</v>
      </c>
      <c r="R95" s="319">
        <v>43923.502522858922</v>
      </c>
      <c r="S95" s="235">
        <f>tblPiNAnalysis[[#This Row],[CCCM]]</f>
        <v>0</v>
      </c>
      <c r="T95" s="236">
        <f>tblPiNAnalysis[[#This Row],[Education]]</f>
        <v>5729.3573720513423</v>
      </c>
      <c r="U95" s="219">
        <f>tblPiNAnalysis[[#This Row],[Nutrition]]</f>
        <v>45780.758584537936</v>
      </c>
      <c r="V95" s="219">
        <f>tblPiNAnalysis[[#This Row],[Food Security]]</f>
        <v>73504.163352942982</v>
      </c>
      <c r="W95" s="219">
        <f>tblPiNAnalysis[[#This Row],[Health]]</f>
        <v>44407.930448946878</v>
      </c>
      <c r="X95" s="219">
        <f>tblPiNAnalysis[[#This Row],[Overarching Protection]]</f>
        <v>18196</v>
      </c>
      <c r="Y95" s="219">
        <f>tblPiNAnalysis[[#This Row],[Shelter]]</f>
        <v>26792.729947864493</v>
      </c>
      <c r="Z95" s="230">
        <f>tblPiNAnalysis[[#This Row],[WASH]]</f>
        <v>31342.438806935817</v>
      </c>
      <c r="AA95" s="339" t="str">
        <f>IF(OR(tblPiNHistorical[[#This Row],[CCCM - old]]="", tblPiNHistorical[[#This Row],[CCCM - old]]=0, tblPiNHistorical[[#This Row],[CCCM - new]]="", tblPiNHistorical[[#This Row],[CCCM - new]]=0), "", tblPiNHistorical[[#This Row],[CCCM - new]]-tblPiNHistorical[[#This Row],[CCCM - old]])</f>
        <v/>
      </c>
      <c r="AB95" s="340">
        <f>IF(OR(tblPiNHistorical[[#This Row],[Education - old]]="", tblPiNHistorical[[#This Row],[Education - old]]=0, tblPiNHistorical[[#This Row],[Education - new]]="", tblPiNHistorical[[#This Row],[Education - new]]=0), "", tblPiNHistorical[[#This Row],[Education - new]]-tblPiNHistorical[[#This Row],[Education - old]])</f>
        <v>-21203.642627948659</v>
      </c>
      <c r="AC95" s="340">
        <f>IF(OR(tblPiNHistorical[[#This Row],[Nutrition - old]]="", tblPiNHistorical[[#This Row],[Nutrition - old]]=0, tblPiNHistorical[[#This Row],[Nutrition - new]]="", tblPiNHistorical[[#This Row],[Nutrition - new]]=0), "", tblPiNHistorical[[#This Row],[Nutrition - new]]-tblPiNHistorical[[#This Row],[Nutrition - old]])</f>
        <v>1407.6117691596955</v>
      </c>
      <c r="AD95" s="340">
        <f>IF(OR(tblPiNHistorical[[#This Row],[Food Security - old]]="", tblPiNHistorical[[#This Row],[Food Security - old]]=0, tblPiNHistorical[[#This Row],[Food Security - new]]="", tblPiNHistorical[[#This Row],[Food Security - new]]=0), "", tblPiNHistorical[[#This Row],[Food Security - new]]-tblPiNHistorical[[#This Row],[Food Security - old]])</f>
        <v>-9885.8366470570181</v>
      </c>
      <c r="AE95" s="340">
        <f>IF(OR(tblPiNHistorical[[#This Row],[Health - old]]="", tblPiNHistorical[[#This Row],[Health - old]]=0, tblPiNHistorical[[#This Row],[Health - new]]="", tblPiNHistorical[[#This Row],[Health - new]]=0), "", tblPiNHistorical[[#This Row],[Health - new]]-tblPiNHistorical[[#This Row],[Health - old]])</f>
        <v>-2893.1211482195285</v>
      </c>
      <c r="AF9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-26255.228324625001</v>
      </c>
      <c r="AG95" s="340">
        <f>IF(OR(tblPiNHistorical[[#This Row],[Shelter - old]]="", tblPiNHistorical[[#This Row],[Shelter - old]]=0, tblPiNHistorical[[#This Row],[Shelter - new]]="", tblPiNHistorical[[#This Row],[Shelter - new]]=0), "", tblPiNHistorical[[#This Row],[Shelter - new]]-tblPiNHistorical[[#This Row],[Shelter - old]])</f>
        <v>9545.2813132340234</v>
      </c>
      <c r="AH95" s="341">
        <f>IF(OR(tblPiNHistorical[[#This Row],[WASH - old]]="", tblPiNHistorical[[#This Row],[WASH - old]]=0, tblPiNHistorical[[#This Row],[WASH - new]]="", tblPiNHistorical[[#This Row],[WASH - new]]=0), "", tblPiNHistorical[[#This Row],[WASH - new]]-tblPiNHistorical[[#This Row],[WASH - old]])</f>
        <v>-12581.063715923105</v>
      </c>
      <c r="AI95" s="342">
        <f>IFERROR(ROUND((tblPiNHistorical[[#This Row],[CCCM - new]] - tblPiNHistorical[[#This Row],[CCCM - old]])/tblPiNHistorical[[#This Row],[CCCM - old]], 1), "")</f>
        <v>-1</v>
      </c>
      <c r="AJ95" s="343">
        <f>IFERROR(ROUND((tblPiNHistorical[[#This Row],[Education - new]]-tblPiNHistorical[[#This Row],[Education - old]])/tblPiNHistorical[[#This Row],[Education - old]], 1), "")</f>
        <v>-0.8</v>
      </c>
      <c r="AK95" s="343">
        <f>IFERROR(ROUND((tblPiNHistorical[[#This Row],[Nutrition - new]]-tblPiNHistorical[[#This Row],[Nutrition - old]])/tblPiNHistorical[[#This Row],[Nutrition - old]], 1), "")</f>
        <v>0</v>
      </c>
      <c r="AL95" s="343">
        <f>IFERROR(ROUND((tblPiNHistorical[[#This Row],[Food Security - new]]-tblPiNHistorical[[#This Row],[Food Security - old]])/tblPiNHistorical[[#This Row],[Food Security - old]], 1), "")</f>
        <v>-0.1</v>
      </c>
      <c r="AM95" s="343">
        <f>IFERROR(ROUND((tblPiNHistorical[[#This Row],[Health - new]]-tblPiNHistorical[[#This Row],[Health - old]])/tblPiNHistorical[[#This Row],[Health - old]], 1), "")</f>
        <v>-0.1</v>
      </c>
      <c r="AN95" s="343">
        <f>IFERROR(ROUND((tblPiNHistorical[[#This Row],[Overarching Protection - new]]-tblPiNHistorical[[#This Row],[Overarching Protection - old]])/tblPiNHistorical[[#This Row],[Overarching Protection - old]], 1), "")</f>
        <v>-0.6</v>
      </c>
      <c r="AO95" s="343">
        <f>IFERROR(ROUND((tblPiNHistorical[[#This Row],[Shelter - new]]-tblPiNHistorical[[#This Row],[Shelter - old]])/tblPiNHistorical[[#This Row],[Shelter - old]], 1), "")</f>
        <v>0.6</v>
      </c>
      <c r="AP95" s="38">
        <f>IFERROR(ROUND((tblPiNHistorical[[#This Row],[WASH - new]]-tblPiNHistorical[[#This Row],[WASH - old]])/tblPiNHistorical[[#This Row],[WASH - old]], 1), "")</f>
        <v>-0.3</v>
      </c>
      <c r="AQ95" s="406">
        <v>83390</v>
      </c>
      <c r="AR95" s="406">
        <v>73504.163352942982</v>
      </c>
    </row>
    <row r="96" spans="1:44" ht="15" customHeight="1" x14ac:dyDescent="0.55000000000000004">
      <c r="A9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6" s="316" t="s">
        <v>250</v>
      </c>
      <c r="C96" s="218" t="s">
        <v>251</v>
      </c>
      <c r="D96" s="218" t="s">
        <v>264</v>
      </c>
      <c r="E96" s="105" t="s">
        <v>265</v>
      </c>
      <c r="F96" s="100"/>
      <c r="G96" s="34"/>
      <c r="H96" s="335"/>
      <c r="I96" s="97"/>
      <c r="J96" s="97" t="s">
        <v>413</v>
      </c>
      <c r="K96" s="336">
        <v>0</v>
      </c>
      <c r="L96" s="337">
        <v>1400</v>
      </c>
      <c r="M96" s="319">
        <v>44818.818415153932</v>
      </c>
      <c r="N96" s="319">
        <v>43809</v>
      </c>
      <c r="O96" s="319">
        <v>60330.243448556408</v>
      </c>
      <c r="P96" s="319">
        <v>77162.228237261559</v>
      </c>
      <c r="Q96" s="320">
        <v>22839.053840835022</v>
      </c>
      <c r="R96" s="319">
        <v>68675.568171162609</v>
      </c>
      <c r="S96" s="235">
        <f>tblPiNAnalysis[[#This Row],[CCCM]]</f>
        <v>0</v>
      </c>
      <c r="T96" s="236">
        <f>tblPiNAnalysis[[#This Row],[Education]]</f>
        <v>10479.4059411418</v>
      </c>
      <c r="U96" s="219">
        <f>tblPiNAnalysis[[#This Row],[Nutrition]]</f>
        <v>67879.22486518354</v>
      </c>
      <c r="V96" s="219">
        <f>tblPiNAnalysis[[#This Row],[Food Security]]</f>
        <v>38586.597027883196</v>
      </c>
      <c r="W96" s="219">
        <f>tblPiNAnalysis[[#This Row],[Health]]</f>
        <v>83224.483891593016</v>
      </c>
      <c r="X96" s="219">
        <f>tblPiNAnalysis[[#This Row],[Overarching Protection]]</f>
        <v>54019</v>
      </c>
      <c r="Y96" s="219">
        <f>tblPiNAnalysis[[#This Row],[Shelter]]</f>
        <v>10448.346402998268</v>
      </c>
      <c r="Z96" s="230">
        <f>tblPiNAnalysis[[#This Row],[WASH]]</f>
        <v>55097.938858801615</v>
      </c>
      <c r="AA96" s="339" t="str">
        <f>IF(OR(tblPiNHistorical[[#This Row],[CCCM - old]]="", tblPiNHistorical[[#This Row],[CCCM - old]]=0, tblPiNHistorical[[#This Row],[CCCM - new]]="", tblPiNHistorical[[#This Row],[CCCM - new]]=0), "", tblPiNHistorical[[#This Row],[CCCM - new]]-tblPiNHistorical[[#This Row],[CCCM - old]])</f>
        <v/>
      </c>
      <c r="AB96" s="340">
        <f>IF(OR(tblPiNHistorical[[#This Row],[Education - old]]="", tblPiNHistorical[[#This Row],[Education - old]]=0, tblPiNHistorical[[#This Row],[Education - new]]="", tblPiNHistorical[[#This Row],[Education - new]]=0), "", tblPiNHistorical[[#This Row],[Education - new]]-tblPiNHistorical[[#This Row],[Education - old]])</f>
        <v>9079.4059411418002</v>
      </c>
      <c r="AC96" s="340">
        <f>IF(OR(tblPiNHistorical[[#This Row],[Nutrition - old]]="", tblPiNHistorical[[#This Row],[Nutrition - old]]=0, tblPiNHistorical[[#This Row],[Nutrition - new]]="", tblPiNHistorical[[#This Row],[Nutrition - new]]=0), "", tblPiNHistorical[[#This Row],[Nutrition - new]]-tblPiNHistorical[[#This Row],[Nutrition - old]])</f>
        <v>23060.406450029608</v>
      </c>
      <c r="AD96" s="340">
        <f>IF(OR(tblPiNHistorical[[#This Row],[Food Security - old]]="", tblPiNHistorical[[#This Row],[Food Security - old]]=0, tblPiNHistorical[[#This Row],[Food Security - new]]="", tblPiNHistorical[[#This Row],[Food Security - new]]=0), "", tblPiNHistorical[[#This Row],[Food Security - new]]-tblPiNHistorical[[#This Row],[Food Security - old]])</f>
        <v>-5222.4029721168044</v>
      </c>
      <c r="AE96" s="340">
        <f>IF(OR(tblPiNHistorical[[#This Row],[Health - old]]="", tblPiNHistorical[[#This Row],[Health - old]]=0, tblPiNHistorical[[#This Row],[Health - new]]="", tblPiNHistorical[[#This Row],[Health - new]]=0), "", tblPiNHistorical[[#This Row],[Health - new]]-tblPiNHistorical[[#This Row],[Health - old]])</f>
        <v>22894.240443036608</v>
      </c>
      <c r="AF9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-23143.228237261559</v>
      </c>
      <c r="AG96" s="340">
        <f>IF(OR(tblPiNHistorical[[#This Row],[Shelter - old]]="", tblPiNHistorical[[#This Row],[Shelter - old]]=0, tblPiNHistorical[[#This Row],[Shelter - new]]="", tblPiNHistorical[[#This Row],[Shelter - new]]=0), "", tblPiNHistorical[[#This Row],[Shelter - new]]-tblPiNHistorical[[#This Row],[Shelter - old]])</f>
        <v>-12390.707437836754</v>
      </c>
      <c r="AH96" s="341">
        <f>IF(OR(tblPiNHistorical[[#This Row],[WASH - old]]="", tblPiNHistorical[[#This Row],[WASH - old]]=0, tblPiNHistorical[[#This Row],[WASH - new]]="", tblPiNHistorical[[#This Row],[WASH - new]]=0), "", tblPiNHistorical[[#This Row],[WASH - new]]-tblPiNHistorical[[#This Row],[WASH - old]])</f>
        <v>-13577.629312360994</v>
      </c>
      <c r="AI96" s="342" t="str">
        <f>IFERROR(ROUND((tblPiNHistorical[[#This Row],[CCCM - new]] - tblPiNHistorical[[#This Row],[CCCM - old]])/tblPiNHistorical[[#This Row],[CCCM - old]], 1), "")</f>
        <v/>
      </c>
      <c r="AJ96" s="343">
        <f>IFERROR(ROUND((tblPiNHistorical[[#This Row],[Education - new]]-tblPiNHistorical[[#This Row],[Education - old]])/tblPiNHistorical[[#This Row],[Education - old]], 1), "")</f>
        <v>6.5</v>
      </c>
      <c r="AK96" s="343">
        <f>IFERROR(ROUND((tblPiNHistorical[[#This Row],[Nutrition - new]]-tblPiNHistorical[[#This Row],[Nutrition - old]])/tblPiNHistorical[[#This Row],[Nutrition - old]], 1), "")</f>
        <v>0.5</v>
      </c>
      <c r="AL96" s="343">
        <f>IFERROR(ROUND((tblPiNHistorical[[#This Row],[Food Security - new]]-tblPiNHistorical[[#This Row],[Food Security - old]])/tblPiNHistorical[[#This Row],[Food Security - old]], 1), "")</f>
        <v>-0.1</v>
      </c>
      <c r="AM96" s="343">
        <f>IFERROR(ROUND((tblPiNHistorical[[#This Row],[Health - new]]-tblPiNHistorical[[#This Row],[Health - old]])/tblPiNHistorical[[#This Row],[Health - old]], 1), "")</f>
        <v>0.4</v>
      </c>
      <c r="AN96" s="343">
        <f>IFERROR(ROUND((tblPiNHistorical[[#This Row],[Overarching Protection - new]]-tblPiNHistorical[[#This Row],[Overarching Protection - old]])/tblPiNHistorical[[#This Row],[Overarching Protection - old]], 1), "")</f>
        <v>-0.3</v>
      </c>
      <c r="AO96" s="343">
        <f>IFERROR(ROUND((tblPiNHistorical[[#This Row],[Shelter - new]]-tblPiNHistorical[[#This Row],[Shelter - old]])/tblPiNHistorical[[#This Row],[Shelter - old]], 1), "")</f>
        <v>-0.5</v>
      </c>
      <c r="AP96" s="38">
        <f>IFERROR(ROUND((tblPiNHistorical[[#This Row],[WASH - new]]-tblPiNHistorical[[#This Row],[WASH - old]])/tblPiNHistorical[[#This Row],[WASH - old]], 1), "")</f>
        <v>-0.2</v>
      </c>
      <c r="AQ96" s="406">
        <v>77162.228237261559</v>
      </c>
      <c r="AR96" s="406">
        <v>83224.483891593016</v>
      </c>
    </row>
    <row r="97" spans="1:44" ht="15" customHeight="1" x14ac:dyDescent="0.55000000000000004">
      <c r="A9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7" s="316" t="s">
        <v>250</v>
      </c>
      <c r="C97" s="218" t="s">
        <v>251</v>
      </c>
      <c r="D97" s="218" t="s">
        <v>266</v>
      </c>
      <c r="E97" s="105" t="s">
        <v>267</v>
      </c>
      <c r="F97" s="100"/>
      <c r="G97" s="34"/>
      <c r="H97" s="335"/>
      <c r="I97" s="97"/>
      <c r="J97" s="97" t="s">
        <v>413</v>
      </c>
      <c r="K97" s="336">
        <v>0</v>
      </c>
      <c r="L97" s="337">
        <v>3420</v>
      </c>
      <c r="M97" s="319">
        <v>37556.988034099224</v>
      </c>
      <c r="N97" s="319">
        <v>33960</v>
      </c>
      <c r="O97" s="319">
        <v>17490.626063528056</v>
      </c>
      <c r="P97" s="319">
        <v>15839.184913556701</v>
      </c>
      <c r="Q97" s="320">
        <v>9943.3736717408592</v>
      </c>
      <c r="R97" s="319">
        <v>39864.784327149704</v>
      </c>
      <c r="S97" s="235">
        <f>tblPiNAnalysis[[#This Row],[CCCM]]</f>
        <v>0</v>
      </c>
      <c r="T97" s="236">
        <f>tblPiNAnalysis[[#This Row],[Education]]</f>
        <v>5311.3408243175745</v>
      </c>
      <c r="U97" s="219">
        <f>tblPiNAnalysis[[#This Row],[Nutrition]]</f>
        <v>30283.540237307421</v>
      </c>
      <c r="V97" s="219">
        <f>tblPiNAnalysis[[#This Row],[Food Security]]</f>
        <v>26656.881066419981</v>
      </c>
      <c r="W97" s="219">
        <f>tblPiNAnalysis[[#This Row],[Health]]</f>
        <v>37597.565887588869</v>
      </c>
      <c r="X97" s="219">
        <f>tblPiNAnalysis[[#This Row],[Overarching Protection]]</f>
        <v>15714</v>
      </c>
      <c r="Y97" s="219">
        <f>tblPiNAnalysis[[#This Row],[Shelter]]</f>
        <v>26110.919513887144</v>
      </c>
      <c r="Z97" s="230">
        <f>tblPiNAnalysis[[#This Row],[WASH]]</f>
        <v>32800.493934800375</v>
      </c>
      <c r="AA97" s="339" t="str">
        <f>IF(OR(tblPiNHistorical[[#This Row],[CCCM - old]]="", tblPiNHistorical[[#This Row],[CCCM - old]]=0, tblPiNHistorical[[#This Row],[CCCM - new]]="", tblPiNHistorical[[#This Row],[CCCM - new]]=0), "", tblPiNHistorical[[#This Row],[CCCM - new]]-tblPiNHistorical[[#This Row],[CCCM - old]])</f>
        <v/>
      </c>
      <c r="AB97" s="340">
        <f>IF(OR(tblPiNHistorical[[#This Row],[Education - old]]="", tblPiNHistorical[[#This Row],[Education - old]]=0, tblPiNHistorical[[#This Row],[Education - new]]="", tblPiNHistorical[[#This Row],[Education - new]]=0), "", tblPiNHistorical[[#This Row],[Education - new]]-tblPiNHistorical[[#This Row],[Education - old]])</f>
        <v>1891.3408243175745</v>
      </c>
      <c r="AC97" s="340">
        <f>IF(OR(tblPiNHistorical[[#This Row],[Nutrition - old]]="", tblPiNHistorical[[#This Row],[Nutrition - old]]=0, tblPiNHistorical[[#This Row],[Nutrition - new]]="", tblPiNHistorical[[#This Row],[Nutrition - new]]=0), "", tblPiNHistorical[[#This Row],[Nutrition - new]]-tblPiNHistorical[[#This Row],[Nutrition - old]])</f>
        <v>-7273.4477967918028</v>
      </c>
      <c r="AD97" s="340">
        <f>IF(OR(tblPiNHistorical[[#This Row],[Food Security - old]]="", tblPiNHistorical[[#This Row],[Food Security - old]]=0, tblPiNHistorical[[#This Row],[Food Security - new]]="", tblPiNHistorical[[#This Row],[Food Security - new]]=0), "", tblPiNHistorical[[#This Row],[Food Security - new]]-tblPiNHistorical[[#This Row],[Food Security - old]])</f>
        <v>-7303.1189335800191</v>
      </c>
      <c r="AE97" s="340">
        <f>IF(OR(tblPiNHistorical[[#This Row],[Health - old]]="", tblPiNHistorical[[#This Row],[Health - old]]=0, tblPiNHistorical[[#This Row],[Health - new]]="", tblPiNHistorical[[#This Row],[Health - new]]=0), "", tblPiNHistorical[[#This Row],[Health - new]]-tblPiNHistorical[[#This Row],[Health - old]])</f>
        <v>20106.939824060813</v>
      </c>
      <c r="AF9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-125.18491355670085</v>
      </c>
      <c r="AG97" s="340">
        <f>IF(OR(tblPiNHistorical[[#This Row],[Shelter - old]]="", tblPiNHistorical[[#This Row],[Shelter - old]]=0, tblPiNHistorical[[#This Row],[Shelter - new]]="", tblPiNHistorical[[#This Row],[Shelter - new]]=0), "", tblPiNHistorical[[#This Row],[Shelter - new]]-tblPiNHistorical[[#This Row],[Shelter - old]])</f>
        <v>16167.545842146284</v>
      </c>
      <c r="AH97" s="341">
        <f>IF(OR(tblPiNHistorical[[#This Row],[WASH - old]]="", tblPiNHistorical[[#This Row],[WASH - old]]=0, tblPiNHistorical[[#This Row],[WASH - new]]="", tblPiNHistorical[[#This Row],[WASH - new]]=0), "", tblPiNHistorical[[#This Row],[WASH - new]]-tblPiNHistorical[[#This Row],[WASH - old]])</f>
        <v>-7064.2903923493286</v>
      </c>
      <c r="AI97" s="342" t="str">
        <f>IFERROR(ROUND((tblPiNHistorical[[#This Row],[CCCM - new]] - tblPiNHistorical[[#This Row],[CCCM - old]])/tblPiNHistorical[[#This Row],[CCCM - old]], 1), "")</f>
        <v/>
      </c>
      <c r="AJ97" s="343">
        <f>IFERROR(ROUND((tblPiNHistorical[[#This Row],[Education - new]]-tblPiNHistorical[[#This Row],[Education - old]])/tblPiNHistorical[[#This Row],[Education - old]], 1), "")</f>
        <v>0.6</v>
      </c>
      <c r="AK97" s="343">
        <f>IFERROR(ROUND((tblPiNHistorical[[#This Row],[Nutrition - new]]-tblPiNHistorical[[#This Row],[Nutrition - old]])/tblPiNHistorical[[#This Row],[Nutrition - old]], 1), "")</f>
        <v>-0.2</v>
      </c>
      <c r="AL97" s="343">
        <f>IFERROR(ROUND((tblPiNHistorical[[#This Row],[Food Security - new]]-tblPiNHistorical[[#This Row],[Food Security - old]])/tblPiNHistorical[[#This Row],[Food Security - old]], 1), "")</f>
        <v>-0.2</v>
      </c>
      <c r="AM97" s="343">
        <f>IFERROR(ROUND((tblPiNHistorical[[#This Row],[Health - new]]-tblPiNHistorical[[#This Row],[Health - old]])/tblPiNHistorical[[#This Row],[Health - old]], 1), "")</f>
        <v>1.1000000000000001</v>
      </c>
      <c r="AN97" s="343">
        <f>IFERROR(ROUND((tblPiNHistorical[[#This Row],[Overarching Protection - new]]-tblPiNHistorical[[#This Row],[Overarching Protection - old]])/tblPiNHistorical[[#This Row],[Overarching Protection - old]], 1), "")</f>
        <v>0</v>
      </c>
      <c r="AO97" s="343">
        <f>IFERROR(ROUND((tblPiNHistorical[[#This Row],[Shelter - new]]-tblPiNHistorical[[#This Row],[Shelter - old]])/tblPiNHistorical[[#This Row],[Shelter - old]], 1), "")</f>
        <v>1.6</v>
      </c>
      <c r="AP97" s="38">
        <f>IFERROR(ROUND((tblPiNHistorical[[#This Row],[WASH - new]]-tblPiNHistorical[[#This Row],[WASH - old]])/tblPiNHistorical[[#This Row],[WASH - old]], 1), "")</f>
        <v>-0.2</v>
      </c>
      <c r="AQ97" s="406">
        <v>39864.784327149704</v>
      </c>
      <c r="AR97" s="406">
        <v>37597.565887588869</v>
      </c>
    </row>
    <row r="98" spans="1:44" ht="15" customHeight="1" x14ac:dyDescent="0.55000000000000004">
      <c r="A9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8" s="316" t="s">
        <v>268</v>
      </c>
      <c r="C98" s="218" t="s">
        <v>269</v>
      </c>
      <c r="D98" s="218" t="s">
        <v>270</v>
      </c>
      <c r="E98" s="105" t="s">
        <v>271</v>
      </c>
      <c r="F98" s="100"/>
      <c r="G98" s="34"/>
      <c r="H98" s="335"/>
      <c r="I98" s="97"/>
      <c r="J98" s="97" t="s">
        <v>413</v>
      </c>
      <c r="K98" s="336">
        <v>16878</v>
      </c>
      <c r="L98" s="337">
        <v>27122</v>
      </c>
      <c r="M98" s="319">
        <v>85590.411782620824</v>
      </c>
      <c r="N98" s="319">
        <v>149648</v>
      </c>
      <c r="O98" s="319">
        <v>96995.862497321083</v>
      </c>
      <c r="P98" s="319">
        <v>95261.380972441228</v>
      </c>
      <c r="Q98" s="320">
        <v>79130.291697257417</v>
      </c>
      <c r="R98" s="319">
        <v>93729.52380884446</v>
      </c>
      <c r="S98" s="235">
        <f>tblPiNAnalysis[[#This Row],[CCCM]]</f>
        <v>0</v>
      </c>
      <c r="T98" s="236">
        <f>tblPiNAnalysis[[#This Row],[Education]]</f>
        <v>28955.129600180513</v>
      </c>
      <c r="U98" s="219">
        <f>tblPiNAnalysis[[#This Row],[Nutrition]]</f>
        <v>85498.20173389159</v>
      </c>
      <c r="V98" s="219">
        <f>tblPiNAnalysis[[#This Row],[Food Security]]</f>
        <v>126136.8235023275</v>
      </c>
      <c r="W98" s="219">
        <f>tblPiNAnalysis[[#This Row],[Health]]</f>
        <v>78587.456294377014</v>
      </c>
      <c r="X98" s="219">
        <f>tblPiNAnalysis[[#This Row],[Overarching Protection]]</f>
        <v>57549</v>
      </c>
      <c r="Y98" s="219">
        <f>tblPiNAnalysis[[#This Row],[Shelter]]</f>
        <v>101635.93612583721</v>
      </c>
      <c r="Z98" s="230">
        <f>tblPiNAnalysis[[#This Row],[WASH]]</f>
        <v>73403.731646437984</v>
      </c>
      <c r="AA98" s="339" t="str">
        <f>IF(OR(tblPiNHistorical[[#This Row],[CCCM - old]]="", tblPiNHistorical[[#This Row],[CCCM - old]]=0, tblPiNHistorical[[#This Row],[CCCM - new]]="", tblPiNHistorical[[#This Row],[CCCM - new]]=0), "", tblPiNHistorical[[#This Row],[CCCM - new]]-tblPiNHistorical[[#This Row],[CCCM - old]])</f>
        <v/>
      </c>
      <c r="AB98" s="340">
        <f>IF(OR(tblPiNHistorical[[#This Row],[Education - old]]="", tblPiNHistorical[[#This Row],[Education - old]]=0, tblPiNHistorical[[#This Row],[Education - new]]="", tblPiNHistorical[[#This Row],[Education - new]]=0), "", tblPiNHistorical[[#This Row],[Education - new]]-tblPiNHistorical[[#This Row],[Education - old]])</f>
        <v>1833.1296001805131</v>
      </c>
      <c r="AC98" s="340">
        <f>IF(OR(tblPiNHistorical[[#This Row],[Nutrition - old]]="", tblPiNHistorical[[#This Row],[Nutrition - old]]=0, tblPiNHistorical[[#This Row],[Nutrition - new]]="", tblPiNHistorical[[#This Row],[Nutrition - new]]=0), "", tblPiNHistorical[[#This Row],[Nutrition - new]]-tblPiNHistorical[[#This Row],[Nutrition - old]])</f>
        <v>-92.210048729233677</v>
      </c>
      <c r="AD98" s="340">
        <f>IF(OR(tblPiNHistorical[[#This Row],[Food Security - old]]="", tblPiNHistorical[[#This Row],[Food Security - old]]=0, tblPiNHistorical[[#This Row],[Food Security - new]]="", tblPiNHistorical[[#This Row],[Food Security - new]]=0), "", tblPiNHistorical[[#This Row],[Food Security - new]]-tblPiNHistorical[[#This Row],[Food Security - old]])</f>
        <v>-23511.176497672495</v>
      </c>
      <c r="AE98" s="340">
        <f>IF(OR(tblPiNHistorical[[#This Row],[Health - old]]="", tblPiNHistorical[[#This Row],[Health - old]]=0, tblPiNHistorical[[#This Row],[Health - new]]="", tblPiNHistorical[[#This Row],[Health - new]]=0), "", tblPiNHistorical[[#This Row],[Health - new]]-tblPiNHistorical[[#This Row],[Health - old]])</f>
        <v>-18408.406202944068</v>
      </c>
      <c r="AF9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-37712.380972441228</v>
      </c>
      <c r="AG98" s="340">
        <f>IF(OR(tblPiNHistorical[[#This Row],[Shelter - old]]="", tblPiNHistorical[[#This Row],[Shelter - old]]=0, tblPiNHistorical[[#This Row],[Shelter - new]]="", tblPiNHistorical[[#This Row],[Shelter - new]]=0), "", tblPiNHistorical[[#This Row],[Shelter - new]]-tblPiNHistorical[[#This Row],[Shelter - old]])</f>
        <v>22505.644428579792</v>
      </c>
      <c r="AH98" s="341">
        <f>IF(OR(tblPiNHistorical[[#This Row],[WASH - old]]="", tblPiNHistorical[[#This Row],[WASH - old]]=0, tblPiNHistorical[[#This Row],[WASH - new]]="", tblPiNHistorical[[#This Row],[WASH - new]]=0), "", tblPiNHistorical[[#This Row],[WASH - new]]-tblPiNHistorical[[#This Row],[WASH - old]])</f>
        <v>-20325.792162406477</v>
      </c>
      <c r="AI98" s="342">
        <f>IFERROR(ROUND((tblPiNHistorical[[#This Row],[CCCM - new]] - tblPiNHistorical[[#This Row],[CCCM - old]])/tblPiNHistorical[[#This Row],[CCCM - old]], 1), "")</f>
        <v>-1</v>
      </c>
      <c r="AJ98" s="343">
        <f>IFERROR(ROUND((tblPiNHistorical[[#This Row],[Education - new]]-tblPiNHistorical[[#This Row],[Education - old]])/tblPiNHistorical[[#This Row],[Education - old]], 1), "")</f>
        <v>0.1</v>
      </c>
      <c r="AK98" s="343">
        <f>IFERROR(ROUND((tblPiNHistorical[[#This Row],[Nutrition - new]]-tblPiNHistorical[[#This Row],[Nutrition - old]])/tblPiNHistorical[[#This Row],[Nutrition - old]], 1), "")</f>
        <v>0</v>
      </c>
      <c r="AL98" s="343">
        <f>IFERROR(ROUND((tblPiNHistorical[[#This Row],[Food Security - new]]-tblPiNHistorical[[#This Row],[Food Security - old]])/tblPiNHistorical[[#This Row],[Food Security - old]], 1), "")</f>
        <v>-0.2</v>
      </c>
      <c r="AM98" s="343">
        <f>IFERROR(ROUND((tblPiNHistorical[[#This Row],[Health - new]]-tblPiNHistorical[[#This Row],[Health - old]])/tblPiNHistorical[[#This Row],[Health - old]], 1), "")</f>
        <v>-0.2</v>
      </c>
      <c r="AN98" s="343">
        <f>IFERROR(ROUND((tblPiNHistorical[[#This Row],[Overarching Protection - new]]-tblPiNHistorical[[#This Row],[Overarching Protection - old]])/tblPiNHistorical[[#This Row],[Overarching Protection - old]], 1), "")</f>
        <v>-0.4</v>
      </c>
      <c r="AO98" s="343">
        <f>IFERROR(ROUND((tblPiNHistorical[[#This Row],[Shelter - new]]-tblPiNHistorical[[#This Row],[Shelter - old]])/tblPiNHistorical[[#This Row],[Shelter - old]], 1), "")</f>
        <v>0.3</v>
      </c>
      <c r="AP98" s="38">
        <f>IFERROR(ROUND((tblPiNHistorical[[#This Row],[WASH - new]]-tblPiNHistorical[[#This Row],[WASH - old]])/tblPiNHistorical[[#This Row],[WASH - old]], 1), "")</f>
        <v>-0.2</v>
      </c>
      <c r="AQ98" s="406">
        <v>149648</v>
      </c>
      <c r="AR98" s="406">
        <v>126136.8235023275</v>
      </c>
    </row>
    <row r="99" spans="1:44" ht="15" customHeight="1" x14ac:dyDescent="0.55000000000000004">
      <c r="A9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99" s="316" t="s">
        <v>268</v>
      </c>
      <c r="C99" s="218" t="s">
        <v>269</v>
      </c>
      <c r="D99" s="218" t="s">
        <v>272</v>
      </c>
      <c r="E99" s="105" t="s">
        <v>273</v>
      </c>
      <c r="F99" s="100"/>
      <c r="G99" s="34"/>
      <c r="H99" s="335"/>
      <c r="I99" s="97"/>
      <c r="J99" s="97" t="s">
        <v>413</v>
      </c>
      <c r="K99" s="336">
        <v>0</v>
      </c>
      <c r="L99" s="337">
        <v>28999</v>
      </c>
      <c r="M99" s="319">
        <v>56205.553687782289</v>
      </c>
      <c r="N99" s="319">
        <v>116661</v>
      </c>
      <c r="O99" s="319">
        <v>48354.616943746842</v>
      </c>
      <c r="P99" s="319">
        <v>58774.033916624991</v>
      </c>
      <c r="Q99" s="320">
        <v>69299.771428571432</v>
      </c>
      <c r="R99" s="319">
        <v>121538.45349922949</v>
      </c>
      <c r="S99" s="235">
        <f>tblPiNAnalysis[[#This Row],[CCCM]]</f>
        <v>0</v>
      </c>
      <c r="T99" s="236">
        <f>tblPiNAnalysis[[#This Row],[Education]]</f>
        <v>17472.052920697173</v>
      </c>
      <c r="U99" s="219">
        <f>tblPiNAnalysis[[#This Row],[Nutrition]]</f>
        <v>55020.705877044304</v>
      </c>
      <c r="V99" s="219">
        <f>tblPiNAnalysis[[#This Row],[Food Security]]</f>
        <v>93800.145733472207</v>
      </c>
      <c r="W99" s="219">
        <f>tblPiNAnalysis[[#This Row],[Health]]</f>
        <v>56927.12951178303</v>
      </c>
      <c r="X99" s="219">
        <f>tblPiNAnalysis[[#This Row],[Overarching Protection]]</f>
        <v>44328</v>
      </c>
      <c r="Y99" s="219">
        <f>tblPiNAnalysis[[#This Row],[Shelter]]</f>
        <v>55823.455991611794</v>
      </c>
      <c r="Z99" s="230">
        <f>tblPiNAnalysis[[#This Row],[WASH]]</f>
        <v>108231.50417555163</v>
      </c>
      <c r="AA99" s="339" t="str">
        <f>IF(OR(tblPiNHistorical[[#This Row],[CCCM - old]]="", tblPiNHistorical[[#This Row],[CCCM - old]]=0, tblPiNHistorical[[#This Row],[CCCM - new]]="", tblPiNHistorical[[#This Row],[CCCM - new]]=0), "", tblPiNHistorical[[#This Row],[CCCM - new]]-tblPiNHistorical[[#This Row],[CCCM - old]])</f>
        <v/>
      </c>
      <c r="AB99" s="340">
        <f>IF(OR(tblPiNHistorical[[#This Row],[Education - old]]="", tblPiNHistorical[[#This Row],[Education - old]]=0, tblPiNHistorical[[#This Row],[Education - new]]="", tblPiNHistorical[[#This Row],[Education - new]]=0), "", tblPiNHistorical[[#This Row],[Education - new]]-tblPiNHistorical[[#This Row],[Education - old]])</f>
        <v>-11526.947079302827</v>
      </c>
      <c r="AC99" s="340">
        <f>IF(OR(tblPiNHistorical[[#This Row],[Nutrition - old]]="", tblPiNHistorical[[#This Row],[Nutrition - old]]=0, tblPiNHistorical[[#This Row],[Nutrition - new]]="", tblPiNHistorical[[#This Row],[Nutrition - new]]=0), "", tblPiNHistorical[[#This Row],[Nutrition - new]]-tblPiNHistorical[[#This Row],[Nutrition - old]])</f>
        <v>-1184.8478107379851</v>
      </c>
      <c r="AD99" s="340">
        <f>IF(OR(tblPiNHistorical[[#This Row],[Food Security - old]]="", tblPiNHistorical[[#This Row],[Food Security - old]]=0, tblPiNHistorical[[#This Row],[Food Security - new]]="", tblPiNHistorical[[#This Row],[Food Security - new]]=0), "", tblPiNHistorical[[#This Row],[Food Security - new]]-tblPiNHistorical[[#This Row],[Food Security - old]])</f>
        <v>-22860.854266527793</v>
      </c>
      <c r="AE99" s="340">
        <f>IF(OR(tblPiNHistorical[[#This Row],[Health - old]]="", tblPiNHistorical[[#This Row],[Health - old]]=0, tblPiNHistorical[[#This Row],[Health - new]]="", tblPiNHistorical[[#This Row],[Health - new]]=0), "", tblPiNHistorical[[#This Row],[Health - new]]-tblPiNHistorical[[#This Row],[Health - old]])</f>
        <v>8572.5125680361889</v>
      </c>
      <c r="AF9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-14446.033916624991</v>
      </c>
      <c r="AG99" s="340">
        <f>IF(OR(tblPiNHistorical[[#This Row],[Shelter - old]]="", tblPiNHistorical[[#This Row],[Shelter - old]]=0, tblPiNHistorical[[#This Row],[Shelter - new]]="", tblPiNHistorical[[#This Row],[Shelter - new]]=0), "", tblPiNHistorical[[#This Row],[Shelter - new]]-tblPiNHistorical[[#This Row],[Shelter - old]])</f>
        <v>-13476.315436959638</v>
      </c>
      <c r="AH99" s="341">
        <f>IF(OR(tblPiNHistorical[[#This Row],[WASH - old]]="", tblPiNHistorical[[#This Row],[WASH - old]]=0, tblPiNHistorical[[#This Row],[WASH - new]]="", tblPiNHistorical[[#This Row],[WASH - new]]=0), "", tblPiNHistorical[[#This Row],[WASH - new]]-tblPiNHistorical[[#This Row],[WASH - old]])</f>
        <v>-13306.949323677865</v>
      </c>
      <c r="AI99" s="342" t="str">
        <f>IFERROR(ROUND((tblPiNHistorical[[#This Row],[CCCM - new]] - tblPiNHistorical[[#This Row],[CCCM - old]])/tblPiNHistorical[[#This Row],[CCCM - old]], 1), "")</f>
        <v/>
      </c>
      <c r="AJ99" s="343">
        <f>IFERROR(ROUND((tblPiNHistorical[[#This Row],[Education - new]]-tblPiNHistorical[[#This Row],[Education - old]])/tblPiNHistorical[[#This Row],[Education - old]], 1), "")</f>
        <v>-0.4</v>
      </c>
      <c r="AK99" s="343">
        <f>IFERROR(ROUND((tblPiNHistorical[[#This Row],[Nutrition - new]]-tblPiNHistorical[[#This Row],[Nutrition - old]])/tblPiNHistorical[[#This Row],[Nutrition - old]], 1), "")</f>
        <v>0</v>
      </c>
      <c r="AL99" s="343">
        <f>IFERROR(ROUND((tblPiNHistorical[[#This Row],[Food Security - new]]-tblPiNHistorical[[#This Row],[Food Security - old]])/tblPiNHistorical[[#This Row],[Food Security - old]], 1), "")</f>
        <v>-0.2</v>
      </c>
      <c r="AM99" s="343">
        <f>IFERROR(ROUND((tblPiNHistorical[[#This Row],[Health - new]]-tblPiNHistorical[[#This Row],[Health - old]])/tblPiNHistorical[[#This Row],[Health - old]], 1), "")</f>
        <v>0.2</v>
      </c>
      <c r="AN99" s="343">
        <f>IFERROR(ROUND((tblPiNHistorical[[#This Row],[Overarching Protection - new]]-tblPiNHistorical[[#This Row],[Overarching Protection - old]])/tblPiNHistorical[[#This Row],[Overarching Protection - old]], 1), "")</f>
        <v>-0.2</v>
      </c>
      <c r="AO99" s="343">
        <f>IFERROR(ROUND((tblPiNHistorical[[#This Row],[Shelter - new]]-tblPiNHistorical[[#This Row],[Shelter - old]])/tblPiNHistorical[[#This Row],[Shelter - old]], 1), "")</f>
        <v>-0.2</v>
      </c>
      <c r="AP99" s="38">
        <f>IFERROR(ROUND((tblPiNHistorical[[#This Row],[WASH - new]]-tblPiNHistorical[[#This Row],[WASH - old]])/tblPiNHistorical[[#This Row],[WASH - old]], 1), "")</f>
        <v>-0.1</v>
      </c>
      <c r="AQ99" s="406">
        <v>121538.45349922949</v>
      </c>
      <c r="AR99" s="406">
        <v>108231.50417555163</v>
      </c>
    </row>
    <row r="100" spans="1:44" ht="15" customHeight="1" x14ac:dyDescent="0.55000000000000004">
      <c r="A10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0" s="316" t="s">
        <v>268</v>
      </c>
      <c r="C100" s="218" t="s">
        <v>269</v>
      </c>
      <c r="D100" s="218" t="s">
        <v>274</v>
      </c>
      <c r="E100" s="105" t="s">
        <v>275</v>
      </c>
      <c r="F100" s="100"/>
      <c r="G100" s="34"/>
      <c r="H100" s="335"/>
      <c r="I100" s="97"/>
      <c r="J100" s="97" t="s">
        <v>413</v>
      </c>
      <c r="K100" s="336">
        <v>670.36100029337922</v>
      </c>
      <c r="L100" s="337">
        <v>33829</v>
      </c>
      <c r="M100" s="319">
        <v>95355.450752334931</v>
      </c>
      <c r="N100" s="319">
        <v>61454</v>
      </c>
      <c r="O100" s="319">
        <v>78820.249874034111</v>
      </c>
      <c r="P100" s="319">
        <v>105285.30689870857</v>
      </c>
      <c r="Q100" s="320">
        <v>83658.168249195325</v>
      </c>
      <c r="R100" s="319">
        <v>60461.745181787439</v>
      </c>
      <c r="S100" s="235">
        <f>tblPiNAnalysis[[#This Row],[CCCM]]</f>
        <v>0</v>
      </c>
      <c r="T100" s="236">
        <f>tblPiNAnalysis[[#This Row],[Education]]</f>
        <v>38783.219724177747</v>
      </c>
      <c r="U100" s="219">
        <f>tblPiNAnalysis[[#This Row],[Nutrition]]</f>
        <v>96420.643217037126</v>
      </c>
      <c r="V100" s="219">
        <f>tblPiNAnalysis[[#This Row],[Food Security]]</f>
        <v>45820.494914653173</v>
      </c>
      <c r="W100" s="219">
        <f>tblPiNAnalysis[[#This Row],[Health]]</f>
        <v>106537.69719115124</v>
      </c>
      <c r="X100" s="219">
        <f>tblPiNAnalysis[[#This Row],[Overarching Protection]]</f>
        <v>65882</v>
      </c>
      <c r="Y100" s="219">
        <f>tblPiNAnalysis[[#This Row],[Shelter]]</f>
        <v>157119.14212221006</v>
      </c>
      <c r="Z100" s="230">
        <f>tblPiNAnalysis[[#This Row],[WASH]]</f>
        <v>90561.72775099607</v>
      </c>
      <c r="AA100" s="339" t="str">
        <f>IF(OR(tblPiNHistorical[[#This Row],[CCCM - old]]="", tblPiNHistorical[[#This Row],[CCCM - old]]=0, tblPiNHistorical[[#This Row],[CCCM - new]]="", tblPiNHistorical[[#This Row],[CCCM - new]]=0), "", tblPiNHistorical[[#This Row],[CCCM - new]]-tblPiNHistorical[[#This Row],[CCCM - old]])</f>
        <v/>
      </c>
      <c r="AB100" s="340">
        <f>IF(OR(tblPiNHistorical[[#This Row],[Education - old]]="", tblPiNHistorical[[#This Row],[Education - old]]=0, tblPiNHistorical[[#This Row],[Education - new]]="", tblPiNHistorical[[#This Row],[Education - new]]=0), "", tblPiNHistorical[[#This Row],[Education - new]]-tblPiNHistorical[[#This Row],[Education - old]])</f>
        <v>4954.2197241777467</v>
      </c>
      <c r="AC100" s="340">
        <f>IF(OR(tblPiNHistorical[[#This Row],[Nutrition - old]]="", tblPiNHistorical[[#This Row],[Nutrition - old]]=0, tblPiNHistorical[[#This Row],[Nutrition - new]]="", tblPiNHistorical[[#This Row],[Nutrition - new]]=0), "", tblPiNHistorical[[#This Row],[Nutrition - new]]-tblPiNHistorical[[#This Row],[Nutrition - old]])</f>
        <v>1065.1924647021951</v>
      </c>
      <c r="AD100" s="340">
        <f>IF(OR(tblPiNHistorical[[#This Row],[Food Security - old]]="", tblPiNHistorical[[#This Row],[Food Security - old]]=0, tblPiNHistorical[[#This Row],[Food Security - new]]="", tblPiNHistorical[[#This Row],[Food Security - new]]=0), "", tblPiNHistorical[[#This Row],[Food Security - new]]-tblPiNHistorical[[#This Row],[Food Security - old]])</f>
        <v>-15633.505085346827</v>
      </c>
      <c r="AE100" s="340">
        <f>IF(OR(tblPiNHistorical[[#This Row],[Health - old]]="", tblPiNHistorical[[#This Row],[Health - old]]=0, tblPiNHistorical[[#This Row],[Health - new]]="", tblPiNHistorical[[#This Row],[Health - new]]=0), "", tblPiNHistorical[[#This Row],[Health - new]]-tblPiNHistorical[[#This Row],[Health - old]])</f>
        <v>27717.447317117127</v>
      </c>
      <c r="AF10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-39403.306898708572</v>
      </c>
      <c r="AG100" s="340">
        <f>IF(OR(tblPiNHistorical[[#This Row],[Shelter - old]]="", tblPiNHistorical[[#This Row],[Shelter - old]]=0, tblPiNHistorical[[#This Row],[Shelter - new]]="", tblPiNHistorical[[#This Row],[Shelter - new]]=0), "", tblPiNHistorical[[#This Row],[Shelter - new]]-tblPiNHistorical[[#This Row],[Shelter - old]])</f>
        <v>73460.973873014736</v>
      </c>
      <c r="AH100" s="341">
        <f>IF(OR(tblPiNHistorical[[#This Row],[WASH - old]]="", tblPiNHistorical[[#This Row],[WASH - old]]=0, tblPiNHistorical[[#This Row],[WASH - new]]="", tblPiNHistorical[[#This Row],[WASH - new]]=0), "", tblPiNHistorical[[#This Row],[WASH - new]]-tblPiNHistorical[[#This Row],[WASH - old]])</f>
        <v>30099.982569208631</v>
      </c>
      <c r="AI100" s="342">
        <f>IFERROR(ROUND((tblPiNHistorical[[#This Row],[CCCM - new]] - tblPiNHistorical[[#This Row],[CCCM - old]])/tblPiNHistorical[[#This Row],[CCCM - old]], 1), "")</f>
        <v>-1</v>
      </c>
      <c r="AJ100" s="343">
        <f>IFERROR(ROUND((tblPiNHistorical[[#This Row],[Education - new]]-tblPiNHistorical[[#This Row],[Education - old]])/tblPiNHistorical[[#This Row],[Education - old]], 1), "")</f>
        <v>0.1</v>
      </c>
      <c r="AK100" s="343">
        <f>IFERROR(ROUND((tblPiNHistorical[[#This Row],[Nutrition - new]]-tblPiNHistorical[[#This Row],[Nutrition - old]])/tblPiNHistorical[[#This Row],[Nutrition - old]], 1), "")</f>
        <v>0</v>
      </c>
      <c r="AL100" s="343">
        <f>IFERROR(ROUND((tblPiNHistorical[[#This Row],[Food Security - new]]-tblPiNHistorical[[#This Row],[Food Security - old]])/tblPiNHistorical[[#This Row],[Food Security - old]], 1), "")</f>
        <v>-0.3</v>
      </c>
      <c r="AM100" s="343">
        <f>IFERROR(ROUND((tblPiNHistorical[[#This Row],[Health - new]]-tblPiNHistorical[[#This Row],[Health - old]])/tblPiNHistorical[[#This Row],[Health - old]], 1), "")</f>
        <v>0.4</v>
      </c>
      <c r="AN100" s="343">
        <f>IFERROR(ROUND((tblPiNHistorical[[#This Row],[Overarching Protection - new]]-tblPiNHistorical[[#This Row],[Overarching Protection - old]])/tblPiNHistorical[[#This Row],[Overarching Protection - old]], 1), "")</f>
        <v>-0.4</v>
      </c>
      <c r="AO100" s="343">
        <f>IFERROR(ROUND((tblPiNHistorical[[#This Row],[Shelter - new]]-tblPiNHistorical[[#This Row],[Shelter - old]])/tblPiNHistorical[[#This Row],[Shelter - old]], 1), "")</f>
        <v>0.9</v>
      </c>
      <c r="AP100" s="38">
        <f>IFERROR(ROUND((tblPiNHistorical[[#This Row],[WASH - new]]-tblPiNHistorical[[#This Row],[WASH - old]])/tblPiNHistorical[[#This Row],[WASH - old]], 1), "")</f>
        <v>0.5</v>
      </c>
      <c r="AQ100" s="406">
        <v>105285.30689870857</v>
      </c>
      <c r="AR100" s="406">
        <v>157119.14212221006</v>
      </c>
    </row>
    <row r="101" spans="1:44" ht="15" customHeight="1" x14ac:dyDescent="0.55000000000000004">
      <c r="A10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1" s="316" t="s">
        <v>268</v>
      </c>
      <c r="C101" s="218" t="s">
        <v>269</v>
      </c>
      <c r="D101" s="218" t="s">
        <v>276</v>
      </c>
      <c r="E101" s="105" t="s">
        <v>277</v>
      </c>
      <c r="F101" s="100"/>
      <c r="G101" s="34"/>
      <c r="H101" s="335"/>
      <c r="I101" s="97"/>
      <c r="J101" s="97" t="s">
        <v>413</v>
      </c>
      <c r="K101" s="336">
        <v>0</v>
      </c>
      <c r="L101" s="337">
        <v>0</v>
      </c>
      <c r="M101" s="319">
        <v>20137.75775863793</v>
      </c>
      <c r="N101" s="319">
        <v>36875</v>
      </c>
      <c r="O101" s="319">
        <v>16598.819602117936</v>
      </c>
      <c r="P101" s="319">
        <v>16646.35293558026</v>
      </c>
      <c r="Q101" s="320">
        <v>4616.8999999999996</v>
      </c>
      <c r="R101" s="319">
        <v>28378.880041062839</v>
      </c>
      <c r="S101" s="235">
        <f>tblPiNAnalysis[[#This Row],[CCCM]]</f>
        <v>0</v>
      </c>
      <c r="T101" s="236">
        <f>tblPiNAnalysis[[#This Row],[Education]]</f>
        <v>4590.8780980145648</v>
      </c>
      <c r="U101" s="219">
        <f>tblPiNAnalysis[[#This Row],[Nutrition]]</f>
        <v>16245.83624605341</v>
      </c>
      <c r="V101" s="219">
        <f>tblPiNAnalysis[[#This Row],[Food Security]]</f>
        <v>28785.298326178607</v>
      </c>
      <c r="W101" s="219">
        <f>tblPiNAnalysis[[#This Row],[Health]]</f>
        <v>24135.055253750837</v>
      </c>
      <c r="X101" s="219">
        <f>tblPiNAnalysis[[#This Row],[Overarching Protection]]</f>
        <v>11168</v>
      </c>
      <c r="Y101" s="219">
        <f>tblPiNAnalysis[[#This Row],[Shelter]]</f>
        <v>25482.126423710535</v>
      </c>
      <c r="Z101" s="230">
        <f>tblPiNAnalysis[[#This Row],[WASH]]</f>
        <v>31549.299381736855</v>
      </c>
      <c r="AA101" s="339" t="str">
        <f>IF(OR(tblPiNHistorical[[#This Row],[CCCM - old]]="", tblPiNHistorical[[#This Row],[CCCM - old]]=0, tblPiNHistorical[[#This Row],[CCCM - new]]="", tblPiNHistorical[[#This Row],[CCCM - new]]=0), "", tblPiNHistorical[[#This Row],[CCCM - new]]-tblPiNHistorical[[#This Row],[CCCM - old]])</f>
        <v/>
      </c>
      <c r="AB101" s="340" t="str">
        <f>IF(OR(tblPiNHistorical[[#This Row],[Education - old]]="", tblPiNHistorical[[#This Row],[Education - old]]=0, tblPiNHistorical[[#This Row],[Education - new]]="", tblPiNHistorical[[#This Row],[Education - new]]=0), "", tblPiNHistorical[[#This Row],[Education - new]]-tblPiNHistorical[[#This Row],[Education - old]])</f>
        <v/>
      </c>
      <c r="AC101" s="340">
        <f>IF(OR(tblPiNHistorical[[#This Row],[Nutrition - old]]="", tblPiNHistorical[[#This Row],[Nutrition - old]]=0, tblPiNHistorical[[#This Row],[Nutrition - new]]="", tblPiNHistorical[[#This Row],[Nutrition - new]]=0), "", tblPiNHistorical[[#This Row],[Nutrition - new]]-tblPiNHistorical[[#This Row],[Nutrition - old]])</f>
        <v>-3891.9215125845203</v>
      </c>
      <c r="AD101" s="340">
        <f>IF(OR(tblPiNHistorical[[#This Row],[Food Security - old]]="", tblPiNHistorical[[#This Row],[Food Security - old]]=0, tblPiNHistorical[[#This Row],[Food Security - new]]="", tblPiNHistorical[[#This Row],[Food Security - new]]=0), "", tblPiNHistorical[[#This Row],[Food Security - new]]-tblPiNHistorical[[#This Row],[Food Security - old]])</f>
        <v>-8089.7016738213933</v>
      </c>
      <c r="AE101" s="340">
        <f>IF(OR(tblPiNHistorical[[#This Row],[Health - old]]="", tblPiNHistorical[[#This Row],[Health - old]]=0, tblPiNHistorical[[#This Row],[Health - new]]="", tblPiNHistorical[[#This Row],[Health - new]]=0), "", tblPiNHistorical[[#This Row],[Health - new]]-tblPiNHistorical[[#This Row],[Health - old]])</f>
        <v>7536.2356516329019</v>
      </c>
      <c r="AF10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-5478.3529355802602</v>
      </c>
      <c r="AG101" s="340">
        <f>IF(OR(tblPiNHistorical[[#This Row],[Shelter - old]]="", tblPiNHistorical[[#This Row],[Shelter - old]]=0, tblPiNHistorical[[#This Row],[Shelter - new]]="", tblPiNHistorical[[#This Row],[Shelter - new]]=0), "", tblPiNHistorical[[#This Row],[Shelter - new]]-tblPiNHistorical[[#This Row],[Shelter - old]])</f>
        <v>20865.226423710534</v>
      </c>
      <c r="AH101" s="341">
        <f>IF(OR(tblPiNHistorical[[#This Row],[WASH - old]]="", tblPiNHistorical[[#This Row],[WASH - old]]=0, tblPiNHistorical[[#This Row],[WASH - new]]="", tblPiNHistorical[[#This Row],[WASH - new]]=0), "", tblPiNHistorical[[#This Row],[WASH - new]]-tblPiNHistorical[[#This Row],[WASH - old]])</f>
        <v>3170.419340674016</v>
      </c>
      <c r="AI101" s="342" t="str">
        <f>IFERROR(ROUND((tblPiNHistorical[[#This Row],[CCCM - new]] - tblPiNHistorical[[#This Row],[CCCM - old]])/tblPiNHistorical[[#This Row],[CCCM - old]], 1), "")</f>
        <v/>
      </c>
      <c r="AJ101" s="343" t="str">
        <f>IFERROR(ROUND((tblPiNHistorical[[#This Row],[Education - new]]-tblPiNHistorical[[#This Row],[Education - old]])/tblPiNHistorical[[#This Row],[Education - old]], 1), "")</f>
        <v/>
      </c>
      <c r="AK101" s="343">
        <f>IFERROR(ROUND((tblPiNHistorical[[#This Row],[Nutrition - new]]-tblPiNHistorical[[#This Row],[Nutrition - old]])/tblPiNHistorical[[#This Row],[Nutrition - old]], 1), "")</f>
        <v>-0.2</v>
      </c>
      <c r="AL101" s="343">
        <f>IFERROR(ROUND((tblPiNHistorical[[#This Row],[Food Security - new]]-tblPiNHistorical[[#This Row],[Food Security - old]])/tblPiNHistorical[[#This Row],[Food Security - old]], 1), "")</f>
        <v>-0.2</v>
      </c>
      <c r="AM101" s="343">
        <f>IFERROR(ROUND((tblPiNHistorical[[#This Row],[Health - new]]-tblPiNHistorical[[#This Row],[Health - old]])/tblPiNHistorical[[#This Row],[Health - old]], 1), "")</f>
        <v>0.5</v>
      </c>
      <c r="AN101" s="343">
        <f>IFERROR(ROUND((tblPiNHistorical[[#This Row],[Overarching Protection - new]]-tblPiNHistorical[[#This Row],[Overarching Protection - old]])/tblPiNHistorical[[#This Row],[Overarching Protection - old]], 1), "")</f>
        <v>-0.3</v>
      </c>
      <c r="AO101" s="343">
        <f>IFERROR(ROUND((tblPiNHistorical[[#This Row],[Shelter - new]]-tblPiNHistorical[[#This Row],[Shelter - old]])/tblPiNHistorical[[#This Row],[Shelter - old]], 1), "")</f>
        <v>4.5</v>
      </c>
      <c r="AP101" s="38">
        <f>IFERROR(ROUND((tblPiNHistorical[[#This Row],[WASH - new]]-tblPiNHistorical[[#This Row],[WASH - old]])/tblPiNHistorical[[#This Row],[WASH - old]], 1), "")</f>
        <v>0.1</v>
      </c>
      <c r="AQ101" s="406">
        <v>36875</v>
      </c>
      <c r="AR101" s="406">
        <v>31549.299381736855</v>
      </c>
    </row>
    <row r="102" spans="1:44" ht="15" customHeight="1" x14ac:dyDescent="0.55000000000000004">
      <c r="A10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2" s="316" t="s">
        <v>268</v>
      </c>
      <c r="C102" s="218" t="s">
        <v>269</v>
      </c>
      <c r="D102" s="218" t="s">
        <v>278</v>
      </c>
      <c r="E102" s="105" t="s">
        <v>279</v>
      </c>
      <c r="F102" s="100"/>
      <c r="G102" s="34"/>
      <c r="H102" s="335"/>
      <c r="I102" s="97"/>
      <c r="J102" s="97" t="s">
        <v>413</v>
      </c>
      <c r="K102" s="336">
        <v>0</v>
      </c>
      <c r="L102" s="337">
        <v>12608</v>
      </c>
      <c r="M102" s="319">
        <v>51609.924754487896</v>
      </c>
      <c r="N102" s="319">
        <v>80932</v>
      </c>
      <c r="O102" s="319">
        <v>58930.939085670681</v>
      </c>
      <c r="P102" s="319">
        <v>57109.442037885514</v>
      </c>
      <c r="Q102" s="320">
        <v>87933.913043478256</v>
      </c>
      <c r="R102" s="319">
        <v>37453.429985469462</v>
      </c>
      <c r="S102" s="235">
        <f>tblPiNAnalysis[[#This Row],[CCCM]]</f>
        <v>0</v>
      </c>
      <c r="T102" s="236">
        <f>tblPiNAnalysis[[#This Row],[Education]]</f>
        <v>10794.697426323926</v>
      </c>
      <c r="U102" s="219">
        <f>tblPiNAnalysis[[#This Row],[Nutrition]]</f>
        <v>47590.815393860707</v>
      </c>
      <c r="V102" s="219">
        <f>tblPiNAnalysis[[#This Row],[Food Security]]</f>
        <v>66895.029767823638</v>
      </c>
      <c r="W102" s="219">
        <f>tblPiNAnalysis[[#This Row],[Health]]</f>
        <v>63790.367415290682</v>
      </c>
      <c r="X102" s="219">
        <f>tblPiNAnalysis[[#This Row],[Overarching Protection]]</f>
        <v>32952</v>
      </c>
      <c r="Y102" s="219">
        <f>tblPiNAnalysis[[#This Row],[Shelter]]</f>
        <v>90800.563193042151</v>
      </c>
      <c r="Z102" s="230">
        <f>tblPiNAnalysis[[#This Row],[WASH]]</f>
        <v>45286.922591286311</v>
      </c>
      <c r="AA102" s="339" t="str">
        <f>IF(OR(tblPiNHistorical[[#This Row],[CCCM - old]]="", tblPiNHistorical[[#This Row],[CCCM - old]]=0, tblPiNHistorical[[#This Row],[CCCM - new]]="", tblPiNHistorical[[#This Row],[CCCM - new]]=0), "", tblPiNHistorical[[#This Row],[CCCM - new]]-tblPiNHistorical[[#This Row],[CCCM - old]])</f>
        <v/>
      </c>
      <c r="AB102" s="340">
        <f>IF(OR(tblPiNHistorical[[#This Row],[Education - old]]="", tblPiNHistorical[[#This Row],[Education - old]]=0, tblPiNHistorical[[#This Row],[Education - new]]="", tblPiNHistorical[[#This Row],[Education - new]]=0), "", tblPiNHistorical[[#This Row],[Education - new]]-tblPiNHistorical[[#This Row],[Education - old]])</f>
        <v>-1813.3025736760737</v>
      </c>
      <c r="AC102" s="340">
        <f>IF(OR(tblPiNHistorical[[#This Row],[Nutrition - old]]="", tblPiNHistorical[[#This Row],[Nutrition - old]]=0, tblPiNHistorical[[#This Row],[Nutrition - new]]="", tblPiNHistorical[[#This Row],[Nutrition - new]]=0), "", tblPiNHistorical[[#This Row],[Nutrition - new]]-tblPiNHistorical[[#This Row],[Nutrition - old]])</f>
        <v>-4019.1093606271897</v>
      </c>
      <c r="AD102" s="340">
        <f>IF(OR(tblPiNHistorical[[#This Row],[Food Security - old]]="", tblPiNHistorical[[#This Row],[Food Security - old]]=0, tblPiNHistorical[[#This Row],[Food Security - new]]="", tblPiNHistorical[[#This Row],[Food Security - new]]=0), "", tblPiNHistorical[[#This Row],[Food Security - new]]-tblPiNHistorical[[#This Row],[Food Security - old]])</f>
        <v>-14036.970232176362</v>
      </c>
      <c r="AE102" s="340">
        <f>IF(OR(tblPiNHistorical[[#This Row],[Health - old]]="", tblPiNHistorical[[#This Row],[Health - old]]=0, tblPiNHistorical[[#This Row],[Health - new]]="", tblPiNHistorical[[#This Row],[Health - new]]=0), "", tblPiNHistorical[[#This Row],[Health - new]]-tblPiNHistorical[[#This Row],[Health - old]])</f>
        <v>4859.428329620001</v>
      </c>
      <c r="AF10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-24157.442037885514</v>
      </c>
      <c r="AG102" s="340">
        <f>IF(OR(tblPiNHistorical[[#This Row],[Shelter - old]]="", tblPiNHistorical[[#This Row],[Shelter - old]]=0, tblPiNHistorical[[#This Row],[Shelter - new]]="", tblPiNHistorical[[#This Row],[Shelter - new]]=0), "", tblPiNHistorical[[#This Row],[Shelter - new]]-tblPiNHistorical[[#This Row],[Shelter - old]])</f>
        <v>2866.650149563895</v>
      </c>
      <c r="AH102" s="341">
        <f>IF(OR(tblPiNHistorical[[#This Row],[WASH - old]]="", tblPiNHistorical[[#This Row],[WASH - old]]=0, tblPiNHistorical[[#This Row],[WASH - new]]="", tblPiNHistorical[[#This Row],[WASH - new]]=0), "", tblPiNHistorical[[#This Row],[WASH - new]]-tblPiNHistorical[[#This Row],[WASH - old]])</f>
        <v>7833.4926058168494</v>
      </c>
      <c r="AI102" s="342" t="str">
        <f>IFERROR(ROUND((tblPiNHistorical[[#This Row],[CCCM - new]] - tblPiNHistorical[[#This Row],[CCCM - old]])/tblPiNHistorical[[#This Row],[CCCM - old]], 1), "")</f>
        <v/>
      </c>
      <c r="AJ102" s="343">
        <f>IFERROR(ROUND((tblPiNHistorical[[#This Row],[Education - new]]-tblPiNHistorical[[#This Row],[Education - old]])/tblPiNHistorical[[#This Row],[Education - old]], 1), "")</f>
        <v>-0.1</v>
      </c>
      <c r="AK102" s="343">
        <f>IFERROR(ROUND((tblPiNHistorical[[#This Row],[Nutrition - new]]-tblPiNHistorical[[#This Row],[Nutrition - old]])/tblPiNHistorical[[#This Row],[Nutrition - old]], 1), "")</f>
        <v>-0.1</v>
      </c>
      <c r="AL102" s="343">
        <f>IFERROR(ROUND((tblPiNHistorical[[#This Row],[Food Security - new]]-tblPiNHistorical[[#This Row],[Food Security - old]])/tblPiNHistorical[[#This Row],[Food Security - old]], 1), "")</f>
        <v>-0.2</v>
      </c>
      <c r="AM102" s="343">
        <f>IFERROR(ROUND((tblPiNHistorical[[#This Row],[Health - new]]-tblPiNHistorical[[#This Row],[Health - old]])/tblPiNHistorical[[#This Row],[Health - old]], 1), "")</f>
        <v>0.1</v>
      </c>
      <c r="AN102" s="343">
        <f>IFERROR(ROUND((tblPiNHistorical[[#This Row],[Overarching Protection - new]]-tblPiNHistorical[[#This Row],[Overarching Protection - old]])/tblPiNHistorical[[#This Row],[Overarching Protection - old]], 1), "")</f>
        <v>-0.4</v>
      </c>
      <c r="AO102" s="343">
        <f>IFERROR(ROUND((tblPiNHistorical[[#This Row],[Shelter - new]]-tblPiNHistorical[[#This Row],[Shelter - old]])/tblPiNHistorical[[#This Row],[Shelter - old]], 1), "")</f>
        <v>0</v>
      </c>
      <c r="AP102" s="38">
        <f>IFERROR(ROUND((tblPiNHistorical[[#This Row],[WASH - new]]-tblPiNHistorical[[#This Row],[WASH - old]])/tblPiNHistorical[[#This Row],[WASH - old]], 1), "")</f>
        <v>0.2</v>
      </c>
      <c r="AQ102" s="406">
        <v>87933.913043478256</v>
      </c>
      <c r="AR102" s="406">
        <v>90800.563193042151</v>
      </c>
    </row>
    <row r="103" spans="1:44" ht="15" customHeight="1" x14ac:dyDescent="0.55000000000000004">
      <c r="A10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3" s="316" t="s">
        <v>268</v>
      </c>
      <c r="C103" s="218" t="s">
        <v>269</v>
      </c>
      <c r="D103" s="218" t="s">
        <v>280</v>
      </c>
      <c r="E103" s="105" t="s">
        <v>281</v>
      </c>
      <c r="F103" s="100"/>
      <c r="G103" s="34"/>
      <c r="H103" s="335"/>
      <c r="I103" s="97"/>
      <c r="J103" s="97" t="s">
        <v>413</v>
      </c>
      <c r="K103" s="336">
        <v>0</v>
      </c>
      <c r="L103" s="337">
        <v>18985</v>
      </c>
      <c r="M103" s="319">
        <v>28131.836081150657</v>
      </c>
      <c r="N103" s="319">
        <v>61710</v>
      </c>
      <c r="O103" s="319">
        <v>31620.573951920589</v>
      </c>
      <c r="P103" s="319">
        <v>36236.191554555699</v>
      </c>
      <c r="Q103" s="320">
        <v>40299.974358974359</v>
      </c>
      <c r="R103" s="319">
        <v>32632.917465504524</v>
      </c>
      <c r="S103" s="235">
        <f>tblPiNAnalysis[[#This Row],[CCCM]]</f>
        <v>0</v>
      </c>
      <c r="T103" s="236">
        <f>tblPiNAnalysis[[#This Row],[Education]]</f>
        <v>13139.840713792923</v>
      </c>
      <c r="U103" s="219">
        <f>tblPiNAnalysis[[#This Row],[Nutrition]]</f>
        <v>25342.82396965627</v>
      </c>
      <c r="V103" s="219">
        <f>tblPiNAnalysis[[#This Row],[Food Security]]</f>
        <v>49721.189721641669</v>
      </c>
      <c r="W103" s="219">
        <f>tblPiNAnalysis[[#This Row],[Health]]</f>
        <v>37328.895143262234</v>
      </c>
      <c r="X103" s="219">
        <f>tblPiNAnalysis[[#This Row],[Overarching Protection]]</f>
        <v>20380</v>
      </c>
      <c r="Y103" s="219">
        <f>tblPiNAnalysis[[#This Row],[Shelter]]</f>
        <v>30861.193071195819</v>
      </c>
      <c r="Z103" s="230">
        <f>tblPiNAnalysis[[#This Row],[WASH]]</f>
        <v>45107.960772052087</v>
      </c>
      <c r="AA103" s="339" t="str">
        <f>IF(OR(tblPiNHistorical[[#This Row],[CCCM - old]]="", tblPiNHistorical[[#This Row],[CCCM - old]]=0, tblPiNHistorical[[#This Row],[CCCM - new]]="", tblPiNHistorical[[#This Row],[CCCM - new]]=0), "", tblPiNHistorical[[#This Row],[CCCM - new]]-tblPiNHistorical[[#This Row],[CCCM - old]])</f>
        <v/>
      </c>
      <c r="AB103" s="340">
        <f>IF(OR(tblPiNHistorical[[#This Row],[Education - old]]="", tblPiNHistorical[[#This Row],[Education - old]]=0, tblPiNHistorical[[#This Row],[Education - new]]="", tblPiNHistorical[[#This Row],[Education - new]]=0), "", tblPiNHistorical[[#This Row],[Education - new]]-tblPiNHistorical[[#This Row],[Education - old]])</f>
        <v>-5845.1592862070775</v>
      </c>
      <c r="AC103" s="340">
        <f>IF(OR(tblPiNHistorical[[#This Row],[Nutrition - old]]="", tblPiNHistorical[[#This Row],[Nutrition - old]]=0, tblPiNHistorical[[#This Row],[Nutrition - new]]="", tblPiNHistorical[[#This Row],[Nutrition - new]]=0), "", tblPiNHistorical[[#This Row],[Nutrition - new]]-tblPiNHistorical[[#This Row],[Nutrition - old]])</f>
        <v>-2789.0121114943868</v>
      </c>
      <c r="AD103" s="340">
        <f>IF(OR(tblPiNHistorical[[#This Row],[Food Security - old]]="", tblPiNHistorical[[#This Row],[Food Security - old]]=0, tblPiNHistorical[[#This Row],[Food Security - new]]="", tblPiNHistorical[[#This Row],[Food Security - new]]=0), "", tblPiNHistorical[[#This Row],[Food Security - new]]-tblPiNHistorical[[#This Row],[Food Security - old]])</f>
        <v>-11988.810278358331</v>
      </c>
      <c r="AE103" s="340">
        <f>IF(OR(tblPiNHistorical[[#This Row],[Health - old]]="", tblPiNHistorical[[#This Row],[Health - old]]=0, tblPiNHistorical[[#This Row],[Health - new]]="", tblPiNHistorical[[#This Row],[Health - new]]=0), "", tblPiNHistorical[[#This Row],[Health - new]]-tblPiNHistorical[[#This Row],[Health - old]])</f>
        <v>5708.3211913416453</v>
      </c>
      <c r="AF10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-15856.191554555699</v>
      </c>
      <c r="AG103" s="340">
        <f>IF(OR(tblPiNHistorical[[#This Row],[Shelter - old]]="", tblPiNHistorical[[#This Row],[Shelter - old]]=0, tblPiNHistorical[[#This Row],[Shelter - new]]="", tblPiNHistorical[[#This Row],[Shelter - new]]=0), "", tblPiNHistorical[[#This Row],[Shelter - new]]-tblPiNHistorical[[#This Row],[Shelter - old]])</f>
        <v>-9438.78128777854</v>
      </c>
      <c r="AH103" s="341">
        <f>IF(OR(tblPiNHistorical[[#This Row],[WASH - old]]="", tblPiNHistorical[[#This Row],[WASH - old]]=0, tblPiNHistorical[[#This Row],[WASH - new]]="", tblPiNHistorical[[#This Row],[WASH - new]]=0), "", tblPiNHistorical[[#This Row],[WASH - new]]-tblPiNHistorical[[#This Row],[WASH - old]])</f>
        <v>12475.043306547563</v>
      </c>
      <c r="AI103" s="342" t="str">
        <f>IFERROR(ROUND((tblPiNHistorical[[#This Row],[CCCM - new]] - tblPiNHistorical[[#This Row],[CCCM - old]])/tblPiNHistorical[[#This Row],[CCCM - old]], 1), "")</f>
        <v/>
      </c>
      <c r="AJ103" s="343">
        <f>IFERROR(ROUND((tblPiNHistorical[[#This Row],[Education - new]]-tblPiNHistorical[[#This Row],[Education - old]])/tblPiNHistorical[[#This Row],[Education - old]], 1), "")</f>
        <v>-0.3</v>
      </c>
      <c r="AK103" s="343">
        <f>IFERROR(ROUND((tblPiNHistorical[[#This Row],[Nutrition - new]]-tblPiNHistorical[[#This Row],[Nutrition - old]])/tblPiNHistorical[[#This Row],[Nutrition - old]], 1), "")</f>
        <v>-0.1</v>
      </c>
      <c r="AL103" s="343">
        <f>IFERROR(ROUND((tblPiNHistorical[[#This Row],[Food Security - new]]-tblPiNHistorical[[#This Row],[Food Security - old]])/tblPiNHistorical[[#This Row],[Food Security - old]], 1), "")</f>
        <v>-0.2</v>
      </c>
      <c r="AM103" s="343">
        <f>IFERROR(ROUND((tblPiNHistorical[[#This Row],[Health - new]]-tblPiNHistorical[[#This Row],[Health - old]])/tblPiNHistorical[[#This Row],[Health - old]], 1), "")</f>
        <v>0.2</v>
      </c>
      <c r="AN103" s="343">
        <f>IFERROR(ROUND((tblPiNHistorical[[#This Row],[Overarching Protection - new]]-tblPiNHistorical[[#This Row],[Overarching Protection - old]])/tblPiNHistorical[[#This Row],[Overarching Protection - old]], 1), "")</f>
        <v>-0.4</v>
      </c>
      <c r="AO103" s="343">
        <f>IFERROR(ROUND((tblPiNHistorical[[#This Row],[Shelter - new]]-tblPiNHistorical[[#This Row],[Shelter - old]])/tblPiNHistorical[[#This Row],[Shelter - old]], 1), "")</f>
        <v>-0.2</v>
      </c>
      <c r="AP103" s="38">
        <f>IFERROR(ROUND((tblPiNHistorical[[#This Row],[WASH - new]]-tblPiNHistorical[[#This Row],[WASH - old]])/tblPiNHistorical[[#This Row],[WASH - old]], 1), "")</f>
        <v>0.4</v>
      </c>
      <c r="AQ103" s="406">
        <v>61710</v>
      </c>
      <c r="AR103" s="406">
        <v>49721.189721641669</v>
      </c>
    </row>
    <row r="104" spans="1:44" ht="15" customHeight="1" x14ac:dyDescent="0.55000000000000004">
      <c r="A10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4" s="316" t="s">
        <v>268</v>
      </c>
      <c r="C104" s="218" t="s">
        <v>269</v>
      </c>
      <c r="D104" s="218" t="s">
        <v>282</v>
      </c>
      <c r="E104" s="105" t="s">
        <v>283</v>
      </c>
      <c r="F104" s="100"/>
      <c r="G104" s="34"/>
      <c r="H104" s="335"/>
      <c r="I104" s="97"/>
      <c r="J104" s="97" t="s">
        <v>413</v>
      </c>
      <c r="K104" s="336">
        <v>0</v>
      </c>
      <c r="L104" s="337">
        <v>19686</v>
      </c>
      <c r="M104" s="319">
        <v>33341.464610297728</v>
      </c>
      <c r="N104" s="319">
        <v>72279</v>
      </c>
      <c r="O104" s="319">
        <v>67858.281985178182</v>
      </c>
      <c r="P104" s="319">
        <v>33055.104443593751</v>
      </c>
      <c r="Q104" s="320">
        <v>10363.338790154698</v>
      </c>
      <c r="R104" s="319">
        <v>40027.82033592862</v>
      </c>
      <c r="S104" s="235">
        <f>tblPiNAnalysis[[#This Row],[CCCM]]</f>
        <v>0</v>
      </c>
      <c r="T104" s="236">
        <f>tblPiNAnalysis[[#This Row],[Education]]</f>
        <v>22593.352452915449</v>
      </c>
      <c r="U104" s="219">
        <f>tblPiNAnalysis[[#This Row],[Nutrition]]</f>
        <v>35489.870692616212</v>
      </c>
      <c r="V104" s="219">
        <f>tblPiNAnalysis[[#This Row],[Food Security]]</f>
        <v>48712.090327487043</v>
      </c>
      <c r="W104" s="219">
        <f>tblPiNAnalysis[[#This Row],[Health]]</f>
        <v>45826.429946831784</v>
      </c>
      <c r="X104" s="219">
        <f>tblPiNAnalysis[[#This Row],[Overarching Protection]]</f>
        <v>22360</v>
      </c>
      <c r="Y104" s="219">
        <f>tblPiNAnalysis[[#This Row],[Shelter]]</f>
        <v>47896.037311514949</v>
      </c>
      <c r="Z104" s="230">
        <f>tblPiNAnalysis[[#This Row],[WASH]]</f>
        <v>44538.246335972239</v>
      </c>
      <c r="AA104" s="339" t="str">
        <f>IF(OR(tblPiNHistorical[[#This Row],[CCCM - old]]="", tblPiNHistorical[[#This Row],[CCCM - old]]=0, tblPiNHistorical[[#This Row],[CCCM - new]]="", tblPiNHistorical[[#This Row],[CCCM - new]]=0), "", tblPiNHistorical[[#This Row],[CCCM - new]]-tblPiNHistorical[[#This Row],[CCCM - old]])</f>
        <v/>
      </c>
      <c r="AB104" s="340">
        <f>IF(OR(tblPiNHistorical[[#This Row],[Education - old]]="", tblPiNHistorical[[#This Row],[Education - old]]=0, tblPiNHistorical[[#This Row],[Education - new]]="", tblPiNHistorical[[#This Row],[Education - new]]=0), "", tblPiNHistorical[[#This Row],[Education - new]]-tblPiNHistorical[[#This Row],[Education - old]])</f>
        <v>2907.3524529154492</v>
      </c>
      <c r="AC104" s="340">
        <f>IF(OR(tblPiNHistorical[[#This Row],[Nutrition - old]]="", tblPiNHistorical[[#This Row],[Nutrition - old]]=0, tblPiNHistorical[[#This Row],[Nutrition - new]]="", tblPiNHistorical[[#This Row],[Nutrition - new]]=0), "", tblPiNHistorical[[#This Row],[Nutrition - new]]-tblPiNHistorical[[#This Row],[Nutrition - old]])</f>
        <v>2148.4060823184846</v>
      </c>
      <c r="AD104" s="340">
        <f>IF(OR(tblPiNHistorical[[#This Row],[Food Security - old]]="", tblPiNHistorical[[#This Row],[Food Security - old]]=0, tblPiNHistorical[[#This Row],[Food Security - new]]="", tblPiNHistorical[[#This Row],[Food Security - new]]=0), "", tblPiNHistorical[[#This Row],[Food Security - new]]-tblPiNHistorical[[#This Row],[Food Security - old]])</f>
        <v>-23566.909672512957</v>
      </c>
      <c r="AE104" s="340">
        <f>IF(OR(tblPiNHistorical[[#This Row],[Health - old]]="", tblPiNHistorical[[#This Row],[Health - old]]=0, tblPiNHistorical[[#This Row],[Health - new]]="", tblPiNHistorical[[#This Row],[Health - new]]=0), "", tblPiNHistorical[[#This Row],[Health - new]]-tblPiNHistorical[[#This Row],[Health - old]])</f>
        <v>-22031.852038346398</v>
      </c>
      <c r="AF10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-10695.104443593751</v>
      </c>
      <c r="AG104" s="340">
        <f>IF(OR(tblPiNHistorical[[#This Row],[Shelter - old]]="", tblPiNHistorical[[#This Row],[Shelter - old]]=0, tblPiNHistorical[[#This Row],[Shelter - new]]="", tblPiNHistorical[[#This Row],[Shelter - new]]=0), "", tblPiNHistorical[[#This Row],[Shelter - new]]-tblPiNHistorical[[#This Row],[Shelter - old]])</f>
        <v>37532.698521360253</v>
      </c>
      <c r="AH104" s="341">
        <f>IF(OR(tblPiNHistorical[[#This Row],[WASH - old]]="", tblPiNHistorical[[#This Row],[WASH - old]]=0, tblPiNHistorical[[#This Row],[WASH - new]]="", tblPiNHistorical[[#This Row],[WASH - new]]=0), "", tblPiNHistorical[[#This Row],[WASH - new]]-tblPiNHistorical[[#This Row],[WASH - old]])</f>
        <v>4510.4260000436188</v>
      </c>
      <c r="AI104" s="342" t="str">
        <f>IFERROR(ROUND((tblPiNHistorical[[#This Row],[CCCM - new]] - tblPiNHistorical[[#This Row],[CCCM - old]])/tblPiNHistorical[[#This Row],[CCCM - old]], 1), "")</f>
        <v/>
      </c>
      <c r="AJ104" s="343">
        <f>IFERROR(ROUND((tblPiNHistorical[[#This Row],[Education - new]]-tblPiNHistorical[[#This Row],[Education - old]])/tblPiNHistorical[[#This Row],[Education - old]], 1), "")</f>
        <v>0.1</v>
      </c>
      <c r="AK104" s="343">
        <f>IFERROR(ROUND((tblPiNHistorical[[#This Row],[Nutrition - new]]-tblPiNHistorical[[#This Row],[Nutrition - old]])/tblPiNHistorical[[#This Row],[Nutrition - old]], 1), "")</f>
        <v>0.1</v>
      </c>
      <c r="AL104" s="343">
        <f>IFERROR(ROUND((tblPiNHistorical[[#This Row],[Food Security - new]]-tblPiNHistorical[[#This Row],[Food Security - old]])/tblPiNHistorical[[#This Row],[Food Security - old]], 1), "")</f>
        <v>-0.3</v>
      </c>
      <c r="AM104" s="343">
        <f>IFERROR(ROUND((tblPiNHistorical[[#This Row],[Health - new]]-tblPiNHistorical[[#This Row],[Health - old]])/tblPiNHistorical[[#This Row],[Health - old]], 1), "")</f>
        <v>-0.3</v>
      </c>
      <c r="AN104" s="343">
        <f>IFERROR(ROUND((tblPiNHistorical[[#This Row],[Overarching Protection - new]]-tblPiNHistorical[[#This Row],[Overarching Protection - old]])/tblPiNHistorical[[#This Row],[Overarching Protection - old]], 1), "")</f>
        <v>-0.3</v>
      </c>
      <c r="AO104" s="343">
        <f>IFERROR(ROUND((tblPiNHistorical[[#This Row],[Shelter - new]]-tblPiNHistorical[[#This Row],[Shelter - old]])/tblPiNHistorical[[#This Row],[Shelter - old]], 1), "")</f>
        <v>3.6</v>
      </c>
      <c r="AP104" s="38">
        <f>IFERROR(ROUND((tblPiNHistorical[[#This Row],[WASH - new]]-tblPiNHistorical[[#This Row],[WASH - old]])/tblPiNHistorical[[#This Row],[WASH - old]], 1), "")</f>
        <v>0.1</v>
      </c>
      <c r="AQ104" s="406">
        <v>72279</v>
      </c>
      <c r="AR104" s="406">
        <v>48712.090327487043</v>
      </c>
    </row>
    <row r="105" spans="1:44" ht="15" customHeight="1" x14ac:dyDescent="0.55000000000000004">
      <c r="A10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5" s="316" t="s">
        <v>268</v>
      </c>
      <c r="C105" s="218" t="s">
        <v>269</v>
      </c>
      <c r="D105" s="218" t="s">
        <v>284</v>
      </c>
      <c r="E105" s="105" t="s">
        <v>285</v>
      </c>
      <c r="F105" s="100"/>
      <c r="G105" s="34"/>
      <c r="H105" s="335"/>
      <c r="I105" s="97"/>
      <c r="J105" s="97" t="s">
        <v>413</v>
      </c>
      <c r="K105" s="336">
        <v>0</v>
      </c>
      <c r="L105" s="337">
        <v>40095</v>
      </c>
      <c r="M105" s="319">
        <v>90308.864575495274</v>
      </c>
      <c r="N105" s="319">
        <v>157814.20260888513</v>
      </c>
      <c r="O105" s="319">
        <v>131313.42835183919</v>
      </c>
      <c r="P105" s="319">
        <v>78379.663053750002</v>
      </c>
      <c r="Q105" s="320">
        <v>77461.159657502518</v>
      </c>
      <c r="R105" s="319">
        <v>122744.37980691066</v>
      </c>
      <c r="S105" s="235">
        <f>tblPiNAnalysis[[#This Row],[CCCM]]</f>
        <v>0</v>
      </c>
      <c r="T105" s="236">
        <f>tblPiNAnalysis[[#This Row],[Education]]</f>
        <v>41898.489034129365</v>
      </c>
      <c r="U105" s="219">
        <f>tblPiNAnalysis[[#This Row],[Nutrition]]</f>
        <v>88990.012388021394</v>
      </c>
      <c r="V105" s="219">
        <f>tblPiNAnalysis[[#This Row],[Food Security]]</f>
        <v>116811.30925544295</v>
      </c>
      <c r="W105" s="219">
        <f>tblPiNAnalysis[[#This Row],[Health]]</f>
        <v>89058.581669314983</v>
      </c>
      <c r="X105" s="219">
        <f>tblPiNAnalysis[[#This Row],[Overarching Protection]]</f>
        <v>48790</v>
      </c>
      <c r="Y105" s="219">
        <f>tblPiNAnalysis[[#This Row],[Shelter]]</f>
        <v>77309.072939170044</v>
      </c>
      <c r="Z105" s="230">
        <f>tblPiNAnalysis[[#This Row],[WASH]]</f>
        <v>119138.13655843114</v>
      </c>
      <c r="AA105" s="339" t="str">
        <f>IF(OR(tblPiNHistorical[[#This Row],[CCCM - old]]="", tblPiNHistorical[[#This Row],[CCCM - old]]=0, tblPiNHistorical[[#This Row],[CCCM - new]]="", tblPiNHistorical[[#This Row],[CCCM - new]]=0), "", tblPiNHistorical[[#This Row],[CCCM - new]]-tblPiNHistorical[[#This Row],[CCCM - old]])</f>
        <v/>
      </c>
      <c r="AB105" s="340">
        <f>IF(OR(tblPiNHistorical[[#This Row],[Education - old]]="", tblPiNHistorical[[#This Row],[Education - old]]=0, tblPiNHistorical[[#This Row],[Education - new]]="", tblPiNHistorical[[#This Row],[Education - new]]=0), "", tblPiNHistorical[[#This Row],[Education - new]]-tblPiNHistorical[[#This Row],[Education - old]])</f>
        <v>1803.4890341293649</v>
      </c>
      <c r="AC105" s="340">
        <f>IF(OR(tblPiNHistorical[[#This Row],[Nutrition - old]]="", tblPiNHistorical[[#This Row],[Nutrition - old]]=0, tblPiNHistorical[[#This Row],[Nutrition - new]]="", tblPiNHistorical[[#This Row],[Nutrition - new]]=0), "", tblPiNHistorical[[#This Row],[Nutrition - new]]-tblPiNHistorical[[#This Row],[Nutrition - old]])</f>
        <v>-1318.8521874738799</v>
      </c>
      <c r="AD105" s="340">
        <f>IF(OR(tblPiNHistorical[[#This Row],[Food Security - old]]="", tblPiNHistorical[[#This Row],[Food Security - old]]=0, tblPiNHistorical[[#This Row],[Food Security - new]]="", tblPiNHistorical[[#This Row],[Food Security - new]]=0), "", tblPiNHistorical[[#This Row],[Food Security - new]]-tblPiNHistorical[[#This Row],[Food Security - old]])</f>
        <v>-41002.893353442181</v>
      </c>
      <c r="AE105" s="340">
        <f>IF(OR(tblPiNHistorical[[#This Row],[Health - old]]="", tblPiNHistorical[[#This Row],[Health - old]]=0, tblPiNHistorical[[#This Row],[Health - new]]="", tblPiNHistorical[[#This Row],[Health - new]]=0), "", tblPiNHistorical[[#This Row],[Health - new]]-tblPiNHistorical[[#This Row],[Health - old]])</f>
        <v>-42254.846682524207</v>
      </c>
      <c r="AF10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-29589.663053750002</v>
      </c>
      <c r="AG105" s="340">
        <f>IF(OR(tblPiNHistorical[[#This Row],[Shelter - old]]="", tblPiNHistorical[[#This Row],[Shelter - old]]=0, tblPiNHistorical[[#This Row],[Shelter - new]]="", tblPiNHistorical[[#This Row],[Shelter - new]]=0), "", tblPiNHistorical[[#This Row],[Shelter - new]]-tblPiNHistorical[[#This Row],[Shelter - old]])</f>
        <v>-152.08671833247354</v>
      </c>
      <c r="AH105" s="341">
        <f>IF(OR(tblPiNHistorical[[#This Row],[WASH - old]]="", tblPiNHistorical[[#This Row],[WASH - old]]=0, tblPiNHistorical[[#This Row],[WASH - new]]="", tblPiNHistorical[[#This Row],[WASH - new]]=0), "", tblPiNHistorical[[#This Row],[WASH - new]]-tblPiNHistorical[[#This Row],[WASH - old]])</f>
        <v>-3606.2432484795136</v>
      </c>
      <c r="AI105" s="342" t="str">
        <f>IFERROR(ROUND((tblPiNHistorical[[#This Row],[CCCM - new]] - tblPiNHistorical[[#This Row],[CCCM - old]])/tblPiNHistorical[[#This Row],[CCCM - old]], 1), "")</f>
        <v/>
      </c>
      <c r="AJ105" s="343">
        <f>IFERROR(ROUND((tblPiNHistorical[[#This Row],[Education - new]]-tblPiNHistorical[[#This Row],[Education - old]])/tblPiNHistorical[[#This Row],[Education - old]], 1), "")</f>
        <v>0</v>
      </c>
      <c r="AK105" s="343">
        <f>IFERROR(ROUND((tblPiNHistorical[[#This Row],[Nutrition - new]]-tblPiNHistorical[[#This Row],[Nutrition - old]])/tblPiNHistorical[[#This Row],[Nutrition - old]], 1), "")</f>
        <v>0</v>
      </c>
      <c r="AL105" s="343">
        <f>IFERROR(ROUND((tblPiNHistorical[[#This Row],[Food Security - new]]-tblPiNHistorical[[#This Row],[Food Security - old]])/tblPiNHistorical[[#This Row],[Food Security - old]], 1), "")</f>
        <v>-0.3</v>
      </c>
      <c r="AM105" s="343">
        <f>IFERROR(ROUND((tblPiNHistorical[[#This Row],[Health - new]]-tblPiNHistorical[[#This Row],[Health - old]])/tblPiNHistorical[[#This Row],[Health - old]], 1), "")</f>
        <v>-0.3</v>
      </c>
      <c r="AN105" s="343">
        <f>IFERROR(ROUND((tblPiNHistorical[[#This Row],[Overarching Protection - new]]-tblPiNHistorical[[#This Row],[Overarching Protection - old]])/tblPiNHistorical[[#This Row],[Overarching Protection - old]], 1), "")</f>
        <v>-0.4</v>
      </c>
      <c r="AO105" s="343">
        <f>IFERROR(ROUND((tblPiNHistorical[[#This Row],[Shelter - new]]-tblPiNHistorical[[#This Row],[Shelter - old]])/tblPiNHistorical[[#This Row],[Shelter - old]], 1), "")</f>
        <v>0</v>
      </c>
      <c r="AP105" s="38">
        <f>IFERROR(ROUND((tblPiNHistorical[[#This Row],[WASH - new]]-tblPiNHistorical[[#This Row],[WASH - old]])/tblPiNHistorical[[#This Row],[WASH - old]], 1), "")</f>
        <v>0</v>
      </c>
      <c r="AQ105" s="406">
        <v>157814.20260888513</v>
      </c>
      <c r="AR105" s="406">
        <v>119138.13655843114</v>
      </c>
    </row>
    <row r="106" spans="1:44" ht="15" customHeight="1" x14ac:dyDescent="0.55000000000000004">
      <c r="A10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6" s="316" t="s">
        <v>268</v>
      </c>
      <c r="C106" s="218" t="s">
        <v>269</v>
      </c>
      <c r="D106" s="218" t="s">
        <v>286</v>
      </c>
      <c r="E106" s="105" t="s">
        <v>287</v>
      </c>
      <c r="F106" s="100"/>
      <c r="G106" s="34"/>
      <c r="H106" s="335"/>
      <c r="I106" s="97"/>
      <c r="J106" s="97" t="s">
        <v>413</v>
      </c>
      <c r="K106" s="336">
        <v>0</v>
      </c>
      <c r="L106" s="337">
        <v>6658</v>
      </c>
      <c r="M106" s="319">
        <v>15128.690857961657</v>
      </c>
      <c r="N106" s="319">
        <v>41690</v>
      </c>
      <c r="O106" s="319">
        <v>29165.782138903545</v>
      </c>
      <c r="P106" s="319">
        <v>23419.994557686645</v>
      </c>
      <c r="Q106" s="320">
        <v>41706.916047882216</v>
      </c>
      <c r="R106" s="319">
        <v>18599.507093657845</v>
      </c>
      <c r="S106" s="235">
        <f>tblPiNAnalysis[[#This Row],[CCCM]]</f>
        <v>0</v>
      </c>
      <c r="T106" s="236">
        <f>tblPiNAnalysis[[#This Row],[Education]]</f>
        <v>6521.8077734884937</v>
      </c>
      <c r="U106" s="219">
        <f>tblPiNAnalysis[[#This Row],[Nutrition]]</f>
        <v>22891.875571757526</v>
      </c>
      <c r="V106" s="219">
        <f>tblPiNAnalysis[[#This Row],[Food Security]]</f>
        <v>34279.491171084221</v>
      </c>
      <c r="W106" s="219">
        <f>tblPiNAnalysis[[#This Row],[Health]]</f>
        <v>32117.106103601607</v>
      </c>
      <c r="X106" s="219">
        <f>tblPiNAnalysis[[#This Row],[Overarching Protection]]</f>
        <v>17143</v>
      </c>
      <c r="Y106" s="219">
        <f>tblPiNAnalysis[[#This Row],[Shelter]]</f>
        <v>38340.073171236669</v>
      </c>
      <c r="Z106" s="230">
        <f>tblPiNAnalysis[[#This Row],[WASH]]</f>
        <v>1863.7852798599502</v>
      </c>
      <c r="AA106" s="339" t="str">
        <f>IF(OR(tblPiNHistorical[[#This Row],[CCCM - old]]="", tblPiNHistorical[[#This Row],[CCCM - old]]=0, tblPiNHistorical[[#This Row],[CCCM - new]]="", tblPiNHistorical[[#This Row],[CCCM - new]]=0), "", tblPiNHistorical[[#This Row],[CCCM - new]]-tblPiNHistorical[[#This Row],[CCCM - old]])</f>
        <v/>
      </c>
      <c r="AB106" s="340">
        <f>IF(OR(tblPiNHistorical[[#This Row],[Education - old]]="", tblPiNHistorical[[#This Row],[Education - old]]=0, tblPiNHistorical[[#This Row],[Education - new]]="", tblPiNHistorical[[#This Row],[Education - new]]=0), "", tblPiNHistorical[[#This Row],[Education - new]]-tblPiNHistorical[[#This Row],[Education - old]])</f>
        <v>-136.19222651150631</v>
      </c>
      <c r="AC106" s="340">
        <f>IF(OR(tblPiNHistorical[[#This Row],[Nutrition - old]]="", tblPiNHistorical[[#This Row],[Nutrition - old]]=0, tblPiNHistorical[[#This Row],[Nutrition - new]]="", tblPiNHistorical[[#This Row],[Nutrition - new]]=0), "", tblPiNHistorical[[#This Row],[Nutrition - new]]-tblPiNHistorical[[#This Row],[Nutrition - old]])</f>
        <v>7763.1847137958684</v>
      </c>
      <c r="AD106" s="340">
        <f>IF(OR(tblPiNHistorical[[#This Row],[Food Security - old]]="", tblPiNHistorical[[#This Row],[Food Security - old]]=0, tblPiNHistorical[[#This Row],[Food Security - new]]="", tblPiNHistorical[[#This Row],[Food Security - new]]=0), "", tblPiNHistorical[[#This Row],[Food Security - new]]-tblPiNHistorical[[#This Row],[Food Security - old]])</f>
        <v>-7410.5088289157793</v>
      </c>
      <c r="AE106" s="340">
        <f>IF(OR(tblPiNHistorical[[#This Row],[Health - old]]="", tblPiNHistorical[[#This Row],[Health - old]]=0, tblPiNHistorical[[#This Row],[Health - new]]="", tblPiNHistorical[[#This Row],[Health - new]]=0), "", tblPiNHistorical[[#This Row],[Health - new]]-tblPiNHistorical[[#This Row],[Health - old]])</f>
        <v>2951.3239646980619</v>
      </c>
      <c r="AF10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-6276.9945576866448</v>
      </c>
      <c r="AG106" s="340">
        <f>IF(OR(tblPiNHistorical[[#This Row],[Shelter - old]]="", tblPiNHistorical[[#This Row],[Shelter - old]]=0, tblPiNHistorical[[#This Row],[Shelter - new]]="", tblPiNHistorical[[#This Row],[Shelter - new]]=0), "", tblPiNHistorical[[#This Row],[Shelter - new]]-tblPiNHistorical[[#This Row],[Shelter - old]])</f>
        <v>-3366.8428766455472</v>
      </c>
      <c r="AH106" s="341">
        <f>IF(OR(tblPiNHistorical[[#This Row],[WASH - old]]="", tblPiNHistorical[[#This Row],[WASH - old]]=0, tblPiNHistorical[[#This Row],[WASH - new]]="", tblPiNHistorical[[#This Row],[WASH - new]]=0), "", tblPiNHistorical[[#This Row],[WASH - new]]-tblPiNHistorical[[#This Row],[WASH - old]])</f>
        <v>-16735.721813797896</v>
      </c>
      <c r="AI106" s="342" t="str">
        <f>IFERROR(ROUND((tblPiNHistorical[[#This Row],[CCCM - new]] - tblPiNHistorical[[#This Row],[CCCM - old]])/tblPiNHistorical[[#This Row],[CCCM - old]], 1), "")</f>
        <v/>
      </c>
      <c r="AJ106" s="343">
        <f>IFERROR(ROUND((tblPiNHistorical[[#This Row],[Education - new]]-tblPiNHistorical[[#This Row],[Education - old]])/tblPiNHistorical[[#This Row],[Education - old]], 1), "")</f>
        <v>0</v>
      </c>
      <c r="AK106" s="343">
        <f>IFERROR(ROUND((tblPiNHistorical[[#This Row],[Nutrition - new]]-tblPiNHistorical[[#This Row],[Nutrition - old]])/tblPiNHistorical[[#This Row],[Nutrition - old]], 1), "")</f>
        <v>0.5</v>
      </c>
      <c r="AL106" s="343">
        <f>IFERROR(ROUND((tblPiNHistorical[[#This Row],[Food Security - new]]-tblPiNHistorical[[#This Row],[Food Security - old]])/tblPiNHistorical[[#This Row],[Food Security - old]], 1), "")</f>
        <v>-0.2</v>
      </c>
      <c r="AM106" s="343">
        <f>IFERROR(ROUND((tblPiNHistorical[[#This Row],[Health - new]]-tblPiNHistorical[[#This Row],[Health - old]])/tblPiNHistorical[[#This Row],[Health - old]], 1), "")</f>
        <v>0.1</v>
      </c>
      <c r="AN106" s="343">
        <f>IFERROR(ROUND((tblPiNHistorical[[#This Row],[Overarching Protection - new]]-tblPiNHistorical[[#This Row],[Overarching Protection - old]])/tblPiNHistorical[[#This Row],[Overarching Protection - old]], 1), "")</f>
        <v>-0.3</v>
      </c>
      <c r="AO106" s="343">
        <f>IFERROR(ROUND((tblPiNHistorical[[#This Row],[Shelter - new]]-tblPiNHistorical[[#This Row],[Shelter - old]])/tblPiNHistorical[[#This Row],[Shelter - old]], 1), "")</f>
        <v>-0.1</v>
      </c>
      <c r="AP106" s="38">
        <f>IFERROR(ROUND((tblPiNHistorical[[#This Row],[WASH - new]]-tblPiNHistorical[[#This Row],[WASH - old]])/tblPiNHistorical[[#This Row],[WASH - old]], 1), "")</f>
        <v>-0.9</v>
      </c>
      <c r="AQ106" s="406">
        <v>41706.916047882216</v>
      </c>
      <c r="AR106" s="406">
        <v>38340.073171236669</v>
      </c>
    </row>
    <row r="107" spans="1:44" ht="15" customHeight="1" x14ac:dyDescent="0.55000000000000004">
      <c r="A10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7" s="316" t="s">
        <v>268</v>
      </c>
      <c r="C107" s="218" t="s">
        <v>269</v>
      </c>
      <c r="D107" s="218" t="s">
        <v>288</v>
      </c>
      <c r="E107" s="105" t="s">
        <v>289</v>
      </c>
      <c r="F107" s="100"/>
      <c r="G107" s="34"/>
      <c r="H107" s="335"/>
      <c r="I107" s="97"/>
      <c r="J107" s="97" t="s">
        <v>413</v>
      </c>
      <c r="K107" s="336">
        <v>0</v>
      </c>
      <c r="L107" s="337">
        <v>23630</v>
      </c>
      <c r="M107" s="319">
        <v>40214.093128209708</v>
      </c>
      <c r="N107" s="319">
        <v>73724</v>
      </c>
      <c r="O107" s="319">
        <v>36310.21228609309</v>
      </c>
      <c r="P107" s="319">
        <v>40811.871281423999</v>
      </c>
      <c r="Q107" s="320">
        <v>50548.589751908643</v>
      </c>
      <c r="R107" s="319">
        <v>27437.731313413147</v>
      </c>
      <c r="S107" s="235">
        <f>tblPiNAnalysis[[#This Row],[CCCM]]</f>
        <v>0</v>
      </c>
      <c r="T107" s="236">
        <f>tblPiNAnalysis[[#This Row],[Education]]</f>
        <v>21646.670109666691</v>
      </c>
      <c r="U107" s="219">
        <f>tblPiNAnalysis[[#This Row],[Nutrition]]</f>
        <v>39149.946887182959</v>
      </c>
      <c r="V107" s="219">
        <f>tblPiNAnalysis[[#This Row],[Food Security]]</f>
        <v>56785.48513022079</v>
      </c>
      <c r="W107" s="219">
        <f>tblPiNAnalysis[[#This Row],[Health]]</f>
        <v>43225.538681770711</v>
      </c>
      <c r="X107" s="219">
        <f>tblPiNAnalysis[[#This Row],[Overarching Protection]]</f>
        <v>12858</v>
      </c>
      <c r="Y107" s="219">
        <f>tblPiNAnalysis[[#This Row],[Shelter]]</f>
        <v>73931.577842216517</v>
      </c>
      <c r="Z107" s="230">
        <f>tblPiNAnalysis[[#This Row],[WASH]]</f>
        <v>51691.997515696101</v>
      </c>
      <c r="AA107" s="339" t="str">
        <f>IF(OR(tblPiNHistorical[[#This Row],[CCCM - old]]="", tblPiNHistorical[[#This Row],[CCCM - old]]=0, tblPiNHistorical[[#This Row],[CCCM - new]]="", tblPiNHistorical[[#This Row],[CCCM - new]]=0), "", tblPiNHistorical[[#This Row],[CCCM - new]]-tblPiNHistorical[[#This Row],[CCCM - old]])</f>
        <v/>
      </c>
      <c r="AB107" s="340">
        <f>IF(OR(tblPiNHistorical[[#This Row],[Education - old]]="", tblPiNHistorical[[#This Row],[Education - old]]=0, tblPiNHistorical[[#This Row],[Education - new]]="", tblPiNHistorical[[#This Row],[Education - new]]=0), "", tblPiNHistorical[[#This Row],[Education - new]]-tblPiNHistorical[[#This Row],[Education - old]])</f>
        <v>-1983.3298903333089</v>
      </c>
      <c r="AC107" s="340">
        <f>IF(OR(tblPiNHistorical[[#This Row],[Nutrition - old]]="", tblPiNHistorical[[#This Row],[Nutrition - old]]=0, tblPiNHistorical[[#This Row],[Nutrition - new]]="", tblPiNHistorical[[#This Row],[Nutrition - new]]=0), "", tblPiNHistorical[[#This Row],[Nutrition - new]]-tblPiNHistorical[[#This Row],[Nutrition - old]])</f>
        <v>-1064.1462410267486</v>
      </c>
      <c r="AD107" s="340">
        <f>IF(OR(tblPiNHistorical[[#This Row],[Food Security - old]]="", tblPiNHistorical[[#This Row],[Food Security - old]]=0, tblPiNHistorical[[#This Row],[Food Security - new]]="", tblPiNHistorical[[#This Row],[Food Security - new]]=0), "", tblPiNHistorical[[#This Row],[Food Security - new]]-tblPiNHistorical[[#This Row],[Food Security - old]])</f>
        <v>-16938.51486977921</v>
      </c>
      <c r="AE107" s="340">
        <f>IF(OR(tblPiNHistorical[[#This Row],[Health - old]]="", tblPiNHistorical[[#This Row],[Health - old]]=0, tblPiNHistorical[[#This Row],[Health - new]]="", tblPiNHistorical[[#This Row],[Health - new]]=0), "", tblPiNHistorical[[#This Row],[Health - new]]-tblPiNHistorical[[#This Row],[Health - old]])</f>
        <v>6915.3263956776209</v>
      </c>
      <c r="AF10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-27953.871281423999</v>
      </c>
      <c r="AG107" s="340">
        <f>IF(OR(tblPiNHistorical[[#This Row],[Shelter - old]]="", tblPiNHistorical[[#This Row],[Shelter - old]]=0, tblPiNHistorical[[#This Row],[Shelter - new]]="", tblPiNHistorical[[#This Row],[Shelter - new]]=0), "", tblPiNHistorical[[#This Row],[Shelter - new]]-tblPiNHistorical[[#This Row],[Shelter - old]])</f>
        <v>23382.988090307874</v>
      </c>
      <c r="AH107" s="341">
        <f>IF(OR(tblPiNHistorical[[#This Row],[WASH - old]]="", tblPiNHistorical[[#This Row],[WASH - old]]=0, tblPiNHistorical[[#This Row],[WASH - new]]="", tblPiNHistorical[[#This Row],[WASH - new]]=0), "", tblPiNHistorical[[#This Row],[WASH - new]]-tblPiNHistorical[[#This Row],[WASH - old]])</f>
        <v>24254.266202282954</v>
      </c>
      <c r="AI107" s="342" t="str">
        <f>IFERROR(ROUND((tblPiNHistorical[[#This Row],[CCCM - new]] - tblPiNHistorical[[#This Row],[CCCM - old]])/tblPiNHistorical[[#This Row],[CCCM - old]], 1), "")</f>
        <v/>
      </c>
      <c r="AJ107" s="343">
        <f>IFERROR(ROUND((tblPiNHistorical[[#This Row],[Education - new]]-tblPiNHistorical[[#This Row],[Education - old]])/tblPiNHistorical[[#This Row],[Education - old]], 1), "")</f>
        <v>-0.1</v>
      </c>
      <c r="AK107" s="343">
        <f>IFERROR(ROUND((tblPiNHistorical[[#This Row],[Nutrition - new]]-tblPiNHistorical[[#This Row],[Nutrition - old]])/tblPiNHistorical[[#This Row],[Nutrition - old]], 1), "")</f>
        <v>0</v>
      </c>
      <c r="AL107" s="343">
        <f>IFERROR(ROUND((tblPiNHistorical[[#This Row],[Food Security - new]]-tblPiNHistorical[[#This Row],[Food Security - old]])/tblPiNHistorical[[#This Row],[Food Security - old]], 1), "")</f>
        <v>-0.2</v>
      </c>
      <c r="AM107" s="343">
        <f>IFERROR(ROUND((tblPiNHistorical[[#This Row],[Health - new]]-tblPiNHistorical[[#This Row],[Health - old]])/tblPiNHistorical[[#This Row],[Health - old]], 1), "")</f>
        <v>0.2</v>
      </c>
      <c r="AN107" s="343">
        <f>IFERROR(ROUND((tblPiNHistorical[[#This Row],[Overarching Protection - new]]-tblPiNHistorical[[#This Row],[Overarching Protection - old]])/tblPiNHistorical[[#This Row],[Overarching Protection - old]], 1), "")</f>
        <v>-0.7</v>
      </c>
      <c r="AO107" s="343">
        <f>IFERROR(ROUND((tblPiNHistorical[[#This Row],[Shelter - new]]-tblPiNHistorical[[#This Row],[Shelter - old]])/tblPiNHistorical[[#This Row],[Shelter - old]], 1), "")</f>
        <v>0.5</v>
      </c>
      <c r="AP107" s="38">
        <f>IFERROR(ROUND((tblPiNHistorical[[#This Row],[WASH - new]]-tblPiNHistorical[[#This Row],[WASH - old]])/tblPiNHistorical[[#This Row],[WASH - old]], 1), "")</f>
        <v>0.9</v>
      </c>
      <c r="AQ107" s="406">
        <v>73724</v>
      </c>
      <c r="AR107" s="406">
        <v>73931.577842216517</v>
      </c>
    </row>
    <row r="108" spans="1:44" ht="15" customHeight="1" x14ac:dyDescent="0.55000000000000004">
      <c r="A10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8" s="316" t="s">
        <v>268</v>
      </c>
      <c r="C108" s="218" t="s">
        <v>269</v>
      </c>
      <c r="D108" s="218" t="s">
        <v>290</v>
      </c>
      <c r="E108" s="105" t="s">
        <v>291</v>
      </c>
      <c r="F108" s="100"/>
      <c r="G108" s="34"/>
      <c r="H108" s="335"/>
      <c r="I108" s="97"/>
      <c r="J108" s="97" t="s">
        <v>413</v>
      </c>
      <c r="K108" s="336">
        <v>0</v>
      </c>
      <c r="L108" s="337">
        <v>34960</v>
      </c>
      <c r="M108" s="319">
        <v>85198.912943773204</v>
      </c>
      <c r="N108" s="319">
        <v>125701</v>
      </c>
      <c r="O108" s="319">
        <v>113486.79800092043</v>
      </c>
      <c r="P108" s="319">
        <v>55119.422871125003</v>
      </c>
      <c r="Q108" s="320">
        <v>77102.254284540526</v>
      </c>
      <c r="R108" s="319">
        <v>122019.82470916286</v>
      </c>
      <c r="S108" s="235">
        <f>tblPiNAnalysis[[#This Row],[CCCM]]</f>
        <v>0</v>
      </c>
      <c r="T108" s="236">
        <f>tblPiNAnalysis[[#This Row],[Education]]</f>
        <v>33504.714917142221</v>
      </c>
      <c r="U108" s="219">
        <f>tblPiNAnalysis[[#This Row],[Nutrition]]</f>
        <v>91212.578352857352</v>
      </c>
      <c r="V108" s="219">
        <f>tblPiNAnalysis[[#This Row],[Food Security]]</f>
        <v>111287.51700986865</v>
      </c>
      <c r="W108" s="219">
        <f>tblPiNAnalysis[[#This Row],[Health]]</f>
        <v>65466.945842073503</v>
      </c>
      <c r="X108" s="219">
        <f>tblPiNAnalysis[[#This Row],[Overarching Protection]]</f>
        <v>47365</v>
      </c>
      <c r="Y108" s="219">
        <f>tblPiNAnalysis[[#This Row],[Shelter]]</f>
        <v>29586.063557466245</v>
      </c>
      <c r="Z108" s="230">
        <f>tblPiNAnalysis[[#This Row],[WASH]]</f>
        <v>113792.55214410093</v>
      </c>
      <c r="AA108" s="339" t="str">
        <f>IF(OR(tblPiNHistorical[[#This Row],[CCCM - old]]="", tblPiNHistorical[[#This Row],[CCCM - old]]=0, tblPiNHistorical[[#This Row],[CCCM - new]]="", tblPiNHistorical[[#This Row],[CCCM - new]]=0), "", tblPiNHistorical[[#This Row],[CCCM - new]]-tblPiNHistorical[[#This Row],[CCCM - old]])</f>
        <v/>
      </c>
      <c r="AB108" s="340">
        <f>IF(OR(tblPiNHistorical[[#This Row],[Education - old]]="", tblPiNHistorical[[#This Row],[Education - old]]=0, tblPiNHistorical[[#This Row],[Education - new]]="", tblPiNHistorical[[#This Row],[Education - new]]=0), "", tblPiNHistorical[[#This Row],[Education - new]]-tblPiNHistorical[[#This Row],[Education - old]])</f>
        <v>-1455.2850828577793</v>
      </c>
      <c r="AC108" s="340">
        <f>IF(OR(tblPiNHistorical[[#This Row],[Nutrition - old]]="", tblPiNHistorical[[#This Row],[Nutrition - old]]=0, tblPiNHistorical[[#This Row],[Nutrition - new]]="", tblPiNHistorical[[#This Row],[Nutrition - new]]=0), "", tblPiNHistorical[[#This Row],[Nutrition - new]]-tblPiNHistorical[[#This Row],[Nutrition - old]])</f>
        <v>6013.6654090841475</v>
      </c>
      <c r="AD108" s="340">
        <f>IF(OR(tblPiNHistorical[[#This Row],[Food Security - old]]="", tblPiNHistorical[[#This Row],[Food Security - old]]=0, tblPiNHistorical[[#This Row],[Food Security - new]]="", tblPiNHistorical[[#This Row],[Food Security - new]]=0), "", tblPiNHistorical[[#This Row],[Food Security - new]]-tblPiNHistorical[[#This Row],[Food Security - old]])</f>
        <v>-14413.48299013135</v>
      </c>
      <c r="AE108" s="340">
        <f>IF(OR(tblPiNHistorical[[#This Row],[Health - old]]="", tblPiNHistorical[[#This Row],[Health - old]]=0, tblPiNHistorical[[#This Row],[Health - new]]="", tblPiNHistorical[[#This Row],[Health - new]]=0), "", tblPiNHistorical[[#This Row],[Health - new]]-tblPiNHistorical[[#This Row],[Health - old]])</f>
        <v>-48019.85215884693</v>
      </c>
      <c r="AF10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-7754.4228711250034</v>
      </c>
      <c r="AG108" s="340">
        <f>IF(OR(tblPiNHistorical[[#This Row],[Shelter - old]]="", tblPiNHistorical[[#This Row],[Shelter - old]]=0, tblPiNHistorical[[#This Row],[Shelter - new]]="", tblPiNHistorical[[#This Row],[Shelter - new]]=0), "", tblPiNHistorical[[#This Row],[Shelter - new]]-tblPiNHistorical[[#This Row],[Shelter - old]])</f>
        <v>-47516.190727074281</v>
      </c>
      <c r="AH108" s="341">
        <f>IF(OR(tblPiNHistorical[[#This Row],[WASH - old]]="", tblPiNHistorical[[#This Row],[WASH - old]]=0, tblPiNHistorical[[#This Row],[WASH - new]]="", tblPiNHistorical[[#This Row],[WASH - new]]=0), "", tblPiNHistorical[[#This Row],[WASH - new]]-tblPiNHistorical[[#This Row],[WASH - old]])</f>
        <v>-8227.272565061925</v>
      </c>
      <c r="AI108" s="342" t="str">
        <f>IFERROR(ROUND((tblPiNHistorical[[#This Row],[CCCM - new]] - tblPiNHistorical[[#This Row],[CCCM - old]])/tblPiNHistorical[[#This Row],[CCCM - old]], 1), "")</f>
        <v/>
      </c>
      <c r="AJ108" s="343">
        <f>IFERROR(ROUND((tblPiNHistorical[[#This Row],[Education - new]]-tblPiNHistorical[[#This Row],[Education - old]])/tblPiNHistorical[[#This Row],[Education - old]], 1), "")</f>
        <v>0</v>
      </c>
      <c r="AK108" s="343">
        <f>IFERROR(ROUND((tblPiNHistorical[[#This Row],[Nutrition - new]]-tblPiNHistorical[[#This Row],[Nutrition - old]])/tblPiNHistorical[[#This Row],[Nutrition - old]], 1), "")</f>
        <v>0.1</v>
      </c>
      <c r="AL108" s="343">
        <f>IFERROR(ROUND((tblPiNHistorical[[#This Row],[Food Security - new]]-tblPiNHistorical[[#This Row],[Food Security - old]])/tblPiNHistorical[[#This Row],[Food Security - old]], 1), "")</f>
        <v>-0.1</v>
      </c>
      <c r="AM108" s="343">
        <f>IFERROR(ROUND((tblPiNHistorical[[#This Row],[Health - new]]-tblPiNHistorical[[#This Row],[Health - old]])/tblPiNHistorical[[#This Row],[Health - old]], 1), "")</f>
        <v>-0.4</v>
      </c>
      <c r="AN108" s="343">
        <f>IFERROR(ROUND((tblPiNHistorical[[#This Row],[Overarching Protection - new]]-tblPiNHistorical[[#This Row],[Overarching Protection - old]])/tblPiNHistorical[[#This Row],[Overarching Protection - old]], 1), "")</f>
        <v>-0.1</v>
      </c>
      <c r="AO108" s="343">
        <f>IFERROR(ROUND((tblPiNHistorical[[#This Row],[Shelter - new]]-tblPiNHistorical[[#This Row],[Shelter - old]])/tblPiNHistorical[[#This Row],[Shelter - old]], 1), "")</f>
        <v>-0.6</v>
      </c>
      <c r="AP108" s="38">
        <f>IFERROR(ROUND((tblPiNHistorical[[#This Row],[WASH - new]]-tblPiNHistorical[[#This Row],[WASH - old]])/tblPiNHistorical[[#This Row],[WASH - old]], 1), "")</f>
        <v>-0.1</v>
      </c>
      <c r="AQ108" s="406">
        <v>125701</v>
      </c>
      <c r="AR108" s="406">
        <v>113792.55214410093</v>
      </c>
    </row>
    <row r="109" spans="1:44" ht="15" customHeight="1" x14ac:dyDescent="0.55000000000000004">
      <c r="A10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09" s="316" t="s">
        <v>292</v>
      </c>
      <c r="C109" s="218" t="s">
        <v>293</v>
      </c>
      <c r="D109" s="218" t="s">
        <v>294</v>
      </c>
      <c r="E109" s="105" t="s">
        <v>295</v>
      </c>
      <c r="F109" s="100"/>
      <c r="G109" s="34"/>
      <c r="H109" s="335"/>
      <c r="I109" s="97"/>
      <c r="J109" s="97" t="s">
        <v>413</v>
      </c>
      <c r="K109" s="336">
        <v>0</v>
      </c>
      <c r="L109" s="337">
        <v>30696</v>
      </c>
      <c r="M109" s="319">
        <v>34485.158703146968</v>
      </c>
      <c r="N109" s="319">
        <v>56167</v>
      </c>
      <c r="O109" s="319">
        <v>41684.894373568211</v>
      </c>
      <c r="P109" s="319">
        <v>22822.237144999996</v>
      </c>
      <c r="Q109" s="320">
        <v>14585.729026352485</v>
      </c>
      <c r="R109" s="319">
        <v>43653.88264962309</v>
      </c>
      <c r="S109" s="235">
        <f>tblPiNAnalysis[[#This Row],[CCCM]]</f>
        <v>0</v>
      </c>
      <c r="T109" s="236">
        <f>tblPiNAnalysis[[#This Row],[Education]]</f>
        <v>28316.767999815525</v>
      </c>
      <c r="U109" s="219">
        <f>tblPiNAnalysis[[#This Row],[Nutrition]]</f>
        <v>33140.051502320777</v>
      </c>
      <c r="V109" s="219">
        <f>tblPiNAnalysis[[#This Row],[Food Security]]</f>
        <v>48041.145218213831</v>
      </c>
      <c r="W109" s="219">
        <f>tblPiNAnalysis[[#This Row],[Health]]</f>
        <v>36149.518888864797</v>
      </c>
      <c r="X109" s="219">
        <f>tblPiNAnalysis[[#This Row],[Overarching Protection]]</f>
        <v>12054</v>
      </c>
      <c r="Y109" s="219">
        <f>tblPiNAnalysis[[#This Row],[Shelter]]</f>
        <v>46197.848552653828</v>
      </c>
      <c r="Z109" s="230">
        <f>tblPiNAnalysis[[#This Row],[WASH]]</f>
        <v>55437.418263184583</v>
      </c>
      <c r="AA109" s="339" t="str">
        <f>IF(OR(tblPiNHistorical[[#This Row],[CCCM - old]]="", tblPiNHistorical[[#This Row],[CCCM - old]]=0, tblPiNHistorical[[#This Row],[CCCM - new]]="", tblPiNHistorical[[#This Row],[CCCM - new]]=0), "", tblPiNHistorical[[#This Row],[CCCM - new]]-tblPiNHistorical[[#This Row],[CCCM - old]])</f>
        <v/>
      </c>
      <c r="AB109" s="340">
        <f>IF(OR(tblPiNHistorical[[#This Row],[Education - old]]="", tblPiNHistorical[[#This Row],[Education - old]]=0, tblPiNHistorical[[#This Row],[Education - new]]="", tblPiNHistorical[[#This Row],[Education - new]]=0), "", tblPiNHistorical[[#This Row],[Education - new]]-tblPiNHistorical[[#This Row],[Education - old]])</f>
        <v>-2379.2320001844746</v>
      </c>
      <c r="AC109" s="340">
        <f>IF(OR(tblPiNHistorical[[#This Row],[Nutrition - old]]="", tblPiNHistorical[[#This Row],[Nutrition - old]]=0, tblPiNHistorical[[#This Row],[Nutrition - new]]="", tblPiNHistorical[[#This Row],[Nutrition - new]]=0), "", tblPiNHistorical[[#This Row],[Nutrition - new]]-tblPiNHistorical[[#This Row],[Nutrition - old]])</f>
        <v>-1345.1072008261908</v>
      </c>
      <c r="AD109" s="340">
        <f>IF(OR(tblPiNHistorical[[#This Row],[Food Security - old]]="", tblPiNHistorical[[#This Row],[Food Security - old]]=0, tblPiNHistorical[[#This Row],[Food Security - new]]="", tblPiNHistorical[[#This Row],[Food Security - new]]=0), "", tblPiNHistorical[[#This Row],[Food Security - new]]-tblPiNHistorical[[#This Row],[Food Security - old]])</f>
        <v>-8125.854781786169</v>
      </c>
      <c r="AE109" s="340">
        <f>IF(OR(tblPiNHistorical[[#This Row],[Health - old]]="", tblPiNHistorical[[#This Row],[Health - old]]=0, tblPiNHistorical[[#This Row],[Health - new]]="", tblPiNHistorical[[#This Row],[Health - new]]=0), "", tblPiNHistorical[[#This Row],[Health - new]]-tblPiNHistorical[[#This Row],[Health - old]])</f>
        <v>-5535.3754847034143</v>
      </c>
      <c r="AF10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-10768.237144999996</v>
      </c>
      <c r="AG109" s="340">
        <f>IF(OR(tblPiNHistorical[[#This Row],[Shelter - old]]="", tblPiNHistorical[[#This Row],[Shelter - old]]=0, tblPiNHistorical[[#This Row],[Shelter - new]]="", tblPiNHistorical[[#This Row],[Shelter - new]]=0), "", tblPiNHistorical[[#This Row],[Shelter - new]]-tblPiNHistorical[[#This Row],[Shelter - old]])</f>
        <v>31612.119526301343</v>
      </c>
      <c r="AH109" s="341">
        <f>IF(OR(tblPiNHistorical[[#This Row],[WASH - old]]="", tblPiNHistorical[[#This Row],[WASH - old]]=0, tblPiNHistorical[[#This Row],[WASH - new]]="", tblPiNHistorical[[#This Row],[WASH - new]]=0), "", tblPiNHistorical[[#This Row],[WASH - new]]-tblPiNHistorical[[#This Row],[WASH - old]])</f>
        <v>11783.535613561493</v>
      </c>
      <c r="AI109" s="342" t="str">
        <f>IFERROR(ROUND((tblPiNHistorical[[#This Row],[CCCM - new]] - tblPiNHistorical[[#This Row],[CCCM - old]])/tblPiNHistorical[[#This Row],[CCCM - old]], 1), "")</f>
        <v/>
      </c>
      <c r="AJ109" s="343">
        <f>IFERROR(ROUND((tblPiNHistorical[[#This Row],[Education - new]]-tblPiNHistorical[[#This Row],[Education - old]])/tblPiNHistorical[[#This Row],[Education - old]], 1), "")</f>
        <v>-0.1</v>
      </c>
      <c r="AK109" s="343">
        <f>IFERROR(ROUND((tblPiNHistorical[[#This Row],[Nutrition - new]]-tblPiNHistorical[[#This Row],[Nutrition - old]])/tblPiNHistorical[[#This Row],[Nutrition - old]], 1), "")</f>
        <v>0</v>
      </c>
      <c r="AL109" s="343">
        <f>IFERROR(ROUND((tblPiNHistorical[[#This Row],[Food Security - new]]-tblPiNHistorical[[#This Row],[Food Security - old]])/tblPiNHistorical[[#This Row],[Food Security - old]], 1), "")</f>
        <v>-0.1</v>
      </c>
      <c r="AM109" s="343">
        <f>IFERROR(ROUND((tblPiNHistorical[[#This Row],[Health - new]]-tblPiNHistorical[[#This Row],[Health - old]])/tblPiNHistorical[[#This Row],[Health - old]], 1), "")</f>
        <v>-0.1</v>
      </c>
      <c r="AN109" s="343">
        <f>IFERROR(ROUND((tblPiNHistorical[[#This Row],[Overarching Protection - new]]-tblPiNHistorical[[#This Row],[Overarching Protection - old]])/tblPiNHistorical[[#This Row],[Overarching Protection - old]], 1), "")</f>
        <v>-0.5</v>
      </c>
      <c r="AO109" s="343">
        <f>IFERROR(ROUND((tblPiNHistorical[[#This Row],[Shelter - new]]-tblPiNHistorical[[#This Row],[Shelter - old]])/tblPiNHistorical[[#This Row],[Shelter - old]], 1), "")</f>
        <v>2.2000000000000002</v>
      </c>
      <c r="AP109" s="38">
        <f>IFERROR(ROUND((tblPiNHistorical[[#This Row],[WASH - new]]-tblPiNHistorical[[#This Row],[WASH - old]])/tblPiNHistorical[[#This Row],[WASH - old]], 1), "")</f>
        <v>0.3</v>
      </c>
      <c r="AQ109" s="406">
        <v>56167</v>
      </c>
      <c r="AR109" s="406">
        <v>55437.418263184583</v>
      </c>
    </row>
    <row r="110" spans="1:44" ht="15" customHeight="1" x14ac:dyDescent="0.55000000000000004">
      <c r="A11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0" s="316" t="s">
        <v>292</v>
      </c>
      <c r="C110" s="218" t="s">
        <v>293</v>
      </c>
      <c r="D110" s="218" t="s">
        <v>296</v>
      </c>
      <c r="E110" s="105" t="s">
        <v>297</v>
      </c>
      <c r="F110" s="100"/>
      <c r="G110" s="34"/>
      <c r="H110" s="335"/>
      <c r="I110" s="97"/>
      <c r="J110" s="97" t="s">
        <v>413</v>
      </c>
      <c r="K110" s="336">
        <v>0</v>
      </c>
      <c r="L110" s="337">
        <v>40518</v>
      </c>
      <c r="M110" s="319">
        <v>47734.004949315051</v>
      </c>
      <c r="N110" s="319">
        <v>109453</v>
      </c>
      <c r="O110" s="319">
        <v>92859.748468400052</v>
      </c>
      <c r="P110" s="319">
        <v>52557.960852660719</v>
      </c>
      <c r="Q110" s="320">
        <v>56819.760462794999</v>
      </c>
      <c r="R110" s="319">
        <v>5206.1731844146834</v>
      </c>
      <c r="S110" s="235">
        <f>tblPiNAnalysis[[#This Row],[CCCM]]</f>
        <v>0</v>
      </c>
      <c r="T110" s="236">
        <f>tblPiNAnalysis[[#This Row],[Education]]</f>
        <v>40309.746786227704</v>
      </c>
      <c r="U110" s="219">
        <f>tblPiNAnalysis[[#This Row],[Nutrition]]</f>
        <v>60960.105528764623</v>
      </c>
      <c r="V110" s="219">
        <f>tblPiNAnalysis[[#This Row],[Food Security]]</f>
        <v>74557.836210395471</v>
      </c>
      <c r="W110" s="219">
        <f>tblPiNAnalysis[[#This Row],[Health]]</f>
        <v>60316.192018614078</v>
      </c>
      <c r="X110" s="219">
        <f>tblPiNAnalysis[[#This Row],[Overarching Protection]]</f>
        <v>25325</v>
      </c>
      <c r="Y110" s="219">
        <f>tblPiNAnalysis[[#This Row],[Shelter]]</f>
        <v>45865.886291743263</v>
      </c>
      <c r="Z110" s="230">
        <f>tblPiNAnalysis[[#This Row],[WASH]]</f>
        <v>94596.308691758051</v>
      </c>
      <c r="AA110" s="339" t="str">
        <f>IF(OR(tblPiNHistorical[[#This Row],[CCCM - old]]="", tblPiNHistorical[[#This Row],[CCCM - old]]=0, tblPiNHistorical[[#This Row],[CCCM - new]]="", tblPiNHistorical[[#This Row],[CCCM - new]]=0), "", tblPiNHistorical[[#This Row],[CCCM - new]]-tblPiNHistorical[[#This Row],[CCCM - old]])</f>
        <v/>
      </c>
      <c r="AB110" s="340">
        <f>IF(OR(tblPiNHistorical[[#This Row],[Education - old]]="", tblPiNHistorical[[#This Row],[Education - old]]=0, tblPiNHistorical[[#This Row],[Education - new]]="", tblPiNHistorical[[#This Row],[Education - new]]=0), "", tblPiNHistorical[[#This Row],[Education - new]]-tblPiNHistorical[[#This Row],[Education - old]])</f>
        <v>-208.25321377229557</v>
      </c>
      <c r="AC110" s="340">
        <f>IF(OR(tblPiNHistorical[[#This Row],[Nutrition - old]]="", tblPiNHistorical[[#This Row],[Nutrition - old]]=0, tblPiNHistorical[[#This Row],[Nutrition - new]]="", tblPiNHistorical[[#This Row],[Nutrition - new]]=0), "", tblPiNHistorical[[#This Row],[Nutrition - new]]-tblPiNHistorical[[#This Row],[Nutrition - old]])</f>
        <v>13226.100579449572</v>
      </c>
      <c r="AD110" s="340">
        <f>IF(OR(tblPiNHistorical[[#This Row],[Food Security - old]]="", tblPiNHistorical[[#This Row],[Food Security - old]]=0, tblPiNHistorical[[#This Row],[Food Security - new]]="", tblPiNHistorical[[#This Row],[Food Security - new]]=0), "", tblPiNHistorical[[#This Row],[Food Security - new]]-tblPiNHistorical[[#This Row],[Food Security - old]])</f>
        <v>-34895.163789604529</v>
      </c>
      <c r="AE110" s="340">
        <f>IF(OR(tblPiNHistorical[[#This Row],[Health - old]]="", tblPiNHistorical[[#This Row],[Health - old]]=0, tblPiNHistorical[[#This Row],[Health - new]]="", tblPiNHistorical[[#This Row],[Health - new]]=0), "", tblPiNHistorical[[#This Row],[Health - new]]-tblPiNHistorical[[#This Row],[Health - old]])</f>
        <v>-32543.556449785974</v>
      </c>
      <c r="AF11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-27232.960852660719</v>
      </c>
      <c r="AG110" s="340">
        <f>IF(OR(tblPiNHistorical[[#This Row],[Shelter - old]]="", tblPiNHistorical[[#This Row],[Shelter - old]]=0, tblPiNHistorical[[#This Row],[Shelter - new]]="", tblPiNHistorical[[#This Row],[Shelter - new]]=0), "", tblPiNHistorical[[#This Row],[Shelter - new]]-tblPiNHistorical[[#This Row],[Shelter - old]])</f>
        <v>-10953.874171051735</v>
      </c>
      <c r="AH110" s="341">
        <f>IF(OR(tblPiNHistorical[[#This Row],[WASH - old]]="", tblPiNHistorical[[#This Row],[WASH - old]]=0, tblPiNHistorical[[#This Row],[WASH - new]]="", tblPiNHistorical[[#This Row],[WASH - new]]=0), "", tblPiNHistorical[[#This Row],[WASH - new]]-tblPiNHistorical[[#This Row],[WASH - old]])</f>
        <v>89390.135507343366</v>
      </c>
      <c r="AI110" s="342" t="str">
        <f>IFERROR(ROUND((tblPiNHistorical[[#This Row],[CCCM - new]] - tblPiNHistorical[[#This Row],[CCCM - old]])/tblPiNHistorical[[#This Row],[CCCM - old]], 1), "")</f>
        <v/>
      </c>
      <c r="AJ110" s="343">
        <f>IFERROR(ROUND((tblPiNHistorical[[#This Row],[Education - new]]-tblPiNHistorical[[#This Row],[Education - old]])/tblPiNHistorical[[#This Row],[Education - old]], 1), "")</f>
        <v>0</v>
      </c>
      <c r="AK110" s="343">
        <f>IFERROR(ROUND((tblPiNHistorical[[#This Row],[Nutrition - new]]-tblPiNHistorical[[#This Row],[Nutrition - old]])/tblPiNHistorical[[#This Row],[Nutrition - old]], 1), "")</f>
        <v>0.3</v>
      </c>
      <c r="AL110" s="343">
        <f>IFERROR(ROUND((tblPiNHistorical[[#This Row],[Food Security - new]]-tblPiNHistorical[[#This Row],[Food Security - old]])/tblPiNHistorical[[#This Row],[Food Security - old]], 1), "")</f>
        <v>-0.3</v>
      </c>
      <c r="AM110" s="343">
        <f>IFERROR(ROUND((tblPiNHistorical[[#This Row],[Health - new]]-tblPiNHistorical[[#This Row],[Health - old]])/tblPiNHistorical[[#This Row],[Health - old]], 1), "")</f>
        <v>-0.4</v>
      </c>
      <c r="AN110" s="343">
        <f>IFERROR(ROUND((tblPiNHistorical[[#This Row],[Overarching Protection - new]]-tblPiNHistorical[[#This Row],[Overarching Protection - old]])/tblPiNHistorical[[#This Row],[Overarching Protection - old]], 1), "")</f>
        <v>-0.5</v>
      </c>
      <c r="AO110" s="343">
        <f>IFERROR(ROUND((tblPiNHistorical[[#This Row],[Shelter - new]]-tblPiNHistorical[[#This Row],[Shelter - old]])/tblPiNHistorical[[#This Row],[Shelter - old]], 1), "")</f>
        <v>-0.2</v>
      </c>
      <c r="AP110" s="38">
        <f>IFERROR(ROUND((tblPiNHistorical[[#This Row],[WASH - new]]-tblPiNHistorical[[#This Row],[WASH - old]])/tblPiNHistorical[[#This Row],[WASH - old]], 1), "")</f>
        <v>17.2</v>
      </c>
      <c r="AQ110" s="406">
        <v>109453</v>
      </c>
      <c r="AR110" s="406">
        <v>94596.308691758051</v>
      </c>
    </row>
    <row r="111" spans="1:44" ht="15" customHeight="1" x14ac:dyDescent="0.55000000000000004">
      <c r="A11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1" s="316" t="s">
        <v>292</v>
      </c>
      <c r="C111" s="218" t="s">
        <v>293</v>
      </c>
      <c r="D111" s="218" t="s">
        <v>298</v>
      </c>
      <c r="E111" s="105" t="s">
        <v>299</v>
      </c>
      <c r="F111" s="100"/>
      <c r="G111" s="34"/>
      <c r="H111" s="335"/>
      <c r="I111" s="97"/>
      <c r="J111" s="97" t="s">
        <v>413</v>
      </c>
      <c r="K111" s="336">
        <v>0</v>
      </c>
      <c r="L111" s="337">
        <v>36366</v>
      </c>
      <c r="M111" s="319">
        <v>61167.987402970415</v>
      </c>
      <c r="N111" s="319">
        <v>120607</v>
      </c>
      <c r="O111" s="319">
        <v>74118.521571475416</v>
      </c>
      <c r="P111" s="319">
        <v>47151.226709499999</v>
      </c>
      <c r="Q111" s="320">
        <v>70545.605407152208</v>
      </c>
      <c r="R111" s="319">
        <v>9339.2676872611391</v>
      </c>
      <c r="S111" s="235">
        <f>tblPiNAnalysis[[#This Row],[CCCM]]</f>
        <v>0</v>
      </c>
      <c r="T111" s="236">
        <f>tblPiNAnalysis[[#This Row],[Education]]</f>
        <v>45062.31698161277</v>
      </c>
      <c r="U111" s="219">
        <f>tblPiNAnalysis[[#This Row],[Nutrition]]</f>
        <v>71721.243285350851</v>
      </c>
      <c r="V111" s="219">
        <f>tblPiNAnalysis[[#This Row],[Food Security]]</f>
        <v>122051.75161431311</v>
      </c>
      <c r="W111" s="219">
        <f>tblPiNAnalysis[[#This Row],[Health]]</f>
        <v>85666.530459267466</v>
      </c>
      <c r="X111" s="219">
        <f>tblPiNAnalysis[[#This Row],[Overarching Protection]]</f>
        <v>31928</v>
      </c>
      <c r="Y111" s="219">
        <f>tblPiNAnalysis[[#This Row],[Shelter]]</f>
        <v>125533.7215889519</v>
      </c>
      <c r="Z111" s="230">
        <f>tblPiNAnalysis[[#This Row],[WASH]]</f>
        <v>83081.313701964347</v>
      </c>
      <c r="AA111" s="339" t="str">
        <f>IF(OR(tblPiNHistorical[[#This Row],[CCCM - old]]="", tblPiNHistorical[[#This Row],[CCCM - old]]=0, tblPiNHistorical[[#This Row],[CCCM - new]]="", tblPiNHistorical[[#This Row],[CCCM - new]]=0), "", tblPiNHistorical[[#This Row],[CCCM - new]]-tblPiNHistorical[[#This Row],[CCCM - old]])</f>
        <v/>
      </c>
      <c r="AB111" s="340">
        <f>IF(OR(tblPiNHistorical[[#This Row],[Education - old]]="", tblPiNHistorical[[#This Row],[Education - old]]=0, tblPiNHistorical[[#This Row],[Education - new]]="", tblPiNHistorical[[#This Row],[Education - new]]=0), "", tblPiNHistorical[[#This Row],[Education - new]]-tblPiNHistorical[[#This Row],[Education - old]])</f>
        <v>8696.3169816127702</v>
      </c>
      <c r="AC111" s="340">
        <f>IF(OR(tblPiNHistorical[[#This Row],[Nutrition - old]]="", tblPiNHistorical[[#This Row],[Nutrition - old]]=0, tblPiNHistorical[[#This Row],[Nutrition - new]]="", tblPiNHistorical[[#This Row],[Nutrition - new]]=0), "", tblPiNHistorical[[#This Row],[Nutrition - new]]-tblPiNHistorical[[#This Row],[Nutrition - old]])</f>
        <v>10553.255882380436</v>
      </c>
      <c r="AD111" s="340">
        <f>IF(OR(tblPiNHistorical[[#This Row],[Food Security - old]]="", tblPiNHistorical[[#This Row],[Food Security - old]]=0, tblPiNHistorical[[#This Row],[Food Security - new]]="", tblPiNHistorical[[#This Row],[Food Security - new]]=0), "", tblPiNHistorical[[#This Row],[Food Security - new]]-tblPiNHistorical[[#This Row],[Food Security - old]])</f>
        <v>1444.751614313107</v>
      </c>
      <c r="AE111" s="340">
        <f>IF(OR(tblPiNHistorical[[#This Row],[Health - old]]="", tblPiNHistorical[[#This Row],[Health - old]]=0, tblPiNHistorical[[#This Row],[Health - new]]="", tblPiNHistorical[[#This Row],[Health - new]]=0), "", tblPiNHistorical[[#This Row],[Health - new]]-tblPiNHistorical[[#This Row],[Health - old]])</f>
        <v>11548.00888779205</v>
      </c>
      <c r="AF11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-15223.226709499999</v>
      </c>
      <c r="AG111" s="340">
        <f>IF(OR(tblPiNHistorical[[#This Row],[Shelter - old]]="", tblPiNHistorical[[#This Row],[Shelter - old]]=0, tblPiNHistorical[[#This Row],[Shelter - new]]="", tblPiNHistorical[[#This Row],[Shelter - new]]=0), "", tblPiNHistorical[[#This Row],[Shelter - new]]-tblPiNHistorical[[#This Row],[Shelter - old]])</f>
        <v>54988.116181799691</v>
      </c>
      <c r="AH111" s="341">
        <f>IF(OR(tblPiNHistorical[[#This Row],[WASH - old]]="", tblPiNHistorical[[#This Row],[WASH - old]]=0, tblPiNHistorical[[#This Row],[WASH - new]]="", tblPiNHistorical[[#This Row],[WASH - new]]=0), "", tblPiNHistorical[[#This Row],[WASH - new]]-tblPiNHistorical[[#This Row],[WASH - old]])</f>
        <v>73742.046014703214</v>
      </c>
      <c r="AI111" s="342" t="str">
        <f>IFERROR(ROUND((tblPiNHistorical[[#This Row],[CCCM - new]] - tblPiNHistorical[[#This Row],[CCCM - old]])/tblPiNHistorical[[#This Row],[CCCM - old]], 1), "")</f>
        <v/>
      </c>
      <c r="AJ111" s="343">
        <f>IFERROR(ROUND((tblPiNHistorical[[#This Row],[Education - new]]-tblPiNHistorical[[#This Row],[Education - old]])/tblPiNHistorical[[#This Row],[Education - old]], 1), "")</f>
        <v>0.2</v>
      </c>
      <c r="AK111" s="343">
        <f>IFERROR(ROUND((tblPiNHistorical[[#This Row],[Nutrition - new]]-tblPiNHistorical[[#This Row],[Nutrition - old]])/tblPiNHistorical[[#This Row],[Nutrition - old]], 1), "")</f>
        <v>0.2</v>
      </c>
      <c r="AL111" s="343">
        <f>IFERROR(ROUND((tblPiNHistorical[[#This Row],[Food Security - new]]-tblPiNHistorical[[#This Row],[Food Security - old]])/tblPiNHistorical[[#This Row],[Food Security - old]], 1), "")</f>
        <v>0</v>
      </c>
      <c r="AM111" s="343">
        <f>IFERROR(ROUND((tblPiNHistorical[[#This Row],[Health - new]]-tblPiNHistorical[[#This Row],[Health - old]])/tblPiNHistorical[[#This Row],[Health - old]], 1), "")</f>
        <v>0.2</v>
      </c>
      <c r="AN111" s="343">
        <f>IFERROR(ROUND((tblPiNHistorical[[#This Row],[Overarching Protection - new]]-tblPiNHistorical[[#This Row],[Overarching Protection - old]])/tblPiNHistorical[[#This Row],[Overarching Protection - old]], 1), "")</f>
        <v>-0.3</v>
      </c>
      <c r="AO111" s="343">
        <f>IFERROR(ROUND((tblPiNHistorical[[#This Row],[Shelter - new]]-tblPiNHistorical[[#This Row],[Shelter - old]])/tblPiNHistorical[[#This Row],[Shelter - old]], 1), "")</f>
        <v>0.8</v>
      </c>
      <c r="AP111" s="38">
        <f>IFERROR(ROUND((tblPiNHistorical[[#This Row],[WASH - new]]-tblPiNHistorical[[#This Row],[WASH - old]])/tblPiNHistorical[[#This Row],[WASH - old]], 1), "")</f>
        <v>7.9</v>
      </c>
      <c r="AQ111" s="406">
        <v>120607</v>
      </c>
      <c r="AR111" s="406">
        <v>125533.7215889519</v>
      </c>
    </row>
    <row r="112" spans="1:44" ht="15" customHeight="1" x14ac:dyDescent="0.55000000000000004">
      <c r="A11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2" s="316" t="s">
        <v>292</v>
      </c>
      <c r="C112" s="218" t="s">
        <v>293</v>
      </c>
      <c r="D112" s="218" t="s">
        <v>300</v>
      </c>
      <c r="E112" s="105" t="s">
        <v>301</v>
      </c>
      <c r="F112" s="100"/>
      <c r="G112" s="34"/>
      <c r="H112" s="335"/>
      <c r="I112" s="97"/>
      <c r="J112" s="97" t="s">
        <v>413</v>
      </c>
      <c r="K112" s="336">
        <v>0</v>
      </c>
      <c r="L112" s="337">
        <v>21489</v>
      </c>
      <c r="M112" s="319">
        <v>36398.746622002269</v>
      </c>
      <c r="N112" s="319">
        <v>111436</v>
      </c>
      <c r="O112" s="319">
        <v>123110.6381897166</v>
      </c>
      <c r="P112" s="319">
        <v>46696.40669164656</v>
      </c>
      <c r="Q112" s="320">
        <v>72529.629957663987</v>
      </c>
      <c r="R112" s="319">
        <v>24932.303834555521</v>
      </c>
      <c r="S112" s="235">
        <f>tblPiNAnalysis[[#This Row],[CCCM]]</f>
        <v>0</v>
      </c>
      <c r="T112" s="236">
        <f>tblPiNAnalysis[[#This Row],[Education]]</f>
        <v>18835.626620839445</v>
      </c>
      <c r="U112" s="219">
        <f>tblPiNAnalysis[[#This Row],[Nutrition]]</f>
        <v>56307.380382966548</v>
      </c>
      <c r="V112" s="219">
        <f>tblPiNAnalysis[[#This Row],[Food Security]]</f>
        <v>101074.03044545196</v>
      </c>
      <c r="W112" s="219">
        <f>tblPiNAnalysis[[#This Row],[Health]]</f>
        <v>47796.308772506978</v>
      </c>
      <c r="X112" s="219">
        <f>tblPiNAnalysis[[#This Row],[Overarching Protection]]</f>
        <v>21803</v>
      </c>
      <c r="Y112" s="219">
        <f>tblPiNAnalysis[[#This Row],[Shelter]]</f>
        <v>112657.3377079191</v>
      </c>
      <c r="Z112" s="230">
        <f>tblPiNAnalysis[[#This Row],[WASH]]</f>
        <v>70661.663473287685</v>
      </c>
      <c r="AA112" s="339" t="str">
        <f>IF(OR(tblPiNHistorical[[#This Row],[CCCM - old]]="", tblPiNHistorical[[#This Row],[CCCM - old]]=0, tblPiNHistorical[[#This Row],[CCCM - new]]="", tblPiNHistorical[[#This Row],[CCCM - new]]=0), "", tblPiNHistorical[[#This Row],[CCCM - new]]-tblPiNHistorical[[#This Row],[CCCM - old]])</f>
        <v/>
      </c>
      <c r="AB112" s="340">
        <f>IF(OR(tblPiNHistorical[[#This Row],[Education - old]]="", tblPiNHistorical[[#This Row],[Education - old]]=0, tblPiNHistorical[[#This Row],[Education - new]]="", tblPiNHistorical[[#This Row],[Education - new]]=0), "", tblPiNHistorical[[#This Row],[Education - new]]-tblPiNHistorical[[#This Row],[Education - old]])</f>
        <v>-2653.3733791605555</v>
      </c>
      <c r="AC112" s="340">
        <f>IF(OR(tblPiNHistorical[[#This Row],[Nutrition - old]]="", tblPiNHistorical[[#This Row],[Nutrition - old]]=0, tblPiNHistorical[[#This Row],[Nutrition - new]]="", tblPiNHistorical[[#This Row],[Nutrition - new]]=0), "", tblPiNHistorical[[#This Row],[Nutrition - new]]-tblPiNHistorical[[#This Row],[Nutrition - old]])</f>
        <v>19908.63376096428</v>
      </c>
      <c r="AD112" s="340">
        <f>IF(OR(tblPiNHistorical[[#This Row],[Food Security - old]]="", tblPiNHistorical[[#This Row],[Food Security - old]]=0, tblPiNHistorical[[#This Row],[Food Security - new]]="", tblPiNHistorical[[#This Row],[Food Security - new]]=0), "", tblPiNHistorical[[#This Row],[Food Security - new]]-tblPiNHistorical[[#This Row],[Food Security - old]])</f>
        <v>-10361.969554548035</v>
      </c>
      <c r="AE112" s="340">
        <f>IF(OR(tblPiNHistorical[[#This Row],[Health - old]]="", tblPiNHistorical[[#This Row],[Health - old]]=0, tblPiNHistorical[[#This Row],[Health - new]]="", tblPiNHistorical[[#This Row],[Health - new]]=0), "", tblPiNHistorical[[#This Row],[Health - new]]-tblPiNHistorical[[#This Row],[Health - old]])</f>
        <v>-75314.329417209621</v>
      </c>
      <c r="AF11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-24893.40669164656</v>
      </c>
      <c r="AG112" s="340">
        <f>IF(OR(tblPiNHistorical[[#This Row],[Shelter - old]]="", tblPiNHistorical[[#This Row],[Shelter - old]]=0, tblPiNHistorical[[#This Row],[Shelter - new]]="", tblPiNHistorical[[#This Row],[Shelter - new]]=0), "", tblPiNHistorical[[#This Row],[Shelter - new]]-tblPiNHistorical[[#This Row],[Shelter - old]])</f>
        <v>40127.707750255111</v>
      </c>
      <c r="AH112" s="341">
        <f>IF(OR(tblPiNHistorical[[#This Row],[WASH - old]]="", tblPiNHistorical[[#This Row],[WASH - old]]=0, tblPiNHistorical[[#This Row],[WASH - new]]="", tblPiNHistorical[[#This Row],[WASH - new]]=0), "", tblPiNHistorical[[#This Row],[WASH - new]]-tblPiNHistorical[[#This Row],[WASH - old]])</f>
        <v>45729.35963873216</v>
      </c>
      <c r="AI112" s="342" t="str">
        <f>IFERROR(ROUND((tblPiNHistorical[[#This Row],[CCCM - new]] - tblPiNHistorical[[#This Row],[CCCM - old]])/tblPiNHistorical[[#This Row],[CCCM - old]], 1), "")</f>
        <v/>
      </c>
      <c r="AJ112" s="343">
        <f>IFERROR(ROUND((tblPiNHistorical[[#This Row],[Education - new]]-tblPiNHistorical[[#This Row],[Education - old]])/tblPiNHistorical[[#This Row],[Education - old]], 1), "")</f>
        <v>-0.1</v>
      </c>
      <c r="AK112" s="343">
        <f>IFERROR(ROUND((tblPiNHistorical[[#This Row],[Nutrition - new]]-tblPiNHistorical[[#This Row],[Nutrition - old]])/tblPiNHistorical[[#This Row],[Nutrition - old]], 1), "")</f>
        <v>0.5</v>
      </c>
      <c r="AL112" s="343">
        <f>IFERROR(ROUND((tblPiNHistorical[[#This Row],[Food Security - new]]-tblPiNHistorical[[#This Row],[Food Security - old]])/tblPiNHistorical[[#This Row],[Food Security - old]], 1), "")</f>
        <v>-0.1</v>
      </c>
      <c r="AM112" s="343">
        <f>IFERROR(ROUND((tblPiNHistorical[[#This Row],[Health - new]]-tblPiNHistorical[[#This Row],[Health - old]])/tblPiNHistorical[[#This Row],[Health - old]], 1), "")</f>
        <v>-0.6</v>
      </c>
      <c r="AN112" s="343">
        <f>IFERROR(ROUND((tblPiNHistorical[[#This Row],[Overarching Protection - new]]-tblPiNHistorical[[#This Row],[Overarching Protection - old]])/tblPiNHistorical[[#This Row],[Overarching Protection - old]], 1), "")</f>
        <v>-0.5</v>
      </c>
      <c r="AO112" s="343">
        <f>IFERROR(ROUND((tblPiNHistorical[[#This Row],[Shelter - new]]-tblPiNHistorical[[#This Row],[Shelter - old]])/tblPiNHistorical[[#This Row],[Shelter - old]], 1), "")</f>
        <v>0.6</v>
      </c>
      <c r="AP112" s="38">
        <f>IFERROR(ROUND((tblPiNHistorical[[#This Row],[WASH - new]]-tblPiNHistorical[[#This Row],[WASH - old]])/tblPiNHistorical[[#This Row],[WASH - old]], 1), "")</f>
        <v>1.8</v>
      </c>
      <c r="AQ112" s="406">
        <v>123110.6381897166</v>
      </c>
      <c r="AR112" s="406">
        <v>112657.3377079191</v>
      </c>
    </row>
    <row r="113" spans="1:44" ht="15" customHeight="1" x14ac:dyDescent="0.55000000000000004">
      <c r="A11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3" s="316" t="s">
        <v>292</v>
      </c>
      <c r="C113" s="218" t="s">
        <v>293</v>
      </c>
      <c r="D113" s="218" t="s">
        <v>302</v>
      </c>
      <c r="E113" s="105" t="s">
        <v>303</v>
      </c>
      <c r="F113" s="100"/>
      <c r="G113" s="34"/>
      <c r="H113" s="335"/>
      <c r="I113" s="97"/>
      <c r="J113" s="97" t="s">
        <v>413</v>
      </c>
      <c r="K113" s="336">
        <v>0</v>
      </c>
      <c r="L113" s="337">
        <v>14029</v>
      </c>
      <c r="M113" s="319">
        <v>11095.592591951437</v>
      </c>
      <c r="N113" s="319">
        <v>34050</v>
      </c>
      <c r="O113" s="319">
        <v>19067.77170339958</v>
      </c>
      <c r="P113" s="319">
        <v>13272.500578625</v>
      </c>
      <c r="Q113" s="320">
        <v>11280.751397541684</v>
      </c>
      <c r="R113" s="319">
        <v>18354.200329407635</v>
      </c>
      <c r="S113" s="235">
        <f>tblPiNAnalysis[[#This Row],[CCCM]]</f>
        <v>0</v>
      </c>
      <c r="T113" s="236">
        <f>tblPiNAnalysis[[#This Row],[Education]]</f>
        <v>10486.134448612065</v>
      </c>
      <c r="U113" s="219">
        <f>tblPiNAnalysis[[#This Row],[Nutrition]]</f>
        <v>16182.957998996868</v>
      </c>
      <c r="V113" s="219">
        <f>tblPiNAnalysis[[#This Row],[Food Security]]</f>
        <v>27348.681271690366</v>
      </c>
      <c r="W113" s="219">
        <f>tblPiNAnalysis[[#This Row],[Health]]</f>
        <v>20586.504692959457</v>
      </c>
      <c r="X113" s="219">
        <f>tblPiNAnalysis[[#This Row],[Overarching Protection]]</f>
        <v>6436</v>
      </c>
      <c r="Y113" s="219">
        <f>tblPiNAnalysis[[#This Row],[Shelter]]</f>
        <v>15131.824808451458</v>
      </c>
      <c r="Z113" s="230">
        <f>tblPiNAnalysis[[#This Row],[WASH]]</f>
        <v>7141.064276389875</v>
      </c>
      <c r="AA113" s="339" t="str">
        <f>IF(OR(tblPiNHistorical[[#This Row],[CCCM - old]]="", tblPiNHistorical[[#This Row],[CCCM - old]]=0, tblPiNHistorical[[#This Row],[CCCM - new]]="", tblPiNHistorical[[#This Row],[CCCM - new]]=0), "", tblPiNHistorical[[#This Row],[CCCM - new]]-tblPiNHistorical[[#This Row],[CCCM - old]])</f>
        <v/>
      </c>
      <c r="AB113" s="340">
        <f>IF(OR(tblPiNHistorical[[#This Row],[Education - old]]="", tblPiNHistorical[[#This Row],[Education - old]]=0, tblPiNHistorical[[#This Row],[Education - new]]="", tblPiNHistorical[[#This Row],[Education - new]]=0), "", tblPiNHistorical[[#This Row],[Education - new]]-tblPiNHistorical[[#This Row],[Education - old]])</f>
        <v>-3542.8655513879348</v>
      </c>
      <c r="AC113" s="340">
        <f>IF(OR(tblPiNHistorical[[#This Row],[Nutrition - old]]="", tblPiNHistorical[[#This Row],[Nutrition - old]]=0, tblPiNHistorical[[#This Row],[Nutrition - new]]="", tblPiNHistorical[[#This Row],[Nutrition - new]]=0), "", tblPiNHistorical[[#This Row],[Nutrition - new]]-tblPiNHistorical[[#This Row],[Nutrition - old]])</f>
        <v>5087.3654070454304</v>
      </c>
      <c r="AD113" s="340">
        <f>IF(OR(tblPiNHistorical[[#This Row],[Food Security - old]]="", tblPiNHistorical[[#This Row],[Food Security - old]]=0, tblPiNHistorical[[#This Row],[Food Security - new]]="", tblPiNHistorical[[#This Row],[Food Security - new]]=0), "", tblPiNHistorical[[#This Row],[Food Security - new]]-tblPiNHistorical[[#This Row],[Food Security - old]])</f>
        <v>-6701.318728309634</v>
      </c>
      <c r="AE113" s="340">
        <f>IF(OR(tblPiNHistorical[[#This Row],[Health - old]]="", tblPiNHistorical[[#This Row],[Health - old]]=0, tblPiNHistorical[[#This Row],[Health - new]]="", tblPiNHistorical[[#This Row],[Health - new]]=0), "", tblPiNHistorical[[#This Row],[Health - new]]-tblPiNHistorical[[#This Row],[Health - old]])</f>
        <v>1518.7329895598778</v>
      </c>
      <c r="AF11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-6836.5005786250003</v>
      </c>
      <c r="AG113" s="340">
        <f>IF(OR(tblPiNHistorical[[#This Row],[Shelter - old]]="", tblPiNHistorical[[#This Row],[Shelter - old]]=0, tblPiNHistorical[[#This Row],[Shelter - new]]="", tblPiNHistorical[[#This Row],[Shelter - new]]=0), "", tblPiNHistorical[[#This Row],[Shelter - new]]-tblPiNHistorical[[#This Row],[Shelter - old]])</f>
        <v>3851.0734109097739</v>
      </c>
      <c r="AH113" s="341">
        <f>IF(OR(tblPiNHistorical[[#This Row],[WASH - old]]="", tblPiNHistorical[[#This Row],[WASH - old]]=0, tblPiNHistorical[[#This Row],[WASH - new]]="", tblPiNHistorical[[#This Row],[WASH - new]]=0), "", tblPiNHistorical[[#This Row],[WASH - new]]-tblPiNHistorical[[#This Row],[WASH - old]])</f>
        <v>-11213.136053017759</v>
      </c>
      <c r="AI113" s="342" t="str">
        <f>IFERROR(ROUND((tblPiNHistorical[[#This Row],[CCCM - new]] - tblPiNHistorical[[#This Row],[CCCM - old]])/tblPiNHistorical[[#This Row],[CCCM - old]], 1), "")</f>
        <v/>
      </c>
      <c r="AJ113" s="343">
        <f>IFERROR(ROUND((tblPiNHistorical[[#This Row],[Education - new]]-tblPiNHistorical[[#This Row],[Education - old]])/tblPiNHistorical[[#This Row],[Education - old]], 1), "")</f>
        <v>-0.3</v>
      </c>
      <c r="AK113" s="343">
        <f>IFERROR(ROUND((tblPiNHistorical[[#This Row],[Nutrition - new]]-tblPiNHistorical[[#This Row],[Nutrition - old]])/tblPiNHistorical[[#This Row],[Nutrition - old]], 1), "")</f>
        <v>0.5</v>
      </c>
      <c r="AL113" s="343">
        <f>IFERROR(ROUND((tblPiNHistorical[[#This Row],[Food Security - new]]-tblPiNHistorical[[#This Row],[Food Security - old]])/tblPiNHistorical[[#This Row],[Food Security - old]], 1), "")</f>
        <v>-0.2</v>
      </c>
      <c r="AM113" s="343">
        <f>IFERROR(ROUND((tblPiNHistorical[[#This Row],[Health - new]]-tblPiNHistorical[[#This Row],[Health - old]])/tblPiNHistorical[[#This Row],[Health - old]], 1), "")</f>
        <v>0.1</v>
      </c>
      <c r="AN113" s="343">
        <f>IFERROR(ROUND((tblPiNHistorical[[#This Row],[Overarching Protection - new]]-tblPiNHistorical[[#This Row],[Overarching Protection - old]])/tblPiNHistorical[[#This Row],[Overarching Protection - old]], 1), "")</f>
        <v>-0.5</v>
      </c>
      <c r="AO113" s="343">
        <f>IFERROR(ROUND((tblPiNHistorical[[#This Row],[Shelter - new]]-tblPiNHistorical[[#This Row],[Shelter - old]])/tblPiNHistorical[[#This Row],[Shelter - old]], 1), "")</f>
        <v>0.3</v>
      </c>
      <c r="AP113" s="38">
        <f>IFERROR(ROUND((tblPiNHistorical[[#This Row],[WASH - new]]-tblPiNHistorical[[#This Row],[WASH - old]])/tblPiNHistorical[[#This Row],[WASH - old]], 1), "")</f>
        <v>-0.6</v>
      </c>
      <c r="AQ113" s="406">
        <v>34050</v>
      </c>
      <c r="AR113" s="406">
        <v>27348.681271690366</v>
      </c>
    </row>
    <row r="114" spans="1:44" ht="15" customHeight="1" x14ac:dyDescent="0.55000000000000004">
      <c r="A11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4" s="316" t="s">
        <v>292</v>
      </c>
      <c r="C114" s="218" t="s">
        <v>293</v>
      </c>
      <c r="D114" s="218" t="s">
        <v>304</v>
      </c>
      <c r="E114" s="105" t="s">
        <v>305</v>
      </c>
      <c r="F114" s="100"/>
      <c r="G114" s="34"/>
      <c r="H114" s="335"/>
      <c r="I114" s="97"/>
      <c r="J114" s="97" t="s">
        <v>413</v>
      </c>
      <c r="K114" s="336">
        <v>0</v>
      </c>
      <c r="L114" s="337">
        <v>6460</v>
      </c>
      <c r="M114" s="319">
        <v>28153.421636215942</v>
      </c>
      <c r="N114" s="319">
        <v>31709</v>
      </c>
      <c r="O114" s="319">
        <v>46334.37526053976</v>
      </c>
      <c r="P114" s="319">
        <v>14590.221050625003</v>
      </c>
      <c r="Q114" s="320">
        <v>7699.1865045466193</v>
      </c>
      <c r="R114" s="319">
        <v>42990.736614424452</v>
      </c>
      <c r="S114" s="235">
        <f>tblPiNAnalysis[[#This Row],[CCCM]]</f>
        <v>0</v>
      </c>
      <c r="T114" s="236">
        <f>tblPiNAnalysis[[#This Row],[Education]]</f>
        <v>9636.1871630350524</v>
      </c>
      <c r="U114" s="219">
        <f>tblPiNAnalysis[[#This Row],[Nutrition]]</f>
        <v>29012.825895570022</v>
      </c>
      <c r="V114" s="219">
        <f>tblPiNAnalysis[[#This Row],[Food Security]]</f>
        <v>15777.743487865606</v>
      </c>
      <c r="W114" s="219">
        <f>tblPiNAnalysis[[#This Row],[Health]]</f>
        <v>30888.444202554321</v>
      </c>
      <c r="X114" s="219">
        <f>tblPiNAnalysis[[#This Row],[Overarching Protection]]</f>
        <v>10952</v>
      </c>
      <c r="Y114" s="219">
        <f>tblPiNAnalysis[[#This Row],[Shelter]]</f>
        <v>8783.9552738578313</v>
      </c>
      <c r="Z114" s="230">
        <f>tblPiNAnalysis[[#This Row],[WASH]]</f>
        <v>34856.965372451705</v>
      </c>
      <c r="AA114" s="339" t="str">
        <f>IF(OR(tblPiNHistorical[[#This Row],[CCCM - old]]="", tblPiNHistorical[[#This Row],[CCCM - old]]=0, tblPiNHistorical[[#This Row],[CCCM - new]]="", tblPiNHistorical[[#This Row],[CCCM - new]]=0), "", tblPiNHistorical[[#This Row],[CCCM - new]]-tblPiNHistorical[[#This Row],[CCCM - old]])</f>
        <v/>
      </c>
      <c r="AB114" s="340">
        <f>IF(OR(tblPiNHistorical[[#This Row],[Education - old]]="", tblPiNHistorical[[#This Row],[Education - old]]=0, tblPiNHistorical[[#This Row],[Education - new]]="", tblPiNHistorical[[#This Row],[Education - new]]=0), "", tblPiNHistorical[[#This Row],[Education - new]]-tblPiNHistorical[[#This Row],[Education - old]])</f>
        <v>3176.1871630350524</v>
      </c>
      <c r="AC114" s="340">
        <f>IF(OR(tblPiNHistorical[[#This Row],[Nutrition - old]]="", tblPiNHistorical[[#This Row],[Nutrition - old]]=0, tblPiNHistorical[[#This Row],[Nutrition - new]]="", tblPiNHistorical[[#This Row],[Nutrition - new]]=0), "", tblPiNHistorical[[#This Row],[Nutrition - new]]-tblPiNHistorical[[#This Row],[Nutrition - old]])</f>
        <v>859.40425935407984</v>
      </c>
      <c r="AD114" s="340">
        <f>IF(OR(tblPiNHistorical[[#This Row],[Food Security - old]]="", tblPiNHistorical[[#This Row],[Food Security - old]]=0, tblPiNHistorical[[#This Row],[Food Security - new]]="", tblPiNHistorical[[#This Row],[Food Security - new]]=0), "", tblPiNHistorical[[#This Row],[Food Security - new]]-tblPiNHistorical[[#This Row],[Food Security - old]])</f>
        <v>-15931.256512134394</v>
      </c>
      <c r="AE114" s="340">
        <f>IF(OR(tblPiNHistorical[[#This Row],[Health - old]]="", tblPiNHistorical[[#This Row],[Health - old]]=0, tblPiNHistorical[[#This Row],[Health - new]]="", tblPiNHistorical[[#This Row],[Health - new]]=0), "", tblPiNHistorical[[#This Row],[Health - new]]-tblPiNHistorical[[#This Row],[Health - old]])</f>
        <v>-15445.931057985439</v>
      </c>
      <c r="AF11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-3638.221050625003</v>
      </c>
      <c r="AG114" s="340">
        <f>IF(OR(tblPiNHistorical[[#This Row],[Shelter - old]]="", tblPiNHistorical[[#This Row],[Shelter - old]]=0, tblPiNHistorical[[#This Row],[Shelter - new]]="", tblPiNHistorical[[#This Row],[Shelter - new]]=0), "", tblPiNHistorical[[#This Row],[Shelter - new]]-tblPiNHistorical[[#This Row],[Shelter - old]])</f>
        <v>1084.7687693112121</v>
      </c>
      <c r="AH114" s="341">
        <f>IF(OR(tblPiNHistorical[[#This Row],[WASH - old]]="", tblPiNHistorical[[#This Row],[WASH - old]]=0, tblPiNHistorical[[#This Row],[WASH - new]]="", tblPiNHistorical[[#This Row],[WASH - new]]=0), "", tblPiNHistorical[[#This Row],[WASH - new]]-tblPiNHistorical[[#This Row],[WASH - old]])</f>
        <v>-8133.7712419727468</v>
      </c>
      <c r="AI114" s="342" t="str">
        <f>IFERROR(ROUND((tblPiNHistorical[[#This Row],[CCCM - new]] - tblPiNHistorical[[#This Row],[CCCM - old]])/tblPiNHistorical[[#This Row],[CCCM - old]], 1), "")</f>
        <v/>
      </c>
      <c r="AJ114" s="343">
        <f>IFERROR(ROUND((tblPiNHistorical[[#This Row],[Education - new]]-tblPiNHistorical[[#This Row],[Education - old]])/tblPiNHistorical[[#This Row],[Education - old]], 1), "")</f>
        <v>0.5</v>
      </c>
      <c r="AK114" s="343">
        <f>IFERROR(ROUND((tblPiNHistorical[[#This Row],[Nutrition - new]]-tblPiNHistorical[[#This Row],[Nutrition - old]])/tblPiNHistorical[[#This Row],[Nutrition - old]], 1), "")</f>
        <v>0</v>
      </c>
      <c r="AL114" s="343">
        <f>IFERROR(ROUND((tblPiNHistorical[[#This Row],[Food Security - new]]-tblPiNHistorical[[#This Row],[Food Security - old]])/tblPiNHistorical[[#This Row],[Food Security - old]], 1), "")</f>
        <v>-0.5</v>
      </c>
      <c r="AM114" s="343">
        <f>IFERROR(ROUND((tblPiNHistorical[[#This Row],[Health - new]]-tblPiNHistorical[[#This Row],[Health - old]])/tblPiNHistorical[[#This Row],[Health - old]], 1), "")</f>
        <v>-0.3</v>
      </c>
      <c r="AN114" s="343">
        <f>IFERROR(ROUND((tblPiNHistorical[[#This Row],[Overarching Protection - new]]-tblPiNHistorical[[#This Row],[Overarching Protection - old]])/tblPiNHistorical[[#This Row],[Overarching Protection - old]], 1), "")</f>
        <v>-0.2</v>
      </c>
      <c r="AO114" s="343">
        <f>IFERROR(ROUND((tblPiNHistorical[[#This Row],[Shelter - new]]-tblPiNHistorical[[#This Row],[Shelter - old]])/tblPiNHistorical[[#This Row],[Shelter - old]], 1), "")</f>
        <v>0.1</v>
      </c>
      <c r="AP114" s="38">
        <f>IFERROR(ROUND((tblPiNHistorical[[#This Row],[WASH - new]]-tblPiNHistorical[[#This Row],[WASH - old]])/tblPiNHistorical[[#This Row],[WASH - old]], 1), "")</f>
        <v>-0.2</v>
      </c>
      <c r="AQ114" s="406">
        <v>46334.37526053976</v>
      </c>
      <c r="AR114" s="406">
        <v>34856.965372451705</v>
      </c>
    </row>
    <row r="115" spans="1:44" ht="15" customHeight="1" x14ac:dyDescent="0.55000000000000004">
      <c r="A11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5" s="316" t="s">
        <v>292</v>
      </c>
      <c r="C115" s="218" t="s">
        <v>293</v>
      </c>
      <c r="D115" s="218" t="s">
        <v>306</v>
      </c>
      <c r="E115" s="105" t="s">
        <v>307</v>
      </c>
      <c r="F115" s="100"/>
      <c r="G115" s="34"/>
      <c r="H115" s="335"/>
      <c r="I115" s="97"/>
      <c r="J115" s="97" t="s">
        <v>413</v>
      </c>
      <c r="K115" s="336">
        <v>0</v>
      </c>
      <c r="L115" s="337">
        <v>24635</v>
      </c>
      <c r="M115" s="319">
        <v>27194.462967530191</v>
      </c>
      <c r="N115" s="319">
        <v>69173</v>
      </c>
      <c r="O115" s="319">
        <v>49552.162492168201</v>
      </c>
      <c r="P115" s="319">
        <v>37632.054343110554</v>
      </c>
      <c r="Q115" s="320">
        <v>9587.4995754254196</v>
      </c>
      <c r="R115" s="319">
        <v>27468.186283593826</v>
      </c>
      <c r="S115" s="235">
        <f>tblPiNAnalysis[[#This Row],[CCCM]]</f>
        <v>0</v>
      </c>
      <c r="T115" s="236">
        <f>tblPiNAnalysis[[#This Row],[Education]]</f>
        <v>18386.088830243818</v>
      </c>
      <c r="U115" s="219">
        <f>tblPiNAnalysis[[#This Row],[Nutrition]]</f>
        <v>46595.779523535297</v>
      </c>
      <c r="V115" s="219">
        <f>tblPiNAnalysis[[#This Row],[Food Security]]</f>
        <v>82693.25618815895</v>
      </c>
      <c r="W115" s="219">
        <f>tblPiNAnalysis[[#This Row],[Health]]</f>
        <v>42489.681055796951</v>
      </c>
      <c r="X115" s="219">
        <f>tblPiNAnalysis[[#This Row],[Overarching Protection]]</f>
        <v>18457</v>
      </c>
      <c r="Y115" s="219">
        <f>tblPiNAnalysis[[#This Row],[Shelter]]</f>
        <v>61032.270408275625</v>
      </c>
      <c r="Z115" s="230">
        <f>tblPiNAnalysis[[#This Row],[WASH]]</f>
        <v>73551.71049202446</v>
      </c>
      <c r="AA115" s="339" t="str">
        <f>IF(OR(tblPiNHistorical[[#This Row],[CCCM - old]]="", tblPiNHistorical[[#This Row],[CCCM - old]]=0, tblPiNHistorical[[#This Row],[CCCM - new]]="", tblPiNHistorical[[#This Row],[CCCM - new]]=0), "", tblPiNHistorical[[#This Row],[CCCM - new]]-tblPiNHistorical[[#This Row],[CCCM - old]])</f>
        <v/>
      </c>
      <c r="AB115" s="340">
        <f>IF(OR(tblPiNHistorical[[#This Row],[Education - old]]="", tblPiNHistorical[[#This Row],[Education - old]]=0, tblPiNHistorical[[#This Row],[Education - new]]="", tblPiNHistorical[[#This Row],[Education - new]]=0), "", tblPiNHistorical[[#This Row],[Education - new]]-tblPiNHistorical[[#This Row],[Education - old]])</f>
        <v>-6248.9111697561821</v>
      </c>
      <c r="AC115" s="340">
        <f>IF(OR(tblPiNHistorical[[#This Row],[Nutrition - old]]="", tblPiNHistorical[[#This Row],[Nutrition - old]]=0, tblPiNHistorical[[#This Row],[Nutrition - new]]="", tblPiNHistorical[[#This Row],[Nutrition - new]]=0), "", tblPiNHistorical[[#This Row],[Nutrition - new]]-tblPiNHistorical[[#This Row],[Nutrition - old]])</f>
        <v>19401.316556005106</v>
      </c>
      <c r="AD115" s="340">
        <f>IF(OR(tblPiNHistorical[[#This Row],[Food Security - old]]="", tblPiNHistorical[[#This Row],[Food Security - old]]=0, tblPiNHistorical[[#This Row],[Food Security - new]]="", tblPiNHistorical[[#This Row],[Food Security - new]]=0), "", tblPiNHistorical[[#This Row],[Food Security - new]]-tblPiNHistorical[[#This Row],[Food Security - old]])</f>
        <v>13520.25618815895</v>
      </c>
      <c r="AE115" s="340">
        <f>IF(OR(tblPiNHistorical[[#This Row],[Health - old]]="", tblPiNHistorical[[#This Row],[Health - old]]=0, tblPiNHistorical[[#This Row],[Health - new]]="", tblPiNHistorical[[#This Row],[Health - new]]=0), "", tblPiNHistorical[[#This Row],[Health - new]]-tblPiNHistorical[[#This Row],[Health - old]])</f>
        <v>-7062.4814363712503</v>
      </c>
      <c r="AF11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-19175.054343110554</v>
      </c>
      <c r="AG115" s="340">
        <f>IF(OR(tblPiNHistorical[[#This Row],[Shelter - old]]="", tblPiNHistorical[[#This Row],[Shelter - old]]=0, tblPiNHistorical[[#This Row],[Shelter - new]]="", tblPiNHistorical[[#This Row],[Shelter - new]]=0), "", tblPiNHistorical[[#This Row],[Shelter - new]]-tblPiNHistorical[[#This Row],[Shelter - old]])</f>
        <v>51444.770832850205</v>
      </c>
      <c r="AH115" s="341">
        <f>IF(OR(tblPiNHistorical[[#This Row],[WASH - old]]="", tblPiNHistorical[[#This Row],[WASH - old]]=0, tblPiNHistorical[[#This Row],[WASH - new]]="", tblPiNHistorical[[#This Row],[WASH - new]]=0), "", tblPiNHistorical[[#This Row],[WASH - new]]-tblPiNHistorical[[#This Row],[WASH - old]])</f>
        <v>46083.524208430637</v>
      </c>
      <c r="AI115" s="342" t="str">
        <f>IFERROR(ROUND((tblPiNHistorical[[#This Row],[CCCM - new]] - tblPiNHistorical[[#This Row],[CCCM - old]])/tblPiNHistorical[[#This Row],[CCCM - old]], 1), "")</f>
        <v/>
      </c>
      <c r="AJ115" s="343">
        <f>IFERROR(ROUND((tblPiNHistorical[[#This Row],[Education - new]]-tblPiNHistorical[[#This Row],[Education - old]])/tblPiNHistorical[[#This Row],[Education - old]], 1), "")</f>
        <v>-0.3</v>
      </c>
      <c r="AK115" s="343">
        <f>IFERROR(ROUND((tblPiNHistorical[[#This Row],[Nutrition - new]]-tblPiNHistorical[[#This Row],[Nutrition - old]])/tblPiNHistorical[[#This Row],[Nutrition - old]], 1), "")</f>
        <v>0.7</v>
      </c>
      <c r="AL115" s="343">
        <f>IFERROR(ROUND((tblPiNHistorical[[#This Row],[Food Security - new]]-tblPiNHistorical[[#This Row],[Food Security - old]])/tblPiNHistorical[[#This Row],[Food Security - old]], 1), "")</f>
        <v>0.2</v>
      </c>
      <c r="AM115" s="343">
        <f>IFERROR(ROUND((tblPiNHistorical[[#This Row],[Health - new]]-tblPiNHistorical[[#This Row],[Health - old]])/tblPiNHistorical[[#This Row],[Health - old]], 1), "")</f>
        <v>-0.1</v>
      </c>
      <c r="AN115" s="343">
        <f>IFERROR(ROUND((tblPiNHistorical[[#This Row],[Overarching Protection - new]]-tblPiNHistorical[[#This Row],[Overarching Protection - old]])/tblPiNHistorical[[#This Row],[Overarching Protection - old]], 1), "")</f>
        <v>-0.5</v>
      </c>
      <c r="AO115" s="343">
        <f>IFERROR(ROUND((tblPiNHistorical[[#This Row],[Shelter - new]]-tblPiNHistorical[[#This Row],[Shelter - old]])/tblPiNHistorical[[#This Row],[Shelter - old]], 1), "")</f>
        <v>5.4</v>
      </c>
      <c r="AP115" s="38">
        <f>IFERROR(ROUND((tblPiNHistorical[[#This Row],[WASH - new]]-tblPiNHistorical[[#This Row],[WASH - old]])/tblPiNHistorical[[#This Row],[WASH - old]], 1), "")</f>
        <v>1.7</v>
      </c>
      <c r="AQ115" s="406">
        <v>69173</v>
      </c>
      <c r="AR115" s="406">
        <v>82693.25618815895</v>
      </c>
    </row>
    <row r="116" spans="1:44" ht="15" customHeight="1" x14ac:dyDescent="0.55000000000000004">
      <c r="A11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6" s="316" t="s">
        <v>292</v>
      </c>
      <c r="C116" s="218" t="s">
        <v>293</v>
      </c>
      <c r="D116" s="218" t="s">
        <v>308</v>
      </c>
      <c r="E116" s="105" t="s">
        <v>309</v>
      </c>
      <c r="F116" s="100"/>
      <c r="G116" s="34"/>
      <c r="H116" s="335"/>
      <c r="I116" s="97"/>
      <c r="J116" s="97" t="s">
        <v>413</v>
      </c>
      <c r="K116" s="336">
        <v>0</v>
      </c>
      <c r="L116" s="337">
        <v>33431</v>
      </c>
      <c r="M116" s="319">
        <v>37474.841278019841</v>
      </c>
      <c r="N116" s="319">
        <v>91737</v>
      </c>
      <c r="O116" s="319">
        <v>97764.740767204465</v>
      </c>
      <c r="P116" s="319">
        <v>39331.054825398773</v>
      </c>
      <c r="Q116" s="320">
        <v>38619.28932531079</v>
      </c>
      <c r="R116" s="319">
        <v>28269.817297101101</v>
      </c>
      <c r="S116" s="235">
        <f>tblPiNAnalysis[[#This Row],[CCCM]]</f>
        <v>0</v>
      </c>
      <c r="T116" s="236">
        <f>tblPiNAnalysis[[#This Row],[Education]]</f>
        <v>26712.449804821703</v>
      </c>
      <c r="U116" s="219">
        <f>tblPiNAnalysis[[#This Row],[Nutrition]]</f>
        <v>54353.719131979582</v>
      </c>
      <c r="V116" s="219">
        <f>tblPiNAnalysis[[#This Row],[Food Security]]</f>
        <v>82077.88951436241</v>
      </c>
      <c r="W116" s="219">
        <f>tblPiNAnalysis[[#This Row],[Health]]</f>
        <v>51457.918542680673</v>
      </c>
      <c r="X116" s="219">
        <f>tblPiNAnalysis[[#This Row],[Overarching Protection]]</f>
        <v>22299</v>
      </c>
      <c r="Y116" s="219">
        <f>tblPiNAnalysis[[#This Row],[Shelter]]</f>
        <v>90469.193695108203</v>
      </c>
      <c r="Z116" s="230">
        <f>tblPiNAnalysis[[#This Row],[WASH]]</f>
        <v>83558.352510065204</v>
      </c>
      <c r="AA116" s="339" t="str">
        <f>IF(OR(tblPiNHistorical[[#This Row],[CCCM - old]]="", tblPiNHistorical[[#This Row],[CCCM - old]]=0, tblPiNHistorical[[#This Row],[CCCM - new]]="", tblPiNHistorical[[#This Row],[CCCM - new]]=0), "", tblPiNHistorical[[#This Row],[CCCM - new]]-tblPiNHistorical[[#This Row],[CCCM - old]])</f>
        <v/>
      </c>
      <c r="AB116" s="340">
        <f>IF(OR(tblPiNHistorical[[#This Row],[Education - old]]="", tblPiNHistorical[[#This Row],[Education - old]]=0, tblPiNHistorical[[#This Row],[Education - new]]="", tblPiNHistorical[[#This Row],[Education - new]]=0), "", tblPiNHistorical[[#This Row],[Education - new]]-tblPiNHistorical[[#This Row],[Education - old]])</f>
        <v>-6718.5501951782971</v>
      </c>
      <c r="AC116" s="340">
        <f>IF(OR(tblPiNHistorical[[#This Row],[Nutrition - old]]="", tblPiNHistorical[[#This Row],[Nutrition - old]]=0, tblPiNHistorical[[#This Row],[Nutrition - new]]="", tblPiNHistorical[[#This Row],[Nutrition - new]]=0), "", tblPiNHistorical[[#This Row],[Nutrition - new]]-tblPiNHistorical[[#This Row],[Nutrition - old]])</f>
        <v>16878.877853959741</v>
      </c>
      <c r="AD116" s="340">
        <f>IF(OR(tblPiNHistorical[[#This Row],[Food Security - old]]="", tblPiNHistorical[[#This Row],[Food Security - old]]=0, tblPiNHistorical[[#This Row],[Food Security - new]]="", tblPiNHistorical[[#This Row],[Food Security - new]]=0), "", tblPiNHistorical[[#This Row],[Food Security - new]]-tblPiNHistorical[[#This Row],[Food Security - old]])</f>
        <v>-9659.1104856375896</v>
      </c>
      <c r="AE116" s="340">
        <f>IF(OR(tblPiNHistorical[[#This Row],[Health - old]]="", tblPiNHistorical[[#This Row],[Health - old]]=0, tblPiNHistorical[[#This Row],[Health - new]]="", tblPiNHistorical[[#This Row],[Health - new]]=0), "", tblPiNHistorical[[#This Row],[Health - new]]-tblPiNHistorical[[#This Row],[Health - old]])</f>
        <v>-46306.822224523792</v>
      </c>
      <c r="AF11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-17032.054825398773</v>
      </c>
      <c r="AG116" s="340">
        <f>IF(OR(tblPiNHistorical[[#This Row],[Shelter - old]]="", tblPiNHistorical[[#This Row],[Shelter - old]]=0, tblPiNHistorical[[#This Row],[Shelter - new]]="", tblPiNHistorical[[#This Row],[Shelter - new]]=0), "", tblPiNHistorical[[#This Row],[Shelter - new]]-tblPiNHistorical[[#This Row],[Shelter - old]])</f>
        <v>51849.904369797412</v>
      </c>
      <c r="AH116" s="341">
        <f>IF(OR(tblPiNHistorical[[#This Row],[WASH - old]]="", tblPiNHistorical[[#This Row],[WASH - old]]=0, tblPiNHistorical[[#This Row],[WASH - new]]="", tblPiNHistorical[[#This Row],[WASH - new]]=0), "", tblPiNHistorical[[#This Row],[WASH - new]]-tblPiNHistorical[[#This Row],[WASH - old]])</f>
        <v>55288.535212964103</v>
      </c>
      <c r="AI116" s="342" t="str">
        <f>IFERROR(ROUND((tblPiNHistorical[[#This Row],[CCCM - new]] - tblPiNHistorical[[#This Row],[CCCM - old]])/tblPiNHistorical[[#This Row],[CCCM - old]], 1), "")</f>
        <v/>
      </c>
      <c r="AJ116" s="343">
        <f>IFERROR(ROUND((tblPiNHistorical[[#This Row],[Education - new]]-tblPiNHistorical[[#This Row],[Education - old]])/tblPiNHistorical[[#This Row],[Education - old]], 1), "")</f>
        <v>-0.2</v>
      </c>
      <c r="AK116" s="343">
        <f>IFERROR(ROUND((tblPiNHistorical[[#This Row],[Nutrition - new]]-tblPiNHistorical[[#This Row],[Nutrition - old]])/tblPiNHistorical[[#This Row],[Nutrition - old]], 1), "")</f>
        <v>0.5</v>
      </c>
      <c r="AL116" s="343">
        <f>IFERROR(ROUND((tblPiNHistorical[[#This Row],[Food Security - new]]-tblPiNHistorical[[#This Row],[Food Security - old]])/tblPiNHistorical[[#This Row],[Food Security - old]], 1), "")</f>
        <v>-0.1</v>
      </c>
      <c r="AM116" s="343">
        <f>IFERROR(ROUND((tblPiNHistorical[[#This Row],[Health - new]]-tblPiNHistorical[[#This Row],[Health - old]])/tblPiNHistorical[[#This Row],[Health - old]], 1), "")</f>
        <v>-0.5</v>
      </c>
      <c r="AN116" s="343">
        <f>IFERROR(ROUND((tblPiNHistorical[[#This Row],[Overarching Protection - new]]-tblPiNHistorical[[#This Row],[Overarching Protection - old]])/tblPiNHistorical[[#This Row],[Overarching Protection - old]], 1), "")</f>
        <v>-0.4</v>
      </c>
      <c r="AO116" s="343">
        <f>IFERROR(ROUND((tblPiNHistorical[[#This Row],[Shelter - new]]-tblPiNHistorical[[#This Row],[Shelter - old]])/tblPiNHistorical[[#This Row],[Shelter - old]], 1), "")</f>
        <v>1.3</v>
      </c>
      <c r="AP116" s="38">
        <f>IFERROR(ROUND((tblPiNHistorical[[#This Row],[WASH - new]]-tblPiNHistorical[[#This Row],[WASH - old]])/tblPiNHistorical[[#This Row],[WASH - old]], 1), "")</f>
        <v>2</v>
      </c>
      <c r="AQ116" s="406">
        <v>97764.740767204465</v>
      </c>
      <c r="AR116" s="406">
        <v>90469.193695108203</v>
      </c>
    </row>
    <row r="117" spans="1:44" ht="15" customHeight="1" x14ac:dyDescent="0.55000000000000004">
      <c r="A11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7" s="316" t="s">
        <v>310</v>
      </c>
      <c r="C117" s="218" t="s">
        <v>311</v>
      </c>
      <c r="D117" s="218" t="s">
        <v>312</v>
      </c>
      <c r="E117" s="105" t="s">
        <v>313</v>
      </c>
      <c r="F117" s="100"/>
      <c r="G117" s="34"/>
      <c r="H117" s="335"/>
      <c r="I117" s="97"/>
      <c r="J117" s="97" t="s">
        <v>413</v>
      </c>
      <c r="K117" s="336">
        <v>0</v>
      </c>
      <c r="L117" s="337">
        <v>7499</v>
      </c>
      <c r="M117" s="319">
        <v>35628.717938610003</v>
      </c>
      <c r="N117" s="319">
        <v>30058</v>
      </c>
      <c r="O117" s="319">
        <v>24823.078305641484</v>
      </c>
      <c r="P117" s="319">
        <v>14022.363284006002</v>
      </c>
      <c r="Q117" s="320">
        <v>24241.736175495869</v>
      </c>
      <c r="R117" s="319">
        <v>22698.753749025924</v>
      </c>
      <c r="S117" s="235">
        <f>tblPiNAnalysis[[#This Row],[CCCM]]</f>
        <v>0</v>
      </c>
      <c r="T117" s="236">
        <f>tblPiNAnalysis[[#This Row],[Education]]</f>
        <v>9213.8072173159708</v>
      </c>
      <c r="U117" s="219">
        <f>tblPiNAnalysis[[#This Row],[Nutrition]]</f>
        <v>48176.199306504182</v>
      </c>
      <c r="V117" s="219">
        <f>tblPiNAnalysis[[#This Row],[Food Security]]</f>
        <v>32102.608253264854</v>
      </c>
      <c r="W117" s="219">
        <f>tblPiNAnalysis[[#This Row],[Health]]</f>
        <v>43741.522508035392</v>
      </c>
      <c r="X117" s="219">
        <f>tblPiNAnalysis[[#This Row],[Overarching Protection]]</f>
        <v>8953</v>
      </c>
      <c r="Y117" s="219">
        <f>tblPiNAnalysis[[#This Row],[Shelter]]</f>
        <v>37028.604340236314</v>
      </c>
      <c r="Z117" s="230">
        <f>tblPiNAnalysis[[#This Row],[WASH]]</f>
        <v>34736.761609955422</v>
      </c>
      <c r="AA117" s="339" t="str">
        <f>IF(OR(tblPiNHistorical[[#This Row],[CCCM - old]]="", tblPiNHistorical[[#This Row],[CCCM - old]]=0, tblPiNHistorical[[#This Row],[CCCM - new]]="", tblPiNHistorical[[#This Row],[CCCM - new]]=0), "", tblPiNHistorical[[#This Row],[CCCM - new]]-tblPiNHistorical[[#This Row],[CCCM - old]])</f>
        <v/>
      </c>
      <c r="AB117" s="340">
        <f>IF(OR(tblPiNHistorical[[#This Row],[Education - old]]="", tblPiNHistorical[[#This Row],[Education - old]]=0, tblPiNHistorical[[#This Row],[Education - new]]="", tblPiNHistorical[[#This Row],[Education - new]]=0), "", tblPiNHistorical[[#This Row],[Education - new]]-tblPiNHistorical[[#This Row],[Education - old]])</f>
        <v>1714.8072173159708</v>
      </c>
      <c r="AC117" s="340">
        <f>IF(OR(tblPiNHistorical[[#This Row],[Nutrition - old]]="", tblPiNHistorical[[#This Row],[Nutrition - old]]=0, tblPiNHistorical[[#This Row],[Nutrition - new]]="", tblPiNHistorical[[#This Row],[Nutrition - new]]=0), "", tblPiNHistorical[[#This Row],[Nutrition - new]]-tblPiNHistorical[[#This Row],[Nutrition - old]])</f>
        <v>12547.481367894179</v>
      </c>
      <c r="AD117" s="340">
        <f>IF(OR(tblPiNHistorical[[#This Row],[Food Security - old]]="", tblPiNHistorical[[#This Row],[Food Security - old]]=0, tblPiNHistorical[[#This Row],[Food Security - new]]="", tblPiNHistorical[[#This Row],[Food Security - new]]=0), "", tblPiNHistorical[[#This Row],[Food Security - new]]-tblPiNHistorical[[#This Row],[Food Security - old]])</f>
        <v>2044.6082532648543</v>
      </c>
      <c r="AE117" s="340">
        <f>IF(OR(tblPiNHistorical[[#This Row],[Health - old]]="", tblPiNHistorical[[#This Row],[Health - old]]=0, tblPiNHistorical[[#This Row],[Health - new]]="", tblPiNHistorical[[#This Row],[Health - new]]=0), "", tblPiNHistorical[[#This Row],[Health - new]]-tblPiNHistorical[[#This Row],[Health - old]])</f>
        <v>18918.444202393908</v>
      </c>
      <c r="AF11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-5069.3632840060018</v>
      </c>
      <c r="AG117" s="340">
        <f>IF(OR(tblPiNHistorical[[#This Row],[Shelter - old]]="", tblPiNHistorical[[#This Row],[Shelter - old]]=0, tblPiNHistorical[[#This Row],[Shelter - new]]="", tblPiNHistorical[[#This Row],[Shelter - new]]=0), "", tblPiNHistorical[[#This Row],[Shelter - new]]-tblPiNHistorical[[#This Row],[Shelter - old]])</f>
        <v>12786.868164740445</v>
      </c>
      <c r="AH117" s="341">
        <f>IF(OR(tblPiNHistorical[[#This Row],[WASH - old]]="", tblPiNHistorical[[#This Row],[WASH - old]]=0, tblPiNHistorical[[#This Row],[WASH - new]]="", tblPiNHistorical[[#This Row],[WASH - new]]=0), "", tblPiNHistorical[[#This Row],[WASH - new]]-tblPiNHistorical[[#This Row],[WASH - old]])</f>
        <v>12038.007860929498</v>
      </c>
      <c r="AI117" s="342" t="str">
        <f>IFERROR(ROUND((tblPiNHistorical[[#This Row],[CCCM - new]] - tblPiNHistorical[[#This Row],[CCCM - old]])/tblPiNHistorical[[#This Row],[CCCM - old]], 1), "")</f>
        <v/>
      </c>
      <c r="AJ117" s="343">
        <f>IFERROR(ROUND((tblPiNHistorical[[#This Row],[Education - new]]-tblPiNHistorical[[#This Row],[Education - old]])/tblPiNHistorical[[#This Row],[Education - old]], 1), "")</f>
        <v>0.2</v>
      </c>
      <c r="AK117" s="343">
        <f>IFERROR(ROUND((tblPiNHistorical[[#This Row],[Nutrition - new]]-tblPiNHistorical[[#This Row],[Nutrition - old]])/tblPiNHistorical[[#This Row],[Nutrition - old]], 1), "")</f>
        <v>0.4</v>
      </c>
      <c r="AL117" s="343">
        <f>IFERROR(ROUND((tblPiNHistorical[[#This Row],[Food Security - new]]-tblPiNHistorical[[#This Row],[Food Security - old]])/tblPiNHistorical[[#This Row],[Food Security - old]], 1), "")</f>
        <v>0.1</v>
      </c>
      <c r="AM117" s="343">
        <f>IFERROR(ROUND((tblPiNHistorical[[#This Row],[Health - new]]-tblPiNHistorical[[#This Row],[Health - old]])/tblPiNHistorical[[#This Row],[Health - old]], 1), "")</f>
        <v>0.8</v>
      </c>
      <c r="AN117" s="343">
        <f>IFERROR(ROUND((tblPiNHistorical[[#This Row],[Overarching Protection - new]]-tblPiNHistorical[[#This Row],[Overarching Protection - old]])/tblPiNHistorical[[#This Row],[Overarching Protection - old]], 1), "")</f>
        <v>-0.4</v>
      </c>
      <c r="AO117" s="343">
        <f>IFERROR(ROUND((tblPiNHistorical[[#This Row],[Shelter - new]]-tblPiNHistorical[[#This Row],[Shelter - old]])/tblPiNHistorical[[#This Row],[Shelter - old]], 1), "")</f>
        <v>0.5</v>
      </c>
      <c r="AP117" s="38">
        <f>IFERROR(ROUND((tblPiNHistorical[[#This Row],[WASH - new]]-tblPiNHistorical[[#This Row],[WASH - old]])/tblPiNHistorical[[#This Row],[WASH - old]], 1), "")</f>
        <v>0.5</v>
      </c>
      <c r="AQ117" s="406">
        <v>35628.717938610003</v>
      </c>
      <c r="AR117" s="406">
        <v>48176.199306504182</v>
      </c>
    </row>
    <row r="118" spans="1:44" ht="15" customHeight="1" x14ac:dyDescent="0.55000000000000004">
      <c r="A11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8" s="316" t="s">
        <v>310</v>
      </c>
      <c r="C118" s="218" t="s">
        <v>311</v>
      </c>
      <c r="D118" s="218" t="s">
        <v>314</v>
      </c>
      <c r="E118" s="105" t="s">
        <v>315</v>
      </c>
      <c r="F118" s="100"/>
      <c r="G118" s="34"/>
      <c r="H118" s="335"/>
      <c r="I118" s="97"/>
      <c r="J118" s="97" t="s">
        <v>413</v>
      </c>
      <c r="K118" s="336">
        <v>0</v>
      </c>
      <c r="L118" s="337">
        <v>73835</v>
      </c>
      <c r="M118" s="319">
        <v>130607.108826621</v>
      </c>
      <c r="N118" s="319">
        <v>186591</v>
      </c>
      <c r="O118" s="319">
        <v>150908.46888527813</v>
      </c>
      <c r="P118" s="319">
        <v>95340.39447986288</v>
      </c>
      <c r="Q118" s="320">
        <v>121370.29029379447</v>
      </c>
      <c r="R118" s="319">
        <v>72085.149342471006</v>
      </c>
      <c r="S118" s="235">
        <f>tblPiNAnalysis[[#This Row],[CCCM]]</f>
        <v>0</v>
      </c>
      <c r="T118" s="236">
        <f>tblPiNAnalysis[[#This Row],[Education]]</f>
        <v>77711.137567749509</v>
      </c>
      <c r="U118" s="219">
        <f>tblPiNAnalysis[[#This Row],[Nutrition]]</f>
        <v>107000.61183552348</v>
      </c>
      <c r="V118" s="219">
        <f>tblPiNAnalysis[[#This Row],[Food Security]]</f>
        <v>163271.80085852064</v>
      </c>
      <c r="W118" s="219">
        <f>tblPiNAnalysis[[#This Row],[Health]]</f>
        <v>89512.764713814802</v>
      </c>
      <c r="X118" s="219">
        <f>tblPiNAnalysis[[#This Row],[Overarching Protection]]</f>
        <v>35655</v>
      </c>
      <c r="Y118" s="219">
        <f>tblPiNAnalysis[[#This Row],[Shelter]]</f>
        <v>175141.5300617652</v>
      </c>
      <c r="Z118" s="230">
        <f>tblPiNAnalysis[[#This Row],[WASH]]</f>
        <v>86329.478466658853</v>
      </c>
      <c r="AA118" s="339" t="str">
        <f>IF(OR(tblPiNHistorical[[#This Row],[CCCM - old]]="", tblPiNHistorical[[#This Row],[CCCM - old]]=0, tblPiNHistorical[[#This Row],[CCCM - new]]="", tblPiNHistorical[[#This Row],[CCCM - new]]=0), "", tblPiNHistorical[[#This Row],[CCCM - new]]-tblPiNHistorical[[#This Row],[CCCM - old]])</f>
        <v/>
      </c>
      <c r="AB118" s="340">
        <f>IF(OR(tblPiNHistorical[[#This Row],[Education - old]]="", tblPiNHistorical[[#This Row],[Education - old]]=0, tblPiNHistorical[[#This Row],[Education - new]]="", tblPiNHistorical[[#This Row],[Education - new]]=0), "", tblPiNHistorical[[#This Row],[Education - new]]-tblPiNHistorical[[#This Row],[Education - old]])</f>
        <v>3876.1375677495089</v>
      </c>
      <c r="AC118" s="340">
        <f>IF(OR(tblPiNHistorical[[#This Row],[Nutrition - old]]="", tblPiNHistorical[[#This Row],[Nutrition - old]]=0, tblPiNHistorical[[#This Row],[Nutrition - new]]="", tblPiNHistorical[[#This Row],[Nutrition - new]]=0), "", tblPiNHistorical[[#This Row],[Nutrition - new]]-tblPiNHistorical[[#This Row],[Nutrition - old]])</f>
        <v>-23606.49699109752</v>
      </c>
      <c r="AD118" s="340">
        <f>IF(OR(tblPiNHistorical[[#This Row],[Food Security - old]]="", tblPiNHistorical[[#This Row],[Food Security - old]]=0, tblPiNHistorical[[#This Row],[Food Security - new]]="", tblPiNHistorical[[#This Row],[Food Security - new]]=0), "", tblPiNHistorical[[#This Row],[Food Security - new]]-tblPiNHistorical[[#This Row],[Food Security - old]])</f>
        <v>-23319.199141479359</v>
      </c>
      <c r="AE118" s="340">
        <f>IF(OR(tblPiNHistorical[[#This Row],[Health - old]]="", tblPiNHistorical[[#This Row],[Health - old]]=0, tblPiNHistorical[[#This Row],[Health - new]]="", tblPiNHistorical[[#This Row],[Health - new]]=0), "", tblPiNHistorical[[#This Row],[Health - new]]-tblPiNHistorical[[#This Row],[Health - old]])</f>
        <v>-61395.704171463323</v>
      </c>
      <c r="AF11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-59685.39447986288</v>
      </c>
      <c r="AG118" s="340">
        <f>IF(OR(tblPiNHistorical[[#This Row],[Shelter - old]]="", tblPiNHistorical[[#This Row],[Shelter - old]]=0, tblPiNHistorical[[#This Row],[Shelter - new]]="", tblPiNHistorical[[#This Row],[Shelter - new]]=0), "", tblPiNHistorical[[#This Row],[Shelter - new]]-tblPiNHistorical[[#This Row],[Shelter - old]])</f>
        <v>53771.239767970721</v>
      </c>
      <c r="AH118" s="341">
        <f>IF(OR(tblPiNHistorical[[#This Row],[WASH - old]]="", tblPiNHistorical[[#This Row],[WASH - old]]=0, tblPiNHistorical[[#This Row],[WASH - new]]="", tblPiNHistorical[[#This Row],[WASH - new]]=0), "", tblPiNHistorical[[#This Row],[WASH - new]]-tblPiNHistorical[[#This Row],[WASH - old]])</f>
        <v>14244.329124187847</v>
      </c>
      <c r="AI118" s="342" t="str">
        <f>IFERROR(ROUND((tblPiNHistorical[[#This Row],[CCCM - new]] - tblPiNHistorical[[#This Row],[CCCM - old]])/tblPiNHistorical[[#This Row],[CCCM - old]], 1), "")</f>
        <v/>
      </c>
      <c r="AJ118" s="343">
        <f>IFERROR(ROUND((tblPiNHistorical[[#This Row],[Education - new]]-tblPiNHistorical[[#This Row],[Education - old]])/tblPiNHistorical[[#This Row],[Education - old]], 1), "")</f>
        <v>0.1</v>
      </c>
      <c r="AK118" s="343">
        <f>IFERROR(ROUND((tblPiNHistorical[[#This Row],[Nutrition - new]]-tblPiNHistorical[[#This Row],[Nutrition - old]])/tblPiNHistorical[[#This Row],[Nutrition - old]], 1), "")</f>
        <v>-0.2</v>
      </c>
      <c r="AL118" s="343">
        <f>IFERROR(ROUND((tblPiNHistorical[[#This Row],[Food Security - new]]-tblPiNHistorical[[#This Row],[Food Security - old]])/tblPiNHistorical[[#This Row],[Food Security - old]], 1), "")</f>
        <v>-0.1</v>
      </c>
      <c r="AM118" s="343">
        <f>IFERROR(ROUND((tblPiNHistorical[[#This Row],[Health - new]]-tblPiNHistorical[[#This Row],[Health - old]])/tblPiNHistorical[[#This Row],[Health - old]], 1), "")</f>
        <v>-0.4</v>
      </c>
      <c r="AN118" s="343">
        <f>IFERROR(ROUND((tblPiNHistorical[[#This Row],[Overarching Protection - new]]-tblPiNHistorical[[#This Row],[Overarching Protection - old]])/tblPiNHistorical[[#This Row],[Overarching Protection - old]], 1), "")</f>
        <v>-0.6</v>
      </c>
      <c r="AO118" s="343">
        <f>IFERROR(ROUND((tblPiNHistorical[[#This Row],[Shelter - new]]-tblPiNHistorical[[#This Row],[Shelter - old]])/tblPiNHistorical[[#This Row],[Shelter - old]], 1), "")</f>
        <v>0.4</v>
      </c>
      <c r="AP118" s="38">
        <f>IFERROR(ROUND((tblPiNHistorical[[#This Row],[WASH - new]]-tblPiNHistorical[[#This Row],[WASH - old]])/tblPiNHistorical[[#This Row],[WASH - old]], 1), "")</f>
        <v>0.2</v>
      </c>
      <c r="AQ118" s="406">
        <v>186591</v>
      </c>
      <c r="AR118" s="406">
        <v>175141.5300617652</v>
      </c>
    </row>
    <row r="119" spans="1:44" ht="15" customHeight="1" x14ac:dyDescent="0.55000000000000004">
      <c r="A11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19" s="316" t="s">
        <v>310</v>
      </c>
      <c r="C119" s="218" t="s">
        <v>311</v>
      </c>
      <c r="D119" s="218" t="s">
        <v>316</v>
      </c>
      <c r="E119" s="105" t="s">
        <v>317</v>
      </c>
      <c r="F119" s="100"/>
      <c r="G119" s="34"/>
      <c r="H119" s="335"/>
      <c r="I119" s="97"/>
      <c r="J119" s="97" t="s">
        <v>413</v>
      </c>
      <c r="K119" s="336">
        <v>0</v>
      </c>
      <c r="L119" s="337">
        <v>23137</v>
      </c>
      <c r="M119" s="319">
        <v>59209.782555045487</v>
      </c>
      <c r="N119" s="319">
        <v>116168</v>
      </c>
      <c r="O119" s="319">
        <v>44339.979788302007</v>
      </c>
      <c r="P119" s="319">
        <v>41147.790035462116</v>
      </c>
      <c r="Q119" s="320">
        <v>49669.551498588204</v>
      </c>
      <c r="R119" s="319">
        <v>31060.762048991204</v>
      </c>
      <c r="S119" s="235">
        <f>tblPiNAnalysis[[#This Row],[CCCM]]</f>
        <v>0</v>
      </c>
      <c r="T119" s="236">
        <f>tblPiNAnalysis[[#This Row],[Education]]</f>
        <v>28724.548536738668</v>
      </c>
      <c r="U119" s="219">
        <f>tblPiNAnalysis[[#This Row],[Nutrition]]</f>
        <v>79008.885083413552</v>
      </c>
      <c r="V119" s="219">
        <f>tblPiNAnalysis[[#This Row],[Food Security]]</f>
        <v>78867.214716435919</v>
      </c>
      <c r="W119" s="219">
        <f>tblPiNAnalysis[[#This Row],[Health]]</f>
        <v>50227.822636798279</v>
      </c>
      <c r="X119" s="219">
        <f>tblPiNAnalysis[[#This Row],[Overarching Protection]]</f>
        <v>18893</v>
      </c>
      <c r="Y119" s="219">
        <f>tblPiNAnalysis[[#This Row],[Shelter]]</f>
        <v>64754.467483546738</v>
      </c>
      <c r="Z119" s="230">
        <f>tblPiNAnalysis[[#This Row],[WASH]]</f>
        <v>27450.263389764379</v>
      </c>
      <c r="AA119" s="339" t="str">
        <f>IF(OR(tblPiNHistorical[[#This Row],[CCCM - old]]="", tblPiNHistorical[[#This Row],[CCCM - old]]=0, tblPiNHistorical[[#This Row],[CCCM - new]]="", tblPiNHistorical[[#This Row],[CCCM - new]]=0), "", tblPiNHistorical[[#This Row],[CCCM - new]]-tblPiNHistorical[[#This Row],[CCCM - old]])</f>
        <v/>
      </c>
      <c r="AB119" s="340">
        <f>IF(OR(tblPiNHistorical[[#This Row],[Education - old]]="", tblPiNHistorical[[#This Row],[Education - old]]=0, tblPiNHistorical[[#This Row],[Education - new]]="", tblPiNHistorical[[#This Row],[Education - new]]=0), "", tblPiNHistorical[[#This Row],[Education - new]]-tblPiNHistorical[[#This Row],[Education - old]])</f>
        <v>5587.5485367386682</v>
      </c>
      <c r="AC119" s="340">
        <f>IF(OR(tblPiNHistorical[[#This Row],[Nutrition - old]]="", tblPiNHistorical[[#This Row],[Nutrition - old]]=0, tblPiNHistorical[[#This Row],[Nutrition - new]]="", tblPiNHistorical[[#This Row],[Nutrition - new]]=0), "", tblPiNHistorical[[#This Row],[Nutrition - new]]-tblPiNHistorical[[#This Row],[Nutrition - old]])</f>
        <v>19799.102528368065</v>
      </c>
      <c r="AD119" s="340">
        <f>IF(OR(tblPiNHistorical[[#This Row],[Food Security - old]]="", tblPiNHistorical[[#This Row],[Food Security - old]]=0, tblPiNHistorical[[#This Row],[Food Security - new]]="", tblPiNHistorical[[#This Row],[Food Security - new]]=0), "", tblPiNHistorical[[#This Row],[Food Security - new]]-tblPiNHistorical[[#This Row],[Food Security - old]])</f>
        <v>-37300.785283564081</v>
      </c>
      <c r="AE119" s="340">
        <f>IF(OR(tblPiNHistorical[[#This Row],[Health - old]]="", tblPiNHistorical[[#This Row],[Health - old]]=0, tblPiNHistorical[[#This Row],[Health - new]]="", tblPiNHistorical[[#This Row],[Health - new]]=0), "", tblPiNHistorical[[#This Row],[Health - new]]-tblPiNHistorical[[#This Row],[Health - old]])</f>
        <v>5887.8428484962715</v>
      </c>
      <c r="AF11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-22254.790035462116</v>
      </c>
      <c r="AG119" s="340">
        <f>IF(OR(tblPiNHistorical[[#This Row],[Shelter - old]]="", tblPiNHistorical[[#This Row],[Shelter - old]]=0, tblPiNHistorical[[#This Row],[Shelter - new]]="", tblPiNHistorical[[#This Row],[Shelter - new]]=0), "", tblPiNHistorical[[#This Row],[Shelter - new]]-tblPiNHistorical[[#This Row],[Shelter - old]])</f>
        <v>15084.915984958534</v>
      </c>
      <c r="AH119" s="341">
        <f>IF(OR(tblPiNHistorical[[#This Row],[WASH - old]]="", tblPiNHistorical[[#This Row],[WASH - old]]=0, tblPiNHistorical[[#This Row],[WASH - new]]="", tblPiNHistorical[[#This Row],[WASH - new]]=0), "", tblPiNHistorical[[#This Row],[WASH - new]]-tblPiNHistorical[[#This Row],[WASH - old]])</f>
        <v>-3610.4986592268251</v>
      </c>
      <c r="AI119" s="342" t="str">
        <f>IFERROR(ROUND((tblPiNHistorical[[#This Row],[CCCM - new]] - tblPiNHistorical[[#This Row],[CCCM - old]])/tblPiNHistorical[[#This Row],[CCCM - old]], 1), "")</f>
        <v/>
      </c>
      <c r="AJ119" s="343">
        <f>IFERROR(ROUND((tblPiNHistorical[[#This Row],[Education - new]]-tblPiNHistorical[[#This Row],[Education - old]])/tblPiNHistorical[[#This Row],[Education - old]], 1), "")</f>
        <v>0.2</v>
      </c>
      <c r="AK119" s="343">
        <f>IFERROR(ROUND((tblPiNHistorical[[#This Row],[Nutrition - new]]-tblPiNHistorical[[#This Row],[Nutrition - old]])/tblPiNHistorical[[#This Row],[Nutrition - old]], 1), "")</f>
        <v>0.3</v>
      </c>
      <c r="AL119" s="343">
        <f>IFERROR(ROUND((tblPiNHistorical[[#This Row],[Food Security - new]]-tblPiNHistorical[[#This Row],[Food Security - old]])/tblPiNHistorical[[#This Row],[Food Security - old]], 1), "")</f>
        <v>-0.3</v>
      </c>
      <c r="AM119" s="343">
        <f>IFERROR(ROUND((tblPiNHistorical[[#This Row],[Health - new]]-tblPiNHistorical[[#This Row],[Health - old]])/tblPiNHistorical[[#This Row],[Health - old]], 1), "")</f>
        <v>0.1</v>
      </c>
      <c r="AN119" s="343">
        <f>IFERROR(ROUND((tblPiNHistorical[[#This Row],[Overarching Protection - new]]-tblPiNHistorical[[#This Row],[Overarching Protection - old]])/tblPiNHistorical[[#This Row],[Overarching Protection - old]], 1), "")</f>
        <v>-0.5</v>
      </c>
      <c r="AO119" s="343">
        <f>IFERROR(ROUND((tblPiNHistorical[[#This Row],[Shelter - new]]-tblPiNHistorical[[#This Row],[Shelter - old]])/tblPiNHistorical[[#This Row],[Shelter - old]], 1), "")</f>
        <v>0.3</v>
      </c>
      <c r="AP119" s="38">
        <f>IFERROR(ROUND((tblPiNHistorical[[#This Row],[WASH - new]]-tblPiNHistorical[[#This Row],[WASH - old]])/tblPiNHistorical[[#This Row],[WASH - old]], 1), "")</f>
        <v>-0.1</v>
      </c>
      <c r="AQ119" s="406">
        <v>116168</v>
      </c>
      <c r="AR119" s="406">
        <v>79008.885083413552</v>
      </c>
    </row>
    <row r="120" spans="1:44" ht="15" customHeight="1" x14ac:dyDescent="0.55000000000000004">
      <c r="A12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0" s="316" t="s">
        <v>310</v>
      </c>
      <c r="C120" s="218" t="s">
        <v>311</v>
      </c>
      <c r="D120" s="218" t="s">
        <v>318</v>
      </c>
      <c r="E120" s="105" t="s">
        <v>319</v>
      </c>
      <c r="F120" s="100"/>
      <c r="G120" s="34"/>
      <c r="H120" s="335"/>
      <c r="I120" s="97"/>
      <c r="J120" s="97" t="s">
        <v>413</v>
      </c>
      <c r="K120" s="336">
        <v>0</v>
      </c>
      <c r="L120" s="337">
        <v>22663</v>
      </c>
      <c r="M120" s="319">
        <v>58014.408445397596</v>
      </c>
      <c r="N120" s="319">
        <v>96169</v>
      </c>
      <c r="O120" s="319">
        <v>59246.051299749648</v>
      </c>
      <c r="P120" s="319">
        <v>29085.349355374998</v>
      </c>
      <c r="Q120" s="320">
        <v>53379.84535502021</v>
      </c>
      <c r="R120" s="319">
        <v>37377.379804286284</v>
      </c>
      <c r="S120" s="235">
        <f>tblPiNAnalysis[[#This Row],[CCCM]]</f>
        <v>0</v>
      </c>
      <c r="T120" s="236">
        <f>tblPiNAnalysis[[#This Row],[Education]]</f>
        <v>19297.897573269878</v>
      </c>
      <c r="U120" s="219">
        <f>tblPiNAnalysis[[#This Row],[Nutrition]]</f>
        <v>64211.464117899392</v>
      </c>
      <c r="V120" s="219">
        <f>tblPiNAnalysis[[#This Row],[Food Security]]</f>
        <v>80340.475365023216</v>
      </c>
      <c r="W120" s="219">
        <f>tblPiNAnalysis[[#This Row],[Health]]</f>
        <v>49884.172897520948</v>
      </c>
      <c r="X120" s="219">
        <f>tblPiNAnalysis[[#This Row],[Overarching Protection]]</f>
        <v>18336</v>
      </c>
      <c r="Y120" s="219">
        <f>tblPiNAnalysis[[#This Row],[Shelter]]</f>
        <v>41349.632596498406</v>
      </c>
      <c r="Z120" s="230">
        <f>tblPiNAnalysis[[#This Row],[WASH]]</f>
        <v>60582.019850683711</v>
      </c>
      <c r="AA120" s="339" t="str">
        <f>IF(OR(tblPiNHistorical[[#This Row],[CCCM - old]]="", tblPiNHistorical[[#This Row],[CCCM - old]]=0, tblPiNHistorical[[#This Row],[CCCM - new]]="", tblPiNHistorical[[#This Row],[CCCM - new]]=0), "", tblPiNHistorical[[#This Row],[CCCM - new]]-tblPiNHistorical[[#This Row],[CCCM - old]])</f>
        <v/>
      </c>
      <c r="AB120" s="340">
        <f>IF(OR(tblPiNHistorical[[#This Row],[Education - old]]="", tblPiNHistorical[[#This Row],[Education - old]]=0, tblPiNHistorical[[#This Row],[Education - new]]="", tblPiNHistorical[[#This Row],[Education - new]]=0), "", tblPiNHistorical[[#This Row],[Education - new]]-tblPiNHistorical[[#This Row],[Education - old]])</f>
        <v>-3365.1024267301218</v>
      </c>
      <c r="AC120" s="340">
        <f>IF(OR(tblPiNHistorical[[#This Row],[Nutrition - old]]="", tblPiNHistorical[[#This Row],[Nutrition - old]]=0, tblPiNHistorical[[#This Row],[Nutrition - new]]="", tblPiNHistorical[[#This Row],[Nutrition - new]]=0), "", tblPiNHistorical[[#This Row],[Nutrition - new]]-tblPiNHistorical[[#This Row],[Nutrition - old]])</f>
        <v>6197.0556725017959</v>
      </c>
      <c r="AD120" s="340">
        <f>IF(OR(tblPiNHistorical[[#This Row],[Food Security - old]]="", tblPiNHistorical[[#This Row],[Food Security - old]]=0, tblPiNHistorical[[#This Row],[Food Security - new]]="", tblPiNHistorical[[#This Row],[Food Security - new]]=0), "", tblPiNHistorical[[#This Row],[Food Security - new]]-tblPiNHistorical[[#This Row],[Food Security - old]])</f>
        <v>-15828.524634976784</v>
      </c>
      <c r="AE120" s="340">
        <f>IF(OR(tblPiNHistorical[[#This Row],[Health - old]]="", tblPiNHistorical[[#This Row],[Health - old]]=0, tblPiNHistorical[[#This Row],[Health - new]]="", tblPiNHistorical[[#This Row],[Health - new]]=0), "", tblPiNHistorical[[#This Row],[Health - new]]-tblPiNHistorical[[#This Row],[Health - old]])</f>
        <v>-9361.8784022287</v>
      </c>
      <c r="AF12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-10749.349355374998</v>
      </c>
      <c r="AG120" s="340">
        <f>IF(OR(tblPiNHistorical[[#This Row],[Shelter - old]]="", tblPiNHistorical[[#This Row],[Shelter - old]]=0, tblPiNHistorical[[#This Row],[Shelter - new]]="", tblPiNHistorical[[#This Row],[Shelter - new]]=0), "", tblPiNHistorical[[#This Row],[Shelter - new]]-tblPiNHistorical[[#This Row],[Shelter - old]])</f>
        <v>-12030.212758521804</v>
      </c>
      <c r="AH120" s="341">
        <f>IF(OR(tblPiNHistorical[[#This Row],[WASH - old]]="", tblPiNHistorical[[#This Row],[WASH - old]]=0, tblPiNHistorical[[#This Row],[WASH - new]]="", tblPiNHistorical[[#This Row],[WASH - new]]=0), "", tblPiNHistorical[[#This Row],[WASH - new]]-tblPiNHistorical[[#This Row],[WASH - old]])</f>
        <v>23204.640046397428</v>
      </c>
      <c r="AI120" s="342" t="str">
        <f>IFERROR(ROUND((tblPiNHistorical[[#This Row],[CCCM - new]] - tblPiNHistorical[[#This Row],[CCCM - old]])/tblPiNHistorical[[#This Row],[CCCM - old]], 1), "")</f>
        <v/>
      </c>
      <c r="AJ120" s="343">
        <f>IFERROR(ROUND((tblPiNHistorical[[#This Row],[Education - new]]-tblPiNHistorical[[#This Row],[Education - old]])/tblPiNHistorical[[#This Row],[Education - old]], 1), "")</f>
        <v>-0.1</v>
      </c>
      <c r="AK120" s="343">
        <f>IFERROR(ROUND((tblPiNHistorical[[#This Row],[Nutrition - new]]-tblPiNHistorical[[#This Row],[Nutrition - old]])/tblPiNHistorical[[#This Row],[Nutrition - old]], 1), "")</f>
        <v>0.1</v>
      </c>
      <c r="AL120" s="343">
        <f>IFERROR(ROUND((tblPiNHistorical[[#This Row],[Food Security - new]]-tblPiNHistorical[[#This Row],[Food Security - old]])/tblPiNHistorical[[#This Row],[Food Security - old]], 1), "")</f>
        <v>-0.2</v>
      </c>
      <c r="AM120" s="343">
        <f>IFERROR(ROUND((tblPiNHistorical[[#This Row],[Health - new]]-tblPiNHistorical[[#This Row],[Health - old]])/tblPiNHistorical[[#This Row],[Health - old]], 1), "")</f>
        <v>-0.2</v>
      </c>
      <c r="AN120" s="343">
        <f>IFERROR(ROUND((tblPiNHistorical[[#This Row],[Overarching Protection - new]]-tblPiNHistorical[[#This Row],[Overarching Protection - old]])/tblPiNHistorical[[#This Row],[Overarching Protection - old]], 1), "")</f>
        <v>-0.4</v>
      </c>
      <c r="AO120" s="343">
        <f>IFERROR(ROUND((tblPiNHistorical[[#This Row],[Shelter - new]]-tblPiNHistorical[[#This Row],[Shelter - old]])/tblPiNHistorical[[#This Row],[Shelter - old]], 1), "")</f>
        <v>-0.2</v>
      </c>
      <c r="AP120" s="38">
        <f>IFERROR(ROUND((tblPiNHistorical[[#This Row],[WASH - new]]-tblPiNHistorical[[#This Row],[WASH - old]])/tblPiNHistorical[[#This Row],[WASH - old]], 1), "")</f>
        <v>0.6</v>
      </c>
      <c r="AQ120" s="406">
        <v>96169</v>
      </c>
      <c r="AR120" s="406">
        <v>80340.475365023216</v>
      </c>
    </row>
    <row r="121" spans="1:44" ht="15" customHeight="1" x14ac:dyDescent="0.55000000000000004">
      <c r="A12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1" s="316" t="s">
        <v>310</v>
      </c>
      <c r="C121" s="218" t="s">
        <v>311</v>
      </c>
      <c r="D121" s="218" t="s">
        <v>320</v>
      </c>
      <c r="E121" s="105" t="s">
        <v>321</v>
      </c>
      <c r="F121" s="100"/>
      <c r="G121" s="34"/>
      <c r="H121" s="335"/>
      <c r="I121" s="97"/>
      <c r="J121" s="97" t="s">
        <v>413</v>
      </c>
      <c r="K121" s="336">
        <v>0</v>
      </c>
      <c r="L121" s="337">
        <v>20849</v>
      </c>
      <c r="M121" s="319">
        <v>63049.371708817358</v>
      </c>
      <c r="N121" s="319">
        <v>120376</v>
      </c>
      <c r="O121" s="319">
        <v>82514.930088562003</v>
      </c>
      <c r="P121" s="319">
        <v>46787.897330228901</v>
      </c>
      <c r="Q121" s="320">
        <v>64934.536193043547</v>
      </c>
      <c r="R121" s="319">
        <v>9952.6205782300694</v>
      </c>
      <c r="S121" s="235">
        <f>tblPiNAnalysis[[#This Row],[CCCM]]</f>
        <v>0</v>
      </c>
      <c r="T121" s="236">
        <f>tblPiNAnalysis[[#This Row],[Education]]</f>
        <v>21725.832388760507</v>
      </c>
      <c r="U121" s="219">
        <f>tblPiNAnalysis[[#This Row],[Nutrition]]</f>
        <v>62772.406451263734</v>
      </c>
      <c r="V121" s="219">
        <f>tblPiNAnalysis[[#This Row],[Food Security]]</f>
        <v>93820.84267159726</v>
      </c>
      <c r="W121" s="219">
        <f>tblPiNAnalysis[[#This Row],[Health]]</f>
        <v>58999.837983633821</v>
      </c>
      <c r="X121" s="219">
        <f>tblPiNAnalysis[[#This Row],[Overarching Protection]]</f>
        <v>47766</v>
      </c>
      <c r="Y121" s="219">
        <f>tblPiNAnalysis[[#This Row],[Shelter]]</f>
        <v>74084.402766031722</v>
      </c>
      <c r="Z121" s="230">
        <f>tblPiNAnalysis[[#This Row],[WASH]]</f>
        <v>53432.787316079339</v>
      </c>
      <c r="AA121" s="339" t="str">
        <f>IF(OR(tblPiNHistorical[[#This Row],[CCCM - old]]="", tblPiNHistorical[[#This Row],[CCCM - old]]=0, tblPiNHistorical[[#This Row],[CCCM - new]]="", tblPiNHistorical[[#This Row],[CCCM - new]]=0), "", tblPiNHistorical[[#This Row],[CCCM - new]]-tblPiNHistorical[[#This Row],[CCCM - old]])</f>
        <v/>
      </c>
      <c r="AB121" s="340">
        <f>IF(OR(tblPiNHistorical[[#This Row],[Education - old]]="", tblPiNHistorical[[#This Row],[Education - old]]=0, tblPiNHistorical[[#This Row],[Education - new]]="", tblPiNHistorical[[#This Row],[Education - new]]=0), "", tblPiNHistorical[[#This Row],[Education - new]]-tblPiNHistorical[[#This Row],[Education - old]])</f>
        <v>876.83238876050746</v>
      </c>
      <c r="AC121" s="340">
        <f>IF(OR(tblPiNHistorical[[#This Row],[Nutrition - old]]="", tblPiNHistorical[[#This Row],[Nutrition - old]]=0, tblPiNHistorical[[#This Row],[Nutrition - new]]="", tblPiNHistorical[[#This Row],[Nutrition - new]]=0), "", tblPiNHistorical[[#This Row],[Nutrition - new]]-tblPiNHistorical[[#This Row],[Nutrition - old]])</f>
        <v>-276.96525755362381</v>
      </c>
      <c r="AD121" s="340">
        <f>IF(OR(tblPiNHistorical[[#This Row],[Food Security - old]]="", tblPiNHistorical[[#This Row],[Food Security - old]]=0, tblPiNHistorical[[#This Row],[Food Security - new]]="", tblPiNHistorical[[#This Row],[Food Security - new]]=0), "", tblPiNHistorical[[#This Row],[Food Security - new]]-tblPiNHistorical[[#This Row],[Food Security - old]])</f>
        <v>-26555.15732840274</v>
      </c>
      <c r="AE121" s="340">
        <f>IF(OR(tblPiNHistorical[[#This Row],[Health - old]]="", tblPiNHistorical[[#This Row],[Health - old]]=0, tblPiNHistorical[[#This Row],[Health - new]]="", tblPiNHistorical[[#This Row],[Health - new]]=0), "", tblPiNHistorical[[#This Row],[Health - new]]-tblPiNHistorical[[#This Row],[Health - old]])</f>
        <v>-23515.092104928182</v>
      </c>
      <c r="AF12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978.10266977109859</v>
      </c>
      <c r="AG121" s="340">
        <f>IF(OR(tblPiNHistorical[[#This Row],[Shelter - old]]="", tblPiNHistorical[[#This Row],[Shelter - old]]=0, tblPiNHistorical[[#This Row],[Shelter - new]]="", tblPiNHistorical[[#This Row],[Shelter - new]]=0), "", tblPiNHistorical[[#This Row],[Shelter - new]]-tblPiNHistorical[[#This Row],[Shelter - old]])</f>
        <v>9149.8665729881759</v>
      </c>
      <c r="AH121" s="341">
        <f>IF(OR(tblPiNHistorical[[#This Row],[WASH - old]]="", tblPiNHistorical[[#This Row],[WASH - old]]=0, tblPiNHistorical[[#This Row],[WASH - new]]="", tblPiNHistorical[[#This Row],[WASH - new]]=0), "", tblPiNHistorical[[#This Row],[WASH - new]]-tblPiNHistorical[[#This Row],[WASH - old]])</f>
        <v>43480.166737849271</v>
      </c>
      <c r="AI121" s="342" t="str">
        <f>IFERROR(ROUND((tblPiNHistorical[[#This Row],[CCCM - new]] - tblPiNHistorical[[#This Row],[CCCM - old]])/tblPiNHistorical[[#This Row],[CCCM - old]], 1), "")</f>
        <v/>
      </c>
      <c r="AJ121" s="343">
        <f>IFERROR(ROUND((tblPiNHistorical[[#This Row],[Education - new]]-tblPiNHistorical[[#This Row],[Education - old]])/tblPiNHistorical[[#This Row],[Education - old]], 1), "")</f>
        <v>0</v>
      </c>
      <c r="AK121" s="343">
        <f>IFERROR(ROUND((tblPiNHistorical[[#This Row],[Nutrition - new]]-tblPiNHistorical[[#This Row],[Nutrition - old]])/tblPiNHistorical[[#This Row],[Nutrition - old]], 1), "")</f>
        <v>0</v>
      </c>
      <c r="AL121" s="343">
        <f>IFERROR(ROUND((tblPiNHistorical[[#This Row],[Food Security - new]]-tblPiNHistorical[[#This Row],[Food Security - old]])/tblPiNHistorical[[#This Row],[Food Security - old]], 1), "")</f>
        <v>-0.2</v>
      </c>
      <c r="AM121" s="343">
        <f>IFERROR(ROUND((tblPiNHistorical[[#This Row],[Health - new]]-tblPiNHistorical[[#This Row],[Health - old]])/tblPiNHistorical[[#This Row],[Health - old]], 1), "")</f>
        <v>-0.3</v>
      </c>
      <c r="AN121" s="343">
        <f>IFERROR(ROUND((tblPiNHistorical[[#This Row],[Overarching Protection - new]]-tblPiNHistorical[[#This Row],[Overarching Protection - old]])/tblPiNHistorical[[#This Row],[Overarching Protection - old]], 1), "")</f>
        <v>0</v>
      </c>
      <c r="AO121" s="343">
        <f>IFERROR(ROUND((tblPiNHistorical[[#This Row],[Shelter - new]]-tblPiNHistorical[[#This Row],[Shelter - old]])/tblPiNHistorical[[#This Row],[Shelter - old]], 1), "")</f>
        <v>0.1</v>
      </c>
      <c r="AP121" s="38">
        <f>IFERROR(ROUND((tblPiNHistorical[[#This Row],[WASH - new]]-tblPiNHistorical[[#This Row],[WASH - old]])/tblPiNHistorical[[#This Row],[WASH - old]], 1), "")</f>
        <v>4.4000000000000004</v>
      </c>
      <c r="AQ121" s="406">
        <v>120376</v>
      </c>
      <c r="AR121" s="406">
        <v>93820.84267159726</v>
      </c>
    </row>
    <row r="122" spans="1:44" ht="15" customHeight="1" x14ac:dyDescent="0.55000000000000004">
      <c r="A12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2" s="316" t="s">
        <v>322</v>
      </c>
      <c r="C122" s="218" t="s">
        <v>323</v>
      </c>
      <c r="D122" s="218" t="s">
        <v>324</v>
      </c>
      <c r="E122" s="105" t="s">
        <v>325</v>
      </c>
      <c r="F122" s="100"/>
      <c r="G122" s="34"/>
      <c r="H122" s="335"/>
      <c r="I122" s="97"/>
      <c r="J122" s="97" t="s">
        <v>413</v>
      </c>
      <c r="K122" s="336">
        <v>0</v>
      </c>
      <c r="L122" s="337">
        <v>865</v>
      </c>
      <c r="M122" s="319">
        <v>16684.324683732339</v>
      </c>
      <c r="N122" s="319">
        <v>30014</v>
      </c>
      <c r="O122" s="319">
        <v>17046.506496081103</v>
      </c>
      <c r="P122" s="319">
        <v>13833.808698500001</v>
      </c>
      <c r="Q122" s="320">
        <v>13099.144847996375</v>
      </c>
      <c r="R122" s="319">
        <v>3576.6283175843064</v>
      </c>
      <c r="S122" s="235">
        <f>tblPiNAnalysis[[#This Row],[CCCM]]</f>
        <v>0</v>
      </c>
      <c r="T122" s="236">
        <f>tblPiNAnalysis[[#This Row],[Education]]</f>
        <v>3120.8094076739217</v>
      </c>
      <c r="U122" s="219">
        <f>tblPiNAnalysis[[#This Row],[Nutrition]]</f>
        <v>20125.469745358765</v>
      </c>
      <c r="V122" s="219">
        <f>tblPiNAnalysis[[#This Row],[Food Security]]</f>
        <v>24430.506784487628</v>
      </c>
      <c r="W122" s="219">
        <f>tblPiNAnalysis[[#This Row],[Health]]</f>
        <v>19867.246768263718</v>
      </c>
      <c r="X122" s="219">
        <f>tblPiNAnalysis[[#This Row],[Overarching Protection]]</f>
        <v>6940</v>
      </c>
      <c r="Y122" s="219">
        <f>tblPiNAnalysis[[#This Row],[Shelter]]</f>
        <v>29105.286056068817</v>
      </c>
      <c r="Z122" s="230">
        <f>tblPiNAnalysis[[#This Row],[WASH]]</f>
        <v>10161.697403279335</v>
      </c>
      <c r="AA122" s="339" t="str">
        <f>IF(OR(tblPiNHistorical[[#This Row],[CCCM - old]]="", tblPiNHistorical[[#This Row],[CCCM - old]]=0, tblPiNHistorical[[#This Row],[CCCM - new]]="", tblPiNHistorical[[#This Row],[CCCM - new]]=0), "", tblPiNHistorical[[#This Row],[CCCM - new]]-tblPiNHistorical[[#This Row],[CCCM - old]])</f>
        <v/>
      </c>
      <c r="AB122" s="340">
        <f>IF(OR(tblPiNHistorical[[#This Row],[Education - old]]="", tblPiNHistorical[[#This Row],[Education - old]]=0, tblPiNHistorical[[#This Row],[Education - new]]="", tblPiNHistorical[[#This Row],[Education - new]]=0), "", tblPiNHistorical[[#This Row],[Education - new]]-tblPiNHistorical[[#This Row],[Education - old]])</f>
        <v>2255.8094076739217</v>
      </c>
      <c r="AC122" s="340">
        <f>IF(OR(tblPiNHistorical[[#This Row],[Nutrition - old]]="", tblPiNHistorical[[#This Row],[Nutrition - old]]=0, tblPiNHistorical[[#This Row],[Nutrition - new]]="", tblPiNHistorical[[#This Row],[Nutrition - new]]=0), "", tblPiNHistorical[[#This Row],[Nutrition - new]]-tblPiNHistorical[[#This Row],[Nutrition - old]])</f>
        <v>3441.1450616264265</v>
      </c>
      <c r="AD122" s="340">
        <f>IF(OR(tblPiNHistorical[[#This Row],[Food Security - old]]="", tblPiNHistorical[[#This Row],[Food Security - old]]=0, tblPiNHistorical[[#This Row],[Food Security - new]]="", tblPiNHistorical[[#This Row],[Food Security - new]]=0), "", tblPiNHistorical[[#This Row],[Food Security - new]]-tblPiNHistorical[[#This Row],[Food Security - old]])</f>
        <v>-5583.4932155123715</v>
      </c>
      <c r="AE122" s="340">
        <f>IF(OR(tblPiNHistorical[[#This Row],[Health - old]]="", tblPiNHistorical[[#This Row],[Health - old]]=0, tblPiNHistorical[[#This Row],[Health - new]]="", tblPiNHistorical[[#This Row],[Health - new]]=0), "", tblPiNHistorical[[#This Row],[Health - new]]-tblPiNHistorical[[#This Row],[Health - old]])</f>
        <v>2820.7402721826147</v>
      </c>
      <c r="AF12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-6893.8086985000009</v>
      </c>
      <c r="AG122" s="340">
        <f>IF(OR(tblPiNHistorical[[#This Row],[Shelter - old]]="", tblPiNHistorical[[#This Row],[Shelter - old]]=0, tblPiNHistorical[[#This Row],[Shelter - new]]="", tblPiNHistorical[[#This Row],[Shelter - new]]=0), "", tblPiNHistorical[[#This Row],[Shelter - new]]-tblPiNHistorical[[#This Row],[Shelter - old]])</f>
        <v>16006.141208072442</v>
      </c>
      <c r="AH122" s="341">
        <f>IF(OR(tblPiNHistorical[[#This Row],[WASH - old]]="", tblPiNHistorical[[#This Row],[WASH - old]]=0, tblPiNHistorical[[#This Row],[WASH - new]]="", tblPiNHistorical[[#This Row],[WASH - new]]=0), "", tblPiNHistorical[[#This Row],[WASH - new]]-tblPiNHistorical[[#This Row],[WASH - old]])</f>
        <v>6585.0690856950287</v>
      </c>
      <c r="AI122" s="342" t="str">
        <f>IFERROR(ROUND((tblPiNHistorical[[#This Row],[CCCM - new]] - tblPiNHistorical[[#This Row],[CCCM - old]])/tblPiNHistorical[[#This Row],[CCCM - old]], 1), "")</f>
        <v/>
      </c>
      <c r="AJ122" s="343">
        <f>IFERROR(ROUND((tblPiNHistorical[[#This Row],[Education - new]]-tblPiNHistorical[[#This Row],[Education - old]])/tblPiNHistorical[[#This Row],[Education - old]], 1), "")</f>
        <v>2.6</v>
      </c>
      <c r="AK122" s="343">
        <f>IFERROR(ROUND((tblPiNHistorical[[#This Row],[Nutrition - new]]-tblPiNHistorical[[#This Row],[Nutrition - old]])/tblPiNHistorical[[#This Row],[Nutrition - old]], 1), "")</f>
        <v>0.2</v>
      </c>
      <c r="AL122" s="343">
        <f>IFERROR(ROUND((tblPiNHistorical[[#This Row],[Food Security - new]]-tblPiNHistorical[[#This Row],[Food Security - old]])/tblPiNHistorical[[#This Row],[Food Security - old]], 1), "")</f>
        <v>-0.2</v>
      </c>
      <c r="AM122" s="343">
        <f>IFERROR(ROUND((tblPiNHistorical[[#This Row],[Health - new]]-tblPiNHistorical[[#This Row],[Health - old]])/tblPiNHistorical[[#This Row],[Health - old]], 1), "")</f>
        <v>0.2</v>
      </c>
      <c r="AN122" s="343">
        <f>IFERROR(ROUND((tblPiNHistorical[[#This Row],[Overarching Protection - new]]-tblPiNHistorical[[#This Row],[Overarching Protection - old]])/tblPiNHistorical[[#This Row],[Overarching Protection - old]], 1), "")</f>
        <v>-0.5</v>
      </c>
      <c r="AO122" s="343">
        <f>IFERROR(ROUND((tblPiNHistorical[[#This Row],[Shelter - new]]-tblPiNHistorical[[#This Row],[Shelter - old]])/tblPiNHistorical[[#This Row],[Shelter - old]], 1), "")</f>
        <v>1.2</v>
      </c>
      <c r="AP122" s="38">
        <f>IFERROR(ROUND((tblPiNHistorical[[#This Row],[WASH - new]]-tblPiNHistorical[[#This Row],[WASH - old]])/tblPiNHistorical[[#This Row],[WASH - old]], 1), "")</f>
        <v>1.8</v>
      </c>
      <c r="AQ122" s="406">
        <v>30014</v>
      </c>
      <c r="AR122" s="406">
        <v>29105.286056068817</v>
      </c>
    </row>
    <row r="123" spans="1:44" ht="15" customHeight="1" x14ac:dyDescent="0.55000000000000004">
      <c r="A12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3" s="316" t="s">
        <v>322</v>
      </c>
      <c r="C123" s="218" t="s">
        <v>323</v>
      </c>
      <c r="D123" s="218" t="s">
        <v>326</v>
      </c>
      <c r="E123" s="105" t="s">
        <v>327</v>
      </c>
      <c r="F123" s="100"/>
      <c r="G123" s="34"/>
      <c r="H123" s="335"/>
      <c r="I123" s="97"/>
      <c r="J123" s="97" t="s">
        <v>413</v>
      </c>
      <c r="K123" s="336">
        <v>803.63743778672631</v>
      </c>
      <c r="L123" s="337">
        <v>13503</v>
      </c>
      <c r="M123" s="319">
        <v>15101.230061688309</v>
      </c>
      <c r="N123" s="319">
        <v>37619</v>
      </c>
      <c r="O123" s="319">
        <v>16666.674282010597</v>
      </c>
      <c r="P123" s="319">
        <v>17486.977940305202</v>
      </c>
      <c r="Q123" s="320">
        <v>2849.340960393713</v>
      </c>
      <c r="R123" s="319">
        <v>32804.620773732844</v>
      </c>
      <c r="S123" s="235">
        <f>tblPiNAnalysis[[#This Row],[CCCM]]</f>
        <v>0</v>
      </c>
      <c r="T123" s="236">
        <f>tblPiNAnalysis[[#This Row],[Education]]</f>
        <v>8432.3652789481548</v>
      </c>
      <c r="U123" s="219">
        <f>tblPiNAnalysis[[#This Row],[Nutrition]]</f>
        <v>16745.17089455263</v>
      </c>
      <c r="V123" s="219">
        <f>tblPiNAnalysis[[#This Row],[Food Security]]</f>
        <v>30482.403979223356</v>
      </c>
      <c r="W123" s="219">
        <f>tblPiNAnalysis[[#This Row],[Health]]</f>
        <v>19016.114899824621</v>
      </c>
      <c r="X123" s="219">
        <f>tblPiNAnalysis[[#This Row],[Overarching Protection]]</f>
        <v>6696</v>
      </c>
      <c r="Y123" s="219">
        <f>tblPiNAnalysis[[#This Row],[Shelter]]</f>
        <v>18980.59398007908</v>
      </c>
      <c r="Z123" s="230">
        <f>tblPiNAnalysis[[#This Row],[WASH]]</f>
        <v>19191.489468746622</v>
      </c>
      <c r="AA123" s="339" t="str">
        <f>IF(OR(tblPiNHistorical[[#This Row],[CCCM - old]]="", tblPiNHistorical[[#This Row],[CCCM - old]]=0, tblPiNHistorical[[#This Row],[CCCM - new]]="", tblPiNHistorical[[#This Row],[CCCM - new]]=0), "", tblPiNHistorical[[#This Row],[CCCM - new]]-tblPiNHistorical[[#This Row],[CCCM - old]])</f>
        <v/>
      </c>
      <c r="AB123" s="340">
        <f>IF(OR(tblPiNHistorical[[#This Row],[Education - old]]="", tblPiNHistorical[[#This Row],[Education - old]]=0, tblPiNHistorical[[#This Row],[Education - new]]="", tblPiNHistorical[[#This Row],[Education - new]]=0), "", tblPiNHistorical[[#This Row],[Education - new]]-tblPiNHistorical[[#This Row],[Education - old]])</f>
        <v>-5070.6347210518452</v>
      </c>
      <c r="AC123" s="340">
        <f>IF(OR(tblPiNHistorical[[#This Row],[Nutrition - old]]="", tblPiNHistorical[[#This Row],[Nutrition - old]]=0, tblPiNHistorical[[#This Row],[Nutrition - new]]="", tblPiNHistorical[[#This Row],[Nutrition - new]]=0), "", tblPiNHistorical[[#This Row],[Nutrition - new]]-tblPiNHistorical[[#This Row],[Nutrition - old]])</f>
        <v>1643.9408328643203</v>
      </c>
      <c r="AD123" s="340">
        <f>IF(OR(tblPiNHistorical[[#This Row],[Food Security - old]]="", tblPiNHistorical[[#This Row],[Food Security - old]]=0, tblPiNHistorical[[#This Row],[Food Security - new]]="", tblPiNHistorical[[#This Row],[Food Security - new]]=0), "", tblPiNHistorical[[#This Row],[Food Security - new]]-tblPiNHistorical[[#This Row],[Food Security - old]])</f>
        <v>-7136.5960207766439</v>
      </c>
      <c r="AE123" s="340">
        <f>IF(OR(tblPiNHistorical[[#This Row],[Health - old]]="", tblPiNHistorical[[#This Row],[Health - old]]=0, tblPiNHistorical[[#This Row],[Health - new]]="", tblPiNHistorical[[#This Row],[Health - new]]=0), "", tblPiNHistorical[[#This Row],[Health - new]]-tblPiNHistorical[[#This Row],[Health - old]])</f>
        <v>2349.4406178140234</v>
      </c>
      <c r="AF12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-10790.977940305202</v>
      </c>
      <c r="AG123" s="340">
        <f>IF(OR(tblPiNHistorical[[#This Row],[Shelter - old]]="", tblPiNHistorical[[#This Row],[Shelter - old]]=0, tblPiNHistorical[[#This Row],[Shelter - new]]="", tblPiNHistorical[[#This Row],[Shelter - new]]=0), "", tblPiNHistorical[[#This Row],[Shelter - new]]-tblPiNHistorical[[#This Row],[Shelter - old]])</f>
        <v>16131.253019685368</v>
      </c>
      <c r="AH123" s="341">
        <f>IF(OR(tblPiNHistorical[[#This Row],[WASH - old]]="", tblPiNHistorical[[#This Row],[WASH - old]]=0, tblPiNHistorical[[#This Row],[WASH - new]]="", tblPiNHistorical[[#This Row],[WASH - new]]=0), "", tblPiNHistorical[[#This Row],[WASH - new]]-tblPiNHistorical[[#This Row],[WASH - old]])</f>
        <v>-13613.131304986222</v>
      </c>
      <c r="AI123" s="342">
        <f>IFERROR(ROUND((tblPiNHistorical[[#This Row],[CCCM - new]] - tblPiNHistorical[[#This Row],[CCCM - old]])/tblPiNHistorical[[#This Row],[CCCM - old]], 1), "")</f>
        <v>-1</v>
      </c>
      <c r="AJ123" s="343">
        <f>IFERROR(ROUND((tblPiNHistorical[[#This Row],[Education - new]]-tblPiNHistorical[[#This Row],[Education - old]])/tblPiNHistorical[[#This Row],[Education - old]], 1), "")</f>
        <v>-0.4</v>
      </c>
      <c r="AK123" s="343">
        <f>IFERROR(ROUND((tblPiNHistorical[[#This Row],[Nutrition - new]]-tblPiNHistorical[[#This Row],[Nutrition - old]])/tblPiNHistorical[[#This Row],[Nutrition - old]], 1), "")</f>
        <v>0.1</v>
      </c>
      <c r="AL123" s="343">
        <f>IFERROR(ROUND((tblPiNHistorical[[#This Row],[Food Security - new]]-tblPiNHistorical[[#This Row],[Food Security - old]])/tblPiNHistorical[[#This Row],[Food Security - old]], 1), "")</f>
        <v>-0.2</v>
      </c>
      <c r="AM123" s="343">
        <f>IFERROR(ROUND((tblPiNHistorical[[#This Row],[Health - new]]-tblPiNHistorical[[#This Row],[Health - old]])/tblPiNHistorical[[#This Row],[Health - old]], 1), "")</f>
        <v>0.1</v>
      </c>
      <c r="AN123" s="343">
        <f>IFERROR(ROUND((tblPiNHistorical[[#This Row],[Overarching Protection - new]]-tblPiNHistorical[[#This Row],[Overarching Protection - old]])/tblPiNHistorical[[#This Row],[Overarching Protection - old]], 1), "")</f>
        <v>-0.6</v>
      </c>
      <c r="AO123" s="343">
        <f>IFERROR(ROUND((tblPiNHistorical[[#This Row],[Shelter - new]]-tblPiNHistorical[[#This Row],[Shelter - old]])/tblPiNHistorical[[#This Row],[Shelter - old]], 1), "")</f>
        <v>5.7</v>
      </c>
      <c r="AP123" s="38">
        <f>IFERROR(ROUND((tblPiNHistorical[[#This Row],[WASH - new]]-tblPiNHistorical[[#This Row],[WASH - old]])/tblPiNHistorical[[#This Row],[WASH - old]], 1), "")</f>
        <v>-0.4</v>
      </c>
      <c r="AQ123" s="406">
        <v>37619</v>
      </c>
      <c r="AR123" s="406">
        <v>30482.403979223356</v>
      </c>
    </row>
    <row r="124" spans="1:44" ht="15" customHeight="1" x14ac:dyDescent="0.55000000000000004">
      <c r="A12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4" s="316" t="s">
        <v>322</v>
      </c>
      <c r="C124" s="218" t="s">
        <v>323</v>
      </c>
      <c r="D124" s="218" t="s">
        <v>328</v>
      </c>
      <c r="E124" s="105" t="s">
        <v>329</v>
      </c>
      <c r="F124" s="100"/>
      <c r="G124" s="34"/>
      <c r="H124" s="335"/>
      <c r="I124" s="97"/>
      <c r="J124" s="97" t="s">
        <v>413</v>
      </c>
      <c r="K124" s="336">
        <v>0</v>
      </c>
      <c r="L124" s="337">
        <v>14495</v>
      </c>
      <c r="M124" s="319">
        <v>22558.712016289715</v>
      </c>
      <c r="N124" s="319">
        <v>55721</v>
      </c>
      <c r="O124" s="319">
        <v>33790.344350595842</v>
      </c>
      <c r="P124" s="319">
        <v>27618.124207125002</v>
      </c>
      <c r="Q124" s="320">
        <v>5125.6685740218663</v>
      </c>
      <c r="R124" s="319">
        <v>18226.371210350244</v>
      </c>
      <c r="S124" s="235">
        <f>tblPiNAnalysis[[#This Row],[CCCM]]</f>
        <v>0</v>
      </c>
      <c r="T124" s="236">
        <f>tblPiNAnalysis[[#This Row],[Education]]</f>
        <v>11162.953324028977</v>
      </c>
      <c r="U124" s="219">
        <f>tblPiNAnalysis[[#This Row],[Nutrition]]</f>
        <v>26371.550552860583</v>
      </c>
      <c r="V124" s="219">
        <f>tblPiNAnalysis[[#This Row],[Food Security]]</f>
        <v>43164.898674527911</v>
      </c>
      <c r="W124" s="219">
        <f>tblPiNAnalysis[[#This Row],[Health]]</f>
        <v>26841.201334186208</v>
      </c>
      <c r="X124" s="219">
        <f>tblPiNAnalysis[[#This Row],[Overarching Protection]]</f>
        <v>8646</v>
      </c>
      <c r="Y124" s="219">
        <f>tblPiNAnalysis[[#This Row],[Shelter]]</f>
        <v>12082.215827572982</v>
      </c>
      <c r="Z124" s="230">
        <f>tblPiNAnalysis[[#This Row],[WASH]]</f>
        <v>31510.717204627075</v>
      </c>
      <c r="AA124" s="339" t="str">
        <f>IF(OR(tblPiNHistorical[[#This Row],[CCCM - old]]="", tblPiNHistorical[[#This Row],[CCCM - old]]=0, tblPiNHistorical[[#This Row],[CCCM - new]]="", tblPiNHistorical[[#This Row],[CCCM - new]]=0), "", tblPiNHistorical[[#This Row],[CCCM - new]]-tblPiNHistorical[[#This Row],[CCCM - old]])</f>
        <v/>
      </c>
      <c r="AB124" s="340">
        <f>IF(OR(tblPiNHistorical[[#This Row],[Education - old]]="", tblPiNHistorical[[#This Row],[Education - old]]=0, tblPiNHistorical[[#This Row],[Education - new]]="", tblPiNHistorical[[#This Row],[Education - new]]=0), "", tblPiNHistorical[[#This Row],[Education - new]]-tblPiNHistorical[[#This Row],[Education - old]])</f>
        <v>-3332.0466759710234</v>
      </c>
      <c r="AC124" s="340">
        <f>IF(OR(tblPiNHistorical[[#This Row],[Nutrition - old]]="", tblPiNHistorical[[#This Row],[Nutrition - old]]=0, tblPiNHistorical[[#This Row],[Nutrition - new]]="", tblPiNHistorical[[#This Row],[Nutrition - new]]=0), "", tblPiNHistorical[[#This Row],[Nutrition - new]]-tblPiNHistorical[[#This Row],[Nutrition - old]])</f>
        <v>3812.8385365708673</v>
      </c>
      <c r="AD124" s="340">
        <f>IF(OR(tblPiNHistorical[[#This Row],[Food Security - old]]="", tblPiNHistorical[[#This Row],[Food Security - old]]=0, tblPiNHistorical[[#This Row],[Food Security - new]]="", tblPiNHistorical[[#This Row],[Food Security - new]]=0), "", tblPiNHistorical[[#This Row],[Food Security - new]]-tblPiNHistorical[[#This Row],[Food Security - old]])</f>
        <v>-12556.101325472089</v>
      </c>
      <c r="AE124" s="340">
        <f>IF(OR(tblPiNHistorical[[#This Row],[Health - old]]="", tblPiNHistorical[[#This Row],[Health - old]]=0, tblPiNHistorical[[#This Row],[Health - new]]="", tblPiNHistorical[[#This Row],[Health - new]]=0), "", tblPiNHistorical[[#This Row],[Health - new]]-tblPiNHistorical[[#This Row],[Health - old]])</f>
        <v>-6949.1430164096346</v>
      </c>
      <c r="AF12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-18972.124207125002</v>
      </c>
      <c r="AG124" s="340">
        <f>IF(OR(tblPiNHistorical[[#This Row],[Shelter - old]]="", tblPiNHistorical[[#This Row],[Shelter - old]]=0, tblPiNHistorical[[#This Row],[Shelter - new]]="", tblPiNHistorical[[#This Row],[Shelter - new]]=0), "", tblPiNHistorical[[#This Row],[Shelter - new]]-tblPiNHistorical[[#This Row],[Shelter - old]])</f>
        <v>6956.5472535511153</v>
      </c>
      <c r="AH124" s="341">
        <f>IF(OR(tblPiNHistorical[[#This Row],[WASH - old]]="", tblPiNHistorical[[#This Row],[WASH - old]]=0, tblPiNHistorical[[#This Row],[WASH - new]]="", tblPiNHistorical[[#This Row],[WASH - new]]=0), "", tblPiNHistorical[[#This Row],[WASH - new]]-tblPiNHistorical[[#This Row],[WASH - old]])</f>
        <v>13284.345994276831</v>
      </c>
      <c r="AI124" s="342" t="str">
        <f>IFERROR(ROUND((tblPiNHistorical[[#This Row],[CCCM - new]] - tblPiNHistorical[[#This Row],[CCCM - old]])/tblPiNHistorical[[#This Row],[CCCM - old]], 1), "")</f>
        <v/>
      </c>
      <c r="AJ124" s="343">
        <f>IFERROR(ROUND((tblPiNHistorical[[#This Row],[Education - new]]-tblPiNHistorical[[#This Row],[Education - old]])/tblPiNHistorical[[#This Row],[Education - old]], 1), "")</f>
        <v>-0.2</v>
      </c>
      <c r="AK124" s="343">
        <f>IFERROR(ROUND((tblPiNHistorical[[#This Row],[Nutrition - new]]-tblPiNHistorical[[#This Row],[Nutrition - old]])/tblPiNHistorical[[#This Row],[Nutrition - old]], 1), "")</f>
        <v>0.2</v>
      </c>
      <c r="AL124" s="343">
        <f>IFERROR(ROUND((tblPiNHistorical[[#This Row],[Food Security - new]]-tblPiNHistorical[[#This Row],[Food Security - old]])/tblPiNHistorical[[#This Row],[Food Security - old]], 1), "")</f>
        <v>-0.2</v>
      </c>
      <c r="AM124" s="343">
        <f>IFERROR(ROUND((tblPiNHistorical[[#This Row],[Health - new]]-tblPiNHistorical[[#This Row],[Health - old]])/tblPiNHistorical[[#This Row],[Health - old]], 1), "")</f>
        <v>-0.2</v>
      </c>
      <c r="AN124" s="343">
        <f>IFERROR(ROUND((tblPiNHistorical[[#This Row],[Overarching Protection - new]]-tblPiNHistorical[[#This Row],[Overarching Protection - old]])/tblPiNHistorical[[#This Row],[Overarching Protection - old]], 1), "")</f>
        <v>-0.7</v>
      </c>
      <c r="AO124" s="343">
        <f>IFERROR(ROUND((tblPiNHistorical[[#This Row],[Shelter - new]]-tblPiNHistorical[[#This Row],[Shelter - old]])/tblPiNHistorical[[#This Row],[Shelter - old]], 1), "")</f>
        <v>1.4</v>
      </c>
      <c r="AP124" s="38">
        <f>IFERROR(ROUND((tblPiNHistorical[[#This Row],[WASH - new]]-tblPiNHistorical[[#This Row],[WASH - old]])/tblPiNHistorical[[#This Row],[WASH - old]], 1), "")</f>
        <v>0.7</v>
      </c>
      <c r="AQ124" s="406">
        <v>55721</v>
      </c>
      <c r="AR124" s="406">
        <v>43164.898674527911</v>
      </c>
    </row>
    <row r="125" spans="1:44" ht="15" customHeight="1" x14ac:dyDescent="0.55000000000000004">
      <c r="A12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5" s="316" t="s">
        <v>322</v>
      </c>
      <c r="C125" s="218" t="s">
        <v>323</v>
      </c>
      <c r="D125" s="218" t="s">
        <v>330</v>
      </c>
      <c r="E125" s="105" t="s">
        <v>331</v>
      </c>
      <c r="F125" s="100"/>
      <c r="G125" s="34"/>
      <c r="H125" s="335"/>
      <c r="I125" s="97"/>
      <c r="J125" s="97" t="s">
        <v>413</v>
      </c>
      <c r="K125" s="336">
        <v>0</v>
      </c>
      <c r="L125" s="337">
        <v>7672</v>
      </c>
      <c r="M125" s="319">
        <v>10841.207030017231</v>
      </c>
      <c r="N125" s="319">
        <v>28408</v>
      </c>
      <c r="O125" s="319">
        <v>31762.599244902176</v>
      </c>
      <c r="P125" s="319">
        <v>14032.294314374998</v>
      </c>
      <c r="Q125" s="320">
        <v>9365.3428858279713</v>
      </c>
      <c r="R125" s="319">
        <v>9689.2276606295236</v>
      </c>
      <c r="S125" s="235">
        <f>tblPiNAnalysis[[#This Row],[CCCM]]</f>
        <v>0</v>
      </c>
      <c r="T125" s="236">
        <f>tblPiNAnalysis[[#This Row],[Education]]</f>
        <v>5357.3163683486218</v>
      </c>
      <c r="U125" s="219">
        <f>tblPiNAnalysis[[#This Row],[Nutrition]]</f>
        <v>12220.021564894554</v>
      </c>
      <c r="V125" s="219">
        <f>tblPiNAnalysis[[#This Row],[Food Security]]</f>
        <v>19803.793626160932</v>
      </c>
      <c r="W125" s="219">
        <f>tblPiNAnalysis[[#This Row],[Health]]</f>
        <v>15231.434369696173</v>
      </c>
      <c r="X125" s="219">
        <f>tblPiNAnalysis[[#This Row],[Overarching Protection]]</f>
        <v>4855</v>
      </c>
      <c r="Y125" s="219">
        <f>tblPiNAnalysis[[#This Row],[Shelter]]</f>
        <v>25629.895504108583</v>
      </c>
      <c r="Z125" s="230">
        <f>tblPiNAnalysis[[#This Row],[WASH]]</f>
        <v>9916.3286176610563</v>
      </c>
      <c r="AA125" s="339" t="str">
        <f>IF(OR(tblPiNHistorical[[#This Row],[CCCM - old]]="", tblPiNHistorical[[#This Row],[CCCM - old]]=0, tblPiNHistorical[[#This Row],[CCCM - new]]="", tblPiNHistorical[[#This Row],[CCCM - new]]=0), "", tblPiNHistorical[[#This Row],[CCCM - new]]-tblPiNHistorical[[#This Row],[CCCM - old]])</f>
        <v/>
      </c>
      <c r="AB125" s="340">
        <f>IF(OR(tblPiNHistorical[[#This Row],[Education - old]]="", tblPiNHistorical[[#This Row],[Education - old]]=0, tblPiNHistorical[[#This Row],[Education - new]]="", tblPiNHistorical[[#This Row],[Education - new]]=0), "", tblPiNHistorical[[#This Row],[Education - new]]-tblPiNHistorical[[#This Row],[Education - old]])</f>
        <v>-2314.6836316513782</v>
      </c>
      <c r="AC125" s="340">
        <f>IF(OR(tblPiNHistorical[[#This Row],[Nutrition - old]]="", tblPiNHistorical[[#This Row],[Nutrition - old]]=0, tblPiNHistorical[[#This Row],[Nutrition - new]]="", tblPiNHistorical[[#This Row],[Nutrition - new]]=0), "", tblPiNHistorical[[#This Row],[Nutrition - new]]-tblPiNHistorical[[#This Row],[Nutrition - old]])</f>
        <v>1378.8145348773232</v>
      </c>
      <c r="AD125" s="340">
        <f>IF(OR(tblPiNHistorical[[#This Row],[Food Security - old]]="", tblPiNHistorical[[#This Row],[Food Security - old]]=0, tblPiNHistorical[[#This Row],[Food Security - new]]="", tblPiNHistorical[[#This Row],[Food Security - new]]=0), "", tblPiNHistorical[[#This Row],[Food Security - new]]-tblPiNHistorical[[#This Row],[Food Security - old]])</f>
        <v>-8604.206373839068</v>
      </c>
      <c r="AE125" s="340">
        <f>IF(OR(tblPiNHistorical[[#This Row],[Health - old]]="", tblPiNHistorical[[#This Row],[Health - old]]=0, tblPiNHistorical[[#This Row],[Health - new]]="", tblPiNHistorical[[#This Row],[Health - new]]=0), "", tblPiNHistorical[[#This Row],[Health - new]]-tblPiNHistorical[[#This Row],[Health - old]])</f>
        <v>-16531.164875206003</v>
      </c>
      <c r="AF12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-9177.2943143749981</v>
      </c>
      <c r="AG125" s="340">
        <f>IF(OR(tblPiNHistorical[[#This Row],[Shelter - old]]="", tblPiNHistorical[[#This Row],[Shelter - old]]=0, tblPiNHistorical[[#This Row],[Shelter - new]]="", tblPiNHistorical[[#This Row],[Shelter - new]]=0), "", tblPiNHistorical[[#This Row],[Shelter - new]]-tblPiNHistorical[[#This Row],[Shelter - old]])</f>
        <v>16264.552618280612</v>
      </c>
      <c r="AH125" s="341">
        <f>IF(OR(tblPiNHistorical[[#This Row],[WASH - old]]="", tblPiNHistorical[[#This Row],[WASH - old]]=0, tblPiNHistorical[[#This Row],[WASH - new]]="", tblPiNHistorical[[#This Row],[WASH - new]]=0), "", tblPiNHistorical[[#This Row],[WASH - new]]-tblPiNHistorical[[#This Row],[WASH - old]])</f>
        <v>227.10095703153274</v>
      </c>
      <c r="AI125" s="342" t="str">
        <f>IFERROR(ROUND((tblPiNHistorical[[#This Row],[CCCM - new]] - tblPiNHistorical[[#This Row],[CCCM - old]])/tblPiNHistorical[[#This Row],[CCCM - old]], 1), "")</f>
        <v/>
      </c>
      <c r="AJ125" s="343">
        <f>IFERROR(ROUND((tblPiNHistorical[[#This Row],[Education - new]]-tblPiNHistorical[[#This Row],[Education - old]])/tblPiNHistorical[[#This Row],[Education - old]], 1), "")</f>
        <v>-0.3</v>
      </c>
      <c r="AK125" s="343">
        <f>IFERROR(ROUND((tblPiNHistorical[[#This Row],[Nutrition - new]]-tblPiNHistorical[[#This Row],[Nutrition - old]])/tblPiNHistorical[[#This Row],[Nutrition - old]], 1), "")</f>
        <v>0.1</v>
      </c>
      <c r="AL125" s="343">
        <f>IFERROR(ROUND((tblPiNHistorical[[#This Row],[Food Security - new]]-tblPiNHistorical[[#This Row],[Food Security - old]])/tblPiNHistorical[[#This Row],[Food Security - old]], 1), "")</f>
        <v>-0.3</v>
      </c>
      <c r="AM125" s="343">
        <f>IFERROR(ROUND((tblPiNHistorical[[#This Row],[Health - new]]-tblPiNHistorical[[#This Row],[Health - old]])/tblPiNHistorical[[#This Row],[Health - old]], 1), "")</f>
        <v>-0.5</v>
      </c>
      <c r="AN125" s="343">
        <f>IFERROR(ROUND((tblPiNHistorical[[#This Row],[Overarching Protection - new]]-tblPiNHistorical[[#This Row],[Overarching Protection - old]])/tblPiNHistorical[[#This Row],[Overarching Protection - old]], 1), "")</f>
        <v>-0.7</v>
      </c>
      <c r="AO125" s="343">
        <f>IFERROR(ROUND((tblPiNHistorical[[#This Row],[Shelter - new]]-tblPiNHistorical[[#This Row],[Shelter - old]])/tblPiNHistorical[[#This Row],[Shelter - old]], 1), "")</f>
        <v>1.7</v>
      </c>
      <c r="AP125" s="38">
        <f>IFERROR(ROUND((tblPiNHistorical[[#This Row],[WASH - new]]-tblPiNHistorical[[#This Row],[WASH - old]])/tblPiNHistorical[[#This Row],[WASH - old]], 1), "")</f>
        <v>0</v>
      </c>
      <c r="AQ125" s="406">
        <v>31762.599244902176</v>
      </c>
      <c r="AR125" s="406">
        <v>25629.895504108583</v>
      </c>
    </row>
    <row r="126" spans="1:44" ht="15" customHeight="1" x14ac:dyDescent="0.55000000000000004">
      <c r="A12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6" s="316" t="s">
        <v>322</v>
      </c>
      <c r="C126" s="218" t="s">
        <v>323</v>
      </c>
      <c r="D126" s="218" t="s">
        <v>332</v>
      </c>
      <c r="E126" s="105" t="s">
        <v>333</v>
      </c>
      <c r="F126" s="100"/>
      <c r="G126" s="34"/>
      <c r="H126" s="335"/>
      <c r="I126" s="97"/>
      <c r="J126" s="97" t="s">
        <v>413</v>
      </c>
      <c r="K126" s="336">
        <v>232.51850444093088</v>
      </c>
      <c r="L126" s="337">
        <v>4535</v>
      </c>
      <c r="M126" s="319">
        <v>24256.149022794914</v>
      </c>
      <c r="N126" s="319">
        <v>32196</v>
      </c>
      <c r="O126" s="319">
        <v>19952.782936583961</v>
      </c>
      <c r="P126" s="319">
        <v>18218.713233750001</v>
      </c>
      <c r="Q126" s="320">
        <v>14815.178438633726</v>
      </c>
      <c r="R126" s="319">
        <v>14646.312839948929</v>
      </c>
      <c r="S126" s="235">
        <f>tblPiNAnalysis[[#This Row],[CCCM]]</f>
        <v>0</v>
      </c>
      <c r="T126" s="236">
        <f>tblPiNAnalysis[[#This Row],[Education]]</f>
        <v>4038.5784127181892</v>
      </c>
      <c r="U126" s="219">
        <f>tblPiNAnalysis[[#This Row],[Nutrition]]</f>
        <v>18034.318157374215</v>
      </c>
      <c r="V126" s="219">
        <f>tblPiNAnalysis[[#This Row],[Food Security]]</f>
        <v>24492.422401719799</v>
      </c>
      <c r="W126" s="219">
        <f>tblPiNAnalysis[[#This Row],[Health]]</f>
        <v>15689.827622136641</v>
      </c>
      <c r="X126" s="219">
        <f>tblPiNAnalysis[[#This Row],[Overarching Protection]]</f>
        <v>5532</v>
      </c>
      <c r="Y126" s="219">
        <f>tblPiNAnalysis[[#This Row],[Shelter]]</f>
        <v>18859.784429252359</v>
      </c>
      <c r="Z126" s="230">
        <f>tblPiNAnalysis[[#This Row],[WASH]]</f>
        <v>13318.267522879445</v>
      </c>
      <c r="AA126" s="339" t="str">
        <f>IF(OR(tblPiNHistorical[[#This Row],[CCCM - old]]="", tblPiNHistorical[[#This Row],[CCCM - old]]=0, tblPiNHistorical[[#This Row],[CCCM - new]]="", tblPiNHistorical[[#This Row],[CCCM - new]]=0), "", tblPiNHistorical[[#This Row],[CCCM - new]]-tblPiNHistorical[[#This Row],[CCCM - old]])</f>
        <v/>
      </c>
      <c r="AB126" s="340">
        <f>IF(OR(tblPiNHistorical[[#This Row],[Education - old]]="", tblPiNHistorical[[#This Row],[Education - old]]=0, tblPiNHistorical[[#This Row],[Education - new]]="", tblPiNHistorical[[#This Row],[Education - new]]=0), "", tblPiNHistorical[[#This Row],[Education - new]]-tblPiNHistorical[[#This Row],[Education - old]])</f>
        <v>-496.42158728181084</v>
      </c>
      <c r="AC126" s="340">
        <f>IF(OR(tblPiNHistorical[[#This Row],[Nutrition - old]]="", tblPiNHistorical[[#This Row],[Nutrition - old]]=0, tblPiNHistorical[[#This Row],[Nutrition - new]]="", tblPiNHistorical[[#This Row],[Nutrition - new]]=0), "", tblPiNHistorical[[#This Row],[Nutrition - new]]-tblPiNHistorical[[#This Row],[Nutrition - old]])</f>
        <v>-6221.8308654206994</v>
      </c>
      <c r="AD126" s="340">
        <f>IF(OR(tblPiNHistorical[[#This Row],[Food Security - old]]="", tblPiNHistorical[[#This Row],[Food Security - old]]=0, tblPiNHistorical[[#This Row],[Food Security - new]]="", tblPiNHistorical[[#This Row],[Food Security - new]]=0), "", tblPiNHistorical[[#This Row],[Food Security - new]]-tblPiNHistorical[[#This Row],[Food Security - old]])</f>
        <v>-7703.5775982802006</v>
      </c>
      <c r="AE126" s="340">
        <f>IF(OR(tblPiNHistorical[[#This Row],[Health - old]]="", tblPiNHistorical[[#This Row],[Health - old]]=0, tblPiNHistorical[[#This Row],[Health - new]]="", tblPiNHistorical[[#This Row],[Health - new]]=0), "", tblPiNHistorical[[#This Row],[Health - new]]-tblPiNHistorical[[#This Row],[Health - old]])</f>
        <v>-4262.9553144473193</v>
      </c>
      <c r="AF12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-12686.713233750001</v>
      </c>
      <c r="AG126" s="340">
        <f>IF(OR(tblPiNHistorical[[#This Row],[Shelter - old]]="", tblPiNHistorical[[#This Row],[Shelter - old]]=0, tblPiNHistorical[[#This Row],[Shelter - new]]="", tblPiNHistorical[[#This Row],[Shelter - new]]=0), "", tblPiNHistorical[[#This Row],[Shelter - new]]-tblPiNHistorical[[#This Row],[Shelter - old]])</f>
        <v>4044.6059906186329</v>
      </c>
      <c r="AH126" s="341">
        <f>IF(OR(tblPiNHistorical[[#This Row],[WASH - old]]="", tblPiNHistorical[[#This Row],[WASH - old]]=0, tblPiNHistorical[[#This Row],[WASH - new]]="", tblPiNHistorical[[#This Row],[WASH - new]]=0), "", tblPiNHistorical[[#This Row],[WASH - new]]-tblPiNHistorical[[#This Row],[WASH - old]])</f>
        <v>-1328.0453170694836</v>
      </c>
      <c r="AI126" s="342">
        <f>IFERROR(ROUND((tblPiNHistorical[[#This Row],[CCCM - new]] - tblPiNHistorical[[#This Row],[CCCM - old]])/tblPiNHistorical[[#This Row],[CCCM - old]], 1), "")</f>
        <v>-1</v>
      </c>
      <c r="AJ126" s="343">
        <f>IFERROR(ROUND((tblPiNHistorical[[#This Row],[Education - new]]-tblPiNHistorical[[#This Row],[Education - old]])/tblPiNHistorical[[#This Row],[Education - old]], 1), "")</f>
        <v>-0.1</v>
      </c>
      <c r="AK126" s="343">
        <f>IFERROR(ROUND((tblPiNHistorical[[#This Row],[Nutrition - new]]-tblPiNHistorical[[#This Row],[Nutrition - old]])/tblPiNHistorical[[#This Row],[Nutrition - old]], 1), "")</f>
        <v>-0.3</v>
      </c>
      <c r="AL126" s="343">
        <f>IFERROR(ROUND((tblPiNHistorical[[#This Row],[Food Security - new]]-tblPiNHistorical[[#This Row],[Food Security - old]])/tblPiNHistorical[[#This Row],[Food Security - old]], 1), "")</f>
        <v>-0.2</v>
      </c>
      <c r="AM126" s="343">
        <f>IFERROR(ROUND((tblPiNHistorical[[#This Row],[Health - new]]-tblPiNHistorical[[#This Row],[Health - old]])/tblPiNHistorical[[#This Row],[Health - old]], 1), "")</f>
        <v>-0.2</v>
      </c>
      <c r="AN126" s="343">
        <f>IFERROR(ROUND((tblPiNHistorical[[#This Row],[Overarching Protection - new]]-tblPiNHistorical[[#This Row],[Overarching Protection - old]])/tblPiNHistorical[[#This Row],[Overarching Protection - old]], 1), "")</f>
        <v>-0.7</v>
      </c>
      <c r="AO126" s="343">
        <f>IFERROR(ROUND((tblPiNHistorical[[#This Row],[Shelter - new]]-tblPiNHistorical[[#This Row],[Shelter - old]])/tblPiNHistorical[[#This Row],[Shelter - old]], 1), "")</f>
        <v>0.3</v>
      </c>
      <c r="AP126" s="38">
        <f>IFERROR(ROUND((tblPiNHistorical[[#This Row],[WASH - new]]-tblPiNHistorical[[#This Row],[WASH - old]])/tblPiNHistorical[[#This Row],[WASH - old]], 1), "")</f>
        <v>-0.1</v>
      </c>
      <c r="AQ126" s="406">
        <v>32196</v>
      </c>
      <c r="AR126" s="406">
        <v>24492.422401719799</v>
      </c>
    </row>
    <row r="127" spans="1:44" ht="15" customHeight="1" x14ac:dyDescent="0.55000000000000004">
      <c r="A12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7" s="316" t="s">
        <v>322</v>
      </c>
      <c r="C127" s="218" t="s">
        <v>323</v>
      </c>
      <c r="D127" s="218" t="s">
        <v>334</v>
      </c>
      <c r="E127" s="105" t="s">
        <v>335</v>
      </c>
      <c r="F127" s="100"/>
      <c r="G127" s="34"/>
      <c r="H127" s="335"/>
      <c r="I127" s="97"/>
      <c r="J127" s="97" t="s">
        <v>413</v>
      </c>
      <c r="K127" s="336">
        <v>0</v>
      </c>
      <c r="L127" s="337">
        <v>23009</v>
      </c>
      <c r="M127" s="319">
        <v>40147.143957727181</v>
      </c>
      <c r="N127" s="319">
        <v>58315</v>
      </c>
      <c r="O127" s="319">
        <v>68090.0537782967</v>
      </c>
      <c r="P127" s="319">
        <v>48328.856421286262</v>
      </c>
      <c r="Q127" s="320">
        <v>14749.999999999998</v>
      </c>
      <c r="R127" s="319">
        <v>53264.138934846254</v>
      </c>
      <c r="S127" s="235">
        <f>tblPiNAnalysis[[#This Row],[CCCM]]</f>
        <v>0</v>
      </c>
      <c r="T127" s="236">
        <f>tblPiNAnalysis[[#This Row],[Education]]</f>
        <v>29107.661829172175</v>
      </c>
      <c r="U127" s="219">
        <f>tblPiNAnalysis[[#This Row],[Nutrition]]</f>
        <v>45514.967836092444</v>
      </c>
      <c r="V127" s="219">
        <f>tblPiNAnalysis[[#This Row],[Food Security]]</f>
        <v>62822.381740705023</v>
      </c>
      <c r="W127" s="219">
        <f>tblPiNAnalysis[[#This Row],[Health]]</f>
        <v>51361.527117805272</v>
      </c>
      <c r="X127" s="219">
        <f>tblPiNAnalysis[[#This Row],[Overarching Protection]]</f>
        <v>16258</v>
      </c>
      <c r="Y127" s="219">
        <f>tblPiNAnalysis[[#This Row],[Shelter]]</f>
        <v>16710.319497723583</v>
      </c>
      <c r="Z127" s="230">
        <f>tblPiNAnalysis[[#This Row],[WASH]]</f>
        <v>40514.193426104757</v>
      </c>
      <c r="AA127" s="339" t="str">
        <f>IF(OR(tblPiNHistorical[[#This Row],[CCCM - old]]="", tblPiNHistorical[[#This Row],[CCCM - old]]=0, tblPiNHistorical[[#This Row],[CCCM - new]]="", tblPiNHistorical[[#This Row],[CCCM - new]]=0), "", tblPiNHistorical[[#This Row],[CCCM - new]]-tblPiNHistorical[[#This Row],[CCCM - old]])</f>
        <v/>
      </c>
      <c r="AB127" s="340">
        <f>IF(OR(tblPiNHistorical[[#This Row],[Education - old]]="", tblPiNHistorical[[#This Row],[Education - old]]=0, tblPiNHistorical[[#This Row],[Education - new]]="", tblPiNHistorical[[#This Row],[Education - new]]=0), "", tblPiNHistorical[[#This Row],[Education - new]]-tblPiNHistorical[[#This Row],[Education - old]])</f>
        <v>6098.6618291721752</v>
      </c>
      <c r="AC127" s="340">
        <f>IF(OR(tblPiNHistorical[[#This Row],[Nutrition - old]]="", tblPiNHistorical[[#This Row],[Nutrition - old]]=0, tblPiNHistorical[[#This Row],[Nutrition - new]]="", tblPiNHistorical[[#This Row],[Nutrition - new]]=0), "", tblPiNHistorical[[#This Row],[Nutrition - new]]-tblPiNHistorical[[#This Row],[Nutrition - old]])</f>
        <v>5367.8238783652632</v>
      </c>
      <c r="AD127" s="340">
        <f>IF(OR(tblPiNHistorical[[#This Row],[Food Security - old]]="", tblPiNHistorical[[#This Row],[Food Security - old]]=0, tblPiNHistorical[[#This Row],[Food Security - new]]="", tblPiNHistorical[[#This Row],[Food Security - new]]=0), "", tblPiNHistorical[[#This Row],[Food Security - new]]-tblPiNHistorical[[#This Row],[Food Security - old]])</f>
        <v>4507.3817407050228</v>
      </c>
      <c r="AE127" s="340">
        <f>IF(OR(tblPiNHistorical[[#This Row],[Health - old]]="", tblPiNHistorical[[#This Row],[Health - old]]=0, tblPiNHistorical[[#This Row],[Health - new]]="", tblPiNHistorical[[#This Row],[Health - new]]=0), "", tblPiNHistorical[[#This Row],[Health - new]]-tblPiNHistorical[[#This Row],[Health - old]])</f>
        <v>-16728.526660491429</v>
      </c>
      <c r="AF12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-32070.856421286262</v>
      </c>
      <c r="AG127" s="340">
        <f>IF(OR(tblPiNHistorical[[#This Row],[Shelter - old]]="", tblPiNHistorical[[#This Row],[Shelter - old]]=0, tblPiNHistorical[[#This Row],[Shelter - new]]="", tblPiNHistorical[[#This Row],[Shelter - new]]=0), "", tblPiNHistorical[[#This Row],[Shelter - new]]-tblPiNHistorical[[#This Row],[Shelter - old]])</f>
        <v>1960.3194977235853</v>
      </c>
      <c r="AH127" s="341">
        <f>IF(OR(tblPiNHistorical[[#This Row],[WASH - old]]="", tblPiNHistorical[[#This Row],[WASH - old]]=0, tblPiNHistorical[[#This Row],[WASH - new]]="", tblPiNHistorical[[#This Row],[WASH - new]]=0), "", tblPiNHistorical[[#This Row],[WASH - new]]-tblPiNHistorical[[#This Row],[WASH - old]])</f>
        <v>-12749.945508741497</v>
      </c>
      <c r="AI127" s="342" t="str">
        <f>IFERROR(ROUND((tblPiNHistorical[[#This Row],[CCCM - new]] - tblPiNHistorical[[#This Row],[CCCM - old]])/tblPiNHistorical[[#This Row],[CCCM - old]], 1), "")</f>
        <v/>
      </c>
      <c r="AJ127" s="343">
        <f>IFERROR(ROUND((tblPiNHistorical[[#This Row],[Education - new]]-tblPiNHistorical[[#This Row],[Education - old]])/tblPiNHistorical[[#This Row],[Education - old]], 1), "")</f>
        <v>0.3</v>
      </c>
      <c r="AK127" s="343">
        <f>IFERROR(ROUND((tblPiNHistorical[[#This Row],[Nutrition - new]]-tblPiNHistorical[[#This Row],[Nutrition - old]])/tblPiNHistorical[[#This Row],[Nutrition - old]], 1), "")</f>
        <v>0.1</v>
      </c>
      <c r="AL127" s="343">
        <f>IFERROR(ROUND((tblPiNHistorical[[#This Row],[Food Security - new]]-tblPiNHistorical[[#This Row],[Food Security - old]])/tblPiNHistorical[[#This Row],[Food Security - old]], 1), "")</f>
        <v>0.1</v>
      </c>
      <c r="AM127" s="343">
        <f>IFERROR(ROUND((tblPiNHistorical[[#This Row],[Health - new]]-tblPiNHistorical[[#This Row],[Health - old]])/tblPiNHistorical[[#This Row],[Health - old]], 1), "")</f>
        <v>-0.2</v>
      </c>
      <c r="AN127" s="343">
        <f>IFERROR(ROUND((tblPiNHistorical[[#This Row],[Overarching Protection - new]]-tblPiNHistorical[[#This Row],[Overarching Protection - old]])/tblPiNHistorical[[#This Row],[Overarching Protection - old]], 1), "")</f>
        <v>-0.7</v>
      </c>
      <c r="AO127" s="343">
        <f>IFERROR(ROUND((tblPiNHistorical[[#This Row],[Shelter - new]]-tblPiNHistorical[[#This Row],[Shelter - old]])/tblPiNHistorical[[#This Row],[Shelter - old]], 1), "")</f>
        <v>0.1</v>
      </c>
      <c r="AP127" s="38">
        <f>IFERROR(ROUND((tblPiNHistorical[[#This Row],[WASH - new]]-tblPiNHistorical[[#This Row],[WASH - old]])/tblPiNHistorical[[#This Row],[WASH - old]], 1), "")</f>
        <v>-0.2</v>
      </c>
      <c r="AQ127" s="406">
        <v>68090.0537782967</v>
      </c>
      <c r="AR127" s="406">
        <v>62822.381740705023</v>
      </c>
    </row>
    <row r="128" spans="1:44" ht="15" customHeight="1" x14ac:dyDescent="0.55000000000000004">
      <c r="A12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8" s="316" t="s">
        <v>322</v>
      </c>
      <c r="C128" s="218" t="s">
        <v>323</v>
      </c>
      <c r="D128" s="218" t="s">
        <v>336</v>
      </c>
      <c r="E128" s="105" t="s">
        <v>337</v>
      </c>
      <c r="F128" s="100"/>
      <c r="G128" s="34"/>
      <c r="H128" s="335"/>
      <c r="I128" s="97"/>
      <c r="J128" s="97" t="s">
        <v>413</v>
      </c>
      <c r="K128" s="336">
        <v>0</v>
      </c>
      <c r="L128" s="337">
        <v>23023</v>
      </c>
      <c r="M128" s="319">
        <v>33618.250431417749</v>
      </c>
      <c r="N128" s="319">
        <v>64204</v>
      </c>
      <c r="O128" s="319">
        <v>32263.204785253089</v>
      </c>
      <c r="P128" s="319">
        <v>25713.299030250004</v>
      </c>
      <c r="Q128" s="320">
        <v>20388.576923076922</v>
      </c>
      <c r="R128" s="319">
        <v>44175.366410796232</v>
      </c>
      <c r="S128" s="235">
        <f>tblPiNAnalysis[[#This Row],[CCCM]]</f>
        <v>0</v>
      </c>
      <c r="T128" s="236">
        <f>tblPiNAnalysis[[#This Row],[Education]]</f>
        <v>14267.427932178172</v>
      </c>
      <c r="U128" s="219">
        <f>tblPiNAnalysis[[#This Row],[Nutrition]]</f>
        <v>23988.652968058013</v>
      </c>
      <c r="V128" s="219">
        <f>tblPiNAnalysis[[#This Row],[Food Security]]</f>
        <v>34425.758326525865</v>
      </c>
      <c r="W128" s="219">
        <f>tblPiNAnalysis[[#This Row],[Health]]</f>
        <v>30178.3703752361</v>
      </c>
      <c r="X128" s="219">
        <f>tblPiNAnalysis[[#This Row],[Overarching Protection]]</f>
        <v>16304</v>
      </c>
      <c r="Y128" s="219">
        <f>tblPiNAnalysis[[#This Row],[Shelter]]</f>
        <v>31957.389210422531</v>
      </c>
      <c r="Z128" s="230">
        <f>tblPiNAnalysis[[#This Row],[WASH]]</f>
        <v>24788.496765491887</v>
      </c>
      <c r="AA128" s="339" t="str">
        <f>IF(OR(tblPiNHistorical[[#This Row],[CCCM - old]]="", tblPiNHistorical[[#This Row],[CCCM - old]]=0, tblPiNHistorical[[#This Row],[CCCM - new]]="", tblPiNHistorical[[#This Row],[CCCM - new]]=0), "", tblPiNHistorical[[#This Row],[CCCM - new]]-tblPiNHistorical[[#This Row],[CCCM - old]])</f>
        <v/>
      </c>
      <c r="AB128" s="340">
        <f>IF(OR(tblPiNHistorical[[#This Row],[Education - old]]="", tblPiNHistorical[[#This Row],[Education - old]]=0, tblPiNHistorical[[#This Row],[Education - new]]="", tblPiNHistorical[[#This Row],[Education - new]]=0), "", tblPiNHistorical[[#This Row],[Education - new]]-tblPiNHistorical[[#This Row],[Education - old]])</f>
        <v>-8755.5720678218277</v>
      </c>
      <c r="AC128" s="340">
        <f>IF(OR(tblPiNHistorical[[#This Row],[Nutrition - old]]="", tblPiNHistorical[[#This Row],[Nutrition - old]]=0, tblPiNHistorical[[#This Row],[Nutrition - new]]="", tblPiNHistorical[[#This Row],[Nutrition - new]]=0), "", tblPiNHistorical[[#This Row],[Nutrition - new]]-tblPiNHistorical[[#This Row],[Nutrition - old]])</f>
        <v>-9629.5974633597361</v>
      </c>
      <c r="AD128" s="340">
        <f>IF(OR(tblPiNHistorical[[#This Row],[Food Security - old]]="", tblPiNHistorical[[#This Row],[Food Security - old]]=0, tblPiNHistorical[[#This Row],[Food Security - new]]="", tblPiNHistorical[[#This Row],[Food Security - new]]=0), "", tblPiNHistorical[[#This Row],[Food Security - new]]-tblPiNHistorical[[#This Row],[Food Security - old]])</f>
        <v>-29778.241673474135</v>
      </c>
      <c r="AE128" s="340">
        <f>IF(OR(tblPiNHistorical[[#This Row],[Health - old]]="", tblPiNHistorical[[#This Row],[Health - old]]=0, tblPiNHistorical[[#This Row],[Health - new]]="", tblPiNHistorical[[#This Row],[Health - new]]=0), "", tblPiNHistorical[[#This Row],[Health - new]]-tblPiNHistorical[[#This Row],[Health - old]])</f>
        <v>-2084.8344100169888</v>
      </c>
      <c r="AF12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-9409.2990302500039</v>
      </c>
      <c r="AG128" s="340">
        <f>IF(OR(tblPiNHistorical[[#This Row],[Shelter - old]]="", tblPiNHistorical[[#This Row],[Shelter - old]]=0, tblPiNHistorical[[#This Row],[Shelter - new]]="", tblPiNHistorical[[#This Row],[Shelter - new]]=0), "", tblPiNHistorical[[#This Row],[Shelter - new]]-tblPiNHistorical[[#This Row],[Shelter - old]])</f>
        <v>11568.812287345609</v>
      </c>
      <c r="AH128" s="341">
        <f>IF(OR(tblPiNHistorical[[#This Row],[WASH - old]]="", tblPiNHistorical[[#This Row],[WASH - old]]=0, tblPiNHistorical[[#This Row],[WASH - new]]="", tblPiNHistorical[[#This Row],[WASH - new]]=0), "", tblPiNHistorical[[#This Row],[WASH - new]]-tblPiNHistorical[[#This Row],[WASH - old]])</f>
        <v>-19386.869645304345</v>
      </c>
      <c r="AI128" s="342" t="str">
        <f>IFERROR(ROUND((tblPiNHistorical[[#This Row],[CCCM - new]] - tblPiNHistorical[[#This Row],[CCCM - old]])/tblPiNHistorical[[#This Row],[CCCM - old]], 1), "")</f>
        <v/>
      </c>
      <c r="AJ128" s="343">
        <f>IFERROR(ROUND((tblPiNHistorical[[#This Row],[Education - new]]-tblPiNHistorical[[#This Row],[Education - old]])/tblPiNHistorical[[#This Row],[Education - old]], 1), "")</f>
        <v>-0.4</v>
      </c>
      <c r="AK128" s="343">
        <f>IFERROR(ROUND((tblPiNHistorical[[#This Row],[Nutrition - new]]-tblPiNHistorical[[#This Row],[Nutrition - old]])/tblPiNHistorical[[#This Row],[Nutrition - old]], 1), "")</f>
        <v>-0.3</v>
      </c>
      <c r="AL128" s="343">
        <f>IFERROR(ROUND((tblPiNHistorical[[#This Row],[Food Security - new]]-tblPiNHistorical[[#This Row],[Food Security - old]])/tblPiNHistorical[[#This Row],[Food Security - old]], 1), "")</f>
        <v>-0.5</v>
      </c>
      <c r="AM128" s="343">
        <f>IFERROR(ROUND((tblPiNHistorical[[#This Row],[Health - new]]-tblPiNHistorical[[#This Row],[Health - old]])/tblPiNHistorical[[#This Row],[Health - old]], 1), "")</f>
        <v>-0.1</v>
      </c>
      <c r="AN128" s="343">
        <f>IFERROR(ROUND((tblPiNHistorical[[#This Row],[Overarching Protection - new]]-tblPiNHistorical[[#This Row],[Overarching Protection - old]])/tblPiNHistorical[[#This Row],[Overarching Protection - old]], 1), "")</f>
        <v>-0.4</v>
      </c>
      <c r="AO128" s="343">
        <f>IFERROR(ROUND((tblPiNHistorical[[#This Row],[Shelter - new]]-tblPiNHistorical[[#This Row],[Shelter - old]])/tblPiNHistorical[[#This Row],[Shelter - old]], 1), "")</f>
        <v>0.6</v>
      </c>
      <c r="AP128" s="38">
        <f>IFERROR(ROUND((tblPiNHistorical[[#This Row],[WASH - new]]-tblPiNHistorical[[#This Row],[WASH - old]])/tblPiNHistorical[[#This Row],[WASH - old]], 1), "")</f>
        <v>-0.4</v>
      </c>
      <c r="AQ128" s="406">
        <v>64204</v>
      </c>
      <c r="AR128" s="406">
        <v>34425.758326525865</v>
      </c>
    </row>
    <row r="129" spans="1:44" ht="15" customHeight="1" x14ac:dyDescent="0.55000000000000004">
      <c r="A12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29" s="316" t="s">
        <v>322</v>
      </c>
      <c r="C129" s="218" t="s">
        <v>323</v>
      </c>
      <c r="D129" s="218" t="s">
        <v>338</v>
      </c>
      <c r="E129" s="105" t="s">
        <v>339</v>
      </c>
      <c r="F129" s="100"/>
      <c r="G129" s="34"/>
      <c r="H129" s="335"/>
      <c r="I129" s="97"/>
      <c r="J129" s="97" t="s">
        <v>413</v>
      </c>
      <c r="K129" s="336">
        <v>0</v>
      </c>
      <c r="L129" s="337">
        <v>11772</v>
      </c>
      <c r="M129" s="319">
        <v>55402.698665283562</v>
      </c>
      <c r="N129" s="319">
        <v>66559</v>
      </c>
      <c r="O129" s="319">
        <v>29314.015148309834</v>
      </c>
      <c r="P129" s="319">
        <v>28470.315472714938</v>
      </c>
      <c r="Q129" s="320">
        <v>20659.58135869855</v>
      </c>
      <c r="R129" s="319">
        <v>31644.760004970747</v>
      </c>
      <c r="S129" s="235">
        <f>tblPiNAnalysis[[#This Row],[CCCM]]</f>
        <v>0</v>
      </c>
      <c r="T129" s="236">
        <f>tblPiNAnalysis[[#This Row],[Education]]</f>
        <v>11272.060421115288</v>
      </c>
      <c r="U129" s="219">
        <f>tblPiNAnalysis[[#This Row],[Nutrition]]</f>
        <v>48358.540845692078</v>
      </c>
      <c r="V129" s="219">
        <f>tblPiNAnalysis[[#This Row],[Food Security]]</f>
        <v>60990.748338865458</v>
      </c>
      <c r="W129" s="219">
        <f>tblPiNAnalysis[[#This Row],[Health]]</f>
        <v>86154.399680966613</v>
      </c>
      <c r="X129" s="219">
        <f>tblPiNAnalysis[[#This Row],[Overarching Protection]]</f>
        <v>17701</v>
      </c>
      <c r="Y129" s="219">
        <f>tblPiNAnalysis[[#This Row],[Shelter]]</f>
        <v>16957.966689279787</v>
      </c>
      <c r="Z129" s="230">
        <f>tblPiNAnalysis[[#This Row],[WASH]]</f>
        <v>40679.46813729695</v>
      </c>
      <c r="AA129" s="339" t="str">
        <f>IF(OR(tblPiNHistorical[[#This Row],[CCCM - old]]="", tblPiNHistorical[[#This Row],[CCCM - old]]=0, tblPiNHistorical[[#This Row],[CCCM - new]]="", tblPiNHistorical[[#This Row],[CCCM - new]]=0), "", tblPiNHistorical[[#This Row],[CCCM - new]]-tblPiNHistorical[[#This Row],[CCCM - old]])</f>
        <v/>
      </c>
      <c r="AB129" s="340">
        <f>IF(OR(tblPiNHistorical[[#This Row],[Education - old]]="", tblPiNHistorical[[#This Row],[Education - old]]=0, tblPiNHistorical[[#This Row],[Education - new]]="", tblPiNHistorical[[#This Row],[Education - new]]=0), "", tblPiNHistorical[[#This Row],[Education - new]]-tblPiNHistorical[[#This Row],[Education - old]])</f>
        <v>-499.93957888471232</v>
      </c>
      <c r="AC129" s="340">
        <f>IF(OR(tblPiNHistorical[[#This Row],[Nutrition - old]]="", tblPiNHistorical[[#This Row],[Nutrition - old]]=0, tblPiNHistorical[[#This Row],[Nutrition - new]]="", tblPiNHistorical[[#This Row],[Nutrition - new]]=0), "", tblPiNHistorical[[#This Row],[Nutrition - new]]-tblPiNHistorical[[#This Row],[Nutrition - old]])</f>
        <v>-7044.1578195914844</v>
      </c>
      <c r="AD129" s="340">
        <f>IF(OR(tblPiNHistorical[[#This Row],[Food Security - old]]="", tblPiNHistorical[[#This Row],[Food Security - old]]=0, tblPiNHistorical[[#This Row],[Food Security - new]]="", tblPiNHistorical[[#This Row],[Food Security - new]]=0), "", tblPiNHistorical[[#This Row],[Food Security - new]]-tblPiNHistorical[[#This Row],[Food Security - old]])</f>
        <v>-5568.2516611345418</v>
      </c>
      <c r="AE129" s="340">
        <f>IF(OR(tblPiNHistorical[[#This Row],[Health - old]]="", tblPiNHistorical[[#This Row],[Health - old]]=0, tblPiNHistorical[[#This Row],[Health - new]]="", tblPiNHistorical[[#This Row],[Health - new]]=0), "", tblPiNHistorical[[#This Row],[Health - new]]-tblPiNHistorical[[#This Row],[Health - old]])</f>
        <v>56840.384532656783</v>
      </c>
      <c r="AF12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-10769.315472714938</v>
      </c>
      <c r="AG129" s="340">
        <f>IF(OR(tblPiNHistorical[[#This Row],[Shelter - old]]="", tblPiNHistorical[[#This Row],[Shelter - old]]=0, tblPiNHistorical[[#This Row],[Shelter - new]]="", tblPiNHistorical[[#This Row],[Shelter - new]]=0), "", tblPiNHistorical[[#This Row],[Shelter - new]]-tblPiNHistorical[[#This Row],[Shelter - old]])</f>
        <v>-3701.6146694187628</v>
      </c>
      <c r="AH129" s="341">
        <f>IF(OR(tblPiNHistorical[[#This Row],[WASH - old]]="", tblPiNHistorical[[#This Row],[WASH - old]]=0, tblPiNHistorical[[#This Row],[WASH - new]]="", tblPiNHistorical[[#This Row],[WASH - new]]=0), "", tblPiNHistorical[[#This Row],[WASH - new]]-tblPiNHistorical[[#This Row],[WASH - old]])</f>
        <v>9034.7081323262028</v>
      </c>
      <c r="AI129" s="342" t="str">
        <f>IFERROR(ROUND((tblPiNHistorical[[#This Row],[CCCM - new]] - tblPiNHistorical[[#This Row],[CCCM - old]])/tblPiNHistorical[[#This Row],[CCCM - old]], 1), "")</f>
        <v/>
      </c>
      <c r="AJ129" s="343">
        <f>IFERROR(ROUND((tblPiNHistorical[[#This Row],[Education - new]]-tblPiNHistorical[[#This Row],[Education - old]])/tblPiNHistorical[[#This Row],[Education - old]], 1), "")</f>
        <v>0</v>
      </c>
      <c r="AK129" s="343">
        <f>IFERROR(ROUND((tblPiNHistorical[[#This Row],[Nutrition - new]]-tblPiNHistorical[[#This Row],[Nutrition - old]])/tblPiNHistorical[[#This Row],[Nutrition - old]], 1), "")</f>
        <v>-0.1</v>
      </c>
      <c r="AL129" s="343">
        <f>IFERROR(ROUND((tblPiNHistorical[[#This Row],[Food Security - new]]-tblPiNHistorical[[#This Row],[Food Security - old]])/tblPiNHistorical[[#This Row],[Food Security - old]], 1), "")</f>
        <v>-0.1</v>
      </c>
      <c r="AM129" s="343">
        <f>IFERROR(ROUND((tblPiNHistorical[[#This Row],[Health - new]]-tblPiNHistorical[[#This Row],[Health - old]])/tblPiNHistorical[[#This Row],[Health - old]], 1), "")</f>
        <v>1.9</v>
      </c>
      <c r="AN129" s="343">
        <f>IFERROR(ROUND((tblPiNHistorical[[#This Row],[Overarching Protection - new]]-tblPiNHistorical[[#This Row],[Overarching Protection - old]])/tblPiNHistorical[[#This Row],[Overarching Protection - old]], 1), "")</f>
        <v>-0.4</v>
      </c>
      <c r="AO129" s="343">
        <f>IFERROR(ROUND((tblPiNHistorical[[#This Row],[Shelter - new]]-tblPiNHistorical[[#This Row],[Shelter - old]])/tblPiNHistorical[[#This Row],[Shelter - old]], 1), "")</f>
        <v>-0.2</v>
      </c>
      <c r="AP129" s="38">
        <f>IFERROR(ROUND((tblPiNHistorical[[#This Row],[WASH - new]]-tblPiNHistorical[[#This Row],[WASH - old]])/tblPiNHistorical[[#This Row],[WASH - old]], 1), "")</f>
        <v>0.3</v>
      </c>
      <c r="AQ129" s="406">
        <v>66559</v>
      </c>
      <c r="AR129" s="406">
        <v>86154.399680966613</v>
      </c>
    </row>
    <row r="130" spans="1:44" ht="15" customHeight="1" x14ac:dyDescent="0.55000000000000004">
      <c r="A13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0" s="316" t="s">
        <v>322</v>
      </c>
      <c r="C130" s="218" t="s">
        <v>323</v>
      </c>
      <c r="D130" s="218" t="s">
        <v>340</v>
      </c>
      <c r="E130" s="105" t="s">
        <v>341</v>
      </c>
      <c r="F130" s="100"/>
      <c r="G130" s="34"/>
      <c r="H130" s="335"/>
      <c r="I130" s="97"/>
      <c r="J130" s="97" t="s">
        <v>413</v>
      </c>
      <c r="K130" s="336">
        <v>22268.612098907746</v>
      </c>
      <c r="L130" s="337">
        <v>9650</v>
      </c>
      <c r="M130" s="319">
        <v>34992.166678691457</v>
      </c>
      <c r="N130" s="319">
        <v>94958</v>
      </c>
      <c r="O130" s="319">
        <v>66788.432981682621</v>
      </c>
      <c r="P130" s="319">
        <v>42437.121733011074</v>
      </c>
      <c r="Q130" s="320">
        <v>41283.600361817866</v>
      </c>
      <c r="R130" s="319">
        <v>47223.393040542098</v>
      </c>
      <c r="S130" s="235">
        <f>tblPiNAnalysis[[#This Row],[CCCM]]</f>
        <v>0</v>
      </c>
      <c r="T130" s="236">
        <f>tblPiNAnalysis[[#This Row],[Education]]</f>
        <v>35264.154172514085</v>
      </c>
      <c r="U130" s="219">
        <f>tblPiNAnalysis[[#This Row],[Nutrition]]</f>
        <v>53374.468893477038</v>
      </c>
      <c r="V130" s="219">
        <f>tblPiNAnalysis[[#This Row],[Food Security]]</f>
        <v>106191.44697572436</v>
      </c>
      <c r="W130" s="219">
        <f>tblPiNAnalysis[[#This Row],[Health]]</f>
        <v>80983.005907381768</v>
      </c>
      <c r="X130" s="219">
        <f>tblPiNAnalysis[[#This Row],[Overarching Protection]]</f>
        <v>21634</v>
      </c>
      <c r="Y130" s="219">
        <f>tblPiNAnalysis[[#This Row],[Shelter]]</f>
        <v>94863.504706728301</v>
      </c>
      <c r="Z130" s="230">
        <f>tblPiNAnalysis[[#This Row],[WASH]]</f>
        <v>60475.484250539295</v>
      </c>
      <c r="AA130" s="339" t="str">
        <f>IF(OR(tblPiNHistorical[[#This Row],[CCCM - old]]="", tblPiNHistorical[[#This Row],[CCCM - old]]=0, tblPiNHistorical[[#This Row],[CCCM - new]]="", tblPiNHistorical[[#This Row],[CCCM - new]]=0), "", tblPiNHistorical[[#This Row],[CCCM - new]]-tblPiNHistorical[[#This Row],[CCCM - old]])</f>
        <v/>
      </c>
      <c r="AB130" s="340">
        <f>IF(OR(tblPiNHistorical[[#This Row],[Education - old]]="", tblPiNHistorical[[#This Row],[Education - old]]=0, tblPiNHistorical[[#This Row],[Education - new]]="", tblPiNHistorical[[#This Row],[Education - new]]=0), "", tblPiNHistorical[[#This Row],[Education - new]]-tblPiNHistorical[[#This Row],[Education - old]])</f>
        <v>25614.154172514085</v>
      </c>
      <c r="AC130" s="340">
        <f>IF(OR(tblPiNHistorical[[#This Row],[Nutrition - old]]="", tblPiNHistorical[[#This Row],[Nutrition - old]]=0, tblPiNHistorical[[#This Row],[Nutrition - new]]="", tblPiNHistorical[[#This Row],[Nutrition - new]]=0), "", tblPiNHistorical[[#This Row],[Nutrition - new]]-tblPiNHistorical[[#This Row],[Nutrition - old]])</f>
        <v>18382.302214785581</v>
      </c>
      <c r="AD130" s="340">
        <f>IF(OR(tblPiNHistorical[[#This Row],[Food Security - old]]="", tblPiNHistorical[[#This Row],[Food Security - old]]=0, tblPiNHistorical[[#This Row],[Food Security - new]]="", tblPiNHistorical[[#This Row],[Food Security - new]]=0), "", tblPiNHistorical[[#This Row],[Food Security - new]]-tblPiNHistorical[[#This Row],[Food Security - old]])</f>
        <v>11233.446975724364</v>
      </c>
      <c r="AE130" s="340">
        <f>IF(OR(tblPiNHistorical[[#This Row],[Health - old]]="", tblPiNHistorical[[#This Row],[Health - old]]=0, tblPiNHistorical[[#This Row],[Health - new]]="", tblPiNHistorical[[#This Row],[Health - new]]=0), "", tblPiNHistorical[[#This Row],[Health - new]]-tblPiNHistorical[[#This Row],[Health - old]])</f>
        <v>14194.572925699147</v>
      </c>
      <c r="AF13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-20803.121733011074</v>
      </c>
      <c r="AG130" s="340">
        <f>IF(OR(tblPiNHistorical[[#This Row],[Shelter - old]]="", tblPiNHistorical[[#This Row],[Shelter - old]]=0, tblPiNHistorical[[#This Row],[Shelter - new]]="", tblPiNHistorical[[#This Row],[Shelter - new]]=0), "", tblPiNHistorical[[#This Row],[Shelter - new]]-tblPiNHistorical[[#This Row],[Shelter - old]])</f>
        <v>53579.904344910436</v>
      </c>
      <c r="AH130" s="341">
        <f>IF(OR(tblPiNHistorical[[#This Row],[WASH - old]]="", tblPiNHistorical[[#This Row],[WASH - old]]=0, tblPiNHistorical[[#This Row],[WASH - new]]="", tblPiNHistorical[[#This Row],[WASH - new]]=0), "", tblPiNHistorical[[#This Row],[WASH - new]]-tblPiNHistorical[[#This Row],[WASH - old]])</f>
        <v>13252.091209997197</v>
      </c>
      <c r="AI130" s="342">
        <f>IFERROR(ROUND((tblPiNHistorical[[#This Row],[CCCM - new]] - tblPiNHistorical[[#This Row],[CCCM - old]])/tblPiNHistorical[[#This Row],[CCCM - old]], 1), "")</f>
        <v>-1</v>
      </c>
      <c r="AJ130" s="343">
        <f>IFERROR(ROUND((tblPiNHistorical[[#This Row],[Education - new]]-tblPiNHistorical[[#This Row],[Education - old]])/tblPiNHistorical[[#This Row],[Education - old]], 1), "")</f>
        <v>2.7</v>
      </c>
      <c r="AK130" s="343">
        <f>IFERROR(ROUND((tblPiNHistorical[[#This Row],[Nutrition - new]]-tblPiNHistorical[[#This Row],[Nutrition - old]])/tblPiNHistorical[[#This Row],[Nutrition - old]], 1), "")</f>
        <v>0.5</v>
      </c>
      <c r="AL130" s="343">
        <f>IFERROR(ROUND((tblPiNHistorical[[#This Row],[Food Security - new]]-tblPiNHistorical[[#This Row],[Food Security - old]])/tblPiNHistorical[[#This Row],[Food Security - old]], 1), "")</f>
        <v>0.1</v>
      </c>
      <c r="AM130" s="343">
        <f>IFERROR(ROUND((tblPiNHistorical[[#This Row],[Health - new]]-tblPiNHistorical[[#This Row],[Health - old]])/tblPiNHistorical[[#This Row],[Health - old]], 1), "")</f>
        <v>0.2</v>
      </c>
      <c r="AN130" s="343">
        <f>IFERROR(ROUND((tblPiNHistorical[[#This Row],[Overarching Protection - new]]-tblPiNHistorical[[#This Row],[Overarching Protection - old]])/tblPiNHistorical[[#This Row],[Overarching Protection - old]], 1), "")</f>
        <v>-0.5</v>
      </c>
      <c r="AO130" s="343">
        <f>IFERROR(ROUND((tblPiNHistorical[[#This Row],[Shelter - new]]-tblPiNHistorical[[#This Row],[Shelter - old]])/tblPiNHistorical[[#This Row],[Shelter - old]], 1), "")</f>
        <v>1.3</v>
      </c>
      <c r="AP130" s="38">
        <f>IFERROR(ROUND((tblPiNHistorical[[#This Row],[WASH - new]]-tblPiNHistorical[[#This Row],[WASH - old]])/tblPiNHistorical[[#This Row],[WASH - old]], 1), "")</f>
        <v>0.3</v>
      </c>
      <c r="AQ130" s="406">
        <v>94958</v>
      </c>
      <c r="AR130" s="406">
        <v>106191.44697572436</v>
      </c>
    </row>
    <row r="131" spans="1:44" ht="15" customHeight="1" x14ac:dyDescent="0.55000000000000004">
      <c r="A13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1" s="316" t="s">
        <v>342</v>
      </c>
      <c r="C131" s="218" t="s">
        <v>343</v>
      </c>
      <c r="D131" s="218" t="s">
        <v>344</v>
      </c>
      <c r="E131" s="105" t="s">
        <v>345</v>
      </c>
      <c r="F131" s="100"/>
      <c r="G131" s="34"/>
      <c r="H131" s="335"/>
      <c r="I131" s="97"/>
      <c r="J131" s="97" t="s">
        <v>413</v>
      </c>
      <c r="K131" s="336">
        <v>0</v>
      </c>
      <c r="L131" s="337">
        <v>0</v>
      </c>
      <c r="M131" s="319">
        <v>25707.130599932003</v>
      </c>
      <c r="N131" s="319">
        <v>38193</v>
      </c>
      <c r="O131" s="319">
        <v>22062.161270983412</v>
      </c>
      <c r="P131" s="319">
        <v>16799.296476249998</v>
      </c>
      <c r="Q131" s="320">
        <v>51988.050318006521</v>
      </c>
      <c r="R131" s="319">
        <v>50942.114485746555</v>
      </c>
      <c r="S131" s="235">
        <f>tblPiNAnalysis[[#This Row],[CCCM]]</f>
        <v>0</v>
      </c>
      <c r="T131" s="236">
        <f>tblPiNAnalysis[[#This Row],[Education]]</f>
        <v>3095.8052700876942</v>
      </c>
      <c r="U131" s="219">
        <f>tblPiNAnalysis[[#This Row],[Nutrition]]</f>
        <v>27864.101802863486</v>
      </c>
      <c r="V131" s="219">
        <f>tblPiNAnalysis[[#This Row],[Food Security]]</f>
        <v>31143.958877197612</v>
      </c>
      <c r="W131" s="219">
        <f>tblPiNAnalysis[[#This Row],[Health]]</f>
        <v>19085.760219071533</v>
      </c>
      <c r="X131" s="219">
        <f>tblPiNAnalysis[[#This Row],[Overarching Protection]]</f>
        <v>6506</v>
      </c>
      <c r="Y131" s="219">
        <f>tblPiNAnalysis[[#This Row],[Shelter]]</f>
        <v>12291.965528268907</v>
      </c>
      <c r="Z131" s="230">
        <f>tblPiNAnalysis[[#This Row],[WASH]]</f>
        <v>34697.161954134717</v>
      </c>
      <c r="AA131" s="339" t="str">
        <f>IF(OR(tblPiNHistorical[[#This Row],[CCCM - old]]="", tblPiNHistorical[[#This Row],[CCCM - old]]=0, tblPiNHistorical[[#This Row],[CCCM - new]]="", tblPiNHistorical[[#This Row],[CCCM - new]]=0), "", tblPiNHistorical[[#This Row],[CCCM - new]]-tblPiNHistorical[[#This Row],[CCCM - old]])</f>
        <v/>
      </c>
      <c r="AB131" s="340" t="str">
        <f>IF(OR(tblPiNHistorical[[#This Row],[Education - old]]="", tblPiNHistorical[[#This Row],[Education - old]]=0, tblPiNHistorical[[#This Row],[Education - new]]="", tblPiNHistorical[[#This Row],[Education - new]]=0), "", tblPiNHistorical[[#This Row],[Education - new]]-tblPiNHistorical[[#This Row],[Education - old]])</f>
        <v/>
      </c>
      <c r="AC131" s="340">
        <f>IF(OR(tblPiNHistorical[[#This Row],[Nutrition - old]]="", tblPiNHistorical[[#This Row],[Nutrition - old]]=0, tblPiNHistorical[[#This Row],[Nutrition - new]]="", tblPiNHistorical[[#This Row],[Nutrition - new]]=0), "", tblPiNHistorical[[#This Row],[Nutrition - new]]-tblPiNHistorical[[#This Row],[Nutrition - old]])</f>
        <v>2156.9712029314833</v>
      </c>
      <c r="AD131" s="340">
        <f>IF(OR(tblPiNHistorical[[#This Row],[Food Security - old]]="", tblPiNHistorical[[#This Row],[Food Security - old]]=0, tblPiNHistorical[[#This Row],[Food Security - new]]="", tblPiNHistorical[[#This Row],[Food Security - new]]=0), "", tblPiNHistorical[[#This Row],[Food Security - new]]-tblPiNHistorical[[#This Row],[Food Security - old]])</f>
        <v>-7049.0411228023877</v>
      </c>
      <c r="AE131" s="340">
        <f>IF(OR(tblPiNHistorical[[#This Row],[Health - old]]="", tblPiNHistorical[[#This Row],[Health - old]]=0, tblPiNHistorical[[#This Row],[Health - new]]="", tblPiNHistorical[[#This Row],[Health - new]]=0), "", tblPiNHistorical[[#This Row],[Health - new]]-tblPiNHistorical[[#This Row],[Health - old]])</f>
        <v>-2976.4010519118783</v>
      </c>
      <c r="AF13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-10293.296476249998</v>
      </c>
      <c r="AG131" s="340">
        <f>IF(OR(tblPiNHistorical[[#This Row],[Shelter - old]]="", tblPiNHistorical[[#This Row],[Shelter - old]]=0, tblPiNHistorical[[#This Row],[Shelter - new]]="", tblPiNHistorical[[#This Row],[Shelter - new]]=0), "", tblPiNHistorical[[#This Row],[Shelter - new]]-tblPiNHistorical[[#This Row],[Shelter - old]])</f>
        <v>-39696.084789737615</v>
      </c>
      <c r="AH131" s="341">
        <f>IF(OR(tblPiNHistorical[[#This Row],[WASH - old]]="", tblPiNHistorical[[#This Row],[WASH - old]]=0, tblPiNHistorical[[#This Row],[WASH - new]]="", tblPiNHistorical[[#This Row],[WASH - new]]=0), "", tblPiNHistorical[[#This Row],[WASH - new]]-tblPiNHistorical[[#This Row],[WASH - old]])</f>
        <v>-16244.952531611838</v>
      </c>
      <c r="AI131" s="342" t="str">
        <f>IFERROR(ROUND((tblPiNHistorical[[#This Row],[CCCM - new]] - tblPiNHistorical[[#This Row],[CCCM - old]])/tblPiNHistorical[[#This Row],[CCCM - old]], 1), "")</f>
        <v/>
      </c>
      <c r="AJ131" s="343" t="str">
        <f>IFERROR(ROUND((tblPiNHistorical[[#This Row],[Education - new]]-tblPiNHistorical[[#This Row],[Education - old]])/tblPiNHistorical[[#This Row],[Education - old]], 1), "")</f>
        <v/>
      </c>
      <c r="AK131" s="343">
        <f>IFERROR(ROUND((tblPiNHistorical[[#This Row],[Nutrition - new]]-tblPiNHistorical[[#This Row],[Nutrition - old]])/tblPiNHistorical[[#This Row],[Nutrition - old]], 1), "")</f>
        <v>0.1</v>
      </c>
      <c r="AL131" s="343">
        <f>IFERROR(ROUND((tblPiNHistorical[[#This Row],[Food Security - new]]-tblPiNHistorical[[#This Row],[Food Security - old]])/tblPiNHistorical[[#This Row],[Food Security - old]], 1), "")</f>
        <v>-0.2</v>
      </c>
      <c r="AM131" s="343">
        <f>IFERROR(ROUND((tblPiNHistorical[[#This Row],[Health - new]]-tblPiNHistorical[[#This Row],[Health - old]])/tblPiNHistorical[[#This Row],[Health - old]], 1), "")</f>
        <v>-0.1</v>
      </c>
      <c r="AN131" s="343">
        <f>IFERROR(ROUND((tblPiNHistorical[[#This Row],[Overarching Protection - new]]-tblPiNHistorical[[#This Row],[Overarching Protection - old]])/tblPiNHistorical[[#This Row],[Overarching Protection - old]], 1), "")</f>
        <v>-0.6</v>
      </c>
      <c r="AO131" s="343">
        <f>IFERROR(ROUND((tblPiNHistorical[[#This Row],[Shelter - new]]-tblPiNHistorical[[#This Row],[Shelter - old]])/tblPiNHistorical[[#This Row],[Shelter - old]], 1), "")</f>
        <v>-0.8</v>
      </c>
      <c r="AP131" s="38">
        <f>IFERROR(ROUND((tblPiNHistorical[[#This Row],[WASH - new]]-tblPiNHistorical[[#This Row],[WASH - old]])/tblPiNHistorical[[#This Row],[WASH - old]], 1), "")</f>
        <v>-0.3</v>
      </c>
      <c r="AQ131" s="406">
        <v>51988.050318006521</v>
      </c>
      <c r="AR131" s="406">
        <v>34697.161954134717</v>
      </c>
    </row>
    <row r="132" spans="1:44" ht="15" customHeight="1" x14ac:dyDescent="0.55000000000000004">
      <c r="A13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2" s="316" t="s">
        <v>342</v>
      </c>
      <c r="C132" s="218" t="s">
        <v>343</v>
      </c>
      <c r="D132" s="218" t="s">
        <v>346</v>
      </c>
      <c r="E132" s="105" t="s">
        <v>347</v>
      </c>
      <c r="F132" s="100"/>
      <c r="G132" s="34"/>
      <c r="H132" s="335"/>
      <c r="I132" s="97"/>
      <c r="J132" s="97" t="s">
        <v>413</v>
      </c>
      <c r="K132" s="336">
        <v>18146</v>
      </c>
      <c r="L132" s="337">
        <v>17900</v>
      </c>
      <c r="M132" s="319">
        <v>14094.741106163612</v>
      </c>
      <c r="N132" s="319">
        <v>37195</v>
      </c>
      <c r="O132" s="319">
        <v>20112.161427071664</v>
      </c>
      <c r="P132" s="319">
        <v>31707.536272611324</v>
      </c>
      <c r="Q132" s="320">
        <v>8775.0793762801713</v>
      </c>
      <c r="R132" s="319">
        <v>39573.170464974603</v>
      </c>
      <c r="S132" s="235">
        <f>tblPiNAnalysis[[#This Row],[CCCM]]</f>
        <v>0</v>
      </c>
      <c r="T132" s="236">
        <f>tblPiNAnalysis[[#This Row],[Education]]</f>
        <v>15314.508419275495</v>
      </c>
      <c r="U132" s="219">
        <f>tblPiNAnalysis[[#This Row],[Nutrition]]</f>
        <v>18930.163309395608</v>
      </c>
      <c r="V132" s="219">
        <f>tblPiNAnalysis[[#This Row],[Food Security]]</f>
        <v>31093.426343821713</v>
      </c>
      <c r="W132" s="219">
        <f>tblPiNAnalysis[[#This Row],[Health]]</f>
        <v>19768.52312323873</v>
      </c>
      <c r="X132" s="219">
        <f>tblPiNAnalysis[[#This Row],[Overarching Protection]]</f>
        <v>7803</v>
      </c>
      <c r="Y132" s="219">
        <f>tblPiNAnalysis[[#This Row],[Shelter]]</f>
        <v>26343.83314364828</v>
      </c>
      <c r="Z132" s="230">
        <f>tblPiNAnalysis[[#This Row],[WASH]]</f>
        <v>42844.432552221973</v>
      </c>
      <c r="AA132" s="339" t="str">
        <f>IF(OR(tblPiNHistorical[[#This Row],[CCCM - old]]="", tblPiNHistorical[[#This Row],[CCCM - old]]=0, tblPiNHistorical[[#This Row],[CCCM - new]]="", tblPiNHistorical[[#This Row],[CCCM - new]]=0), "", tblPiNHistorical[[#This Row],[CCCM - new]]-tblPiNHistorical[[#This Row],[CCCM - old]])</f>
        <v/>
      </c>
      <c r="AB132" s="340">
        <f>IF(OR(tblPiNHistorical[[#This Row],[Education - old]]="", tblPiNHistorical[[#This Row],[Education - old]]=0, tblPiNHistorical[[#This Row],[Education - new]]="", tblPiNHistorical[[#This Row],[Education - new]]=0), "", tblPiNHistorical[[#This Row],[Education - new]]-tblPiNHistorical[[#This Row],[Education - old]])</f>
        <v>-2585.4915807245052</v>
      </c>
      <c r="AC132" s="340">
        <f>IF(OR(tblPiNHistorical[[#This Row],[Nutrition - old]]="", tblPiNHistorical[[#This Row],[Nutrition - old]]=0, tblPiNHistorical[[#This Row],[Nutrition - new]]="", tblPiNHistorical[[#This Row],[Nutrition - new]]=0), "", tblPiNHistorical[[#This Row],[Nutrition - new]]-tblPiNHistorical[[#This Row],[Nutrition - old]])</f>
        <v>4835.4222032319958</v>
      </c>
      <c r="AD132" s="340">
        <f>IF(OR(tblPiNHistorical[[#This Row],[Food Security - old]]="", tblPiNHistorical[[#This Row],[Food Security - old]]=0, tblPiNHistorical[[#This Row],[Food Security - new]]="", tblPiNHistorical[[#This Row],[Food Security - new]]=0), "", tblPiNHistorical[[#This Row],[Food Security - new]]-tblPiNHistorical[[#This Row],[Food Security - old]])</f>
        <v>-6101.5736561782869</v>
      </c>
      <c r="AE132" s="340">
        <f>IF(OR(tblPiNHistorical[[#This Row],[Health - old]]="", tblPiNHistorical[[#This Row],[Health - old]]=0, tblPiNHistorical[[#This Row],[Health - new]]="", tblPiNHistorical[[#This Row],[Health - new]]=0), "", tblPiNHistorical[[#This Row],[Health - new]]-tblPiNHistorical[[#This Row],[Health - old]])</f>
        <v>-343.63830383293316</v>
      </c>
      <c r="AF13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-23904.536272611324</v>
      </c>
      <c r="AG132" s="340">
        <f>IF(OR(tblPiNHistorical[[#This Row],[Shelter - old]]="", tblPiNHistorical[[#This Row],[Shelter - old]]=0, tblPiNHistorical[[#This Row],[Shelter - new]]="", tblPiNHistorical[[#This Row],[Shelter - new]]=0), "", tblPiNHistorical[[#This Row],[Shelter - new]]-tblPiNHistorical[[#This Row],[Shelter - old]])</f>
        <v>17568.753767368107</v>
      </c>
      <c r="AH132" s="341">
        <f>IF(OR(tblPiNHistorical[[#This Row],[WASH - old]]="", tblPiNHistorical[[#This Row],[WASH - old]]=0, tblPiNHistorical[[#This Row],[WASH - new]]="", tblPiNHistorical[[#This Row],[WASH - new]]=0), "", tblPiNHistorical[[#This Row],[WASH - new]]-tblPiNHistorical[[#This Row],[WASH - old]])</f>
        <v>3271.2620872473708</v>
      </c>
      <c r="AI132" s="342">
        <f>IFERROR(ROUND((tblPiNHistorical[[#This Row],[CCCM - new]] - tblPiNHistorical[[#This Row],[CCCM - old]])/tblPiNHistorical[[#This Row],[CCCM - old]], 1), "")</f>
        <v>-1</v>
      </c>
      <c r="AJ132" s="343">
        <f>IFERROR(ROUND((tblPiNHistorical[[#This Row],[Education - new]]-tblPiNHistorical[[#This Row],[Education - old]])/tblPiNHistorical[[#This Row],[Education - old]], 1), "")</f>
        <v>-0.1</v>
      </c>
      <c r="AK132" s="343">
        <f>IFERROR(ROUND((tblPiNHistorical[[#This Row],[Nutrition - new]]-tblPiNHistorical[[#This Row],[Nutrition - old]])/tblPiNHistorical[[#This Row],[Nutrition - old]], 1), "")</f>
        <v>0.3</v>
      </c>
      <c r="AL132" s="343">
        <f>IFERROR(ROUND((tblPiNHistorical[[#This Row],[Food Security - new]]-tblPiNHistorical[[#This Row],[Food Security - old]])/tblPiNHistorical[[#This Row],[Food Security - old]], 1), "")</f>
        <v>-0.2</v>
      </c>
      <c r="AM132" s="343">
        <f>IFERROR(ROUND((tblPiNHistorical[[#This Row],[Health - new]]-tblPiNHistorical[[#This Row],[Health - old]])/tblPiNHistorical[[#This Row],[Health - old]], 1), "")</f>
        <v>0</v>
      </c>
      <c r="AN132" s="343">
        <f>IFERROR(ROUND((tblPiNHistorical[[#This Row],[Overarching Protection - new]]-tblPiNHistorical[[#This Row],[Overarching Protection - old]])/tblPiNHistorical[[#This Row],[Overarching Protection - old]], 1), "")</f>
        <v>-0.8</v>
      </c>
      <c r="AO132" s="343">
        <f>IFERROR(ROUND((tblPiNHistorical[[#This Row],[Shelter - new]]-tblPiNHistorical[[#This Row],[Shelter - old]])/tblPiNHistorical[[#This Row],[Shelter - old]], 1), "")</f>
        <v>2</v>
      </c>
      <c r="AP132" s="38">
        <f>IFERROR(ROUND((tblPiNHistorical[[#This Row],[WASH - new]]-tblPiNHistorical[[#This Row],[WASH - old]])/tblPiNHistorical[[#This Row],[WASH - old]], 1), "")</f>
        <v>0.1</v>
      </c>
      <c r="AQ132" s="406">
        <v>39573.170464974603</v>
      </c>
      <c r="AR132" s="406">
        <v>42844.432552221973</v>
      </c>
    </row>
    <row r="133" spans="1:44" ht="15" customHeight="1" x14ac:dyDescent="0.55000000000000004">
      <c r="A13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3" s="316" t="s">
        <v>342</v>
      </c>
      <c r="C133" s="218" t="s">
        <v>343</v>
      </c>
      <c r="D133" s="218" t="s">
        <v>348</v>
      </c>
      <c r="E133" s="105" t="s">
        <v>349</v>
      </c>
      <c r="F133" s="100"/>
      <c r="G133" s="34"/>
      <c r="H133" s="335"/>
      <c r="I133" s="97"/>
      <c r="J133" s="97" t="s">
        <v>413</v>
      </c>
      <c r="K133" s="336">
        <v>0</v>
      </c>
      <c r="L133" s="337">
        <v>15431</v>
      </c>
      <c r="M133" s="319">
        <v>15022.980365190677</v>
      </c>
      <c r="N133" s="319">
        <v>40276</v>
      </c>
      <c r="O133" s="319">
        <v>46960.146999595127</v>
      </c>
      <c r="P133" s="319">
        <v>20381.632808270402</v>
      </c>
      <c r="Q133" s="320">
        <v>39473.619671561988</v>
      </c>
      <c r="R133" s="319">
        <v>23764.734921448162</v>
      </c>
      <c r="S133" s="235">
        <f>tblPiNAnalysis[[#This Row],[CCCM]]</f>
        <v>0</v>
      </c>
      <c r="T133" s="236">
        <f>tblPiNAnalysis[[#This Row],[Education]]</f>
        <v>15635.442107160614</v>
      </c>
      <c r="U133" s="219">
        <f>tblPiNAnalysis[[#This Row],[Nutrition]]</f>
        <v>20242.562350459291</v>
      </c>
      <c r="V133" s="219">
        <f>tblPiNAnalysis[[#This Row],[Food Security]]</f>
        <v>41276.978594476866</v>
      </c>
      <c r="W133" s="219">
        <f>tblPiNAnalysis[[#This Row],[Health]]</f>
        <v>19708.202090667717</v>
      </c>
      <c r="X133" s="219">
        <f>tblPiNAnalysis[[#This Row],[Overarching Protection]]</f>
        <v>15536</v>
      </c>
      <c r="Y133" s="219">
        <f>tblPiNAnalysis[[#This Row],[Shelter]]</f>
        <v>44682.271494068285</v>
      </c>
      <c r="Z133" s="230">
        <f>tblPiNAnalysis[[#This Row],[WASH]]</f>
        <v>15404.366820991147</v>
      </c>
      <c r="AA133" s="339" t="str">
        <f>IF(OR(tblPiNHistorical[[#This Row],[CCCM - old]]="", tblPiNHistorical[[#This Row],[CCCM - old]]=0, tblPiNHistorical[[#This Row],[CCCM - new]]="", tblPiNHistorical[[#This Row],[CCCM - new]]=0), "", tblPiNHistorical[[#This Row],[CCCM - new]]-tblPiNHistorical[[#This Row],[CCCM - old]])</f>
        <v/>
      </c>
      <c r="AB133" s="340">
        <f>IF(OR(tblPiNHistorical[[#This Row],[Education - old]]="", tblPiNHistorical[[#This Row],[Education - old]]=0, tblPiNHistorical[[#This Row],[Education - new]]="", tblPiNHistorical[[#This Row],[Education - new]]=0), "", tblPiNHistorical[[#This Row],[Education - new]]-tblPiNHistorical[[#This Row],[Education - old]])</f>
        <v>204.44210716061389</v>
      </c>
      <c r="AC133" s="340">
        <f>IF(OR(tblPiNHistorical[[#This Row],[Nutrition - old]]="", tblPiNHistorical[[#This Row],[Nutrition - old]]=0, tblPiNHistorical[[#This Row],[Nutrition - new]]="", tblPiNHistorical[[#This Row],[Nutrition - new]]=0), "", tblPiNHistorical[[#This Row],[Nutrition - new]]-tblPiNHistorical[[#This Row],[Nutrition - old]])</f>
        <v>5219.5819852686145</v>
      </c>
      <c r="AD133" s="340">
        <f>IF(OR(tblPiNHistorical[[#This Row],[Food Security - old]]="", tblPiNHistorical[[#This Row],[Food Security - old]]=0, tblPiNHistorical[[#This Row],[Food Security - new]]="", tblPiNHistorical[[#This Row],[Food Security - new]]=0), "", tblPiNHistorical[[#This Row],[Food Security - new]]-tblPiNHistorical[[#This Row],[Food Security - old]])</f>
        <v>1000.9785944768664</v>
      </c>
      <c r="AE133" s="340">
        <f>IF(OR(tblPiNHistorical[[#This Row],[Health - old]]="", tblPiNHistorical[[#This Row],[Health - old]]=0, tblPiNHistorical[[#This Row],[Health - new]]="", tblPiNHistorical[[#This Row],[Health - new]]=0), "", tblPiNHistorical[[#This Row],[Health - new]]-tblPiNHistorical[[#This Row],[Health - old]])</f>
        <v>-27251.944908927409</v>
      </c>
      <c r="AF13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-4845.6328082704022</v>
      </c>
      <c r="AG133" s="340">
        <f>IF(OR(tblPiNHistorical[[#This Row],[Shelter - old]]="", tblPiNHistorical[[#This Row],[Shelter - old]]=0, tblPiNHistorical[[#This Row],[Shelter - new]]="", tblPiNHistorical[[#This Row],[Shelter - new]]=0), "", tblPiNHistorical[[#This Row],[Shelter - new]]-tblPiNHistorical[[#This Row],[Shelter - old]])</f>
        <v>5208.6518225062973</v>
      </c>
      <c r="AH133" s="341">
        <f>IF(OR(tblPiNHistorical[[#This Row],[WASH - old]]="", tblPiNHistorical[[#This Row],[WASH - old]]=0, tblPiNHistorical[[#This Row],[WASH - new]]="", tblPiNHistorical[[#This Row],[WASH - new]]=0), "", tblPiNHistorical[[#This Row],[WASH - new]]-tblPiNHistorical[[#This Row],[WASH - old]])</f>
        <v>-8360.3681004570153</v>
      </c>
      <c r="AI133" s="342" t="str">
        <f>IFERROR(ROUND((tblPiNHistorical[[#This Row],[CCCM - new]] - tblPiNHistorical[[#This Row],[CCCM - old]])/tblPiNHistorical[[#This Row],[CCCM - old]], 1), "")</f>
        <v/>
      </c>
      <c r="AJ133" s="343">
        <f>IFERROR(ROUND((tblPiNHistorical[[#This Row],[Education - new]]-tblPiNHistorical[[#This Row],[Education - old]])/tblPiNHistorical[[#This Row],[Education - old]], 1), "")</f>
        <v>0</v>
      </c>
      <c r="AK133" s="343">
        <f>IFERROR(ROUND((tblPiNHistorical[[#This Row],[Nutrition - new]]-tblPiNHistorical[[#This Row],[Nutrition - old]])/tblPiNHistorical[[#This Row],[Nutrition - old]], 1), "")</f>
        <v>0.3</v>
      </c>
      <c r="AL133" s="343">
        <f>IFERROR(ROUND((tblPiNHistorical[[#This Row],[Food Security - new]]-tblPiNHistorical[[#This Row],[Food Security - old]])/tblPiNHistorical[[#This Row],[Food Security - old]], 1), "")</f>
        <v>0</v>
      </c>
      <c r="AM133" s="343">
        <f>IFERROR(ROUND((tblPiNHistorical[[#This Row],[Health - new]]-tblPiNHistorical[[#This Row],[Health - old]])/tblPiNHistorical[[#This Row],[Health - old]], 1), "")</f>
        <v>-0.6</v>
      </c>
      <c r="AN133" s="343">
        <f>IFERROR(ROUND((tblPiNHistorical[[#This Row],[Overarching Protection - new]]-tblPiNHistorical[[#This Row],[Overarching Protection - old]])/tblPiNHistorical[[#This Row],[Overarching Protection - old]], 1), "")</f>
        <v>-0.2</v>
      </c>
      <c r="AO133" s="343">
        <f>IFERROR(ROUND((tblPiNHistorical[[#This Row],[Shelter - new]]-tblPiNHistorical[[#This Row],[Shelter - old]])/tblPiNHistorical[[#This Row],[Shelter - old]], 1), "")</f>
        <v>0.1</v>
      </c>
      <c r="AP133" s="38">
        <f>IFERROR(ROUND((tblPiNHistorical[[#This Row],[WASH - new]]-tblPiNHistorical[[#This Row],[WASH - old]])/tblPiNHistorical[[#This Row],[WASH - old]], 1), "")</f>
        <v>-0.4</v>
      </c>
      <c r="AQ133" s="406">
        <v>46960.146999595127</v>
      </c>
      <c r="AR133" s="406">
        <v>44682.271494068285</v>
      </c>
    </row>
    <row r="134" spans="1:44" ht="15" customHeight="1" x14ac:dyDescent="0.55000000000000004">
      <c r="A13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4" s="316" t="s">
        <v>342</v>
      </c>
      <c r="C134" s="218" t="s">
        <v>343</v>
      </c>
      <c r="D134" s="218" t="s">
        <v>350</v>
      </c>
      <c r="E134" s="105" t="s">
        <v>351</v>
      </c>
      <c r="F134" s="100"/>
      <c r="G134" s="34"/>
      <c r="H134" s="335"/>
      <c r="I134" s="97"/>
      <c r="J134" s="97" t="s">
        <v>413</v>
      </c>
      <c r="K134" s="336">
        <v>9181</v>
      </c>
      <c r="L134" s="337">
        <v>59855</v>
      </c>
      <c r="M134" s="319">
        <v>86416.502418454053</v>
      </c>
      <c r="N134" s="319">
        <v>203001</v>
      </c>
      <c r="O134" s="319">
        <v>164124.09108060933</v>
      </c>
      <c r="P134" s="319">
        <v>124315.77263477568</v>
      </c>
      <c r="Q134" s="320">
        <v>81005.488912742265</v>
      </c>
      <c r="R134" s="319">
        <v>157337.00074054583</v>
      </c>
      <c r="S134" s="235">
        <f>tblPiNAnalysis[[#This Row],[CCCM]]</f>
        <v>0</v>
      </c>
      <c r="T134" s="236">
        <f>tblPiNAnalysis[[#This Row],[Education]]</f>
        <v>28749.294487099272</v>
      </c>
      <c r="U134" s="219">
        <f>tblPiNAnalysis[[#This Row],[Nutrition]]</f>
        <v>57693.046309471312</v>
      </c>
      <c r="V134" s="219">
        <f>tblPiNAnalysis[[#This Row],[Food Security]]</f>
        <v>105812.41394139855</v>
      </c>
      <c r="W134" s="219">
        <f>tblPiNAnalysis[[#This Row],[Health]]</f>
        <v>72667.747514712275</v>
      </c>
      <c r="X134" s="219">
        <f>tblPiNAnalysis[[#This Row],[Overarching Protection]]</f>
        <v>40354</v>
      </c>
      <c r="Y134" s="219">
        <f>tblPiNAnalysis[[#This Row],[Shelter]]</f>
        <v>39227.003695750995</v>
      </c>
      <c r="Z134" s="230">
        <f>tblPiNAnalysis[[#This Row],[WASH]]</f>
        <v>88260.758315439714</v>
      </c>
      <c r="AA134" s="339" t="str">
        <f>IF(OR(tblPiNHistorical[[#This Row],[CCCM - old]]="", tblPiNHistorical[[#This Row],[CCCM - old]]=0, tblPiNHistorical[[#This Row],[CCCM - new]]="", tblPiNHistorical[[#This Row],[CCCM - new]]=0), "", tblPiNHistorical[[#This Row],[CCCM - new]]-tblPiNHistorical[[#This Row],[CCCM - old]])</f>
        <v/>
      </c>
      <c r="AB134" s="340">
        <f>IF(OR(tblPiNHistorical[[#This Row],[Education - old]]="", tblPiNHistorical[[#This Row],[Education - old]]=0, tblPiNHistorical[[#This Row],[Education - new]]="", tblPiNHistorical[[#This Row],[Education - new]]=0), "", tblPiNHistorical[[#This Row],[Education - new]]-tblPiNHistorical[[#This Row],[Education - old]])</f>
        <v>-31105.705512900728</v>
      </c>
      <c r="AC134" s="340">
        <f>IF(OR(tblPiNHistorical[[#This Row],[Nutrition - old]]="", tblPiNHistorical[[#This Row],[Nutrition - old]]=0, tblPiNHistorical[[#This Row],[Nutrition - new]]="", tblPiNHistorical[[#This Row],[Nutrition - new]]=0), "", tblPiNHistorical[[#This Row],[Nutrition - new]]-tblPiNHistorical[[#This Row],[Nutrition - old]])</f>
        <v>-28723.45610898274</v>
      </c>
      <c r="AD134" s="340">
        <f>IF(OR(tblPiNHistorical[[#This Row],[Food Security - old]]="", tblPiNHistorical[[#This Row],[Food Security - old]]=0, tblPiNHistorical[[#This Row],[Food Security - new]]="", tblPiNHistorical[[#This Row],[Food Security - new]]=0), "", tblPiNHistorical[[#This Row],[Food Security - new]]-tblPiNHistorical[[#This Row],[Food Security - old]])</f>
        <v>-97188.586058601446</v>
      </c>
      <c r="AE134" s="340">
        <f>IF(OR(tblPiNHistorical[[#This Row],[Health - old]]="", tblPiNHistorical[[#This Row],[Health - old]]=0, tblPiNHistorical[[#This Row],[Health - new]]="", tblPiNHistorical[[#This Row],[Health - new]]=0), "", tblPiNHistorical[[#This Row],[Health - new]]-tblPiNHistorical[[#This Row],[Health - old]])</f>
        <v>-91456.343565897056</v>
      </c>
      <c r="AF13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-83961.772634775683</v>
      </c>
      <c r="AG134" s="340">
        <f>IF(OR(tblPiNHistorical[[#This Row],[Shelter - old]]="", tblPiNHistorical[[#This Row],[Shelter - old]]=0, tblPiNHistorical[[#This Row],[Shelter - new]]="", tblPiNHistorical[[#This Row],[Shelter - new]]=0), "", tblPiNHistorical[[#This Row],[Shelter - new]]-tblPiNHistorical[[#This Row],[Shelter - old]])</f>
        <v>-41778.48521699127</v>
      </c>
      <c r="AH134" s="341">
        <f>IF(OR(tblPiNHistorical[[#This Row],[WASH - old]]="", tblPiNHistorical[[#This Row],[WASH - old]]=0, tblPiNHistorical[[#This Row],[WASH - new]]="", tblPiNHistorical[[#This Row],[WASH - new]]=0), "", tblPiNHistorical[[#This Row],[WASH - new]]-tblPiNHistorical[[#This Row],[WASH - old]])</f>
        <v>-69076.242425106117</v>
      </c>
      <c r="AI134" s="342">
        <f>IFERROR(ROUND((tblPiNHistorical[[#This Row],[CCCM - new]] - tblPiNHistorical[[#This Row],[CCCM - old]])/tblPiNHistorical[[#This Row],[CCCM - old]], 1), "")</f>
        <v>-1</v>
      </c>
      <c r="AJ134" s="343">
        <f>IFERROR(ROUND((tblPiNHistorical[[#This Row],[Education - new]]-tblPiNHistorical[[#This Row],[Education - old]])/tblPiNHistorical[[#This Row],[Education - old]], 1), "")</f>
        <v>-0.5</v>
      </c>
      <c r="AK134" s="343">
        <f>IFERROR(ROUND((tblPiNHistorical[[#This Row],[Nutrition - new]]-tblPiNHistorical[[#This Row],[Nutrition - old]])/tblPiNHistorical[[#This Row],[Nutrition - old]], 1), "")</f>
        <v>-0.3</v>
      </c>
      <c r="AL134" s="343">
        <f>IFERROR(ROUND((tblPiNHistorical[[#This Row],[Food Security - new]]-tblPiNHistorical[[#This Row],[Food Security - old]])/tblPiNHistorical[[#This Row],[Food Security - old]], 1), "")</f>
        <v>-0.5</v>
      </c>
      <c r="AM134" s="343">
        <f>IFERROR(ROUND((tblPiNHistorical[[#This Row],[Health - new]]-tblPiNHistorical[[#This Row],[Health - old]])/tblPiNHistorical[[#This Row],[Health - old]], 1), "")</f>
        <v>-0.6</v>
      </c>
      <c r="AN134" s="343">
        <f>IFERROR(ROUND((tblPiNHistorical[[#This Row],[Overarching Protection - new]]-tblPiNHistorical[[#This Row],[Overarching Protection - old]])/tblPiNHistorical[[#This Row],[Overarching Protection - old]], 1), "")</f>
        <v>-0.7</v>
      </c>
      <c r="AO134" s="343">
        <f>IFERROR(ROUND((tblPiNHistorical[[#This Row],[Shelter - new]]-tblPiNHistorical[[#This Row],[Shelter - old]])/tblPiNHistorical[[#This Row],[Shelter - old]], 1), "")</f>
        <v>-0.5</v>
      </c>
      <c r="AP134" s="38">
        <f>IFERROR(ROUND((tblPiNHistorical[[#This Row],[WASH - new]]-tblPiNHistorical[[#This Row],[WASH - old]])/tblPiNHistorical[[#This Row],[WASH - old]], 1), "")</f>
        <v>-0.4</v>
      </c>
      <c r="AQ134" s="406">
        <v>203001</v>
      </c>
      <c r="AR134" s="406">
        <v>105812.41394139855</v>
      </c>
    </row>
    <row r="135" spans="1:44" ht="15" customHeight="1" x14ac:dyDescent="0.55000000000000004">
      <c r="A13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5" s="316" t="s">
        <v>342</v>
      </c>
      <c r="C135" s="218" t="s">
        <v>343</v>
      </c>
      <c r="D135" s="218" t="s">
        <v>352</v>
      </c>
      <c r="E135" s="105" t="s">
        <v>353</v>
      </c>
      <c r="F135" s="100"/>
      <c r="G135" s="34"/>
      <c r="H135" s="335"/>
      <c r="I135" s="97"/>
      <c r="J135" s="97" t="s">
        <v>413</v>
      </c>
      <c r="K135" s="336">
        <v>2158</v>
      </c>
      <c r="L135" s="337">
        <v>14157</v>
      </c>
      <c r="M135" s="319">
        <v>12579.445610107068</v>
      </c>
      <c r="N135" s="319">
        <v>42267</v>
      </c>
      <c r="O135" s="319">
        <v>14664.507937922577</v>
      </c>
      <c r="P135" s="319">
        <v>22145.052750797298</v>
      </c>
      <c r="Q135" s="320">
        <v>24138.357406567164</v>
      </c>
      <c r="R135" s="319">
        <v>20021.202945582223</v>
      </c>
      <c r="S135" s="235">
        <f>tblPiNAnalysis[[#This Row],[CCCM]]</f>
        <v>0</v>
      </c>
      <c r="T135" s="236">
        <f>tblPiNAnalysis[[#This Row],[Education]]</f>
        <v>18618.536091374819</v>
      </c>
      <c r="U135" s="219">
        <f>tblPiNAnalysis[[#This Row],[Nutrition]]</f>
        <v>21954.392708159565</v>
      </c>
      <c r="V135" s="219">
        <f>tblPiNAnalysis[[#This Row],[Food Security]]</f>
        <v>35213.296640527828</v>
      </c>
      <c r="W135" s="219">
        <f>tblPiNAnalysis[[#This Row],[Health]]</f>
        <v>30749.321701969897</v>
      </c>
      <c r="X135" s="219">
        <f>tblPiNAnalysis[[#This Row],[Overarching Protection]]</f>
        <v>17593</v>
      </c>
      <c r="Y135" s="219">
        <f>tblPiNAnalysis[[#This Row],[Shelter]]</f>
        <v>29939.143891650725</v>
      </c>
      <c r="Z135" s="230">
        <f>tblPiNAnalysis[[#This Row],[WASH]]</f>
        <v>27028.393791073569</v>
      </c>
      <c r="AA135" s="339" t="str">
        <f>IF(OR(tblPiNHistorical[[#This Row],[CCCM - old]]="", tblPiNHistorical[[#This Row],[CCCM - old]]=0, tblPiNHistorical[[#This Row],[CCCM - new]]="", tblPiNHistorical[[#This Row],[CCCM - new]]=0), "", tblPiNHistorical[[#This Row],[CCCM - new]]-tblPiNHistorical[[#This Row],[CCCM - old]])</f>
        <v/>
      </c>
      <c r="AB135" s="340">
        <f>IF(OR(tblPiNHistorical[[#This Row],[Education - old]]="", tblPiNHistorical[[#This Row],[Education - old]]=0, tblPiNHistorical[[#This Row],[Education - new]]="", tblPiNHistorical[[#This Row],[Education - new]]=0), "", tblPiNHistorical[[#This Row],[Education - new]]-tblPiNHistorical[[#This Row],[Education - old]])</f>
        <v>4461.5360913748191</v>
      </c>
      <c r="AC135" s="340">
        <f>IF(OR(tblPiNHistorical[[#This Row],[Nutrition - old]]="", tblPiNHistorical[[#This Row],[Nutrition - old]]=0, tblPiNHistorical[[#This Row],[Nutrition - new]]="", tblPiNHistorical[[#This Row],[Nutrition - new]]=0), "", tblPiNHistorical[[#This Row],[Nutrition - new]]-tblPiNHistorical[[#This Row],[Nutrition - old]])</f>
        <v>9374.9470980524966</v>
      </c>
      <c r="AD135" s="340">
        <f>IF(OR(tblPiNHistorical[[#This Row],[Food Security - old]]="", tblPiNHistorical[[#This Row],[Food Security - old]]=0, tblPiNHistorical[[#This Row],[Food Security - new]]="", tblPiNHistorical[[#This Row],[Food Security - new]]=0), "", tblPiNHistorical[[#This Row],[Food Security - new]]-tblPiNHistorical[[#This Row],[Food Security - old]])</f>
        <v>-7053.7033594721725</v>
      </c>
      <c r="AE135" s="340">
        <f>IF(OR(tblPiNHistorical[[#This Row],[Health - old]]="", tblPiNHistorical[[#This Row],[Health - old]]=0, tblPiNHistorical[[#This Row],[Health - new]]="", tblPiNHistorical[[#This Row],[Health - new]]=0), "", tblPiNHistorical[[#This Row],[Health - new]]-tblPiNHistorical[[#This Row],[Health - old]])</f>
        <v>16084.81376404732</v>
      </c>
      <c r="AF13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-4552.0527507972984</v>
      </c>
      <c r="AG135" s="340">
        <f>IF(OR(tblPiNHistorical[[#This Row],[Shelter - old]]="", tblPiNHistorical[[#This Row],[Shelter - old]]=0, tblPiNHistorical[[#This Row],[Shelter - new]]="", tblPiNHistorical[[#This Row],[Shelter - new]]=0), "", tblPiNHistorical[[#This Row],[Shelter - new]]-tblPiNHistorical[[#This Row],[Shelter - old]])</f>
        <v>5800.7864850835613</v>
      </c>
      <c r="AH135" s="341">
        <f>IF(OR(tblPiNHistorical[[#This Row],[WASH - old]]="", tblPiNHistorical[[#This Row],[WASH - old]]=0, tblPiNHistorical[[#This Row],[WASH - new]]="", tblPiNHistorical[[#This Row],[WASH - new]]=0), "", tblPiNHistorical[[#This Row],[WASH - new]]-tblPiNHistorical[[#This Row],[WASH - old]])</f>
        <v>7007.1908454913464</v>
      </c>
      <c r="AI135" s="342">
        <f>IFERROR(ROUND((tblPiNHistorical[[#This Row],[CCCM - new]] - tblPiNHistorical[[#This Row],[CCCM - old]])/tblPiNHistorical[[#This Row],[CCCM - old]], 1), "")</f>
        <v>-1</v>
      </c>
      <c r="AJ135" s="343">
        <f>IFERROR(ROUND((tblPiNHistorical[[#This Row],[Education - new]]-tblPiNHistorical[[#This Row],[Education - old]])/tblPiNHistorical[[#This Row],[Education - old]], 1), "")</f>
        <v>0.3</v>
      </c>
      <c r="AK135" s="343">
        <f>IFERROR(ROUND((tblPiNHistorical[[#This Row],[Nutrition - new]]-tblPiNHistorical[[#This Row],[Nutrition - old]])/tblPiNHistorical[[#This Row],[Nutrition - old]], 1), "")</f>
        <v>0.7</v>
      </c>
      <c r="AL135" s="343">
        <f>IFERROR(ROUND((tblPiNHistorical[[#This Row],[Food Security - new]]-tblPiNHistorical[[#This Row],[Food Security - old]])/tblPiNHistorical[[#This Row],[Food Security - old]], 1), "")</f>
        <v>-0.2</v>
      </c>
      <c r="AM135" s="343">
        <f>IFERROR(ROUND((tblPiNHistorical[[#This Row],[Health - new]]-tblPiNHistorical[[#This Row],[Health - old]])/tblPiNHistorical[[#This Row],[Health - old]], 1), "")</f>
        <v>1.1000000000000001</v>
      </c>
      <c r="AN135" s="343">
        <f>IFERROR(ROUND((tblPiNHistorical[[#This Row],[Overarching Protection - new]]-tblPiNHistorical[[#This Row],[Overarching Protection - old]])/tblPiNHistorical[[#This Row],[Overarching Protection - old]], 1), "")</f>
        <v>-0.2</v>
      </c>
      <c r="AO135" s="343">
        <f>IFERROR(ROUND((tblPiNHistorical[[#This Row],[Shelter - new]]-tblPiNHistorical[[#This Row],[Shelter - old]])/tblPiNHistorical[[#This Row],[Shelter - old]], 1), "")</f>
        <v>0.2</v>
      </c>
      <c r="AP135" s="38">
        <f>IFERROR(ROUND((tblPiNHistorical[[#This Row],[WASH - new]]-tblPiNHistorical[[#This Row],[WASH - old]])/tblPiNHistorical[[#This Row],[WASH - old]], 1), "")</f>
        <v>0.3</v>
      </c>
      <c r="AQ135" s="406">
        <v>42267</v>
      </c>
      <c r="AR135" s="406">
        <v>35213.296640527828</v>
      </c>
    </row>
    <row r="136" spans="1:44" ht="15" customHeight="1" x14ac:dyDescent="0.55000000000000004">
      <c r="A13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6" s="316" t="s">
        <v>342</v>
      </c>
      <c r="C136" s="218" t="s">
        <v>343</v>
      </c>
      <c r="D136" s="218" t="s">
        <v>354</v>
      </c>
      <c r="E136" s="105" t="s">
        <v>355</v>
      </c>
      <c r="F136" s="100"/>
      <c r="G136" s="34"/>
      <c r="H136" s="335"/>
      <c r="I136" s="97"/>
      <c r="J136" s="97" t="s">
        <v>413</v>
      </c>
      <c r="K136" s="336">
        <v>0</v>
      </c>
      <c r="L136" s="337">
        <v>16198</v>
      </c>
      <c r="M136" s="319">
        <v>29032.078022707916</v>
      </c>
      <c r="N136" s="319">
        <v>77773</v>
      </c>
      <c r="O136" s="319">
        <v>97351.604023087275</v>
      </c>
      <c r="P136" s="319">
        <v>32396.930906206857</v>
      </c>
      <c r="Q136" s="320">
        <v>28046.234298530733</v>
      </c>
      <c r="R136" s="319">
        <v>49340.837088449072</v>
      </c>
      <c r="S136" s="235">
        <f>tblPiNAnalysis[[#This Row],[CCCM]]</f>
        <v>0</v>
      </c>
      <c r="T136" s="236">
        <f>tblPiNAnalysis[[#This Row],[Education]]</f>
        <v>14283.00916785528</v>
      </c>
      <c r="U136" s="219">
        <f>tblPiNAnalysis[[#This Row],[Nutrition]]</f>
        <v>31687.001788830639</v>
      </c>
      <c r="V136" s="219">
        <f>tblPiNAnalysis[[#This Row],[Food Security]]</f>
        <v>45448.176430672487</v>
      </c>
      <c r="W136" s="219">
        <f>tblPiNAnalysis[[#This Row],[Health]]</f>
        <v>33325.761868302005</v>
      </c>
      <c r="X136" s="219">
        <f>tblPiNAnalysis[[#This Row],[Overarching Protection]]</f>
        <v>28182</v>
      </c>
      <c r="Y136" s="219">
        <f>tblPiNAnalysis[[#This Row],[Shelter]]</f>
        <v>21566.320318222781</v>
      </c>
      <c r="Z136" s="230">
        <f>tblPiNAnalysis[[#This Row],[WASH]]</f>
        <v>61218.681749875781</v>
      </c>
      <c r="AA136" s="339" t="str">
        <f>IF(OR(tblPiNHistorical[[#This Row],[CCCM - old]]="", tblPiNHistorical[[#This Row],[CCCM - old]]=0, tblPiNHistorical[[#This Row],[CCCM - new]]="", tblPiNHistorical[[#This Row],[CCCM - new]]=0), "", tblPiNHistorical[[#This Row],[CCCM - new]]-tblPiNHistorical[[#This Row],[CCCM - old]])</f>
        <v/>
      </c>
      <c r="AB136" s="340">
        <f>IF(OR(tblPiNHistorical[[#This Row],[Education - old]]="", tblPiNHistorical[[#This Row],[Education - old]]=0, tblPiNHistorical[[#This Row],[Education - new]]="", tblPiNHistorical[[#This Row],[Education - new]]=0), "", tblPiNHistorical[[#This Row],[Education - new]]-tblPiNHistorical[[#This Row],[Education - old]])</f>
        <v>-1914.9908321447201</v>
      </c>
      <c r="AC136" s="340">
        <f>IF(OR(tblPiNHistorical[[#This Row],[Nutrition - old]]="", tblPiNHistorical[[#This Row],[Nutrition - old]]=0, tblPiNHistorical[[#This Row],[Nutrition - new]]="", tblPiNHistorical[[#This Row],[Nutrition - new]]=0), "", tblPiNHistorical[[#This Row],[Nutrition - new]]-tblPiNHistorical[[#This Row],[Nutrition - old]])</f>
        <v>2654.9237661227235</v>
      </c>
      <c r="AD136" s="340">
        <f>IF(OR(tblPiNHistorical[[#This Row],[Food Security - old]]="", tblPiNHistorical[[#This Row],[Food Security - old]]=0, tblPiNHistorical[[#This Row],[Food Security - new]]="", tblPiNHistorical[[#This Row],[Food Security - new]]=0), "", tblPiNHistorical[[#This Row],[Food Security - new]]-tblPiNHistorical[[#This Row],[Food Security - old]])</f>
        <v>-32324.823569327513</v>
      </c>
      <c r="AE136" s="340">
        <f>IF(OR(tblPiNHistorical[[#This Row],[Health - old]]="", tblPiNHistorical[[#This Row],[Health - old]]=0, tblPiNHistorical[[#This Row],[Health - new]]="", tblPiNHistorical[[#This Row],[Health - new]]=0), "", tblPiNHistorical[[#This Row],[Health - new]]-tblPiNHistorical[[#This Row],[Health - old]])</f>
        <v>-64025.84215478527</v>
      </c>
      <c r="AF13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-4214.9309062068569</v>
      </c>
      <c r="AG136" s="340">
        <f>IF(OR(tblPiNHistorical[[#This Row],[Shelter - old]]="", tblPiNHistorical[[#This Row],[Shelter - old]]=0, tblPiNHistorical[[#This Row],[Shelter - new]]="", tblPiNHistorical[[#This Row],[Shelter - new]]=0), "", tblPiNHistorical[[#This Row],[Shelter - new]]-tblPiNHistorical[[#This Row],[Shelter - old]])</f>
        <v>-6479.9139803079524</v>
      </c>
      <c r="AH136" s="341">
        <f>IF(OR(tblPiNHistorical[[#This Row],[WASH - old]]="", tblPiNHistorical[[#This Row],[WASH - old]]=0, tblPiNHistorical[[#This Row],[WASH - new]]="", tblPiNHistorical[[#This Row],[WASH - new]]=0), "", tblPiNHistorical[[#This Row],[WASH - new]]-tblPiNHistorical[[#This Row],[WASH - old]])</f>
        <v>11877.844661426709</v>
      </c>
      <c r="AI136" s="342" t="str">
        <f>IFERROR(ROUND((tblPiNHistorical[[#This Row],[CCCM - new]] - tblPiNHistorical[[#This Row],[CCCM - old]])/tblPiNHistorical[[#This Row],[CCCM - old]], 1), "")</f>
        <v/>
      </c>
      <c r="AJ136" s="343">
        <f>IFERROR(ROUND((tblPiNHistorical[[#This Row],[Education - new]]-tblPiNHistorical[[#This Row],[Education - old]])/tblPiNHistorical[[#This Row],[Education - old]], 1), "")</f>
        <v>-0.1</v>
      </c>
      <c r="AK136" s="343">
        <f>IFERROR(ROUND((tblPiNHistorical[[#This Row],[Nutrition - new]]-tblPiNHistorical[[#This Row],[Nutrition - old]])/tblPiNHistorical[[#This Row],[Nutrition - old]], 1), "")</f>
        <v>0.1</v>
      </c>
      <c r="AL136" s="343">
        <f>IFERROR(ROUND((tblPiNHistorical[[#This Row],[Food Security - new]]-tblPiNHistorical[[#This Row],[Food Security - old]])/tblPiNHistorical[[#This Row],[Food Security - old]], 1), "")</f>
        <v>-0.4</v>
      </c>
      <c r="AM136" s="343">
        <f>IFERROR(ROUND((tblPiNHistorical[[#This Row],[Health - new]]-tblPiNHistorical[[#This Row],[Health - old]])/tblPiNHistorical[[#This Row],[Health - old]], 1), "")</f>
        <v>-0.7</v>
      </c>
      <c r="AN136" s="343">
        <f>IFERROR(ROUND((tblPiNHistorical[[#This Row],[Overarching Protection - new]]-tblPiNHistorical[[#This Row],[Overarching Protection - old]])/tblPiNHistorical[[#This Row],[Overarching Protection - old]], 1), "")</f>
        <v>-0.1</v>
      </c>
      <c r="AO136" s="343">
        <f>IFERROR(ROUND((tblPiNHistorical[[#This Row],[Shelter - new]]-tblPiNHistorical[[#This Row],[Shelter - old]])/tblPiNHistorical[[#This Row],[Shelter - old]], 1), "")</f>
        <v>-0.2</v>
      </c>
      <c r="AP136" s="38">
        <f>IFERROR(ROUND((tblPiNHistorical[[#This Row],[WASH - new]]-tblPiNHistorical[[#This Row],[WASH - old]])/tblPiNHistorical[[#This Row],[WASH - old]], 1), "")</f>
        <v>0.2</v>
      </c>
      <c r="AQ136" s="406">
        <v>97351.604023087275</v>
      </c>
      <c r="AR136" s="406">
        <v>61218.681749875781</v>
      </c>
    </row>
    <row r="137" spans="1:44" ht="15" customHeight="1" x14ac:dyDescent="0.55000000000000004">
      <c r="A13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7" s="316" t="s">
        <v>342</v>
      </c>
      <c r="C137" s="218" t="s">
        <v>343</v>
      </c>
      <c r="D137" s="218" t="s">
        <v>356</v>
      </c>
      <c r="E137" s="105" t="s">
        <v>357</v>
      </c>
      <c r="F137" s="100"/>
      <c r="G137" s="34"/>
      <c r="H137" s="335"/>
      <c r="I137" s="97"/>
      <c r="J137" s="97" t="s">
        <v>413</v>
      </c>
      <c r="K137" s="336">
        <v>4099</v>
      </c>
      <c r="L137" s="337">
        <v>10215.8189218773</v>
      </c>
      <c r="M137" s="319">
        <v>31151.545571482518</v>
      </c>
      <c r="N137" s="319">
        <v>73222</v>
      </c>
      <c r="O137" s="319">
        <v>43809.357378764791</v>
      </c>
      <c r="P137" s="319">
        <v>48019.750158839204</v>
      </c>
      <c r="Q137" s="320">
        <v>46456.84092373951</v>
      </c>
      <c r="R137" s="319">
        <v>76297.389746725399</v>
      </c>
      <c r="S137" s="235">
        <f>tblPiNAnalysis[[#This Row],[CCCM]]</f>
        <v>0</v>
      </c>
      <c r="T137" s="236">
        <f>tblPiNAnalysis[[#This Row],[Education]]</f>
        <v>3450.0923561397899</v>
      </c>
      <c r="U137" s="219">
        <f>tblPiNAnalysis[[#This Row],[Nutrition]]</f>
        <v>58931.909938574638</v>
      </c>
      <c r="V137" s="219">
        <f>tblPiNAnalysis[[#This Row],[Food Security]]</f>
        <v>99663.380026948871</v>
      </c>
      <c r="W137" s="219">
        <f>tblPiNAnalysis[[#This Row],[Health]]</f>
        <v>83200.762816185612</v>
      </c>
      <c r="X137" s="219">
        <f>tblPiNAnalysis[[#This Row],[Overarching Protection]]</f>
        <v>21613</v>
      </c>
      <c r="Y137" s="219">
        <f>tblPiNAnalysis[[#This Row],[Shelter]]</f>
        <v>75081.189016986566</v>
      </c>
      <c r="Z137" s="230">
        <f>tblPiNAnalysis[[#This Row],[WASH]]</f>
        <v>97619.073864247752</v>
      </c>
      <c r="AA137" s="339" t="str">
        <f>IF(OR(tblPiNHistorical[[#This Row],[CCCM - old]]="", tblPiNHistorical[[#This Row],[CCCM - old]]=0, tblPiNHistorical[[#This Row],[CCCM - new]]="", tblPiNHistorical[[#This Row],[CCCM - new]]=0), "", tblPiNHistorical[[#This Row],[CCCM - new]]-tblPiNHistorical[[#This Row],[CCCM - old]])</f>
        <v/>
      </c>
      <c r="AB137" s="340">
        <f>IF(OR(tblPiNHistorical[[#This Row],[Education - old]]="", tblPiNHistorical[[#This Row],[Education - old]]=0, tblPiNHistorical[[#This Row],[Education - new]]="", tblPiNHistorical[[#This Row],[Education - new]]=0), "", tblPiNHistorical[[#This Row],[Education - new]]-tblPiNHistorical[[#This Row],[Education - old]])</f>
        <v>-6765.7265657375101</v>
      </c>
      <c r="AC137" s="340">
        <f>IF(OR(tblPiNHistorical[[#This Row],[Nutrition - old]]="", tblPiNHistorical[[#This Row],[Nutrition - old]]=0, tblPiNHistorical[[#This Row],[Nutrition - new]]="", tblPiNHistorical[[#This Row],[Nutrition - new]]=0), "", tblPiNHistorical[[#This Row],[Nutrition - new]]-tblPiNHistorical[[#This Row],[Nutrition - old]])</f>
        <v>27780.364367092119</v>
      </c>
      <c r="AD137" s="340">
        <f>IF(OR(tblPiNHistorical[[#This Row],[Food Security - old]]="", tblPiNHistorical[[#This Row],[Food Security - old]]=0, tblPiNHistorical[[#This Row],[Food Security - new]]="", tblPiNHistorical[[#This Row],[Food Security - new]]=0), "", tblPiNHistorical[[#This Row],[Food Security - new]]-tblPiNHistorical[[#This Row],[Food Security - old]])</f>
        <v>26441.380026948871</v>
      </c>
      <c r="AE137" s="340">
        <f>IF(OR(tblPiNHistorical[[#This Row],[Health - old]]="", tblPiNHistorical[[#This Row],[Health - old]]=0, tblPiNHistorical[[#This Row],[Health - new]]="", tblPiNHistorical[[#This Row],[Health - new]]=0), "", tblPiNHistorical[[#This Row],[Health - new]]-tblPiNHistorical[[#This Row],[Health - old]])</f>
        <v>39391.405437420821</v>
      </c>
      <c r="AF13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-26406.750158839204</v>
      </c>
      <c r="AG137" s="340">
        <f>IF(OR(tblPiNHistorical[[#This Row],[Shelter - old]]="", tblPiNHistorical[[#This Row],[Shelter - old]]=0, tblPiNHistorical[[#This Row],[Shelter - new]]="", tblPiNHistorical[[#This Row],[Shelter - new]]=0), "", tblPiNHistorical[[#This Row],[Shelter - new]]-tblPiNHistorical[[#This Row],[Shelter - old]])</f>
        <v>28624.348093247056</v>
      </c>
      <c r="AH137" s="341">
        <f>IF(OR(tblPiNHistorical[[#This Row],[WASH - old]]="", tblPiNHistorical[[#This Row],[WASH - old]]=0, tblPiNHistorical[[#This Row],[WASH - new]]="", tblPiNHistorical[[#This Row],[WASH - new]]=0), "", tblPiNHistorical[[#This Row],[WASH - new]]-tblPiNHistorical[[#This Row],[WASH - old]])</f>
        <v>21321.684117522353</v>
      </c>
      <c r="AI137" s="342">
        <f>IFERROR(ROUND((tblPiNHistorical[[#This Row],[CCCM - new]] - tblPiNHistorical[[#This Row],[CCCM - old]])/tblPiNHistorical[[#This Row],[CCCM - old]], 1), "")</f>
        <v>-1</v>
      </c>
      <c r="AJ137" s="343">
        <f>IFERROR(ROUND((tblPiNHistorical[[#This Row],[Education - new]]-tblPiNHistorical[[#This Row],[Education - old]])/tblPiNHistorical[[#This Row],[Education - old]], 1), "")</f>
        <v>-0.7</v>
      </c>
      <c r="AK137" s="343">
        <f>IFERROR(ROUND((tblPiNHistorical[[#This Row],[Nutrition - new]]-tblPiNHistorical[[#This Row],[Nutrition - old]])/tblPiNHistorical[[#This Row],[Nutrition - old]], 1), "")</f>
        <v>0.9</v>
      </c>
      <c r="AL137" s="343">
        <f>IFERROR(ROUND((tblPiNHistorical[[#This Row],[Food Security - new]]-tblPiNHistorical[[#This Row],[Food Security - old]])/tblPiNHistorical[[#This Row],[Food Security - old]], 1), "")</f>
        <v>0.4</v>
      </c>
      <c r="AM137" s="343">
        <f>IFERROR(ROUND((tblPiNHistorical[[#This Row],[Health - new]]-tblPiNHistorical[[#This Row],[Health - old]])/tblPiNHistorical[[#This Row],[Health - old]], 1), "")</f>
        <v>0.9</v>
      </c>
      <c r="AN137" s="343">
        <f>IFERROR(ROUND((tblPiNHistorical[[#This Row],[Overarching Protection - new]]-tblPiNHistorical[[#This Row],[Overarching Protection - old]])/tblPiNHistorical[[#This Row],[Overarching Protection - old]], 1), "")</f>
        <v>-0.5</v>
      </c>
      <c r="AO137" s="343">
        <f>IFERROR(ROUND((tblPiNHistorical[[#This Row],[Shelter - new]]-tblPiNHistorical[[#This Row],[Shelter - old]])/tblPiNHistorical[[#This Row],[Shelter - old]], 1), "")</f>
        <v>0.6</v>
      </c>
      <c r="AP137" s="38">
        <f>IFERROR(ROUND((tblPiNHistorical[[#This Row],[WASH - new]]-tblPiNHistorical[[#This Row],[WASH - old]])/tblPiNHistorical[[#This Row],[WASH - old]], 1), "")</f>
        <v>0.3</v>
      </c>
      <c r="AQ137" s="406">
        <v>76297.389746725399</v>
      </c>
      <c r="AR137" s="406">
        <v>99663.380026948871</v>
      </c>
    </row>
    <row r="138" spans="1:44" ht="15" customHeight="1" x14ac:dyDescent="0.55000000000000004">
      <c r="A13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8" s="316" t="s">
        <v>342</v>
      </c>
      <c r="C138" s="218" t="s">
        <v>343</v>
      </c>
      <c r="D138" s="218" t="s">
        <v>358</v>
      </c>
      <c r="E138" s="105" t="s">
        <v>359</v>
      </c>
      <c r="F138" s="100"/>
      <c r="G138" s="34"/>
      <c r="H138" s="335"/>
      <c r="I138" s="97"/>
      <c r="J138" s="97" t="s">
        <v>413</v>
      </c>
      <c r="K138" s="336">
        <v>0</v>
      </c>
      <c r="L138" s="337">
        <v>9251</v>
      </c>
      <c r="M138" s="319">
        <v>23869.625192168085</v>
      </c>
      <c r="N138" s="319">
        <v>40679</v>
      </c>
      <c r="O138" s="319">
        <v>20938.354545728376</v>
      </c>
      <c r="P138" s="319">
        <v>19206.09952774096</v>
      </c>
      <c r="Q138" s="320">
        <v>51386.444942050504</v>
      </c>
      <c r="R138" s="319">
        <v>51869.788957505429</v>
      </c>
      <c r="S138" s="235">
        <f>tblPiNAnalysis[[#This Row],[CCCM]]</f>
        <v>0</v>
      </c>
      <c r="T138" s="236">
        <f>tblPiNAnalysis[[#This Row],[Education]]</f>
        <v>5999.5867542436563</v>
      </c>
      <c r="U138" s="219">
        <f>tblPiNAnalysis[[#This Row],[Nutrition]]</f>
        <v>27573.635613553237</v>
      </c>
      <c r="V138" s="219">
        <f>tblPiNAnalysis[[#This Row],[Food Security]]</f>
        <v>39225.067733394935</v>
      </c>
      <c r="W138" s="219">
        <f>tblPiNAnalysis[[#This Row],[Health]]</f>
        <v>27508.850619592082</v>
      </c>
      <c r="X138" s="219">
        <f>tblPiNAnalysis[[#This Row],[Overarching Protection]]</f>
        <v>19633</v>
      </c>
      <c r="Y138" s="219">
        <f>tblPiNAnalysis[[#This Row],[Shelter]]</f>
        <v>0</v>
      </c>
      <c r="Z138" s="230">
        <f>tblPiNAnalysis[[#This Row],[WASH]]</f>
        <v>46995.45736410773</v>
      </c>
      <c r="AA138" s="339" t="str">
        <f>IF(OR(tblPiNHistorical[[#This Row],[CCCM - old]]="", tblPiNHistorical[[#This Row],[CCCM - old]]=0, tblPiNHistorical[[#This Row],[CCCM - new]]="", tblPiNHistorical[[#This Row],[CCCM - new]]=0), "", tblPiNHistorical[[#This Row],[CCCM - new]]-tblPiNHistorical[[#This Row],[CCCM - old]])</f>
        <v/>
      </c>
      <c r="AB138" s="340">
        <f>IF(OR(tblPiNHistorical[[#This Row],[Education - old]]="", tblPiNHistorical[[#This Row],[Education - old]]=0, tblPiNHistorical[[#This Row],[Education - new]]="", tblPiNHistorical[[#This Row],[Education - new]]=0), "", tblPiNHistorical[[#This Row],[Education - new]]-tblPiNHistorical[[#This Row],[Education - old]])</f>
        <v>-3251.4132457563437</v>
      </c>
      <c r="AC138" s="340">
        <f>IF(OR(tblPiNHistorical[[#This Row],[Nutrition - old]]="", tblPiNHistorical[[#This Row],[Nutrition - old]]=0, tblPiNHistorical[[#This Row],[Nutrition - new]]="", tblPiNHistorical[[#This Row],[Nutrition - new]]=0), "", tblPiNHistorical[[#This Row],[Nutrition - new]]-tblPiNHistorical[[#This Row],[Nutrition - old]])</f>
        <v>3704.0104213851519</v>
      </c>
      <c r="AD138" s="340">
        <f>IF(OR(tblPiNHistorical[[#This Row],[Food Security - old]]="", tblPiNHistorical[[#This Row],[Food Security - old]]=0, tblPiNHistorical[[#This Row],[Food Security - new]]="", tblPiNHistorical[[#This Row],[Food Security - new]]=0), "", tblPiNHistorical[[#This Row],[Food Security - new]]-tblPiNHistorical[[#This Row],[Food Security - old]])</f>
        <v>-1453.9322666050648</v>
      </c>
      <c r="AE138" s="340">
        <f>IF(OR(tblPiNHistorical[[#This Row],[Health - old]]="", tblPiNHistorical[[#This Row],[Health - old]]=0, tblPiNHistorical[[#This Row],[Health - new]]="", tblPiNHistorical[[#This Row],[Health - new]]=0), "", tblPiNHistorical[[#This Row],[Health - new]]-tblPiNHistorical[[#This Row],[Health - old]])</f>
        <v>6570.4960738637055</v>
      </c>
      <c r="AF13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426.90047225903982</v>
      </c>
      <c r="AG138" s="340" t="str">
        <f>IF(OR(tblPiNHistorical[[#This Row],[Shelter - old]]="", tblPiNHistorical[[#This Row],[Shelter - old]]=0, tblPiNHistorical[[#This Row],[Shelter - new]]="", tblPiNHistorical[[#This Row],[Shelter - new]]=0), "", tblPiNHistorical[[#This Row],[Shelter - new]]-tblPiNHistorical[[#This Row],[Shelter - old]])</f>
        <v/>
      </c>
      <c r="AH138" s="341">
        <f>IF(OR(tblPiNHistorical[[#This Row],[WASH - old]]="", tblPiNHistorical[[#This Row],[WASH - old]]=0, tblPiNHistorical[[#This Row],[WASH - new]]="", tblPiNHistorical[[#This Row],[WASH - new]]=0), "", tblPiNHistorical[[#This Row],[WASH - new]]-tblPiNHistorical[[#This Row],[WASH - old]])</f>
        <v>-4874.3315933976992</v>
      </c>
      <c r="AI138" s="342" t="str">
        <f>IFERROR(ROUND((tblPiNHistorical[[#This Row],[CCCM - new]] - tblPiNHistorical[[#This Row],[CCCM - old]])/tblPiNHistorical[[#This Row],[CCCM - old]], 1), "")</f>
        <v/>
      </c>
      <c r="AJ138" s="343">
        <f>IFERROR(ROUND((tblPiNHistorical[[#This Row],[Education - new]]-tblPiNHistorical[[#This Row],[Education - old]])/tblPiNHistorical[[#This Row],[Education - old]], 1), "")</f>
        <v>-0.4</v>
      </c>
      <c r="AK138" s="343">
        <f>IFERROR(ROUND((tblPiNHistorical[[#This Row],[Nutrition - new]]-tblPiNHistorical[[#This Row],[Nutrition - old]])/tblPiNHistorical[[#This Row],[Nutrition - old]], 1), "")</f>
        <v>0.2</v>
      </c>
      <c r="AL138" s="343">
        <f>IFERROR(ROUND((tblPiNHistorical[[#This Row],[Food Security - new]]-tblPiNHistorical[[#This Row],[Food Security - old]])/tblPiNHistorical[[#This Row],[Food Security - old]], 1), "")</f>
        <v>0</v>
      </c>
      <c r="AM138" s="343">
        <f>IFERROR(ROUND((tblPiNHistorical[[#This Row],[Health - new]]-tblPiNHistorical[[#This Row],[Health - old]])/tblPiNHistorical[[#This Row],[Health - old]], 1), "")</f>
        <v>0.3</v>
      </c>
      <c r="AN138" s="343">
        <f>IFERROR(ROUND((tblPiNHistorical[[#This Row],[Overarching Protection - new]]-tblPiNHistorical[[#This Row],[Overarching Protection - old]])/tblPiNHistorical[[#This Row],[Overarching Protection - old]], 1), "")</f>
        <v>0</v>
      </c>
      <c r="AO138" s="343">
        <f>IFERROR(ROUND((tblPiNHistorical[[#This Row],[Shelter - new]]-tblPiNHistorical[[#This Row],[Shelter - old]])/tblPiNHistorical[[#This Row],[Shelter - old]], 1), "")</f>
        <v>-1</v>
      </c>
      <c r="AP138" s="38">
        <f>IFERROR(ROUND((tblPiNHistorical[[#This Row],[WASH - new]]-tblPiNHistorical[[#This Row],[WASH - old]])/tblPiNHistorical[[#This Row],[WASH - old]], 1), "")</f>
        <v>-0.1</v>
      </c>
      <c r="AQ138" s="406">
        <v>51869.788957505429</v>
      </c>
      <c r="AR138" s="406">
        <v>46995.45736410773</v>
      </c>
    </row>
    <row r="139" spans="1:44" ht="15" customHeight="1" x14ac:dyDescent="0.55000000000000004">
      <c r="A13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39" s="316" t="s">
        <v>342</v>
      </c>
      <c r="C139" s="218" t="s">
        <v>343</v>
      </c>
      <c r="D139" s="218" t="s">
        <v>360</v>
      </c>
      <c r="E139" s="105" t="s">
        <v>361</v>
      </c>
      <c r="F139" s="100"/>
      <c r="G139" s="34"/>
      <c r="H139" s="335"/>
      <c r="I139" s="97"/>
      <c r="J139" s="97" t="s">
        <v>413</v>
      </c>
      <c r="K139" s="336">
        <v>0</v>
      </c>
      <c r="L139" s="337">
        <v>19452</v>
      </c>
      <c r="M139" s="319">
        <v>29023.344675964112</v>
      </c>
      <c r="N139" s="319">
        <v>48202</v>
      </c>
      <c r="O139" s="319">
        <v>45204.925679475033</v>
      </c>
      <c r="P139" s="319">
        <v>24416.083102382094</v>
      </c>
      <c r="Q139" s="320">
        <v>31247.992813052348</v>
      </c>
      <c r="R139" s="319">
        <v>48938.684164534541</v>
      </c>
      <c r="S139" s="235">
        <f>tblPiNAnalysis[[#This Row],[CCCM]]</f>
        <v>0</v>
      </c>
      <c r="T139" s="236">
        <f>tblPiNAnalysis[[#This Row],[Education]]</f>
        <v>17955.502360184204</v>
      </c>
      <c r="U139" s="219">
        <f>tblPiNAnalysis[[#This Row],[Nutrition]]</f>
        <v>39291.668651767097</v>
      </c>
      <c r="V139" s="219">
        <f>tblPiNAnalysis[[#This Row],[Food Security]]</f>
        <v>56401.700934591106</v>
      </c>
      <c r="W139" s="219">
        <f>tblPiNAnalysis[[#This Row],[Health]]</f>
        <v>41012.649567676861</v>
      </c>
      <c r="X139" s="219">
        <f>tblPiNAnalysis[[#This Row],[Overarching Protection]]</f>
        <v>28577</v>
      </c>
      <c r="Y139" s="219">
        <f>tblPiNAnalysis[[#This Row],[Shelter]]</f>
        <v>36802.793827158835</v>
      </c>
      <c r="Z139" s="230">
        <f>tblPiNAnalysis[[#This Row],[WASH]]</f>
        <v>7799.7690621344855</v>
      </c>
      <c r="AA139" s="339" t="str">
        <f>IF(OR(tblPiNHistorical[[#This Row],[CCCM - old]]="", tblPiNHistorical[[#This Row],[CCCM - old]]=0, tblPiNHistorical[[#This Row],[CCCM - new]]="", tblPiNHistorical[[#This Row],[CCCM - new]]=0), "", tblPiNHistorical[[#This Row],[CCCM - new]]-tblPiNHistorical[[#This Row],[CCCM - old]])</f>
        <v/>
      </c>
      <c r="AB139" s="340">
        <f>IF(OR(tblPiNHistorical[[#This Row],[Education - old]]="", tblPiNHistorical[[#This Row],[Education - old]]=0, tblPiNHistorical[[#This Row],[Education - new]]="", tblPiNHistorical[[#This Row],[Education - new]]=0), "", tblPiNHistorical[[#This Row],[Education - new]]-tblPiNHistorical[[#This Row],[Education - old]])</f>
        <v>-1496.497639815796</v>
      </c>
      <c r="AC139" s="340">
        <f>IF(OR(tblPiNHistorical[[#This Row],[Nutrition - old]]="", tblPiNHistorical[[#This Row],[Nutrition - old]]=0, tblPiNHistorical[[#This Row],[Nutrition - new]]="", tblPiNHistorical[[#This Row],[Nutrition - new]]=0), "", tblPiNHistorical[[#This Row],[Nutrition - new]]-tblPiNHistorical[[#This Row],[Nutrition - old]])</f>
        <v>10268.323975802985</v>
      </c>
      <c r="AD139" s="340">
        <f>IF(OR(tblPiNHistorical[[#This Row],[Food Security - old]]="", tblPiNHistorical[[#This Row],[Food Security - old]]=0, tblPiNHistorical[[#This Row],[Food Security - new]]="", tblPiNHistorical[[#This Row],[Food Security - new]]=0), "", tblPiNHistorical[[#This Row],[Food Security - new]]-tblPiNHistorical[[#This Row],[Food Security - old]])</f>
        <v>8199.7009345911065</v>
      </c>
      <c r="AE139" s="340">
        <f>IF(OR(tblPiNHistorical[[#This Row],[Health - old]]="", tblPiNHistorical[[#This Row],[Health - old]]=0, tblPiNHistorical[[#This Row],[Health - new]]="", tblPiNHistorical[[#This Row],[Health - new]]=0), "", tblPiNHistorical[[#This Row],[Health - new]]-tblPiNHistorical[[#This Row],[Health - old]])</f>
        <v>-4192.2761117981718</v>
      </c>
      <c r="AF13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4160.9168976179062</v>
      </c>
      <c r="AG139" s="340">
        <f>IF(OR(tblPiNHistorical[[#This Row],[Shelter - old]]="", tblPiNHistorical[[#This Row],[Shelter - old]]=0, tblPiNHistorical[[#This Row],[Shelter - new]]="", tblPiNHistorical[[#This Row],[Shelter - new]]=0), "", tblPiNHistorical[[#This Row],[Shelter - new]]-tblPiNHistorical[[#This Row],[Shelter - old]])</f>
        <v>5554.8010141064879</v>
      </c>
      <c r="AH139" s="341">
        <f>IF(OR(tblPiNHistorical[[#This Row],[WASH - old]]="", tblPiNHistorical[[#This Row],[WASH - old]]=0, tblPiNHistorical[[#This Row],[WASH - new]]="", tblPiNHistorical[[#This Row],[WASH - new]]=0), "", tblPiNHistorical[[#This Row],[WASH - new]]-tblPiNHistorical[[#This Row],[WASH - old]])</f>
        <v>-41138.915102400053</v>
      </c>
      <c r="AI139" s="342" t="str">
        <f>IFERROR(ROUND((tblPiNHistorical[[#This Row],[CCCM - new]] - tblPiNHistorical[[#This Row],[CCCM - old]])/tblPiNHistorical[[#This Row],[CCCM - old]], 1), "")</f>
        <v/>
      </c>
      <c r="AJ139" s="343">
        <f>IFERROR(ROUND((tblPiNHistorical[[#This Row],[Education - new]]-tblPiNHistorical[[#This Row],[Education - old]])/tblPiNHistorical[[#This Row],[Education - old]], 1), "")</f>
        <v>-0.1</v>
      </c>
      <c r="AK139" s="343">
        <f>IFERROR(ROUND((tblPiNHistorical[[#This Row],[Nutrition - new]]-tblPiNHistorical[[#This Row],[Nutrition - old]])/tblPiNHistorical[[#This Row],[Nutrition - old]], 1), "")</f>
        <v>0.4</v>
      </c>
      <c r="AL139" s="343">
        <f>IFERROR(ROUND((tblPiNHistorical[[#This Row],[Food Security - new]]-tblPiNHistorical[[#This Row],[Food Security - old]])/tblPiNHistorical[[#This Row],[Food Security - old]], 1), "")</f>
        <v>0.2</v>
      </c>
      <c r="AM139" s="343">
        <f>IFERROR(ROUND((tblPiNHistorical[[#This Row],[Health - new]]-tblPiNHistorical[[#This Row],[Health - old]])/tblPiNHistorical[[#This Row],[Health - old]], 1), "")</f>
        <v>-0.1</v>
      </c>
      <c r="AN139" s="343">
        <f>IFERROR(ROUND((tblPiNHistorical[[#This Row],[Overarching Protection - new]]-tblPiNHistorical[[#This Row],[Overarching Protection - old]])/tblPiNHistorical[[#This Row],[Overarching Protection - old]], 1), "")</f>
        <v>0.2</v>
      </c>
      <c r="AO139" s="343">
        <f>IFERROR(ROUND((tblPiNHistorical[[#This Row],[Shelter - new]]-tblPiNHistorical[[#This Row],[Shelter - old]])/tblPiNHistorical[[#This Row],[Shelter - old]], 1), "")</f>
        <v>0.2</v>
      </c>
      <c r="AP139" s="38">
        <f>IFERROR(ROUND((tblPiNHistorical[[#This Row],[WASH - new]]-tblPiNHistorical[[#This Row],[WASH - old]])/tblPiNHistorical[[#This Row],[WASH - old]], 1), "")</f>
        <v>-0.8</v>
      </c>
      <c r="AQ139" s="406">
        <v>48938.684164534541</v>
      </c>
      <c r="AR139" s="406">
        <v>56401.700934591106</v>
      </c>
    </row>
    <row r="140" spans="1:44" ht="15" customHeight="1" x14ac:dyDescent="0.55000000000000004">
      <c r="A14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0" s="316" t="s">
        <v>342</v>
      </c>
      <c r="C140" s="218" t="s">
        <v>343</v>
      </c>
      <c r="D140" s="218" t="s">
        <v>362</v>
      </c>
      <c r="E140" s="105" t="s">
        <v>363</v>
      </c>
      <c r="F140" s="100"/>
      <c r="G140" s="34"/>
      <c r="H140" s="335"/>
      <c r="I140" s="97"/>
      <c r="J140" s="97" t="s">
        <v>413</v>
      </c>
      <c r="K140" s="336">
        <v>0</v>
      </c>
      <c r="L140" s="337">
        <v>2495</v>
      </c>
      <c r="M140" s="319">
        <v>26645.066074128299</v>
      </c>
      <c r="N140" s="319">
        <v>37381</v>
      </c>
      <c r="O140" s="319">
        <v>39000.120264468031</v>
      </c>
      <c r="P140" s="319">
        <v>21698.889864602417</v>
      </c>
      <c r="Q140" s="320">
        <v>21946.737585732721</v>
      </c>
      <c r="R140" s="319">
        <v>39595.458298070167</v>
      </c>
      <c r="S140" s="235">
        <f>tblPiNAnalysis[[#This Row],[CCCM]]</f>
        <v>0</v>
      </c>
      <c r="T140" s="236">
        <f>tblPiNAnalysis[[#This Row],[Education]]</f>
        <v>3277.2936069830607</v>
      </c>
      <c r="U140" s="219">
        <f>tblPiNAnalysis[[#This Row],[Nutrition]]</f>
        <v>25107.265017137095</v>
      </c>
      <c r="V140" s="219">
        <f>tblPiNAnalysis[[#This Row],[Food Security]]</f>
        <v>33263.474890030957</v>
      </c>
      <c r="W140" s="219">
        <f>tblPiNAnalysis[[#This Row],[Health]]</f>
        <v>24087.385048567459</v>
      </c>
      <c r="X140" s="219">
        <f>tblPiNAnalysis[[#This Row],[Overarching Protection]]</f>
        <v>13541</v>
      </c>
      <c r="Y140" s="219">
        <f>tblPiNAnalysis[[#This Row],[Shelter]]</f>
        <v>27853.825697837899</v>
      </c>
      <c r="Z140" s="230">
        <f>tblPiNAnalysis[[#This Row],[WASH]]</f>
        <v>37822.000195335575</v>
      </c>
      <c r="AA140" s="339" t="str">
        <f>IF(OR(tblPiNHistorical[[#This Row],[CCCM - old]]="", tblPiNHistorical[[#This Row],[CCCM - old]]=0, tblPiNHistorical[[#This Row],[CCCM - new]]="", tblPiNHistorical[[#This Row],[CCCM - new]]=0), "", tblPiNHistorical[[#This Row],[CCCM - new]]-tblPiNHistorical[[#This Row],[CCCM - old]])</f>
        <v/>
      </c>
      <c r="AB140" s="340">
        <f>IF(OR(tblPiNHistorical[[#This Row],[Education - old]]="", tblPiNHistorical[[#This Row],[Education - old]]=0, tblPiNHistorical[[#This Row],[Education - new]]="", tblPiNHistorical[[#This Row],[Education - new]]=0), "", tblPiNHistorical[[#This Row],[Education - new]]-tblPiNHistorical[[#This Row],[Education - old]])</f>
        <v>782.29360698306073</v>
      </c>
      <c r="AC140" s="340">
        <f>IF(OR(tblPiNHistorical[[#This Row],[Nutrition - old]]="", tblPiNHistorical[[#This Row],[Nutrition - old]]=0, tblPiNHistorical[[#This Row],[Nutrition - new]]="", tblPiNHistorical[[#This Row],[Nutrition - new]]=0), "", tblPiNHistorical[[#This Row],[Nutrition - new]]-tblPiNHistorical[[#This Row],[Nutrition - old]])</f>
        <v>-1537.801056991204</v>
      </c>
      <c r="AD140" s="340">
        <f>IF(OR(tblPiNHistorical[[#This Row],[Food Security - old]]="", tblPiNHistorical[[#This Row],[Food Security - old]]=0, tblPiNHistorical[[#This Row],[Food Security - new]]="", tblPiNHistorical[[#This Row],[Food Security - new]]=0), "", tblPiNHistorical[[#This Row],[Food Security - new]]-tblPiNHistorical[[#This Row],[Food Security - old]])</f>
        <v>-4117.5251099690431</v>
      </c>
      <c r="AE140" s="340">
        <f>IF(OR(tblPiNHistorical[[#This Row],[Health - old]]="", tblPiNHistorical[[#This Row],[Health - old]]=0, tblPiNHistorical[[#This Row],[Health - new]]="", tblPiNHistorical[[#This Row],[Health - new]]=0), "", tblPiNHistorical[[#This Row],[Health - new]]-tblPiNHistorical[[#This Row],[Health - old]])</f>
        <v>-14912.735215900571</v>
      </c>
      <c r="AF14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-8157.8898646024172</v>
      </c>
      <c r="AG140" s="340">
        <f>IF(OR(tblPiNHistorical[[#This Row],[Shelter - old]]="", tblPiNHistorical[[#This Row],[Shelter - old]]=0, tblPiNHistorical[[#This Row],[Shelter - new]]="", tblPiNHistorical[[#This Row],[Shelter - new]]=0), "", tblPiNHistorical[[#This Row],[Shelter - new]]-tblPiNHistorical[[#This Row],[Shelter - old]])</f>
        <v>5907.0881121051789</v>
      </c>
      <c r="AH140" s="341">
        <f>IF(OR(tblPiNHistorical[[#This Row],[WASH - old]]="", tblPiNHistorical[[#This Row],[WASH - old]]=0, tblPiNHistorical[[#This Row],[WASH - new]]="", tblPiNHistorical[[#This Row],[WASH - new]]=0), "", tblPiNHistorical[[#This Row],[WASH - new]]-tblPiNHistorical[[#This Row],[WASH - old]])</f>
        <v>-1773.4581027345921</v>
      </c>
      <c r="AI140" s="342" t="str">
        <f>IFERROR(ROUND((tblPiNHistorical[[#This Row],[CCCM - new]] - tblPiNHistorical[[#This Row],[CCCM - old]])/tblPiNHistorical[[#This Row],[CCCM - old]], 1), "")</f>
        <v/>
      </c>
      <c r="AJ140" s="343">
        <f>IFERROR(ROUND((tblPiNHistorical[[#This Row],[Education - new]]-tblPiNHistorical[[#This Row],[Education - old]])/tblPiNHistorical[[#This Row],[Education - old]], 1), "")</f>
        <v>0.3</v>
      </c>
      <c r="AK140" s="343">
        <f>IFERROR(ROUND((tblPiNHistorical[[#This Row],[Nutrition - new]]-tblPiNHistorical[[#This Row],[Nutrition - old]])/tblPiNHistorical[[#This Row],[Nutrition - old]], 1), "")</f>
        <v>-0.1</v>
      </c>
      <c r="AL140" s="343">
        <f>IFERROR(ROUND((tblPiNHistorical[[#This Row],[Food Security - new]]-tblPiNHistorical[[#This Row],[Food Security - old]])/tblPiNHistorical[[#This Row],[Food Security - old]], 1), "")</f>
        <v>-0.1</v>
      </c>
      <c r="AM140" s="343">
        <f>IFERROR(ROUND((tblPiNHistorical[[#This Row],[Health - new]]-tblPiNHistorical[[#This Row],[Health - old]])/tblPiNHistorical[[#This Row],[Health - old]], 1), "")</f>
        <v>-0.4</v>
      </c>
      <c r="AN140" s="343">
        <f>IFERROR(ROUND((tblPiNHistorical[[#This Row],[Overarching Protection - new]]-tblPiNHistorical[[#This Row],[Overarching Protection - old]])/tblPiNHistorical[[#This Row],[Overarching Protection - old]], 1), "")</f>
        <v>-0.4</v>
      </c>
      <c r="AO140" s="343">
        <f>IFERROR(ROUND((tblPiNHistorical[[#This Row],[Shelter - new]]-tblPiNHistorical[[#This Row],[Shelter - old]])/tblPiNHistorical[[#This Row],[Shelter - old]], 1), "")</f>
        <v>0.3</v>
      </c>
      <c r="AP140" s="38">
        <f>IFERROR(ROUND((tblPiNHistorical[[#This Row],[WASH - new]]-tblPiNHistorical[[#This Row],[WASH - old]])/tblPiNHistorical[[#This Row],[WASH - old]], 1), "")</f>
        <v>0</v>
      </c>
      <c r="AQ140" s="406">
        <v>39595.458298070167</v>
      </c>
      <c r="AR140" s="406">
        <v>37822.000195335575</v>
      </c>
    </row>
    <row r="141" spans="1:44" ht="15" customHeight="1" x14ac:dyDescent="0.55000000000000004">
      <c r="A14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1" s="316" t="s">
        <v>342</v>
      </c>
      <c r="C141" s="218" t="s">
        <v>343</v>
      </c>
      <c r="D141" s="218" t="s">
        <v>364</v>
      </c>
      <c r="E141" s="105" t="s">
        <v>365</v>
      </c>
      <c r="F141" s="100"/>
      <c r="G141" s="34"/>
      <c r="H141" s="335"/>
      <c r="I141" s="97"/>
      <c r="J141" s="97" t="s">
        <v>413</v>
      </c>
      <c r="K141" s="336">
        <v>0</v>
      </c>
      <c r="L141" s="337">
        <v>13170</v>
      </c>
      <c r="M141" s="319">
        <v>16486.979776226573</v>
      </c>
      <c r="N141" s="319">
        <v>57053</v>
      </c>
      <c r="O141" s="319">
        <v>30770.198713807444</v>
      </c>
      <c r="P141" s="319">
        <v>30480.697330875006</v>
      </c>
      <c r="Q141" s="320">
        <v>59380.939561643609</v>
      </c>
      <c r="R141" s="319">
        <v>55346.423773108509</v>
      </c>
      <c r="S141" s="235">
        <f>tblPiNAnalysis[[#This Row],[CCCM]]</f>
        <v>0</v>
      </c>
      <c r="T141" s="236">
        <f>tblPiNAnalysis[[#This Row],[Education]]</f>
        <v>38264.257557540281</v>
      </c>
      <c r="U141" s="219">
        <f>tblPiNAnalysis[[#This Row],[Nutrition]]</f>
        <v>81229.978090916178</v>
      </c>
      <c r="V141" s="219">
        <f>tblPiNAnalysis[[#This Row],[Food Security]]</f>
        <v>139713.06019309364</v>
      </c>
      <c r="W141" s="219">
        <f>tblPiNAnalysis[[#This Row],[Health]]</f>
        <v>88283.247526447769</v>
      </c>
      <c r="X141" s="219">
        <f>tblPiNAnalysis[[#This Row],[Overarching Protection]]</f>
        <v>73541</v>
      </c>
      <c r="Y141" s="219">
        <f>tblPiNAnalysis[[#This Row],[Shelter]]</f>
        <v>43983.80109204739</v>
      </c>
      <c r="Z141" s="230">
        <f>tblPiNAnalysis[[#This Row],[WASH]]</f>
        <v>100592.58212718245</v>
      </c>
      <c r="AA141" s="339" t="str">
        <f>IF(OR(tblPiNHistorical[[#This Row],[CCCM - old]]="", tblPiNHistorical[[#This Row],[CCCM - old]]=0, tblPiNHistorical[[#This Row],[CCCM - new]]="", tblPiNHistorical[[#This Row],[CCCM - new]]=0), "", tblPiNHistorical[[#This Row],[CCCM - new]]-tblPiNHistorical[[#This Row],[CCCM - old]])</f>
        <v/>
      </c>
      <c r="AB141" s="340">
        <f>IF(OR(tblPiNHistorical[[#This Row],[Education - old]]="", tblPiNHistorical[[#This Row],[Education - old]]=0, tblPiNHistorical[[#This Row],[Education - new]]="", tblPiNHistorical[[#This Row],[Education - new]]=0), "", tblPiNHistorical[[#This Row],[Education - new]]-tblPiNHistorical[[#This Row],[Education - old]])</f>
        <v>25094.257557540281</v>
      </c>
      <c r="AC141" s="340">
        <f>IF(OR(tblPiNHistorical[[#This Row],[Nutrition - old]]="", tblPiNHistorical[[#This Row],[Nutrition - old]]=0, tblPiNHistorical[[#This Row],[Nutrition - new]]="", tblPiNHistorical[[#This Row],[Nutrition - new]]=0), "", tblPiNHistorical[[#This Row],[Nutrition - new]]-tblPiNHistorical[[#This Row],[Nutrition - old]])</f>
        <v>64742.998314689605</v>
      </c>
      <c r="AD141" s="340">
        <f>IF(OR(tblPiNHistorical[[#This Row],[Food Security - old]]="", tblPiNHistorical[[#This Row],[Food Security - old]]=0, tblPiNHistorical[[#This Row],[Food Security - new]]="", tblPiNHistorical[[#This Row],[Food Security - new]]=0), "", tblPiNHistorical[[#This Row],[Food Security - new]]-tblPiNHistorical[[#This Row],[Food Security - old]])</f>
        <v>82660.060193093639</v>
      </c>
      <c r="AE141" s="340">
        <f>IF(OR(tblPiNHistorical[[#This Row],[Health - old]]="", tblPiNHistorical[[#This Row],[Health - old]]=0, tblPiNHistorical[[#This Row],[Health - new]]="", tblPiNHistorical[[#This Row],[Health - new]]=0), "", tblPiNHistorical[[#This Row],[Health - new]]-tblPiNHistorical[[#This Row],[Health - old]])</f>
        <v>57513.048812640322</v>
      </c>
      <c r="AF14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43060.302669124998</v>
      </c>
      <c r="AG141" s="340">
        <f>IF(OR(tblPiNHistorical[[#This Row],[Shelter - old]]="", tblPiNHistorical[[#This Row],[Shelter - old]]=0, tblPiNHistorical[[#This Row],[Shelter - new]]="", tblPiNHistorical[[#This Row],[Shelter - new]]=0), "", tblPiNHistorical[[#This Row],[Shelter - new]]-tblPiNHistorical[[#This Row],[Shelter - old]])</f>
        <v>-15397.138469596219</v>
      </c>
      <c r="AH141" s="341">
        <f>IF(OR(tblPiNHistorical[[#This Row],[WASH - old]]="", tblPiNHistorical[[#This Row],[WASH - old]]=0, tblPiNHistorical[[#This Row],[WASH - new]]="", tblPiNHistorical[[#This Row],[WASH - new]]=0), "", tblPiNHistorical[[#This Row],[WASH - new]]-tblPiNHistorical[[#This Row],[WASH - old]])</f>
        <v>45246.158354073945</v>
      </c>
      <c r="AI141" s="342" t="str">
        <f>IFERROR(ROUND((tblPiNHistorical[[#This Row],[CCCM - new]] - tblPiNHistorical[[#This Row],[CCCM - old]])/tblPiNHistorical[[#This Row],[CCCM - old]], 1), "")</f>
        <v/>
      </c>
      <c r="AJ141" s="343">
        <f>IFERROR(ROUND((tblPiNHistorical[[#This Row],[Education - new]]-tblPiNHistorical[[#This Row],[Education - old]])/tblPiNHistorical[[#This Row],[Education - old]], 1), "")</f>
        <v>1.9</v>
      </c>
      <c r="AK141" s="343">
        <f>IFERROR(ROUND((tblPiNHistorical[[#This Row],[Nutrition - new]]-tblPiNHistorical[[#This Row],[Nutrition - old]])/tblPiNHistorical[[#This Row],[Nutrition - old]], 1), "")</f>
        <v>3.9</v>
      </c>
      <c r="AL141" s="343">
        <f>IFERROR(ROUND((tblPiNHistorical[[#This Row],[Food Security - new]]-tblPiNHistorical[[#This Row],[Food Security - old]])/tblPiNHistorical[[#This Row],[Food Security - old]], 1), "")</f>
        <v>1.4</v>
      </c>
      <c r="AM141" s="343">
        <f>IFERROR(ROUND((tblPiNHistorical[[#This Row],[Health - new]]-tblPiNHistorical[[#This Row],[Health - old]])/tblPiNHistorical[[#This Row],[Health - old]], 1), "")</f>
        <v>1.9</v>
      </c>
      <c r="AN141" s="343">
        <f>IFERROR(ROUND((tblPiNHistorical[[#This Row],[Overarching Protection - new]]-tblPiNHistorical[[#This Row],[Overarching Protection - old]])/tblPiNHistorical[[#This Row],[Overarching Protection - old]], 1), "")</f>
        <v>1.4</v>
      </c>
      <c r="AO141" s="343">
        <f>IFERROR(ROUND((tblPiNHistorical[[#This Row],[Shelter - new]]-tblPiNHistorical[[#This Row],[Shelter - old]])/tblPiNHistorical[[#This Row],[Shelter - old]], 1), "")</f>
        <v>-0.3</v>
      </c>
      <c r="AP141" s="38">
        <f>IFERROR(ROUND((tblPiNHistorical[[#This Row],[WASH - new]]-tblPiNHistorical[[#This Row],[WASH - old]])/tblPiNHistorical[[#This Row],[WASH - old]], 1), "")</f>
        <v>0.8</v>
      </c>
      <c r="AQ141" s="406">
        <v>59380.939561643609</v>
      </c>
      <c r="AR141" s="406">
        <v>139713.06019309364</v>
      </c>
    </row>
    <row r="142" spans="1:44" ht="15" customHeight="1" x14ac:dyDescent="0.55000000000000004">
      <c r="A14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2" s="316" t="s">
        <v>342</v>
      </c>
      <c r="C142" s="218" t="s">
        <v>343</v>
      </c>
      <c r="D142" s="218" t="s">
        <v>366</v>
      </c>
      <c r="E142" s="105" t="s">
        <v>367</v>
      </c>
      <c r="F142" s="100"/>
      <c r="G142" s="34"/>
      <c r="H142" s="335"/>
      <c r="I142" s="97"/>
      <c r="J142" s="97" t="s">
        <v>413</v>
      </c>
      <c r="K142" s="336">
        <v>18966</v>
      </c>
      <c r="L142" s="337">
        <v>17734</v>
      </c>
      <c r="M142" s="319">
        <v>34669.681044865938</v>
      </c>
      <c r="N142" s="319">
        <v>88623</v>
      </c>
      <c r="O142" s="319">
        <v>71677.128001180419</v>
      </c>
      <c r="P142" s="319">
        <v>54110.893866749997</v>
      </c>
      <c r="Q142" s="320">
        <v>28034.414208749586</v>
      </c>
      <c r="R142" s="319">
        <v>69739.561602718342</v>
      </c>
      <c r="S142" s="235">
        <f>tblPiNAnalysis[[#This Row],[CCCM]]</f>
        <v>0</v>
      </c>
      <c r="T142" s="236">
        <f>tblPiNAnalysis[[#This Row],[Education]]</f>
        <v>22309.43087574395</v>
      </c>
      <c r="U142" s="219">
        <f>tblPiNAnalysis[[#This Row],[Nutrition]]</f>
        <v>32382.269370221249</v>
      </c>
      <c r="V142" s="219">
        <f>tblPiNAnalysis[[#This Row],[Food Security]]</f>
        <v>59789.271074592936</v>
      </c>
      <c r="W142" s="219">
        <f>tblPiNAnalysis[[#This Row],[Health]]</f>
        <v>44273.148190082211</v>
      </c>
      <c r="X142" s="219">
        <f>tblPiNAnalysis[[#This Row],[Overarching Protection]]</f>
        <v>11369</v>
      </c>
      <c r="Y142" s="219">
        <f>tblPiNAnalysis[[#This Row],[Shelter]]</f>
        <v>29801.918163999289</v>
      </c>
      <c r="Z142" s="230">
        <f>tblPiNAnalysis[[#This Row],[WASH]]</f>
        <v>51505.489000824855</v>
      </c>
      <c r="AA142" s="339" t="str">
        <f>IF(OR(tblPiNHistorical[[#This Row],[CCCM - old]]="", tblPiNHistorical[[#This Row],[CCCM - old]]=0, tblPiNHistorical[[#This Row],[CCCM - new]]="", tblPiNHistorical[[#This Row],[CCCM - new]]=0), "", tblPiNHistorical[[#This Row],[CCCM - new]]-tblPiNHistorical[[#This Row],[CCCM - old]])</f>
        <v/>
      </c>
      <c r="AB142" s="340">
        <f>IF(OR(tblPiNHistorical[[#This Row],[Education - old]]="", tblPiNHistorical[[#This Row],[Education - old]]=0, tblPiNHistorical[[#This Row],[Education - new]]="", tblPiNHistorical[[#This Row],[Education - new]]=0), "", tblPiNHistorical[[#This Row],[Education - new]]-tblPiNHistorical[[#This Row],[Education - old]])</f>
        <v>4575.4308757439503</v>
      </c>
      <c r="AC142" s="340">
        <f>IF(OR(tblPiNHistorical[[#This Row],[Nutrition - old]]="", tblPiNHistorical[[#This Row],[Nutrition - old]]=0, tblPiNHistorical[[#This Row],[Nutrition - new]]="", tblPiNHistorical[[#This Row],[Nutrition - new]]=0), "", tblPiNHistorical[[#This Row],[Nutrition - new]]-tblPiNHistorical[[#This Row],[Nutrition - old]])</f>
        <v>-2287.4116746446889</v>
      </c>
      <c r="AD142" s="340">
        <f>IF(OR(tblPiNHistorical[[#This Row],[Food Security - old]]="", tblPiNHistorical[[#This Row],[Food Security - old]]=0, tblPiNHistorical[[#This Row],[Food Security - new]]="", tblPiNHistorical[[#This Row],[Food Security - new]]=0), "", tblPiNHistorical[[#This Row],[Food Security - new]]-tblPiNHistorical[[#This Row],[Food Security - old]])</f>
        <v>-28833.728925407064</v>
      </c>
      <c r="AE142" s="340">
        <f>IF(OR(tblPiNHistorical[[#This Row],[Health - old]]="", tblPiNHistorical[[#This Row],[Health - old]]=0, tblPiNHistorical[[#This Row],[Health - new]]="", tblPiNHistorical[[#This Row],[Health - new]]=0), "", tblPiNHistorical[[#This Row],[Health - new]]-tblPiNHistorical[[#This Row],[Health - old]])</f>
        <v>-27403.979811098208</v>
      </c>
      <c r="AF14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-42741.893866749997</v>
      </c>
      <c r="AG142" s="340">
        <f>IF(OR(tblPiNHistorical[[#This Row],[Shelter - old]]="", tblPiNHistorical[[#This Row],[Shelter - old]]=0, tblPiNHistorical[[#This Row],[Shelter - new]]="", tblPiNHistorical[[#This Row],[Shelter - new]]=0), "", tblPiNHistorical[[#This Row],[Shelter - new]]-tblPiNHistorical[[#This Row],[Shelter - old]])</f>
        <v>1767.5039552497037</v>
      </c>
      <c r="AH142" s="341">
        <f>IF(OR(tblPiNHistorical[[#This Row],[WASH - old]]="", tblPiNHistorical[[#This Row],[WASH - old]]=0, tblPiNHistorical[[#This Row],[WASH - new]]="", tblPiNHistorical[[#This Row],[WASH - new]]=0), "", tblPiNHistorical[[#This Row],[WASH - new]]-tblPiNHistorical[[#This Row],[WASH - old]])</f>
        <v>-18234.072601893487</v>
      </c>
      <c r="AI142" s="342">
        <f>IFERROR(ROUND((tblPiNHistorical[[#This Row],[CCCM - new]] - tblPiNHistorical[[#This Row],[CCCM - old]])/tblPiNHistorical[[#This Row],[CCCM - old]], 1), "")</f>
        <v>-1</v>
      </c>
      <c r="AJ142" s="343">
        <f>IFERROR(ROUND((tblPiNHistorical[[#This Row],[Education - new]]-tblPiNHistorical[[#This Row],[Education - old]])/tblPiNHistorical[[#This Row],[Education - old]], 1), "")</f>
        <v>0.3</v>
      </c>
      <c r="AK142" s="343">
        <f>IFERROR(ROUND((tblPiNHistorical[[#This Row],[Nutrition - new]]-tblPiNHistorical[[#This Row],[Nutrition - old]])/tblPiNHistorical[[#This Row],[Nutrition - old]], 1), "")</f>
        <v>-0.1</v>
      </c>
      <c r="AL142" s="343">
        <f>IFERROR(ROUND((tblPiNHistorical[[#This Row],[Food Security - new]]-tblPiNHistorical[[#This Row],[Food Security - old]])/tblPiNHistorical[[#This Row],[Food Security - old]], 1), "")</f>
        <v>-0.3</v>
      </c>
      <c r="AM142" s="343">
        <f>IFERROR(ROUND((tblPiNHistorical[[#This Row],[Health - new]]-tblPiNHistorical[[#This Row],[Health - old]])/tblPiNHistorical[[#This Row],[Health - old]], 1), "")</f>
        <v>-0.4</v>
      </c>
      <c r="AN142" s="343">
        <f>IFERROR(ROUND((tblPiNHistorical[[#This Row],[Overarching Protection - new]]-tblPiNHistorical[[#This Row],[Overarching Protection - old]])/tblPiNHistorical[[#This Row],[Overarching Protection - old]], 1), "")</f>
        <v>-0.8</v>
      </c>
      <c r="AO142" s="343">
        <f>IFERROR(ROUND((tblPiNHistorical[[#This Row],[Shelter - new]]-tblPiNHistorical[[#This Row],[Shelter - old]])/tblPiNHistorical[[#This Row],[Shelter - old]], 1), "")</f>
        <v>0.1</v>
      </c>
      <c r="AP142" s="38">
        <f>IFERROR(ROUND((tblPiNHistorical[[#This Row],[WASH - new]]-tblPiNHistorical[[#This Row],[WASH - old]])/tblPiNHistorical[[#This Row],[WASH - old]], 1), "")</f>
        <v>-0.3</v>
      </c>
      <c r="AQ142" s="406">
        <v>88623</v>
      </c>
      <c r="AR142" s="406">
        <v>59789.271074592936</v>
      </c>
    </row>
    <row r="143" spans="1:44" ht="15" customHeight="1" x14ac:dyDescent="0.55000000000000004">
      <c r="A14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3" s="316" t="s">
        <v>368</v>
      </c>
      <c r="C143" s="218" t="s">
        <v>369</v>
      </c>
      <c r="D143" s="218" t="s">
        <v>370</v>
      </c>
      <c r="E143" s="105" t="s">
        <v>371</v>
      </c>
      <c r="F143" s="100"/>
      <c r="G143" s="34"/>
      <c r="H143" s="335"/>
      <c r="I143" s="97"/>
      <c r="J143" s="97" t="s">
        <v>413</v>
      </c>
      <c r="K143" s="336">
        <v>0</v>
      </c>
      <c r="L143" s="337">
        <v>17478</v>
      </c>
      <c r="M143" s="319">
        <v>37803.551746419223</v>
      </c>
      <c r="N143" s="319">
        <v>76293</v>
      </c>
      <c r="O143" s="319">
        <v>37139.08745840389</v>
      </c>
      <c r="P143" s="319">
        <v>36837.135269834878</v>
      </c>
      <c r="Q143" s="320">
        <v>28045.047904538485</v>
      </c>
      <c r="R143" s="319">
        <v>18053.73991217716</v>
      </c>
      <c r="S143" s="235">
        <f>tblPiNAnalysis[[#This Row],[CCCM]]</f>
        <v>0</v>
      </c>
      <c r="T143" s="236">
        <f>tblPiNAnalysis[[#This Row],[Education]]</f>
        <v>12506.231014918911</v>
      </c>
      <c r="U143" s="219">
        <f>tblPiNAnalysis[[#This Row],[Nutrition]]</f>
        <v>31059.156167903904</v>
      </c>
      <c r="V143" s="219">
        <f>tblPiNAnalysis[[#This Row],[Food Security]]</f>
        <v>38920.789012075693</v>
      </c>
      <c r="W143" s="219">
        <f>tblPiNAnalysis[[#This Row],[Health]]</f>
        <v>31977.818219906374</v>
      </c>
      <c r="X143" s="219">
        <f>tblPiNAnalysis[[#This Row],[Overarching Protection]]</f>
        <v>11294</v>
      </c>
      <c r="Y143" s="219">
        <f>tblPiNAnalysis[[#This Row],[Shelter]]</f>
        <v>26271.646597338491</v>
      </c>
      <c r="Z143" s="230">
        <f>tblPiNAnalysis[[#This Row],[WASH]]</f>
        <v>22150.603993834415</v>
      </c>
      <c r="AA143" s="339" t="str">
        <f>IF(OR(tblPiNHistorical[[#This Row],[CCCM - old]]="", tblPiNHistorical[[#This Row],[CCCM - old]]=0, tblPiNHistorical[[#This Row],[CCCM - new]]="", tblPiNHistorical[[#This Row],[CCCM - new]]=0), "", tblPiNHistorical[[#This Row],[CCCM - new]]-tblPiNHistorical[[#This Row],[CCCM - old]])</f>
        <v/>
      </c>
      <c r="AB143" s="340">
        <f>IF(OR(tblPiNHistorical[[#This Row],[Education - old]]="", tblPiNHistorical[[#This Row],[Education - old]]=0, tblPiNHistorical[[#This Row],[Education - new]]="", tblPiNHistorical[[#This Row],[Education - new]]=0), "", tblPiNHistorical[[#This Row],[Education - new]]-tblPiNHistorical[[#This Row],[Education - old]])</f>
        <v>-4971.7689850810893</v>
      </c>
      <c r="AC143" s="340">
        <f>IF(OR(tblPiNHistorical[[#This Row],[Nutrition - old]]="", tblPiNHistorical[[#This Row],[Nutrition - old]]=0, tblPiNHistorical[[#This Row],[Nutrition - new]]="", tblPiNHistorical[[#This Row],[Nutrition - new]]=0), "", tblPiNHistorical[[#This Row],[Nutrition - new]]-tblPiNHistorical[[#This Row],[Nutrition - old]])</f>
        <v>-6744.3955785153194</v>
      </c>
      <c r="AD143" s="340">
        <f>IF(OR(tblPiNHistorical[[#This Row],[Food Security - old]]="", tblPiNHistorical[[#This Row],[Food Security - old]]=0, tblPiNHistorical[[#This Row],[Food Security - new]]="", tblPiNHistorical[[#This Row],[Food Security - new]]=0), "", tblPiNHistorical[[#This Row],[Food Security - new]]-tblPiNHistorical[[#This Row],[Food Security - old]])</f>
        <v>-37372.210987924307</v>
      </c>
      <c r="AE143" s="340">
        <f>IF(OR(tblPiNHistorical[[#This Row],[Health - old]]="", tblPiNHistorical[[#This Row],[Health - old]]=0, tblPiNHistorical[[#This Row],[Health - new]]="", tblPiNHistorical[[#This Row],[Health - new]]=0), "", tblPiNHistorical[[#This Row],[Health - new]]-tblPiNHistorical[[#This Row],[Health - old]])</f>
        <v>-5161.2692384975162</v>
      </c>
      <c r="AF14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-25543.135269834878</v>
      </c>
      <c r="AG143" s="340">
        <f>IF(OR(tblPiNHistorical[[#This Row],[Shelter - old]]="", tblPiNHistorical[[#This Row],[Shelter - old]]=0, tblPiNHistorical[[#This Row],[Shelter - new]]="", tblPiNHistorical[[#This Row],[Shelter - new]]=0), "", tblPiNHistorical[[#This Row],[Shelter - new]]-tblPiNHistorical[[#This Row],[Shelter - old]])</f>
        <v>-1773.4013071999943</v>
      </c>
      <c r="AH143" s="341">
        <f>IF(OR(tblPiNHistorical[[#This Row],[WASH - old]]="", tblPiNHistorical[[#This Row],[WASH - old]]=0, tblPiNHistorical[[#This Row],[WASH - new]]="", tblPiNHistorical[[#This Row],[WASH - new]]=0), "", tblPiNHistorical[[#This Row],[WASH - new]]-tblPiNHistorical[[#This Row],[WASH - old]])</f>
        <v>4096.8640816572552</v>
      </c>
      <c r="AI143" s="342" t="str">
        <f>IFERROR(ROUND((tblPiNHistorical[[#This Row],[CCCM - new]] - tblPiNHistorical[[#This Row],[CCCM - old]])/tblPiNHistorical[[#This Row],[CCCM - old]], 1), "")</f>
        <v/>
      </c>
      <c r="AJ143" s="343">
        <f>IFERROR(ROUND((tblPiNHistorical[[#This Row],[Education - new]]-tblPiNHistorical[[#This Row],[Education - old]])/tblPiNHistorical[[#This Row],[Education - old]], 1), "")</f>
        <v>-0.3</v>
      </c>
      <c r="AK143" s="343">
        <f>IFERROR(ROUND((tblPiNHistorical[[#This Row],[Nutrition - new]]-tblPiNHistorical[[#This Row],[Nutrition - old]])/tblPiNHistorical[[#This Row],[Nutrition - old]], 1), "")</f>
        <v>-0.2</v>
      </c>
      <c r="AL143" s="343">
        <f>IFERROR(ROUND((tblPiNHistorical[[#This Row],[Food Security - new]]-tblPiNHistorical[[#This Row],[Food Security - old]])/tblPiNHistorical[[#This Row],[Food Security - old]], 1), "")</f>
        <v>-0.5</v>
      </c>
      <c r="AM143" s="343">
        <f>IFERROR(ROUND((tblPiNHistorical[[#This Row],[Health - new]]-tblPiNHistorical[[#This Row],[Health - old]])/tblPiNHistorical[[#This Row],[Health - old]], 1), "")</f>
        <v>-0.1</v>
      </c>
      <c r="AN143" s="343">
        <f>IFERROR(ROUND((tblPiNHistorical[[#This Row],[Overarching Protection - new]]-tblPiNHistorical[[#This Row],[Overarching Protection - old]])/tblPiNHistorical[[#This Row],[Overarching Protection - old]], 1), "")</f>
        <v>-0.7</v>
      </c>
      <c r="AO143" s="343">
        <f>IFERROR(ROUND((tblPiNHistorical[[#This Row],[Shelter - new]]-tblPiNHistorical[[#This Row],[Shelter - old]])/tblPiNHistorical[[#This Row],[Shelter - old]], 1), "")</f>
        <v>-0.1</v>
      </c>
      <c r="AP143" s="38">
        <f>IFERROR(ROUND((tblPiNHistorical[[#This Row],[WASH - new]]-tblPiNHistorical[[#This Row],[WASH - old]])/tblPiNHistorical[[#This Row],[WASH - old]], 1), "")</f>
        <v>0.2</v>
      </c>
      <c r="AQ143" s="406">
        <v>76293</v>
      </c>
      <c r="AR143" s="406">
        <v>38920.789012075693</v>
      </c>
    </row>
    <row r="144" spans="1:44" ht="15" customHeight="1" x14ac:dyDescent="0.55000000000000004">
      <c r="A14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4" s="316" t="s">
        <v>368</v>
      </c>
      <c r="C144" s="218" t="s">
        <v>369</v>
      </c>
      <c r="D144" s="218" t="s">
        <v>372</v>
      </c>
      <c r="E144" s="105" t="s">
        <v>373</v>
      </c>
      <c r="F144" s="100"/>
      <c r="G144" s="34"/>
      <c r="H144" s="335"/>
      <c r="I144" s="97"/>
      <c r="J144" s="97" t="s">
        <v>413</v>
      </c>
      <c r="K144" s="336">
        <v>0</v>
      </c>
      <c r="L144" s="337">
        <v>38476</v>
      </c>
      <c r="M144" s="319">
        <v>99679.035817636759</v>
      </c>
      <c r="N144" s="319">
        <v>186698</v>
      </c>
      <c r="O144" s="319">
        <v>116700.58625856497</v>
      </c>
      <c r="P144" s="319">
        <v>97511.518490000017</v>
      </c>
      <c r="Q144" s="320">
        <v>97575.496414302266</v>
      </c>
      <c r="R144" s="319">
        <v>67107.840776248704</v>
      </c>
      <c r="S144" s="235">
        <f>tblPiNAnalysis[[#This Row],[CCCM]]</f>
        <v>0</v>
      </c>
      <c r="T144" s="236">
        <f>tblPiNAnalysis[[#This Row],[Education]]</f>
        <v>39838.122727658229</v>
      </c>
      <c r="U144" s="219">
        <f>tblPiNAnalysis[[#This Row],[Nutrition]]</f>
        <v>82753.758453595903</v>
      </c>
      <c r="V144" s="219">
        <f>tblPiNAnalysis[[#This Row],[Food Security]]</f>
        <v>93064.484746472765</v>
      </c>
      <c r="W144" s="219">
        <f>tblPiNAnalysis[[#This Row],[Health]]</f>
        <v>88745.812972787884</v>
      </c>
      <c r="X144" s="219">
        <f>tblPiNAnalysis[[#This Row],[Overarching Protection]]</f>
        <v>60142</v>
      </c>
      <c r="Y144" s="219">
        <f>tblPiNAnalysis[[#This Row],[Shelter]]</f>
        <v>61424.424323232699</v>
      </c>
      <c r="Z144" s="230">
        <f>tblPiNAnalysis[[#This Row],[WASH]]</f>
        <v>87529.804660606605</v>
      </c>
      <c r="AA144" s="339" t="str">
        <f>IF(OR(tblPiNHistorical[[#This Row],[CCCM - old]]="", tblPiNHistorical[[#This Row],[CCCM - old]]=0, tblPiNHistorical[[#This Row],[CCCM - new]]="", tblPiNHistorical[[#This Row],[CCCM - new]]=0), "", tblPiNHistorical[[#This Row],[CCCM - new]]-tblPiNHistorical[[#This Row],[CCCM - old]])</f>
        <v/>
      </c>
      <c r="AB144" s="340">
        <f>IF(OR(tblPiNHistorical[[#This Row],[Education - old]]="", tblPiNHistorical[[#This Row],[Education - old]]=0, tblPiNHistorical[[#This Row],[Education - new]]="", tblPiNHistorical[[#This Row],[Education - new]]=0), "", tblPiNHistorical[[#This Row],[Education - new]]-tblPiNHistorical[[#This Row],[Education - old]])</f>
        <v>1362.1227276582285</v>
      </c>
      <c r="AC144" s="340">
        <f>IF(OR(tblPiNHistorical[[#This Row],[Nutrition - old]]="", tblPiNHistorical[[#This Row],[Nutrition - old]]=0, tblPiNHistorical[[#This Row],[Nutrition - new]]="", tblPiNHistorical[[#This Row],[Nutrition - new]]=0), "", tblPiNHistorical[[#This Row],[Nutrition - new]]-tblPiNHistorical[[#This Row],[Nutrition - old]])</f>
        <v>-16925.277364040856</v>
      </c>
      <c r="AD144" s="340">
        <f>IF(OR(tblPiNHistorical[[#This Row],[Food Security - old]]="", tblPiNHistorical[[#This Row],[Food Security - old]]=0, tblPiNHistorical[[#This Row],[Food Security - new]]="", tblPiNHistorical[[#This Row],[Food Security - new]]=0), "", tblPiNHistorical[[#This Row],[Food Security - new]]-tblPiNHistorical[[#This Row],[Food Security - old]])</f>
        <v>-93633.515253527235</v>
      </c>
      <c r="AE144" s="340">
        <f>IF(OR(tblPiNHistorical[[#This Row],[Health - old]]="", tblPiNHistorical[[#This Row],[Health - old]]=0, tblPiNHistorical[[#This Row],[Health - new]]="", tblPiNHistorical[[#This Row],[Health - new]]=0), "", tblPiNHistorical[[#This Row],[Health - new]]-tblPiNHistorical[[#This Row],[Health - old]])</f>
        <v>-27954.77328577709</v>
      </c>
      <c r="AF14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-37369.518490000017</v>
      </c>
      <c r="AG144" s="340">
        <f>IF(OR(tblPiNHistorical[[#This Row],[Shelter - old]]="", tblPiNHistorical[[#This Row],[Shelter - old]]=0, tblPiNHistorical[[#This Row],[Shelter - new]]="", tblPiNHistorical[[#This Row],[Shelter - new]]=0), "", tblPiNHistorical[[#This Row],[Shelter - new]]-tblPiNHistorical[[#This Row],[Shelter - old]])</f>
        <v>-36151.072091069567</v>
      </c>
      <c r="AH144" s="341">
        <f>IF(OR(tblPiNHistorical[[#This Row],[WASH - old]]="", tblPiNHistorical[[#This Row],[WASH - old]]=0, tblPiNHistorical[[#This Row],[WASH - new]]="", tblPiNHistorical[[#This Row],[WASH - new]]=0), "", tblPiNHistorical[[#This Row],[WASH - new]]-tblPiNHistorical[[#This Row],[WASH - old]])</f>
        <v>20421.963884357901</v>
      </c>
      <c r="AI144" s="342" t="str">
        <f>IFERROR(ROUND((tblPiNHistorical[[#This Row],[CCCM - new]] - tblPiNHistorical[[#This Row],[CCCM - old]])/tblPiNHistorical[[#This Row],[CCCM - old]], 1), "")</f>
        <v/>
      </c>
      <c r="AJ144" s="343">
        <f>IFERROR(ROUND((tblPiNHistorical[[#This Row],[Education - new]]-tblPiNHistorical[[#This Row],[Education - old]])/tblPiNHistorical[[#This Row],[Education - old]], 1), "")</f>
        <v>0</v>
      </c>
      <c r="AK144" s="343">
        <f>IFERROR(ROUND((tblPiNHistorical[[#This Row],[Nutrition - new]]-tblPiNHistorical[[#This Row],[Nutrition - old]])/tblPiNHistorical[[#This Row],[Nutrition - old]], 1), "")</f>
        <v>-0.2</v>
      </c>
      <c r="AL144" s="343">
        <f>IFERROR(ROUND((tblPiNHistorical[[#This Row],[Food Security - new]]-tblPiNHistorical[[#This Row],[Food Security - old]])/tblPiNHistorical[[#This Row],[Food Security - old]], 1), "")</f>
        <v>-0.5</v>
      </c>
      <c r="AM144" s="343">
        <f>IFERROR(ROUND((tblPiNHistorical[[#This Row],[Health - new]]-tblPiNHistorical[[#This Row],[Health - old]])/tblPiNHistorical[[#This Row],[Health - old]], 1), "")</f>
        <v>-0.2</v>
      </c>
      <c r="AN144" s="343">
        <f>IFERROR(ROUND((tblPiNHistorical[[#This Row],[Overarching Protection - new]]-tblPiNHistorical[[#This Row],[Overarching Protection - old]])/tblPiNHistorical[[#This Row],[Overarching Protection - old]], 1), "")</f>
        <v>-0.4</v>
      </c>
      <c r="AO144" s="343">
        <f>IFERROR(ROUND((tblPiNHistorical[[#This Row],[Shelter - new]]-tblPiNHistorical[[#This Row],[Shelter - old]])/tblPiNHistorical[[#This Row],[Shelter - old]], 1), "")</f>
        <v>-0.4</v>
      </c>
      <c r="AP144" s="38">
        <f>IFERROR(ROUND((tblPiNHistorical[[#This Row],[WASH - new]]-tblPiNHistorical[[#This Row],[WASH - old]])/tblPiNHistorical[[#This Row],[WASH - old]], 1), "")</f>
        <v>0.3</v>
      </c>
      <c r="AQ144" s="406">
        <v>186698</v>
      </c>
      <c r="AR144" s="406">
        <v>93064.484746472765</v>
      </c>
    </row>
    <row r="145" spans="1:44" ht="15" customHeight="1" x14ac:dyDescent="0.55000000000000004">
      <c r="A14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5" s="316" t="s">
        <v>368</v>
      </c>
      <c r="C145" s="218" t="s">
        <v>369</v>
      </c>
      <c r="D145" s="218" t="s">
        <v>374</v>
      </c>
      <c r="E145" s="105" t="s">
        <v>375</v>
      </c>
      <c r="F145" s="100"/>
      <c r="G145" s="34"/>
      <c r="H145" s="335"/>
      <c r="I145" s="97"/>
      <c r="J145" s="97" t="s">
        <v>413</v>
      </c>
      <c r="K145" s="336">
        <v>0</v>
      </c>
      <c r="L145" s="337">
        <v>46864</v>
      </c>
      <c r="M145" s="319">
        <v>61341.897230081289</v>
      </c>
      <c r="N145" s="319">
        <v>102571</v>
      </c>
      <c r="O145" s="319">
        <v>123282.76032699463</v>
      </c>
      <c r="P145" s="319">
        <v>66113.364603750015</v>
      </c>
      <c r="Q145" s="320">
        <v>34632.15517241379</v>
      </c>
      <c r="R145" s="319">
        <v>45876.892443020712</v>
      </c>
      <c r="S145" s="235">
        <f>tblPiNAnalysis[[#This Row],[CCCM]]</f>
        <v>0</v>
      </c>
      <c r="T145" s="236">
        <f>tblPiNAnalysis[[#This Row],[Education]]</f>
        <v>38823.275009425401</v>
      </c>
      <c r="U145" s="219">
        <f>tblPiNAnalysis[[#This Row],[Nutrition]]</f>
        <v>66304.246767566918</v>
      </c>
      <c r="V145" s="219">
        <f>tblPiNAnalysis[[#This Row],[Food Security]]</f>
        <v>87510.12561893872</v>
      </c>
      <c r="W145" s="219">
        <f>tblPiNAnalysis[[#This Row],[Health]]</f>
        <v>50763.66976398851</v>
      </c>
      <c r="X145" s="219">
        <f>tblPiNAnalysis[[#This Row],[Overarching Protection]]</f>
        <v>40780</v>
      </c>
      <c r="Y145" s="219">
        <f>tblPiNAnalysis[[#This Row],[Shelter]]</f>
        <v>70639.288564774324</v>
      </c>
      <c r="Z145" s="230">
        <f>tblPiNAnalysis[[#This Row],[WASH]]</f>
        <v>58238.169016736174</v>
      </c>
      <c r="AA145" s="339" t="str">
        <f>IF(OR(tblPiNHistorical[[#This Row],[CCCM - old]]="", tblPiNHistorical[[#This Row],[CCCM - old]]=0, tblPiNHistorical[[#This Row],[CCCM - new]]="", tblPiNHistorical[[#This Row],[CCCM - new]]=0), "", tblPiNHistorical[[#This Row],[CCCM - new]]-tblPiNHistorical[[#This Row],[CCCM - old]])</f>
        <v/>
      </c>
      <c r="AB145" s="340">
        <f>IF(OR(tblPiNHistorical[[#This Row],[Education - old]]="", tblPiNHistorical[[#This Row],[Education - old]]=0, tblPiNHistorical[[#This Row],[Education - new]]="", tblPiNHistorical[[#This Row],[Education - new]]=0), "", tblPiNHistorical[[#This Row],[Education - new]]-tblPiNHistorical[[#This Row],[Education - old]])</f>
        <v>-8040.7249905745994</v>
      </c>
      <c r="AC145" s="340">
        <f>IF(OR(tblPiNHistorical[[#This Row],[Nutrition - old]]="", tblPiNHistorical[[#This Row],[Nutrition - old]]=0, tblPiNHistorical[[#This Row],[Nutrition - new]]="", tblPiNHistorical[[#This Row],[Nutrition - new]]=0), "", tblPiNHistorical[[#This Row],[Nutrition - new]]-tblPiNHistorical[[#This Row],[Nutrition - old]])</f>
        <v>4962.3495374856284</v>
      </c>
      <c r="AD145" s="340">
        <f>IF(OR(tblPiNHistorical[[#This Row],[Food Security - old]]="", tblPiNHistorical[[#This Row],[Food Security - old]]=0, tblPiNHistorical[[#This Row],[Food Security - new]]="", tblPiNHistorical[[#This Row],[Food Security - new]]=0), "", tblPiNHistorical[[#This Row],[Food Security - new]]-tblPiNHistorical[[#This Row],[Food Security - old]])</f>
        <v>-15060.87438106128</v>
      </c>
      <c r="AE145" s="340">
        <f>IF(OR(tblPiNHistorical[[#This Row],[Health - old]]="", tblPiNHistorical[[#This Row],[Health - old]]=0, tblPiNHistorical[[#This Row],[Health - new]]="", tblPiNHistorical[[#This Row],[Health - new]]=0), "", tblPiNHistorical[[#This Row],[Health - new]]-tblPiNHistorical[[#This Row],[Health - old]])</f>
        <v>-72519.090563006117</v>
      </c>
      <c r="AF14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-25333.364603750015</v>
      </c>
      <c r="AG145" s="340">
        <f>IF(OR(tblPiNHistorical[[#This Row],[Shelter - old]]="", tblPiNHistorical[[#This Row],[Shelter - old]]=0, tblPiNHistorical[[#This Row],[Shelter - new]]="", tblPiNHistorical[[#This Row],[Shelter - new]]=0), "", tblPiNHistorical[[#This Row],[Shelter - new]]-tblPiNHistorical[[#This Row],[Shelter - old]])</f>
        <v>36007.133392360534</v>
      </c>
      <c r="AH145" s="341">
        <f>IF(OR(tblPiNHistorical[[#This Row],[WASH - old]]="", tblPiNHistorical[[#This Row],[WASH - old]]=0, tblPiNHistorical[[#This Row],[WASH - new]]="", tblPiNHistorical[[#This Row],[WASH - new]]=0), "", tblPiNHistorical[[#This Row],[WASH - new]]-tblPiNHistorical[[#This Row],[WASH - old]])</f>
        <v>12361.276573715462</v>
      </c>
      <c r="AI145" s="342" t="str">
        <f>IFERROR(ROUND((tblPiNHistorical[[#This Row],[CCCM - new]] - tblPiNHistorical[[#This Row],[CCCM - old]])/tblPiNHistorical[[#This Row],[CCCM - old]], 1), "")</f>
        <v/>
      </c>
      <c r="AJ145" s="343">
        <f>IFERROR(ROUND((tblPiNHistorical[[#This Row],[Education - new]]-tblPiNHistorical[[#This Row],[Education - old]])/tblPiNHistorical[[#This Row],[Education - old]], 1), "")</f>
        <v>-0.2</v>
      </c>
      <c r="AK145" s="343">
        <f>IFERROR(ROUND((tblPiNHistorical[[#This Row],[Nutrition - new]]-tblPiNHistorical[[#This Row],[Nutrition - old]])/tblPiNHistorical[[#This Row],[Nutrition - old]], 1), "")</f>
        <v>0.1</v>
      </c>
      <c r="AL145" s="343">
        <f>IFERROR(ROUND((tblPiNHistorical[[#This Row],[Food Security - new]]-tblPiNHistorical[[#This Row],[Food Security - old]])/tblPiNHistorical[[#This Row],[Food Security - old]], 1), "")</f>
        <v>-0.1</v>
      </c>
      <c r="AM145" s="343">
        <f>IFERROR(ROUND((tblPiNHistorical[[#This Row],[Health - new]]-tblPiNHistorical[[#This Row],[Health - old]])/tblPiNHistorical[[#This Row],[Health - old]], 1), "")</f>
        <v>-0.6</v>
      </c>
      <c r="AN145" s="343">
        <f>IFERROR(ROUND((tblPiNHistorical[[#This Row],[Overarching Protection - new]]-tblPiNHistorical[[#This Row],[Overarching Protection - old]])/tblPiNHistorical[[#This Row],[Overarching Protection - old]], 1), "")</f>
        <v>-0.4</v>
      </c>
      <c r="AO145" s="343">
        <f>IFERROR(ROUND((tblPiNHistorical[[#This Row],[Shelter - new]]-tblPiNHistorical[[#This Row],[Shelter - old]])/tblPiNHistorical[[#This Row],[Shelter - old]], 1), "")</f>
        <v>1</v>
      </c>
      <c r="AP145" s="38">
        <f>IFERROR(ROUND((tblPiNHistorical[[#This Row],[WASH - new]]-tblPiNHistorical[[#This Row],[WASH - old]])/tblPiNHistorical[[#This Row],[WASH - old]], 1), "")</f>
        <v>0.3</v>
      </c>
      <c r="AQ145" s="406">
        <v>123282.76032699463</v>
      </c>
      <c r="AR145" s="406">
        <v>87510.12561893872</v>
      </c>
    </row>
    <row r="146" spans="1:44" ht="15" customHeight="1" x14ac:dyDescent="0.55000000000000004">
      <c r="A14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6" s="316" t="s">
        <v>368</v>
      </c>
      <c r="C146" s="218" t="s">
        <v>369</v>
      </c>
      <c r="D146" s="218" t="s">
        <v>376</v>
      </c>
      <c r="E146" s="105" t="s">
        <v>377</v>
      </c>
      <c r="F146" s="100"/>
      <c r="G146" s="34"/>
      <c r="H146" s="335"/>
      <c r="I146" s="97"/>
      <c r="J146" s="97" t="s">
        <v>413</v>
      </c>
      <c r="K146" s="336">
        <v>0</v>
      </c>
      <c r="L146" s="337">
        <v>43441</v>
      </c>
      <c r="M146" s="319">
        <v>74328.319991782482</v>
      </c>
      <c r="N146" s="319">
        <v>132907</v>
      </c>
      <c r="O146" s="319">
        <v>108127.20402972552</v>
      </c>
      <c r="P146" s="319">
        <v>73598.517695749993</v>
      </c>
      <c r="Q146" s="320">
        <v>61430.184841773611</v>
      </c>
      <c r="R146" s="319">
        <v>24569.448715135011</v>
      </c>
      <c r="S146" s="235">
        <f>tblPiNAnalysis[[#This Row],[CCCM]]</f>
        <v>0</v>
      </c>
      <c r="T146" s="236">
        <f>tblPiNAnalysis[[#This Row],[Education]]</f>
        <v>46907.008838449648</v>
      </c>
      <c r="U146" s="219">
        <f>tblPiNAnalysis[[#This Row],[Nutrition]]</f>
        <v>86913.301038166988</v>
      </c>
      <c r="V146" s="219">
        <f>tblPiNAnalysis[[#This Row],[Food Security]]</f>
        <v>109863.17813807524</v>
      </c>
      <c r="W146" s="219">
        <f>tblPiNAnalysis[[#This Row],[Health]]</f>
        <v>79757.739660143794</v>
      </c>
      <c r="X146" s="219">
        <f>tblPiNAnalysis[[#This Row],[Overarching Protection]]</f>
        <v>29494</v>
      </c>
      <c r="Y146" s="219">
        <f>tblPiNAnalysis[[#This Row],[Shelter]]</f>
        <v>84076.093337314829</v>
      </c>
      <c r="Z146" s="230">
        <f>tblPiNAnalysis[[#This Row],[WASH]]</f>
        <v>106473.6791588487</v>
      </c>
      <c r="AA146" s="339" t="str">
        <f>IF(OR(tblPiNHistorical[[#This Row],[CCCM - old]]="", tblPiNHistorical[[#This Row],[CCCM - old]]=0, tblPiNHistorical[[#This Row],[CCCM - new]]="", tblPiNHistorical[[#This Row],[CCCM - new]]=0), "", tblPiNHistorical[[#This Row],[CCCM - new]]-tblPiNHistorical[[#This Row],[CCCM - old]])</f>
        <v/>
      </c>
      <c r="AB146" s="340">
        <f>IF(OR(tblPiNHistorical[[#This Row],[Education - old]]="", tblPiNHistorical[[#This Row],[Education - old]]=0, tblPiNHistorical[[#This Row],[Education - new]]="", tblPiNHistorical[[#This Row],[Education - new]]=0), "", tblPiNHistorical[[#This Row],[Education - new]]-tblPiNHistorical[[#This Row],[Education - old]])</f>
        <v>3466.0088384496485</v>
      </c>
      <c r="AC146" s="340">
        <f>IF(OR(tblPiNHistorical[[#This Row],[Nutrition - old]]="", tblPiNHistorical[[#This Row],[Nutrition - old]]=0, tblPiNHistorical[[#This Row],[Nutrition - new]]="", tblPiNHistorical[[#This Row],[Nutrition - new]]=0), "", tblPiNHistorical[[#This Row],[Nutrition - new]]-tblPiNHistorical[[#This Row],[Nutrition - old]])</f>
        <v>12584.981046384506</v>
      </c>
      <c r="AD146" s="340">
        <f>IF(OR(tblPiNHistorical[[#This Row],[Food Security - old]]="", tblPiNHistorical[[#This Row],[Food Security - old]]=0, tblPiNHistorical[[#This Row],[Food Security - new]]="", tblPiNHistorical[[#This Row],[Food Security - new]]=0), "", tblPiNHistorical[[#This Row],[Food Security - new]]-tblPiNHistorical[[#This Row],[Food Security - old]])</f>
        <v>-23043.821861924764</v>
      </c>
      <c r="AE146" s="340">
        <f>IF(OR(tblPiNHistorical[[#This Row],[Health - old]]="", tblPiNHistorical[[#This Row],[Health - old]]=0, tblPiNHistorical[[#This Row],[Health - new]]="", tblPiNHistorical[[#This Row],[Health - new]]=0), "", tblPiNHistorical[[#This Row],[Health - new]]-tblPiNHistorical[[#This Row],[Health - old]])</f>
        <v>-28369.464369581721</v>
      </c>
      <c r="AF14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-44104.517695749993</v>
      </c>
      <c r="AG146" s="340">
        <f>IF(OR(tblPiNHistorical[[#This Row],[Shelter - old]]="", tblPiNHistorical[[#This Row],[Shelter - old]]=0, tblPiNHistorical[[#This Row],[Shelter - new]]="", tblPiNHistorical[[#This Row],[Shelter - new]]=0), "", tblPiNHistorical[[#This Row],[Shelter - new]]-tblPiNHistorical[[#This Row],[Shelter - old]])</f>
        <v>22645.908495541218</v>
      </c>
      <c r="AH146" s="341">
        <f>IF(OR(tblPiNHistorical[[#This Row],[WASH - old]]="", tblPiNHistorical[[#This Row],[WASH - old]]=0, tblPiNHistorical[[#This Row],[WASH - new]]="", tblPiNHistorical[[#This Row],[WASH - new]]=0), "", tblPiNHistorical[[#This Row],[WASH - new]]-tblPiNHistorical[[#This Row],[WASH - old]])</f>
        <v>81904.230443713692</v>
      </c>
      <c r="AI146" s="342" t="str">
        <f>IFERROR(ROUND((tblPiNHistorical[[#This Row],[CCCM - new]] - tblPiNHistorical[[#This Row],[CCCM - old]])/tblPiNHistorical[[#This Row],[CCCM - old]], 1), "")</f>
        <v/>
      </c>
      <c r="AJ146" s="343">
        <f>IFERROR(ROUND((tblPiNHistorical[[#This Row],[Education - new]]-tblPiNHistorical[[#This Row],[Education - old]])/tblPiNHistorical[[#This Row],[Education - old]], 1), "")</f>
        <v>0.1</v>
      </c>
      <c r="AK146" s="343">
        <f>IFERROR(ROUND((tblPiNHistorical[[#This Row],[Nutrition - new]]-tblPiNHistorical[[#This Row],[Nutrition - old]])/tblPiNHistorical[[#This Row],[Nutrition - old]], 1), "")</f>
        <v>0.2</v>
      </c>
      <c r="AL146" s="343">
        <f>IFERROR(ROUND((tblPiNHistorical[[#This Row],[Food Security - new]]-tblPiNHistorical[[#This Row],[Food Security - old]])/tblPiNHistorical[[#This Row],[Food Security - old]], 1), "")</f>
        <v>-0.2</v>
      </c>
      <c r="AM146" s="343">
        <f>IFERROR(ROUND((tblPiNHistorical[[#This Row],[Health - new]]-tblPiNHistorical[[#This Row],[Health - old]])/tblPiNHistorical[[#This Row],[Health - old]], 1), "")</f>
        <v>-0.3</v>
      </c>
      <c r="AN146" s="343">
        <f>IFERROR(ROUND((tblPiNHistorical[[#This Row],[Overarching Protection - new]]-tblPiNHistorical[[#This Row],[Overarching Protection - old]])/tblPiNHistorical[[#This Row],[Overarching Protection - old]], 1), "")</f>
        <v>-0.6</v>
      </c>
      <c r="AO146" s="343">
        <f>IFERROR(ROUND((tblPiNHistorical[[#This Row],[Shelter - new]]-tblPiNHistorical[[#This Row],[Shelter - old]])/tblPiNHistorical[[#This Row],[Shelter - old]], 1), "")</f>
        <v>0.4</v>
      </c>
      <c r="AP146" s="38">
        <f>IFERROR(ROUND((tblPiNHistorical[[#This Row],[WASH - new]]-tblPiNHistorical[[#This Row],[WASH - old]])/tblPiNHistorical[[#This Row],[WASH - old]], 1), "")</f>
        <v>3.3</v>
      </c>
      <c r="AQ146" s="406">
        <v>132907</v>
      </c>
      <c r="AR146" s="406">
        <v>109863.17813807524</v>
      </c>
    </row>
    <row r="147" spans="1:44" ht="15" customHeight="1" x14ac:dyDescent="0.55000000000000004">
      <c r="A14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7" s="316" t="s">
        <v>368</v>
      </c>
      <c r="C147" s="218" t="s">
        <v>369</v>
      </c>
      <c r="D147" s="218" t="s">
        <v>378</v>
      </c>
      <c r="E147" s="105" t="s">
        <v>379</v>
      </c>
      <c r="F147" s="100"/>
      <c r="G147" s="34"/>
      <c r="H147" s="335"/>
      <c r="I147" s="97"/>
      <c r="J147" s="97" t="s">
        <v>413</v>
      </c>
      <c r="K147" s="336">
        <v>0</v>
      </c>
      <c r="L147" s="337">
        <v>15605</v>
      </c>
      <c r="M147" s="319">
        <v>29455.512976971528</v>
      </c>
      <c r="N147" s="319">
        <v>51957</v>
      </c>
      <c r="O147" s="319">
        <v>30690.570074940824</v>
      </c>
      <c r="P147" s="319">
        <v>37663.358905068126</v>
      </c>
      <c r="Q147" s="320">
        <v>15611.444136186126</v>
      </c>
      <c r="R147" s="319">
        <v>16933.598540806332</v>
      </c>
      <c r="S147" s="235">
        <f>tblPiNAnalysis[[#This Row],[CCCM]]</f>
        <v>0</v>
      </c>
      <c r="T147" s="236">
        <f>tblPiNAnalysis[[#This Row],[Education]]</f>
        <v>13282.254049438088</v>
      </c>
      <c r="U147" s="219">
        <f>tblPiNAnalysis[[#This Row],[Nutrition]]</f>
        <v>49911.369081728808</v>
      </c>
      <c r="V147" s="219">
        <f>tblPiNAnalysis[[#This Row],[Food Security]]</f>
        <v>48485.941515993887</v>
      </c>
      <c r="W147" s="219">
        <f>tblPiNAnalysis[[#This Row],[Health]]</f>
        <v>48757.59004222045</v>
      </c>
      <c r="X147" s="219">
        <f>tblPiNAnalysis[[#This Row],[Overarching Protection]]</f>
        <v>29796</v>
      </c>
      <c r="Y147" s="219">
        <f>tblPiNAnalysis[[#This Row],[Shelter]]</f>
        <v>44565.087808930155</v>
      </c>
      <c r="Z147" s="230">
        <f>tblPiNAnalysis[[#This Row],[WASH]]</f>
        <v>65721.236851357709</v>
      </c>
      <c r="AA147" s="339" t="str">
        <f>IF(OR(tblPiNHistorical[[#This Row],[CCCM - old]]="", tblPiNHistorical[[#This Row],[CCCM - old]]=0, tblPiNHistorical[[#This Row],[CCCM - new]]="", tblPiNHistorical[[#This Row],[CCCM - new]]=0), "", tblPiNHistorical[[#This Row],[CCCM - new]]-tblPiNHistorical[[#This Row],[CCCM - old]])</f>
        <v/>
      </c>
      <c r="AB147" s="340">
        <f>IF(OR(tblPiNHistorical[[#This Row],[Education - old]]="", tblPiNHistorical[[#This Row],[Education - old]]=0, tblPiNHistorical[[#This Row],[Education - new]]="", tblPiNHistorical[[#This Row],[Education - new]]=0), "", tblPiNHistorical[[#This Row],[Education - new]]-tblPiNHistorical[[#This Row],[Education - old]])</f>
        <v>-2322.7459505619117</v>
      </c>
      <c r="AC147" s="340">
        <f>IF(OR(tblPiNHistorical[[#This Row],[Nutrition - old]]="", tblPiNHistorical[[#This Row],[Nutrition - old]]=0, tblPiNHistorical[[#This Row],[Nutrition - new]]="", tblPiNHistorical[[#This Row],[Nutrition - new]]=0), "", tblPiNHistorical[[#This Row],[Nutrition - new]]-tblPiNHistorical[[#This Row],[Nutrition - old]])</f>
        <v>20455.85610475728</v>
      </c>
      <c r="AD147" s="340">
        <f>IF(OR(tblPiNHistorical[[#This Row],[Food Security - old]]="", tblPiNHistorical[[#This Row],[Food Security - old]]=0, tblPiNHistorical[[#This Row],[Food Security - new]]="", tblPiNHistorical[[#This Row],[Food Security - new]]=0), "", tblPiNHistorical[[#This Row],[Food Security - new]]-tblPiNHistorical[[#This Row],[Food Security - old]])</f>
        <v>-3471.0584840061128</v>
      </c>
      <c r="AE147" s="340">
        <f>IF(OR(tblPiNHistorical[[#This Row],[Health - old]]="", tblPiNHistorical[[#This Row],[Health - old]]=0, tblPiNHistorical[[#This Row],[Health - new]]="", tblPiNHistorical[[#This Row],[Health - new]]=0), "", tblPiNHistorical[[#This Row],[Health - new]]-tblPiNHistorical[[#This Row],[Health - old]])</f>
        <v>18067.019967279626</v>
      </c>
      <c r="AF14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-7867.3589050681258</v>
      </c>
      <c r="AG147" s="340">
        <f>IF(OR(tblPiNHistorical[[#This Row],[Shelter - old]]="", tblPiNHistorical[[#This Row],[Shelter - old]]=0, tblPiNHistorical[[#This Row],[Shelter - new]]="", tblPiNHistorical[[#This Row],[Shelter - new]]=0), "", tblPiNHistorical[[#This Row],[Shelter - new]]-tblPiNHistorical[[#This Row],[Shelter - old]])</f>
        <v>28953.64367274403</v>
      </c>
      <c r="AH147" s="341">
        <f>IF(OR(tblPiNHistorical[[#This Row],[WASH - old]]="", tblPiNHistorical[[#This Row],[WASH - old]]=0, tblPiNHistorical[[#This Row],[WASH - new]]="", tblPiNHistorical[[#This Row],[WASH - new]]=0), "", tblPiNHistorical[[#This Row],[WASH - new]]-tblPiNHistorical[[#This Row],[WASH - old]])</f>
        <v>48787.638310551381</v>
      </c>
      <c r="AI147" s="342" t="str">
        <f>IFERROR(ROUND((tblPiNHistorical[[#This Row],[CCCM - new]] - tblPiNHistorical[[#This Row],[CCCM - old]])/tblPiNHistorical[[#This Row],[CCCM - old]], 1), "")</f>
        <v/>
      </c>
      <c r="AJ147" s="343">
        <f>IFERROR(ROUND((tblPiNHistorical[[#This Row],[Education - new]]-tblPiNHistorical[[#This Row],[Education - old]])/tblPiNHistorical[[#This Row],[Education - old]], 1), "")</f>
        <v>-0.1</v>
      </c>
      <c r="AK147" s="343">
        <f>IFERROR(ROUND((tblPiNHistorical[[#This Row],[Nutrition - new]]-tblPiNHistorical[[#This Row],[Nutrition - old]])/tblPiNHistorical[[#This Row],[Nutrition - old]], 1), "")</f>
        <v>0.7</v>
      </c>
      <c r="AL147" s="343">
        <f>IFERROR(ROUND((tblPiNHistorical[[#This Row],[Food Security - new]]-tblPiNHistorical[[#This Row],[Food Security - old]])/tblPiNHistorical[[#This Row],[Food Security - old]], 1), "")</f>
        <v>-0.1</v>
      </c>
      <c r="AM147" s="343">
        <f>IFERROR(ROUND((tblPiNHistorical[[#This Row],[Health - new]]-tblPiNHistorical[[#This Row],[Health - old]])/tblPiNHistorical[[#This Row],[Health - old]], 1), "")</f>
        <v>0.6</v>
      </c>
      <c r="AN147" s="343">
        <f>IFERROR(ROUND((tblPiNHistorical[[#This Row],[Overarching Protection - new]]-tblPiNHistorical[[#This Row],[Overarching Protection - old]])/tblPiNHistorical[[#This Row],[Overarching Protection - old]], 1), "")</f>
        <v>-0.2</v>
      </c>
      <c r="AO147" s="343">
        <f>IFERROR(ROUND((tblPiNHistorical[[#This Row],[Shelter - new]]-tblPiNHistorical[[#This Row],[Shelter - old]])/tblPiNHistorical[[#This Row],[Shelter - old]], 1), "")</f>
        <v>1.9</v>
      </c>
      <c r="AP147" s="38">
        <f>IFERROR(ROUND((tblPiNHistorical[[#This Row],[WASH - new]]-tblPiNHistorical[[#This Row],[WASH - old]])/tblPiNHistorical[[#This Row],[WASH - old]], 1), "")</f>
        <v>2.9</v>
      </c>
      <c r="AQ147" s="406">
        <v>51957</v>
      </c>
      <c r="AR147" s="406">
        <v>65721.236851357709</v>
      </c>
    </row>
    <row r="148" spans="1:44" ht="15" customHeight="1" x14ac:dyDescent="0.55000000000000004">
      <c r="A14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8" s="316" t="s">
        <v>368</v>
      </c>
      <c r="C148" s="218" t="s">
        <v>369</v>
      </c>
      <c r="D148" s="218" t="s">
        <v>380</v>
      </c>
      <c r="E148" s="105" t="s">
        <v>381</v>
      </c>
      <c r="F148" s="100"/>
      <c r="G148" s="34"/>
      <c r="H148" s="335"/>
      <c r="I148" s="97"/>
      <c r="J148" s="97" t="s">
        <v>413</v>
      </c>
      <c r="K148" s="336">
        <v>14356</v>
      </c>
      <c r="L148" s="337">
        <v>26716</v>
      </c>
      <c r="M148" s="319">
        <v>90843.751877674105</v>
      </c>
      <c r="N148" s="319">
        <v>138429</v>
      </c>
      <c r="O148" s="319">
        <v>82940.084687270501</v>
      </c>
      <c r="P148" s="319">
        <v>69906.531929249992</v>
      </c>
      <c r="Q148" s="320">
        <v>70388.629480107047</v>
      </c>
      <c r="R148" s="319">
        <v>32780.679945226402</v>
      </c>
      <c r="S148" s="235">
        <f>tblPiNAnalysis[[#This Row],[CCCM]]</f>
        <v>0</v>
      </c>
      <c r="T148" s="236">
        <f>tblPiNAnalysis[[#This Row],[Education]]</f>
        <v>6937.7479647691844</v>
      </c>
      <c r="U148" s="219">
        <f>tblPiNAnalysis[[#This Row],[Nutrition]]</f>
        <v>30593.112727266733</v>
      </c>
      <c r="V148" s="219">
        <f>tblPiNAnalysis[[#This Row],[Food Security]]</f>
        <v>32963.972271729072</v>
      </c>
      <c r="W148" s="219">
        <f>tblPiNAnalysis[[#This Row],[Health]]</f>
        <v>34129.817761062943</v>
      </c>
      <c r="X148" s="219">
        <f>tblPiNAnalysis[[#This Row],[Overarching Protection]]</f>
        <v>19172</v>
      </c>
      <c r="Y148" s="219">
        <f>tblPiNAnalysis[[#This Row],[Shelter]]</f>
        <v>17383.199634105644</v>
      </c>
      <c r="Z148" s="230">
        <f>tblPiNAnalysis[[#This Row],[WASH]]</f>
        <v>25632.171682697448</v>
      </c>
      <c r="AA148" s="339" t="str">
        <f>IF(OR(tblPiNHistorical[[#This Row],[CCCM - old]]="", tblPiNHistorical[[#This Row],[CCCM - old]]=0, tblPiNHistorical[[#This Row],[CCCM - new]]="", tblPiNHistorical[[#This Row],[CCCM - new]]=0), "", tblPiNHistorical[[#This Row],[CCCM - new]]-tblPiNHistorical[[#This Row],[CCCM - old]])</f>
        <v/>
      </c>
      <c r="AB148" s="340">
        <f>IF(OR(tblPiNHistorical[[#This Row],[Education - old]]="", tblPiNHistorical[[#This Row],[Education - old]]=0, tblPiNHistorical[[#This Row],[Education - new]]="", tblPiNHistorical[[#This Row],[Education - new]]=0), "", tblPiNHistorical[[#This Row],[Education - new]]-tblPiNHistorical[[#This Row],[Education - old]])</f>
        <v>-19778.252035230817</v>
      </c>
      <c r="AC148" s="340">
        <f>IF(OR(tblPiNHistorical[[#This Row],[Nutrition - old]]="", tblPiNHistorical[[#This Row],[Nutrition - old]]=0, tblPiNHistorical[[#This Row],[Nutrition - new]]="", tblPiNHistorical[[#This Row],[Nutrition - new]]=0), "", tblPiNHistorical[[#This Row],[Nutrition - new]]-tblPiNHistorical[[#This Row],[Nutrition - old]])</f>
        <v>-60250.639150407369</v>
      </c>
      <c r="AD148" s="340">
        <f>IF(OR(tblPiNHistorical[[#This Row],[Food Security - old]]="", tblPiNHistorical[[#This Row],[Food Security - old]]=0, tblPiNHistorical[[#This Row],[Food Security - new]]="", tblPiNHistorical[[#This Row],[Food Security - new]]=0), "", tblPiNHistorical[[#This Row],[Food Security - new]]-tblPiNHistorical[[#This Row],[Food Security - old]])</f>
        <v>-105465.02772827093</v>
      </c>
      <c r="AE148" s="340">
        <f>IF(OR(tblPiNHistorical[[#This Row],[Health - old]]="", tblPiNHistorical[[#This Row],[Health - old]]=0, tblPiNHistorical[[#This Row],[Health - new]]="", tblPiNHistorical[[#This Row],[Health - new]]=0), "", tblPiNHistorical[[#This Row],[Health - new]]-tblPiNHistorical[[#This Row],[Health - old]])</f>
        <v>-48810.266926207558</v>
      </c>
      <c r="AF14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-50734.531929249992</v>
      </c>
      <c r="AG148" s="340">
        <f>IF(OR(tblPiNHistorical[[#This Row],[Shelter - old]]="", tblPiNHistorical[[#This Row],[Shelter - old]]=0, tblPiNHistorical[[#This Row],[Shelter - new]]="", tblPiNHistorical[[#This Row],[Shelter - new]]=0), "", tblPiNHistorical[[#This Row],[Shelter - new]]-tblPiNHistorical[[#This Row],[Shelter - old]])</f>
        <v>-53005.429846001403</v>
      </c>
      <c r="AH148" s="341">
        <f>IF(OR(tblPiNHistorical[[#This Row],[WASH - old]]="", tblPiNHistorical[[#This Row],[WASH - old]]=0, tblPiNHistorical[[#This Row],[WASH - new]]="", tblPiNHistorical[[#This Row],[WASH - new]]=0), "", tblPiNHistorical[[#This Row],[WASH - new]]-tblPiNHistorical[[#This Row],[WASH - old]])</f>
        <v>-7148.5082625289542</v>
      </c>
      <c r="AI148" s="342">
        <f>IFERROR(ROUND((tblPiNHistorical[[#This Row],[CCCM - new]] - tblPiNHistorical[[#This Row],[CCCM - old]])/tblPiNHistorical[[#This Row],[CCCM - old]], 1), "")</f>
        <v>-1</v>
      </c>
      <c r="AJ148" s="343">
        <f>IFERROR(ROUND((tblPiNHistorical[[#This Row],[Education - new]]-tblPiNHistorical[[#This Row],[Education - old]])/tblPiNHistorical[[#This Row],[Education - old]], 1), "")</f>
        <v>-0.7</v>
      </c>
      <c r="AK148" s="343">
        <f>IFERROR(ROUND((tblPiNHistorical[[#This Row],[Nutrition - new]]-tblPiNHistorical[[#This Row],[Nutrition - old]])/tblPiNHistorical[[#This Row],[Nutrition - old]], 1), "")</f>
        <v>-0.7</v>
      </c>
      <c r="AL148" s="343">
        <f>IFERROR(ROUND((tblPiNHistorical[[#This Row],[Food Security - new]]-tblPiNHistorical[[#This Row],[Food Security - old]])/tblPiNHistorical[[#This Row],[Food Security - old]], 1), "")</f>
        <v>-0.8</v>
      </c>
      <c r="AM148" s="343">
        <f>IFERROR(ROUND((tblPiNHistorical[[#This Row],[Health - new]]-tblPiNHistorical[[#This Row],[Health - old]])/tblPiNHistorical[[#This Row],[Health - old]], 1), "")</f>
        <v>-0.6</v>
      </c>
      <c r="AN148" s="343">
        <f>IFERROR(ROUND((tblPiNHistorical[[#This Row],[Overarching Protection - new]]-tblPiNHistorical[[#This Row],[Overarching Protection - old]])/tblPiNHistorical[[#This Row],[Overarching Protection - old]], 1), "")</f>
        <v>-0.7</v>
      </c>
      <c r="AO148" s="343">
        <f>IFERROR(ROUND((tblPiNHistorical[[#This Row],[Shelter - new]]-tblPiNHistorical[[#This Row],[Shelter - old]])/tblPiNHistorical[[#This Row],[Shelter - old]], 1), "")</f>
        <v>-0.8</v>
      </c>
      <c r="AP148" s="38">
        <f>IFERROR(ROUND((tblPiNHistorical[[#This Row],[WASH - new]]-tblPiNHistorical[[#This Row],[WASH - old]])/tblPiNHistorical[[#This Row],[WASH - old]], 1), "")</f>
        <v>-0.2</v>
      </c>
      <c r="AQ148" s="406">
        <v>138429</v>
      </c>
      <c r="AR148" s="406">
        <v>34129.817761062943</v>
      </c>
    </row>
    <row r="149" spans="1:44" ht="15" customHeight="1" x14ac:dyDescent="0.55000000000000004">
      <c r="A14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49" s="316" t="s">
        <v>382</v>
      </c>
      <c r="C149" s="218" t="s">
        <v>383</v>
      </c>
      <c r="D149" s="218" t="s">
        <v>384</v>
      </c>
      <c r="E149" s="105" t="s">
        <v>385</v>
      </c>
      <c r="F149" s="100"/>
      <c r="G149" s="34"/>
      <c r="H149" s="335"/>
      <c r="I149" s="97"/>
      <c r="J149" s="97" t="s">
        <v>413</v>
      </c>
      <c r="K149" s="336">
        <v>8368</v>
      </c>
      <c r="L149" s="337">
        <v>33732</v>
      </c>
      <c r="M149" s="319">
        <v>66206.656233502887</v>
      </c>
      <c r="N149" s="319">
        <v>68025</v>
      </c>
      <c r="O149" s="319">
        <v>78401.73636259565</v>
      </c>
      <c r="P149" s="319">
        <v>96807.465110355144</v>
      </c>
      <c r="Q149" s="320">
        <v>105036.10055331558</v>
      </c>
      <c r="R149" s="319">
        <v>37295.828400615181</v>
      </c>
      <c r="S149" s="235">
        <f>tblPiNAnalysis[[#This Row],[CCCM]]</f>
        <v>0</v>
      </c>
      <c r="T149" s="236">
        <f>tblPiNAnalysis[[#This Row],[Education]]</f>
        <v>36544.688599892135</v>
      </c>
      <c r="U149" s="219">
        <f>tblPiNAnalysis[[#This Row],[Nutrition]]</f>
        <v>71792.511876647914</v>
      </c>
      <c r="V149" s="219">
        <f>tblPiNAnalysis[[#This Row],[Food Security]]</f>
        <v>54701.095765878286</v>
      </c>
      <c r="W149" s="219">
        <f>tblPiNAnalysis[[#This Row],[Health]]</f>
        <v>92905.123157415932</v>
      </c>
      <c r="X149" s="219">
        <f>tblPiNAnalysis[[#This Row],[Overarching Protection]]</f>
        <v>30952</v>
      </c>
      <c r="Y149" s="219">
        <f>tblPiNAnalysis[[#This Row],[Shelter]]</f>
        <v>70264.220539842034</v>
      </c>
      <c r="Z149" s="230">
        <f>tblPiNAnalysis[[#This Row],[WASH]]</f>
        <v>127436.650800412</v>
      </c>
      <c r="AA149" s="339" t="str">
        <f>IF(OR(tblPiNHistorical[[#This Row],[CCCM - old]]="", tblPiNHistorical[[#This Row],[CCCM - old]]=0, tblPiNHistorical[[#This Row],[CCCM - new]]="", tblPiNHistorical[[#This Row],[CCCM - new]]=0), "", tblPiNHistorical[[#This Row],[CCCM - new]]-tblPiNHistorical[[#This Row],[CCCM - old]])</f>
        <v/>
      </c>
      <c r="AB149" s="340">
        <f>IF(OR(tblPiNHistorical[[#This Row],[Education - old]]="", tblPiNHistorical[[#This Row],[Education - old]]=0, tblPiNHistorical[[#This Row],[Education - new]]="", tblPiNHistorical[[#This Row],[Education - new]]=0), "", tblPiNHistorical[[#This Row],[Education - new]]-tblPiNHistorical[[#This Row],[Education - old]])</f>
        <v>2812.6885998921352</v>
      </c>
      <c r="AC149" s="340">
        <f>IF(OR(tblPiNHistorical[[#This Row],[Nutrition - old]]="", tblPiNHistorical[[#This Row],[Nutrition - old]]=0, tblPiNHistorical[[#This Row],[Nutrition - new]]="", tblPiNHistorical[[#This Row],[Nutrition - new]]=0), "", tblPiNHistorical[[#This Row],[Nutrition - new]]-tblPiNHistorical[[#This Row],[Nutrition - old]])</f>
        <v>5585.855643145027</v>
      </c>
      <c r="AD149" s="340">
        <f>IF(OR(tblPiNHistorical[[#This Row],[Food Security - old]]="", tblPiNHistorical[[#This Row],[Food Security - old]]=0, tblPiNHistorical[[#This Row],[Food Security - new]]="", tblPiNHistorical[[#This Row],[Food Security - new]]=0), "", tblPiNHistorical[[#This Row],[Food Security - new]]-tblPiNHistorical[[#This Row],[Food Security - old]])</f>
        <v>-13323.904234121714</v>
      </c>
      <c r="AE149" s="340">
        <f>IF(OR(tblPiNHistorical[[#This Row],[Health - old]]="", tblPiNHistorical[[#This Row],[Health - old]]=0, tblPiNHistorical[[#This Row],[Health - new]]="", tblPiNHistorical[[#This Row],[Health - new]]=0), "", tblPiNHistorical[[#This Row],[Health - new]]-tblPiNHistorical[[#This Row],[Health - old]])</f>
        <v>14503.386794820282</v>
      </c>
      <c r="AF14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-65855.465110355144</v>
      </c>
      <c r="AG149" s="340">
        <f>IF(OR(tblPiNHistorical[[#This Row],[Shelter - old]]="", tblPiNHistorical[[#This Row],[Shelter - old]]=0, tblPiNHistorical[[#This Row],[Shelter - new]]="", tblPiNHistorical[[#This Row],[Shelter - new]]=0), "", tblPiNHistorical[[#This Row],[Shelter - new]]-tblPiNHistorical[[#This Row],[Shelter - old]])</f>
        <v>-34771.88001347355</v>
      </c>
      <c r="AH149" s="341">
        <f>IF(OR(tblPiNHistorical[[#This Row],[WASH - old]]="", tblPiNHistorical[[#This Row],[WASH - old]]=0, tblPiNHistorical[[#This Row],[WASH - new]]="", tblPiNHistorical[[#This Row],[WASH - new]]=0), "", tblPiNHistorical[[#This Row],[WASH - new]]-tblPiNHistorical[[#This Row],[WASH - old]])</f>
        <v>90140.822399796816</v>
      </c>
      <c r="AI149" s="342">
        <f>IFERROR(ROUND((tblPiNHistorical[[#This Row],[CCCM - new]] - tblPiNHistorical[[#This Row],[CCCM - old]])/tblPiNHistorical[[#This Row],[CCCM - old]], 1), "")</f>
        <v>-1</v>
      </c>
      <c r="AJ149" s="343">
        <f>IFERROR(ROUND((tblPiNHistorical[[#This Row],[Education - new]]-tblPiNHistorical[[#This Row],[Education - old]])/tblPiNHistorical[[#This Row],[Education - old]], 1), "")</f>
        <v>0.1</v>
      </c>
      <c r="AK149" s="343">
        <f>IFERROR(ROUND((tblPiNHistorical[[#This Row],[Nutrition - new]]-tblPiNHistorical[[#This Row],[Nutrition - old]])/tblPiNHistorical[[#This Row],[Nutrition - old]], 1), "")</f>
        <v>0.1</v>
      </c>
      <c r="AL149" s="343">
        <f>IFERROR(ROUND((tblPiNHistorical[[#This Row],[Food Security - new]]-tblPiNHistorical[[#This Row],[Food Security - old]])/tblPiNHistorical[[#This Row],[Food Security - old]], 1), "")</f>
        <v>-0.2</v>
      </c>
      <c r="AM149" s="343">
        <f>IFERROR(ROUND((tblPiNHistorical[[#This Row],[Health - new]]-tblPiNHistorical[[#This Row],[Health - old]])/tblPiNHistorical[[#This Row],[Health - old]], 1), "")</f>
        <v>0.2</v>
      </c>
      <c r="AN149" s="343">
        <f>IFERROR(ROUND((tblPiNHistorical[[#This Row],[Overarching Protection - new]]-tblPiNHistorical[[#This Row],[Overarching Protection - old]])/tblPiNHistorical[[#This Row],[Overarching Protection - old]], 1), "")</f>
        <v>-0.7</v>
      </c>
      <c r="AO149" s="343">
        <f>IFERROR(ROUND((tblPiNHistorical[[#This Row],[Shelter - new]]-tblPiNHistorical[[#This Row],[Shelter - old]])/tblPiNHistorical[[#This Row],[Shelter - old]], 1), "")</f>
        <v>-0.3</v>
      </c>
      <c r="AP149" s="38">
        <f>IFERROR(ROUND((tblPiNHistorical[[#This Row],[WASH - new]]-tblPiNHistorical[[#This Row],[WASH - old]])/tblPiNHistorical[[#This Row],[WASH - old]], 1), "")</f>
        <v>2.4</v>
      </c>
      <c r="AQ149" s="406">
        <v>105036.10055331558</v>
      </c>
      <c r="AR149" s="406">
        <v>127436.650800412</v>
      </c>
    </row>
    <row r="150" spans="1:44" ht="15" customHeight="1" x14ac:dyDescent="0.55000000000000004">
      <c r="A15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0" s="316" t="s">
        <v>382</v>
      </c>
      <c r="C150" s="218" t="s">
        <v>383</v>
      </c>
      <c r="D150" s="218" t="s">
        <v>386</v>
      </c>
      <c r="E150" s="105" t="s">
        <v>387</v>
      </c>
      <c r="F150" s="100"/>
      <c r="G150" s="34"/>
      <c r="H150" s="335"/>
      <c r="I150" s="97"/>
      <c r="J150" s="97" t="s">
        <v>413</v>
      </c>
      <c r="K150" s="336">
        <v>0</v>
      </c>
      <c r="L150" s="337">
        <v>5809</v>
      </c>
      <c r="M150" s="319">
        <v>8346.7869836488699</v>
      </c>
      <c r="N150" s="319">
        <v>31537</v>
      </c>
      <c r="O150" s="319">
        <v>15880.321716390788</v>
      </c>
      <c r="P150" s="319">
        <v>17680.667449594435</v>
      </c>
      <c r="Q150" s="320">
        <v>17356.384967120008</v>
      </c>
      <c r="R150" s="319">
        <v>9213.9432489421361</v>
      </c>
      <c r="S150" s="235">
        <f>tblPiNAnalysis[[#This Row],[CCCM]]</f>
        <v>0</v>
      </c>
      <c r="T150" s="236">
        <f>tblPiNAnalysis[[#This Row],[Education]]</f>
        <v>9740.8185389477185</v>
      </c>
      <c r="U150" s="219">
        <f>tblPiNAnalysis[[#This Row],[Nutrition]]</f>
        <v>15260.32923411262</v>
      </c>
      <c r="V150" s="219">
        <f>tblPiNAnalysis[[#This Row],[Food Security]]</f>
        <v>19251.330016565855</v>
      </c>
      <c r="W150" s="219">
        <f>tblPiNAnalysis[[#This Row],[Health]]</f>
        <v>19192.902815265665</v>
      </c>
      <c r="X150" s="219">
        <f>tblPiNAnalysis[[#This Row],[Overarching Protection]]</f>
        <v>6609</v>
      </c>
      <c r="Y150" s="219">
        <f>tblPiNAnalysis[[#This Row],[Shelter]]</f>
        <v>0</v>
      </c>
      <c r="Z150" s="230">
        <f>tblPiNAnalysis[[#This Row],[WASH]]</f>
        <v>9594.7379680457962</v>
      </c>
      <c r="AA150" s="339" t="str">
        <f>IF(OR(tblPiNHistorical[[#This Row],[CCCM - old]]="", tblPiNHistorical[[#This Row],[CCCM - old]]=0, tblPiNHistorical[[#This Row],[CCCM - new]]="", tblPiNHistorical[[#This Row],[CCCM - new]]=0), "", tblPiNHistorical[[#This Row],[CCCM - new]]-tblPiNHistorical[[#This Row],[CCCM - old]])</f>
        <v/>
      </c>
      <c r="AB150" s="340">
        <f>IF(OR(tblPiNHistorical[[#This Row],[Education - old]]="", tblPiNHistorical[[#This Row],[Education - old]]=0, tblPiNHistorical[[#This Row],[Education - new]]="", tblPiNHistorical[[#This Row],[Education - new]]=0), "", tblPiNHistorical[[#This Row],[Education - new]]-tblPiNHistorical[[#This Row],[Education - old]])</f>
        <v>3931.8185389477185</v>
      </c>
      <c r="AC150" s="340">
        <f>IF(OR(tblPiNHistorical[[#This Row],[Nutrition - old]]="", tblPiNHistorical[[#This Row],[Nutrition - old]]=0, tblPiNHistorical[[#This Row],[Nutrition - new]]="", tblPiNHistorical[[#This Row],[Nutrition - new]]=0), "", tblPiNHistorical[[#This Row],[Nutrition - new]]-tblPiNHistorical[[#This Row],[Nutrition - old]])</f>
        <v>6913.54225046375</v>
      </c>
      <c r="AD150" s="340">
        <f>IF(OR(tblPiNHistorical[[#This Row],[Food Security - old]]="", tblPiNHistorical[[#This Row],[Food Security - old]]=0, tblPiNHistorical[[#This Row],[Food Security - new]]="", tblPiNHistorical[[#This Row],[Food Security - new]]=0), "", tblPiNHistorical[[#This Row],[Food Security - new]]-tblPiNHistorical[[#This Row],[Food Security - old]])</f>
        <v>-12285.669983434145</v>
      </c>
      <c r="AE150" s="340">
        <f>IF(OR(tblPiNHistorical[[#This Row],[Health - old]]="", tblPiNHistorical[[#This Row],[Health - old]]=0, tblPiNHistorical[[#This Row],[Health - new]]="", tblPiNHistorical[[#This Row],[Health - new]]=0), "", tblPiNHistorical[[#This Row],[Health - new]]-tblPiNHistorical[[#This Row],[Health - old]])</f>
        <v>3312.5810988748763</v>
      </c>
      <c r="AF15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-11071.667449594435</v>
      </c>
      <c r="AG150" s="340" t="str">
        <f>IF(OR(tblPiNHistorical[[#This Row],[Shelter - old]]="", tblPiNHistorical[[#This Row],[Shelter - old]]=0, tblPiNHistorical[[#This Row],[Shelter - new]]="", tblPiNHistorical[[#This Row],[Shelter - new]]=0), "", tblPiNHistorical[[#This Row],[Shelter - new]]-tblPiNHistorical[[#This Row],[Shelter - old]])</f>
        <v/>
      </c>
      <c r="AH150" s="341">
        <f>IF(OR(tblPiNHistorical[[#This Row],[WASH - old]]="", tblPiNHistorical[[#This Row],[WASH - old]]=0, tblPiNHistorical[[#This Row],[WASH - new]]="", tblPiNHistorical[[#This Row],[WASH - new]]=0), "", tblPiNHistorical[[#This Row],[WASH - new]]-tblPiNHistorical[[#This Row],[WASH - old]])</f>
        <v>380.7947191036601</v>
      </c>
      <c r="AI150" s="342" t="str">
        <f>IFERROR(ROUND((tblPiNHistorical[[#This Row],[CCCM - new]] - tblPiNHistorical[[#This Row],[CCCM - old]])/tblPiNHistorical[[#This Row],[CCCM - old]], 1), "")</f>
        <v/>
      </c>
      <c r="AJ150" s="343">
        <f>IFERROR(ROUND((tblPiNHistorical[[#This Row],[Education - new]]-tblPiNHistorical[[#This Row],[Education - old]])/tblPiNHistorical[[#This Row],[Education - old]], 1), "")</f>
        <v>0.7</v>
      </c>
      <c r="AK150" s="343">
        <f>IFERROR(ROUND((tblPiNHistorical[[#This Row],[Nutrition - new]]-tblPiNHistorical[[#This Row],[Nutrition - old]])/tblPiNHistorical[[#This Row],[Nutrition - old]], 1), "")</f>
        <v>0.8</v>
      </c>
      <c r="AL150" s="343">
        <f>IFERROR(ROUND((tblPiNHistorical[[#This Row],[Food Security - new]]-tblPiNHistorical[[#This Row],[Food Security - old]])/tblPiNHistorical[[#This Row],[Food Security - old]], 1), "")</f>
        <v>-0.4</v>
      </c>
      <c r="AM150" s="343">
        <f>IFERROR(ROUND((tblPiNHistorical[[#This Row],[Health - new]]-tblPiNHistorical[[#This Row],[Health - old]])/tblPiNHistorical[[#This Row],[Health - old]], 1), "")</f>
        <v>0.2</v>
      </c>
      <c r="AN150" s="343">
        <f>IFERROR(ROUND((tblPiNHistorical[[#This Row],[Overarching Protection - new]]-tblPiNHistorical[[#This Row],[Overarching Protection - old]])/tblPiNHistorical[[#This Row],[Overarching Protection - old]], 1), "")</f>
        <v>-0.6</v>
      </c>
      <c r="AO150" s="343">
        <f>IFERROR(ROUND((tblPiNHistorical[[#This Row],[Shelter - new]]-tblPiNHistorical[[#This Row],[Shelter - old]])/tblPiNHistorical[[#This Row],[Shelter - old]], 1), "")</f>
        <v>-1</v>
      </c>
      <c r="AP150" s="38">
        <f>IFERROR(ROUND((tblPiNHistorical[[#This Row],[WASH - new]]-tblPiNHistorical[[#This Row],[WASH - old]])/tblPiNHistorical[[#This Row],[WASH - old]], 1), "")</f>
        <v>0</v>
      </c>
      <c r="AQ150" s="406">
        <v>31537</v>
      </c>
      <c r="AR150" s="406">
        <v>19251.330016565855</v>
      </c>
    </row>
    <row r="151" spans="1:44" ht="15" customHeight="1" x14ac:dyDescent="0.55000000000000004">
      <c r="A15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1" s="316" t="s">
        <v>382</v>
      </c>
      <c r="C151" s="218" t="s">
        <v>383</v>
      </c>
      <c r="D151" s="218" t="s">
        <v>388</v>
      </c>
      <c r="E151" s="105" t="s">
        <v>389</v>
      </c>
      <c r="F151" s="100"/>
      <c r="G151" s="34"/>
      <c r="H151" s="335"/>
      <c r="I151" s="97"/>
      <c r="J151" s="97" t="s">
        <v>413</v>
      </c>
      <c r="K151" s="336">
        <v>0</v>
      </c>
      <c r="L151" s="337">
        <v>22093</v>
      </c>
      <c r="M151" s="319">
        <v>63495.483115378578</v>
      </c>
      <c r="N151" s="319">
        <v>151958</v>
      </c>
      <c r="O151" s="319">
        <v>49114.017592511387</v>
      </c>
      <c r="P151" s="319">
        <v>123873.95699054303</v>
      </c>
      <c r="Q151" s="320">
        <v>57997.560689321057</v>
      </c>
      <c r="R151" s="319">
        <v>60135.185069013176</v>
      </c>
      <c r="S151" s="235">
        <f>tblPiNAnalysis[[#This Row],[CCCM]]</f>
        <v>0</v>
      </c>
      <c r="T151" s="236">
        <f>tblPiNAnalysis[[#This Row],[Education]]</f>
        <v>30693.36830626399</v>
      </c>
      <c r="U151" s="219">
        <f>tblPiNAnalysis[[#This Row],[Nutrition]]</f>
        <v>92382.929493153322</v>
      </c>
      <c r="V151" s="219">
        <f>tblPiNAnalysis[[#This Row],[Food Security]]</f>
        <v>111624.95265472641</v>
      </c>
      <c r="W151" s="219">
        <f>tblPiNAnalysis[[#This Row],[Health]]</f>
        <v>102556.50979852382</v>
      </c>
      <c r="X151" s="219">
        <f>tblPiNAnalysis[[#This Row],[Overarching Protection]]</f>
        <v>35550</v>
      </c>
      <c r="Y151" s="219">
        <f>tblPiNAnalysis[[#This Row],[Shelter]]</f>
        <v>54353.922905044179</v>
      </c>
      <c r="Z151" s="230">
        <f>tblPiNAnalysis[[#This Row],[WASH]]</f>
        <v>97995.234020602133</v>
      </c>
      <c r="AA151" s="339" t="str">
        <f>IF(OR(tblPiNHistorical[[#This Row],[CCCM - old]]="", tblPiNHistorical[[#This Row],[CCCM - old]]=0, tblPiNHistorical[[#This Row],[CCCM - new]]="", tblPiNHistorical[[#This Row],[CCCM - new]]=0), "", tblPiNHistorical[[#This Row],[CCCM - new]]-tblPiNHistorical[[#This Row],[CCCM - old]])</f>
        <v/>
      </c>
      <c r="AB151" s="340">
        <f>IF(OR(tblPiNHistorical[[#This Row],[Education - old]]="", tblPiNHistorical[[#This Row],[Education - old]]=0, tblPiNHistorical[[#This Row],[Education - new]]="", tblPiNHistorical[[#This Row],[Education - new]]=0), "", tblPiNHistorical[[#This Row],[Education - new]]-tblPiNHistorical[[#This Row],[Education - old]])</f>
        <v>8600.3683062639902</v>
      </c>
      <c r="AC151" s="340">
        <f>IF(OR(tblPiNHistorical[[#This Row],[Nutrition - old]]="", tblPiNHistorical[[#This Row],[Nutrition - old]]=0, tblPiNHistorical[[#This Row],[Nutrition - new]]="", tblPiNHistorical[[#This Row],[Nutrition - new]]=0), "", tblPiNHistorical[[#This Row],[Nutrition - new]]-tblPiNHistorical[[#This Row],[Nutrition - old]])</f>
        <v>28887.446377774744</v>
      </c>
      <c r="AD151" s="340">
        <f>IF(OR(tblPiNHistorical[[#This Row],[Food Security - old]]="", tblPiNHistorical[[#This Row],[Food Security - old]]=0, tblPiNHistorical[[#This Row],[Food Security - new]]="", tblPiNHistorical[[#This Row],[Food Security - new]]=0), "", tblPiNHistorical[[#This Row],[Food Security - new]]-tblPiNHistorical[[#This Row],[Food Security - old]])</f>
        <v>-40333.04734527359</v>
      </c>
      <c r="AE151" s="340">
        <f>IF(OR(tblPiNHistorical[[#This Row],[Health - old]]="", tblPiNHistorical[[#This Row],[Health - old]]=0, tblPiNHistorical[[#This Row],[Health - new]]="", tblPiNHistorical[[#This Row],[Health - new]]=0), "", tblPiNHistorical[[#This Row],[Health - new]]-tblPiNHistorical[[#This Row],[Health - old]])</f>
        <v>53442.492206012437</v>
      </c>
      <c r="AF15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-88323.956990543025</v>
      </c>
      <c r="AG151" s="340">
        <f>IF(OR(tblPiNHistorical[[#This Row],[Shelter - old]]="", tblPiNHistorical[[#This Row],[Shelter - old]]=0, tblPiNHistorical[[#This Row],[Shelter - new]]="", tblPiNHistorical[[#This Row],[Shelter - new]]=0), "", tblPiNHistorical[[#This Row],[Shelter - new]]-tblPiNHistorical[[#This Row],[Shelter - old]])</f>
        <v>-3643.6377842768779</v>
      </c>
      <c r="AH151" s="341">
        <f>IF(OR(tblPiNHistorical[[#This Row],[WASH - old]]="", tblPiNHistorical[[#This Row],[WASH - old]]=0, tblPiNHistorical[[#This Row],[WASH - new]]="", tblPiNHistorical[[#This Row],[WASH - new]]=0), "", tblPiNHistorical[[#This Row],[WASH - new]]-tblPiNHistorical[[#This Row],[WASH - old]])</f>
        <v>37860.048951588957</v>
      </c>
      <c r="AI151" s="342" t="str">
        <f>IFERROR(ROUND((tblPiNHistorical[[#This Row],[CCCM - new]] - tblPiNHistorical[[#This Row],[CCCM - old]])/tblPiNHistorical[[#This Row],[CCCM - old]], 1), "")</f>
        <v/>
      </c>
      <c r="AJ151" s="343">
        <f>IFERROR(ROUND((tblPiNHistorical[[#This Row],[Education - new]]-tblPiNHistorical[[#This Row],[Education - old]])/tblPiNHistorical[[#This Row],[Education - old]], 1), "")</f>
        <v>0.4</v>
      </c>
      <c r="AK151" s="343">
        <f>IFERROR(ROUND((tblPiNHistorical[[#This Row],[Nutrition - new]]-tblPiNHistorical[[#This Row],[Nutrition - old]])/tblPiNHistorical[[#This Row],[Nutrition - old]], 1), "")</f>
        <v>0.5</v>
      </c>
      <c r="AL151" s="343">
        <f>IFERROR(ROUND((tblPiNHistorical[[#This Row],[Food Security - new]]-tblPiNHistorical[[#This Row],[Food Security - old]])/tblPiNHistorical[[#This Row],[Food Security - old]], 1), "")</f>
        <v>-0.3</v>
      </c>
      <c r="AM151" s="343">
        <f>IFERROR(ROUND((tblPiNHistorical[[#This Row],[Health - new]]-tblPiNHistorical[[#This Row],[Health - old]])/tblPiNHistorical[[#This Row],[Health - old]], 1), "")</f>
        <v>1.1000000000000001</v>
      </c>
      <c r="AN151" s="343">
        <f>IFERROR(ROUND((tblPiNHistorical[[#This Row],[Overarching Protection - new]]-tblPiNHistorical[[#This Row],[Overarching Protection - old]])/tblPiNHistorical[[#This Row],[Overarching Protection - old]], 1), "")</f>
        <v>-0.7</v>
      </c>
      <c r="AO151" s="343">
        <f>IFERROR(ROUND((tblPiNHistorical[[#This Row],[Shelter - new]]-tblPiNHistorical[[#This Row],[Shelter - old]])/tblPiNHistorical[[#This Row],[Shelter - old]], 1), "")</f>
        <v>-0.1</v>
      </c>
      <c r="AP151" s="38">
        <f>IFERROR(ROUND((tblPiNHistorical[[#This Row],[WASH - new]]-tblPiNHistorical[[#This Row],[WASH - old]])/tblPiNHistorical[[#This Row],[WASH - old]], 1), "")</f>
        <v>0.6</v>
      </c>
      <c r="AQ151" s="406">
        <v>151958</v>
      </c>
      <c r="AR151" s="406">
        <v>111624.95265472641</v>
      </c>
    </row>
    <row r="152" spans="1:44" ht="15" customHeight="1" x14ac:dyDescent="0.55000000000000004">
      <c r="A15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2" s="316" t="s">
        <v>390</v>
      </c>
      <c r="C152" s="218" t="s">
        <v>391</v>
      </c>
      <c r="D152" s="218" t="s">
        <v>392</v>
      </c>
      <c r="E152" s="105" t="s">
        <v>393</v>
      </c>
      <c r="F152" s="100"/>
      <c r="G152" s="34"/>
      <c r="H152" s="335"/>
      <c r="I152" s="97"/>
      <c r="J152" s="97" t="s">
        <v>413</v>
      </c>
      <c r="K152" s="336">
        <v>0</v>
      </c>
      <c r="L152" s="337">
        <v>7195</v>
      </c>
      <c r="M152" s="319">
        <v>30913.954623194099</v>
      </c>
      <c r="N152" s="319">
        <v>16951</v>
      </c>
      <c r="O152" s="319">
        <v>27217.840916337183</v>
      </c>
      <c r="P152" s="319">
        <v>26029.017666437499</v>
      </c>
      <c r="Q152" s="320">
        <v>18826.747264627596</v>
      </c>
      <c r="R152" s="319">
        <v>73086.076530763472</v>
      </c>
      <c r="S152" s="235">
        <f>tblPiNAnalysis[[#This Row],[CCCM]]</f>
        <v>0</v>
      </c>
      <c r="T152" s="236">
        <f>tblPiNAnalysis[[#This Row],[Education]]</f>
        <v>16171.535877120903</v>
      </c>
      <c r="U152" s="219">
        <f>tblPiNAnalysis[[#This Row],[Nutrition]]</f>
        <v>36066.523335321421</v>
      </c>
      <c r="V152" s="219">
        <f>tblPiNAnalysis[[#This Row],[Food Security]]</f>
        <v>13143.564910079635</v>
      </c>
      <c r="W152" s="219">
        <f>tblPiNAnalysis[[#This Row],[Health]]</f>
        <v>36337.325866056002</v>
      </c>
      <c r="X152" s="219">
        <f>tblPiNAnalysis[[#This Row],[Overarching Protection]]</f>
        <v>12761</v>
      </c>
      <c r="Y152" s="219">
        <f>tblPiNAnalysis[[#This Row],[Shelter]]</f>
        <v>29249.964672468115</v>
      </c>
      <c r="Z152" s="230">
        <f>tblPiNAnalysis[[#This Row],[WASH]]</f>
        <v>54459.393684475173</v>
      </c>
      <c r="AA152" s="339" t="str">
        <f>IF(OR(tblPiNHistorical[[#This Row],[CCCM - old]]="", tblPiNHistorical[[#This Row],[CCCM - old]]=0, tblPiNHistorical[[#This Row],[CCCM - new]]="", tblPiNHistorical[[#This Row],[CCCM - new]]=0), "", tblPiNHistorical[[#This Row],[CCCM - new]]-tblPiNHistorical[[#This Row],[CCCM - old]])</f>
        <v/>
      </c>
      <c r="AB152" s="340">
        <f>IF(OR(tblPiNHistorical[[#This Row],[Education - old]]="", tblPiNHistorical[[#This Row],[Education - old]]=0, tblPiNHistorical[[#This Row],[Education - new]]="", tblPiNHistorical[[#This Row],[Education - new]]=0), "", tblPiNHistorical[[#This Row],[Education - new]]-tblPiNHistorical[[#This Row],[Education - old]])</f>
        <v>8976.535877120903</v>
      </c>
      <c r="AC152" s="340">
        <f>IF(OR(tblPiNHistorical[[#This Row],[Nutrition - old]]="", tblPiNHistorical[[#This Row],[Nutrition - old]]=0, tblPiNHistorical[[#This Row],[Nutrition - new]]="", tblPiNHistorical[[#This Row],[Nutrition - new]]=0), "", tblPiNHistorical[[#This Row],[Nutrition - new]]-tblPiNHistorical[[#This Row],[Nutrition - old]])</f>
        <v>5152.5687121273222</v>
      </c>
      <c r="AD152" s="340">
        <f>IF(OR(tblPiNHistorical[[#This Row],[Food Security - old]]="", tblPiNHistorical[[#This Row],[Food Security - old]]=0, tblPiNHistorical[[#This Row],[Food Security - new]]="", tblPiNHistorical[[#This Row],[Food Security - new]]=0), "", tblPiNHistorical[[#This Row],[Food Security - new]]-tblPiNHistorical[[#This Row],[Food Security - old]])</f>
        <v>-3807.4350899203655</v>
      </c>
      <c r="AE152" s="340">
        <f>IF(OR(tblPiNHistorical[[#This Row],[Health - old]]="", tblPiNHistorical[[#This Row],[Health - old]]=0, tblPiNHistorical[[#This Row],[Health - new]]="", tblPiNHistorical[[#This Row],[Health - new]]=0), "", tblPiNHistorical[[#This Row],[Health - new]]-tblPiNHistorical[[#This Row],[Health - old]])</f>
        <v>9119.4849497188188</v>
      </c>
      <c r="AF15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-13268.017666437499</v>
      </c>
      <c r="AG152" s="340">
        <f>IF(OR(tblPiNHistorical[[#This Row],[Shelter - old]]="", tblPiNHistorical[[#This Row],[Shelter - old]]=0, tblPiNHistorical[[#This Row],[Shelter - new]]="", tblPiNHistorical[[#This Row],[Shelter - new]]=0), "", tblPiNHistorical[[#This Row],[Shelter - new]]-tblPiNHistorical[[#This Row],[Shelter - old]])</f>
        <v>10423.217407840519</v>
      </c>
      <c r="AH152" s="341">
        <f>IF(OR(tblPiNHistorical[[#This Row],[WASH - old]]="", tblPiNHistorical[[#This Row],[WASH - old]]=0, tblPiNHistorical[[#This Row],[WASH - new]]="", tblPiNHistorical[[#This Row],[WASH - new]]=0), "", tblPiNHistorical[[#This Row],[WASH - new]]-tblPiNHistorical[[#This Row],[WASH - old]])</f>
        <v>-18626.682846288299</v>
      </c>
      <c r="AI152" s="342" t="str">
        <f>IFERROR(ROUND((tblPiNHistorical[[#This Row],[CCCM - new]] - tblPiNHistorical[[#This Row],[CCCM - old]])/tblPiNHistorical[[#This Row],[CCCM - old]], 1), "")</f>
        <v/>
      </c>
      <c r="AJ152" s="343">
        <f>IFERROR(ROUND((tblPiNHistorical[[#This Row],[Education - new]]-tblPiNHistorical[[#This Row],[Education - old]])/tblPiNHistorical[[#This Row],[Education - old]], 1), "")</f>
        <v>1.2</v>
      </c>
      <c r="AK152" s="343">
        <f>IFERROR(ROUND((tblPiNHistorical[[#This Row],[Nutrition - new]]-tblPiNHistorical[[#This Row],[Nutrition - old]])/tblPiNHistorical[[#This Row],[Nutrition - old]], 1), "")</f>
        <v>0.2</v>
      </c>
      <c r="AL152" s="343">
        <f>IFERROR(ROUND((tblPiNHistorical[[#This Row],[Food Security - new]]-tblPiNHistorical[[#This Row],[Food Security - old]])/tblPiNHistorical[[#This Row],[Food Security - old]], 1), "")</f>
        <v>-0.2</v>
      </c>
      <c r="AM152" s="343">
        <f>IFERROR(ROUND((tblPiNHistorical[[#This Row],[Health - new]]-tblPiNHistorical[[#This Row],[Health - old]])/tblPiNHistorical[[#This Row],[Health - old]], 1), "")</f>
        <v>0.3</v>
      </c>
      <c r="AN152" s="343">
        <f>IFERROR(ROUND((tblPiNHistorical[[#This Row],[Overarching Protection - new]]-tblPiNHistorical[[#This Row],[Overarching Protection - old]])/tblPiNHistorical[[#This Row],[Overarching Protection - old]], 1), "")</f>
        <v>-0.5</v>
      </c>
      <c r="AO152" s="343">
        <f>IFERROR(ROUND((tblPiNHistorical[[#This Row],[Shelter - new]]-tblPiNHistorical[[#This Row],[Shelter - old]])/tblPiNHistorical[[#This Row],[Shelter - old]], 1), "")</f>
        <v>0.6</v>
      </c>
      <c r="AP152" s="38">
        <f>IFERROR(ROUND((tblPiNHistorical[[#This Row],[WASH - new]]-tblPiNHistorical[[#This Row],[WASH - old]])/tblPiNHistorical[[#This Row],[WASH - old]], 1), "")</f>
        <v>-0.3</v>
      </c>
      <c r="AQ152" s="406">
        <v>73086.076530763472</v>
      </c>
      <c r="AR152" s="406">
        <v>54459.393684475173</v>
      </c>
    </row>
    <row r="153" spans="1:44" ht="15" customHeight="1" x14ac:dyDescent="0.55000000000000004">
      <c r="A15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3" s="316" t="s">
        <v>390</v>
      </c>
      <c r="C153" s="218" t="s">
        <v>391</v>
      </c>
      <c r="D153" s="218" t="s">
        <v>394</v>
      </c>
      <c r="E153" s="105" t="s">
        <v>395</v>
      </c>
      <c r="F153" s="100"/>
      <c r="G153" s="34"/>
      <c r="H153" s="335"/>
      <c r="I153" s="97"/>
      <c r="J153" s="97" t="s">
        <v>413</v>
      </c>
      <c r="K153" s="336">
        <v>0</v>
      </c>
      <c r="L153" s="337">
        <v>13408</v>
      </c>
      <c r="M153" s="319">
        <v>14960.027793384485</v>
      </c>
      <c r="N153" s="319">
        <v>12211</v>
      </c>
      <c r="O153" s="319">
        <v>23259.415565333598</v>
      </c>
      <c r="P153" s="319">
        <v>14108.629111966002</v>
      </c>
      <c r="Q153" s="320">
        <v>12965.971687222438</v>
      </c>
      <c r="R153" s="319">
        <v>38654.614748906475</v>
      </c>
      <c r="S153" s="235">
        <f>tblPiNAnalysis[[#This Row],[CCCM]]</f>
        <v>0</v>
      </c>
      <c r="T153" s="236">
        <f>tblPiNAnalysis[[#This Row],[Education]]</f>
        <v>6753.435162018789</v>
      </c>
      <c r="U153" s="219">
        <f>tblPiNAnalysis[[#This Row],[Nutrition]]</f>
        <v>20826.863886890918</v>
      </c>
      <c r="V153" s="219">
        <f>tblPiNAnalysis[[#This Row],[Food Security]]</f>
        <v>11877.998300213296</v>
      </c>
      <c r="W153" s="219">
        <f>tblPiNAnalysis[[#This Row],[Health]]</f>
        <v>20492.844907836869</v>
      </c>
      <c r="X153" s="219">
        <f>tblPiNAnalysis[[#This Row],[Overarching Protection]]</f>
        <v>9428</v>
      </c>
      <c r="Y153" s="219">
        <f>tblPiNAnalysis[[#This Row],[Shelter]]</f>
        <v>17495.424778844124</v>
      </c>
      <c r="Z153" s="230">
        <f>tblPiNAnalysis[[#This Row],[WASH]]</f>
        <v>40156.679713581529</v>
      </c>
      <c r="AA153" s="339" t="str">
        <f>IF(OR(tblPiNHistorical[[#This Row],[CCCM - old]]="", tblPiNHistorical[[#This Row],[CCCM - old]]=0, tblPiNHistorical[[#This Row],[CCCM - new]]="", tblPiNHistorical[[#This Row],[CCCM - new]]=0), "", tblPiNHistorical[[#This Row],[CCCM - new]]-tblPiNHistorical[[#This Row],[CCCM - old]])</f>
        <v/>
      </c>
      <c r="AB153" s="340">
        <f>IF(OR(tblPiNHistorical[[#This Row],[Education - old]]="", tblPiNHistorical[[#This Row],[Education - old]]=0, tblPiNHistorical[[#This Row],[Education - new]]="", tblPiNHistorical[[#This Row],[Education - new]]=0), "", tblPiNHistorical[[#This Row],[Education - new]]-tblPiNHistorical[[#This Row],[Education - old]])</f>
        <v>-6654.564837981211</v>
      </c>
      <c r="AC153" s="340">
        <f>IF(OR(tblPiNHistorical[[#This Row],[Nutrition - old]]="", tblPiNHistorical[[#This Row],[Nutrition - old]]=0, tblPiNHistorical[[#This Row],[Nutrition - new]]="", tblPiNHistorical[[#This Row],[Nutrition - new]]=0), "", tblPiNHistorical[[#This Row],[Nutrition - new]]-tblPiNHistorical[[#This Row],[Nutrition - old]])</f>
        <v>5866.8360935064338</v>
      </c>
      <c r="AD153" s="340">
        <f>IF(OR(tblPiNHistorical[[#This Row],[Food Security - old]]="", tblPiNHistorical[[#This Row],[Food Security - old]]=0, tblPiNHistorical[[#This Row],[Food Security - new]]="", tblPiNHistorical[[#This Row],[Food Security - new]]=0), "", tblPiNHistorical[[#This Row],[Food Security - new]]-tblPiNHistorical[[#This Row],[Food Security - old]])</f>
        <v>-333.00169978670419</v>
      </c>
      <c r="AE153" s="340">
        <f>IF(OR(tblPiNHistorical[[#This Row],[Health - old]]="", tblPiNHistorical[[#This Row],[Health - old]]=0, tblPiNHistorical[[#This Row],[Health - new]]="", tblPiNHistorical[[#This Row],[Health - new]]=0), "", tblPiNHistorical[[#This Row],[Health - new]]-tblPiNHistorical[[#This Row],[Health - old]])</f>
        <v>-2766.5706574967298</v>
      </c>
      <c r="AF15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-4680.6291119660018</v>
      </c>
      <c r="AG153" s="340">
        <f>IF(OR(tblPiNHistorical[[#This Row],[Shelter - old]]="", tblPiNHistorical[[#This Row],[Shelter - old]]=0, tblPiNHistorical[[#This Row],[Shelter - new]]="", tblPiNHistorical[[#This Row],[Shelter - new]]=0), "", tblPiNHistorical[[#This Row],[Shelter - new]]-tblPiNHistorical[[#This Row],[Shelter - old]])</f>
        <v>4529.4530916216863</v>
      </c>
      <c r="AH153" s="341">
        <f>IF(OR(tblPiNHistorical[[#This Row],[WASH - old]]="", tblPiNHistorical[[#This Row],[WASH - old]]=0, tblPiNHistorical[[#This Row],[WASH - new]]="", tblPiNHistorical[[#This Row],[WASH - new]]=0), "", tblPiNHistorical[[#This Row],[WASH - new]]-tblPiNHistorical[[#This Row],[WASH - old]])</f>
        <v>1502.0649646750535</v>
      </c>
      <c r="AI153" s="342" t="str">
        <f>IFERROR(ROUND((tblPiNHistorical[[#This Row],[CCCM - new]] - tblPiNHistorical[[#This Row],[CCCM - old]])/tblPiNHistorical[[#This Row],[CCCM - old]], 1), "")</f>
        <v/>
      </c>
      <c r="AJ153" s="343">
        <f>IFERROR(ROUND((tblPiNHistorical[[#This Row],[Education - new]]-tblPiNHistorical[[#This Row],[Education - old]])/tblPiNHistorical[[#This Row],[Education - old]], 1), "")</f>
        <v>-0.5</v>
      </c>
      <c r="AK153" s="343">
        <f>IFERROR(ROUND((tblPiNHistorical[[#This Row],[Nutrition - new]]-tblPiNHistorical[[#This Row],[Nutrition - old]])/tblPiNHistorical[[#This Row],[Nutrition - old]], 1), "")</f>
        <v>0.4</v>
      </c>
      <c r="AL153" s="343">
        <f>IFERROR(ROUND((tblPiNHistorical[[#This Row],[Food Security - new]]-tblPiNHistorical[[#This Row],[Food Security - old]])/tblPiNHistorical[[#This Row],[Food Security - old]], 1), "")</f>
        <v>0</v>
      </c>
      <c r="AM153" s="343">
        <f>IFERROR(ROUND((tblPiNHistorical[[#This Row],[Health - new]]-tblPiNHistorical[[#This Row],[Health - old]])/tblPiNHistorical[[#This Row],[Health - old]], 1), "")</f>
        <v>-0.1</v>
      </c>
      <c r="AN153" s="343">
        <f>IFERROR(ROUND((tblPiNHistorical[[#This Row],[Overarching Protection - new]]-tblPiNHistorical[[#This Row],[Overarching Protection - old]])/tblPiNHistorical[[#This Row],[Overarching Protection - old]], 1), "")</f>
        <v>-0.3</v>
      </c>
      <c r="AO153" s="343">
        <f>IFERROR(ROUND((tblPiNHistorical[[#This Row],[Shelter - new]]-tblPiNHistorical[[#This Row],[Shelter - old]])/tblPiNHistorical[[#This Row],[Shelter - old]], 1), "")</f>
        <v>0.3</v>
      </c>
      <c r="AP153" s="38">
        <f>IFERROR(ROUND((tblPiNHistorical[[#This Row],[WASH - new]]-tblPiNHistorical[[#This Row],[WASH - old]])/tblPiNHistorical[[#This Row],[WASH - old]], 1), "")</f>
        <v>0</v>
      </c>
      <c r="AQ153" s="406">
        <v>38654.614748906475</v>
      </c>
      <c r="AR153" s="406">
        <v>40156.679713581529</v>
      </c>
    </row>
    <row r="154" spans="1:44" ht="15" customHeight="1" x14ac:dyDescent="0.55000000000000004">
      <c r="A15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4" s="316" t="s">
        <v>390</v>
      </c>
      <c r="C154" s="218" t="s">
        <v>391</v>
      </c>
      <c r="D154" s="218" t="s">
        <v>396</v>
      </c>
      <c r="E154" s="105" t="s">
        <v>397</v>
      </c>
      <c r="F154" s="100"/>
      <c r="G154" s="34"/>
      <c r="H154" s="335"/>
      <c r="I154" s="97"/>
      <c r="J154" s="97" t="s">
        <v>413</v>
      </c>
      <c r="K154" s="336">
        <v>0</v>
      </c>
      <c r="L154" s="337">
        <v>15559</v>
      </c>
      <c r="M154" s="319">
        <v>35544.704363487675</v>
      </c>
      <c r="N154" s="319">
        <v>20471</v>
      </c>
      <c r="O154" s="319">
        <v>55272.252415495823</v>
      </c>
      <c r="P154" s="319">
        <v>34160.356855930651</v>
      </c>
      <c r="Q154" s="320">
        <v>23168.858419424014</v>
      </c>
      <c r="R154" s="319">
        <v>50446.14707802573</v>
      </c>
      <c r="S154" s="235">
        <f>tblPiNAnalysis[[#This Row],[CCCM]]</f>
        <v>0</v>
      </c>
      <c r="T154" s="236">
        <f>tblPiNAnalysis[[#This Row],[Education]]</f>
        <v>12532.89394658379</v>
      </c>
      <c r="U154" s="219">
        <f>tblPiNAnalysis[[#This Row],[Nutrition]]</f>
        <v>46265.718799877228</v>
      </c>
      <c r="V154" s="219">
        <f>tblPiNAnalysis[[#This Row],[Food Security]]</f>
        <v>20354.541316277235</v>
      </c>
      <c r="W154" s="219">
        <f>tblPiNAnalysis[[#This Row],[Health]]</f>
        <v>31521.004525350756</v>
      </c>
      <c r="X154" s="219">
        <f>tblPiNAnalysis[[#This Row],[Overarching Protection]]</f>
        <v>24696</v>
      </c>
      <c r="Y154" s="219">
        <f>tblPiNAnalysis[[#This Row],[Shelter]]</f>
        <v>22224.575887175215</v>
      </c>
      <c r="Z154" s="230">
        <f>tblPiNAnalysis[[#This Row],[WASH]]</f>
        <v>57962.24266871313</v>
      </c>
      <c r="AA154" s="339" t="str">
        <f>IF(OR(tblPiNHistorical[[#This Row],[CCCM - old]]="", tblPiNHistorical[[#This Row],[CCCM - old]]=0, tblPiNHistorical[[#This Row],[CCCM - new]]="", tblPiNHistorical[[#This Row],[CCCM - new]]=0), "", tblPiNHistorical[[#This Row],[CCCM - new]]-tblPiNHistorical[[#This Row],[CCCM - old]])</f>
        <v/>
      </c>
      <c r="AB154" s="340">
        <f>IF(OR(tblPiNHistorical[[#This Row],[Education - old]]="", tblPiNHistorical[[#This Row],[Education - old]]=0, tblPiNHistorical[[#This Row],[Education - new]]="", tblPiNHistorical[[#This Row],[Education - new]]=0), "", tblPiNHistorical[[#This Row],[Education - new]]-tblPiNHistorical[[#This Row],[Education - old]])</f>
        <v>-3026.1060534162098</v>
      </c>
      <c r="AC154" s="340">
        <f>IF(OR(tblPiNHistorical[[#This Row],[Nutrition - old]]="", tblPiNHistorical[[#This Row],[Nutrition - old]]=0, tblPiNHistorical[[#This Row],[Nutrition - new]]="", tblPiNHistorical[[#This Row],[Nutrition - new]]=0), "", tblPiNHistorical[[#This Row],[Nutrition - new]]-tblPiNHistorical[[#This Row],[Nutrition - old]])</f>
        <v>10721.014436389552</v>
      </c>
      <c r="AD154" s="340">
        <f>IF(OR(tblPiNHistorical[[#This Row],[Food Security - old]]="", tblPiNHistorical[[#This Row],[Food Security - old]]=0, tblPiNHistorical[[#This Row],[Food Security - new]]="", tblPiNHistorical[[#This Row],[Food Security - new]]=0), "", tblPiNHistorical[[#This Row],[Food Security - new]]-tblPiNHistorical[[#This Row],[Food Security - old]])</f>
        <v>-116.45868372276527</v>
      </c>
      <c r="AE154" s="340">
        <f>IF(OR(tblPiNHistorical[[#This Row],[Health - old]]="", tblPiNHistorical[[#This Row],[Health - old]]=0, tblPiNHistorical[[#This Row],[Health - new]]="", tblPiNHistorical[[#This Row],[Health - new]]=0), "", tblPiNHistorical[[#This Row],[Health - new]]-tblPiNHistorical[[#This Row],[Health - old]])</f>
        <v>-23751.247890145067</v>
      </c>
      <c r="AF15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-9464.3568559306514</v>
      </c>
      <c r="AG154" s="340">
        <f>IF(OR(tblPiNHistorical[[#This Row],[Shelter - old]]="", tblPiNHistorical[[#This Row],[Shelter - old]]=0, tblPiNHistorical[[#This Row],[Shelter - new]]="", tblPiNHistorical[[#This Row],[Shelter - new]]=0), "", tblPiNHistorical[[#This Row],[Shelter - new]]-tblPiNHistorical[[#This Row],[Shelter - old]])</f>
        <v>-944.28253224879882</v>
      </c>
      <c r="AH154" s="341">
        <f>IF(OR(tblPiNHistorical[[#This Row],[WASH - old]]="", tblPiNHistorical[[#This Row],[WASH - old]]=0, tblPiNHistorical[[#This Row],[WASH - new]]="", tblPiNHistorical[[#This Row],[WASH - new]]=0), "", tblPiNHistorical[[#This Row],[WASH - new]]-tblPiNHistorical[[#This Row],[WASH - old]])</f>
        <v>7516.0955906874005</v>
      </c>
      <c r="AI154" s="342" t="str">
        <f>IFERROR(ROUND((tblPiNHistorical[[#This Row],[CCCM - new]] - tblPiNHistorical[[#This Row],[CCCM - old]])/tblPiNHistorical[[#This Row],[CCCM - old]], 1), "")</f>
        <v/>
      </c>
      <c r="AJ154" s="343">
        <f>IFERROR(ROUND((tblPiNHistorical[[#This Row],[Education - new]]-tblPiNHistorical[[#This Row],[Education - old]])/tblPiNHistorical[[#This Row],[Education - old]], 1), "")</f>
        <v>-0.2</v>
      </c>
      <c r="AK154" s="343">
        <f>IFERROR(ROUND((tblPiNHistorical[[#This Row],[Nutrition - new]]-tblPiNHistorical[[#This Row],[Nutrition - old]])/tblPiNHistorical[[#This Row],[Nutrition - old]], 1), "")</f>
        <v>0.3</v>
      </c>
      <c r="AL154" s="343">
        <f>IFERROR(ROUND((tblPiNHistorical[[#This Row],[Food Security - new]]-tblPiNHistorical[[#This Row],[Food Security - old]])/tblPiNHistorical[[#This Row],[Food Security - old]], 1), "")</f>
        <v>0</v>
      </c>
      <c r="AM154" s="343">
        <f>IFERROR(ROUND((tblPiNHistorical[[#This Row],[Health - new]]-tblPiNHistorical[[#This Row],[Health - old]])/tblPiNHistorical[[#This Row],[Health - old]], 1), "")</f>
        <v>-0.4</v>
      </c>
      <c r="AN154" s="343">
        <f>IFERROR(ROUND((tblPiNHistorical[[#This Row],[Overarching Protection - new]]-tblPiNHistorical[[#This Row],[Overarching Protection - old]])/tblPiNHistorical[[#This Row],[Overarching Protection - old]], 1), "")</f>
        <v>-0.3</v>
      </c>
      <c r="AO154" s="343">
        <f>IFERROR(ROUND((tblPiNHistorical[[#This Row],[Shelter - new]]-tblPiNHistorical[[#This Row],[Shelter - old]])/tblPiNHistorical[[#This Row],[Shelter - old]], 1), "")</f>
        <v>0</v>
      </c>
      <c r="AP154" s="38">
        <f>IFERROR(ROUND((tblPiNHistorical[[#This Row],[WASH - new]]-tblPiNHistorical[[#This Row],[WASH - old]])/tblPiNHistorical[[#This Row],[WASH - old]], 1), "")</f>
        <v>0.1</v>
      </c>
      <c r="AQ154" s="406">
        <v>55272.252415495823</v>
      </c>
      <c r="AR154" s="406">
        <v>57962.24266871313</v>
      </c>
    </row>
    <row r="155" spans="1:44" ht="15" customHeight="1" x14ac:dyDescent="0.55000000000000004">
      <c r="A15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5" s="316" t="s">
        <v>390</v>
      </c>
      <c r="C155" s="218" t="s">
        <v>391</v>
      </c>
      <c r="D155" s="218" t="s">
        <v>398</v>
      </c>
      <c r="E155" s="105" t="s">
        <v>399</v>
      </c>
      <c r="F155" s="100"/>
      <c r="G155" s="34"/>
      <c r="H155" s="335"/>
      <c r="I155" s="97"/>
      <c r="J155" s="97" t="s">
        <v>413</v>
      </c>
      <c r="K155" s="336">
        <v>0</v>
      </c>
      <c r="L155" s="337">
        <v>8671</v>
      </c>
      <c r="M155" s="319">
        <v>28255.060110442217</v>
      </c>
      <c r="N155" s="319">
        <v>30996</v>
      </c>
      <c r="O155" s="319">
        <v>21254.501481336436</v>
      </c>
      <c r="P155" s="319">
        <v>25615.872195277778</v>
      </c>
      <c r="Q155" s="320">
        <v>21765.324644928205</v>
      </c>
      <c r="R155" s="319">
        <v>15559.025056117096</v>
      </c>
      <c r="S155" s="235">
        <f>tblPiNAnalysis[[#This Row],[CCCM]]</f>
        <v>0</v>
      </c>
      <c r="T155" s="236">
        <f>tblPiNAnalysis[[#This Row],[Education]]</f>
        <v>1008.8636325254056</v>
      </c>
      <c r="U155" s="219">
        <f>tblPiNAnalysis[[#This Row],[Nutrition]]</f>
        <v>34046.698988476506</v>
      </c>
      <c r="V155" s="219">
        <f>tblPiNAnalysis[[#This Row],[Food Security]]</f>
        <v>27608.178938631787</v>
      </c>
      <c r="W155" s="219">
        <f>tblPiNAnalysis[[#This Row],[Health]]</f>
        <v>30949.569079725894</v>
      </c>
      <c r="X155" s="219">
        <f>tblPiNAnalysis[[#This Row],[Overarching Protection]]</f>
        <v>21894</v>
      </c>
      <c r="Y155" s="219">
        <f>tblPiNAnalysis[[#This Row],[Shelter]]</f>
        <v>15281.033817990945</v>
      </c>
      <c r="Z155" s="230">
        <f>tblPiNAnalysis[[#This Row],[WASH]]</f>
        <v>39815.582559098635</v>
      </c>
      <c r="AA155" s="339" t="str">
        <f>IF(OR(tblPiNHistorical[[#This Row],[CCCM - old]]="", tblPiNHistorical[[#This Row],[CCCM - old]]=0, tblPiNHistorical[[#This Row],[CCCM - new]]="", tblPiNHistorical[[#This Row],[CCCM - new]]=0), "", tblPiNHistorical[[#This Row],[CCCM - new]]-tblPiNHistorical[[#This Row],[CCCM - old]])</f>
        <v/>
      </c>
      <c r="AB155" s="340">
        <f>IF(OR(tblPiNHistorical[[#This Row],[Education - old]]="", tblPiNHistorical[[#This Row],[Education - old]]=0, tblPiNHistorical[[#This Row],[Education - new]]="", tblPiNHistorical[[#This Row],[Education - new]]=0), "", tblPiNHistorical[[#This Row],[Education - new]]-tblPiNHistorical[[#This Row],[Education - old]])</f>
        <v>-7662.1363674745944</v>
      </c>
      <c r="AC155" s="340">
        <f>IF(OR(tblPiNHistorical[[#This Row],[Nutrition - old]]="", tblPiNHistorical[[#This Row],[Nutrition - old]]=0, tblPiNHistorical[[#This Row],[Nutrition - new]]="", tblPiNHistorical[[#This Row],[Nutrition - new]]=0), "", tblPiNHistorical[[#This Row],[Nutrition - new]]-tblPiNHistorical[[#This Row],[Nutrition - old]])</f>
        <v>5791.6388780342895</v>
      </c>
      <c r="AD155" s="340">
        <f>IF(OR(tblPiNHistorical[[#This Row],[Food Security - old]]="", tblPiNHistorical[[#This Row],[Food Security - old]]=0, tblPiNHistorical[[#This Row],[Food Security - new]]="", tblPiNHistorical[[#This Row],[Food Security - new]]=0), "", tblPiNHistorical[[#This Row],[Food Security - new]]-tblPiNHistorical[[#This Row],[Food Security - old]])</f>
        <v>-3387.8210613682131</v>
      </c>
      <c r="AE155" s="340">
        <f>IF(OR(tblPiNHistorical[[#This Row],[Health - old]]="", tblPiNHistorical[[#This Row],[Health - old]]=0, tblPiNHistorical[[#This Row],[Health - new]]="", tblPiNHistorical[[#This Row],[Health - new]]=0), "", tblPiNHistorical[[#This Row],[Health - new]]-tblPiNHistorical[[#This Row],[Health - old]])</f>
        <v>9695.067598389458</v>
      </c>
      <c r="AF15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-3721.8721952777778</v>
      </c>
      <c r="AG155" s="340">
        <f>IF(OR(tblPiNHistorical[[#This Row],[Shelter - old]]="", tblPiNHistorical[[#This Row],[Shelter - old]]=0, tblPiNHistorical[[#This Row],[Shelter - new]]="", tblPiNHistorical[[#This Row],[Shelter - new]]=0), "", tblPiNHistorical[[#This Row],[Shelter - new]]-tblPiNHistorical[[#This Row],[Shelter - old]])</f>
        <v>-6484.2908269372601</v>
      </c>
      <c r="AH155" s="341">
        <f>IF(OR(tblPiNHistorical[[#This Row],[WASH - old]]="", tblPiNHistorical[[#This Row],[WASH - old]]=0, tblPiNHistorical[[#This Row],[WASH - new]]="", tblPiNHistorical[[#This Row],[WASH - new]]=0), "", tblPiNHistorical[[#This Row],[WASH - new]]-tblPiNHistorical[[#This Row],[WASH - old]])</f>
        <v>24256.557502981537</v>
      </c>
      <c r="AI155" s="342" t="str">
        <f>IFERROR(ROUND((tblPiNHistorical[[#This Row],[CCCM - new]] - tblPiNHistorical[[#This Row],[CCCM - old]])/tblPiNHistorical[[#This Row],[CCCM - old]], 1), "")</f>
        <v/>
      </c>
      <c r="AJ155" s="343">
        <f>IFERROR(ROUND((tblPiNHistorical[[#This Row],[Education - new]]-tblPiNHistorical[[#This Row],[Education - old]])/tblPiNHistorical[[#This Row],[Education - old]], 1), "")</f>
        <v>-0.9</v>
      </c>
      <c r="AK155" s="343">
        <f>IFERROR(ROUND((tblPiNHistorical[[#This Row],[Nutrition - new]]-tblPiNHistorical[[#This Row],[Nutrition - old]])/tblPiNHistorical[[#This Row],[Nutrition - old]], 1), "")</f>
        <v>0.2</v>
      </c>
      <c r="AL155" s="343">
        <f>IFERROR(ROUND((tblPiNHistorical[[#This Row],[Food Security - new]]-tblPiNHistorical[[#This Row],[Food Security - old]])/tblPiNHistorical[[#This Row],[Food Security - old]], 1), "")</f>
        <v>-0.1</v>
      </c>
      <c r="AM155" s="343">
        <f>IFERROR(ROUND((tblPiNHistorical[[#This Row],[Health - new]]-tblPiNHistorical[[#This Row],[Health - old]])/tblPiNHistorical[[#This Row],[Health - old]], 1), "")</f>
        <v>0.5</v>
      </c>
      <c r="AN155" s="343">
        <f>IFERROR(ROUND((tblPiNHistorical[[#This Row],[Overarching Protection - new]]-tblPiNHistorical[[#This Row],[Overarching Protection - old]])/tblPiNHistorical[[#This Row],[Overarching Protection - old]], 1), "")</f>
        <v>-0.1</v>
      </c>
      <c r="AO155" s="343">
        <f>IFERROR(ROUND((tblPiNHistorical[[#This Row],[Shelter - new]]-tblPiNHistorical[[#This Row],[Shelter - old]])/tblPiNHistorical[[#This Row],[Shelter - old]], 1), "")</f>
        <v>-0.3</v>
      </c>
      <c r="AP155" s="38">
        <f>IFERROR(ROUND((tblPiNHistorical[[#This Row],[WASH - new]]-tblPiNHistorical[[#This Row],[WASH - old]])/tblPiNHistorical[[#This Row],[WASH - old]], 1), "")</f>
        <v>1.6</v>
      </c>
      <c r="AQ155" s="406">
        <v>30996</v>
      </c>
      <c r="AR155" s="406">
        <v>39815.582559098635</v>
      </c>
    </row>
    <row r="156" spans="1:44" ht="15" customHeight="1" x14ac:dyDescent="0.55000000000000004">
      <c r="A15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6" s="316" t="s">
        <v>390</v>
      </c>
      <c r="C156" s="218" t="s">
        <v>391</v>
      </c>
      <c r="D156" s="218" t="s">
        <v>400</v>
      </c>
      <c r="E156" s="105" t="s">
        <v>401</v>
      </c>
      <c r="F156" s="100"/>
      <c r="G156" s="34"/>
      <c r="H156" s="335"/>
      <c r="I156" s="97"/>
      <c r="J156" s="97" t="s">
        <v>413</v>
      </c>
      <c r="K156" s="336">
        <v>0</v>
      </c>
      <c r="L156" s="337">
        <v>2430</v>
      </c>
      <c r="M156" s="319">
        <v>18442.020367312984</v>
      </c>
      <c r="N156" s="319">
        <v>9977</v>
      </c>
      <c r="O156" s="319">
        <v>36120.975319940859</v>
      </c>
      <c r="P156" s="319">
        <v>20203.964003962821</v>
      </c>
      <c r="Q156" s="320">
        <v>22459.876130759381</v>
      </c>
      <c r="R156" s="319">
        <v>12107.967194833769</v>
      </c>
      <c r="S156" s="235">
        <f>tblPiNAnalysis[[#This Row],[CCCM]]</f>
        <v>0</v>
      </c>
      <c r="T156" s="236">
        <f>tblPiNAnalysis[[#This Row],[Education]]</f>
        <v>3086.1189413308048</v>
      </c>
      <c r="U156" s="219">
        <f>tblPiNAnalysis[[#This Row],[Nutrition]]</f>
        <v>20359.407042341969</v>
      </c>
      <c r="V156" s="219">
        <f>tblPiNAnalysis[[#This Row],[Food Security]]</f>
        <v>14436.659785096421</v>
      </c>
      <c r="W156" s="219">
        <f>tblPiNAnalysis[[#This Row],[Health]]</f>
        <v>18629.294202189416</v>
      </c>
      <c r="X156" s="219">
        <f>tblPiNAnalysis[[#This Row],[Overarching Protection]]</f>
        <v>12595</v>
      </c>
      <c r="Y156" s="219">
        <f>tblPiNAnalysis[[#This Row],[Shelter]]</f>
        <v>15461.562006558588</v>
      </c>
      <c r="Z156" s="230">
        <f>tblPiNAnalysis[[#This Row],[WASH]]</f>
        <v>14223.298382656711</v>
      </c>
      <c r="AA156" s="339" t="str">
        <f>IF(OR(tblPiNHistorical[[#This Row],[CCCM - old]]="", tblPiNHistorical[[#This Row],[CCCM - old]]=0, tblPiNHistorical[[#This Row],[CCCM - new]]="", tblPiNHistorical[[#This Row],[CCCM - new]]=0), "", tblPiNHistorical[[#This Row],[CCCM - new]]-tblPiNHistorical[[#This Row],[CCCM - old]])</f>
        <v/>
      </c>
      <c r="AB156" s="340">
        <f>IF(OR(tblPiNHistorical[[#This Row],[Education - old]]="", tblPiNHistorical[[#This Row],[Education - old]]=0, tblPiNHistorical[[#This Row],[Education - new]]="", tblPiNHistorical[[#This Row],[Education - new]]=0), "", tblPiNHistorical[[#This Row],[Education - new]]-tblPiNHistorical[[#This Row],[Education - old]])</f>
        <v>656.11894133080477</v>
      </c>
      <c r="AC156" s="340">
        <f>IF(OR(tblPiNHistorical[[#This Row],[Nutrition - old]]="", tblPiNHistorical[[#This Row],[Nutrition - old]]=0, tblPiNHistorical[[#This Row],[Nutrition - new]]="", tblPiNHistorical[[#This Row],[Nutrition - new]]=0), "", tblPiNHistorical[[#This Row],[Nutrition - new]]-tblPiNHistorical[[#This Row],[Nutrition - old]])</f>
        <v>1917.3866750289853</v>
      </c>
      <c r="AD156" s="340">
        <f>IF(OR(tblPiNHistorical[[#This Row],[Food Security - old]]="", tblPiNHistorical[[#This Row],[Food Security - old]]=0, tblPiNHistorical[[#This Row],[Food Security - new]]="", tblPiNHistorical[[#This Row],[Food Security - new]]=0), "", tblPiNHistorical[[#This Row],[Food Security - new]]-tblPiNHistorical[[#This Row],[Food Security - old]])</f>
        <v>4459.6597850964208</v>
      </c>
      <c r="AE156" s="340">
        <f>IF(OR(tblPiNHistorical[[#This Row],[Health - old]]="", tblPiNHistorical[[#This Row],[Health - old]]=0, tblPiNHistorical[[#This Row],[Health - new]]="", tblPiNHistorical[[#This Row],[Health - new]]=0), "", tblPiNHistorical[[#This Row],[Health - new]]-tblPiNHistorical[[#This Row],[Health - old]])</f>
        <v>-17491.681117751443</v>
      </c>
      <c r="AF15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-7608.9640039628212</v>
      </c>
      <c r="AG156" s="340">
        <f>IF(OR(tblPiNHistorical[[#This Row],[Shelter - old]]="", tblPiNHistorical[[#This Row],[Shelter - old]]=0, tblPiNHistorical[[#This Row],[Shelter - new]]="", tblPiNHistorical[[#This Row],[Shelter - new]]=0), "", tblPiNHistorical[[#This Row],[Shelter - new]]-tblPiNHistorical[[#This Row],[Shelter - old]])</f>
        <v>-6998.3141242007932</v>
      </c>
      <c r="AH156" s="341">
        <f>IF(OR(tblPiNHistorical[[#This Row],[WASH - old]]="", tblPiNHistorical[[#This Row],[WASH - old]]=0, tblPiNHistorical[[#This Row],[WASH - new]]="", tblPiNHistorical[[#This Row],[WASH - new]]=0), "", tblPiNHistorical[[#This Row],[WASH - new]]-tblPiNHistorical[[#This Row],[WASH - old]])</f>
        <v>2115.3311878229415</v>
      </c>
      <c r="AI156" s="342" t="str">
        <f>IFERROR(ROUND((tblPiNHistorical[[#This Row],[CCCM - new]] - tblPiNHistorical[[#This Row],[CCCM - old]])/tblPiNHistorical[[#This Row],[CCCM - old]], 1), "")</f>
        <v/>
      </c>
      <c r="AJ156" s="343">
        <f>IFERROR(ROUND((tblPiNHistorical[[#This Row],[Education - new]]-tblPiNHistorical[[#This Row],[Education - old]])/tblPiNHistorical[[#This Row],[Education - old]], 1), "")</f>
        <v>0.3</v>
      </c>
      <c r="AK156" s="343">
        <f>IFERROR(ROUND((tblPiNHistorical[[#This Row],[Nutrition - new]]-tblPiNHistorical[[#This Row],[Nutrition - old]])/tblPiNHistorical[[#This Row],[Nutrition - old]], 1), "")</f>
        <v>0.1</v>
      </c>
      <c r="AL156" s="343">
        <f>IFERROR(ROUND((tblPiNHistorical[[#This Row],[Food Security - new]]-tblPiNHistorical[[#This Row],[Food Security - old]])/tblPiNHistorical[[#This Row],[Food Security - old]], 1), "")</f>
        <v>0.4</v>
      </c>
      <c r="AM156" s="343">
        <f>IFERROR(ROUND((tblPiNHistorical[[#This Row],[Health - new]]-tblPiNHistorical[[#This Row],[Health - old]])/tblPiNHistorical[[#This Row],[Health - old]], 1), "")</f>
        <v>-0.5</v>
      </c>
      <c r="AN156" s="343">
        <f>IFERROR(ROUND((tblPiNHistorical[[#This Row],[Overarching Protection - new]]-tblPiNHistorical[[#This Row],[Overarching Protection - old]])/tblPiNHistorical[[#This Row],[Overarching Protection - old]], 1), "")</f>
        <v>-0.4</v>
      </c>
      <c r="AO156" s="343">
        <f>IFERROR(ROUND((tblPiNHistorical[[#This Row],[Shelter - new]]-tblPiNHistorical[[#This Row],[Shelter - old]])/tblPiNHistorical[[#This Row],[Shelter - old]], 1), "")</f>
        <v>-0.3</v>
      </c>
      <c r="AP156" s="38">
        <f>IFERROR(ROUND((tblPiNHistorical[[#This Row],[WASH - new]]-tblPiNHistorical[[#This Row],[WASH - old]])/tblPiNHistorical[[#This Row],[WASH - old]], 1), "")</f>
        <v>0.2</v>
      </c>
      <c r="AQ156" s="406">
        <v>36120.975319940859</v>
      </c>
      <c r="AR156" s="406">
        <v>20359.407042341969</v>
      </c>
    </row>
    <row r="157" spans="1:44" ht="15" customHeight="1" x14ac:dyDescent="0.55000000000000004">
      <c r="A15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7" s="316" t="s">
        <v>390</v>
      </c>
      <c r="C157" s="218" t="s">
        <v>391</v>
      </c>
      <c r="D157" s="218" t="s">
        <v>402</v>
      </c>
      <c r="E157" s="105" t="s">
        <v>403</v>
      </c>
      <c r="F157" s="100"/>
      <c r="G157" s="34"/>
      <c r="H157" s="335"/>
      <c r="I157" s="97"/>
      <c r="J157" s="97" t="s">
        <v>413</v>
      </c>
      <c r="K157" s="336">
        <v>0</v>
      </c>
      <c r="L157" s="337">
        <v>9026</v>
      </c>
      <c r="M157" s="319">
        <v>22591.942021688861</v>
      </c>
      <c r="N157" s="319">
        <v>38805</v>
      </c>
      <c r="O157" s="319">
        <v>23593.610943716787</v>
      </c>
      <c r="P157" s="319">
        <v>18719.944608753831</v>
      </c>
      <c r="Q157" s="320">
        <v>5970.0432549890647</v>
      </c>
      <c r="R157" s="319">
        <v>10431.434468171079</v>
      </c>
      <c r="S157" s="235">
        <f>tblPiNAnalysis[[#This Row],[CCCM]]</f>
        <v>0</v>
      </c>
      <c r="T157" s="236">
        <f>tblPiNAnalysis[[#This Row],[Education]]</f>
        <v>4644.4763637148881</v>
      </c>
      <c r="U157" s="219">
        <f>tblPiNAnalysis[[#This Row],[Nutrition]]</f>
        <v>26042.618213549027</v>
      </c>
      <c r="V157" s="219">
        <f>tblPiNAnalysis[[#This Row],[Food Security]]</f>
        <v>33121.614517212045</v>
      </c>
      <c r="W157" s="219">
        <f>tblPiNAnalysis[[#This Row],[Health]]</f>
        <v>26440.849003206466</v>
      </c>
      <c r="X157" s="219">
        <f>tblPiNAnalysis[[#This Row],[Overarching Protection]]</f>
        <v>9671</v>
      </c>
      <c r="Y157" s="219">
        <f>tblPiNAnalysis[[#This Row],[Shelter]]</f>
        <v>39397.363291555448</v>
      </c>
      <c r="Z157" s="230">
        <f>tblPiNAnalysis[[#This Row],[WASH]]</f>
        <v>26530.210970744411</v>
      </c>
      <c r="AA157" s="339" t="str">
        <f>IF(OR(tblPiNHistorical[[#This Row],[CCCM - old]]="", tblPiNHistorical[[#This Row],[CCCM - old]]=0, tblPiNHistorical[[#This Row],[CCCM - new]]="", tblPiNHistorical[[#This Row],[CCCM - new]]=0), "", tblPiNHistorical[[#This Row],[CCCM - new]]-tblPiNHistorical[[#This Row],[CCCM - old]])</f>
        <v/>
      </c>
      <c r="AB157" s="340">
        <f>IF(OR(tblPiNHistorical[[#This Row],[Education - old]]="", tblPiNHistorical[[#This Row],[Education - old]]=0, tblPiNHistorical[[#This Row],[Education - new]]="", tblPiNHistorical[[#This Row],[Education - new]]=0), "", tblPiNHistorical[[#This Row],[Education - new]]-tblPiNHistorical[[#This Row],[Education - old]])</f>
        <v>-4381.5236362851119</v>
      </c>
      <c r="AC157" s="340">
        <f>IF(OR(tblPiNHistorical[[#This Row],[Nutrition - old]]="", tblPiNHistorical[[#This Row],[Nutrition - old]]=0, tblPiNHistorical[[#This Row],[Nutrition - new]]="", tblPiNHistorical[[#This Row],[Nutrition - new]]=0), "", tblPiNHistorical[[#This Row],[Nutrition - new]]-tblPiNHistorical[[#This Row],[Nutrition - old]])</f>
        <v>3450.676191860166</v>
      </c>
      <c r="AD157" s="340">
        <f>IF(OR(tblPiNHistorical[[#This Row],[Food Security - old]]="", tblPiNHistorical[[#This Row],[Food Security - old]]=0, tblPiNHistorical[[#This Row],[Food Security - new]]="", tblPiNHistorical[[#This Row],[Food Security - new]]=0), "", tblPiNHistorical[[#This Row],[Food Security - new]]-tblPiNHistorical[[#This Row],[Food Security - old]])</f>
        <v>-5683.385482787955</v>
      </c>
      <c r="AE157" s="340">
        <f>IF(OR(tblPiNHistorical[[#This Row],[Health - old]]="", tblPiNHistorical[[#This Row],[Health - old]]=0, tblPiNHistorical[[#This Row],[Health - new]]="", tblPiNHistorical[[#This Row],[Health - new]]=0), "", tblPiNHistorical[[#This Row],[Health - new]]-tblPiNHistorical[[#This Row],[Health - old]])</f>
        <v>2847.2380594896786</v>
      </c>
      <c r="AF15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-9048.9446087538308</v>
      </c>
      <c r="AG157" s="340">
        <f>IF(OR(tblPiNHistorical[[#This Row],[Shelter - old]]="", tblPiNHistorical[[#This Row],[Shelter - old]]=0, tblPiNHistorical[[#This Row],[Shelter - new]]="", tblPiNHistorical[[#This Row],[Shelter - new]]=0), "", tblPiNHistorical[[#This Row],[Shelter - new]]-tblPiNHistorical[[#This Row],[Shelter - old]])</f>
        <v>33427.32003656638</v>
      </c>
      <c r="AH157" s="341">
        <f>IF(OR(tblPiNHistorical[[#This Row],[WASH - old]]="", tblPiNHistorical[[#This Row],[WASH - old]]=0, tblPiNHistorical[[#This Row],[WASH - new]]="", tblPiNHistorical[[#This Row],[WASH - new]]=0), "", tblPiNHistorical[[#This Row],[WASH - new]]-tblPiNHistorical[[#This Row],[WASH - old]])</f>
        <v>16098.776502573332</v>
      </c>
      <c r="AI157" s="342" t="str">
        <f>IFERROR(ROUND((tblPiNHistorical[[#This Row],[CCCM - new]] - tblPiNHistorical[[#This Row],[CCCM - old]])/tblPiNHistorical[[#This Row],[CCCM - old]], 1), "")</f>
        <v/>
      </c>
      <c r="AJ157" s="343">
        <f>IFERROR(ROUND((tblPiNHistorical[[#This Row],[Education - new]]-tblPiNHistorical[[#This Row],[Education - old]])/tblPiNHistorical[[#This Row],[Education - old]], 1), "")</f>
        <v>-0.5</v>
      </c>
      <c r="AK157" s="343">
        <f>IFERROR(ROUND((tblPiNHistorical[[#This Row],[Nutrition - new]]-tblPiNHistorical[[#This Row],[Nutrition - old]])/tblPiNHistorical[[#This Row],[Nutrition - old]], 1), "")</f>
        <v>0.2</v>
      </c>
      <c r="AL157" s="343">
        <f>IFERROR(ROUND((tblPiNHistorical[[#This Row],[Food Security - new]]-tblPiNHistorical[[#This Row],[Food Security - old]])/tblPiNHistorical[[#This Row],[Food Security - old]], 1), "")</f>
        <v>-0.1</v>
      </c>
      <c r="AM157" s="343">
        <f>IFERROR(ROUND((tblPiNHistorical[[#This Row],[Health - new]]-tblPiNHistorical[[#This Row],[Health - old]])/tblPiNHistorical[[#This Row],[Health - old]], 1), "")</f>
        <v>0.1</v>
      </c>
      <c r="AN157" s="343">
        <f>IFERROR(ROUND((tblPiNHistorical[[#This Row],[Overarching Protection - new]]-tblPiNHistorical[[#This Row],[Overarching Protection - old]])/tblPiNHistorical[[#This Row],[Overarching Protection - old]], 1), "")</f>
        <v>-0.5</v>
      </c>
      <c r="AO157" s="343">
        <f>IFERROR(ROUND((tblPiNHistorical[[#This Row],[Shelter - new]]-tblPiNHistorical[[#This Row],[Shelter - old]])/tblPiNHistorical[[#This Row],[Shelter - old]], 1), "")</f>
        <v>5.6</v>
      </c>
      <c r="AP157" s="38">
        <f>IFERROR(ROUND((tblPiNHistorical[[#This Row],[WASH - new]]-tblPiNHistorical[[#This Row],[WASH - old]])/tblPiNHistorical[[#This Row],[WASH - old]], 1), "")</f>
        <v>1.5</v>
      </c>
      <c r="AQ157" s="406">
        <v>38805</v>
      </c>
      <c r="AR157" s="406">
        <v>39397.363291555448</v>
      </c>
    </row>
    <row r="158" spans="1:44" ht="15" customHeight="1" x14ac:dyDescent="0.55000000000000004">
      <c r="A15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8" s="316" t="s">
        <v>390</v>
      </c>
      <c r="C158" s="218" t="s">
        <v>391</v>
      </c>
      <c r="D158" s="218" t="s">
        <v>404</v>
      </c>
      <c r="E158" s="105" t="s">
        <v>405</v>
      </c>
      <c r="F158" s="100"/>
      <c r="G158" s="34"/>
      <c r="H158" s="335"/>
      <c r="I158" s="97"/>
      <c r="J158" s="97" t="s">
        <v>413</v>
      </c>
      <c r="K158" s="336">
        <v>0</v>
      </c>
      <c r="L158" s="337">
        <v>1834</v>
      </c>
      <c r="M158" s="319">
        <v>7845.1216159476062</v>
      </c>
      <c r="N158" s="319">
        <v>16312</v>
      </c>
      <c r="O158" s="319">
        <v>8939.0787209560203</v>
      </c>
      <c r="P158" s="319">
        <v>10714.909716000002</v>
      </c>
      <c r="Q158" s="320">
        <v>2560.1162790697676</v>
      </c>
      <c r="R158" s="319">
        <v>20766.65185185185</v>
      </c>
      <c r="S158" s="235">
        <f>tblPiNAnalysis[[#This Row],[CCCM]]</f>
        <v>0</v>
      </c>
      <c r="T158" s="236">
        <f>tblPiNAnalysis[[#This Row],[Education]]</f>
        <v>1339.5888525842954</v>
      </c>
      <c r="U158" s="219">
        <f>tblPiNAnalysis[[#This Row],[Nutrition]]</f>
        <v>8983.5200652778312</v>
      </c>
      <c r="V158" s="219">
        <f>tblPiNAnalysis[[#This Row],[Food Security]]</f>
        <v>11407.842529438098</v>
      </c>
      <c r="W158" s="219">
        <f>tblPiNAnalysis[[#This Row],[Health]]</f>
        <v>11103.202465375422</v>
      </c>
      <c r="X158" s="219">
        <f>tblPiNAnalysis[[#This Row],[Overarching Protection]]</f>
        <v>6954</v>
      </c>
      <c r="Y158" s="219">
        <f>tblPiNAnalysis[[#This Row],[Shelter]]</f>
        <v>4297.7084662105908</v>
      </c>
      <c r="Z158" s="230">
        <f>tblPiNAnalysis[[#This Row],[WASH]]</f>
        <v>13688.99733681892</v>
      </c>
      <c r="AA158" s="339" t="str">
        <f>IF(OR(tblPiNHistorical[[#This Row],[CCCM - old]]="", tblPiNHistorical[[#This Row],[CCCM - old]]=0, tblPiNHistorical[[#This Row],[CCCM - new]]="", tblPiNHistorical[[#This Row],[CCCM - new]]=0), "", tblPiNHistorical[[#This Row],[CCCM - new]]-tblPiNHistorical[[#This Row],[CCCM - old]])</f>
        <v/>
      </c>
      <c r="AB158" s="340">
        <f>IF(OR(tblPiNHistorical[[#This Row],[Education - old]]="", tblPiNHistorical[[#This Row],[Education - old]]=0, tblPiNHistorical[[#This Row],[Education - new]]="", tblPiNHistorical[[#This Row],[Education - new]]=0), "", tblPiNHistorical[[#This Row],[Education - new]]-tblPiNHistorical[[#This Row],[Education - old]])</f>
        <v>-494.41114741570459</v>
      </c>
      <c r="AC158" s="340">
        <f>IF(OR(tblPiNHistorical[[#This Row],[Nutrition - old]]="", tblPiNHistorical[[#This Row],[Nutrition - old]]=0, tblPiNHistorical[[#This Row],[Nutrition - new]]="", tblPiNHistorical[[#This Row],[Nutrition - new]]=0), "", tblPiNHistorical[[#This Row],[Nutrition - new]]-tblPiNHistorical[[#This Row],[Nutrition - old]])</f>
        <v>1138.398449330225</v>
      </c>
      <c r="AD158" s="340">
        <f>IF(OR(tblPiNHistorical[[#This Row],[Food Security - old]]="", tblPiNHistorical[[#This Row],[Food Security - old]]=0, tblPiNHistorical[[#This Row],[Food Security - new]]="", tblPiNHistorical[[#This Row],[Food Security - new]]=0), "", tblPiNHistorical[[#This Row],[Food Security - new]]-tblPiNHistorical[[#This Row],[Food Security - old]])</f>
        <v>-4904.1574705619023</v>
      </c>
      <c r="AE158" s="340">
        <f>IF(OR(tblPiNHistorical[[#This Row],[Health - old]]="", tblPiNHistorical[[#This Row],[Health - old]]=0, tblPiNHistorical[[#This Row],[Health - new]]="", tblPiNHistorical[[#This Row],[Health - new]]=0), "", tblPiNHistorical[[#This Row],[Health - new]]-tblPiNHistorical[[#This Row],[Health - old]])</f>
        <v>2164.1237444194012</v>
      </c>
      <c r="AF15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-3760.9097160000019</v>
      </c>
      <c r="AG158" s="340">
        <f>IF(OR(tblPiNHistorical[[#This Row],[Shelter - old]]="", tblPiNHistorical[[#This Row],[Shelter - old]]=0, tblPiNHistorical[[#This Row],[Shelter - new]]="", tblPiNHistorical[[#This Row],[Shelter - new]]=0), "", tblPiNHistorical[[#This Row],[Shelter - new]]-tblPiNHistorical[[#This Row],[Shelter - old]])</f>
        <v>1737.5921871408232</v>
      </c>
      <c r="AH158" s="341">
        <f>IF(OR(tblPiNHistorical[[#This Row],[WASH - old]]="", tblPiNHistorical[[#This Row],[WASH - old]]=0, tblPiNHistorical[[#This Row],[WASH - new]]="", tblPiNHistorical[[#This Row],[WASH - new]]=0), "", tblPiNHistorical[[#This Row],[WASH - new]]-tblPiNHistorical[[#This Row],[WASH - old]])</f>
        <v>-7077.6545150329293</v>
      </c>
      <c r="AI158" s="342" t="str">
        <f>IFERROR(ROUND((tblPiNHistorical[[#This Row],[CCCM - new]] - tblPiNHistorical[[#This Row],[CCCM - old]])/tblPiNHistorical[[#This Row],[CCCM - old]], 1), "")</f>
        <v/>
      </c>
      <c r="AJ158" s="343">
        <f>IFERROR(ROUND((tblPiNHistorical[[#This Row],[Education - new]]-tblPiNHistorical[[#This Row],[Education - old]])/tblPiNHistorical[[#This Row],[Education - old]], 1), "")</f>
        <v>-0.3</v>
      </c>
      <c r="AK158" s="343">
        <f>IFERROR(ROUND((tblPiNHistorical[[#This Row],[Nutrition - new]]-tblPiNHistorical[[#This Row],[Nutrition - old]])/tblPiNHistorical[[#This Row],[Nutrition - old]], 1), "")</f>
        <v>0.1</v>
      </c>
      <c r="AL158" s="343">
        <f>IFERROR(ROUND((tblPiNHistorical[[#This Row],[Food Security - new]]-tblPiNHistorical[[#This Row],[Food Security - old]])/tblPiNHistorical[[#This Row],[Food Security - old]], 1), "")</f>
        <v>-0.3</v>
      </c>
      <c r="AM158" s="343">
        <f>IFERROR(ROUND((tblPiNHistorical[[#This Row],[Health - new]]-tblPiNHistorical[[#This Row],[Health - old]])/tblPiNHistorical[[#This Row],[Health - old]], 1), "")</f>
        <v>0.2</v>
      </c>
      <c r="AN158" s="343">
        <f>IFERROR(ROUND((tblPiNHistorical[[#This Row],[Overarching Protection - new]]-tblPiNHistorical[[#This Row],[Overarching Protection - old]])/tblPiNHistorical[[#This Row],[Overarching Protection - old]], 1), "")</f>
        <v>-0.4</v>
      </c>
      <c r="AO158" s="343">
        <f>IFERROR(ROUND((tblPiNHistorical[[#This Row],[Shelter - new]]-tblPiNHistorical[[#This Row],[Shelter - old]])/tblPiNHistorical[[#This Row],[Shelter - old]], 1), "")</f>
        <v>0.7</v>
      </c>
      <c r="AP158" s="38">
        <f>IFERROR(ROUND((tblPiNHistorical[[#This Row],[WASH - new]]-tblPiNHistorical[[#This Row],[WASH - old]])/tblPiNHistorical[[#This Row],[WASH - old]], 1), "")</f>
        <v>-0.3</v>
      </c>
      <c r="AQ158" s="406">
        <v>20766.65185185185</v>
      </c>
      <c r="AR158" s="406">
        <v>13688.99733681892</v>
      </c>
    </row>
    <row r="159" spans="1:44" ht="15" customHeight="1" x14ac:dyDescent="0.55000000000000004">
      <c r="A15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59" s="316" t="s">
        <v>390</v>
      </c>
      <c r="C159" s="218" t="s">
        <v>391</v>
      </c>
      <c r="D159" s="218" t="s">
        <v>406</v>
      </c>
      <c r="E159" s="105" t="s">
        <v>407</v>
      </c>
      <c r="F159" s="100"/>
      <c r="G159" s="34"/>
      <c r="H159" s="335"/>
      <c r="I159" s="97"/>
      <c r="J159" s="97" t="s">
        <v>413</v>
      </c>
      <c r="K159" s="336">
        <v>0</v>
      </c>
      <c r="L159" s="337">
        <v>5432</v>
      </c>
      <c r="M159" s="319">
        <v>24436.192593344007</v>
      </c>
      <c r="N159" s="319">
        <v>8185</v>
      </c>
      <c r="O159" s="319">
        <v>32928.189959300842</v>
      </c>
      <c r="P159" s="319">
        <v>19845.621691505996</v>
      </c>
      <c r="Q159" s="320">
        <v>11341.344245017353</v>
      </c>
      <c r="R159" s="319">
        <v>38720.766920519869</v>
      </c>
      <c r="S159" s="235">
        <f>tblPiNAnalysis[[#This Row],[CCCM]]</f>
        <v>0</v>
      </c>
      <c r="T159" s="236">
        <f>tblPiNAnalysis[[#This Row],[Education]]</f>
        <v>12547.347579515104</v>
      </c>
      <c r="U159" s="219">
        <f>tblPiNAnalysis[[#This Row],[Nutrition]]</f>
        <v>35263.479435482092</v>
      </c>
      <c r="V159" s="219">
        <f>tblPiNAnalysis[[#This Row],[Food Security]]</f>
        <v>12721.227834511414</v>
      </c>
      <c r="W159" s="219">
        <f>tblPiNAnalysis[[#This Row],[Health]]</f>
        <v>28458.77568084903</v>
      </c>
      <c r="X159" s="219">
        <f>tblPiNAnalysis[[#This Row],[Overarching Protection]]</f>
        <v>11528</v>
      </c>
      <c r="Y159" s="219">
        <f>tblPiNAnalysis[[#This Row],[Shelter]]</f>
        <v>46989.071188006637</v>
      </c>
      <c r="Z159" s="230">
        <f>tblPiNAnalysis[[#This Row],[WASH]]</f>
        <v>51550.860927358575</v>
      </c>
      <c r="AA159" s="339" t="str">
        <f>IF(OR(tblPiNHistorical[[#This Row],[CCCM - old]]="", tblPiNHistorical[[#This Row],[CCCM - old]]=0, tblPiNHistorical[[#This Row],[CCCM - new]]="", tblPiNHistorical[[#This Row],[CCCM - new]]=0), "", tblPiNHistorical[[#This Row],[CCCM - new]]-tblPiNHistorical[[#This Row],[CCCM - old]])</f>
        <v/>
      </c>
      <c r="AB159" s="340">
        <f>IF(OR(tblPiNHistorical[[#This Row],[Education - old]]="", tblPiNHistorical[[#This Row],[Education - old]]=0, tblPiNHistorical[[#This Row],[Education - new]]="", tblPiNHistorical[[#This Row],[Education - new]]=0), "", tblPiNHistorical[[#This Row],[Education - new]]-tblPiNHistorical[[#This Row],[Education - old]])</f>
        <v>7115.3475795151044</v>
      </c>
      <c r="AC159" s="340">
        <f>IF(OR(tblPiNHistorical[[#This Row],[Nutrition - old]]="", tblPiNHistorical[[#This Row],[Nutrition - old]]=0, tblPiNHistorical[[#This Row],[Nutrition - new]]="", tblPiNHistorical[[#This Row],[Nutrition - new]]=0), "", tblPiNHistorical[[#This Row],[Nutrition - new]]-tblPiNHistorical[[#This Row],[Nutrition - old]])</f>
        <v>10827.286842138084</v>
      </c>
      <c r="AD159" s="340">
        <f>IF(OR(tblPiNHistorical[[#This Row],[Food Security - old]]="", tblPiNHistorical[[#This Row],[Food Security - old]]=0, tblPiNHistorical[[#This Row],[Food Security - new]]="", tblPiNHistorical[[#This Row],[Food Security - new]]=0), "", tblPiNHistorical[[#This Row],[Food Security - new]]-tblPiNHistorical[[#This Row],[Food Security - old]])</f>
        <v>4536.2278345114137</v>
      </c>
      <c r="AE159" s="340">
        <f>IF(OR(tblPiNHistorical[[#This Row],[Health - old]]="", tblPiNHistorical[[#This Row],[Health - old]]=0, tblPiNHistorical[[#This Row],[Health - new]]="", tblPiNHistorical[[#This Row],[Health - new]]=0), "", tblPiNHistorical[[#This Row],[Health - new]]-tblPiNHistorical[[#This Row],[Health - old]])</f>
        <v>-4469.4142784518117</v>
      </c>
      <c r="AF15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-8317.6216915059958</v>
      </c>
      <c r="AG159" s="340">
        <f>IF(OR(tblPiNHistorical[[#This Row],[Shelter - old]]="", tblPiNHistorical[[#This Row],[Shelter - old]]=0, tblPiNHistorical[[#This Row],[Shelter - new]]="", tblPiNHistorical[[#This Row],[Shelter - new]]=0), "", tblPiNHistorical[[#This Row],[Shelter - new]]-tblPiNHistorical[[#This Row],[Shelter - old]])</f>
        <v>35647.726942989284</v>
      </c>
      <c r="AH159" s="341">
        <f>IF(OR(tblPiNHistorical[[#This Row],[WASH - old]]="", tblPiNHistorical[[#This Row],[WASH - old]]=0, tblPiNHistorical[[#This Row],[WASH - new]]="", tblPiNHistorical[[#This Row],[WASH - new]]=0), "", tblPiNHistorical[[#This Row],[WASH - new]]-tblPiNHistorical[[#This Row],[WASH - old]])</f>
        <v>12830.094006838706</v>
      </c>
      <c r="AI159" s="342" t="str">
        <f>IFERROR(ROUND((tblPiNHistorical[[#This Row],[CCCM - new]] - tblPiNHistorical[[#This Row],[CCCM - old]])/tblPiNHistorical[[#This Row],[CCCM - old]], 1), "")</f>
        <v/>
      </c>
      <c r="AJ159" s="343">
        <f>IFERROR(ROUND((tblPiNHistorical[[#This Row],[Education - new]]-tblPiNHistorical[[#This Row],[Education - old]])/tblPiNHistorical[[#This Row],[Education - old]], 1), "")</f>
        <v>1.3</v>
      </c>
      <c r="AK159" s="343">
        <f>IFERROR(ROUND((tblPiNHistorical[[#This Row],[Nutrition - new]]-tblPiNHistorical[[#This Row],[Nutrition - old]])/tblPiNHistorical[[#This Row],[Nutrition - old]], 1), "")</f>
        <v>0.4</v>
      </c>
      <c r="AL159" s="343">
        <f>IFERROR(ROUND((tblPiNHistorical[[#This Row],[Food Security - new]]-tblPiNHistorical[[#This Row],[Food Security - old]])/tblPiNHistorical[[#This Row],[Food Security - old]], 1), "")</f>
        <v>0.6</v>
      </c>
      <c r="AM159" s="343">
        <f>IFERROR(ROUND((tblPiNHistorical[[#This Row],[Health - new]]-tblPiNHistorical[[#This Row],[Health - old]])/tblPiNHistorical[[#This Row],[Health - old]], 1), "")</f>
        <v>-0.1</v>
      </c>
      <c r="AN159" s="343">
        <f>IFERROR(ROUND((tblPiNHistorical[[#This Row],[Overarching Protection - new]]-tblPiNHistorical[[#This Row],[Overarching Protection - old]])/tblPiNHistorical[[#This Row],[Overarching Protection - old]], 1), "")</f>
        <v>-0.4</v>
      </c>
      <c r="AO159" s="343">
        <f>IFERROR(ROUND((tblPiNHistorical[[#This Row],[Shelter - new]]-tblPiNHistorical[[#This Row],[Shelter - old]])/tblPiNHistorical[[#This Row],[Shelter - old]], 1), "")</f>
        <v>3.1</v>
      </c>
      <c r="AP159" s="38">
        <f>IFERROR(ROUND((tblPiNHistorical[[#This Row],[WASH - new]]-tblPiNHistorical[[#This Row],[WASH - old]])/tblPiNHistorical[[#This Row],[WASH - old]], 1), "")</f>
        <v>0.3</v>
      </c>
      <c r="AQ159" s="406">
        <v>38720.766920519869</v>
      </c>
      <c r="AR159" s="406">
        <v>51550.860927358575</v>
      </c>
    </row>
    <row r="160" spans="1:44" ht="15" customHeight="1" x14ac:dyDescent="0.55000000000000004">
      <c r="A16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0" s="316" t="s">
        <v>390</v>
      </c>
      <c r="C160" s="218" t="s">
        <v>391</v>
      </c>
      <c r="D160" s="218" t="s">
        <v>408</v>
      </c>
      <c r="E160" s="105" t="s">
        <v>409</v>
      </c>
      <c r="F160" s="100"/>
      <c r="G160" s="34"/>
      <c r="H160" s="335"/>
      <c r="I160" s="97"/>
      <c r="J160" s="97" t="s">
        <v>413</v>
      </c>
      <c r="K160" s="336">
        <v>0</v>
      </c>
      <c r="L160" s="337">
        <v>19825</v>
      </c>
      <c r="M160" s="319">
        <v>21743.727070220579</v>
      </c>
      <c r="N160" s="319">
        <v>37223</v>
      </c>
      <c r="O160" s="319">
        <v>26973.165158131258</v>
      </c>
      <c r="P160" s="319">
        <v>24281.959100249995</v>
      </c>
      <c r="Q160" s="320">
        <v>22736.983159324976</v>
      </c>
      <c r="R160" s="319">
        <v>39031.259683182965</v>
      </c>
      <c r="S160" s="235">
        <f>tblPiNAnalysis[[#This Row],[CCCM]]</f>
        <v>0</v>
      </c>
      <c r="T160" s="236">
        <f>tblPiNAnalysis[[#This Row],[Education]]</f>
        <v>15328.027988110762</v>
      </c>
      <c r="U160" s="219">
        <f>tblPiNAnalysis[[#This Row],[Nutrition]]</f>
        <v>32825.390849720112</v>
      </c>
      <c r="V160" s="219">
        <f>tblPiNAnalysis[[#This Row],[Food Security]]</f>
        <v>32718.060704017036</v>
      </c>
      <c r="W160" s="219">
        <f>tblPiNAnalysis[[#This Row],[Health]]</f>
        <v>46305.191128608982</v>
      </c>
      <c r="X160" s="219">
        <f>tblPiNAnalysis[[#This Row],[Overarching Protection]]</f>
        <v>26794</v>
      </c>
      <c r="Y160" s="219">
        <f>tblPiNAnalysis[[#This Row],[Shelter]]</f>
        <v>71842.750474200948</v>
      </c>
      <c r="Z160" s="230">
        <f>tblPiNAnalysis[[#This Row],[WASH]]</f>
        <v>58498.941551248063</v>
      </c>
      <c r="AA160" s="339" t="str">
        <f>IF(OR(tblPiNHistorical[[#This Row],[CCCM - old]]="", tblPiNHistorical[[#This Row],[CCCM - old]]=0, tblPiNHistorical[[#This Row],[CCCM - new]]="", tblPiNHistorical[[#This Row],[CCCM - new]]=0), "", tblPiNHistorical[[#This Row],[CCCM - new]]-tblPiNHistorical[[#This Row],[CCCM - old]])</f>
        <v/>
      </c>
      <c r="AB160" s="340">
        <f>IF(OR(tblPiNHistorical[[#This Row],[Education - old]]="", tblPiNHistorical[[#This Row],[Education - old]]=0, tblPiNHistorical[[#This Row],[Education - new]]="", tblPiNHistorical[[#This Row],[Education - new]]=0), "", tblPiNHistorical[[#This Row],[Education - new]]-tblPiNHistorical[[#This Row],[Education - old]])</f>
        <v>-4496.9720118892383</v>
      </c>
      <c r="AC160" s="340">
        <f>IF(OR(tblPiNHistorical[[#This Row],[Nutrition - old]]="", tblPiNHistorical[[#This Row],[Nutrition - old]]=0, tblPiNHistorical[[#This Row],[Nutrition - new]]="", tblPiNHistorical[[#This Row],[Nutrition - new]]=0), "", tblPiNHistorical[[#This Row],[Nutrition - new]]-tblPiNHistorical[[#This Row],[Nutrition - old]])</f>
        <v>11081.663779499533</v>
      </c>
      <c r="AD160" s="340">
        <f>IF(OR(tblPiNHistorical[[#This Row],[Food Security - old]]="", tblPiNHistorical[[#This Row],[Food Security - old]]=0, tblPiNHistorical[[#This Row],[Food Security - new]]="", tblPiNHistorical[[#This Row],[Food Security - new]]=0), "", tblPiNHistorical[[#This Row],[Food Security - new]]-tblPiNHistorical[[#This Row],[Food Security - old]])</f>
        <v>-4504.9392959829638</v>
      </c>
      <c r="AE160" s="340">
        <f>IF(OR(tblPiNHistorical[[#This Row],[Health - old]]="", tblPiNHistorical[[#This Row],[Health - old]]=0, tblPiNHistorical[[#This Row],[Health - new]]="", tblPiNHistorical[[#This Row],[Health - new]]=0), "", tblPiNHistorical[[#This Row],[Health - new]]-tblPiNHistorical[[#This Row],[Health - old]])</f>
        <v>19332.025970477724</v>
      </c>
      <c r="AF16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2512.0408997500053</v>
      </c>
      <c r="AG160" s="340">
        <f>IF(OR(tblPiNHistorical[[#This Row],[Shelter - old]]="", tblPiNHistorical[[#This Row],[Shelter - old]]=0, tblPiNHistorical[[#This Row],[Shelter - new]]="", tblPiNHistorical[[#This Row],[Shelter - new]]=0), "", tblPiNHistorical[[#This Row],[Shelter - new]]-tblPiNHistorical[[#This Row],[Shelter - old]])</f>
        <v>49105.767314875971</v>
      </c>
      <c r="AH160" s="341">
        <f>IF(OR(tblPiNHistorical[[#This Row],[WASH - old]]="", tblPiNHistorical[[#This Row],[WASH - old]]=0, tblPiNHistorical[[#This Row],[WASH - new]]="", tblPiNHistorical[[#This Row],[WASH - new]]=0), "", tblPiNHistorical[[#This Row],[WASH - new]]-tblPiNHistorical[[#This Row],[WASH - old]])</f>
        <v>19467.681868065098</v>
      </c>
      <c r="AI160" s="342" t="str">
        <f>IFERROR(ROUND((tblPiNHistorical[[#This Row],[CCCM - new]] - tblPiNHistorical[[#This Row],[CCCM - old]])/tblPiNHistorical[[#This Row],[CCCM - old]], 1), "")</f>
        <v/>
      </c>
      <c r="AJ160" s="343">
        <f>IFERROR(ROUND((tblPiNHistorical[[#This Row],[Education - new]]-tblPiNHistorical[[#This Row],[Education - old]])/tblPiNHistorical[[#This Row],[Education - old]], 1), "")</f>
        <v>-0.2</v>
      </c>
      <c r="AK160" s="343">
        <f>IFERROR(ROUND((tblPiNHistorical[[#This Row],[Nutrition - new]]-tblPiNHistorical[[#This Row],[Nutrition - old]])/tblPiNHistorical[[#This Row],[Nutrition - old]], 1), "")</f>
        <v>0.5</v>
      </c>
      <c r="AL160" s="343">
        <f>IFERROR(ROUND((tblPiNHistorical[[#This Row],[Food Security - new]]-tblPiNHistorical[[#This Row],[Food Security - old]])/tblPiNHistorical[[#This Row],[Food Security - old]], 1), "")</f>
        <v>-0.1</v>
      </c>
      <c r="AM160" s="343">
        <f>IFERROR(ROUND((tblPiNHistorical[[#This Row],[Health - new]]-tblPiNHistorical[[#This Row],[Health - old]])/tblPiNHistorical[[#This Row],[Health - old]], 1), "")</f>
        <v>0.7</v>
      </c>
      <c r="AN160" s="343">
        <f>IFERROR(ROUND((tblPiNHistorical[[#This Row],[Overarching Protection - new]]-tblPiNHistorical[[#This Row],[Overarching Protection - old]])/tblPiNHistorical[[#This Row],[Overarching Protection - old]], 1), "")</f>
        <v>0.1</v>
      </c>
      <c r="AO160" s="343">
        <f>IFERROR(ROUND((tblPiNHistorical[[#This Row],[Shelter - new]]-tblPiNHistorical[[#This Row],[Shelter - old]])/tblPiNHistorical[[#This Row],[Shelter - old]], 1), "")</f>
        <v>2.2000000000000002</v>
      </c>
      <c r="AP160" s="38">
        <f>IFERROR(ROUND((tblPiNHistorical[[#This Row],[WASH - new]]-tblPiNHistorical[[#This Row],[WASH - old]])/tblPiNHistorical[[#This Row],[WASH - old]], 1), "")</f>
        <v>0.5</v>
      </c>
      <c r="AQ160" s="406">
        <v>39031.259683182965</v>
      </c>
      <c r="AR160" s="406">
        <v>71842.750474200948</v>
      </c>
    </row>
    <row r="161" spans="1:44" ht="15" customHeight="1" x14ac:dyDescent="0.55000000000000004">
      <c r="A16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1" s="316" t="s">
        <v>390</v>
      </c>
      <c r="C161" s="218" t="s">
        <v>391</v>
      </c>
      <c r="D161" s="218" t="s">
        <v>410</v>
      </c>
      <c r="E161" s="105" t="s">
        <v>411</v>
      </c>
      <c r="F161" s="100"/>
      <c r="G161" s="34"/>
      <c r="H161" s="335"/>
      <c r="I161" s="97"/>
      <c r="J161" s="97" t="s">
        <v>413</v>
      </c>
      <c r="K161" s="336">
        <v>0</v>
      </c>
      <c r="L161" s="337">
        <v>14489</v>
      </c>
      <c r="M161" s="319">
        <v>31959.422695298672</v>
      </c>
      <c r="N161" s="319">
        <v>24754</v>
      </c>
      <c r="O161" s="319">
        <v>54193.095922169785</v>
      </c>
      <c r="P161" s="319">
        <v>64368.894896706566</v>
      </c>
      <c r="Q161" s="320">
        <v>15429.124067420693</v>
      </c>
      <c r="R161" s="319">
        <v>46863.015363187253</v>
      </c>
      <c r="S161" s="235">
        <f>tblPiNAnalysis[[#This Row],[CCCM]]</f>
        <v>0</v>
      </c>
      <c r="T161" s="236">
        <f>tblPiNAnalysis[[#This Row],[Education]]</f>
        <v>22705.485969052377</v>
      </c>
      <c r="U161" s="219">
        <f>tblPiNAnalysis[[#This Row],[Nutrition]]</f>
        <v>53180.637302829513</v>
      </c>
      <c r="V161" s="219">
        <f>tblPiNAnalysis[[#This Row],[Food Security]]</f>
        <v>31094.834456471111</v>
      </c>
      <c r="W161" s="219">
        <f>tblPiNAnalysis[[#This Row],[Health]]</f>
        <v>60015.496545281159</v>
      </c>
      <c r="X161" s="219">
        <f>tblPiNAnalysis[[#This Row],[Overarching Protection]]</f>
        <v>43161</v>
      </c>
      <c r="Y161" s="219">
        <f>tblPiNAnalysis[[#This Row],[Shelter]]</f>
        <v>81743.803981266028</v>
      </c>
      <c r="Z161" s="230">
        <f>tblPiNAnalysis[[#This Row],[WASH]]</f>
        <v>91961.779478924291</v>
      </c>
      <c r="AA161" s="339" t="str">
        <f>IF(OR(tblPiNHistorical[[#This Row],[CCCM - old]]="", tblPiNHistorical[[#This Row],[CCCM - old]]=0, tblPiNHistorical[[#This Row],[CCCM - new]]="", tblPiNHistorical[[#This Row],[CCCM - new]]=0), "", tblPiNHistorical[[#This Row],[CCCM - new]]-tblPiNHistorical[[#This Row],[CCCM - old]])</f>
        <v/>
      </c>
      <c r="AB161" s="340">
        <f>IF(OR(tblPiNHistorical[[#This Row],[Education - old]]="", tblPiNHistorical[[#This Row],[Education - old]]=0, tblPiNHistorical[[#This Row],[Education - new]]="", tblPiNHistorical[[#This Row],[Education - new]]=0), "", tblPiNHistorical[[#This Row],[Education - new]]-tblPiNHistorical[[#This Row],[Education - old]])</f>
        <v>8216.4859690523772</v>
      </c>
      <c r="AC161" s="340">
        <f>IF(OR(tblPiNHistorical[[#This Row],[Nutrition - old]]="", tblPiNHistorical[[#This Row],[Nutrition - old]]=0, tblPiNHistorical[[#This Row],[Nutrition - new]]="", tblPiNHistorical[[#This Row],[Nutrition - new]]=0), "", tblPiNHistorical[[#This Row],[Nutrition - new]]-tblPiNHistorical[[#This Row],[Nutrition - old]])</f>
        <v>21221.214607530841</v>
      </c>
      <c r="AD161" s="340">
        <f>IF(OR(tblPiNHistorical[[#This Row],[Food Security - old]]="", tblPiNHistorical[[#This Row],[Food Security - old]]=0, tblPiNHistorical[[#This Row],[Food Security - new]]="", tblPiNHistorical[[#This Row],[Food Security - new]]=0), "", tblPiNHistorical[[#This Row],[Food Security - new]]-tblPiNHistorical[[#This Row],[Food Security - old]])</f>
        <v>6340.8344564711115</v>
      </c>
      <c r="AE161" s="340">
        <f>IF(OR(tblPiNHistorical[[#This Row],[Health - old]]="", tblPiNHistorical[[#This Row],[Health - old]]=0, tblPiNHistorical[[#This Row],[Health - new]]="", tblPiNHistorical[[#This Row],[Health - new]]=0), "", tblPiNHistorical[[#This Row],[Health - new]]-tblPiNHistorical[[#This Row],[Health - old]])</f>
        <v>5822.4006231113744</v>
      </c>
      <c r="AF16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-21207.894896706566</v>
      </c>
      <c r="AG161" s="340">
        <f>IF(OR(tblPiNHistorical[[#This Row],[Shelter - old]]="", tblPiNHistorical[[#This Row],[Shelter - old]]=0, tblPiNHistorical[[#This Row],[Shelter - new]]="", tblPiNHistorical[[#This Row],[Shelter - new]]=0), "", tblPiNHistorical[[#This Row],[Shelter - new]]-tblPiNHistorical[[#This Row],[Shelter - old]])</f>
        <v>66314.679913845335</v>
      </c>
      <c r="AH161" s="341">
        <f>IF(OR(tblPiNHistorical[[#This Row],[WASH - old]]="", tblPiNHistorical[[#This Row],[WASH - old]]=0, tblPiNHistorical[[#This Row],[WASH - new]]="", tblPiNHistorical[[#This Row],[WASH - new]]=0), "", tblPiNHistorical[[#This Row],[WASH - new]]-tblPiNHistorical[[#This Row],[WASH - old]])</f>
        <v>45098.764115737038</v>
      </c>
      <c r="AI161" s="342" t="str">
        <f>IFERROR(ROUND((tblPiNHistorical[[#This Row],[CCCM - new]] - tblPiNHistorical[[#This Row],[CCCM - old]])/tblPiNHistorical[[#This Row],[CCCM - old]], 1), "")</f>
        <v/>
      </c>
      <c r="AJ161" s="343">
        <f>IFERROR(ROUND((tblPiNHistorical[[#This Row],[Education - new]]-tblPiNHistorical[[#This Row],[Education - old]])/tblPiNHistorical[[#This Row],[Education - old]], 1), "")</f>
        <v>0.6</v>
      </c>
      <c r="AK161" s="343">
        <f>IFERROR(ROUND((tblPiNHistorical[[#This Row],[Nutrition - new]]-tblPiNHistorical[[#This Row],[Nutrition - old]])/tblPiNHistorical[[#This Row],[Nutrition - old]], 1), "")</f>
        <v>0.7</v>
      </c>
      <c r="AL161" s="343">
        <f>IFERROR(ROUND((tblPiNHistorical[[#This Row],[Food Security - new]]-tblPiNHistorical[[#This Row],[Food Security - old]])/tblPiNHistorical[[#This Row],[Food Security - old]], 1), "")</f>
        <v>0.3</v>
      </c>
      <c r="AM161" s="343">
        <f>IFERROR(ROUND((tblPiNHistorical[[#This Row],[Health - new]]-tblPiNHistorical[[#This Row],[Health - old]])/tblPiNHistorical[[#This Row],[Health - old]], 1), "")</f>
        <v>0.1</v>
      </c>
      <c r="AN161" s="343">
        <f>IFERROR(ROUND((tblPiNHistorical[[#This Row],[Overarching Protection - new]]-tblPiNHistorical[[#This Row],[Overarching Protection - old]])/tblPiNHistorical[[#This Row],[Overarching Protection - old]], 1), "")</f>
        <v>-0.3</v>
      </c>
      <c r="AO161" s="343">
        <f>IFERROR(ROUND((tblPiNHistorical[[#This Row],[Shelter - new]]-tblPiNHistorical[[#This Row],[Shelter - old]])/tblPiNHistorical[[#This Row],[Shelter - old]], 1), "")</f>
        <v>4.3</v>
      </c>
      <c r="AP161" s="38">
        <f>IFERROR(ROUND((tblPiNHistorical[[#This Row],[WASH - new]]-tblPiNHistorical[[#This Row],[WASH - old]])/tblPiNHistorical[[#This Row],[WASH - old]], 1), "")</f>
        <v>1</v>
      </c>
      <c r="AQ161" s="406">
        <v>64368.894896706566</v>
      </c>
      <c r="AR161" s="406">
        <v>91961.779478924291</v>
      </c>
    </row>
    <row r="162" spans="1:44" ht="15" customHeight="1" x14ac:dyDescent="0.55000000000000004">
      <c r="A16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2" s="316" t="s">
        <v>233</v>
      </c>
      <c r="C162" s="218" t="s">
        <v>234</v>
      </c>
      <c r="D162" s="218" t="s">
        <v>233</v>
      </c>
      <c r="E162" s="105" t="s">
        <v>235</v>
      </c>
      <c r="F162" s="100"/>
      <c r="G162" s="34"/>
      <c r="H162" s="335"/>
      <c r="I162" s="97"/>
      <c r="J162" s="97" t="s">
        <v>414</v>
      </c>
      <c r="K162" s="336">
        <v>1490.8941678414817</v>
      </c>
      <c r="L162" s="337">
        <v>1139</v>
      </c>
      <c r="M162" s="319">
        <v>4720.735136289175</v>
      </c>
      <c r="N162" s="319">
        <v>7236</v>
      </c>
      <c r="O162" s="319">
        <v>4359.7905284738235</v>
      </c>
      <c r="P162" s="319">
        <v>6343.6281173936995</v>
      </c>
      <c r="Q162" s="320">
        <v>4865.3888927227836</v>
      </c>
      <c r="R162" s="319">
        <v>3957.3116800730686</v>
      </c>
      <c r="S162" s="235">
        <f>tblPiNAnalysis[[#This Row],[CCCM]]</f>
        <v>0</v>
      </c>
      <c r="T162" s="236">
        <f>tblPiNAnalysis[[#This Row],[Education]]</f>
        <v>2193.5644642113693</v>
      </c>
      <c r="U162" s="219">
        <f>tblPiNAnalysis[[#This Row],[Nutrition]]</f>
        <v>7075.1826001879772</v>
      </c>
      <c r="V162" s="219">
        <f>tblPiNAnalysis[[#This Row],[Food Security]]</f>
        <v>11794.500496437133</v>
      </c>
      <c r="W162" s="219">
        <f>tblPiNAnalysis[[#This Row],[Health]]</f>
        <v>13376.411804553156</v>
      </c>
      <c r="X162" s="219">
        <f>tblPiNAnalysis[[#This Row],[Overarching Protection]]</f>
        <v>12835</v>
      </c>
      <c r="Y162" s="219">
        <f>tblPiNAnalysis[[#This Row],[Shelter]]</f>
        <v>3980.7717483510619</v>
      </c>
      <c r="Z162" s="230">
        <f>tblPiNAnalysis[[#This Row],[WASH]]</f>
        <v>7430.7739302553136</v>
      </c>
      <c r="AA162" s="339" t="str">
        <f>IF(OR(tblPiNHistorical[[#This Row],[CCCM - old]]="", tblPiNHistorical[[#This Row],[CCCM - old]]=0, tblPiNHistorical[[#This Row],[CCCM - new]]="", tblPiNHistorical[[#This Row],[CCCM - new]]=0), "", tblPiNHistorical[[#This Row],[CCCM - new]]-tblPiNHistorical[[#This Row],[CCCM - old]])</f>
        <v/>
      </c>
      <c r="AB162" s="340">
        <f>IF(OR(tblPiNHistorical[[#This Row],[Education - old]]="", tblPiNHistorical[[#This Row],[Education - old]]=0, tblPiNHistorical[[#This Row],[Education - new]]="", tblPiNHistorical[[#This Row],[Education - new]]=0), "", tblPiNHistorical[[#This Row],[Education - new]]-tblPiNHistorical[[#This Row],[Education - old]])</f>
        <v>1054.5644642113693</v>
      </c>
      <c r="AC162" s="340">
        <f>IF(OR(tblPiNHistorical[[#This Row],[Nutrition - old]]="", tblPiNHistorical[[#This Row],[Nutrition - old]]=0, tblPiNHistorical[[#This Row],[Nutrition - new]]="", tblPiNHistorical[[#This Row],[Nutrition - new]]=0), "", tblPiNHistorical[[#This Row],[Nutrition - new]]-tblPiNHistorical[[#This Row],[Nutrition - old]])</f>
        <v>2354.4474638988022</v>
      </c>
      <c r="AD162" s="340">
        <f>IF(OR(tblPiNHistorical[[#This Row],[Food Security - old]]="", tblPiNHistorical[[#This Row],[Food Security - old]]=0, tblPiNHistorical[[#This Row],[Food Security - new]]="", tblPiNHistorical[[#This Row],[Food Security - new]]=0), "", tblPiNHistorical[[#This Row],[Food Security - new]]-tblPiNHistorical[[#This Row],[Food Security - old]])</f>
        <v>4558.5004964371328</v>
      </c>
      <c r="AE162" s="340">
        <f>IF(OR(tblPiNHistorical[[#This Row],[Health - old]]="", tblPiNHistorical[[#This Row],[Health - old]]=0, tblPiNHistorical[[#This Row],[Health - new]]="", tblPiNHistorical[[#This Row],[Health - new]]=0), "", tblPiNHistorical[[#This Row],[Health - new]]-tblPiNHistorical[[#This Row],[Health - old]])</f>
        <v>9016.6212760793314</v>
      </c>
      <c r="AF16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6491.3718826063005</v>
      </c>
      <c r="AG162" s="340">
        <f>IF(OR(tblPiNHistorical[[#This Row],[Shelter - old]]="", tblPiNHistorical[[#This Row],[Shelter - old]]=0, tblPiNHistorical[[#This Row],[Shelter - new]]="", tblPiNHistorical[[#This Row],[Shelter - new]]=0), "", tblPiNHistorical[[#This Row],[Shelter - new]]-tblPiNHistorical[[#This Row],[Shelter - old]])</f>
        <v>-884.61714437172168</v>
      </c>
      <c r="AH162" s="341">
        <f>IF(OR(tblPiNHistorical[[#This Row],[WASH - old]]="", tblPiNHistorical[[#This Row],[WASH - old]]=0, tblPiNHistorical[[#This Row],[WASH - new]]="", tblPiNHistorical[[#This Row],[WASH - new]]=0), "", tblPiNHistorical[[#This Row],[WASH - new]]-tblPiNHistorical[[#This Row],[WASH - old]])</f>
        <v>3473.462250182245</v>
      </c>
      <c r="AI162" s="342">
        <f>IFERROR(ROUND((tblPiNHistorical[[#This Row],[CCCM - new]] - tblPiNHistorical[[#This Row],[CCCM - old]])/tblPiNHistorical[[#This Row],[CCCM - old]], 1), "")</f>
        <v>-1</v>
      </c>
      <c r="AJ162" s="343">
        <f>IFERROR(ROUND((tblPiNHistorical[[#This Row],[Education - new]]-tblPiNHistorical[[#This Row],[Education - old]])/tblPiNHistorical[[#This Row],[Education - old]], 1), "")</f>
        <v>0.9</v>
      </c>
      <c r="AK162" s="343">
        <f>IFERROR(ROUND((tblPiNHistorical[[#This Row],[Nutrition - new]]-tblPiNHistorical[[#This Row],[Nutrition - old]])/tblPiNHistorical[[#This Row],[Nutrition - old]], 1), "")</f>
        <v>0.5</v>
      </c>
      <c r="AL162" s="343">
        <f>IFERROR(ROUND((tblPiNHistorical[[#This Row],[Food Security - new]]-tblPiNHistorical[[#This Row],[Food Security - old]])/tblPiNHistorical[[#This Row],[Food Security - old]], 1), "")</f>
        <v>0.6</v>
      </c>
      <c r="AM162" s="343">
        <f>IFERROR(ROUND((tblPiNHistorical[[#This Row],[Health - new]]-tblPiNHistorical[[#This Row],[Health - old]])/tblPiNHistorical[[#This Row],[Health - old]], 1), "")</f>
        <v>2.1</v>
      </c>
      <c r="AN162" s="343">
        <f>IFERROR(ROUND((tblPiNHistorical[[#This Row],[Overarching Protection - new]]-tblPiNHistorical[[#This Row],[Overarching Protection - old]])/tblPiNHistorical[[#This Row],[Overarching Protection - old]], 1), "")</f>
        <v>1</v>
      </c>
      <c r="AO162" s="343">
        <f>IFERROR(ROUND((tblPiNHistorical[[#This Row],[Shelter - new]]-tblPiNHistorical[[#This Row],[Shelter - old]])/tblPiNHistorical[[#This Row],[Shelter - old]], 1), "")</f>
        <v>-0.2</v>
      </c>
      <c r="AP162" s="38">
        <f>IFERROR(ROUND((tblPiNHistorical[[#This Row],[WASH - new]]-tblPiNHistorical[[#This Row],[WASH - old]])/tblPiNHistorical[[#This Row],[WASH - old]], 1), "")</f>
        <v>0.9</v>
      </c>
      <c r="AQ162" s="406">
        <v>7236</v>
      </c>
      <c r="AR162" s="406">
        <v>13376.411804553156</v>
      </c>
    </row>
    <row r="163" spans="1:44" ht="15" customHeight="1" x14ac:dyDescent="0.55000000000000004">
      <c r="A16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3" s="316" t="s">
        <v>236</v>
      </c>
      <c r="C163" s="218" t="s">
        <v>237</v>
      </c>
      <c r="D163" s="218" t="s">
        <v>238</v>
      </c>
      <c r="E163" s="105" t="s">
        <v>239</v>
      </c>
      <c r="F163" s="100"/>
      <c r="G163" s="34"/>
      <c r="H163" s="335"/>
      <c r="I163" s="97"/>
      <c r="J163" s="97" t="s">
        <v>414</v>
      </c>
      <c r="K163" s="336">
        <v>17165.95</v>
      </c>
      <c r="L163" s="337">
        <v>3374</v>
      </c>
      <c r="M163" s="319">
        <v>14256.261865365776</v>
      </c>
      <c r="N163" s="319">
        <v>17222</v>
      </c>
      <c r="O163" s="319">
        <v>5266.6830388300323</v>
      </c>
      <c r="P163" s="319">
        <v>19720.184580022426</v>
      </c>
      <c r="Q163" s="320">
        <v>8052.0588235294117</v>
      </c>
      <c r="R163" s="319">
        <v>14448.972222222223</v>
      </c>
      <c r="S163" s="235">
        <f>tblPiNAnalysis[[#This Row],[CCCM]]</f>
        <v>8842.4844647146274</v>
      </c>
      <c r="T163" s="236">
        <f>tblPiNAnalysis[[#This Row],[Education]]</f>
        <v>6550.2177419784402</v>
      </c>
      <c r="U163" s="219">
        <f>tblPiNAnalysis[[#This Row],[Nutrition]]</f>
        <v>17674.597144544001</v>
      </c>
      <c r="V163" s="219">
        <f>tblPiNAnalysis[[#This Row],[Food Security]]</f>
        <v>41481.714534482526</v>
      </c>
      <c r="W163" s="219">
        <f>tblPiNAnalysis[[#This Row],[Health]]</f>
        <v>32691.349000802427</v>
      </c>
      <c r="X163" s="219">
        <f>tblPiNAnalysis[[#This Row],[Overarching Protection]]</f>
        <v>36350</v>
      </c>
      <c r="Y163" s="219">
        <f>tblPiNAnalysis[[#This Row],[Shelter]]</f>
        <v>53054.906788287772</v>
      </c>
      <c r="Z163" s="230">
        <f>tblPiNAnalysis[[#This Row],[WASH]]</f>
        <v>23044.050423195691</v>
      </c>
      <c r="AA163" s="339">
        <f>IF(OR(tblPiNHistorical[[#This Row],[CCCM - old]]="", tblPiNHistorical[[#This Row],[CCCM - old]]=0, tblPiNHistorical[[#This Row],[CCCM - new]]="", tblPiNHistorical[[#This Row],[CCCM - new]]=0), "", tblPiNHistorical[[#This Row],[CCCM - new]]-tblPiNHistorical[[#This Row],[CCCM - old]])</f>
        <v>-8323.4655352853733</v>
      </c>
      <c r="AB163" s="340">
        <f>IF(OR(tblPiNHistorical[[#This Row],[Education - old]]="", tblPiNHistorical[[#This Row],[Education - old]]=0, tblPiNHistorical[[#This Row],[Education - new]]="", tblPiNHistorical[[#This Row],[Education - new]]=0), "", tblPiNHistorical[[#This Row],[Education - new]]-tblPiNHistorical[[#This Row],[Education - old]])</f>
        <v>3176.2177419784402</v>
      </c>
      <c r="AC163" s="340">
        <f>IF(OR(tblPiNHistorical[[#This Row],[Nutrition - old]]="", tblPiNHistorical[[#This Row],[Nutrition - old]]=0, tblPiNHistorical[[#This Row],[Nutrition - new]]="", tblPiNHistorical[[#This Row],[Nutrition - new]]=0), "", tblPiNHistorical[[#This Row],[Nutrition - new]]-tblPiNHistorical[[#This Row],[Nutrition - old]])</f>
        <v>3418.3352791782254</v>
      </c>
      <c r="AD163" s="340">
        <f>IF(OR(tblPiNHistorical[[#This Row],[Food Security - old]]="", tblPiNHistorical[[#This Row],[Food Security - old]]=0, tblPiNHistorical[[#This Row],[Food Security - new]]="", tblPiNHistorical[[#This Row],[Food Security - new]]=0), "", tblPiNHistorical[[#This Row],[Food Security - new]]-tblPiNHistorical[[#This Row],[Food Security - old]])</f>
        <v>24259.714534482526</v>
      </c>
      <c r="AE163" s="340">
        <f>IF(OR(tblPiNHistorical[[#This Row],[Health - old]]="", tblPiNHistorical[[#This Row],[Health - old]]=0, tblPiNHistorical[[#This Row],[Health - new]]="", tblPiNHistorical[[#This Row],[Health - new]]=0), "", tblPiNHistorical[[#This Row],[Health - new]]-tblPiNHistorical[[#This Row],[Health - old]])</f>
        <v>27424.665961972394</v>
      </c>
      <c r="AF16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16629.815419977574</v>
      </c>
      <c r="AG163" s="340">
        <f>IF(OR(tblPiNHistorical[[#This Row],[Shelter - old]]="", tblPiNHistorical[[#This Row],[Shelter - old]]=0, tblPiNHistorical[[#This Row],[Shelter - new]]="", tblPiNHistorical[[#This Row],[Shelter - new]]=0), "", tblPiNHistorical[[#This Row],[Shelter - new]]-tblPiNHistorical[[#This Row],[Shelter - old]])</f>
        <v>45002.847964758359</v>
      </c>
      <c r="AH163" s="341">
        <f>IF(OR(tblPiNHistorical[[#This Row],[WASH - old]]="", tblPiNHistorical[[#This Row],[WASH - old]]=0, tblPiNHistorical[[#This Row],[WASH - new]]="", tblPiNHistorical[[#This Row],[WASH - new]]=0), "", tblPiNHistorical[[#This Row],[WASH - new]]-tblPiNHistorical[[#This Row],[WASH - old]])</f>
        <v>8595.0782009734685</v>
      </c>
      <c r="AI163" s="342">
        <f>IFERROR(ROUND((tblPiNHistorical[[#This Row],[CCCM - new]] - tblPiNHistorical[[#This Row],[CCCM - old]])/tblPiNHistorical[[#This Row],[CCCM - old]], 1), "")</f>
        <v>-0.5</v>
      </c>
      <c r="AJ163" s="343">
        <f>IFERROR(ROUND((tblPiNHistorical[[#This Row],[Education - new]]-tblPiNHistorical[[#This Row],[Education - old]])/tblPiNHistorical[[#This Row],[Education - old]], 1), "")</f>
        <v>0.9</v>
      </c>
      <c r="AK163" s="343">
        <f>IFERROR(ROUND((tblPiNHistorical[[#This Row],[Nutrition - new]]-tblPiNHistorical[[#This Row],[Nutrition - old]])/tblPiNHistorical[[#This Row],[Nutrition - old]], 1), "")</f>
        <v>0.2</v>
      </c>
      <c r="AL163" s="343">
        <f>IFERROR(ROUND((tblPiNHistorical[[#This Row],[Food Security - new]]-tblPiNHistorical[[#This Row],[Food Security - old]])/tblPiNHistorical[[#This Row],[Food Security - old]], 1), "")</f>
        <v>1.4</v>
      </c>
      <c r="AM163" s="343">
        <f>IFERROR(ROUND((tblPiNHistorical[[#This Row],[Health - new]]-tblPiNHistorical[[#This Row],[Health - old]])/tblPiNHistorical[[#This Row],[Health - old]], 1), "")</f>
        <v>5.2</v>
      </c>
      <c r="AN163" s="343">
        <f>IFERROR(ROUND((tblPiNHistorical[[#This Row],[Overarching Protection - new]]-tblPiNHistorical[[#This Row],[Overarching Protection - old]])/tblPiNHistorical[[#This Row],[Overarching Protection - old]], 1), "")</f>
        <v>0.8</v>
      </c>
      <c r="AO163" s="343">
        <f>IFERROR(ROUND((tblPiNHistorical[[#This Row],[Shelter - new]]-tblPiNHistorical[[#This Row],[Shelter - old]])/tblPiNHistorical[[#This Row],[Shelter - old]], 1), "")</f>
        <v>5.6</v>
      </c>
      <c r="AP163" s="38">
        <f>IFERROR(ROUND((tblPiNHistorical[[#This Row],[WASH - new]]-tblPiNHistorical[[#This Row],[WASH - old]])/tblPiNHistorical[[#This Row],[WASH - old]], 1), "")</f>
        <v>0.6</v>
      </c>
      <c r="AQ163" s="406">
        <v>19720.184580022426</v>
      </c>
      <c r="AR163" s="406">
        <v>53054.906788287772</v>
      </c>
    </row>
    <row r="164" spans="1:44" ht="15" customHeight="1" x14ac:dyDescent="0.55000000000000004">
      <c r="A16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4" s="316" t="s">
        <v>236</v>
      </c>
      <c r="C164" s="218" t="s">
        <v>237</v>
      </c>
      <c r="D164" s="218" t="s">
        <v>240</v>
      </c>
      <c r="E164" s="105" t="s">
        <v>241</v>
      </c>
      <c r="F164" s="100"/>
      <c r="G164" s="34"/>
      <c r="H164" s="335"/>
      <c r="I164" s="97"/>
      <c r="J164" s="97" t="s">
        <v>414</v>
      </c>
      <c r="K164" s="336">
        <v>2750.4</v>
      </c>
      <c r="L164" s="337">
        <v>427</v>
      </c>
      <c r="M164" s="319">
        <v>10086.414773692984</v>
      </c>
      <c r="N164" s="319">
        <v>12292</v>
      </c>
      <c r="O164" s="319">
        <v>9237.0224392142318</v>
      </c>
      <c r="P164" s="319">
        <v>13896.865124677644</v>
      </c>
      <c r="Q164" s="320">
        <v>7052.3076923076924</v>
      </c>
      <c r="R164" s="319">
        <v>11438.972477064221</v>
      </c>
      <c r="S164" s="235">
        <f>tblPiNAnalysis[[#This Row],[CCCM]]</f>
        <v>2322.1071428571449</v>
      </c>
      <c r="T164" s="236">
        <f>tblPiNAnalysis[[#This Row],[Education]]</f>
        <v>1156.0625891428585</v>
      </c>
      <c r="U164" s="219">
        <f>tblPiNAnalysis[[#This Row],[Nutrition]]</f>
        <v>5203.6877773058141</v>
      </c>
      <c r="V164" s="219">
        <f>tblPiNAnalysis[[#This Row],[Food Security]]</f>
        <v>10719.781647911757</v>
      </c>
      <c r="W164" s="219">
        <f>tblPiNAnalysis[[#This Row],[Health]]</f>
        <v>8201.4928080468017</v>
      </c>
      <c r="X164" s="219">
        <f>tblPiNAnalysis[[#This Row],[Overarching Protection]]</f>
        <v>11582</v>
      </c>
      <c r="Y164" s="219">
        <f>tblPiNAnalysis[[#This Row],[Shelter]]</f>
        <v>12115.341614906843</v>
      </c>
      <c r="Z164" s="230">
        <f>tblPiNAnalysis[[#This Row],[WASH]]</f>
        <v>12613.915343915358</v>
      </c>
      <c r="AA164" s="339">
        <f>IF(OR(tblPiNHistorical[[#This Row],[CCCM - old]]="", tblPiNHistorical[[#This Row],[CCCM - old]]=0, tblPiNHistorical[[#This Row],[CCCM - new]]="", tblPiNHistorical[[#This Row],[CCCM - new]]=0), "", tblPiNHistorical[[#This Row],[CCCM - new]]-tblPiNHistorical[[#This Row],[CCCM - old]])</f>
        <v>-428.29285714285515</v>
      </c>
      <c r="AB164" s="340">
        <f>IF(OR(tblPiNHistorical[[#This Row],[Education - old]]="", tblPiNHistorical[[#This Row],[Education - old]]=0, tblPiNHistorical[[#This Row],[Education - new]]="", tblPiNHistorical[[#This Row],[Education - new]]=0), "", tblPiNHistorical[[#This Row],[Education - new]]-tblPiNHistorical[[#This Row],[Education - old]])</f>
        <v>729.06258914285854</v>
      </c>
      <c r="AC164" s="340">
        <f>IF(OR(tblPiNHistorical[[#This Row],[Nutrition - old]]="", tblPiNHistorical[[#This Row],[Nutrition - old]]=0, tblPiNHistorical[[#This Row],[Nutrition - new]]="", tblPiNHistorical[[#This Row],[Nutrition - new]]=0), "", tblPiNHistorical[[#This Row],[Nutrition - new]]-tblPiNHistorical[[#This Row],[Nutrition - old]])</f>
        <v>-4882.7269963871704</v>
      </c>
      <c r="AD164" s="340">
        <f>IF(OR(tblPiNHistorical[[#This Row],[Food Security - old]]="", tblPiNHistorical[[#This Row],[Food Security - old]]=0, tblPiNHistorical[[#This Row],[Food Security - new]]="", tblPiNHistorical[[#This Row],[Food Security - new]]=0), "", tblPiNHistorical[[#This Row],[Food Security - new]]-tblPiNHistorical[[#This Row],[Food Security - old]])</f>
        <v>-1572.2183520882427</v>
      </c>
      <c r="AE164" s="340">
        <f>IF(OR(tblPiNHistorical[[#This Row],[Health - old]]="", tblPiNHistorical[[#This Row],[Health - old]]=0, tblPiNHistorical[[#This Row],[Health - new]]="", tblPiNHistorical[[#This Row],[Health - new]]=0), "", tblPiNHistorical[[#This Row],[Health - new]]-tblPiNHistorical[[#This Row],[Health - old]])</f>
        <v>-1035.5296311674301</v>
      </c>
      <c r="AF16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-2314.8651246776444</v>
      </c>
      <c r="AG164" s="340">
        <f>IF(OR(tblPiNHistorical[[#This Row],[Shelter - old]]="", tblPiNHistorical[[#This Row],[Shelter - old]]=0, tblPiNHistorical[[#This Row],[Shelter - new]]="", tblPiNHistorical[[#This Row],[Shelter - new]]=0), "", tblPiNHistorical[[#This Row],[Shelter - new]]-tblPiNHistorical[[#This Row],[Shelter - old]])</f>
        <v>5063.0339225991511</v>
      </c>
      <c r="AH164" s="341">
        <f>IF(OR(tblPiNHistorical[[#This Row],[WASH - old]]="", tblPiNHistorical[[#This Row],[WASH - old]]=0, tblPiNHistorical[[#This Row],[WASH - new]]="", tblPiNHistorical[[#This Row],[WASH - new]]=0), "", tblPiNHistorical[[#This Row],[WASH - new]]-tblPiNHistorical[[#This Row],[WASH - old]])</f>
        <v>1174.9428668511373</v>
      </c>
      <c r="AI164" s="342">
        <f>IFERROR(ROUND((tblPiNHistorical[[#This Row],[CCCM - new]] - tblPiNHistorical[[#This Row],[CCCM - old]])/tblPiNHistorical[[#This Row],[CCCM - old]], 1), "")</f>
        <v>-0.2</v>
      </c>
      <c r="AJ164" s="343">
        <f>IFERROR(ROUND((tblPiNHistorical[[#This Row],[Education - new]]-tblPiNHistorical[[#This Row],[Education - old]])/tblPiNHistorical[[#This Row],[Education - old]], 1), "")</f>
        <v>1.7</v>
      </c>
      <c r="AK164" s="343">
        <f>IFERROR(ROUND((tblPiNHistorical[[#This Row],[Nutrition - new]]-tblPiNHistorical[[#This Row],[Nutrition - old]])/tblPiNHistorical[[#This Row],[Nutrition - old]], 1), "")</f>
        <v>-0.5</v>
      </c>
      <c r="AL164" s="343">
        <f>IFERROR(ROUND((tblPiNHistorical[[#This Row],[Food Security - new]]-tblPiNHistorical[[#This Row],[Food Security - old]])/tblPiNHistorical[[#This Row],[Food Security - old]], 1), "")</f>
        <v>-0.1</v>
      </c>
      <c r="AM164" s="343">
        <f>IFERROR(ROUND((tblPiNHistorical[[#This Row],[Health - new]]-tblPiNHistorical[[#This Row],[Health - old]])/tblPiNHistorical[[#This Row],[Health - old]], 1), "")</f>
        <v>-0.1</v>
      </c>
      <c r="AN164" s="343">
        <f>IFERROR(ROUND((tblPiNHistorical[[#This Row],[Overarching Protection - new]]-tblPiNHistorical[[#This Row],[Overarching Protection - old]])/tblPiNHistorical[[#This Row],[Overarching Protection - old]], 1), "")</f>
        <v>-0.2</v>
      </c>
      <c r="AO164" s="343">
        <f>IFERROR(ROUND((tblPiNHistorical[[#This Row],[Shelter - new]]-tblPiNHistorical[[#This Row],[Shelter - old]])/tblPiNHistorical[[#This Row],[Shelter - old]], 1), "")</f>
        <v>0.7</v>
      </c>
      <c r="AP164" s="38">
        <f>IFERROR(ROUND((tblPiNHistorical[[#This Row],[WASH - new]]-tblPiNHistorical[[#This Row],[WASH - old]])/tblPiNHistorical[[#This Row],[WASH - old]], 1), "")</f>
        <v>0.1</v>
      </c>
      <c r="AQ164" s="406">
        <v>13896.865124677644</v>
      </c>
      <c r="AR164" s="406">
        <v>12613.915343915358</v>
      </c>
    </row>
    <row r="165" spans="1:44" ht="15" customHeight="1" x14ac:dyDescent="0.55000000000000004">
      <c r="A16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5" s="316" t="s">
        <v>236</v>
      </c>
      <c r="C165" s="218" t="s">
        <v>237</v>
      </c>
      <c r="D165" s="218" t="s">
        <v>242</v>
      </c>
      <c r="E165" s="105" t="s">
        <v>243</v>
      </c>
      <c r="F165" s="100"/>
      <c r="G165" s="34"/>
      <c r="H165" s="335"/>
      <c r="I165" s="97"/>
      <c r="J165" s="97" t="s">
        <v>414</v>
      </c>
      <c r="K165" s="336">
        <v>244.35</v>
      </c>
      <c r="L165" s="337">
        <v>142</v>
      </c>
      <c r="M165" s="319">
        <v>931.8990676145379</v>
      </c>
      <c r="N165" s="319">
        <v>1134</v>
      </c>
      <c r="O165" s="319">
        <v>667.02154269680204</v>
      </c>
      <c r="P165" s="319">
        <v>1288.6806295717886</v>
      </c>
      <c r="Q165" s="320">
        <v>595.97560975609758</v>
      </c>
      <c r="R165" s="319">
        <v>845.2358490566038</v>
      </c>
      <c r="S165" s="235">
        <f>tblPiNAnalysis[[#This Row],[CCCM]]</f>
        <v>1075.2642857142855</v>
      </c>
      <c r="T165" s="236">
        <f>tblPiNAnalysis[[#This Row],[Education]]</f>
        <v>946.50497171428538</v>
      </c>
      <c r="U165" s="219">
        <f>tblPiNAnalysis[[#This Row],[Nutrition]]</f>
        <v>2908.6171556660938</v>
      </c>
      <c r="V165" s="219">
        <f>tblPiNAnalysis[[#This Row],[Food Security]]</f>
        <v>4522.8316267926803</v>
      </c>
      <c r="W165" s="219">
        <f>tblPiNAnalysis[[#This Row],[Health]]</f>
        <v>3264.6738077560167</v>
      </c>
      <c r="X165" s="219">
        <f>tblPiNAnalysis[[#This Row],[Overarching Protection]]</f>
        <v>5734</v>
      </c>
      <c r="Y165" s="219">
        <f>tblPiNAnalysis[[#This Row],[Shelter]]</f>
        <v>4262.3088803088795</v>
      </c>
      <c r="Z165" s="230">
        <f>tblPiNAnalysis[[#This Row],[WASH]]</f>
        <v>4247.9576719576708</v>
      </c>
      <c r="AA165" s="339">
        <f>IF(OR(tblPiNHistorical[[#This Row],[CCCM - old]]="", tblPiNHistorical[[#This Row],[CCCM - old]]=0, tblPiNHistorical[[#This Row],[CCCM - new]]="", tblPiNHistorical[[#This Row],[CCCM - new]]=0), "", tblPiNHistorical[[#This Row],[CCCM - new]]-tblPiNHistorical[[#This Row],[CCCM - old]])</f>
        <v>830.91428571428548</v>
      </c>
      <c r="AB165" s="340">
        <f>IF(OR(tblPiNHistorical[[#This Row],[Education - old]]="", tblPiNHistorical[[#This Row],[Education - old]]=0, tblPiNHistorical[[#This Row],[Education - new]]="", tblPiNHistorical[[#This Row],[Education - new]]=0), "", tblPiNHistorical[[#This Row],[Education - new]]-tblPiNHistorical[[#This Row],[Education - old]])</f>
        <v>804.50497171428538</v>
      </c>
      <c r="AC165" s="340">
        <f>IF(OR(tblPiNHistorical[[#This Row],[Nutrition - old]]="", tblPiNHistorical[[#This Row],[Nutrition - old]]=0, tblPiNHistorical[[#This Row],[Nutrition - new]]="", tblPiNHistorical[[#This Row],[Nutrition - new]]=0), "", tblPiNHistorical[[#This Row],[Nutrition - new]]-tblPiNHistorical[[#This Row],[Nutrition - old]])</f>
        <v>1976.7180880515559</v>
      </c>
      <c r="AD165" s="340">
        <f>IF(OR(tblPiNHistorical[[#This Row],[Food Security - old]]="", tblPiNHistorical[[#This Row],[Food Security - old]]=0, tblPiNHistorical[[#This Row],[Food Security - new]]="", tblPiNHistorical[[#This Row],[Food Security - new]]=0), "", tblPiNHistorical[[#This Row],[Food Security - new]]-tblPiNHistorical[[#This Row],[Food Security - old]])</f>
        <v>3388.8316267926803</v>
      </c>
      <c r="AE165" s="340">
        <f>IF(OR(tblPiNHistorical[[#This Row],[Health - old]]="", tblPiNHistorical[[#This Row],[Health - old]]=0, tblPiNHistorical[[#This Row],[Health - new]]="", tblPiNHistorical[[#This Row],[Health - new]]=0), "", tblPiNHistorical[[#This Row],[Health - new]]-tblPiNHistorical[[#This Row],[Health - old]])</f>
        <v>2597.6522650592146</v>
      </c>
      <c r="AF16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4445.3193704282112</v>
      </c>
      <c r="AG165" s="340">
        <f>IF(OR(tblPiNHistorical[[#This Row],[Shelter - old]]="", tblPiNHistorical[[#This Row],[Shelter - old]]=0, tblPiNHistorical[[#This Row],[Shelter - new]]="", tblPiNHistorical[[#This Row],[Shelter - new]]=0), "", tblPiNHistorical[[#This Row],[Shelter - new]]-tblPiNHistorical[[#This Row],[Shelter - old]])</f>
        <v>3666.3332705527819</v>
      </c>
      <c r="AH165" s="341">
        <f>IF(OR(tblPiNHistorical[[#This Row],[WASH - old]]="", tblPiNHistorical[[#This Row],[WASH - old]]=0, tblPiNHistorical[[#This Row],[WASH - new]]="", tblPiNHistorical[[#This Row],[WASH - new]]=0), "", tblPiNHistorical[[#This Row],[WASH - new]]-tblPiNHistorical[[#This Row],[WASH - old]])</f>
        <v>3402.7218229010668</v>
      </c>
      <c r="AI165" s="342">
        <f>IFERROR(ROUND((tblPiNHistorical[[#This Row],[CCCM - new]] - tblPiNHistorical[[#This Row],[CCCM - old]])/tblPiNHistorical[[#This Row],[CCCM - old]], 1), "")</f>
        <v>3.4</v>
      </c>
      <c r="AJ165" s="343">
        <f>IFERROR(ROUND((tblPiNHistorical[[#This Row],[Education - new]]-tblPiNHistorical[[#This Row],[Education - old]])/tblPiNHistorical[[#This Row],[Education - old]], 1), "")</f>
        <v>5.7</v>
      </c>
      <c r="AK165" s="343">
        <f>IFERROR(ROUND((tblPiNHistorical[[#This Row],[Nutrition - new]]-tblPiNHistorical[[#This Row],[Nutrition - old]])/tblPiNHistorical[[#This Row],[Nutrition - old]], 1), "")</f>
        <v>2.1</v>
      </c>
      <c r="AL165" s="343">
        <f>IFERROR(ROUND((tblPiNHistorical[[#This Row],[Food Security - new]]-tblPiNHistorical[[#This Row],[Food Security - old]])/tblPiNHistorical[[#This Row],[Food Security - old]], 1), "")</f>
        <v>3</v>
      </c>
      <c r="AM165" s="343">
        <f>IFERROR(ROUND((tblPiNHistorical[[#This Row],[Health - new]]-tblPiNHistorical[[#This Row],[Health - old]])/tblPiNHistorical[[#This Row],[Health - old]], 1), "")</f>
        <v>3.9</v>
      </c>
      <c r="AN165" s="343">
        <f>IFERROR(ROUND((tblPiNHistorical[[#This Row],[Overarching Protection - new]]-tblPiNHistorical[[#This Row],[Overarching Protection - old]])/tblPiNHistorical[[#This Row],[Overarching Protection - old]], 1), "")</f>
        <v>3.4</v>
      </c>
      <c r="AO165" s="343">
        <f>IFERROR(ROUND((tblPiNHistorical[[#This Row],[Shelter - new]]-tblPiNHistorical[[#This Row],[Shelter - old]])/tblPiNHistorical[[#This Row],[Shelter - old]], 1), "")</f>
        <v>6.2</v>
      </c>
      <c r="AP165" s="38">
        <f>IFERROR(ROUND((tblPiNHistorical[[#This Row],[WASH - new]]-tblPiNHistorical[[#This Row],[WASH - old]])/tblPiNHistorical[[#This Row],[WASH - old]], 1), "")</f>
        <v>4</v>
      </c>
      <c r="AQ165" s="406">
        <v>1288.6806295717886</v>
      </c>
      <c r="AR165" s="406">
        <v>5734</v>
      </c>
    </row>
    <row r="166" spans="1:44" ht="15" customHeight="1" x14ac:dyDescent="0.55000000000000004">
      <c r="A16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6" s="316" t="s">
        <v>236</v>
      </c>
      <c r="C166" s="218" t="s">
        <v>237</v>
      </c>
      <c r="D166" s="218" t="s">
        <v>244</v>
      </c>
      <c r="E166" s="105" t="s">
        <v>245</v>
      </c>
      <c r="F166" s="100"/>
      <c r="G166" s="34"/>
      <c r="H166" s="335"/>
      <c r="I166" s="97"/>
      <c r="J166" s="97" t="s">
        <v>414</v>
      </c>
      <c r="K166" s="336">
        <v>1195.767336609834</v>
      </c>
      <c r="L166" s="337">
        <v>1673</v>
      </c>
      <c r="M166" s="319">
        <v>4421.1448466468928</v>
      </c>
      <c r="N166" s="319">
        <v>4111</v>
      </c>
      <c r="O166" s="319">
        <v>4654.9057026220289</v>
      </c>
      <c r="P166" s="319">
        <v>3716.8875432721316</v>
      </c>
      <c r="Q166" s="320">
        <v>4500.1996539079782</v>
      </c>
      <c r="R166" s="319">
        <v>5093.0831003752182</v>
      </c>
      <c r="S166" s="235">
        <f>tblPiNAnalysis[[#This Row],[CCCM]]</f>
        <v>1921.5</v>
      </c>
      <c r="T166" s="236">
        <f>tblPiNAnalysis[[#This Row],[Education]]</f>
        <v>2267.1009900000008</v>
      </c>
      <c r="U166" s="219">
        <f>tblPiNAnalysis[[#This Row],[Nutrition]]</f>
        <v>4254.9339178423834</v>
      </c>
      <c r="V166" s="219">
        <f>tblPiNAnalysis[[#This Row],[Food Security]]</f>
        <v>8702.9488718805223</v>
      </c>
      <c r="W166" s="219">
        <f>tblPiNAnalysis[[#This Row],[Health]]</f>
        <v>8317.7434594622391</v>
      </c>
      <c r="X166" s="219">
        <f>tblPiNAnalysis[[#This Row],[Overarching Protection]]</f>
        <v>10248</v>
      </c>
      <c r="Y166" s="219">
        <f>tblPiNAnalysis[[#This Row],[Shelter]]</f>
        <v>6767.5471698113206</v>
      </c>
      <c r="Z166" s="230">
        <f>tblPiNAnalysis[[#This Row],[WASH]]</f>
        <v>7235.2777777777774</v>
      </c>
      <c r="AA166" s="339">
        <f>IF(OR(tblPiNHistorical[[#This Row],[CCCM - old]]="", tblPiNHistorical[[#This Row],[CCCM - old]]=0, tblPiNHistorical[[#This Row],[CCCM - new]]="", tblPiNHistorical[[#This Row],[CCCM - new]]=0), "", tblPiNHistorical[[#This Row],[CCCM - new]]-tblPiNHistorical[[#This Row],[CCCM - old]])</f>
        <v>725.73266339016595</v>
      </c>
      <c r="AB166" s="340">
        <f>IF(OR(tblPiNHistorical[[#This Row],[Education - old]]="", tblPiNHistorical[[#This Row],[Education - old]]=0, tblPiNHistorical[[#This Row],[Education - new]]="", tblPiNHistorical[[#This Row],[Education - new]]=0), "", tblPiNHistorical[[#This Row],[Education - new]]-tblPiNHistorical[[#This Row],[Education - old]])</f>
        <v>594.10099000000082</v>
      </c>
      <c r="AC166" s="340">
        <f>IF(OR(tblPiNHistorical[[#This Row],[Nutrition - old]]="", tblPiNHistorical[[#This Row],[Nutrition - old]]=0, tblPiNHistorical[[#This Row],[Nutrition - new]]="", tblPiNHistorical[[#This Row],[Nutrition - new]]=0), "", tblPiNHistorical[[#This Row],[Nutrition - new]]-tblPiNHistorical[[#This Row],[Nutrition - old]])</f>
        <v>-166.21092880450942</v>
      </c>
      <c r="AD166" s="340">
        <f>IF(OR(tblPiNHistorical[[#This Row],[Food Security - old]]="", tblPiNHistorical[[#This Row],[Food Security - old]]=0, tblPiNHistorical[[#This Row],[Food Security - new]]="", tblPiNHistorical[[#This Row],[Food Security - new]]=0), "", tblPiNHistorical[[#This Row],[Food Security - new]]-tblPiNHistorical[[#This Row],[Food Security - old]])</f>
        <v>4591.9488718805223</v>
      </c>
      <c r="AE166" s="340">
        <f>IF(OR(tblPiNHistorical[[#This Row],[Health - old]]="", tblPiNHistorical[[#This Row],[Health - old]]=0, tblPiNHistorical[[#This Row],[Health - new]]="", tblPiNHistorical[[#This Row],[Health - new]]=0), "", tblPiNHistorical[[#This Row],[Health - new]]-tblPiNHistorical[[#This Row],[Health - old]])</f>
        <v>3662.8377568402102</v>
      </c>
      <c r="AF16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6531.1124567278684</v>
      </c>
      <c r="AG166" s="340">
        <f>IF(OR(tblPiNHistorical[[#This Row],[Shelter - old]]="", tblPiNHistorical[[#This Row],[Shelter - old]]=0, tblPiNHistorical[[#This Row],[Shelter - new]]="", tblPiNHistorical[[#This Row],[Shelter - new]]=0), "", tblPiNHistorical[[#This Row],[Shelter - new]]-tblPiNHistorical[[#This Row],[Shelter - old]])</f>
        <v>2267.3475159033424</v>
      </c>
      <c r="AH166" s="341">
        <f>IF(OR(tblPiNHistorical[[#This Row],[WASH - old]]="", tblPiNHistorical[[#This Row],[WASH - old]]=0, tblPiNHistorical[[#This Row],[WASH - new]]="", tblPiNHistorical[[#This Row],[WASH - new]]=0), "", tblPiNHistorical[[#This Row],[WASH - new]]-tblPiNHistorical[[#This Row],[WASH - old]])</f>
        <v>2142.1946774025591</v>
      </c>
      <c r="AI166" s="342">
        <f>IFERROR(ROUND((tblPiNHistorical[[#This Row],[CCCM - new]] - tblPiNHistorical[[#This Row],[CCCM - old]])/tblPiNHistorical[[#This Row],[CCCM - old]], 1), "")</f>
        <v>0.6</v>
      </c>
      <c r="AJ166" s="343">
        <f>IFERROR(ROUND((tblPiNHistorical[[#This Row],[Education - new]]-tblPiNHistorical[[#This Row],[Education - old]])/tblPiNHistorical[[#This Row],[Education - old]], 1), "")</f>
        <v>0.4</v>
      </c>
      <c r="AK166" s="343">
        <f>IFERROR(ROUND((tblPiNHistorical[[#This Row],[Nutrition - new]]-tblPiNHistorical[[#This Row],[Nutrition - old]])/tblPiNHistorical[[#This Row],[Nutrition - old]], 1), "")</f>
        <v>0</v>
      </c>
      <c r="AL166" s="343">
        <f>IFERROR(ROUND((tblPiNHistorical[[#This Row],[Food Security - new]]-tblPiNHistorical[[#This Row],[Food Security - old]])/tblPiNHistorical[[#This Row],[Food Security - old]], 1), "")</f>
        <v>1.1000000000000001</v>
      </c>
      <c r="AM166" s="343">
        <f>IFERROR(ROUND((tblPiNHistorical[[#This Row],[Health - new]]-tblPiNHistorical[[#This Row],[Health - old]])/tblPiNHistorical[[#This Row],[Health - old]], 1), "")</f>
        <v>0.8</v>
      </c>
      <c r="AN166" s="343">
        <f>IFERROR(ROUND((tblPiNHistorical[[#This Row],[Overarching Protection - new]]-tblPiNHistorical[[#This Row],[Overarching Protection - old]])/tblPiNHistorical[[#This Row],[Overarching Protection - old]], 1), "")</f>
        <v>1.8</v>
      </c>
      <c r="AO166" s="343">
        <f>IFERROR(ROUND((tblPiNHistorical[[#This Row],[Shelter - new]]-tblPiNHistorical[[#This Row],[Shelter - old]])/tblPiNHistorical[[#This Row],[Shelter - old]], 1), "")</f>
        <v>0.5</v>
      </c>
      <c r="AP166" s="38">
        <f>IFERROR(ROUND((tblPiNHistorical[[#This Row],[WASH - new]]-tblPiNHistorical[[#This Row],[WASH - old]])/tblPiNHistorical[[#This Row],[WASH - old]], 1), "")</f>
        <v>0.4</v>
      </c>
      <c r="AQ166" s="406">
        <v>5093.0831003752182</v>
      </c>
      <c r="AR166" s="406">
        <v>10248</v>
      </c>
    </row>
    <row r="167" spans="1:44" ht="15" customHeight="1" x14ac:dyDescent="0.55000000000000004">
      <c r="A16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7" s="316" t="s">
        <v>236</v>
      </c>
      <c r="C167" s="218" t="s">
        <v>237</v>
      </c>
      <c r="D167" s="218" t="s">
        <v>246</v>
      </c>
      <c r="E167" s="105" t="s">
        <v>247</v>
      </c>
      <c r="F167" s="100"/>
      <c r="G167" s="34"/>
      <c r="H167" s="335"/>
      <c r="I167" s="97"/>
      <c r="J167" s="97" t="s">
        <v>414</v>
      </c>
      <c r="K167" s="336">
        <v>10.808692995505846</v>
      </c>
      <c r="L167" s="337">
        <v>16</v>
      </c>
      <c r="M167" s="319">
        <v>43.943875797367774</v>
      </c>
      <c r="N167" s="319">
        <v>47</v>
      </c>
      <c r="O167" s="319">
        <v>41.672791068158837</v>
      </c>
      <c r="P167" s="319">
        <v>57.737057537421535</v>
      </c>
      <c r="Q167" s="320">
        <v>16.628758454624379</v>
      </c>
      <c r="R167" s="319">
        <v>34.742227485554501</v>
      </c>
      <c r="S167" s="235">
        <f>tblPiNAnalysis[[#This Row],[CCCM]]</f>
        <v>162</v>
      </c>
      <c r="T167" s="236">
        <f>tblPiNAnalysis[[#This Row],[Education]]</f>
        <v>286.52939999999995</v>
      </c>
      <c r="U167" s="219">
        <f>tblPiNAnalysis[[#This Row],[Nutrition]]</f>
        <v>317.59672063227879</v>
      </c>
      <c r="V167" s="219">
        <f>tblPiNAnalysis[[#This Row],[Food Security]]</f>
        <v>695.53313773454511</v>
      </c>
      <c r="W167" s="219">
        <f>tblPiNAnalysis[[#This Row],[Health]]</f>
        <v>552.33460061218318</v>
      </c>
      <c r="X167" s="219">
        <f>tblPiNAnalysis[[#This Row],[Overarching Protection]]</f>
        <v>756</v>
      </c>
      <c r="Y167" s="219">
        <f>tblPiNAnalysis[[#This Row],[Shelter]]</f>
        <v>1080</v>
      </c>
      <c r="Z167" s="230">
        <f>tblPiNAnalysis[[#This Row],[WASH]]</f>
        <v>390</v>
      </c>
      <c r="AA167" s="339">
        <f>IF(OR(tblPiNHistorical[[#This Row],[CCCM - old]]="", tblPiNHistorical[[#This Row],[CCCM - old]]=0, tblPiNHistorical[[#This Row],[CCCM - new]]="", tblPiNHistorical[[#This Row],[CCCM - new]]=0), "", tblPiNHistorical[[#This Row],[CCCM - new]]-tblPiNHistorical[[#This Row],[CCCM - old]])</f>
        <v>151.19130700449415</v>
      </c>
      <c r="AB167" s="340">
        <f>IF(OR(tblPiNHistorical[[#This Row],[Education - old]]="", tblPiNHistorical[[#This Row],[Education - old]]=0, tblPiNHistorical[[#This Row],[Education - new]]="", tblPiNHistorical[[#This Row],[Education - new]]=0), "", tblPiNHistorical[[#This Row],[Education - new]]-tblPiNHistorical[[#This Row],[Education - old]])</f>
        <v>270.52939999999995</v>
      </c>
      <c r="AC167" s="340">
        <f>IF(OR(tblPiNHistorical[[#This Row],[Nutrition - old]]="", tblPiNHistorical[[#This Row],[Nutrition - old]]=0, tblPiNHistorical[[#This Row],[Nutrition - new]]="", tblPiNHistorical[[#This Row],[Nutrition - new]]=0), "", tblPiNHistorical[[#This Row],[Nutrition - new]]-tblPiNHistorical[[#This Row],[Nutrition - old]])</f>
        <v>273.65284483491104</v>
      </c>
      <c r="AD167" s="340">
        <f>IF(OR(tblPiNHistorical[[#This Row],[Food Security - old]]="", tblPiNHistorical[[#This Row],[Food Security - old]]=0, tblPiNHistorical[[#This Row],[Food Security - new]]="", tblPiNHistorical[[#This Row],[Food Security - new]]=0), "", tblPiNHistorical[[#This Row],[Food Security - new]]-tblPiNHistorical[[#This Row],[Food Security - old]])</f>
        <v>648.53313773454511</v>
      </c>
      <c r="AE167" s="340">
        <f>IF(OR(tblPiNHistorical[[#This Row],[Health - old]]="", tblPiNHistorical[[#This Row],[Health - old]]=0, tblPiNHistorical[[#This Row],[Health - new]]="", tblPiNHistorical[[#This Row],[Health - new]]=0), "", tblPiNHistorical[[#This Row],[Health - new]]-tblPiNHistorical[[#This Row],[Health - old]])</f>
        <v>510.66180954402432</v>
      </c>
      <c r="AF16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698.26294246257851</v>
      </c>
      <c r="AG167" s="340">
        <f>IF(OR(tblPiNHistorical[[#This Row],[Shelter - old]]="", tblPiNHistorical[[#This Row],[Shelter - old]]=0, tblPiNHistorical[[#This Row],[Shelter - new]]="", tblPiNHistorical[[#This Row],[Shelter - new]]=0), "", tblPiNHistorical[[#This Row],[Shelter - new]]-tblPiNHistorical[[#This Row],[Shelter - old]])</f>
        <v>1063.3712415453756</v>
      </c>
      <c r="AH167" s="341">
        <f>IF(OR(tblPiNHistorical[[#This Row],[WASH - old]]="", tblPiNHistorical[[#This Row],[WASH - old]]=0, tblPiNHistorical[[#This Row],[WASH - new]]="", tblPiNHistorical[[#This Row],[WASH - new]]=0), "", tblPiNHistorical[[#This Row],[WASH - new]]-tblPiNHistorical[[#This Row],[WASH - old]])</f>
        <v>355.25777251444549</v>
      </c>
      <c r="AI167" s="342">
        <f>IFERROR(ROUND((tblPiNHistorical[[#This Row],[CCCM - new]] - tblPiNHistorical[[#This Row],[CCCM - old]])/tblPiNHistorical[[#This Row],[CCCM - old]], 1), "")</f>
        <v>14</v>
      </c>
      <c r="AJ167" s="343">
        <f>IFERROR(ROUND((tblPiNHistorical[[#This Row],[Education - new]]-tblPiNHistorical[[#This Row],[Education - old]])/tblPiNHistorical[[#This Row],[Education - old]], 1), "")</f>
        <v>16.899999999999999</v>
      </c>
      <c r="AK167" s="343">
        <f>IFERROR(ROUND((tblPiNHistorical[[#This Row],[Nutrition - new]]-tblPiNHistorical[[#This Row],[Nutrition - old]])/tblPiNHistorical[[#This Row],[Nutrition - old]], 1), "")</f>
        <v>6.2</v>
      </c>
      <c r="AL167" s="343">
        <f>IFERROR(ROUND((tblPiNHistorical[[#This Row],[Food Security - new]]-tblPiNHistorical[[#This Row],[Food Security - old]])/tblPiNHistorical[[#This Row],[Food Security - old]], 1), "")</f>
        <v>13.8</v>
      </c>
      <c r="AM167" s="343">
        <f>IFERROR(ROUND((tblPiNHistorical[[#This Row],[Health - new]]-tblPiNHistorical[[#This Row],[Health - old]])/tblPiNHistorical[[#This Row],[Health - old]], 1), "")</f>
        <v>12.3</v>
      </c>
      <c r="AN167" s="343">
        <f>IFERROR(ROUND((tblPiNHistorical[[#This Row],[Overarching Protection - new]]-tblPiNHistorical[[#This Row],[Overarching Protection - old]])/tblPiNHistorical[[#This Row],[Overarching Protection - old]], 1), "")</f>
        <v>12.1</v>
      </c>
      <c r="AO167" s="343">
        <f>IFERROR(ROUND((tblPiNHistorical[[#This Row],[Shelter - new]]-tblPiNHistorical[[#This Row],[Shelter - old]])/tblPiNHistorical[[#This Row],[Shelter - old]], 1), "")</f>
        <v>63.9</v>
      </c>
      <c r="AP167" s="38">
        <f>IFERROR(ROUND((tblPiNHistorical[[#This Row],[WASH - new]]-tblPiNHistorical[[#This Row],[WASH - old]])/tblPiNHistorical[[#This Row],[WASH - old]], 1), "")</f>
        <v>10.199999999999999</v>
      </c>
      <c r="AQ167" s="406">
        <v>57.737057537421535</v>
      </c>
      <c r="AR167" s="406">
        <v>1080</v>
      </c>
    </row>
    <row r="168" spans="1:44" ht="15" customHeight="1" x14ac:dyDescent="0.55000000000000004">
      <c r="A16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8" s="316" t="s">
        <v>236</v>
      </c>
      <c r="C168" s="218" t="s">
        <v>237</v>
      </c>
      <c r="D168" s="218" t="s">
        <v>248</v>
      </c>
      <c r="E168" s="105" t="s">
        <v>249</v>
      </c>
      <c r="F168" s="100"/>
      <c r="G168" s="34"/>
      <c r="H168" s="335"/>
      <c r="I168" s="97"/>
      <c r="J168" s="97" t="s">
        <v>414</v>
      </c>
      <c r="K168" s="336">
        <v>2283.2999999999997</v>
      </c>
      <c r="L168" s="337">
        <v>1290</v>
      </c>
      <c r="M168" s="319">
        <v>8335.5345473441794</v>
      </c>
      <c r="N168" s="319">
        <v>9204</v>
      </c>
      <c r="O168" s="319">
        <v>5125.5340065770724</v>
      </c>
      <c r="P168" s="319">
        <v>10790.428384697083</v>
      </c>
      <c r="Q168" s="320">
        <v>4049.889908256881</v>
      </c>
      <c r="R168" s="319">
        <v>8315.7222222222226</v>
      </c>
      <c r="S168" s="235">
        <f>tblPiNAnalysis[[#This Row],[CCCM]]</f>
        <v>4461.7071428571453</v>
      </c>
      <c r="T168" s="236">
        <f>tblPiNAnalysis[[#This Row],[Education]]</f>
        <v>5211.4226664285743</v>
      </c>
      <c r="U168" s="219">
        <f>tblPiNAnalysis[[#This Row],[Nutrition]]</f>
        <v>10220.671070248991</v>
      </c>
      <c r="V168" s="219">
        <f>tblPiNAnalysis[[#This Row],[Food Security]]</f>
        <v>14617.10963694004</v>
      </c>
      <c r="W168" s="219">
        <f>tblPiNAnalysis[[#This Row],[Health]]</f>
        <v>13731.645271310555</v>
      </c>
      <c r="X168" s="219">
        <f>tblPiNAnalysis[[#This Row],[Overarching Protection]]</f>
        <v>12526</v>
      </c>
      <c r="Y168" s="219">
        <f>tblPiNAnalysis[[#This Row],[Shelter]]</f>
        <v>12747.734693877555</v>
      </c>
      <c r="Z168" s="230">
        <f>tblPiNAnalysis[[#This Row],[WASH]]</f>
        <v>24236.433862433874</v>
      </c>
      <c r="AA168" s="339">
        <f>IF(OR(tblPiNHistorical[[#This Row],[CCCM - old]]="", tblPiNHistorical[[#This Row],[CCCM - old]]=0, tblPiNHistorical[[#This Row],[CCCM - new]]="", tblPiNHistorical[[#This Row],[CCCM - new]]=0), "", tblPiNHistorical[[#This Row],[CCCM - new]]-tblPiNHistorical[[#This Row],[CCCM - old]])</f>
        <v>2178.4071428571456</v>
      </c>
      <c r="AB168" s="340">
        <f>IF(OR(tblPiNHistorical[[#This Row],[Education - old]]="", tblPiNHistorical[[#This Row],[Education - old]]=0, tblPiNHistorical[[#This Row],[Education - new]]="", tblPiNHistorical[[#This Row],[Education - new]]=0), "", tblPiNHistorical[[#This Row],[Education - new]]-tblPiNHistorical[[#This Row],[Education - old]])</f>
        <v>3921.4226664285743</v>
      </c>
      <c r="AC168" s="340">
        <f>IF(OR(tblPiNHistorical[[#This Row],[Nutrition - old]]="", tblPiNHistorical[[#This Row],[Nutrition - old]]=0, tblPiNHistorical[[#This Row],[Nutrition - new]]="", tblPiNHistorical[[#This Row],[Nutrition - new]]=0), "", tblPiNHistorical[[#This Row],[Nutrition - new]]-tblPiNHistorical[[#This Row],[Nutrition - old]])</f>
        <v>1885.1365229048115</v>
      </c>
      <c r="AD168" s="340">
        <f>IF(OR(tblPiNHistorical[[#This Row],[Food Security - old]]="", tblPiNHistorical[[#This Row],[Food Security - old]]=0, tblPiNHistorical[[#This Row],[Food Security - new]]="", tblPiNHistorical[[#This Row],[Food Security - new]]=0), "", tblPiNHistorical[[#This Row],[Food Security - new]]-tblPiNHistorical[[#This Row],[Food Security - old]])</f>
        <v>5413.1096369400402</v>
      </c>
      <c r="AE168" s="340">
        <f>IF(OR(tblPiNHistorical[[#This Row],[Health - old]]="", tblPiNHistorical[[#This Row],[Health - old]]=0, tblPiNHistorical[[#This Row],[Health - new]]="", tblPiNHistorical[[#This Row],[Health - new]]=0), "", tblPiNHistorical[[#This Row],[Health - new]]-tblPiNHistorical[[#This Row],[Health - old]])</f>
        <v>8606.111264733483</v>
      </c>
      <c r="AF16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1735.5716153029171</v>
      </c>
      <c r="AG168" s="340">
        <f>IF(OR(tblPiNHistorical[[#This Row],[Shelter - old]]="", tblPiNHistorical[[#This Row],[Shelter - old]]=0, tblPiNHistorical[[#This Row],[Shelter - new]]="", tblPiNHistorical[[#This Row],[Shelter - new]]=0), "", tblPiNHistorical[[#This Row],[Shelter - new]]-tblPiNHistorical[[#This Row],[Shelter - old]])</f>
        <v>8697.8447856206749</v>
      </c>
      <c r="AH168" s="341">
        <f>IF(OR(tblPiNHistorical[[#This Row],[WASH - old]]="", tblPiNHistorical[[#This Row],[WASH - old]]=0, tblPiNHistorical[[#This Row],[WASH - new]]="", tblPiNHistorical[[#This Row],[WASH - new]]=0), "", tblPiNHistorical[[#This Row],[WASH - new]]-tblPiNHistorical[[#This Row],[WASH - old]])</f>
        <v>15920.711640211652</v>
      </c>
      <c r="AI168" s="342">
        <f>IFERROR(ROUND((tblPiNHistorical[[#This Row],[CCCM - new]] - tblPiNHistorical[[#This Row],[CCCM - old]])/tblPiNHistorical[[#This Row],[CCCM - old]], 1), "")</f>
        <v>1</v>
      </c>
      <c r="AJ168" s="343">
        <f>IFERROR(ROUND((tblPiNHistorical[[#This Row],[Education - new]]-tblPiNHistorical[[#This Row],[Education - old]])/tblPiNHistorical[[#This Row],[Education - old]], 1), "")</f>
        <v>3</v>
      </c>
      <c r="AK168" s="343">
        <f>IFERROR(ROUND((tblPiNHistorical[[#This Row],[Nutrition - new]]-tblPiNHistorical[[#This Row],[Nutrition - old]])/tblPiNHistorical[[#This Row],[Nutrition - old]], 1), "")</f>
        <v>0.2</v>
      </c>
      <c r="AL168" s="343">
        <f>IFERROR(ROUND((tblPiNHistorical[[#This Row],[Food Security - new]]-tblPiNHistorical[[#This Row],[Food Security - old]])/tblPiNHistorical[[#This Row],[Food Security - old]], 1), "")</f>
        <v>0.6</v>
      </c>
      <c r="AM168" s="343">
        <f>IFERROR(ROUND((tblPiNHistorical[[#This Row],[Health - new]]-tblPiNHistorical[[#This Row],[Health - old]])/tblPiNHistorical[[#This Row],[Health - old]], 1), "")</f>
        <v>1.7</v>
      </c>
      <c r="AN168" s="343">
        <f>IFERROR(ROUND((tblPiNHistorical[[#This Row],[Overarching Protection - new]]-tblPiNHistorical[[#This Row],[Overarching Protection - old]])/tblPiNHistorical[[#This Row],[Overarching Protection - old]], 1), "")</f>
        <v>0.2</v>
      </c>
      <c r="AO168" s="343">
        <f>IFERROR(ROUND((tblPiNHistorical[[#This Row],[Shelter - new]]-tblPiNHistorical[[#This Row],[Shelter - old]])/tblPiNHistorical[[#This Row],[Shelter - old]], 1), "")</f>
        <v>2.1</v>
      </c>
      <c r="AP168" s="38">
        <f>IFERROR(ROUND((tblPiNHistorical[[#This Row],[WASH - new]]-tblPiNHistorical[[#This Row],[WASH - old]])/tblPiNHistorical[[#This Row],[WASH - old]], 1), "")</f>
        <v>1.9</v>
      </c>
      <c r="AQ168" s="406">
        <v>10790.428384697083</v>
      </c>
      <c r="AR168" s="406">
        <v>24236.433862433874</v>
      </c>
    </row>
    <row r="169" spans="1:44" ht="15" customHeight="1" x14ac:dyDescent="0.55000000000000004">
      <c r="A16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69" s="316" t="s">
        <v>250</v>
      </c>
      <c r="C169" s="218" t="s">
        <v>251</v>
      </c>
      <c r="D169" s="218" t="s">
        <v>252</v>
      </c>
      <c r="E169" s="105" t="s">
        <v>253</v>
      </c>
      <c r="F169" s="100"/>
      <c r="G169" s="34"/>
      <c r="H169" s="335"/>
      <c r="I169" s="97"/>
      <c r="J169" s="97" t="s">
        <v>414</v>
      </c>
      <c r="K169" s="336">
        <v>32.234400922197388</v>
      </c>
      <c r="L169" s="337">
        <v>0</v>
      </c>
      <c r="M169" s="319">
        <v>126.7237804078505</v>
      </c>
      <c r="N169" s="319">
        <v>139</v>
      </c>
      <c r="O169" s="319">
        <v>73.338150206938309</v>
      </c>
      <c r="P169" s="319">
        <v>128.14538041572752</v>
      </c>
      <c r="Q169" s="320">
        <v>0</v>
      </c>
      <c r="R169" s="319">
        <v>113.41733657810192</v>
      </c>
      <c r="S169" s="235">
        <f>tblPiNAnalysis[[#This Row],[CCCM]]</f>
        <v>319.5</v>
      </c>
      <c r="T169" s="236">
        <f>tblPiNAnalysis[[#This Row],[Education]]</f>
        <v>696.26717999999994</v>
      </c>
      <c r="U169" s="219">
        <f>tblPiNAnalysis[[#This Row],[Nutrition]]</f>
        <v>845.92589592819127</v>
      </c>
      <c r="V169" s="219">
        <f>tblPiNAnalysis[[#This Row],[Food Security]]</f>
        <v>1368.8514530202656</v>
      </c>
      <c r="W169" s="219">
        <f>tblPiNAnalysis[[#This Row],[Health]]</f>
        <v>933.32470616313424</v>
      </c>
      <c r="X169" s="219">
        <f>tblPiNAnalysis[[#This Row],[Overarching Protection]]</f>
        <v>1491</v>
      </c>
      <c r="Y169" s="219">
        <f>tblPiNAnalysis[[#This Row],[Shelter]]</f>
        <v>0</v>
      </c>
      <c r="Z169" s="230">
        <f>tblPiNAnalysis[[#This Row],[WASH]]</f>
        <v>1597.5000000000002</v>
      </c>
      <c r="AA169" s="339">
        <f>IF(OR(tblPiNHistorical[[#This Row],[CCCM - old]]="", tblPiNHistorical[[#This Row],[CCCM - old]]=0, tblPiNHistorical[[#This Row],[CCCM - new]]="", tblPiNHistorical[[#This Row],[CCCM - new]]=0), "", tblPiNHistorical[[#This Row],[CCCM - new]]-tblPiNHistorical[[#This Row],[CCCM - old]])</f>
        <v>287.26559907780262</v>
      </c>
      <c r="AB169" s="340" t="str">
        <f>IF(OR(tblPiNHistorical[[#This Row],[Education - old]]="", tblPiNHistorical[[#This Row],[Education - old]]=0, tblPiNHistorical[[#This Row],[Education - new]]="", tblPiNHistorical[[#This Row],[Education - new]]=0), "", tblPiNHistorical[[#This Row],[Education - new]]-tblPiNHistorical[[#This Row],[Education - old]])</f>
        <v/>
      </c>
      <c r="AC169" s="340">
        <f>IF(OR(tblPiNHistorical[[#This Row],[Nutrition - old]]="", tblPiNHistorical[[#This Row],[Nutrition - old]]=0, tblPiNHistorical[[#This Row],[Nutrition - new]]="", tblPiNHistorical[[#This Row],[Nutrition - new]]=0), "", tblPiNHistorical[[#This Row],[Nutrition - new]]-tblPiNHistorical[[#This Row],[Nutrition - old]])</f>
        <v>719.20211552034073</v>
      </c>
      <c r="AD169" s="340">
        <f>IF(OR(tblPiNHistorical[[#This Row],[Food Security - old]]="", tblPiNHistorical[[#This Row],[Food Security - old]]=0, tblPiNHistorical[[#This Row],[Food Security - new]]="", tblPiNHistorical[[#This Row],[Food Security - new]]=0), "", tblPiNHistorical[[#This Row],[Food Security - new]]-tblPiNHistorical[[#This Row],[Food Security - old]])</f>
        <v>1229.8514530202656</v>
      </c>
      <c r="AE169" s="340">
        <f>IF(OR(tblPiNHistorical[[#This Row],[Health - old]]="", tblPiNHistorical[[#This Row],[Health - old]]=0, tblPiNHistorical[[#This Row],[Health - new]]="", tblPiNHistorical[[#This Row],[Health - new]]=0), "", tblPiNHistorical[[#This Row],[Health - new]]-tblPiNHistorical[[#This Row],[Health - old]])</f>
        <v>859.98655595619596</v>
      </c>
      <c r="AF16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1362.8546195842725</v>
      </c>
      <c r="AG169" s="340" t="str">
        <f>IF(OR(tblPiNHistorical[[#This Row],[Shelter - old]]="", tblPiNHistorical[[#This Row],[Shelter - old]]=0, tblPiNHistorical[[#This Row],[Shelter - new]]="", tblPiNHistorical[[#This Row],[Shelter - new]]=0), "", tblPiNHistorical[[#This Row],[Shelter - new]]-tblPiNHistorical[[#This Row],[Shelter - old]])</f>
        <v/>
      </c>
      <c r="AH169" s="341">
        <f>IF(OR(tblPiNHistorical[[#This Row],[WASH - old]]="", tblPiNHistorical[[#This Row],[WASH - old]]=0, tblPiNHistorical[[#This Row],[WASH - new]]="", tblPiNHistorical[[#This Row],[WASH - new]]=0), "", tblPiNHistorical[[#This Row],[WASH - new]]-tblPiNHistorical[[#This Row],[WASH - old]])</f>
        <v>1484.0826634218984</v>
      </c>
      <c r="AI169" s="342">
        <f>IFERROR(ROUND((tblPiNHistorical[[#This Row],[CCCM - new]] - tblPiNHistorical[[#This Row],[CCCM - old]])/tblPiNHistorical[[#This Row],[CCCM - old]], 1), "")</f>
        <v>8.9</v>
      </c>
      <c r="AJ169" s="343" t="str">
        <f>IFERROR(ROUND((tblPiNHistorical[[#This Row],[Education - new]]-tblPiNHistorical[[#This Row],[Education - old]])/tblPiNHistorical[[#This Row],[Education - old]], 1), "")</f>
        <v/>
      </c>
      <c r="AK169" s="343">
        <f>IFERROR(ROUND((tblPiNHistorical[[#This Row],[Nutrition - new]]-tblPiNHistorical[[#This Row],[Nutrition - old]])/tblPiNHistorical[[#This Row],[Nutrition - old]], 1), "")</f>
        <v>5.7</v>
      </c>
      <c r="AL169" s="343">
        <f>IFERROR(ROUND((tblPiNHistorical[[#This Row],[Food Security - new]]-tblPiNHistorical[[#This Row],[Food Security - old]])/tblPiNHistorical[[#This Row],[Food Security - old]], 1), "")</f>
        <v>8.8000000000000007</v>
      </c>
      <c r="AM169" s="343">
        <f>IFERROR(ROUND((tblPiNHistorical[[#This Row],[Health - new]]-tblPiNHistorical[[#This Row],[Health - old]])/tblPiNHistorical[[#This Row],[Health - old]], 1), "")</f>
        <v>11.7</v>
      </c>
      <c r="AN169" s="343">
        <f>IFERROR(ROUND((tblPiNHistorical[[#This Row],[Overarching Protection - new]]-tblPiNHistorical[[#This Row],[Overarching Protection - old]])/tblPiNHistorical[[#This Row],[Overarching Protection - old]], 1), "")</f>
        <v>10.6</v>
      </c>
      <c r="AO169" s="343" t="str">
        <f>IFERROR(ROUND((tblPiNHistorical[[#This Row],[Shelter - new]]-tblPiNHistorical[[#This Row],[Shelter - old]])/tblPiNHistorical[[#This Row],[Shelter - old]], 1), "")</f>
        <v/>
      </c>
      <c r="AP169" s="38">
        <f>IFERROR(ROUND((tblPiNHistorical[[#This Row],[WASH - new]]-tblPiNHistorical[[#This Row],[WASH - old]])/tblPiNHistorical[[#This Row],[WASH - old]], 1), "")</f>
        <v>13.1</v>
      </c>
      <c r="AQ169" s="406">
        <v>139</v>
      </c>
      <c r="AR169" s="406">
        <v>1597.5000000000002</v>
      </c>
    </row>
    <row r="170" spans="1:44" ht="15" customHeight="1" x14ac:dyDescent="0.55000000000000004">
      <c r="A17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0" s="316" t="s">
        <v>250</v>
      </c>
      <c r="C170" s="218" t="s">
        <v>251</v>
      </c>
      <c r="D170" s="218" t="s">
        <v>254</v>
      </c>
      <c r="E170" s="105" t="s">
        <v>255</v>
      </c>
      <c r="F170" s="100"/>
      <c r="G170" s="34"/>
      <c r="H170" s="335"/>
      <c r="I170" s="97"/>
      <c r="J170" s="97" t="s">
        <v>414</v>
      </c>
      <c r="K170" s="336">
        <v>86.646069678866567</v>
      </c>
      <c r="L170" s="337">
        <v>25</v>
      </c>
      <c r="M170" s="319">
        <v>336.21661397437276</v>
      </c>
      <c r="N170" s="319">
        <v>295</v>
      </c>
      <c r="O170" s="319">
        <v>156.19093148234964</v>
      </c>
      <c r="P170" s="319">
        <v>377.28305584118164</v>
      </c>
      <c r="Q170" s="320">
        <v>44.433881886598243</v>
      </c>
      <c r="R170" s="319">
        <v>155.10716177081051</v>
      </c>
      <c r="S170" s="235">
        <f>tblPiNAnalysis[[#This Row],[CCCM]]</f>
        <v>515.61428571428553</v>
      </c>
      <c r="T170" s="236">
        <f>tblPiNAnalysis[[#This Row],[Education]]</f>
        <v>150.03000742857137</v>
      </c>
      <c r="U170" s="219">
        <f>tblPiNAnalysis[[#This Row],[Nutrition]]</f>
        <v>1394.2955478144281</v>
      </c>
      <c r="V170" s="219">
        <f>tblPiNAnalysis[[#This Row],[Food Security]]</f>
        <v>1534.5901199845798</v>
      </c>
      <c r="W170" s="219">
        <f>tblPiNAnalysis[[#This Row],[Health]]</f>
        <v>1935.2460542695972</v>
      </c>
      <c r="X170" s="219">
        <f>tblPiNAnalysis[[#This Row],[Overarching Protection]]</f>
        <v>2406</v>
      </c>
      <c r="Y170" s="219">
        <f>tblPiNAnalysis[[#This Row],[Shelter]]</f>
        <v>264.41758241758231</v>
      </c>
      <c r="Z170" s="230">
        <f>tblPiNAnalysis[[#This Row],[WASH]]</f>
        <v>1671.4102228047179</v>
      </c>
      <c r="AA170" s="339">
        <f>IF(OR(tblPiNHistorical[[#This Row],[CCCM - old]]="", tblPiNHistorical[[#This Row],[CCCM - old]]=0, tblPiNHistorical[[#This Row],[CCCM - new]]="", tblPiNHistorical[[#This Row],[CCCM - new]]=0), "", tblPiNHistorical[[#This Row],[CCCM - new]]-tblPiNHistorical[[#This Row],[CCCM - old]])</f>
        <v>428.96821603541895</v>
      </c>
      <c r="AB170" s="340">
        <f>IF(OR(tblPiNHistorical[[#This Row],[Education - old]]="", tblPiNHistorical[[#This Row],[Education - old]]=0, tblPiNHistorical[[#This Row],[Education - new]]="", tblPiNHistorical[[#This Row],[Education - new]]=0), "", tblPiNHistorical[[#This Row],[Education - new]]-tblPiNHistorical[[#This Row],[Education - old]])</f>
        <v>125.03000742857137</v>
      </c>
      <c r="AC170" s="340">
        <f>IF(OR(tblPiNHistorical[[#This Row],[Nutrition - old]]="", tblPiNHistorical[[#This Row],[Nutrition - old]]=0, tblPiNHistorical[[#This Row],[Nutrition - new]]="", tblPiNHistorical[[#This Row],[Nutrition - new]]=0), "", tblPiNHistorical[[#This Row],[Nutrition - new]]-tblPiNHistorical[[#This Row],[Nutrition - old]])</f>
        <v>1058.0789338400555</v>
      </c>
      <c r="AD170" s="340">
        <f>IF(OR(tblPiNHistorical[[#This Row],[Food Security - old]]="", tblPiNHistorical[[#This Row],[Food Security - old]]=0, tblPiNHistorical[[#This Row],[Food Security - new]]="", tblPiNHistorical[[#This Row],[Food Security - new]]=0), "", tblPiNHistorical[[#This Row],[Food Security - new]]-tblPiNHistorical[[#This Row],[Food Security - old]])</f>
        <v>1239.5901199845798</v>
      </c>
      <c r="AE170" s="340">
        <f>IF(OR(tblPiNHistorical[[#This Row],[Health - old]]="", tblPiNHistorical[[#This Row],[Health - old]]=0, tblPiNHistorical[[#This Row],[Health - new]]="", tblPiNHistorical[[#This Row],[Health - new]]=0), "", tblPiNHistorical[[#This Row],[Health - new]]-tblPiNHistorical[[#This Row],[Health - old]])</f>
        <v>1779.0551227872475</v>
      </c>
      <c r="AF17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2028.7169441588185</v>
      </c>
      <c r="AG170" s="340">
        <f>IF(OR(tblPiNHistorical[[#This Row],[Shelter - old]]="", tblPiNHistorical[[#This Row],[Shelter - old]]=0, tblPiNHistorical[[#This Row],[Shelter - new]]="", tblPiNHistorical[[#This Row],[Shelter - new]]=0), "", tblPiNHistorical[[#This Row],[Shelter - new]]-tblPiNHistorical[[#This Row],[Shelter - old]])</f>
        <v>219.98370053098407</v>
      </c>
      <c r="AH170" s="341">
        <f>IF(OR(tblPiNHistorical[[#This Row],[WASH - old]]="", tblPiNHistorical[[#This Row],[WASH - old]]=0, tblPiNHistorical[[#This Row],[WASH - new]]="", tblPiNHistorical[[#This Row],[WASH - new]]=0), "", tblPiNHistorical[[#This Row],[WASH - new]]-tblPiNHistorical[[#This Row],[WASH - old]])</f>
        <v>1516.3030610339074</v>
      </c>
      <c r="AI170" s="342">
        <f>IFERROR(ROUND((tblPiNHistorical[[#This Row],[CCCM - new]] - tblPiNHistorical[[#This Row],[CCCM - old]])/tblPiNHistorical[[#This Row],[CCCM - old]], 1), "")</f>
        <v>5</v>
      </c>
      <c r="AJ170" s="343">
        <f>IFERROR(ROUND((tblPiNHistorical[[#This Row],[Education - new]]-tblPiNHistorical[[#This Row],[Education - old]])/tblPiNHistorical[[#This Row],[Education - old]], 1), "")</f>
        <v>5</v>
      </c>
      <c r="AK170" s="343">
        <f>IFERROR(ROUND((tblPiNHistorical[[#This Row],[Nutrition - new]]-tblPiNHistorical[[#This Row],[Nutrition - old]])/tblPiNHistorical[[#This Row],[Nutrition - old]], 1), "")</f>
        <v>3.1</v>
      </c>
      <c r="AL170" s="343">
        <f>IFERROR(ROUND((tblPiNHistorical[[#This Row],[Food Security - new]]-tblPiNHistorical[[#This Row],[Food Security - old]])/tblPiNHistorical[[#This Row],[Food Security - old]], 1), "")</f>
        <v>4.2</v>
      </c>
      <c r="AM170" s="343">
        <f>IFERROR(ROUND((tblPiNHistorical[[#This Row],[Health - new]]-tblPiNHistorical[[#This Row],[Health - old]])/tblPiNHistorical[[#This Row],[Health - old]], 1), "")</f>
        <v>11.4</v>
      </c>
      <c r="AN170" s="343">
        <f>IFERROR(ROUND((tblPiNHistorical[[#This Row],[Overarching Protection - new]]-tblPiNHistorical[[#This Row],[Overarching Protection - old]])/tblPiNHistorical[[#This Row],[Overarching Protection - old]], 1), "")</f>
        <v>5.4</v>
      </c>
      <c r="AO170" s="343">
        <f>IFERROR(ROUND((tblPiNHistorical[[#This Row],[Shelter - new]]-tblPiNHistorical[[#This Row],[Shelter - old]])/tblPiNHistorical[[#This Row],[Shelter - old]], 1), "")</f>
        <v>5</v>
      </c>
      <c r="AP170" s="38">
        <f>IFERROR(ROUND((tblPiNHistorical[[#This Row],[WASH - new]]-tblPiNHistorical[[#This Row],[WASH - old]])/tblPiNHistorical[[#This Row],[WASH - old]], 1), "")</f>
        <v>9.8000000000000007</v>
      </c>
      <c r="AQ170" s="406">
        <v>377.28305584118164</v>
      </c>
      <c r="AR170" s="406">
        <v>2406</v>
      </c>
    </row>
    <row r="171" spans="1:44" ht="15" customHeight="1" x14ac:dyDescent="0.55000000000000004">
      <c r="A17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1" s="316" t="s">
        <v>250</v>
      </c>
      <c r="C171" s="218" t="s">
        <v>251</v>
      </c>
      <c r="D171" s="218" t="s">
        <v>256</v>
      </c>
      <c r="E171" s="105" t="s">
        <v>257</v>
      </c>
      <c r="F171" s="100"/>
      <c r="G171" s="34"/>
      <c r="H171" s="335"/>
      <c r="I171" s="97"/>
      <c r="J171" s="97" t="s">
        <v>414</v>
      </c>
      <c r="K171" s="336">
        <v>0</v>
      </c>
      <c r="L171" s="337">
        <v>0</v>
      </c>
      <c r="M171" s="319">
        <v>0</v>
      </c>
      <c r="N171" s="319">
        <v>0</v>
      </c>
      <c r="O171" s="319">
        <v>0</v>
      </c>
      <c r="P171" s="319">
        <v>0</v>
      </c>
      <c r="Q171" s="320">
        <v>0</v>
      </c>
      <c r="R171" s="319">
        <v>0</v>
      </c>
      <c r="S171" s="235">
        <f>tblPiNAnalysis[[#This Row],[CCCM]]</f>
        <v>532.30714285714294</v>
      </c>
      <c r="T171" s="236">
        <f>tblPiNAnalysis[[#This Row],[Education]]</f>
        <v>1212.2408000000003</v>
      </c>
      <c r="U171" s="219">
        <f>tblPiNAnalysis[[#This Row],[Nutrition]]</f>
        <v>1379.4360186047193</v>
      </c>
      <c r="V171" s="219">
        <f>tblPiNAnalysis[[#This Row],[Food Security]]</f>
        <v>2530.4016282633802</v>
      </c>
      <c r="W171" s="219">
        <f>tblPiNAnalysis[[#This Row],[Health]]</f>
        <v>1376.5308603151145</v>
      </c>
      <c r="X171" s="219">
        <f>tblPiNAnalysis[[#This Row],[Overarching Protection]]</f>
        <v>2090</v>
      </c>
      <c r="Y171" s="219">
        <f>tblPiNAnalysis[[#This Row],[Shelter]]</f>
        <v>0</v>
      </c>
      <c r="Z171" s="230">
        <f>tblPiNAnalysis[[#This Row],[WASH]]</f>
        <v>2825.828042328043</v>
      </c>
      <c r="AA171" s="339" t="str">
        <f>IF(OR(tblPiNHistorical[[#This Row],[CCCM - old]]="", tblPiNHistorical[[#This Row],[CCCM - old]]=0, tblPiNHistorical[[#This Row],[CCCM - new]]="", tblPiNHistorical[[#This Row],[CCCM - new]]=0), "", tblPiNHistorical[[#This Row],[CCCM - new]]-tblPiNHistorical[[#This Row],[CCCM - old]])</f>
        <v/>
      </c>
      <c r="AB171" s="340" t="str">
        <f>IF(OR(tblPiNHistorical[[#This Row],[Education - old]]="", tblPiNHistorical[[#This Row],[Education - old]]=0, tblPiNHistorical[[#This Row],[Education - new]]="", tblPiNHistorical[[#This Row],[Education - new]]=0), "", tblPiNHistorical[[#This Row],[Education - new]]-tblPiNHistorical[[#This Row],[Education - old]])</f>
        <v/>
      </c>
      <c r="AC171" s="340" t="str">
        <f>IF(OR(tblPiNHistorical[[#This Row],[Nutrition - old]]="", tblPiNHistorical[[#This Row],[Nutrition - old]]=0, tblPiNHistorical[[#This Row],[Nutrition - new]]="", tblPiNHistorical[[#This Row],[Nutrition - new]]=0), "", tblPiNHistorical[[#This Row],[Nutrition - new]]-tblPiNHistorical[[#This Row],[Nutrition - old]])</f>
        <v/>
      </c>
      <c r="AD171"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71" s="340" t="str">
        <f>IF(OR(tblPiNHistorical[[#This Row],[Health - old]]="", tblPiNHistorical[[#This Row],[Health - old]]=0, tblPiNHistorical[[#This Row],[Health - new]]="", tblPiNHistorical[[#This Row],[Health - new]]=0), "", tblPiNHistorical[[#This Row],[Health - new]]-tblPiNHistorical[[#This Row],[Health - old]])</f>
        <v/>
      </c>
      <c r="AF171"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71" s="340" t="str">
        <f>IF(OR(tblPiNHistorical[[#This Row],[Shelter - old]]="", tblPiNHistorical[[#This Row],[Shelter - old]]=0, tblPiNHistorical[[#This Row],[Shelter - new]]="", tblPiNHistorical[[#This Row],[Shelter - new]]=0), "", tblPiNHistorical[[#This Row],[Shelter - new]]-tblPiNHistorical[[#This Row],[Shelter - old]])</f>
        <v/>
      </c>
      <c r="AH171" s="341" t="str">
        <f>IF(OR(tblPiNHistorical[[#This Row],[WASH - old]]="", tblPiNHistorical[[#This Row],[WASH - old]]=0, tblPiNHistorical[[#This Row],[WASH - new]]="", tblPiNHistorical[[#This Row],[WASH - new]]=0), "", tblPiNHistorical[[#This Row],[WASH - new]]-tblPiNHistorical[[#This Row],[WASH - old]])</f>
        <v/>
      </c>
      <c r="AI171" s="342" t="str">
        <f>IFERROR(ROUND((tblPiNHistorical[[#This Row],[CCCM - new]] - tblPiNHistorical[[#This Row],[CCCM - old]])/tblPiNHistorical[[#This Row],[CCCM - old]], 1), "")</f>
        <v/>
      </c>
      <c r="AJ171" s="343" t="str">
        <f>IFERROR(ROUND((tblPiNHistorical[[#This Row],[Education - new]]-tblPiNHistorical[[#This Row],[Education - old]])/tblPiNHistorical[[#This Row],[Education - old]], 1), "")</f>
        <v/>
      </c>
      <c r="AK171" s="343" t="str">
        <f>IFERROR(ROUND((tblPiNHistorical[[#This Row],[Nutrition - new]]-tblPiNHistorical[[#This Row],[Nutrition - old]])/tblPiNHistorical[[#This Row],[Nutrition - old]], 1), "")</f>
        <v/>
      </c>
      <c r="AL171" s="343" t="str">
        <f>IFERROR(ROUND((tblPiNHistorical[[#This Row],[Food Security - new]]-tblPiNHistorical[[#This Row],[Food Security - old]])/tblPiNHistorical[[#This Row],[Food Security - old]], 1), "")</f>
        <v/>
      </c>
      <c r="AM171" s="343" t="str">
        <f>IFERROR(ROUND((tblPiNHistorical[[#This Row],[Health - new]]-tblPiNHistorical[[#This Row],[Health - old]])/tblPiNHistorical[[#This Row],[Health - old]], 1), "")</f>
        <v/>
      </c>
      <c r="AN171" s="343" t="str">
        <f>IFERROR(ROUND((tblPiNHistorical[[#This Row],[Overarching Protection - new]]-tblPiNHistorical[[#This Row],[Overarching Protection - old]])/tblPiNHistorical[[#This Row],[Overarching Protection - old]], 1), "")</f>
        <v/>
      </c>
      <c r="AO171" s="343" t="str">
        <f>IFERROR(ROUND((tblPiNHistorical[[#This Row],[Shelter - new]]-tblPiNHistorical[[#This Row],[Shelter - old]])/tblPiNHistorical[[#This Row],[Shelter - old]], 1), "")</f>
        <v/>
      </c>
      <c r="AP171" s="38" t="str">
        <f>IFERROR(ROUND((tblPiNHistorical[[#This Row],[WASH - new]]-tblPiNHistorical[[#This Row],[WASH - old]])/tblPiNHistorical[[#This Row],[WASH - old]], 1), "")</f>
        <v/>
      </c>
      <c r="AQ171" s="406">
        <v>0</v>
      </c>
      <c r="AR171" s="406">
        <v>2825.828042328043</v>
      </c>
    </row>
    <row r="172" spans="1:44" ht="15" customHeight="1" x14ac:dyDescent="0.55000000000000004">
      <c r="A17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2" s="316" t="s">
        <v>250</v>
      </c>
      <c r="C172" s="218" t="s">
        <v>251</v>
      </c>
      <c r="D172" s="218" t="s">
        <v>258</v>
      </c>
      <c r="E172" s="105" t="s">
        <v>259</v>
      </c>
      <c r="F172" s="100"/>
      <c r="G172" s="34"/>
      <c r="H172" s="335"/>
      <c r="I172" s="97"/>
      <c r="J172" s="97" t="s">
        <v>414</v>
      </c>
      <c r="K172" s="336">
        <v>0</v>
      </c>
      <c r="L172" s="337">
        <v>0</v>
      </c>
      <c r="M172" s="319">
        <v>0</v>
      </c>
      <c r="N172" s="319">
        <v>0</v>
      </c>
      <c r="O172" s="319">
        <v>0</v>
      </c>
      <c r="P172" s="319">
        <v>0</v>
      </c>
      <c r="Q172" s="320">
        <v>0</v>
      </c>
      <c r="R172" s="319">
        <v>0</v>
      </c>
      <c r="S172" s="235">
        <f>tblPiNAnalysis[[#This Row],[CCCM]]</f>
        <v>0.44999999999999996</v>
      </c>
      <c r="T172" s="236">
        <f>tblPiNAnalysis[[#This Row],[Education]]</f>
        <v>1.137</v>
      </c>
      <c r="U172" s="219">
        <f>tblPiNAnalysis[[#This Row],[Nutrition]]</f>
        <v>1.129330574868685</v>
      </c>
      <c r="V172" s="219">
        <f>tblPiNAnalysis[[#This Row],[Food Security]]</f>
        <v>2.128098076136046</v>
      </c>
      <c r="W172" s="219">
        <f>tblPiNAnalysis[[#This Row],[Health]]</f>
        <v>1.067681687297547</v>
      </c>
      <c r="X172" s="219">
        <f>tblPiNAnalysis[[#This Row],[Overarching Protection]]</f>
        <v>2</v>
      </c>
      <c r="Y172" s="219">
        <f>tblPiNAnalysis[[#This Row],[Shelter]]</f>
        <v>0</v>
      </c>
      <c r="Z172" s="230">
        <f>tblPiNAnalysis[[#This Row],[WASH]]</f>
        <v>1.5412844036697249</v>
      </c>
      <c r="AA172" s="339" t="str">
        <f>IF(OR(tblPiNHistorical[[#This Row],[CCCM - old]]="", tblPiNHistorical[[#This Row],[CCCM - old]]=0, tblPiNHistorical[[#This Row],[CCCM - new]]="", tblPiNHistorical[[#This Row],[CCCM - new]]=0), "", tblPiNHistorical[[#This Row],[CCCM - new]]-tblPiNHistorical[[#This Row],[CCCM - old]])</f>
        <v/>
      </c>
      <c r="AB172" s="340" t="str">
        <f>IF(OR(tblPiNHistorical[[#This Row],[Education - old]]="", tblPiNHistorical[[#This Row],[Education - old]]=0, tblPiNHistorical[[#This Row],[Education - new]]="", tblPiNHistorical[[#This Row],[Education - new]]=0), "", tblPiNHistorical[[#This Row],[Education - new]]-tblPiNHistorical[[#This Row],[Education - old]])</f>
        <v/>
      </c>
      <c r="AC172" s="340" t="str">
        <f>IF(OR(tblPiNHistorical[[#This Row],[Nutrition - old]]="", tblPiNHistorical[[#This Row],[Nutrition - old]]=0, tblPiNHistorical[[#This Row],[Nutrition - new]]="", tblPiNHistorical[[#This Row],[Nutrition - new]]=0), "", tblPiNHistorical[[#This Row],[Nutrition - new]]-tblPiNHistorical[[#This Row],[Nutrition - old]])</f>
        <v/>
      </c>
      <c r="AD172"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72" s="340" t="str">
        <f>IF(OR(tblPiNHistorical[[#This Row],[Health - old]]="", tblPiNHistorical[[#This Row],[Health - old]]=0, tblPiNHistorical[[#This Row],[Health - new]]="", tblPiNHistorical[[#This Row],[Health - new]]=0), "", tblPiNHistorical[[#This Row],[Health - new]]-tblPiNHistorical[[#This Row],[Health - old]])</f>
        <v/>
      </c>
      <c r="AF172"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72" s="340" t="str">
        <f>IF(OR(tblPiNHistorical[[#This Row],[Shelter - old]]="", tblPiNHistorical[[#This Row],[Shelter - old]]=0, tblPiNHistorical[[#This Row],[Shelter - new]]="", tblPiNHistorical[[#This Row],[Shelter - new]]=0), "", tblPiNHistorical[[#This Row],[Shelter - new]]-tblPiNHistorical[[#This Row],[Shelter - old]])</f>
        <v/>
      </c>
      <c r="AH172" s="341" t="str">
        <f>IF(OR(tblPiNHistorical[[#This Row],[WASH - old]]="", tblPiNHistorical[[#This Row],[WASH - old]]=0, tblPiNHistorical[[#This Row],[WASH - new]]="", tblPiNHistorical[[#This Row],[WASH - new]]=0), "", tblPiNHistorical[[#This Row],[WASH - new]]-tblPiNHistorical[[#This Row],[WASH - old]])</f>
        <v/>
      </c>
      <c r="AI172" s="342" t="str">
        <f>IFERROR(ROUND((tblPiNHistorical[[#This Row],[CCCM - new]] - tblPiNHistorical[[#This Row],[CCCM - old]])/tblPiNHistorical[[#This Row],[CCCM - old]], 1), "")</f>
        <v/>
      </c>
      <c r="AJ172" s="343" t="str">
        <f>IFERROR(ROUND((tblPiNHistorical[[#This Row],[Education - new]]-tblPiNHistorical[[#This Row],[Education - old]])/tblPiNHistorical[[#This Row],[Education - old]], 1), "")</f>
        <v/>
      </c>
      <c r="AK172" s="343" t="str">
        <f>IFERROR(ROUND((tblPiNHistorical[[#This Row],[Nutrition - new]]-tblPiNHistorical[[#This Row],[Nutrition - old]])/tblPiNHistorical[[#This Row],[Nutrition - old]], 1), "")</f>
        <v/>
      </c>
      <c r="AL172" s="343" t="str">
        <f>IFERROR(ROUND((tblPiNHistorical[[#This Row],[Food Security - new]]-tblPiNHistorical[[#This Row],[Food Security - old]])/tblPiNHistorical[[#This Row],[Food Security - old]], 1), "")</f>
        <v/>
      </c>
      <c r="AM172" s="343" t="str">
        <f>IFERROR(ROUND((tblPiNHistorical[[#This Row],[Health - new]]-tblPiNHistorical[[#This Row],[Health - old]])/tblPiNHistorical[[#This Row],[Health - old]], 1), "")</f>
        <v/>
      </c>
      <c r="AN172" s="343" t="str">
        <f>IFERROR(ROUND((tblPiNHistorical[[#This Row],[Overarching Protection - new]]-tblPiNHistorical[[#This Row],[Overarching Protection - old]])/tblPiNHistorical[[#This Row],[Overarching Protection - old]], 1), "")</f>
        <v/>
      </c>
      <c r="AO172" s="343" t="str">
        <f>IFERROR(ROUND((tblPiNHistorical[[#This Row],[Shelter - new]]-tblPiNHistorical[[#This Row],[Shelter - old]])/tblPiNHistorical[[#This Row],[Shelter - old]], 1), "")</f>
        <v/>
      </c>
      <c r="AP172" s="38" t="str">
        <f>IFERROR(ROUND((tblPiNHistorical[[#This Row],[WASH - new]]-tblPiNHistorical[[#This Row],[WASH - old]])/tblPiNHistorical[[#This Row],[WASH - old]], 1), "")</f>
        <v/>
      </c>
      <c r="AQ172" s="406">
        <v>0</v>
      </c>
      <c r="AR172" s="406">
        <v>2.128098076136046</v>
      </c>
    </row>
    <row r="173" spans="1:44" ht="15" customHeight="1" x14ac:dyDescent="0.55000000000000004">
      <c r="A17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3" s="316" t="s">
        <v>250</v>
      </c>
      <c r="C173" s="218" t="s">
        <v>251</v>
      </c>
      <c r="D173" s="218" t="s">
        <v>260</v>
      </c>
      <c r="E173" s="105" t="s">
        <v>261</v>
      </c>
      <c r="F173" s="100"/>
      <c r="G173" s="34"/>
      <c r="H173" s="335"/>
      <c r="I173" s="97"/>
      <c r="J173" s="97" t="s">
        <v>414</v>
      </c>
      <c r="K173" s="336">
        <v>12.893760368878953</v>
      </c>
      <c r="L173" s="337">
        <v>7</v>
      </c>
      <c r="M173" s="319">
        <v>50.488342319399983</v>
      </c>
      <c r="N173" s="319">
        <v>39</v>
      </c>
      <c r="O173" s="319">
        <v>34.382946084083031</v>
      </c>
      <c r="P173" s="319">
        <v>56.560474031304345</v>
      </c>
      <c r="Q173" s="320">
        <v>6.6121848045533103</v>
      </c>
      <c r="R173" s="319">
        <v>71.632002049327525</v>
      </c>
      <c r="S173" s="235">
        <f>tblPiNAnalysis[[#This Row],[CCCM]]</f>
        <v>1378.4357142857143</v>
      </c>
      <c r="T173" s="236">
        <f>tblPiNAnalysis[[#This Row],[Education]]</f>
        <v>2282.200657657143</v>
      </c>
      <c r="U173" s="219">
        <f>tblPiNAnalysis[[#This Row],[Nutrition]]</f>
        <v>3303.0990262308942</v>
      </c>
      <c r="V173" s="219">
        <f>tblPiNAnalysis[[#This Row],[Food Security]]</f>
        <v>4060.5776790519863</v>
      </c>
      <c r="W173" s="219">
        <f>tblPiNAnalysis[[#This Row],[Health]]</f>
        <v>4484.9662664830139</v>
      </c>
      <c r="X173" s="219">
        <f>tblPiNAnalysis[[#This Row],[Overarching Protection]]</f>
        <v>5391</v>
      </c>
      <c r="Y173" s="219">
        <f>tblPiNAnalysis[[#This Row],[Shelter]]</f>
        <v>0</v>
      </c>
      <c r="Z173" s="230">
        <f>tblPiNAnalysis[[#This Row],[WASH]]</f>
        <v>9104.4828042328045</v>
      </c>
      <c r="AA173" s="339">
        <f>IF(OR(tblPiNHistorical[[#This Row],[CCCM - old]]="", tblPiNHistorical[[#This Row],[CCCM - old]]=0, tblPiNHistorical[[#This Row],[CCCM - new]]="", tblPiNHistorical[[#This Row],[CCCM - new]]=0), "", tblPiNHistorical[[#This Row],[CCCM - new]]-tblPiNHistorical[[#This Row],[CCCM - old]])</f>
        <v>1365.5419539168354</v>
      </c>
      <c r="AB173" s="340">
        <f>IF(OR(tblPiNHistorical[[#This Row],[Education - old]]="", tblPiNHistorical[[#This Row],[Education - old]]=0, tblPiNHistorical[[#This Row],[Education - new]]="", tblPiNHistorical[[#This Row],[Education - new]]=0), "", tblPiNHistorical[[#This Row],[Education - new]]-tblPiNHistorical[[#This Row],[Education - old]])</f>
        <v>2275.200657657143</v>
      </c>
      <c r="AC173" s="340">
        <f>IF(OR(tblPiNHistorical[[#This Row],[Nutrition - old]]="", tblPiNHistorical[[#This Row],[Nutrition - old]]=0, tblPiNHistorical[[#This Row],[Nutrition - new]]="", tblPiNHistorical[[#This Row],[Nutrition - new]]=0), "", tblPiNHistorical[[#This Row],[Nutrition - new]]-tblPiNHistorical[[#This Row],[Nutrition - old]])</f>
        <v>3252.6106839114941</v>
      </c>
      <c r="AD173" s="340">
        <f>IF(OR(tblPiNHistorical[[#This Row],[Food Security - old]]="", tblPiNHistorical[[#This Row],[Food Security - old]]=0, tblPiNHistorical[[#This Row],[Food Security - new]]="", tblPiNHistorical[[#This Row],[Food Security - new]]=0), "", tblPiNHistorical[[#This Row],[Food Security - new]]-tblPiNHistorical[[#This Row],[Food Security - old]])</f>
        <v>4021.5776790519863</v>
      </c>
      <c r="AE173" s="340">
        <f>IF(OR(tblPiNHistorical[[#This Row],[Health - old]]="", tblPiNHistorical[[#This Row],[Health - old]]=0, tblPiNHistorical[[#This Row],[Health - new]]="", tblPiNHistorical[[#This Row],[Health - new]]=0), "", tblPiNHistorical[[#This Row],[Health - new]]-tblPiNHistorical[[#This Row],[Health - old]])</f>
        <v>4450.5833203989305</v>
      </c>
      <c r="AF17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5334.4395259686953</v>
      </c>
      <c r="AG173" s="340" t="str">
        <f>IF(OR(tblPiNHistorical[[#This Row],[Shelter - old]]="", tblPiNHistorical[[#This Row],[Shelter - old]]=0, tblPiNHistorical[[#This Row],[Shelter - new]]="", tblPiNHistorical[[#This Row],[Shelter - new]]=0), "", tblPiNHistorical[[#This Row],[Shelter - new]]-tblPiNHistorical[[#This Row],[Shelter - old]])</f>
        <v/>
      </c>
      <c r="AH173" s="341">
        <f>IF(OR(tblPiNHistorical[[#This Row],[WASH - old]]="", tblPiNHistorical[[#This Row],[WASH - old]]=0, tblPiNHistorical[[#This Row],[WASH - new]]="", tblPiNHistorical[[#This Row],[WASH - new]]=0), "", tblPiNHistorical[[#This Row],[WASH - new]]-tblPiNHistorical[[#This Row],[WASH - old]])</f>
        <v>9032.8508021834768</v>
      </c>
      <c r="AI173" s="342">
        <f>IFERROR(ROUND((tblPiNHistorical[[#This Row],[CCCM - new]] - tblPiNHistorical[[#This Row],[CCCM - old]])/tblPiNHistorical[[#This Row],[CCCM - old]], 1), "")</f>
        <v>105.9</v>
      </c>
      <c r="AJ173" s="343">
        <f>IFERROR(ROUND((tblPiNHistorical[[#This Row],[Education - new]]-tblPiNHistorical[[#This Row],[Education - old]])/tblPiNHistorical[[#This Row],[Education - old]], 1), "")</f>
        <v>325</v>
      </c>
      <c r="AK173" s="343">
        <f>IFERROR(ROUND((tblPiNHistorical[[#This Row],[Nutrition - new]]-tblPiNHistorical[[#This Row],[Nutrition - old]])/tblPiNHistorical[[#This Row],[Nutrition - old]], 1), "")</f>
        <v>64.400000000000006</v>
      </c>
      <c r="AL173" s="343">
        <f>IFERROR(ROUND((tblPiNHistorical[[#This Row],[Food Security - new]]-tblPiNHistorical[[#This Row],[Food Security - old]])/tblPiNHistorical[[#This Row],[Food Security - old]], 1), "")</f>
        <v>103.1</v>
      </c>
      <c r="AM173" s="343">
        <f>IFERROR(ROUND((tblPiNHistorical[[#This Row],[Health - new]]-tblPiNHistorical[[#This Row],[Health - old]])/tblPiNHistorical[[#This Row],[Health - old]], 1), "")</f>
        <v>129.4</v>
      </c>
      <c r="AN173" s="343">
        <f>IFERROR(ROUND((tblPiNHistorical[[#This Row],[Overarching Protection - new]]-tblPiNHistorical[[#This Row],[Overarching Protection - old]])/tblPiNHistorical[[#This Row],[Overarching Protection - old]], 1), "")</f>
        <v>94.3</v>
      </c>
      <c r="AO173" s="343">
        <f>IFERROR(ROUND((tblPiNHistorical[[#This Row],[Shelter - new]]-tblPiNHistorical[[#This Row],[Shelter - old]])/tblPiNHistorical[[#This Row],[Shelter - old]], 1), "")</f>
        <v>-1</v>
      </c>
      <c r="AP173" s="38">
        <f>IFERROR(ROUND((tblPiNHistorical[[#This Row],[WASH - new]]-tblPiNHistorical[[#This Row],[WASH - old]])/tblPiNHistorical[[#This Row],[WASH - old]], 1), "")</f>
        <v>126.1</v>
      </c>
      <c r="AQ173" s="406">
        <v>71.632002049327525</v>
      </c>
      <c r="AR173" s="406">
        <v>9104.4828042328045</v>
      </c>
    </row>
    <row r="174" spans="1:44" ht="15" customHeight="1" x14ac:dyDescent="0.55000000000000004">
      <c r="A17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4" s="316" t="s">
        <v>250</v>
      </c>
      <c r="C174" s="218" t="s">
        <v>251</v>
      </c>
      <c r="D174" s="218" t="s">
        <v>262</v>
      </c>
      <c r="E174" s="105" t="s">
        <v>263</v>
      </c>
      <c r="F174" s="100"/>
      <c r="G174" s="34"/>
      <c r="H174" s="335"/>
      <c r="I174" s="97"/>
      <c r="J174" s="97" t="s">
        <v>414</v>
      </c>
      <c r="K174" s="336">
        <v>1158.5</v>
      </c>
      <c r="L174" s="337">
        <v>0</v>
      </c>
      <c r="M174" s="319">
        <v>1108.0653803169962</v>
      </c>
      <c r="N174" s="319">
        <v>1347</v>
      </c>
      <c r="O174" s="319">
        <v>763.79857914406136</v>
      </c>
      <c r="P174" s="319">
        <v>1126.7737270812797</v>
      </c>
      <c r="Q174" s="320">
        <v>638.33333333333326</v>
      </c>
      <c r="R174" s="319">
        <v>709.25925925925912</v>
      </c>
      <c r="S174" s="235">
        <f>tblPiNAnalysis[[#This Row],[CCCM]]</f>
        <v>833.37857142857104</v>
      </c>
      <c r="T174" s="236">
        <f>tblPiNAnalysis[[#This Row],[Education]]</f>
        <v>297.01612285714276</v>
      </c>
      <c r="U174" s="219">
        <f>tblPiNAnalysis[[#This Row],[Nutrition]]</f>
        <v>1813.2198107737402</v>
      </c>
      <c r="V174" s="219">
        <f>tblPiNAnalysis[[#This Row],[Food Security]]</f>
        <v>3810.5358411483567</v>
      </c>
      <c r="W174" s="219">
        <f>tblPiNAnalysis[[#This Row],[Health]]</f>
        <v>2302.1554547108562</v>
      </c>
      <c r="X174" s="219">
        <f>tblPiNAnalysis[[#This Row],[Overarching Protection]]</f>
        <v>3812</v>
      </c>
      <c r="Y174" s="219">
        <f>tblPiNAnalysis[[#This Row],[Shelter]]</f>
        <v>3472.4107142857129</v>
      </c>
      <c r="Z174" s="230">
        <f>tblPiNAnalysis[[#This Row],[WASH]]</f>
        <v>1624.8261455525599</v>
      </c>
      <c r="AA174" s="339">
        <f>IF(OR(tblPiNHistorical[[#This Row],[CCCM - old]]="", tblPiNHistorical[[#This Row],[CCCM - old]]=0, tblPiNHistorical[[#This Row],[CCCM - new]]="", tblPiNHistorical[[#This Row],[CCCM - new]]=0), "", tblPiNHistorical[[#This Row],[CCCM - new]]-tblPiNHistorical[[#This Row],[CCCM - old]])</f>
        <v>-325.12142857142896</v>
      </c>
      <c r="AB174" s="340" t="str">
        <f>IF(OR(tblPiNHistorical[[#This Row],[Education - old]]="", tblPiNHistorical[[#This Row],[Education - old]]=0, tblPiNHistorical[[#This Row],[Education - new]]="", tblPiNHistorical[[#This Row],[Education - new]]=0), "", tblPiNHistorical[[#This Row],[Education - new]]-tblPiNHistorical[[#This Row],[Education - old]])</f>
        <v/>
      </c>
      <c r="AC174" s="340">
        <f>IF(OR(tblPiNHistorical[[#This Row],[Nutrition - old]]="", tblPiNHistorical[[#This Row],[Nutrition - old]]=0, tblPiNHistorical[[#This Row],[Nutrition - new]]="", tblPiNHistorical[[#This Row],[Nutrition - new]]=0), "", tblPiNHistorical[[#This Row],[Nutrition - new]]-tblPiNHistorical[[#This Row],[Nutrition - old]])</f>
        <v>705.15443045674397</v>
      </c>
      <c r="AD174" s="340">
        <f>IF(OR(tblPiNHistorical[[#This Row],[Food Security - old]]="", tblPiNHistorical[[#This Row],[Food Security - old]]=0, tblPiNHistorical[[#This Row],[Food Security - new]]="", tblPiNHistorical[[#This Row],[Food Security - new]]=0), "", tblPiNHistorical[[#This Row],[Food Security - new]]-tblPiNHistorical[[#This Row],[Food Security - old]])</f>
        <v>2463.5358411483567</v>
      </c>
      <c r="AE174" s="340">
        <f>IF(OR(tblPiNHistorical[[#This Row],[Health - old]]="", tblPiNHistorical[[#This Row],[Health - old]]=0, tblPiNHistorical[[#This Row],[Health - new]]="", tblPiNHistorical[[#This Row],[Health - new]]=0), "", tblPiNHistorical[[#This Row],[Health - new]]-tblPiNHistorical[[#This Row],[Health - old]])</f>
        <v>1538.3568755667948</v>
      </c>
      <c r="AF17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2685.2262729187205</v>
      </c>
      <c r="AG174" s="340">
        <f>IF(OR(tblPiNHistorical[[#This Row],[Shelter - old]]="", tblPiNHistorical[[#This Row],[Shelter - old]]=0, tblPiNHistorical[[#This Row],[Shelter - new]]="", tblPiNHistorical[[#This Row],[Shelter - new]]=0), "", tblPiNHistorical[[#This Row],[Shelter - new]]-tblPiNHistorical[[#This Row],[Shelter - old]])</f>
        <v>2834.0773809523798</v>
      </c>
      <c r="AH174" s="341">
        <f>IF(OR(tblPiNHistorical[[#This Row],[WASH - old]]="", tblPiNHistorical[[#This Row],[WASH - old]]=0, tblPiNHistorical[[#This Row],[WASH - new]]="", tblPiNHistorical[[#This Row],[WASH - new]]=0), "", tblPiNHistorical[[#This Row],[WASH - new]]-tblPiNHistorical[[#This Row],[WASH - old]])</f>
        <v>915.56688629330074</v>
      </c>
      <c r="AI174" s="342">
        <f>IFERROR(ROUND((tblPiNHistorical[[#This Row],[CCCM - new]] - tblPiNHistorical[[#This Row],[CCCM - old]])/tblPiNHistorical[[#This Row],[CCCM - old]], 1), "")</f>
        <v>-0.3</v>
      </c>
      <c r="AJ174" s="343" t="str">
        <f>IFERROR(ROUND((tblPiNHistorical[[#This Row],[Education - new]]-tblPiNHistorical[[#This Row],[Education - old]])/tblPiNHistorical[[#This Row],[Education - old]], 1), "")</f>
        <v/>
      </c>
      <c r="AK174" s="343">
        <f>IFERROR(ROUND((tblPiNHistorical[[#This Row],[Nutrition - new]]-tblPiNHistorical[[#This Row],[Nutrition - old]])/tblPiNHistorical[[#This Row],[Nutrition - old]], 1), "")</f>
        <v>0.6</v>
      </c>
      <c r="AL174" s="343">
        <f>IFERROR(ROUND((tblPiNHistorical[[#This Row],[Food Security - new]]-tblPiNHistorical[[#This Row],[Food Security - old]])/tblPiNHistorical[[#This Row],[Food Security - old]], 1), "")</f>
        <v>1.8</v>
      </c>
      <c r="AM174" s="343">
        <f>IFERROR(ROUND((tblPiNHistorical[[#This Row],[Health - new]]-tblPiNHistorical[[#This Row],[Health - old]])/tblPiNHistorical[[#This Row],[Health - old]], 1), "")</f>
        <v>2</v>
      </c>
      <c r="AN174" s="343">
        <f>IFERROR(ROUND((tblPiNHistorical[[#This Row],[Overarching Protection - new]]-tblPiNHistorical[[#This Row],[Overarching Protection - old]])/tblPiNHistorical[[#This Row],[Overarching Protection - old]], 1), "")</f>
        <v>2.4</v>
      </c>
      <c r="AO174" s="343">
        <f>IFERROR(ROUND((tblPiNHistorical[[#This Row],[Shelter - new]]-tblPiNHistorical[[#This Row],[Shelter - old]])/tblPiNHistorical[[#This Row],[Shelter - old]], 1), "")</f>
        <v>4.4000000000000004</v>
      </c>
      <c r="AP174" s="38">
        <f>IFERROR(ROUND((tblPiNHistorical[[#This Row],[WASH - new]]-tblPiNHistorical[[#This Row],[WASH - old]])/tblPiNHistorical[[#This Row],[WASH - old]], 1), "")</f>
        <v>1.3</v>
      </c>
      <c r="AQ174" s="406">
        <v>1347</v>
      </c>
      <c r="AR174" s="406">
        <v>3812</v>
      </c>
    </row>
    <row r="175" spans="1:44" ht="15" customHeight="1" x14ac:dyDescent="0.55000000000000004">
      <c r="A17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5" s="316" t="s">
        <v>250</v>
      </c>
      <c r="C175" s="218" t="s">
        <v>251</v>
      </c>
      <c r="D175" s="218" t="s">
        <v>264</v>
      </c>
      <c r="E175" s="105" t="s">
        <v>265</v>
      </c>
      <c r="F175" s="100"/>
      <c r="G175" s="34"/>
      <c r="H175" s="335"/>
      <c r="I175" s="97"/>
      <c r="J175" s="97" t="s">
        <v>414</v>
      </c>
      <c r="K175" s="336">
        <v>5360.55</v>
      </c>
      <c r="L175" s="337">
        <v>1602</v>
      </c>
      <c r="M175" s="319">
        <v>18736.790812572472</v>
      </c>
      <c r="N175" s="319">
        <v>8157</v>
      </c>
      <c r="O175" s="319">
        <v>11232.825646453639</v>
      </c>
      <c r="P175" s="319">
        <v>24083.027260429808</v>
      </c>
      <c r="Q175" s="320">
        <v>4510.4951456310673</v>
      </c>
      <c r="R175" s="319">
        <v>12786.633027522936</v>
      </c>
      <c r="S175" s="235">
        <f>tblPiNAnalysis[[#This Row],[CCCM]]</f>
        <v>4973.871428571435</v>
      </c>
      <c r="T175" s="236">
        <f>tblPiNAnalysis[[#This Row],[Education]]</f>
        <v>2180.8337188285741</v>
      </c>
      <c r="U175" s="219">
        <f>tblPiNAnalysis[[#This Row],[Nutrition]]</f>
        <v>10792.352511601137</v>
      </c>
      <c r="V175" s="219">
        <f>tblPiNAnalysis[[#This Row],[Food Security]]</f>
        <v>8030.1261699276547</v>
      </c>
      <c r="W175" s="219">
        <f>tblPiNAnalysis[[#This Row],[Health]]</f>
        <v>17319.565796218794</v>
      </c>
      <c r="X175" s="219">
        <f>tblPiNAnalysis[[#This Row],[Overarching Protection]]</f>
        <v>21427</v>
      </c>
      <c r="Y175" s="219">
        <f>tblPiNAnalysis[[#This Row],[Shelter]]</f>
        <v>3789.6163265306172</v>
      </c>
      <c r="Z175" s="230">
        <f>tblPiNAnalysis[[#This Row],[WASH]]</f>
        <v>11466.245660881188</v>
      </c>
      <c r="AA175" s="339">
        <f>IF(OR(tblPiNHistorical[[#This Row],[CCCM - old]]="", tblPiNHistorical[[#This Row],[CCCM - old]]=0, tblPiNHistorical[[#This Row],[CCCM - new]]="", tblPiNHistorical[[#This Row],[CCCM - new]]=0), "", tblPiNHistorical[[#This Row],[CCCM - new]]-tblPiNHistorical[[#This Row],[CCCM - old]])</f>
        <v>-386.67857142856519</v>
      </c>
      <c r="AB175" s="340">
        <f>IF(OR(tblPiNHistorical[[#This Row],[Education - old]]="", tblPiNHistorical[[#This Row],[Education - old]]=0, tblPiNHistorical[[#This Row],[Education - new]]="", tblPiNHistorical[[#This Row],[Education - new]]=0), "", tblPiNHistorical[[#This Row],[Education - new]]-tblPiNHistorical[[#This Row],[Education - old]])</f>
        <v>578.83371882857409</v>
      </c>
      <c r="AC175" s="340">
        <f>IF(OR(tblPiNHistorical[[#This Row],[Nutrition - old]]="", tblPiNHistorical[[#This Row],[Nutrition - old]]=0, tblPiNHistorical[[#This Row],[Nutrition - new]]="", tblPiNHistorical[[#This Row],[Nutrition - new]]=0), "", tblPiNHistorical[[#This Row],[Nutrition - new]]-tblPiNHistorical[[#This Row],[Nutrition - old]])</f>
        <v>-7944.4383009713347</v>
      </c>
      <c r="AD175" s="340">
        <f>IF(OR(tblPiNHistorical[[#This Row],[Food Security - old]]="", tblPiNHistorical[[#This Row],[Food Security - old]]=0, tblPiNHistorical[[#This Row],[Food Security - new]]="", tblPiNHistorical[[#This Row],[Food Security - new]]=0), "", tblPiNHistorical[[#This Row],[Food Security - new]]-tblPiNHistorical[[#This Row],[Food Security - old]])</f>
        <v>-126.8738300723453</v>
      </c>
      <c r="AE175" s="340">
        <f>IF(OR(tblPiNHistorical[[#This Row],[Health - old]]="", tblPiNHistorical[[#This Row],[Health - old]]=0, tblPiNHistorical[[#This Row],[Health - new]]="", tblPiNHistorical[[#This Row],[Health - new]]=0), "", tblPiNHistorical[[#This Row],[Health - new]]-tblPiNHistorical[[#This Row],[Health - old]])</f>
        <v>6086.7401497651554</v>
      </c>
      <c r="AF17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-2656.0272604298079</v>
      </c>
      <c r="AG175" s="340">
        <f>IF(OR(tblPiNHistorical[[#This Row],[Shelter - old]]="", tblPiNHistorical[[#This Row],[Shelter - old]]=0, tblPiNHistorical[[#This Row],[Shelter - new]]="", tblPiNHistorical[[#This Row],[Shelter - new]]=0), "", tblPiNHistorical[[#This Row],[Shelter - new]]-tblPiNHistorical[[#This Row],[Shelter - old]])</f>
        <v>-720.87881910045007</v>
      </c>
      <c r="AH175" s="341">
        <f>IF(OR(tblPiNHistorical[[#This Row],[WASH - old]]="", tblPiNHistorical[[#This Row],[WASH - old]]=0, tblPiNHistorical[[#This Row],[WASH - new]]="", tblPiNHistorical[[#This Row],[WASH - new]]=0), "", tblPiNHistorical[[#This Row],[WASH - new]]-tblPiNHistorical[[#This Row],[WASH - old]])</f>
        <v>-1320.3873666417476</v>
      </c>
      <c r="AI175" s="342">
        <f>IFERROR(ROUND((tblPiNHistorical[[#This Row],[CCCM - new]] - tblPiNHistorical[[#This Row],[CCCM - old]])/tblPiNHistorical[[#This Row],[CCCM - old]], 1), "")</f>
        <v>-0.1</v>
      </c>
      <c r="AJ175" s="343">
        <f>IFERROR(ROUND((tblPiNHistorical[[#This Row],[Education - new]]-tblPiNHistorical[[#This Row],[Education - old]])/tblPiNHistorical[[#This Row],[Education - old]], 1), "")</f>
        <v>0.4</v>
      </c>
      <c r="AK175" s="343">
        <f>IFERROR(ROUND((tblPiNHistorical[[#This Row],[Nutrition - new]]-tblPiNHistorical[[#This Row],[Nutrition - old]])/tblPiNHistorical[[#This Row],[Nutrition - old]], 1), "")</f>
        <v>-0.4</v>
      </c>
      <c r="AL175" s="343">
        <f>IFERROR(ROUND((tblPiNHistorical[[#This Row],[Food Security - new]]-tblPiNHistorical[[#This Row],[Food Security - old]])/tblPiNHistorical[[#This Row],[Food Security - old]], 1), "")</f>
        <v>0</v>
      </c>
      <c r="AM175" s="343">
        <f>IFERROR(ROUND((tblPiNHistorical[[#This Row],[Health - new]]-tblPiNHistorical[[#This Row],[Health - old]])/tblPiNHistorical[[#This Row],[Health - old]], 1), "")</f>
        <v>0.5</v>
      </c>
      <c r="AN175" s="343">
        <f>IFERROR(ROUND((tblPiNHistorical[[#This Row],[Overarching Protection - new]]-tblPiNHistorical[[#This Row],[Overarching Protection - old]])/tblPiNHistorical[[#This Row],[Overarching Protection - old]], 1), "")</f>
        <v>-0.1</v>
      </c>
      <c r="AO175" s="343">
        <f>IFERROR(ROUND((tblPiNHistorical[[#This Row],[Shelter - new]]-tblPiNHistorical[[#This Row],[Shelter - old]])/tblPiNHistorical[[#This Row],[Shelter - old]], 1), "")</f>
        <v>-0.2</v>
      </c>
      <c r="AP175" s="38">
        <f>IFERROR(ROUND((tblPiNHistorical[[#This Row],[WASH - new]]-tblPiNHistorical[[#This Row],[WASH - old]])/tblPiNHistorical[[#This Row],[WASH - old]], 1), "")</f>
        <v>-0.1</v>
      </c>
      <c r="AQ175" s="406">
        <v>24083.027260429808</v>
      </c>
      <c r="AR175" s="406">
        <v>21427</v>
      </c>
    </row>
    <row r="176" spans="1:44" ht="15" customHeight="1" x14ac:dyDescent="0.55000000000000004">
      <c r="A17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6" s="316" t="s">
        <v>250</v>
      </c>
      <c r="C176" s="218" t="s">
        <v>251</v>
      </c>
      <c r="D176" s="218" t="s">
        <v>266</v>
      </c>
      <c r="E176" s="105" t="s">
        <v>267</v>
      </c>
      <c r="F176" s="100"/>
      <c r="G176" s="34"/>
      <c r="H176" s="335"/>
      <c r="I176" s="97"/>
      <c r="J176" s="97" t="s">
        <v>414</v>
      </c>
      <c r="K176" s="336">
        <v>258.3</v>
      </c>
      <c r="L176" s="337">
        <v>397</v>
      </c>
      <c r="M176" s="319">
        <v>987.27518816084887</v>
      </c>
      <c r="N176" s="319">
        <v>1215</v>
      </c>
      <c r="O176" s="319">
        <v>626.00677988482016</v>
      </c>
      <c r="P176" s="319">
        <v>1027.5472542496661</v>
      </c>
      <c r="Q176" s="320">
        <v>574</v>
      </c>
      <c r="R176" s="319">
        <v>1426.8</v>
      </c>
      <c r="S176" s="235">
        <f>tblPiNAnalysis[[#This Row],[CCCM]]</f>
        <v>1381.4357142857143</v>
      </c>
      <c r="T176" s="236">
        <f>tblPiNAnalysis[[#This Row],[Education]]</f>
        <v>1030.3484322857144</v>
      </c>
      <c r="U176" s="219">
        <f>tblPiNAnalysis[[#This Row],[Nutrition]]</f>
        <v>4488.2800443609649</v>
      </c>
      <c r="V176" s="219">
        <f>tblPiNAnalysis[[#This Row],[Food Security]]</f>
        <v>5171.175513848053</v>
      </c>
      <c r="W176" s="219">
        <f>tblPiNAnalysis[[#This Row],[Health]]</f>
        <v>7293.5618992240752</v>
      </c>
      <c r="X176" s="219">
        <f>tblPiNAnalysis[[#This Row],[Overarching Protection]]</f>
        <v>5385</v>
      </c>
      <c r="Y176" s="219">
        <f>tblPiNAnalysis[[#This Row],[Shelter]]</f>
        <v>7367.6571428571442</v>
      </c>
      <c r="Z176" s="230">
        <f>tblPiNAnalysis[[#This Row],[WASH]]</f>
        <v>6362.976623376624</v>
      </c>
      <c r="AA176" s="339">
        <f>IF(OR(tblPiNHistorical[[#This Row],[CCCM - old]]="", tblPiNHistorical[[#This Row],[CCCM - old]]=0, tblPiNHistorical[[#This Row],[CCCM - new]]="", tblPiNHistorical[[#This Row],[CCCM - new]]=0), "", tblPiNHistorical[[#This Row],[CCCM - new]]-tblPiNHistorical[[#This Row],[CCCM - old]])</f>
        <v>1123.1357142857144</v>
      </c>
      <c r="AB176" s="340">
        <f>IF(OR(tblPiNHistorical[[#This Row],[Education - old]]="", tblPiNHistorical[[#This Row],[Education - old]]=0, tblPiNHistorical[[#This Row],[Education - new]]="", tblPiNHistorical[[#This Row],[Education - new]]=0), "", tblPiNHistorical[[#This Row],[Education - new]]-tblPiNHistorical[[#This Row],[Education - old]])</f>
        <v>633.34843228571435</v>
      </c>
      <c r="AC176" s="340">
        <f>IF(OR(tblPiNHistorical[[#This Row],[Nutrition - old]]="", tblPiNHistorical[[#This Row],[Nutrition - old]]=0, tblPiNHistorical[[#This Row],[Nutrition - new]]="", tblPiNHistorical[[#This Row],[Nutrition - new]]=0), "", tblPiNHistorical[[#This Row],[Nutrition - new]]-tblPiNHistorical[[#This Row],[Nutrition - old]])</f>
        <v>3501.0048562001161</v>
      </c>
      <c r="AD176" s="340">
        <f>IF(OR(tblPiNHistorical[[#This Row],[Food Security - old]]="", tblPiNHistorical[[#This Row],[Food Security - old]]=0, tblPiNHistorical[[#This Row],[Food Security - new]]="", tblPiNHistorical[[#This Row],[Food Security - new]]=0), "", tblPiNHistorical[[#This Row],[Food Security - new]]-tblPiNHistorical[[#This Row],[Food Security - old]])</f>
        <v>3956.175513848053</v>
      </c>
      <c r="AE176" s="340">
        <f>IF(OR(tblPiNHistorical[[#This Row],[Health - old]]="", tblPiNHistorical[[#This Row],[Health - old]]=0, tblPiNHistorical[[#This Row],[Health - new]]="", tblPiNHistorical[[#This Row],[Health - new]]=0), "", tblPiNHistorical[[#This Row],[Health - new]]-tblPiNHistorical[[#This Row],[Health - old]])</f>
        <v>6667.5551193392548</v>
      </c>
      <c r="AF17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4357.4527457503336</v>
      </c>
      <c r="AG176" s="340">
        <f>IF(OR(tblPiNHistorical[[#This Row],[Shelter - old]]="", tblPiNHistorical[[#This Row],[Shelter - old]]=0, tblPiNHistorical[[#This Row],[Shelter - new]]="", tblPiNHistorical[[#This Row],[Shelter - new]]=0), "", tblPiNHistorical[[#This Row],[Shelter - new]]-tblPiNHistorical[[#This Row],[Shelter - old]])</f>
        <v>6793.6571428571442</v>
      </c>
      <c r="AH176" s="341">
        <f>IF(OR(tblPiNHistorical[[#This Row],[WASH - old]]="", tblPiNHistorical[[#This Row],[WASH - old]]=0, tblPiNHistorical[[#This Row],[WASH - new]]="", tblPiNHistorical[[#This Row],[WASH - new]]=0), "", tblPiNHistorical[[#This Row],[WASH - new]]-tblPiNHistorical[[#This Row],[WASH - old]])</f>
        <v>4936.1766233766239</v>
      </c>
      <c r="AI176" s="342">
        <f>IFERROR(ROUND((tblPiNHistorical[[#This Row],[CCCM - new]] - tblPiNHistorical[[#This Row],[CCCM - old]])/tblPiNHistorical[[#This Row],[CCCM - old]], 1), "")</f>
        <v>4.3</v>
      </c>
      <c r="AJ176" s="343">
        <f>IFERROR(ROUND((tblPiNHistorical[[#This Row],[Education - new]]-tblPiNHistorical[[#This Row],[Education - old]])/tblPiNHistorical[[#This Row],[Education - old]], 1), "")</f>
        <v>1.6</v>
      </c>
      <c r="AK176" s="343">
        <f>IFERROR(ROUND((tblPiNHistorical[[#This Row],[Nutrition - new]]-tblPiNHistorical[[#This Row],[Nutrition - old]])/tblPiNHistorical[[#This Row],[Nutrition - old]], 1), "")</f>
        <v>3.5</v>
      </c>
      <c r="AL176" s="343">
        <f>IFERROR(ROUND((tblPiNHistorical[[#This Row],[Food Security - new]]-tblPiNHistorical[[#This Row],[Food Security - old]])/tblPiNHistorical[[#This Row],[Food Security - old]], 1), "")</f>
        <v>3.3</v>
      </c>
      <c r="AM176" s="343">
        <f>IFERROR(ROUND((tblPiNHistorical[[#This Row],[Health - new]]-tblPiNHistorical[[#This Row],[Health - old]])/tblPiNHistorical[[#This Row],[Health - old]], 1), "")</f>
        <v>10.7</v>
      </c>
      <c r="AN176" s="343">
        <f>IFERROR(ROUND((tblPiNHistorical[[#This Row],[Overarching Protection - new]]-tblPiNHistorical[[#This Row],[Overarching Protection - old]])/tblPiNHistorical[[#This Row],[Overarching Protection - old]], 1), "")</f>
        <v>4.2</v>
      </c>
      <c r="AO176" s="343">
        <f>IFERROR(ROUND((tblPiNHistorical[[#This Row],[Shelter - new]]-tblPiNHistorical[[#This Row],[Shelter - old]])/tblPiNHistorical[[#This Row],[Shelter - old]], 1), "")</f>
        <v>11.8</v>
      </c>
      <c r="AP176" s="38">
        <f>IFERROR(ROUND((tblPiNHistorical[[#This Row],[WASH - new]]-tblPiNHistorical[[#This Row],[WASH - old]])/tblPiNHistorical[[#This Row],[WASH - old]], 1), "")</f>
        <v>3.5</v>
      </c>
      <c r="AQ176" s="406">
        <v>1426.8</v>
      </c>
      <c r="AR176" s="406">
        <v>7367.6571428571442</v>
      </c>
    </row>
    <row r="177" spans="1:44" ht="15" customHeight="1" x14ac:dyDescent="0.55000000000000004">
      <c r="A17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7" s="316" t="s">
        <v>268</v>
      </c>
      <c r="C177" s="218" t="s">
        <v>269</v>
      </c>
      <c r="D177" s="218" t="s">
        <v>270</v>
      </c>
      <c r="E177" s="105" t="s">
        <v>271</v>
      </c>
      <c r="F177" s="100"/>
      <c r="G177" s="34"/>
      <c r="H177" s="335"/>
      <c r="I177" s="97"/>
      <c r="J177" s="97" t="s">
        <v>414</v>
      </c>
      <c r="K177" s="336">
        <v>4341</v>
      </c>
      <c r="L177" s="337">
        <v>504</v>
      </c>
      <c r="M177" s="319">
        <v>2485.5842671605892</v>
      </c>
      <c r="N177" s="319">
        <v>3850</v>
      </c>
      <c r="O177" s="319">
        <v>2495.7097708769056</v>
      </c>
      <c r="P177" s="319">
        <v>3773.7269605712909</v>
      </c>
      <c r="Q177" s="320">
        <v>2838.3461538461538</v>
      </c>
      <c r="R177" s="319">
        <v>2411.666666666667</v>
      </c>
      <c r="S177" s="235">
        <f>tblPiNAnalysis[[#This Row],[CCCM]]</f>
        <v>1035.6390209310305</v>
      </c>
      <c r="T177" s="236">
        <f>tblPiNAnalysis[[#This Row],[Education]]</f>
        <v>1361.7410358417935</v>
      </c>
      <c r="U177" s="219">
        <f>tblPiNAnalysis[[#This Row],[Nutrition]]</f>
        <v>3071.9868399525189</v>
      </c>
      <c r="V177" s="219">
        <f>tblPiNAnalysis[[#This Row],[Food Security]]</f>
        <v>5932.133306451582</v>
      </c>
      <c r="W177" s="219">
        <f>tblPiNAnalysis[[#This Row],[Health]]</f>
        <v>3695.9172905173059</v>
      </c>
      <c r="X177" s="219">
        <f>tblPiNAnalysis[[#This Row],[Overarching Protection]]</f>
        <v>5270</v>
      </c>
      <c r="Y177" s="219">
        <f>tblPiNAnalysis[[#This Row],[Shelter]]</f>
        <v>6904.2601395402035</v>
      </c>
      <c r="Z177" s="230">
        <f>tblPiNAnalysis[[#This Row],[WASH]]</f>
        <v>3452.1300697701017</v>
      </c>
      <c r="AA177" s="339">
        <f>IF(OR(tblPiNHistorical[[#This Row],[CCCM - old]]="", tblPiNHistorical[[#This Row],[CCCM - old]]=0, tblPiNHistorical[[#This Row],[CCCM - new]]="", tblPiNHistorical[[#This Row],[CCCM - new]]=0), "", tblPiNHistorical[[#This Row],[CCCM - new]]-tblPiNHistorical[[#This Row],[CCCM - old]])</f>
        <v>-3305.3609790689698</v>
      </c>
      <c r="AB177" s="340">
        <f>IF(OR(tblPiNHistorical[[#This Row],[Education - old]]="", tblPiNHistorical[[#This Row],[Education - old]]=0, tblPiNHistorical[[#This Row],[Education - new]]="", tblPiNHistorical[[#This Row],[Education - new]]=0), "", tblPiNHistorical[[#This Row],[Education - new]]-tblPiNHistorical[[#This Row],[Education - old]])</f>
        <v>857.74103584179352</v>
      </c>
      <c r="AC177" s="340">
        <f>IF(OR(tblPiNHistorical[[#This Row],[Nutrition - old]]="", tblPiNHistorical[[#This Row],[Nutrition - old]]=0, tblPiNHistorical[[#This Row],[Nutrition - new]]="", tblPiNHistorical[[#This Row],[Nutrition - new]]=0), "", tblPiNHistorical[[#This Row],[Nutrition - new]]-tblPiNHistorical[[#This Row],[Nutrition - old]])</f>
        <v>586.40257279192974</v>
      </c>
      <c r="AD177" s="340">
        <f>IF(OR(tblPiNHistorical[[#This Row],[Food Security - old]]="", tblPiNHistorical[[#This Row],[Food Security - old]]=0, tblPiNHistorical[[#This Row],[Food Security - new]]="", tblPiNHistorical[[#This Row],[Food Security - new]]=0), "", tblPiNHistorical[[#This Row],[Food Security - new]]-tblPiNHistorical[[#This Row],[Food Security - old]])</f>
        <v>2082.133306451582</v>
      </c>
      <c r="AE177" s="340">
        <f>IF(OR(tblPiNHistorical[[#This Row],[Health - old]]="", tblPiNHistorical[[#This Row],[Health - old]]=0, tblPiNHistorical[[#This Row],[Health - new]]="", tblPiNHistorical[[#This Row],[Health - new]]=0), "", tblPiNHistorical[[#This Row],[Health - new]]-tblPiNHistorical[[#This Row],[Health - old]])</f>
        <v>1200.2075196404003</v>
      </c>
      <c r="AF17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1496.2730394287091</v>
      </c>
      <c r="AG177" s="340">
        <f>IF(OR(tblPiNHistorical[[#This Row],[Shelter - old]]="", tblPiNHistorical[[#This Row],[Shelter - old]]=0, tblPiNHistorical[[#This Row],[Shelter - new]]="", tblPiNHistorical[[#This Row],[Shelter - new]]=0), "", tblPiNHistorical[[#This Row],[Shelter - new]]-tblPiNHistorical[[#This Row],[Shelter - old]])</f>
        <v>4065.9139856940496</v>
      </c>
      <c r="AH177" s="341">
        <f>IF(OR(tblPiNHistorical[[#This Row],[WASH - old]]="", tblPiNHistorical[[#This Row],[WASH - old]]=0, tblPiNHistorical[[#This Row],[WASH - new]]="", tblPiNHistorical[[#This Row],[WASH - new]]=0), "", tblPiNHistorical[[#This Row],[WASH - new]]-tblPiNHistorical[[#This Row],[WASH - old]])</f>
        <v>1040.4634031034348</v>
      </c>
      <c r="AI177" s="342">
        <f>IFERROR(ROUND((tblPiNHistorical[[#This Row],[CCCM - new]] - tblPiNHistorical[[#This Row],[CCCM - old]])/tblPiNHistorical[[#This Row],[CCCM - old]], 1), "")</f>
        <v>-0.8</v>
      </c>
      <c r="AJ177" s="343">
        <f>IFERROR(ROUND((tblPiNHistorical[[#This Row],[Education - new]]-tblPiNHistorical[[#This Row],[Education - old]])/tblPiNHistorical[[#This Row],[Education - old]], 1), "")</f>
        <v>1.7</v>
      </c>
      <c r="AK177" s="343">
        <f>IFERROR(ROUND((tblPiNHistorical[[#This Row],[Nutrition - new]]-tblPiNHistorical[[#This Row],[Nutrition - old]])/tblPiNHistorical[[#This Row],[Nutrition - old]], 1), "")</f>
        <v>0.2</v>
      </c>
      <c r="AL177" s="343">
        <f>IFERROR(ROUND((tblPiNHistorical[[#This Row],[Food Security - new]]-tblPiNHistorical[[#This Row],[Food Security - old]])/tblPiNHistorical[[#This Row],[Food Security - old]], 1), "")</f>
        <v>0.5</v>
      </c>
      <c r="AM177" s="343">
        <f>IFERROR(ROUND((tblPiNHistorical[[#This Row],[Health - new]]-tblPiNHistorical[[#This Row],[Health - old]])/tblPiNHistorical[[#This Row],[Health - old]], 1), "")</f>
        <v>0.5</v>
      </c>
      <c r="AN177" s="343">
        <f>IFERROR(ROUND((tblPiNHistorical[[#This Row],[Overarching Protection - new]]-tblPiNHistorical[[#This Row],[Overarching Protection - old]])/tblPiNHistorical[[#This Row],[Overarching Protection - old]], 1), "")</f>
        <v>0.4</v>
      </c>
      <c r="AO177" s="343">
        <f>IFERROR(ROUND((tblPiNHistorical[[#This Row],[Shelter - new]]-tblPiNHistorical[[#This Row],[Shelter - old]])/tblPiNHistorical[[#This Row],[Shelter - old]], 1), "")</f>
        <v>1.4</v>
      </c>
      <c r="AP177" s="38">
        <f>IFERROR(ROUND((tblPiNHistorical[[#This Row],[WASH - new]]-tblPiNHistorical[[#This Row],[WASH - old]])/tblPiNHistorical[[#This Row],[WASH - old]], 1), "")</f>
        <v>0.4</v>
      </c>
      <c r="AQ177" s="406">
        <v>4341</v>
      </c>
      <c r="AR177" s="406">
        <v>6904.2601395402035</v>
      </c>
    </row>
    <row r="178" spans="1:44" ht="15" customHeight="1" x14ac:dyDescent="0.55000000000000004">
      <c r="A17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8" s="316" t="s">
        <v>268</v>
      </c>
      <c r="C178" s="218" t="s">
        <v>269</v>
      </c>
      <c r="D178" s="218" t="s">
        <v>272</v>
      </c>
      <c r="E178" s="105" t="s">
        <v>273</v>
      </c>
      <c r="F178" s="100"/>
      <c r="G178" s="34"/>
      <c r="H178" s="335"/>
      <c r="I178" s="97"/>
      <c r="J178" s="97" t="s">
        <v>414</v>
      </c>
      <c r="K178" s="336">
        <v>982.24666490119864</v>
      </c>
      <c r="L178" s="337">
        <v>1514</v>
      </c>
      <c r="M178" s="319">
        <v>3687.4667301143872</v>
      </c>
      <c r="N178" s="319">
        <v>5354</v>
      </c>
      <c r="O178" s="319">
        <v>2219.3081959372203</v>
      </c>
      <c r="P178" s="319">
        <v>4390.2658015157213</v>
      </c>
      <c r="Q178" s="320">
        <v>779.56084515968143</v>
      </c>
      <c r="R178" s="319">
        <v>5578.1909364759431</v>
      </c>
      <c r="S178" s="235">
        <f>tblPiNAnalysis[[#This Row],[CCCM]]</f>
        <v>2910.4204683747021</v>
      </c>
      <c r="T178" s="236">
        <f>tblPiNAnalysis[[#This Row],[Education]]</f>
        <v>2673.8614927052067</v>
      </c>
      <c r="U178" s="219">
        <f>tblPiNAnalysis[[#This Row],[Nutrition]]</f>
        <v>6433.0138549927296</v>
      </c>
      <c r="V178" s="219">
        <f>tblPiNAnalysis[[#This Row],[Food Security]]</f>
        <v>14354.844208934554</v>
      </c>
      <c r="W178" s="219">
        <f>tblPiNAnalysis[[#This Row],[Health]]</f>
        <v>8711.9275669939452</v>
      </c>
      <c r="X178" s="219">
        <f>tblPiNAnalysis[[#This Row],[Overarching Protection]]</f>
        <v>13028</v>
      </c>
      <c r="Y178" s="219">
        <f>tblPiNAnalysis[[#This Row],[Shelter]]</f>
        <v>11906.265552441964</v>
      </c>
      <c r="Z178" s="230">
        <f>tblPiNAnalysis[[#This Row],[WASH]]</f>
        <v>16563.368519205622</v>
      </c>
      <c r="AA178" s="339">
        <f>IF(OR(tblPiNHistorical[[#This Row],[CCCM - old]]="", tblPiNHistorical[[#This Row],[CCCM - old]]=0, tblPiNHistorical[[#This Row],[CCCM - new]]="", tblPiNHistorical[[#This Row],[CCCM - new]]=0), "", tblPiNHistorical[[#This Row],[CCCM - new]]-tblPiNHistorical[[#This Row],[CCCM - old]])</f>
        <v>1928.1738034735035</v>
      </c>
      <c r="AB178" s="340">
        <f>IF(OR(tblPiNHistorical[[#This Row],[Education - old]]="", tblPiNHistorical[[#This Row],[Education - old]]=0, tblPiNHistorical[[#This Row],[Education - new]]="", tblPiNHistorical[[#This Row],[Education - new]]=0), "", tblPiNHistorical[[#This Row],[Education - new]]-tblPiNHistorical[[#This Row],[Education - old]])</f>
        <v>1159.8614927052067</v>
      </c>
      <c r="AC178" s="340">
        <f>IF(OR(tblPiNHistorical[[#This Row],[Nutrition - old]]="", tblPiNHistorical[[#This Row],[Nutrition - old]]=0, tblPiNHistorical[[#This Row],[Nutrition - new]]="", tblPiNHistorical[[#This Row],[Nutrition - new]]=0), "", tblPiNHistorical[[#This Row],[Nutrition - new]]-tblPiNHistorical[[#This Row],[Nutrition - old]])</f>
        <v>2745.5471248783424</v>
      </c>
      <c r="AD178" s="340">
        <f>IF(OR(tblPiNHistorical[[#This Row],[Food Security - old]]="", tblPiNHistorical[[#This Row],[Food Security - old]]=0, tblPiNHistorical[[#This Row],[Food Security - new]]="", tblPiNHistorical[[#This Row],[Food Security - new]]=0), "", tblPiNHistorical[[#This Row],[Food Security - new]]-tblPiNHistorical[[#This Row],[Food Security - old]])</f>
        <v>9000.8442089345535</v>
      </c>
      <c r="AE178" s="340">
        <f>IF(OR(tblPiNHistorical[[#This Row],[Health - old]]="", tblPiNHistorical[[#This Row],[Health - old]]=0, tblPiNHistorical[[#This Row],[Health - new]]="", tblPiNHistorical[[#This Row],[Health - new]]=0), "", tblPiNHistorical[[#This Row],[Health - new]]-tblPiNHistorical[[#This Row],[Health - old]])</f>
        <v>6492.619371056725</v>
      </c>
      <c r="AF17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8637.7341984842787</v>
      </c>
      <c r="AG178" s="340">
        <f>IF(OR(tblPiNHistorical[[#This Row],[Shelter - old]]="", tblPiNHistorical[[#This Row],[Shelter - old]]=0, tblPiNHistorical[[#This Row],[Shelter - new]]="", tblPiNHistorical[[#This Row],[Shelter - new]]=0), "", tblPiNHistorical[[#This Row],[Shelter - new]]-tblPiNHistorical[[#This Row],[Shelter - old]])</f>
        <v>11126.704707282282</v>
      </c>
      <c r="AH178" s="341">
        <f>IF(OR(tblPiNHistorical[[#This Row],[WASH - old]]="", tblPiNHistorical[[#This Row],[WASH - old]]=0, tblPiNHistorical[[#This Row],[WASH - new]]="", tblPiNHistorical[[#This Row],[WASH - new]]=0), "", tblPiNHistorical[[#This Row],[WASH - new]]-tblPiNHistorical[[#This Row],[WASH - old]])</f>
        <v>10985.177582729679</v>
      </c>
      <c r="AI178" s="342">
        <f>IFERROR(ROUND((tblPiNHistorical[[#This Row],[CCCM - new]] - tblPiNHistorical[[#This Row],[CCCM - old]])/tblPiNHistorical[[#This Row],[CCCM - old]], 1), "")</f>
        <v>2</v>
      </c>
      <c r="AJ178" s="343">
        <f>IFERROR(ROUND((tblPiNHistorical[[#This Row],[Education - new]]-tblPiNHistorical[[#This Row],[Education - old]])/tblPiNHistorical[[#This Row],[Education - old]], 1), "")</f>
        <v>0.8</v>
      </c>
      <c r="AK178" s="343">
        <f>IFERROR(ROUND((tblPiNHistorical[[#This Row],[Nutrition - new]]-tblPiNHistorical[[#This Row],[Nutrition - old]])/tblPiNHistorical[[#This Row],[Nutrition - old]], 1), "")</f>
        <v>0.7</v>
      </c>
      <c r="AL178" s="343">
        <f>IFERROR(ROUND((tblPiNHistorical[[#This Row],[Food Security - new]]-tblPiNHistorical[[#This Row],[Food Security - old]])/tblPiNHistorical[[#This Row],[Food Security - old]], 1), "")</f>
        <v>1.7</v>
      </c>
      <c r="AM178" s="343">
        <f>IFERROR(ROUND((tblPiNHistorical[[#This Row],[Health - new]]-tblPiNHistorical[[#This Row],[Health - old]])/tblPiNHistorical[[#This Row],[Health - old]], 1), "")</f>
        <v>2.9</v>
      </c>
      <c r="AN178" s="343">
        <f>IFERROR(ROUND((tblPiNHistorical[[#This Row],[Overarching Protection - new]]-tblPiNHistorical[[#This Row],[Overarching Protection - old]])/tblPiNHistorical[[#This Row],[Overarching Protection - old]], 1), "")</f>
        <v>2</v>
      </c>
      <c r="AO178" s="343">
        <f>IFERROR(ROUND((tblPiNHistorical[[#This Row],[Shelter - new]]-tblPiNHistorical[[#This Row],[Shelter - old]])/tblPiNHistorical[[#This Row],[Shelter - old]], 1), "")</f>
        <v>14.3</v>
      </c>
      <c r="AP178" s="38">
        <f>IFERROR(ROUND((tblPiNHistorical[[#This Row],[WASH - new]]-tblPiNHistorical[[#This Row],[WASH - old]])/tblPiNHistorical[[#This Row],[WASH - old]], 1), "")</f>
        <v>2</v>
      </c>
      <c r="AQ178" s="406">
        <v>5578.1909364759431</v>
      </c>
      <c r="AR178" s="406">
        <v>16563.368519205622</v>
      </c>
    </row>
    <row r="179" spans="1:44" ht="15" customHeight="1" x14ac:dyDescent="0.55000000000000004">
      <c r="A17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79" s="316" t="s">
        <v>268</v>
      </c>
      <c r="C179" s="218" t="s">
        <v>269</v>
      </c>
      <c r="D179" s="218" t="s">
        <v>274</v>
      </c>
      <c r="E179" s="105" t="s">
        <v>275</v>
      </c>
      <c r="F179" s="100"/>
      <c r="G179" s="34"/>
      <c r="H179" s="335"/>
      <c r="I179" s="97"/>
      <c r="J179" s="97" t="s">
        <v>414</v>
      </c>
      <c r="K179" s="336">
        <v>1310.6389997066208</v>
      </c>
      <c r="L179" s="337">
        <v>175</v>
      </c>
      <c r="M179" s="319">
        <v>719.95562761197152</v>
      </c>
      <c r="N179" s="319">
        <v>395</v>
      </c>
      <c r="O179" s="319">
        <v>506.25163443333707</v>
      </c>
      <c r="P179" s="319">
        <v>961.72713660079864</v>
      </c>
      <c r="Q179" s="320">
        <v>359.78325482142532</v>
      </c>
      <c r="R179" s="319">
        <v>388.33748139455423</v>
      </c>
      <c r="S179" s="235">
        <f>tblPiNAnalysis[[#This Row],[CCCM]]</f>
        <v>2505.4499999999998</v>
      </c>
      <c r="T179" s="236">
        <f>tblPiNAnalysis[[#This Row],[Education]]</f>
        <v>3377.8476900000001</v>
      </c>
      <c r="U179" s="219">
        <f>tblPiNAnalysis[[#This Row],[Nutrition]]</f>
        <v>6415.9295294799977</v>
      </c>
      <c r="V179" s="219">
        <f>tblPiNAnalysis[[#This Row],[Food Security]]</f>
        <v>3990.7633766061545</v>
      </c>
      <c r="W179" s="219">
        <f>tblPiNAnalysis[[#This Row],[Health]]</f>
        <v>9278.9643798115412</v>
      </c>
      <c r="X179" s="219">
        <f>tblPiNAnalysis[[#This Row],[Overarching Protection]]</f>
        <v>11075</v>
      </c>
      <c r="Y179" s="219">
        <f>tblPiNAnalysis[[#This Row],[Shelter]]</f>
        <v>16703</v>
      </c>
      <c r="Z179" s="230">
        <f>tblPiNAnalysis[[#This Row],[WASH]]</f>
        <v>7887.5277777777774</v>
      </c>
      <c r="AA179" s="339">
        <f>IF(OR(tblPiNHistorical[[#This Row],[CCCM - old]]="", tblPiNHistorical[[#This Row],[CCCM - old]]=0, tblPiNHistorical[[#This Row],[CCCM - new]]="", tblPiNHistorical[[#This Row],[CCCM - new]]=0), "", tblPiNHistorical[[#This Row],[CCCM - new]]-tblPiNHistorical[[#This Row],[CCCM - old]])</f>
        <v>1194.811000293379</v>
      </c>
      <c r="AB179" s="340">
        <f>IF(OR(tblPiNHistorical[[#This Row],[Education - old]]="", tblPiNHistorical[[#This Row],[Education - old]]=0, tblPiNHistorical[[#This Row],[Education - new]]="", tblPiNHistorical[[#This Row],[Education - new]]=0), "", tblPiNHistorical[[#This Row],[Education - new]]-tblPiNHistorical[[#This Row],[Education - old]])</f>
        <v>3202.8476900000001</v>
      </c>
      <c r="AC179" s="340">
        <f>IF(OR(tblPiNHistorical[[#This Row],[Nutrition - old]]="", tblPiNHistorical[[#This Row],[Nutrition - old]]=0, tblPiNHistorical[[#This Row],[Nutrition - new]]="", tblPiNHistorical[[#This Row],[Nutrition - new]]=0), "", tblPiNHistorical[[#This Row],[Nutrition - new]]-tblPiNHistorical[[#This Row],[Nutrition - old]])</f>
        <v>5695.9739018680266</v>
      </c>
      <c r="AD179" s="340">
        <f>IF(OR(tblPiNHistorical[[#This Row],[Food Security - old]]="", tblPiNHistorical[[#This Row],[Food Security - old]]=0, tblPiNHistorical[[#This Row],[Food Security - new]]="", tblPiNHistorical[[#This Row],[Food Security - new]]=0), "", tblPiNHistorical[[#This Row],[Food Security - new]]-tblPiNHistorical[[#This Row],[Food Security - old]])</f>
        <v>3595.7633766061545</v>
      </c>
      <c r="AE179" s="340">
        <f>IF(OR(tblPiNHistorical[[#This Row],[Health - old]]="", tblPiNHistorical[[#This Row],[Health - old]]=0, tblPiNHistorical[[#This Row],[Health - new]]="", tblPiNHistorical[[#This Row],[Health - new]]=0), "", tblPiNHistorical[[#This Row],[Health - new]]-tblPiNHistorical[[#This Row],[Health - old]])</f>
        <v>8772.712745378205</v>
      </c>
      <c r="AF17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10113.272863399201</v>
      </c>
      <c r="AG179" s="340">
        <f>IF(OR(tblPiNHistorical[[#This Row],[Shelter - old]]="", tblPiNHistorical[[#This Row],[Shelter - old]]=0, tblPiNHistorical[[#This Row],[Shelter - new]]="", tblPiNHistorical[[#This Row],[Shelter - new]]=0), "", tblPiNHistorical[[#This Row],[Shelter - new]]-tblPiNHistorical[[#This Row],[Shelter - old]])</f>
        <v>16343.216745178575</v>
      </c>
      <c r="AH179" s="341">
        <f>IF(OR(tblPiNHistorical[[#This Row],[WASH - old]]="", tblPiNHistorical[[#This Row],[WASH - old]]=0, tblPiNHistorical[[#This Row],[WASH - new]]="", tblPiNHistorical[[#This Row],[WASH - new]]=0), "", tblPiNHistorical[[#This Row],[WASH - new]]-tblPiNHistorical[[#This Row],[WASH - old]])</f>
        <v>7499.1902963832235</v>
      </c>
      <c r="AI179" s="342">
        <f>IFERROR(ROUND((tblPiNHistorical[[#This Row],[CCCM - new]] - tblPiNHistorical[[#This Row],[CCCM - old]])/tblPiNHistorical[[#This Row],[CCCM - old]], 1), "")</f>
        <v>0.9</v>
      </c>
      <c r="AJ179" s="343">
        <f>IFERROR(ROUND((tblPiNHistorical[[#This Row],[Education - new]]-tblPiNHistorical[[#This Row],[Education - old]])/tblPiNHistorical[[#This Row],[Education - old]], 1), "")</f>
        <v>18.3</v>
      </c>
      <c r="AK179" s="343">
        <f>IFERROR(ROUND((tblPiNHistorical[[#This Row],[Nutrition - new]]-tblPiNHistorical[[#This Row],[Nutrition - old]])/tblPiNHistorical[[#This Row],[Nutrition - old]], 1), "")</f>
        <v>7.9</v>
      </c>
      <c r="AL179" s="343">
        <f>IFERROR(ROUND((tblPiNHistorical[[#This Row],[Food Security - new]]-tblPiNHistorical[[#This Row],[Food Security - old]])/tblPiNHistorical[[#This Row],[Food Security - old]], 1), "")</f>
        <v>9.1</v>
      </c>
      <c r="AM179" s="343">
        <f>IFERROR(ROUND((tblPiNHistorical[[#This Row],[Health - new]]-tblPiNHistorical[[#This Row],[Health - old]])/tblPiNHistorical[[#This Row],[Health - old]], 1), "")</f>
        <v>17.3</v>
      </c>
      <c r="AN179" s="343">
        <f>IFERROR(ROUND((tblPiNHistorical[[#This Row],[Overarching Protection - new]]-tblPiNHistorical[[#This Row],[Overarching Protection - old]])/tblPiNHistorical[[#This Row],[Overarching Protection - old]], 1), "")</f>
        <v>10.5</v>
      </c>
      <c r="AO179" s="343">
        <f>IFERROR(ROUND((tblPiNHistorical[[#This Row],[Shelter - new]]-tblPiNHistorical[[#This Row],[Shelter - old]])/tblPiNHistorical[[#This Row],[Shelter - old]], 1), "")</f>
        <v>45.4</v>
      </c>
      <c r="AP179" s="38">
        <f>IFERROR(ROUND((tblPiNHistorical[[#This Row],[WASH - new]]-tblPiNHistorical[[#This Row],[WASH - old]])/tblPiNHistorical[[#This Row],[WASH - old]], 1), "")</f>
        <v>19.3</v>
      </c>
      <c r="AQ179" s="406">
        <v>1310.6389997066208</v>
      </c>
      <c r="AR179" s="406">
        <v>16703</v>
      </c>
    </row>
    <row r="180" spans="1:44" ht="15" customHeight="1" x14ac:dyDescent="0.55000000000000004">
      <c r="A18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0" s="316" t="s">
        <v>268</v>
      </c>
      <c r="C180" s="218" t="s">
        <v>269</v>
      </c>
      <c r="D180" s="218" t="s">
        <v>276</v>
      </c>
      <c r="E180" s="105" t="s">
        <v>277</v>
      </c>
      <c r="F180" s="100"/>
      <c r="G180" s="34"/>
      <c r="H180" s="335"/>
      <c r="I180" s="97"/>
      <c r="J180" s="97" t="s">
        <v>414</v>
      </c>
      <c r="K180" s="336">
        <v>359.47803908434526</v>
      </c>
      <c r="L180" s="337">
        <v>0</v>
      </c>
      <c r="M180" s="319">
        <v>1215.4319453580456</v>
      </c>
      <c r="N180" s="319">
        <v>1914</v>
      </c>
      <c r="O180" s="319">
        <v>861.61125313221601</v>
      </c>
      <c r="P180" s="319">
        <v>1961.0517867954975</v>
      </c>
      <c r="Q180" s="320">
        <v>0</v>
      </c>
      <c r="R180" s="319">
        <v>1473.0904353915068</v>
      </c>
      <c r="S180" s="235">
        <f>tblPiNAnalysis[[#This Row],[CCCM]]</f>
        <v>180.9</v>
      </c>
      <c r="T180" s="236">
        <f>tblPiNAnalysis[[#This Row],[Education]]</f>
        <v>196.24273199999999</v>
      </c>
      <c r="U180" s="219">
        <f>tblPiNAnalysis[[#This Row],[Nutrition]]</f>
        <v>456.88047877546308</v>
      </c>
      <c r="V180" s="219">
        <f>tblPiNAnalysis[[#This Row],[Food Security]]</f>
        <v>1059.5901370629763</v>
      </c>
      <c r="W180" s="219">
        <f>tblPiNAnalysis[[#This Row],[Health]]</f>
        <v>888.41415553740876</v>
      </c>
      <c r="X180" s="219">
        <f>tblPiNAnalysis[[#This Row],[Overarching Protection]]</f>
        <v>965</v>
      </c>
      <c r="Y180" s="219">
        <f>tblPiNAnalysis[[#This Row],[Shelter]]</f>
        <v>0</v>
      </c>
      <c r="Z180" s="230">
        <f>tblPiNAnalysis[[#This Row],[WASH]]</f>
        <v>1161.3333333333333</v>
      </c>
      <c r="AA180" s="339">
        <f>IF(OR(tblPiNHistorical[[#This Row],[CCCM - old]]="", tblPiNHistorical[[#This Row],[CCCM - old]]=0, tblPiNHistorical[[#This Row],[CCCM - new]]="", tblPiNHistorical[[#This Row],[CCCM - new]]=0), "", tblPiNHistorical[[#This Row],[CCCM - new]]-tblPiNHistorical[[#This Row],[CCCM - old]])</f>
        <v>-178.57803908434525</v>
      </c>
      <c r="AB180" s="340" t="str">
        <f>IF(OR(tblPiNHistorical[[#This Row],[Education - old]]="", tblPiNHistorical[[#This Row],[Education - old]]=0, tblPiNHistorical[[#This Row],[Education - new]]="", tblPiNHistorical[[#This Row],[Education - new]]=0), "", tblPiNHistorical[[#This Row],[Education - new]]-tblPiNHistorical[[#This Row],[Education - old]])</f>
        <v/>
      </c>
      <c r="AC180" s="340">
        <f>IF(OR(tblPiNHistorical[[#This Row],[Nutrition - old]]="", tblPiNHistorical[[#This Row],[Nutrition - old]]=0, tblPiNHistorical[[#This Row],[Nutrition - new]]="", tblPiNHistorical[[#This Row],[Nutrition - new]]=0), "", tblPiNHistorical[[#This Row],[Nutrition - new]]-tblPiNHistorical[[#This Row],[Nutrition - old]])</f>
        <v>-758.55146658258252</v>
      </c>
      <c r="AD180" s="340">
        <f>IF(OR(tblPiNHistorical[[#This Row],[Food Security - old]]="", tblPiNHistorical[[#This Row],[Food Security - old]]=0, tblPiNHistorical[[#This Row],[Food Security - new]]="", tblPiNHistorical[[#This Row],[Food Security - new]]=0), "", tblPiNHistorical[[#This Row],[Food Security - new]]-tblPiNHistorical[[#This Row],[Food Security - old]])</f>
        <v>-854.40986293702372</v>
      </c>
      <c r="AE180" s="340">
        <f>IF(OR(tblPiNHistorical[[#This Row],[Health - old]]="", tblPiNHistorical[[#This Row],[Health - old]]=0, tblPiNHistorical[[#This Row],[Health - new]]="", tblPiNHistorical[[#This Row],[Health - new]]=0), "", tblPiNHistorical[[#This Row],[Health - new]]-tblPiNHistorical[[#This Row],[Health - old]])</f>
        <v>26.802902405192754</v>
      </c>
      <c r="AF18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-996.05178679549749</v>
      </c>
      <c r="AG180" s="340" t="str">
        <f>IF(OR(tblPiNHistorical[[#This Row],[Shelter - old]]="", tblPiNHistorical[[#This Row],[Shelter - old]]=0, tblPiNHistorical[[#This Row],[Shelter - new]]="", tblPiNHistorical[[#This Row],[Shelter - new]]=0), "", tblPiNHistorical[[#This Row],[Shelter - new]]-tblPiNHistorical[[#This Row],[Shelter - old]])</f>
        <v/>
      </c>
      <c r="AH180" s="341">
        <f>IF(OR(tblPiNHistorical[[#This Row],[WASH - old]]="", tblPiNHistorical[[#This Row],[WASH - old]]=0, tblPiNHistorical[[#This Row],[WASH - new]]="", tblPiNHistorical[[#This Row],[WASH - new]]=0), "", tblPiNHistorical[[#This Row],[WASH - new]]-tblPiNHistorical[[#This Row],[WASH - old]])</f>
        <v>-311.75710205817359</v>
      </c>
      <c r="AI180" s="342">
        <f>IFERROR(ROUND((tblPiNHistorical[[#This Row],[CCCM - new]] - tblPiNHistorical[[#This Row],[CCCM - old]])/tblPiNHistorical[[#This Row],[CCCM - old]], 1), "")</f>
        <v>-0.5</v>
      </c>
      <c r="AJ180" s="343" t="str">
        <f>IFERROR(ROUND((tblPiNHistorical[[#This Row],[Education - new]]-tblPiNHistorical[[#This Row],[Education - old]])/tblPiNHistorical[[#This Row],[Education - old]], 1), "")</f>
        <v/>
      </c>
      <c r="AK180" s="343">
        <f>IFERROR(ROUND((tblPiNHistorical[[#This Row],[Nutrition - new]]-tblPiNHistorical[[#This Row],[Nutrition - old]])/tblPiNHistorical[[#This Row],[Nutrition - old]], 1), "")</f>
        <v>-0.6</v>
      </c>
      <c r="AL180" s="343">
        <f>IFERROR(ROUND((tblPiNHistorical[[#This Row],[Food Security - new]]-tblPiNHistorical[[#This Row],[Food Security - old]])/tblPiNHistorical[[#This Row],[Food Security - old]], 1), "")</f>
        <v>-0.4</v>
      </c>
      <c r="AM180" s="343">
        <f>IFERROR(ROUND((tblPiNHistorical[[#This Row],[Health - new]]-tblPiNHistorical[[#This Row],[Health - old]])/tblPiNHistorical[[#This Row],[Health - old]], 1), "")</f>
        <v>0</v>
      </c>
      <c r="AN180" s="343">
        <f>IFERROR(ROUND((tblPiNHistorical[[#This Row],[Overarching Protection - new]]-tblPiNHistorical[[#This Row],[Overarching Protection - old]])/tblPiNHistorical[[#This Row],[Overarching Protection - old]], 1), "")</f>
        <v>-0.5</v>
      </c>
      <c r="AO180" s="343" t="str">
        <f>IFERROR(ROUND((tblPiNHistorical[[#This Row],[Shelter - new]]-tblPiNHistorical[[#This Row],[Shelter - old]])/tblPiNHistorical[[#This Row],[Shelter - old]], 1), "")</f>
        <v/>
      </c>
      <c r="AP180" s="38">
        <f>IFERROR(ROUND((tblPiNHistorical[[#This Row],[WASH - new]]-tblPiNHistorical[[#This Row],[WASH - old]])/tblPiNHistorical[[#This Row],[WASH - old]], 1), "")</f>
        <v>-0.2</v>
      </c>
      <c r="AQ180" s="406">
        <v>1961.0517867954975</v>
      </c>
      <c r="AR180" s="406">
        <v>1161.3333333333333</v>
      </c>
    </row>
    <row r="181" spans="1:44" ht="15" customHeight="1" x14ac:dyDescent="0.55000000000000004">
      <c r="A18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1" s="316" t="s">
        <v>268</v>
      </c>
      <c r="C181" s="218" t="s">
        <v>269</v>
      </c>
      <c r="D181" s="218" t="s">
        <v>278</v>
      </c>
      <c r="E181" s="105" t="s">
        <v>279</v>
      </c>
      <c r="F181" s="100"/>
      <c r="G181" s="34"/>
      <c r="H181" s="335"/>
      <c r="I181" s="97"/>
      <c r="J181" s="97" t="s">
        <v>414</v>
      </c>
      <c r="K181" s="336">
        <v>267.93234046530466</v>
      </c>
      <c r="L181" s="337">
        <v>171</v>
      </c>
      <c r="M181" s="319">
        <v>837.13687360650079</v>
      </c>
      <c r="N181" s="319">
        <v>1287</v>
      </c>
      <c r="O181" s="319">
        <v>936.83776484662496</v>
      </c>
      <c r="P181" s="319">
        <v>1422.9234202903308</v>
      </c>
      <c r="Q181" s="320">
        <v>1071.7293618612186</v>
      </c>
      <c r="R181" s="319">
        <v>595.40520103401036</v>
      </c>
      <c r="S181" s="235">
        <f>tblPiNAnalysis[[#This Row],[CCCM]]</f>
        <v>1389.3214285714291</v>
      </c>
      <c r="T181" s="236">
        <f>tblPiNAnalysis[[#This Row],[Education]]</f>
        <v>887.40590714285759</v>
      </c>
      <c r="U181" s="219">
        <f>tblPiNAnalysis[[#This Row],[Nutrition]]</f>
        <v>3511.5721042289201</v>
      </c>
      <c r="V181" s="219">
        <f>tblPiNAnalysis[[#This Row],[Food Security]]</f>
        <v>6460.6905099793312</v>
      </c>
      <c r="W181" s="219">
        <f>tblPiNAnalysis[[#This Row],[Health]]</f>
        <v>6160.8436802923252</v>
      </c>
      <c r="X181" s="219">
        <f>tblPiNAnalysis[[#This Row],[Overarching Protection]]</f>
        <v>6483</v>
      </c>
      <c r="Y181" s="219">
        <f>tblPiNAnalysis[[#This Row],[Shelter]]</f>
        <v>9262.1428571428605</v>
      </c>
      <c r="Z181" s="230">
        <f>tblPiNAnalysis[[#This Row],[WASH]]</f>
        <v>4373.7896825396838</v>
      </c>
      <c r="AA181" s="339">
        <f>IF(OR(tblPiNHistorical[[#This Row],[CCCM - old]]="", tblPiNHistorical[[#This Row],[CCCM - old]]=0, tblPiNHistorical[[#This Row],[CCCM - new]]="", tblPiNHistorical[[#This Row],[CCCM - new]]=0), "", tblPiNHistorical[[#This Row],[CCCM - new]]-tblPiNHistorical[[#This Row],[CCCM - old]])</f>
        <v>1121.3890881061245</v>
      </c>
      <c r="AB181" s="340">
        <f>IF(OR(tblPiNHistorical[[#This Row],[Education - old]]="", tblPiNHistorical[[#This Row],[Education - old]]=0, tblPiNHistorical[[#This Row],[Education - new]]="", tblPiNHistorical[[#This Row],[Education - new]]=0), "", tblPiNHistorical[[#This Row],[Education - new]]-tblPiNHistorical[[#This Row],[Education - old]])</f>
        <v>716.40590714285759</v>
      </c>
      <c r="AC181" s="340">
        <f>IF(OR(tblPiNHistorical[[#This Row],[Nutrition - old]]="", tblPiNHistorical[[#This Row],[Nutrition - old]]=0, tblPiNHistorical[[#This Row],[Nutrition - new]]="", tblPiNHistorical[[#This Row],[Nutrition - new]]=0), "", tblPiNHistorical[[#This Row],[Nutrition - new]]-tblPiNHistorical[[#This Row],[Nutrition - old]])</f>
        <v>2674.4352306224191</v>
      </c>
      <c r="AD181" s="340">
        <f>IF(OR(tblPiNHistorical[[#This Row],[Food Security - old]]="", tblPiNHistorical[[#This Row],[Food Security - old]]=0, tblPiNHistorical[[#This Row],[Food Security - new]]="", tblPiNHistorical[[#This Row],[Food Security - new]]=0), "", tblPiNHistorical[[#This Row],[Food Security - new]]-tblPiNHistorical[[#This Row],[Food Security - old]])</f>
        <v>5173.6905099793312</v>
      </c>
      <c r="AE181" s="340">
        <f>IF(OR(tblPiNHistorical[[#This Row],[Health - old]]="", tblPiNHistorical[[#This Row],[Health - old]]=0, tblPiNHistorical[[#This Row],[Health - new]]="", tblPiNHistorical[[#This Row],[Health - new]]=0), "", tblPiNHistorical[[#This Row],[Health - new]]-tblPiNHistorical[[#This Row],[Health - old]])</f>
        <v>5224.0059154457003</v>
      </c>
      <c r="AF18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5060.0765797096692</v>
      </c>
      <c r="AG181" s="340">
        <f>IF(OR(tblPiNHistorical[[#This Row],[Shelter - old]]="", tblPiNHistorical[[#This Row],[Shelter - old]]=0, tblPiNHistorical[[#This Row],[Shelter - new]]="", tblPiNHistorical[[#This Row],[Shelter - new]]=0), "", tblPiNHistorical[[#This Row],[Shelter - new]]-tblPiNHistorical[[#This Row],[Shelter - old]])</f>
        <v>8190.4134952816421</v>
      </c>
      <c r="AH181" s="341">
        <f>IF(OR(tblPiNHistorical[[#This Row],[WASH - old]]="", tblPiNHistorical[[#This Row],[WASH - old]]=0, tblPiNHistorical[[#This Row],[WASH - new]]="", tblPiNHistorical[[#This Row],[WASH - new]]=0), "", tblPiNHistorical[[#This Row],[WASH - new]]-tblPiNHistorical[[#This Row],[WASH - old]])</f>
        <v>3778.3844815056736</v>
      </c>
      <c r="AI181" s="342">
        <f>IFERROR(ROUND((tblPiNHistorical[[#This Row],[CCCM - new]] - tblPiNHistorical[[#This Row],[CCCM - old]])/tblPiNHistorical[[#This Row],[CCCM - old]], 1), "")</f>
        <v>4.2</v>
      </c>
      <c r="AJ181" s="343">
        <f>IFERROR(ROUND((tblPiNHistorical[[#This Row],[Education - new]]-tblPiNHistorical[[#This Row],[Education - old]])/tblPiNHistorical[[#This Row],[Education - old]], 1), "")</f>
        <v>4.2</v>
      </c>
      <c r="AK181" s="343">
        <f>IFERROR(ROUND((tblPiNHistorical[[#This Row],[Nutrition - new]]-tblPiNHistorical[[#This Row],[Nutrition - old]])/tblPiNHistorical[[#This Row],[Nutrition - old]], 1), "")</f>
        <v>3.2</v>
      </c>
      <c r="AL181" s="343">
        <f>IFERROR(ROUND((tblPiNHistorical[[#This Row],[Food Security - new]]-tblPiNHistorical[[#This Row],[Food Security - old]])/tblPiNHistorical[[#This Row],[Food Security - old]], 1), "")</f>
        <v>4</v>
      </c>
      <c r="AM181" s="343">
        <f>IFERROR(ROUND((tblPiNHistorical[[#This Row],[Health - new]]-tblPiNHistorical[[#This Row],[Health - old]])/tblPiNHistorical[[#This Row],[Health - old]], 1), "")</f>
        <v>5.6</v>
      </c>
      <c r="AN181" s="343">
        <f>IFERROR(ROUND((tblPiNHistorical[[#This Row],[Overarching Protection - new]]-tblPiNHistorical[[#This Row],[Overarching Protection - old]])/tblPiNHistorical[[#This Row],[Overarching Protection - old]], 1), "")</f>
        <v>3.6</v>
      </c>
      <c r="AO181" s="343">
        <f>IFERROR(ROUND((tblPiNHistorical[[#This Row],[Shelter - new]]-tblPiNHistorical[[#This Row],[Shelter - old]])/tblPiNHistorical[[#This Row],[Shelter - old]], 1), "")</f>
        <v>7.6</v>
      </c>
      <c r="AP181" s="38">
        <f>IFERROR(ROUND((tblPiNHistorical[[#This Row],[WASH - new]]-tblPiNHistorical[[#This Row],[WASH - old]])/tblPiNHistorical[[#This Row],[WASH - old]], 1), "")</f>
        <v>6.3</v>
      </c>
      <c r="AQ181" s="406">
        <v>1422.9234202903308</v>
      </c>
      <c r="AR181" s="406">
        <v>9262.1428571428605</v>
      </c>
    </row>
    <row r="182" spans="1:44" ht="15" customHeight="1" x14ac:dyDescent="0.55000000000000004">
      <c r="A18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2" s="316" t="s">
        <v>268</v>
      </c>
      <c r="C182" s="218" t="s">
        <v>269</v>
      </c>
      <c r="D182" s="218" t="s">
        <v>280</v>
      </c>
      <c r="E182" s="105" t="s">
        <v>281</v>
      </c>
      <c r="F182" s="100"/>
      <c r="G182" s="34"/>
      <c r="H182" s="335"/>
      <c r="I182" s="97"/>
      <c r="J182" s="97" t="s">
        <v>414</v>
      </c>
      <c r="K182" s="336">
        <v>2651.3927855579527</v>
      </c>
      <c r="L182" s="337">
        <v>6611</v>
      </c>
      <c r="M182" s="319">
        <v>8827.5708461045233</v>
      </c>
      <c r="N182" s="319">
        <v>13186</v>
      </c>
      <c r="O182" s="319">
        <v>6756.7618955820572</v>
      </c>
      <c r="P182" s="319">
        <v>11715.698682687549</v>
      </c>
      <c r="Q182" s="320">
        <v>17675.951903719684</v>
      </c>
      <c r="R182" s="319">
        <v>6973.0819436692336</v>
      </c>
      <c r="S182" s="235">
        <f>tblPiNAnalysis[[#This Row],[CCCM]]</f>
        <v>5052.9260985931605</v>
      </c>
      <c r="T182" s="236">
        <f>tblPiNAnalysis[[#This Row],[Education]]</f>
        <v>12598.62907249228</v>
      </c>
      <c r="U182" s="219">
        <f>tblPiNAnalysis[[#This Row],[Nutrition]]</f>
        <v>11379.993898109744</v>
      </c>
      <c r="V182" s="219">
        <f>tblPiNAnalysis[[#This Row],[Food Security]]</f>
        <v>29223.698286312181</v>
      </c>
      <c r="W182" s="219">
        <f>tblPiNAnalysis[[#This Row],[Health]]</f>
        <v>21940.109943774314</v>
      </c>
      <c r="X182" s="219">
        <f>tblPiNAnalysis[[#This Row],[Overarching Protection]]</f>
        <v>25587</v>
      </c>
      <c r="Y182" s="219">
        <f>tblPiNAnalysis[[#This Row],[Shelter]]</f>
        <v>33686.173990621071</v>
      </c>
      <c r="Z182" s="230">
        <f>tblPiNAnalysis[[#This Row],[WASH]]</f>
        <v>26512.26656669251</v>
      </c>
      <c r="AA182" s="339">
        <f>IF(OR(tblPiNHistorical[[#This Row],[CCCM - old]]="", tblPiNHistorical[[#This Row],[CCCM - old]]=0, tblPiNHistorical[[#This Row],[CCCM - new]]="", tblPiNHistorical[[#This Row],[CCCM - new]]=0), "", tblPiNHistorical[[#This Row],[CCCM - new]]-tblPiNHistorical[[#This Row],[CCCM - old]])</f>
        <v>2401.5333130352078</v>
      </c>
      <c r="AB182" s="340">
        <f>IF(OR(tblPiNHistorical[[#This Row],[Education - old]]="", tblPiNHistorical[[#This Row],[Education - old]]=0, tblPiNHistorical[[#This Row],[Education - new]]="", tblPiNHistorical[[#This Row],[Education - new]]=0), "", tblPiNHistorical[[#This Row],[Education - new]]-tblPiNHistorical[[#This Row],[Education - old]])</f>
        <v>5987.6290724922801</v>
      </c>
      <c r="AC182" s="340">
        <f>IF(OR(tblPiNHistorical[[#This Row],[Nutrition - old]]="", tblPiNHistorical[[#This Row],[Nutrition - old]]=0, tblPiNHistorical[[#This Row],[Nutrition - new]]="", tblPiNHistorical[[#This Row],[Nutrition - new]]=0), "", tblPiNHistorical[[#This Row],[Nutrition - new]]-tblPiNHistorical[[#This Row],[Nutrition - old]])</f>
        <v>2552.4230520052206</v>
      </c>
      <c r="AD182" s="340">
        <f>IF(OR(tblPiNHistorical[[#This Row],[Food Security - old]]="", tblPiNHistorical[[#This Row],[Food Security - old]]=0, tblPiNHistorical[[#This Row],[Food Security - new]]="", tblPiNHistorical[[#This Row],[Food Security - new]]=0), "", tblPiNHistorical[[#This Row],[Food Security - new]]-tblPiNHistorical[[#This Row],[Food Security - old]])</f>
        <v>16037.698286312181</v>
      </c>
      <c r="AE182" s="340">
        <f>IF(OR(tblPiNHistorical[[#This Row],[Health - old]]="", tblPiNHistorical[[#This Row],[Health - old]]=0, tblPiNHistorical[[#This Row],[Health - new]]="", tblPiNHistorical[[#This Row],[Health - new]]=0), "", tblPiNHistorical[[#This Row],[Health - new]]-tblPiNHistorical[[#This Row],[Health - old]])</f>
        <v>15183.348048192256</v>
      </c>
      <c r="AF18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13871.301317312451</v>
      </c>
      <c r="AG182" s="340">
        <f>IF(OR(tblPiNHistorical[[#This Row],[Shelter - old]]="", tblPiNHistorical[[#This Row],[Shelter - old]]=0, tblPiNHistorical[[#This Row],[Shelter - new]]="", tblPiNHistorical[[#This Row],[Shelter - new]]=0), "", tblPiNHistorical[[#This Row],[Shelter - new]]-tblPiNHistorical[[#This Row],[Shelter - old]])</f>
        <v>16010.222086901387</v>
      </c>
      <c r="AH182" s="341">
        <f>IF(OR(tblPiNHistorical[[#This Row],[WASH - old]]="", tblPiNHistorical[[#This Row],[WASH - old]]=0, tblPiNHistorical[[#This Row],[WASH - new]]="", tblPiNHistorical[[#This Row],[WASH - new]]=0), "", tblPiNHistorical[[#This Row],[WASH - new]]-tblPiNHistorical[[#This Row],[WASH - old]])</f>
        <v>19539.184623023277</v>
      </c>
      <c r="AI182" s="342">
        <f>IFERROR(ROUND((tblPiNHistorical[[#This Row],[CCCM - new]] - tblPiNHistorical[[#This Row],[CCCM - old]])/tblPiNHistorical[[#This Row],[CCCM - old]], 1), "")</f>
        <v>0.9</v>
      </c>
      <c r="AJ182" s="343">
        <f>IFERROR(ROUND((tblPiNHistorical[[#This Row],[Education - new]]-tblPiNHistorical[[#This Row],[Education - old]])/tblPiNHistorical[[#This Row],[Education - old]], 1), "")</f>
        <v>0.9</v>
      </c>
      <c r="AK182" s="343">
        <f>IFERROR(ROUND((tblPiNHistorical[[#This Row],[Nutrition - new]]-tblPiNHistorical[[#This Row],[Nutrition - old]])/tblPiNHistorical[[#This Row],[Nutrition - old]], 1), "")</f>
        <v>0.3</v>
      </c>
      <c r="AL182" s="343">
        <f>IFERROR(ROUND((tblPiNHistorical[[#This Row],[Food Security - new]]-tblPiNHistorical[[#This Row],[Food Security - old]])/tblPiNHistorical[[#This Row],[Food Security - old]], 1), "")</f>
        <v>1.2</v>
      </c>
      <c r="AM182" s="343">
        <f>IFERROR(ROUND((tblPiNHistorical[[#This Row],[Health - new]]-tblPiNHistorical[[#This Row],[Health - old]])/tblPiNHistorical[[#This Row],[Health - old]], 1), "")</f>
        <v>2.2000000000000002</v>
      </c>
      <c r="AN182" s="343">
        <f>IFERROR(ROUND((tblPiNHistorical[[#This Row],[Overarching Protection - new]]-tblPiNHistorical[[#This Row],[Overarching Protection - old]])/tblPiNHistorical[[#This Row],[Overarching Protection - old]], 1), "")</f>
        <v>1.2</v>
      </c>
      <c r="AO182" s="343">
        <f>IFERROR(ROUND((tblPiNHistorical[[#This Row],[Shelter - new]]-tblPiNHistorical[[#This Row],[Shelter - old]])/tblPiNHistorical[[#This Row],[Shelter - old]], 1), "")</f>
        <v>0.9</v>
      </c>
      <c r="AP182" s="38">
        <f>IFERROR(ROUND((tblPiNHistorical[[#This Row],[WASH - new]]-tblPiNHistorical[[#This Row],[WASH - old]])/tblPiNHistorical[[#This Row],[WASH - old]], 1), "")</f>
        <v>2.8</v>
      </c>
      <c r="AQ182" s="406">
        <v>17675.951903719684</v>
      </c>
      <c r="AR182" s="406">
        <v>33686.173990621071</v>
      </c>
    </row>
    <row r="183" spans="1:44" ht="15" customHeight="1" x14ac:dyDescent="0.55000000000000004">
      <c r="A18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3" s="316" t="s">
        <v>268</v>
      </c>
      <c r="C183" s="218" t="s">
        <v>269</v>
      </c>
      <c r="D183" s="218" t="s">
        <v>282</v>
      </c>
      <c r="E183" s="105" t="s">
        <v>283</v>
      </c>
      <c r="F183" s="100"/>
      <c r="G183" s="34"/>
      <c r="H183" s="335"/>
      <c r="I183" s="97"/>
      <c r="J183" s="97" t="s">
        <v>414</v>
      </c>
      <c r="K183" s="336">
        <v>2821.7999999999997</v>
      </c>
      <c r="L183" s="337">
        <v>3750</v>
      </c>
      <c r="M183" s="319">
        <v>9477.2368283625892</v>
      </c>
      <c r="N183" s="319">
        <v>16985</v>
      </c>
      <c r="O183" s="319">
        <v>15945.784581721929</v>
      </c>
      <c r="P183" s="319">
        <v>12764.9380345215</v>
      </c>
      <c r="Q183" s="320">
        <v>2090.2222222222217</v>
      </c>
      <c r="R183" s="319">
        <v>9406</v>
      </c>
      <c r="S183" s="235">
        <f>tblPiNAnalysis[[#This Row],[CCCM]]</f>
        <v>1971.9857142857099</v>
      </c>
      <c r="T183" s="236">
        <f>tblPiNAnalysis[[#This Row],[Education]]</f>
        <v>4569.4931850857047</v>
      </c>
      <c r="U183" s="219">
        <f>tblPiNAnalysis[[#This Row],[Nutrition]]</f>
        <v>5483.8445101092939</v>
      </c>
      <c r="V183" s="219">
        <f>tblPiNAnalysis[[#This Row],[Food Security]]</f>
        <v>9851.9936448832923</v>
      </c>
      <c r="W183" s="219">
        <f>tblPiNAnalysis[[#This Row],[Health]]</f>
        <v>9268.3704100687301</v>
      </c>
      <c r="X183" s="219">
        <f>tblPiNAnalysis[[#This Row],[Overarching Protection]]</f>
        <v>8751</v>
      </c>
      <c r="Y183" s="219">
        <f>tblPiNAnalysis[[#This Row],[Shelter]]</f>
        <v>9465.5314285714085</v>
      </c>
      <c r="Z183" s="230">
        <f>tblPiNAnalysis[[#This Row],[WASH]]</f>
        <v>9007.8359788359612</v>
      </c>
      <c r="AA183" s="339">
        <f>IF(OR(tblPiNHistorical[[#This Row],[CCCM - old]]="", tblPiNHistorical[[#This Row],[CCCM - old]]=0, tblPiNHistorical[[#This Row],[CCCM - new]]="", tblPiNHistorical[[#This Row],[CCCM - new]]=0), "", tblPiNHistorical[[#This Row],[CCCM - new]]-tblPiNHistorical[[#This Row],[CCCM - old]])</f>
        <v>-849.81428571428978</v>
      </c>
      <c r="AB183" s="340">
        <f>IF(OR(tblPiNHistorical[[#This Row],[Education - old]]="", tblPiNHistorical[[#This Row],[Education - old]]=0, tblPiNHistorical[[#This Row],[Education - new]]="", tblPiNHistorical[[#This Row],[Education - new]]=0), "", tblPiNHistorical[[#This Row],[Education - new]]-tblPiNHistorical[[#This Row],[Education - old]])</f>
        <v>819.49318508570468</v>
      </c>
      <c r="AC183" s="340">
        <f>IF(OR(tblPiNHistorical[[#This Row],[Nutrition - old]]="", tblPiNHistorical[[#This Row],[Nutrition - old]]=0, tblPiNHistorical[[#This Row],[Nutrition - new]]="", tblPiNHistorical[[#This Row],[Nutrition - new]]=0), "", tblPiNHistorical[[#This Row],[Nutrition - new]]-tblPiNHistorical[[#This Row],[Nutrition - old]])</f>
        <v>-3993.3923182532953</v>
      </c>
      <c r="AD183" s="340">
        <f>IF(OR(tblPiNHistorical[[#This Row],[Food Security - old]]="", tblPiNHistorical[[#This Row],[Food Security - old]]=0, tblPiNHistorical[[#This Row],[Food Security - new]]="", tblPiNHistorical[[#This Row],[Food Security - new]]=0), "", tblPiNHistorical[[#This Row],[Food Security - new]]-tblPiNHistorical[[#This Row],[Food Security - old]])</f>
        <v>-7133.0063551167077</v>
      </c>
      <c r="AE183" s="340">
        <f>IF(OR(tblPiNHistorical[[#This Row],[Health - old]]="", tblPiNHistorical[[#This Row],[Health - old]]=0, tblPiNHistorical[[#This Row],[Health - new]]="", tblPiNHistorical[[#This Row],[Health - new]]=0), "", tblPiNHistorical[[#This Row],[Health - new]]-tblPiNHistorical[[#This Row],[Health - old]])</f>
        <v>-6677.4141716531994</v>
      </c>
      <c r="AF18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-4013.9380345214995</v>
      </c>
      <c r="AG183" s="340">
        <f>IF(OR(tblPiNHistorical[[#This Row],[Shelter - old]]="", tblPiNHistorical[[#This Row],[Shelter - old]]=0, tblPiNHistorical[[#This Row],[Shelter - new]]="", tblPiNHistorical[[#This Row],[Shelter - new]]=0), "", tblPiNHistorical[[#This Row],[Shelter - new]]-tblPiNHistorical[[#This Row],[Shelter - old]])</f>
        <v>7375.3092063491868</v>
      </c>
      <c r="AH183" s="341">
        <f>IF(OR(tblPiNHistorical[[#This Row],[WASH - old]]="", tblPiNHistorical[[#This Row],[WASH - old]]=0, tblPiNHistorical[[#This Row],[WASH - new]]="", tblPiNHistorical[[#This Row],[WASH - new]]=0), "", tblPiNHistorical[[#This Row],[WASH - new]]-tblPiNHistorical[[#This Row],[WASH - old]])</f>
        <v>-398.16402116403879</v>
      </c>
      <c r="AI183" s="342">
        <f>IFERROR(ROUND((tblPiNHistorical[[#This Row],[CCCM - new]] - tblPiNHistorical[[#This Row],[CCCM - old]])/tblPiNHistorical[[#This Row],[CCCM - old]], 1), "")</f>
        <v>-0.3</v>
      </c>
      <c r="AJ183" s="343">
        <f>IFERROR(ROUND((tblPiNHistorical[[#This Row],[Education - new]]-tblPiNHistorical[[#This Row],[Education - old]])/tblPiNHistorical[[#This Row],[Education - old]], 1), "")</f>
        <v>0.2</v>
      </c>
      <c r="AK183" s="343">
        <f>IFERROR(ROUND((tblPiNHistorical[[#This Row],[Nutrition - new]]-tblPiNHistorical[[#This Row],[Nutrition - old]])/tblPiNHistorical[[#This Row],[Nutrition - old]], 1), "")</f>
        <v>-0.4</v>
      </c>
      <c r="AL183" s="343">
        <f>IFERROR(ROUND((tblPiNHistorical[[#This Row],[Food Security - new]]-tblPiNHistorical[[#This Row],[Food Security - old]])/tblPiNHistorical[[#This Row],[Food Security - old]], 1), "")</f>
        <v>-0.4</v>
      </c>
      <c r="AM183" s="343">
        <f>IFERROR(ROUND((tblPiNHistorical[[#This Row],[Health - new]]-tblPiNHistorical[[#This Row],[Health - old]])/tblPiNHistorical[[#This Row],[Health - old]], 1), "")</f>
        <v>-0.4</v>
      </c>
      <c r="AN183" s="343">
        <f>IFERROR(ROUND((tblPiNHistorical[[#This Row],[Overarching Protection - new]]-tblPiNHistorical[[#This Row],[Overarching Protection - old]])/tblPiNHistorical[[#This Row],[Overarching Protection - old]], 1), "")</f>
        <v>-0.3</v>
      </c>
      <c r="AO183" s="343">
        <f>IFERROR(ROUND((tblPiNHistorical[[#This Row],[Shelter - new]]-tblPiNHistorical[[#This Row],[Shelter - old]])/tblPiNHistorical[[#This Row],[Shelter - old]], 1), "")</f>
        <v>3.5</v>
      </c>
      <c r="AP183" s="38">
        <f>IFERROR(ROUND((tblPiNHistorical[[#This Row],[WASH - new]]-tblPiNHistorical[[#This Row],[WASH - old]])/tblPiNHistorical[[#This Row],[WASH - old]], 1), "")</f>
        <v>0</v>
      </c>
      <c r="AQ183" s="406">
        <v>16985</v>
      </c>
      <c r="AR183" s="406">
        <v>9851.9936448832923</v>
      </c>
    </row>
    <row r="184" spans="1:44" ht="15" customHeight="1" x14ac:dyDescent="0.55000000000000004">
      <c r="A18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4" s="316" t="s">
        <v>268</v>
      </c>
      <c r="C184" s="218" t="s">
        <v>269</v>
      </c>
      <c r="D184" s="218" t="s">
        <v>284</v>
      </c>
      <c r="E184" s="105" t="s">
        <v>285</v>
      </c>
      <c r="F184" s="100"/>
      <c r="G184" s="34"/>
      <c r="H184" s="335"/>
      <c r="I184" s="97"/>
      <c r="J184" s="97" t="s">
        <v>414</v>
      </c>
      <c r="K184" s="336">
        <v>202.43203779139958</v>
      </c>
      <c r="L184" s="337">
        <v>225</v>
      </c>
      <c r="M184" s="319">
        <v>766.56181712559771</v>
      </c>
      <c r="N184" s="319">
        <v>1349.5469186093305</v>
      </c>
      <c r="O184" s="319">
        <v>1122.9257549362947</v>
      </c>
      <c r="P184" s="319">
        <v>958.74840000000006</v>
      </c>
      <c r="Q184" s="320">
        <v>0</v>
      </c>
      <c r="R184" s="319">
        <v>1049.6476033628126</v>
      </c>
      <c r="S184" s="235">
        <f>tblPiNAnalysis[[#This Row],[CCCM]]</f>
        <v>635.69999999999993</v>
      </c>
      <c r="T184" s="236">
        <f>tblPiNAnalysis[[#This Row],[Education]]</f>
        <v>1214.4158519999999</v>
      </c>
      <c r="U184" s="219">
        <f>tblPiNAnalysis[[#This Row],[Nutrition]]</f>
        <v>1970.6236557123259</v>
      </c>
      <c r="V184" s="219">
        <f>tblPiNAnalysis[[#This Row],[Food Security]]</f>
        <v>3385.7427540437307</v>
      </c>
      <c r="W184" s="219">
        <f>tblPiNAnalysis[[#This Row],[Health]]</f>
        <v>2581.3377959227432</v>
      </c>
      <c r="X184" s="219">
        <f>tblPiNAnalysis[[#This Row],[Overarching Protection]]</f>
        <v>2967</v>
      </c>
      <c r="Y184" s="219">
        <f>tblPiNAnalysis[[#This Row],[Shelter]]</f>
        <v>2421.7142857142858</v>
      </c>
      <c r="Z184" s="230">
        <f>tblPiNAnalysis[[#This Row],[WASH]]</f>
        <v>3453.1851851851857</v>
      </c>
      <c r="AA184" s="339">
        <f>IF(OR(tblPiNHistorical[[#This Row],[CCCM - old]]="", tblPiNHistorical[[#This Row],[CCCM - old]]=0, tblPiNHistorical[[#This Row],[CCCM - new]]="", tblPiNHistorical[[#This Row],[CCCM - new]]=0), "", tblPiNHistorical[[#This Row],[CCCM - new]]-tblPiNHistorical[[#This Row],[CCCM - old]])</f>
        <v>433.26796220860035</v>
      </c>
      <c r="AB184" s="340">
        <f>IF(OR(tblPiNHistorical[[#This Row],[Education - old]]="", tblPiNHistorical[[#This Row],[Education - old]]=0, tblPiNHistorical[[#This Row],[Education - new]]="", tblPiNHistorical[[#This Row],[Education - new]]=0), "", tblPiNHistorical[[#This Row],[Education - new]]-tblPiNHistorical[[#This Row],[Education - old]])</f>
        <v>989.41585199999986</v>
      </c>
      <c r="AC184" s="340">
        <f>IF(OR(tblPiNHistorical[[#This Row],[Nutrition - old]]="", tblPiNHistorical[[#This Row],[Nutrition - old]]=0, tblPiNHistorical[[#This Row],[Nutrition - new]]="", tblPiNHistorical[[#This Row],[Nutrition - new]]=0), "", tblPiNHistorical[[#This Row],[Nutrition - new]]-tblPiNHistorical[[#This Row],[Nutrition - old]])</f>
        <v>1204.0618385867283</v>
      </c>
      <c r="AD184" s="340">
        <f>IF(OR(tblPiNHistorical[[#This Row],[Food Security - old]]="", tblPiNHistorical[[#This Row],[Food Security - old]]=0, tblPiNHistorical[[#This Row],[Food Security - new]]="", tblPiNHistorical[[#This Row],[Food Security - new]]=0), "", tblPiNHistorical[[#This Row],[Food Security - new]]-tblPiNHistorical[[#This Row],[Food Security - old]])</f>
        <v>2036.1958354344001</v>
      </c>
      <c r="AE184" s="340">
        <f>IF(OR(tblPiNHistorical[[#This Row],[Health - old]]="", tblPiNHistorical[[#This Row],[Health - old]]=0, tblPiNHistorical[[#This Row],[Health - new]]="", tblPiNHistorical[[#This Row],[Health - new]]=0), "", tblPiNHistorical[[#This Row],[Health - new]]-tblPiNHistorical[[#This Row],[Health - old]])</f>
        <v>1458.4120409864486</v>
      </c>
      <c r="AF18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2008.2516000000001</v>
      </c>
      <c r="AG184" s="340" t="str">
        <f>IF(OR(tblPiNHistorical[[#This Row],[Shelter - old]]="", tblPiNHistorical[[#This Row],[Shelter - old]]=0, tblPiNHistorical[[#This Row],[Shelter - new]]="", tblPiNHistorical[[#This Row],[Shelter - new]]=0), "", tblPiNHistorical[[#This Row],[Shelter - new]]-tblPiNHistorical[[#This Row],[Shelter - old]])</f>
        <v/>
      </c>
      <c r="AH184" s="341">
        <f>IF(OR(tblPiNHistorical[[#This Row],[WASH - old]]="", tblPiNHistorical[[#This Row],[WASH - old]]=0, tblPiNHistorical[[#This Row],[WASH - new]]="", tblPiNHistorical[[#This Row],[WASH - new]]=0), "", tblPiNHistorical[[#This Row],[WASH - new]]-tblPiNHistorical[[#This Row],[WASH - old]])</f>
        <v>2403.5375818223729</v>
      </c>
      <c r="AI184" s="342">
        <f>IFERROR(ROUND((tblPiNHistorical[[#This Row],[CCCM - new]] - tblPiNHistorical[[#This Row],[CCCM - old]])/tblPiNHistorical[[#This Row],[CCCM - old]], 1), "")</f>
        <v>2.1</v>
      </c>
      <c r="AJ184" s="343">
        <f>IFERROR(ROUND((tblPiNHistorical[[#This Row],[Education - new]]-tblPiNHistorical[[#This Row],[Education - old]])/tblPiNHistorical[[#This Row],[Education - old]], 1), "")</f>
        <v>4.4000000000000004</v>
      </c>
      <c r="AK184" s="343">
        <f>IFERROR(ROUND((tblPiNHistorical[[#This Row],[Nutrition - new]]-tblPiNHistorical[[#This Row],[Nutrition - old]])/tblPiNHistorical[[#This Row],[Nutrition - old]], 1), "")</f>
        <v>1.6</v>
      </c>
      <c r="AL184" s="343">
        <f>IFERROR(ROUND((tblPiNHistorical[[#This Row],[Food Security - new]]-tblPiNHistorical[[#This Row],[Food Security - old]])/tblPiNHistorical[[#This Row],[Food Security - old]], 1), "")</f>
        <v>1.5</v>
      </c>
      <c r="AM184" s="343">
        <f>IFERROR(ROUND((tblPiNHistorical[[#This Row],[Health - new]]-tblPiNHistorical[[#This Row],[Health - old]])/tblPiNHistorical[[#This Row],[Health - old]], 1), "")</f>
        <v>1.3</v>
      </c>
      <c r="AN184" s="343">
        <f>IFERROR(ROUND((tblPiNHistorical[[#This Row],[Overarching Protection - new]]-tblPiNHistorical[[#This Row],[Overarching Protection - old]])/tblPiNHistorical[[#This Row],[Overarching Protection - old]], 1), "")</f>
        <v>2.1</v>
      </c>
      <c r="AO184" s="343" t="str">
        <f>IFERROR(ROUND((tblPiNHistorical[[#This Row],[Shelter - new]]-tblPiNHistorical[[#This Row],[Shelter - old]])/tblPiNHistorical[[#This Row],[Shelter - old]], 1), "")</f>
        <v/>
      </c>
      <c r="AP184" s="38">
        <f>IFERROR(ROUND((tblPiNHistorical[[#This Row],[WASH - new]]-tblPiNHistorical[[#This Row],[WASH - old]])/tblPiNHistorical[[#This Row],[WASH - old]], 1), "")</f>
        <v>2.2999999999999998</v>
      </c>
      <c r="AQ184" s="406">
        <v>1349.5469186093305</v>
      </c>
      <c r="AR184" s="406">
        <v>3453.1851851851857</v>
      </c>
    </row>
    <row r="185" spans="1:44" ht="15" customHeight="1" x14ac:dyDescent="0.55000000000000004">
      <c r="A18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5" s="316" t="s">
        <v>268</v>
      </c>
      <c r="C185" s="218" t="s">
        <v>269</v>
      </c>
      <c r="D185" s="218" t="s">
        <v>286</v>
      </c>
      <c r="E185" s="105" t="s">
        <v>287</v>
      </c>
      <c r="F185" s="100"/>
      <c r="G185" s="34"/>
      <c r="H185" s="335"/>
      <c r="I185" s="97"/>
      <c r="J185" s="97" t="s">
        <v>414</v>
      </c>
      <c r="K185" s="336">
        <v>236.36368267530705</v>
      </c>
      <c r="L185" s="337">
        <v>455</v>
      </c>
      <c r="M185" s="319">
        <v>877.65424585347512</v>
      </c>
      <c r="N185" s="319">
        <v>1275</v>
      </c>
      <c r="O185" s="319">
        <v>892.28282309834401</v>
      </c>
      <c r="P185" s="319">
        <v>937.05239429528592</v>
      </c>
      <c r="Q185" s="320">
        <v>1181.8184133765353</v>
      </c>
      <c r="R185" s="319">
        <v>569.02368051462804</v>
      </c>
      <c r="S185" s="235">
        <f>tblPiNAnalysis[[#This Row],[CCCM]]</f>
        <v>421.67142857142898</v>
      </c>
      <c r="T185" s="236">
        <f>tblPiNAnalysis[[#This Row],[Education]]</f>
        <v>360.98447657142896</v>
      </c>
      <c r="U185" s="219">
        <f>tblPiNAnalysis[[#This Row],[Nutrition]]</f>
        <v>968.04437881706997</v>
      </c>
      <c r="V185" s="219">
        <f>tblPiNAnalysis[[#This Row],[Food Security]]</f>
        <v>1897.3825367609311</v>
      </c>
      <c r="W185" s="219">
        <f>tblPiNAnalysis[[#This Row],[Health]]</f>
        <v>1777.6937221190433</v>
      </c>
      <c r="X185" s="219">
        <f>tblPiNAnalysis[[#This Row],[Overarching Protection]]</f>
        <v>1968</v>
      </c>
      <c r="Y185" s="219">
        <f>tblPiNAnalysis[[#This Row],[Shelter]]</f>
        <v>2409.5510204081656</v>
      </c>
      <c r="Z185" s="230">
        <f>tblPiNAnalysis[[#This Row],[WASH]]</f>
        <v>103.16120576671047</v>
      </c>
      <c r="AA185" s="339">
        <f>IF(OR(tblPiNHistorical[[#This Row],[CCCM - old]]="", tblPiNHistorical[[#This Row],[CCCM - old]]=0, tblPiNHistorical[[#This Row],[CCCM - new]]="", tblPiNHistorical[[#This Row],[CCCM - new]]=0), "", tblPiNHistorical[[#This Row],[CCCM - new]]-tblPiNHistorical[[#This Row],[CCCM - old]])</f>
        <v>185.30774589612193</v>
      </c>
      <c r="AB185" s="340">
        <f>IF(OR(tblPiNHistorical[[#This Row],[Education - old]]="", tblPiNHistorical[[#This Row],[Education - old]]=0, tblPiNHistorical[[#This Row],[Education - new]]="", tblPiNHistorical[[#This Row],[Education - new]]=0), "", tblPiNHistorical[[#This Row],[Education - new]]-tblPiNHistorical[[#This Row],[Education - old]])</f>
        <v>-94.015523428571043</v>
      </c>
      <c r="AC185" s="340">
        <f>IF(OR(tblPiNHistorical[[#This Row],[Nutrition - old]]="", tblPiNHistorical[[#This Row],[Nutrition - old]]=0, tblPiNHistorical[[#This Row],[Nutrition - new]]="", tblPiNHistorical[[#This Row],[Nutrition - new]]=0), "", tblPiNHistorical[[#This Row],[Nutrition - new]]-tblPiNHistorical[[#This Row],[Nutrition - old]])</f>
        <v>90.390132963594851</v>
      </c>
      <c r="AD185" s="340">
        <f>IF(OR(tblPiNHistorical[[#This Row],[Food Security - old]]="", tblPiNHistorical[[#This Row],[Food Security - old]]=0, tblPiNHistorical[[#This Row],[Food Security - new]]="", tblPiNHistorical[[#This Row],[Food Security - new]]=0), "", tblPiNHistorical[[#This Row],[Food Security - new]]-tblPiNHistorical[[#This Row],[Food Security - old]])</f>
        <v>622.38253676093109</v>
      </c>
      <c r="AE185" s="340">
        <f>IF(OR(tblPiNHistorical[[#This Row],[Health - old]]="", tblPiNHistorical[[#This Row],[Health - old]]=0, tblPiNHistorical[[#This Row],[Health - new]]="", tblPiNHistorical[[#This Row],[Health - new]]=0), "", tblPiNHistorical[[#This Row],[Health - new]]-tblPiNHistorical[[#This Row],[Health - old]])</f>
        <v>885.41089902069928</v>
      </c>
      <c r="AF18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1030.9476057047141</v>
      </c>
      <c r="AG185" s="340">
        <f>IF(OR(tblPiNHistorical[[#This Row],[Shelter - old]]="", tblPiNHistorical[[#This Row],[Shelter - old]]=0, tblPiNHistorical[[#This Row],[Shelter - new]]="", tblPiNHistorical[[#This Row],[Shelter - new]]=0), "", tblPiNHistorical[[#This Row],[Shelter - new]]-tblPiNHistorical[[#This Row],[Shelter - old]])</f>
        <v>1227.7326070316303</v>
      </c>
      <c r="AH185" s="341">
        <f>IF(OR(tblPiNHistorical[[#This Row],[WASH - old]]="", tblPiNHistorical[[#This Row],[WASH - old]]=0, tblPiNHistorical[[#This Row],[WASH - new]]="", tblPiNHistorical[[#This Row],[WASH - new]]=0), "", tblPiNHistorical[[#This Row],[WASH - new]]-tblPiNHistorical[[#This Row],[WASH - old]])</f>
        <v>-465.86247474791759</v>
      </c>
      <c r="AI185" s="342">
        <f>IFERROR(ROUND((tblPiNHistorical[[#This Row],[CCCM - new]] - tblPiNHistorical[[#This Row],[CCCM - old]])/tblPiNHistorical[[#This Row],[CCCM - old]], 1), "")</f>
        <v>0.8</v>
      </c>
      <c r="AJ185" s="343">
        <f>IFERROR(ROUND((tblPiNHistorical[[#This Row],[Education - new]]-tblPiNHistorical[[#This Row],[Education - old]])/tblPiNHistorical[[#This Row],[Education - old]], 1), "")</f>
        <v>-0.2</v>
      </c>
      <c r="AK185" s="343">
        <f>IFERROR(ROUND((tblPiNHistorical[[#This Row],[Nutrition - new]]-tblPiNHistorical[[#This Row],[Nutrition - old]])/tblPiNHistorical[[#This Row],[Nutrition - old]], 1), "")</f>
        <v>0.1</v>
      </c>
      <c r="AL185" s="343">
        <f>IFERROR(ROUND((tblPiNHistorical[[#This Row],[Food Security - new]]-tblPiNHistorical[[#This Row],[Food Security - old]])/tblPiNHistorical[[#This Row],[Food Security - old]], 1), "")</f>
        <v>0.5</v>
      </c>
      <c r="AM185" s="343">
        <f>IFERROR(ROUND((tblPiNHistorical[[#This Row],[Health - new]]-tblPiNHistorical[[#This Row],[Health - old]])/tblPiNHistorical[[#This Row],[Health - old]], 1), "")</f>
        <v>1</v>
      </c>
      <c r="AN185" s="343">
        <f>IFERROR(ROUND((tblPiNHistorical[[#This Row],[Overarching Protection - new]]-tblPiNHistorical[[#This Row],[Overarching Protection - old]])/tblPiNHistorical[[#This Row],[Overarching Protection - old]], 1), "")</f>
        <v>1.1000000000000001</v>
      </c>
      <c r="AO185" s="343">
        <f>IFERROR(ROUND((tblPiNHistorical[[#This Row],[Shelter - new]]-tblPiNHistorical[[#This Row],[Shelter - old]])/tblPiNHistorical[[#This Row],[Shelter - old]], 1), "")</f>
        <v>1</v>
      </c>
      <c r="AP185" s="38">
        <f>IFERROR(ROUND((tblPiNHistorical[[#This Row],[WASH - new]]-tblPiNHistorical[[#This Row],[WASH - old]])/tblPiNHistorical[[#This Row],[WASH - old]], 1), "")</f>
        <v>-0.8</v>
      </c>
      <c r="AQ185" s="406">
        <v>1275</v>
      </c>
      <c r="AR185" s="406">
        <v>2409.5510204081656</v>
      </c>
    </row>
    <row r="186" spans="1:44" ht="15" customHeight="1" x14ac:dyDescent="0.55000000000000004">
      <c r="A18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6" s="316" t="s">
        <v>268</v>
      </c>
      <c r="C186" s="218" t="s">
        <v>269</v>
      </c>
      <c r="D186" s="218" t="s">
        <v>288</v>
      </c>
      <c r="E186" s="105" t="s">
        <v>289</v>
      </c>
      <c r="F186" s="100"/>
      <c r="G186" s="34"/>
      <c r="H186" s="335"/>
      <c r="I186" s="97"/>
      <c r="J186" s="97" t="s">
        <v>414</v>
      </c>
      <c r="K186" s="336">
        <v>274.37922064974413</v>
      </c>
      <c r="L186" s="337">
        <v>594</v>
      </c>
      <c r="M186" s="319">
        <v>1029.188547235319</v>
      </c>
      <c r="N186" s="319">
        <v>1593</v>
      </c>
      <c r="O186" s="319">
        <v>784.48534890146482</v>
      </c>
      <c r="P186" s="319">
        <v>1561.7124288416478</v>
      </c>
      <c r="Q186" s="320">
        <v>1547.7802190498387</v>
      </c>
      <c r="R186" s="319">
        <v>592.79461251487919</v>
      </c>
      <c r="S186" s="235">
        <f>tblPiNAnalysis[[#This Row],[CCCM]]</f>
        <v>775.35</v>
      </c>
      <c r="T186" s="236">
        <f>tblPiNAnalysis[[#This Row],[Education]]</f>
        <v>1679.9250000000002</v>
      </c>
      <c r="U186" s="219">
        <f>tblPiNAnalysis[[#This Row],[Nutrition]]</f>
        <v>1993.9602399046814</v>
      </c>
      <c r="V186" s="219">
        <f>tblPiNAnalysis[[#This Row],[Food Security]]</f>
        <v>3785.552719244839</v>
      </c>
      <c r="W186" s="219">
        <f>tblPiNAnalysis[[#This Row],[Health]]</f>
        <v>2881.5912221645549</v>
      </c>
      <c r="X186" s="219">
        <f>tblPiNAnalysis[[#This Row],[Overarching Protection]]</f>
        <v>3546</v>
      </c>
      <c r="Y186" s="219">
        <f>tblPiNAnalysis[[#This Row],[Shelter]]</f>
        <v>5169</v>
      </c>
      <c r="Z186" s="230">
        <f>tblPiNAnalysis[[#This Row],[WASH]]</f>
        <v>3446</v>
      </c>
      <c r="AA186" s="339">
        <f>IF(OR(tblPiNHistorical[[#This Row],[CCCM - old]]="", tblPiNHistorical[[#This Row],[CCCM - old]]=0, tblPiNHistorical[[#This Row],[CCCM - new]]="", tblPiNHistorical[[#This Row],[CCCM - new]]=0), "", tblPiNHistorical[[#This Row],[CCCM - new]]-tblPiNHistorical[[#This Row],[CCCM - old]])</f>
        <v>500.9707793502559</v>
      </c>
      <c r="AB186" s="340">
        <f>IF(OR(tblPiNHistorical[[#This Row],[Education - old]]="", tblPiNHistorical[[#This Row],[Education - old]]=0, tblPiNHistorical[[#This Row],[Education - new]]="", tblPiNHistorical[[#This Row],[Education - new]]=0), "", tblPiNHistorical[[#This Row],[Education - new]]-tblPiNHistorical[[#This Row],[Education - old]])</f>
        <v>1085.9250000000002</v>
      </c>
      <c r="AC186" s="340">
        <f>IF(OR(tblPiNHistorical[[#This Row],[Nutrition - old]]="", tblPiNHistorical[[#This Row],[Nutrition - old]]=0, tblPiNHistorical[[#This Row],[Nutrition - new]]="", tblPiNHistorical[[#This Row],[Nutrition - new]]=0), "", tblPiNHistorical[[#This Row],[Nutrition - new]]-tblPiNHistorical[[#This Row],[Nutrition - old]])</f>
        <v>964.77169266936244</v>
      </c>
      <c r="AD186" s="340">
        <f>IF(OR(tblPiNHistorical[[#This Row],[Food Security - old]]="", tblPiNHistorical[[#This Row],[Food Security - old]]=0, tblPiNHistorical[[#This Row],[Food Security - new]]="", tblPiNHistorical[[#This Row],[Food Security - new]]=0), "", tblPiNHistorical[[#This Row],[Food Security - new]]-tblPiNHistorical[[#This Row],[Food Security - old]])</f>
        <v>2192.552719244839</v>
      </c>
      <c r="AE186" s="340">
        <f>IF(OR(tblPiNHistorical[[#This Row],[Health - old]]="", tblPiNHistorical[[#This Row],[Health - old]]=0, tblPiNHistorical[[#This Row],[Health - new]]="", tblPiNHistorical[[#This Row],[Health - new]]=0), "", tblPiNHistorical[[#This Row],[Health - new]]-tblPiNHistorical[[#This Row],[Health - old]])</f>
        <v>2097.10587326309</v>
      </c>
      <c r="AF18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1984.2875711583522</v>
      </c>
      <c r="AG186" s="340">
        <f>IF(OR(tblPiNHistorical[[#This Row],[Shelter - old]]="", tblPiNHistorical[[#This Row],[Shelter - old]]=0, tblPiNHistorical[[#This Row],[Shelter - new]]="", tblPiNHistorical[[#This Row],[Shelter - new]]=0), "", tblPiNHistorical[[#This Row],[Shelter - new]]-tblPiNHistorical[[#This Row],[Shelter - old]])</f>
        <v>3621.2197809501613</v>
      </c>
      <c r="AH186" s="341">
        <f>IF(OR(tblPiNHistorical[[#This Row],[WASH - old]]="", tblPiNHistorical[[#This Row],[WASH - old]]=0, tblPiNHistorical[[#This Row],[WASH - new]]="", tblPiNHistorical[[#This Row],[WASH - new]]=0), "", tblPiNHistorical[[#This Row],[WASH - new]]-tblPiNHistorical[[#This Row],[WASH - old]])</f>
        <v>2853.2053874851208</v>
      </c>
      <c r="AI186" s="342">
        <f>IFERROR(ROUND((tblPiNHistorical[[#This Row],[CCCM - new]] - tblPiNHistorical[[#This Row],[CCCM - old]])/tblPiNHistorical[[#This Row],[CCCM - old]], 1), "")</f>
        <v>1.8</v>
      </c>
      <c r="AJ186" s="343">
        <f>IFERROR(ROUND((tblPiNHistorical[[#This Row],[Education - new]]-tblPiNHistorical[[#This Row],[Education - old]])/tblPiNHistorical[[#This Row],[Education - old]], 1), "")</f>
        <v>1.8</v>
      </c>
      <c r="AK186" s="343">
        <f>IFERROR(ROUND((tblPiNHistorical[[#This Row],[Nutrition - new]]-tblPiNHistorical[[#This Row],[Nutrition - old]])/tblPiNHistorical[[#This Row],[Nutrition - old]], 1), "")</f>
        <v>0.9</v>
      </c>
      <c r="AL186" s="343">
        <f>IFERROR(ROUND((tblPiNHistorical[[#This Row],[Food Security - new]]-tblPiNHistorical[[#This Row],[Food Security - old]])/tblPiNHistorical[[#This Row],[Food Security - old]], 1), "")</f>
        <v>1.4</v>
      </c>
      <c r="AM186" s="343">
        <f>IFERROR(ROUND((tblPiNHistorical[[#This Row],[Health - new]]-tblPiNHistorical[[#This Row],[Health - old]])/tblPiNHistorical[[#This Row],[Health - old]], 1), "")</f>
        <v>2.7</v>
      </c>
      <c r="AN186" s="343">
        <f>IFERROR(ROUND((tblPiNHistorical[[#This Row],[Overarching Protection - new]]-tblPiNHistorical[[#This Row],[Overarching Protection - old]])/tblPiNHistorical[[#This Row],[Overarching Protection - old]], 1), "")</f>
        <v>1.3</v>
      </c>
      <c r="AO186" s="343">
        <f>IFERROR(ROUND((tblPiNHistorical[[#This Row],[Shelter - new]]-tblPiNHistorical[[#This Row],[Shelter - old]])/tblPiNHistorical[[#This Row],[Shelter - old]], 1), "")</f>
        <v>2.2999999999999998</v>
      </c>
      <c r="AP186" s="38">
        <f>IFERROR(ROUND((tblPiNHistorical[[#This Row],[WASH - new]]-tblPiNHistorical[[#This Row],[WASH - old]])/tblPiNHistorical[[#This Row],[WASH - old]], 1), "")</f>
        <v>4.8</v>
      </c>
      <c r="AQ186" s="406">
        <v>1593</v>
      </c>
      <c r="AR186" s="406">
        <v>5169</v>
      </c>
    </row>
    <row r="187" spans="1:44" ht="15" customHeight="1" x14ac:dyDescent="0.55000000000000004">
      <c r="A18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7" s="316" t="s">
        <v>268</v>
      </c>
      <c r="C187" s="218" t="s">
        <v>269</v>
      </c>
      <c r="D187" s="218" t="s">
        <v>290</v>
      </c>
      <c r="E187" s="105" t="s">
        <v>291</v>
      </c>
      <c r="F187" s="100"/>
      <c r="G187" s="34"/>
      <c r="H187" s="335"/>
      <c r="I187" s="97"/>
      <c r="J187" s="97" t="s">
        <v>414</v>
      </c>
      <c r="K187" s="336">
        <v>537.41193217487478</v>
      </c>
      <c r="L187" s="337">
        <v>642</v>
      </c>
      <c r="M187" s="319">
        <v>2041.638330084626</v>
      </c>
      <c r="N187" s="319">
        <v>3164</v>
      </c>
      <c r="O187" s="319">
        <v>2856.170979259593</v>
      </c>
      <c r="P187" s="319">
        <v>2820.2079640000002</v>
      </c>
      <c r="Q187" s="320">
        <v>1919.3283291959813</v>
      </c>
      <c r="R187" s="319">
        <v>3070.9253267135705</v>
      </c>
      <c r="S187" s="235">
        <f>tblPiNAnalysis[[#This Row],[CCCM]]</f>
        <v>847.65</v>
      </c>
      <c r="T187" s="236">
        <f>tblPiNAnalysis[[#This Row],[Education]]</f>
        <v>1011.709832</v>
      </c>
      <c r="U187" s="219">
        <f>tblPiNAnalysis[[#This Row],[Nutrition]]</f>
        <v>2883.8874975250328</v>
      </c>
      <c r="V187" s="219">
        <f>tblPiNAnalysis[[#This Row],[Food Security]]</f>
        <v>4605.4988278610399</v>
      </c>
      <c r="W187" s="219">
        <f>tblPiNAnalysis[[#This Row],[Health]]</f>
        <v>2709.270100011081</v>
      </c>
      <c r="X187" s="219">
        <f>tblPiNAnalysis[[#This Row],[Overarching Protection]]</f>
        <v>3697</v>
      </c>
      <c r="Y187" s="219">
        <f>tblPiNAnalysis[[#This Row],[Shelter]]</f>
        <v>2825.5</v>
      </c>
      <c r="Z187" s="230">
        <f>tblPiNAnalysis[[#This Row],[WASH]]</f>
        <v>4709.166666666667</v>
      </c>
      <c r="AA187" s="339">
        <f>IF(OR(tblPiNHistorical[[#This Row],[CCCM - old]]="", tblPiNHistorical[[#This Row],[CCCM - old]]=0, tblPiNHistorical[[#This Row],[CCCM - new]]="", tblPiNHistorical[[#This Row],[CCCM - new]]=0), "", tblPiNHistorical[[#This Row],[CCCM - new]]-tblPiNHistorical[[#This Row],[CCCM - old]])</f>
        <v>310.2380678251252</v>
      </c>
      <c r="AB187" s="340">
        <f>IF(OR(tblPiNHistorical[[#This Row],[Education - old]]="", tblPiNHistorical[[#This Row],[Education - old]]=0, tblPiNHistorical[[#This Row],[Education - new]]="", tblPiNHistorical[[#This Row],[Education - new]]=0), "", tblPiNHistorical[[#This Row],[Education - new]]-tblPiNHistorical[[#This Row],[Education - old]])</f>
        <v>369.70983200000001</v>
      </c>
      <c r="AC187" s="340">
        <f>IF(OR(tblPiNHistorical[[#This Row],[Nutrition - old]]="", tblPiNHistorical[[#This Row],[Nutrition - old]]=0, tblPiNHistorical[[#This Row],[Nutrition - new]]="", tblPiNHistorical[[#This Row],[Nutrition - new]]=0), "", tblPiNHistorical[[#This Row],[Nutrition - new]]-tblPiNHistorical[[#This Row],[Nutrition - old]])</f>
        <v>842.24916744040684</v>
      </c>
      <c r="AD187" s="340">
        <f>IF(OR(tblPiNHistorical[[#This Row],[Food Security - old]]="", tblPiNHistorical[[#This Row],[Food Security - old]]=0, tblPiNHistorical[[#This Row],[Food Security - new]]="", tblPiNHistorical[[#This Row],[Food Security - new]]=0), "", tblPiNHistorical[[#This Row],[Food Security - new]]-tblPiNHistorical[[#This Row],[Food Security - old]])</f>
        <v>1441.4988278610399</v>
      </c>
      <c r="AE187" s="340">
        <f>IF(OR(tblPiNHistorical[[#This Row],[Health - old]]="", tblPiNHistorical[[#This Row],[Health - old]]=0, tblPiNHistorical[[#This Row],[Health - new]]="", tblPiNHistorical[[#This Row],[Health - new]]=0), "", tblPiNHistorical[[#This Row],[Health - new]]-tblPiNHistorical[[#This Row],[Health - old]])</f>
        <v>-146.90087924851196</v>
      </c>
      <c r="AF18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876.79203599999983</v>
      </c>
      <c r="AG187" s="340">
        <f>IF(OR(tblPiNHistorical[[#This Row],[Shelter - old]]="", tblPiNHistorical[[#This Row],[Shelter - old]]=0, tblPiNHistorical[[#This Row],[Shelter - new]]="", tblPiNHistorical[[#This Row],[Shelter - new]]=0), "", tblPiNHistorical[[#This Row],[Shelter - new]]-tblPiNHistorical[[#This Row],[Shelter - old]])</f>
        <v>906.17167080401873</v>
      </c>
      <c r="AH187" s="341">
        <f>IF(OR(tblPiNHistorical[[#This Row],[WASH - old]]="", tblPiNHistorical[[#This Row],[WASH - old]]=0, tblPiNHistorical[[#This Row],[WASH - new]]="", tblPiNHistorical[[#This Row],[WASH - new]]=0), "", tblPiNHistorical[[#This Row],[WASH - new]]-tblPiNHistorical[[#This Row],[WASH - old]])</f>
        <v>1638.2413399530965</v>
      </c>
      <c r="AI187" s="342">
        <f>IFERROR(ROUND((tblPiNHistorical[[#This Row],[CCCM - new]] - tblPiNHistorical[[#This Row],[CCCM - old]])/tblPiNHistorical[[#This Row],[CCCM - old]], 1), "")</f>
        <v>0.6</v>
      </c>
      <c r="AJ187" s="343">
        <f>IFERROR(ROUND((tblPiNHistorical[[#This Row],[Education - new]]-tblPiNHistorical[[#This Row],[Education - old]])/tblPiNHistorical[[#This Row],[Education - old]], 1), "")</f>
        <v>0.6</v>
      </c>
      <c r="AK187" s="343">
        <f>IFERROR(ROUND((tblPiNHistorical[[#This Row],[Nutrition - new]]-tblPiNHistorical[[#This Row],[Nutrition - old]])/tblPiNHistorical[[#This Row],[Nutrition - old]], 1), "")</f>
        <v>0.4</v>
      </c>
      <c r="AL187" s="343">
        <f>IFERROR(ROUND((tblPiNHistorical[[#This Row],[Food Security - new]]-tblPiNHistorical[[#This Row],[Food Security - old]])/tblPiNHistorical[[#This Row],[Food Security - old]], 1), "")</f>
        <v>0.5</v>
      </c>
      <c r="AM187" s="343">
        <f>IFERROR(ROUND((tblPiNHistorical[[#This Row],[Health - new]]-tblPiNHistorical[[#This Row],[Health - old]])/tblPiNHistorical[[#This Row],[Health - old]], 1), "")</f>
        <v>-0.1</v>
      </c>
      <c r="AN187" s="343">
        <f>IFERROR(ROUND((tblPiNHistorical[[#This Row],[Overarching Protection - new]]-tblPiNHistorical[[#This Row],[Overarching Protection - old]])/tblPiNHistorical[[#This Row],[Overarching Protection - old]], 1), "")</f>
        <v>0.3</v>
      </c>
      <c r="AO187" s="343">
        <f>IFERROR(ROUND((tblPiNHistorical[[#This Row],[Shelter - new]]-tblPiNHistorical[[#This Row],[Shelter - old]])/tblPiNHistorical[[#This Row],[Shelter - old]], 1), "")</f>
        <v>0.5</v>
      </c>
      <c r="AP187" s="38">
        <f>IFERROR(ROUND((tblPiNHistorical[[#This Row],[WASH - new]]-tblPiNHistorical[[#This Row],[WASH - old]])/tblPiNHistorical[[#This Row],[WASH - old]], 1), "")</f>
        <v>0.5</v>
      </c>
      <c r="AQ187" s="406">
        <v>3164</v>
      </c>
      <c r="AR187" s="406">
        <v>4709.166666666667</v>
      </c>
    </row>
    <row r="188" spans="1:44" ht="15" customHeight="1" x14ac:dyDescent="0.55000000000000004">
      <c r="A18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8" s="316" t="s">
        <v>292</v>
      </c>
      <c r="C188" s="218" t="s">
        <v>293</v>
      </c>
      <c r="D188" s="218" t="s">
        <v>294</v>
      </c>
      <c r="E188" s="105" t="s">
        <v>295</v>
      </c>
      <c r="F188" s="100"/>
      <c r="G188" s="34"/>
      <c r="H188" s="335"/>
      <c r="I188" s="97"/>
      <c r="J188" s="97" t="s">
        <v>414</v>
      </c>
      <c r="K188" s="336">
        <v>18.824890138563269</v>
      </c>
      <c r="L188" s="337">
        <v>52</v>
      </c>
      <c r="M188" s="319">
        <v>68.861800747480714</v>
      </c>
      <c r="N188" s="319">
        <v>90</v>
      </c>
      <c r="O188" s="319">
        <v>67.065683813763599</v>
      </c>
      <c r="P188" s="319">
        <v>76.844049999999996</v>
      </c>
      <c r="Q188" s="320">
        <v>0</v>
      </c>
      <c r="R188" s="319">
        <v>70.233535073538803</v>
      </c>
      <c r="S188" s="235">
        <f>tblPiNAnalysis[[#This Row],[CCCM]]</f>
        <v>461.05714285714345</v>
      </c>
      <c r="T188" s="236">
        <f>tblPiNAnalysis[[#This Row],[Education]]</f>
        <v>1177.512279428573</v>
      </c>
      <c r="U188" s="219">
        <f>tblPiNAnalysis[[#This Row],[Nutrition]]</f>
        <v>1052.8543594749599</v>
      </c>
      <c r="V188" s="219">
        <f>tblPiNAnalysis[[#This Row],[Food Security]]</f>
        <v>1997.7222828758775</v>
      </c>
      <c r="W188" s="219">
        <f>tblPiNAnalysis[[#This Row],[Health]]</f>
        <v>1503.2260174378218</v>
      </c>
      <c r="X188" s="219">
        <f>tblPiNAnalysis[[#This Row],[Overarching Protection]]</f>
        <v>615</v>
      </c>
      <c r="Y188" s="219">
        <f>tblPiNAnalysis[[#This Row],[Shelter]]</f>
        <v>2195.5102040816355</v>
      </c>
      <c r="Z188" s="230">
        <f>tblPiNAnalysis[[#This Row],[WASH]]</f>
        <v>2305.2857142857174</v>
      </c>
      <c r="AA188" s="339">
        <f>IF(OR(tblPiNHistorical[[#This Row],[CCCM - old]]="", tblPiNHistorical[[#This Row],[CCCM - old]]=0, tblPiNHistorical[[#This Row],[CCCM - new]]="", tblPiNHistorical[[#This Row],[CCCM - new]]=0), "", tblPiNHistorical[[#This Row],[CCCM - new]]-tblPiNHistorical[[#This Row],[CCCM - old]])</f>
        <v>442.23225271858018</v>
      </c>
      <c r="AB188" s="340">
        <f>IF(OR(tblPiNHistorical[[#This Row],[Education - old]]="", tblPiNHistorical[[#This Row],[Education - old]]=0, tblPiNHistorical[[#This Row],[Education - new]]="", tblPiNHistorical[[#This Row],[Education - new]]=0), "", tblPiNHistorical[[#This Row],[Education - new]]-tblPiNHistorical[[#This Row],[Education - old]])</f>
        <v>1125.512279428573</v>
      </c>
      <c r="AC188" s="340">
        <f>IF(OR(tblPiNHistorical[[#This Row],[Nutrition - old]]="", tblPiNHistorical[[#This Row],[Nutrition - old]]=0, tblPiNHistorical[[#This Row],[Nutrition - new]]="", tblPiNHistorical[[#This Row],[Nutrition - new]]=0), "", tblPiNHistorical[[#This Row],[Nutrition - new]]-tblPiNHistorical[[#This Row],[Nutrition - old]])</f>
        <v>983.99255872747915</v>
      </c>
      <c r="AD188" s="340">
        <f>IF(OR(tblPiNHistorical[[#This Row],[Food Security - old]]="", tblPiNHistorical[[#This Row],[Food Security - old]]=0, tblPiNHistorical[[#This Row],[Food Security - new]]="", tblPiNHistorical[[#This Row],[Food Security - new]]=0), "", tblPiNHistorical[[#This Row],[Food Security - new]]-tblPiNHistorical[[#This Row],[Food Security - old]])</f>
        <v>1907.7222828758775</v>
      </c>
      <c r="AE188" s="340">
        <f>IF(OR(tblPiNHistorical[[#This Row],[Health - old]]="", tblPiNHistorical[[#This Row],[Health - old]]=0, tblPiNHistorical[[#This Row],[Health - new]]="", tblPiNHistorical[[#This Row],[Health - new]]=0), "", tblPiNHistorical[[#This Row],[Health - new]]-tblPiNHistorical[[#This Row],[Health - old]])</f>
        <v>1436.1603336240582</v>
      </c>
      <c r="AF18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538.15594999999996</v>
      </c>
      <c r="AG188" s="340" t="str">
        <f>IF(OR(tblPiNHistorical[[#This Row],[Shelter - old]]="", tblPiNHistorical[[#This Row],[Shelter - old]]=0, tblPiNHistorical[[#This Row],[Shelter - new]]="", tblPiNHistorical[[#This Row],[Shelter - new]]=0), "", tblPiNHistorical[[#This Row],[Shelter - new]]-tblPiNHistorical[[#This Row],[Shelter - old]])</f>
        <v/>
      </c>
      <c r="AH188" s="341">
        <f>IF(OR(tblPiNHistorical[[#This Row],[WASH - old]]="", tblPiNHistorical[[#This Row],[WASH - old]]=0, tblPiNHistorical[[#This Row],[WASH - new]]="", tblPiNHistorical[[#This Row],[WASH - new]]=0), "", tblPiNHistorical[[#This Row],[WASH - new]]-tblPiNHistorical[[#This Row],[WASH - old]])</f>
        <v>2235.0521792121785</v>
      </c>
      <c r="AI188" s="342">
        <f>IFERROR(ROUND((tblPiNHistorical[[#This Row],[CCCM - new]] - tblPiNHistorical[[#This Row],[CCCM - old]])/tblPiNHistorical[[#This Row],[CCCM - old]], 1), "")</f>
        <v>23.5</v>
      </c>
      <c r="AJ188" s="343">
        <f>IFERROR(ROUND((tblPiNHistorical[[#This Row],[Education - new]]-tblPiNHistorical[[#This Row],[Education - old]])/tblPiNHistorical[[#This Row],[Education - old]], 1), "")</f>
        <v>21.6</v>
      </c>
      <c r="AK188" s="343">
        <f>IFERROR(ROUND((tblPiNHistorical[[#This Row],[Nutrition - new]]-tblPiNHistorical[[#This Row],[Nutrition - old]])/tblPiNHistorical[[#This Row],[Nutrition - old]], 1), "")</f>
        <v>14.3</v>
      </c>
      <c r="AL188" s="343">
        <f>IFERROR(ROUND((tblPiNHistorical[[#This Row],[Food Security - new]]-tblPiNHistorical[[#This Row],[Food Security - old]])/tblPiNHistorical[[#This Row],[Food Security - old]], 1), "")</f>
        <v>21.2</v>
      </c>
      <c r="AM188" s="343">
        <f>IFERROR(ROUND((tblPiNHistorical[[#This Row],[Health - new]]-tblPiNHistorical[[#This Row],[Health - old]])/tblPiNHistorical[[#This Row],[Health - old]], 1), "")</f>
        <v>21.4</v>
      </c>
      <c r="AN188" s="343">
        <f>IFERROR(ROUND((tblPiNHistorical[[#This Row],[Overarching Protection - new]]-tblPiNHistorical[[#This Row],[Overarching Protection - old]])/tblPiNHistorical[[#This Row],[Overarching Protection - old]], 1), "")</f>
        <v>7</v>
      </c>
      <c r="AO188" s="343" t="str">
        <f>IFERROR(ROUND((tblPiNHistorical[[#This Row],[Shelter - new]]-tblPiNHistorical[[#This Row],[Shelter - old]])/tblPiNHistorical[[#This Row],[Shelter - old]], 1), "")</f>
        <v/>
      </c>
      <c r="AP188" s="38">
        <f>IFERROR(ROUND((tblPiNHistorical[[#This Row],[WASH - new]]-tblPiNHistorical[[#This Row],[WASH - old]])/tblPiNHistorical[[#This Row],[WASH - old]], 1), "")</f>
        <v>31.8</v>
      </c>
      <c r="AQ188" s="406">
        <v>90</v>
      </c>
      <c r="AR188" s="406">
        <v>2305.2857142857174</v>
      </c>
    </row>
    <row r="189" spans="1:44" ht="15" customHeight="1" x14ac:dyDescent="0.55000000000000004">
      <c r="A18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89" s="316" t="s">
        <v>292</v>
      </c>
      <c r="C189" s="218" t="s">
        <v>293</v>
      </c>
      <c r="D189" s="218" t="s">
        <v>296</v>
      </c>
      <c r="E189" s="105" t="s">
        <v>297</v>
      </c>
      <c r="F189" s="100"/>
      <c r="G189" s="34"/>
      <c r="H189" s="335"/>
      <c r="I189" s="97"/>
      <c r="J189" s="97" t="s">
        <v>414</v>
      </c>
      <c r="K189" s="336">
        <v>0</v>
      </c>
      <c r="L189" s="337">
        <v>0</v>
      </c>
      <c r="M189" s="319">
        <v>0</v>
      </c>
      <c r="N189" s="319">
        <v>0</v>
      </c>
      <c r="O189" s="319">
        <v>0</v>
      </c>
      <c r="P189" s="319">
        <v>0</v>
      </c>
      <c r="Q189" s="320">
        <v>0</v>
      </c>
      <c r="R189" s="319">
        <v>0</v>
      </c>
      <c r="S189" s="235">
        <f>tblPiNAnalysis[[#This Row],[CCCM]]</f>
        <v>172.2</v>
      </c>
      <c r="T189" s="236">
        <f>tblPiNAnalysis[[#This Row],[Education]]</f>
        <v>321.59727599999997</v>
      </c>
      <c r="U189" s="219">
        <f>tblPiNAnalysis[[#This Row],[Nutrition]]</f>
        <v>371.57061407088617</v>
      </c>
      <c r="V189" s="219">
        <f>tblPiNAnalysis[[#This Row],[Food Security]]</f>
        <v>594.83372983899699</v>
      </c>
      <c r="W189" s="219">
        <f>tblPiNAnalysis[[#This Row],[Health]]</f>
        <v>481.21173161292643</v>
      </c>
      <c r="X189" s="219">
        <f>tblPiNAnalysis[[#This Row],[Overarching Protection]]</f>
        <v>230</v>
      </c>
      <c r="Y189" s="219">
        <f>tblPiNAnalysis[[#This Row],[Shelter]]</f>
        <v>765.33333333333337</v>
      </c>
      <c r="Z189" s="230">
        <f>tblPiNAnalysis[[#This Row],[WASH]]</f>
        <v>754.7037037037037</v>
      </c>
      <c r="AA189" s="339" t="str">
        <f>IF(OR(tblPiNHistorical[[#This Row],[CCCM - old]]="", tblPiNHistorical[[#This Row],[CCCM - old]]=0, tblPiNHistorical[[#This Row],[CCCM - new]]="", tblPiNHistorical[[#This Row],[CCCM - new]]=0), "", tblPiNHistorical[[#This Row],[CCCM - new]]-tblPiNHistorical[[#This Row],[CCCM - old]])</f>
        <v/>
      </c>
      <c r="AB189" s="340" t="str">
        <f>IF(OR(tblPiNHistorical[[#This Row],[Education - old]]="", tblPiNHistorical[[#This Row],[Education - old]]=0, tblPiNHistorical[[#This Row],[Education - new]]="", tblPiNHistorical[[#This Row],[Education - new]]=0), "", tblPiNHistorical[[#This Row],[Education - new]]-tblPiNHistorical[[#This Row],[Education - old]])</f>
        <v/>
      </c>
      <c r="AC189" s="340" t="str">
        <f>IF(OR(tblPiNHistorical[[#This Row],[Nutrition - old]]="", tblPiNHistorical[[#This Row],[Nutrition - old]]=0, tblPiNHistorical[[#This Row],[Nutrition - new]]="", tblPiNHistorical[[#This Row],[Nutrition - new]]=0), "", tblPiNHistorical[[#This Row],[Nutrition - new]]-tblPiNHistorical[[#This Row],[Nutrition - old]])</f>
        <v/>
      </c>
      <c r="AD189"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89" s="340" t="str">
        <f>IF(OR(tblPiNHistorical[[#This Row],[Health - old]]="", tblPiNHistorical[[#This Row],[Health - old]]=0, tblPiNHistorical[[#This Row],[Health - new]]="", tblPiNHistorical[[#This Row],[Health - new]]=0), "", tblPiNHistorical[[#This Row],[Health - new]]-tblPiNHistorical[[#This Row],[Health - old]])</f>
        <v/>
      </c>
      <c r="AF189"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89" s="340" t="str">
        <f>IF(OR(tblPiNHistorical[[#This Row],[Shelter - old]]="", tblPiNHistorical[[#This Row],[Shelter - old]]=0, tblPiNHistorical[[#This Row],[Shelter - new]]="", tblPiNHistorical[[#This Row],[Shelter - new]]=0), "", tblPiNHistorical[[#This Row],[Shelter - new]]-tblPiNHistorical[[#This Row],[Shelter - old]])</f>
        <v/>
      </c>
      <c r="AH189" s="341" t="str">
        <f>IF(OR(tblPiNHistorical[[#This Row],[WASH - old]]="", tblPiNHistorical[[#This Row],[WASH - old]]=0, tblPiNHistorical[[#This Row],[WASH - new]]="", tblPiNHistorical[[#This Row],[WASH - new]]=0), "", tblPiNHistorical[[#This Row],[WASH - new]]-tblPiNHistorical[[#This Row],[WASH - old]])</f>
        <v/>
      </c>
      <c r="AI189" s="342" t="str">
        <f>IFERROR(ROUND((tblPiNHistorical[[#This Row],[CCCM - new]] - tblPiNHistorical[[#This Row],[CCCM - old]])/tblPiNHistorical[[#This Row],[CCCM - old]], 1), "")</f>
        <v/>
      </c>
      <c r="AJ189" s="343" t="str">
        <f>IFERROR(ROUND((tblPiNHistorical[[#This Row],[Education - new]]-tblPiNHistorical[[#This Row],[Education - old]])/tblPiNHistorical[[#This Row],[Education - old]], 1), "")</f>
        <v/>
      </c>
      <c r="AK189" s="343" t="str">
        <f>IFERROR(ROUND((tblPiNHistorical[[#This Row],[Nutrition - new]]-tblPiNHistorical[[#This Row],[Nutrition - old]])/tblPiNHistorical[[#This Row],[Nutrition - old]], 1), "")</f>
        <v/>
      </c>
      <c r="AL189" s="343" t="str">
        <f>IFERROR(ROUND((tblPiNHistorical[[#This Row],[Food Security - new]]-tblPiNHistorical[[#This Row],[Food Security - old]])/tblPiNHistorical[[#This Row],[Food Security - old]], 1), "")</f>
        <v/>
      </c>
      <c r="AM189" s="343" t="str">
        <f>IFERROR(ROUND((tblPiNHistorical[[#This Row],[Health - new]]-tblPiNHistorical[[#This Row],[Health - old]])/tblPiNHistorical[[#This Row],[Health - old]], 1), "")</f>
        <v/>
      </c>
      <c r="AN189" s="343" t="str">
        <f>IFERROR(ROUND((tblPiNHistorical[[#This Row],[Overarching Protection - new]]-tblPiNHistorical[[#This Row],[Overarching Protection - old]])/tblPiNHistorical[[#This Row],[Overarching Protection - old]], 1), "")</f>
        <v/>
      </c>
      <c r="AO189" s="343" t="str">
        <f>IFERROR(ROUND((tblPiNHistorical[[#This Row],[Shelter - new]]-tblPiNHistorical[[#This Row],[Shelter - old]])/tblPiNHistorical[[#This Row],[Shelter - old]], 1), "")</f>
        <v/>
      </c>
      <c r="AP189" s="38" t="str">
        <f>IFERROR(ROUND((tblPiNHistorical[[#This Row],[WASH - new]]-tblPiNHistorical[[#This Row],[WASH - old]])/tblPiNHistorical[[#This Row],[WASH - old]], 1), "")</f>
        <v/>
      </c>
      <c r="AQ189" s="406">
        <v>0</v>
      </c>
      <c r="AR189" s="406">
        <v>765.33333333333337</v>
      </c>
    </row>
    <row r="190" spans="1:44" ht="15" customHeight="1" x14ac:dyDescent="0.55000000000000004">
      <c r="A19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0" s="316" t="s">
        <v>292</v>
      </c>
      <c r="C190" s="218" t="s">
        <v>293</v>
      </c>
      <c r="D190" s="218" t="s">
        <v>298</v>
      </c>
      <c r="E190" s="105" t="s">
        <v>299</v>
      </c>
      <c r="F190" s="100"/>
      <c r="G190" s="34"/>
      <c r="H190" s="335"/>
      <c r="I190" s="97"/>
      <c r="J190" s="97" t="s">
        <v>414</v>
      </c>
      <c r="K190" s="336">
        <v>0</v>
      </c>
      <c r="L190" s="337">
        <v>0</v>
      </c>
      <c r="M190" s="319">
        <v>0</v>
      </c>
      <c r="N190" s="319">
        <v>0</v>
      </c>
      <c r="O190" s="319">
        <v>0</v>
      </c>
      <c r="P190" s="319">
        <v>0</v>
      </c>
      <c r="Q190" s="320">
        <v>0</v>
      </c>
      <c r="R190" s="319">
        <v>0</v>
      </c>
      <c r="S190" s="235">
        <f>tblPiNAnalysis[[#This Row],[CCCM]]</f>
        <v>432.15</v>
      </c>
      <c r="T190" s="236">
        <f>tblPiNAnalysis[[#This Row],[Education]]</f>
        <v>759.80612999999994</v>
      </c>
      <c r="U190" s="219">
        <f>tblPiNAnalysis[[#This Row],[Nutrition]]</f>
        <v>923.91164896721557</v>
      </c>
      <c r="V190" s="219">
        <f>tblPiNAnalysis[[#This Row],[Food Security]]</f>
        <v>2057.9427616123767</v>
      </c>
      <c r="W190" s="219">
        <f>tblPiNAnalysis[[#This Row],[Health]]</f>
        <v>1444.4431475936408</v>
      </c>
      <c r="X190" s="219">
        <f>tblPiNAnalysis[[#This Row],[Overarching Protection]]</f>
        <v>576</v>
      </c>
      <c r="Y190" s="219">
        <f>tblPiNAnalysis[[#This Row],[Shelter]]</f>
        <v>2016.6999999999998</v>
      </c>
      <c r="Z190" s="230">
        <f>tblPiNAnalysis[[#This Row],[WASH]]</f>
        <v>1400.8532110091742</v>
      </c>
      <c r="AA190" s="339" t="str">
        <f>IF(OR(tblPiNHistorical[[#This Row],[CCCM - old]]="", tblPiNHistorical[[#This Row],[CCCM - old]]=0, tblPiNHistorical[[#This Row],[CCCM - new]]="", tblPiNHistorical[[#This Row],[CCCM - new]]=0), "", tblPiNHistorical[[#This Row],[CCCM - new]]-tblPiNHistorical[[#This Row],[CCCM - old]])</f>
        <v/>
      </c>
      <c r="AB190" s="340" t="str">
        <f>IF(OR(tblPiNHistorical[[#This Row],[Education - old]]="", tblPiNHistorical[[#This Row],[Education - old]]=0, tblPiNHistorical[[#This Row],[Education - new]]="", tblPiNHistorical[[#This Row],[Education - new]]=0), "", tblPiNHistorical[[#This Row],[Education - new]]-tblPiNHistorical[[#This Row],[Education - old]])</f>
        <v/>
      </c>
      <c r="AC190" s="340" t="str">
        <f>IF(OR(tblPiNHistorical[[#This Row],[Nutrition - old]]="", tblPiNHistorical[[#This Row],[Nutrition - old]]=0, tblPiNHistorical[[#This Row],[Nutrition - new]]="", tblPiNHistorical[[#This Row],[Nutrition - new]]=0), "", tblPiNHistorical[[#This Row],[Nutrition - new]]-tblPiNHistorical[[#This Row],[Nutrition - old]])</f>
        <v/>
      </c>
      <c r="AD190"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90" s="340" t="str">
        <f>IF(OR(tblPiNHistorical[[#This Row],[Health - old]]="", tblPiNHistorical[[#This Row],[Health - old]]=0, tblPiNHistorical[[#This Row],[Health - new]]="", tblPiNHistorical[[#This Row],[Health - new]]=0), "", tblPiNHistorical[[#This Row],[Health - new]]-tblPiNHistorical[[#This Row],[Health - old]])</f>
        <v/>
      </c>
      <c r="AF190"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90" s="340" t="str">
        <f>IF(OR(tblPiNHistorical[[#This Row],[Shelter - old]]="", tblPiNHistorical[[#This Row],[Shelter - old]]=0, tblPiNHistorical[[#This Row],[Shelter - new]]="", tblPiNHistorical[[#This Row],[Shelter - new]]=0), "", tblPiNHistorical[[#This Row],[Shelter - new]]-tblPiNHistorical[[#This Row],[Shelter - old]])</f>
        <v/>
      </c>
      <c r="AH190" s="341" t="str">
        <f>IF(OR(tblPiNHistorical[[#This Row],[WASH - old]]="", tblPiNHistorical[[#This Row],[WASH - old]]=0, tblPiNHistorical[[#This Row],[WASH - new]]="", tblPiNHistorical[[#This Row],[WASH - new]]=0), "", tblPiNHistorical[[#This Row],[WASH - new]]-tblPiNHistorical[[#This Row],[WASH - old]])</f>
        <v/>
      </c>
      <c r="AI190" s="342" t="str">
        <f>IFERROR(ROUND((tblPiNHistorical[[#This Row],[CCCM - new]] - tblPiNHistorical[[#This Row],[CCCM - old]])/tblPiNHistorical[[#This Row],[CCCM - old]], 1), "")</f>
        <v/>
      </c>
      <c r="AJ190" s="343" t="str">
        <f>IFERROR(ROUND((tblPiNHistorical[[#This Row],[Education - new]]-tblPiNHistorical[[#This Row],[Education - old]])/tblPiNHistorical[[#This Row],[Education - old]], 1), "")</f>
        <v/>
      </c>
      <c r="AK190" s="343" t="str">
        <f>IFERROR(ROUND((tblPiNHistorical[[#This Row],[Nutrition - new]]-tblPiNHistorical[[#This Row],[Nutrition - old]])/tblPiNHistorical[[#This Row],[Nutrition - old]], 1), "")</f>
        <v/>
      </c>
      <c r="AL190" s="343" t="str">
        <f>IFERROR(ROUND((tblPiNHistorical[[#This Row],[Food Security - new]]-tblPiNHistorical[[#This Row],[Food Security - old]])/tblPiNHistorical[[#This Row],[Food Security - old]], 1), "")</f>
        <v/>
      </c>
      <c r="AM190" s="343" t="str">
        <f>IFERROR(ROUND((tblPiNHistorical[[#This Row],[Health - new]]-tblPiNHistorical[[#This Row],[Health - old]])/tblPiNHistorical[[#This Row],[Health - old]], 1), "")</f>
        <v/>
      </c>
      <c r="AN190" s="343" t="str">
        <f>IFERROR(ROUND((tblPiNHistorical[[#This Row],[Overarching Protection - new]]-tblPiNHistorical[[#This Row],[Overarching Protection - old]])/tblPiNHistorical[[#This Row],[Overarching Protection - old]], 1), "")</f>
        <v/>
      </c>
      <c r="AO190" s="343" t="str">
        <f>IFERROR(ROUND((tblPiNHistorical[[#This Row],[Shelter - new]]-tblPiNHistorical[[#This Row],[Shelter - old]])/tblPiNHistorical[[#This Row],[Shelter - old]], 1), "")</f>
        <v/>
      </c>
      <c r="AP190" s="38" t="str">
        <f>IFERROR(ROUND((tblPiNHistorical[[#This Row],[WASH - new]]-tblPiNHistorical[[#This Row],[WASH - old]])/tblPiNHistorical[[#This Row],[WASH - old]], 1), "")</f>
        <v/>
      </c>
      <c r="AQ190" s="406">
        <v>0</v>
      </c>
      <c r="AR190" s="406">
        <v>2057.9427616123767</v>
      </c>
    </row>
    <row r="191" spans="1:44" ht="15" customHeight="1" x14ac:dyDescent="0.55000000000000004">
      <c r="A19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1" s="316" t="s">
        <v>292</v>
      </c>
      <c r="C191" s="218" t="s">
        <v>293</v>
      </c>
      <c r="D191" s="218" t="s">
        <v>300</v>
      </c>
      <c r="E191" s="105" t="s">
        <v>301</v>
      </c>
      <c r="F191" s="100"/>
      <c r="G191" s="34"/>
      <c r="H191" s="335"/>
      <c r="I191" s="97"/>
      <c r="J191" s="97" t="s">
        <v>414</v>
      </c>
      <c r="K191" s="336">
        <v>291.14110912928675</v>
      </c>
      <c r="L191" s="337">
        <v>274</v>
      </c>
      <c r="M191" s="319">
        <v>1128.0108893143179</v>
      </c>
      <c r="N191" s="319">
        <v>1631</v>
      </c>
      <c r="O191" s="319">
        <v>1802.1140146292926</v>
      </c>
      <c r="P191" s="319">
        <v>1204.3731347780924</v>
      </c>
      <c r="Q191" s="320">
        <v>1319.8396947194333</v>
      </c>
      <c r="R191" s="319">
        <v>364.96321372332244</v>
      </c>
      <c r="S191" s="235">
        <f>tblPiNAnalysis[[#This Row],[CCCM]]</f>
        <v>993.3</v>
      </c>
      <c r="T191" s="236">
        <f>tblPiNAnalysis[[#This Row],[Education]]</f>
        <v>947.95916600000021</v>
      </c>
      <c r="U191" s="219">
        <f>tblPiNAnalysis[[#This Row],[Nutrition]]</f>
        <v>2165.0515374071806</v>
      </c>
      <c r="V191" s="219">
        <f>tblPiNAnalysis[[#This Row],[Food Security]]</f>
        <v>5086.8524596533507</v>
      </c>
      <c r="W191" s="219">
        <f>tblPiNAnalysis[[#This Row],[Health]]</f>
        <v>2405.4919920601465</v>
      </c>
      <c r="X191" s="219">
        <f>tblPiNAnalysis[[#This Row],[Overarching Protection]]</f>
        <v>897</v>
      </c>
      <c r="Y191" s="219">
        <f>tblPiNAnalysis[[#This Row],[Shelter]]</f>
        <v>6376.7407407407409</v>
      </c>
      <c r="Z191" s="230">
        <f>tblPiNAnalysis[[#This Row],[WASH]]</f>
        <v>3556.2592592592591</v>
      </c>
      <c r="AA191" s="339">
        <f>IF(OR(tblPiNHistorical[[#This Row],[CCCM - old]]="", tblPiNHistorical[[#This Row],[CCCM - old]]=0, tblPiNHistorical[[#This Row],[CCCM - new]]="", tblPiNHistorical[[#This Row],[CCCM - new]]=0), "", tblPiNHistorical[[#This Row],[CCCM - new]]-tblPiNHistorical[[#This Row],[CCCM - old]])</f>
        <v>702.15889087071321</v>
      </c>
      <c r="AB191" s="340">
        <f>IF(OR(tblPiNHistorical[[#This Row],[Education - old]]="", tblPiNHistorical[[#This Row],[Education - old]]=0, tblPiNHistorical[[#This Row],[Education - new]]="", tblPiNHistorical[[#This Row],[Education - new]]=0), "", tblPiNHistorical[[#This Row],[Education - new]]-tblPiNHistorical[[#This Row],[Education - old]])</f>
        <v>673.95916600000021</v>
      </c>
      <c r="AC191" s="340">
        <f>IF(OR(tblPiNHistorical[[#This Row],[Nutrition - old]]="", tblPiNHistorical[[#This Row],[Nutrition - old]]=0, tblPiNHistorical[[#This Row],[Nutrition - new]]="", tblPiNHistorical[[#This Row],[Nutrition - new]]=0), "", tblPiNHistorical[[#This Row],[Nutrition - new]]-tblPiNHistorical[[#This Row],[Nutrition - old]])</f>
        <v>1037.0406480928627</v>
      </c>
      <c r="AD191" s="340">
        <f>IF(OR(tblPiNHistorical[[#This Row],[Food Security - old]]="", tblPiNHistorical[[#This Row],[Food Security - old]]=0, tblPiNHistorical[[#This Row],[Food Security - new]]="", tblPiNHistorical[[#This Row],[Food Security - new]]=0), "", tblPiNHistorical[[#This Row],[Food Security - new]]-tblPiNHistorical[[#This Row],[Food Security - old]])</f>
        <v>3455.8524596533507</v>
      </c>
      <c r="AE191" s="340">
        <f>IF(OR(tblPiNHistorical[[#This Row],[Health - old]]="", tblPiNHistorical[[#This Row],[Health - old]]=0, tblPiNHistorical[[#This Row],[Health - new]]="", tblPiNHistorical[[#This Row],[Health - new]]=0), "", tblPiNHistorical[[#This Row],[Health - new]]-tblPiNHistorical[[#This Row],[Health - old]])</f>
        <v>603.37797743085389</v>
      </c>
      <c r="AF19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-307.37313477809244</v>
      </c>
      <c r="AG191" s="340">
        <f>IF(OR(tblPiNHistorical[[#This Row],[Shelter - old]]="", tblPiNHistorical[[#This Row],[Shelter - old]]=0, tblPiNHistorical[[#This Row],[Shelter - new]]="", tblPiNHistorical[[#This Row],[Shelter - new]]=0), "", tblPiNHistorical[[#This Row],[Shelter - new]]-tblPiNHistorical[[#This Row],[Shelter - old]])</f>
        <v>5056.9010460213076</v>
      </c>
      <c r="AH191" s="341">
        <f>IF(OR(tblPiNHistorical[[#This Row],[WASH - old]]="", tblPiNHistorical[[#This Row],[WASH - old]]=0, tblPiNHistorical[[#This Row],[WASH - new]]="", tblPiNHistorical[[#This Row],[WASH - new]]=0), "", tblPiNHistorical[[#This Row],[WASH - new]]-tblPiNHistorical[[#This Row],[WASH - old]])</f>
        <v>3191.2960455359366</v>
      </c>
      <c r="AI191" s="342">
        <f>IFERROR(ROUND((tblPiNHistorical[[#This Row],[CCCM - new]] - tblPiNHistorical[[#This Row],[CCCM - old]])/tblPiNHistorical[[#This Row],[CCCM - old]], 1), "")</f>
        <v>2.4</v>
      </c>
      <c r="AJ191" s="343">
        <f>IFERROR(ROUND((tblPiNHistorical[[#This Row],[Education - new]]-tblPiNHistorical[[#This Row],[Education - old]])/tblPiNHistorical[[#This Row],[Education - old]], 1), "")</f>
        <v>2.5</v>
      </c>
      <c r="AK191" s="343">
        <f>IFERROR(ROUND((tblPiNHistorical[[#This Row],[Nutrition - new]]-tblPiNHistorical[[#This Row],[Nutrition - old]])/tblPiNHistorical[[#This Row],[Nutrition - old]], 1), "")</f>
        <v>0.9</v>
      </c>
      <c r="AL191" s="343">
        <f>IFERROR(ROUND((tblPiNHistorical[[#This Row],[Food Security - new]]-tblPiNHistorical[[#This Row],[Food Security - old]])/tblPiNHistorical[[#This Row],[Food Security - old]], 1), "")</f>
        <v>2.1</v>
      </c>
      <c r="AM191" s="343">
        <f>IFERROR(ROUND((tblPiNHistorical[[#This Row],[Health - new]]-tblPiNHistorical[[#This Row],[Health - old]])/tblPiNHistorical[[#This Row],[Health - old]], 1), "")</f>
        <v>0.3</v>
      </c>
      <c r="AN191" s="343">
        <f>IFERROR(ROUND((tblPiNHistorical[[#This Row],[Overarching Protection - new]]-tblPiNHistorical[[#This Row],[Overarching Protection - old]])/tblPiNHistorical[[#This Row],[Overarching Protection - old]], 1), "")</f>
        <v>-0.3</v>
      </c>
      <c r="AO191" s="343">
        <f>IFERROR(ROUND((tblPiNHistorical[[#This Row],[Shelter - new]]-tblPiNHistorical[[#This Row],[Shelter - old]])/tblPiNHistorical[[#This Row],[Shelter - old]], 1), "")</f>
        <v>3.8</v>
      </c>
      <c r="AP191" s="38">
        <f>IFERROR(ROUND((tblPiNHistorical[[#This Row],[WASH - new]]-tblPiNHistorical[[#This Row],[WASH - old]])/tblPiNHistorical[[#This Row],[WASH - old]], 1), "")</f>
        <v>8.6999999999999993</v>
      </c>
      <c r="AQ191" s="406">
        <v>1802.1140146292926</v>
      </c>
      <c r="AR191" s="406">
        <v>6376.7407407407409</v>
      </c>
    </row>
    <row r="192" spans="1:44" ht="15" customHeight="1" x14ac:dyDescent="0.55000000000000004">
      <c r="A19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2" s="316" t="s">
        <v>292</v>
      </c>
      <c r="C192" s="218" t="s">
        <v>293</v>
      </c>
      <c r="D192" s="218" t="s">
        <v>302</v>
      </c>
      <c r="E192" s="105" t="s">
        <v>303</v>
      </c>
      <c r="F192" s="100"/>
      <c r="G192" s="34"/>
      <c r="H192" s="335"/>
      <c r="I192" s="97"/>
      <c r="J192" s="97" t="s">
        <v>414</v>
      </c>
      <c r="K192" s="336">
        <v>0</v>
      </c>
      <c r="L192" s="337">
        <v>0</v>
      </c>
      <c r="M192" s="319">
        <v>0</v>
      </c>
      <c r="N192" s="319">
        <v>0</v>
      </c>
      <c r="O192" s="319">
        <v>0</v>
      </c>
      <c r="P192" s="319">
        <v>0</v>
      </c>
      <c r="Q192" s="320">
        <v>0</v>
      </c>
      <c r="R192" s="319">
        <v>0</v>
      </c>
      <c r="S192" s="235">
        <f>tblPiNAnalysis[[#This Row],[CCCM]]</f>
        <v>557.89285714285654</v>
      </c>
      <c r="T192" s="236">
        <f>tblPiNAnalysis[[#This Row],[Education]]</f>
        <v>1011.3890835714274</v>
      </c>
      <c r="U192" s="219">
        <f>tblPiNAnalysis[[#This Row],[Nutrition]]</f>
        <v>1192.4882419904961</v>
      </c>
      <c r="V192" s="219">
        <f>tblPiNAnalysis[[#This Row],[Food Security]]</f>
        <v>2637.7840017036069</v>
      </c>
      <c r="W192" s="219">
        <f>tblPiNAnalysis[[#This Row],[Health]]</f>
        <v>1985.571157549577</v>
      </c>
      <c r="X192" s="219">
        <f>tblPiNAnalysis[[#This Row],[Overarching Protection]]</f>
        <v>710</v>
      </c>
      <c r="Y192" s="219">
        <f>tblPiNAnalysis[[#This Row],[Shelter]]</f>
        <v>1969.033613445376</v>
      </c>
      <c r="Z192" s="230">
        <f>tblPiNAnalysis[[#This Row],[WASH]]</f>
        <v>688.75661375661298</v>
      </c>
      <c r="AA192" s="339" t="str">
        <f>IF(OR(tblPiNHistorical[[#This Row],[CCCM - old]]="", tblPiNHistorical[[#This Row],[CCCM - old]]=0, tblPiNHistorical[[#This Row],[CCCM - new]]="", tblPiNHistorical[[#This Row],[CCCM - new]]=0), "", tblPiNHistorical[[#This Row],[CCCM - new]]-tblPiNHistorical[[#This Row],[CCCM - old]])</f>
        <v/>
      </c>
      <c r="AB192" s="340" t="str">
        <f>IF(OR(tblPiNHistorical[[#This Row],[Education - old]]="", tblPiNHistorical[[#This Row],[Education - old]]=0, tblPiNHistorical[[#This Row],[Education - new]]="", tblPiNHistorical[[#This Row],[Education - new]]=0), "", tblPiNHistorical[[#This Row],[Education - new]]-tblPiNHistorical[[#This Row],[Education - old]])</f>
        <v/>
      </c>
      <c r="AC192" s="340" t="str">
        <f>IF(OR(tblPiNHistorical[[#This Row],[Nutrition - old]]="", tblPiNHistorical[[#This Row],[Nutrition - old]]=0, tblPiNHistorical[[#This Row],[Nutrition - new]]="", tblPiNHistorical[[#This Row],[Nutrition - new]]=0), "", tblPiNHistorical[[#This Row],[Nutrition - new]]-tblPiNHistorical[[#This Row],[Nutrition - old]])</f>
        <v/>
      </c>
      <c r="AD192"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192" s="340" t="str">
        <f>IF(OR(tblPiNHistorical[[#This Row],[Health - old]]="", tblPiNHistorical[[#This Row],[Health - old]]=0, tblPiNHistorical[[#This Row],[Health - new]]="", tblPiNHistorical[[#This Row],[Health - new]]=0), "", tblPiNHistorical[[#This Row],[Health - new]]-tblPiNHistorical[[#This Row],[Health - old]])</f>
        <v/>
      </c>
      <c r="AF192"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192" s="340" t="str">
        <f>IF(OR(tblPiNHistorical[[#This Row],[Shelter - old]]="", tblPiNHistorical[[#This Row],[Shelter - old]]=0, tblPiNHistorical[[#This Row],[Shelter - new]]="", tblPiNHistorical[[#This Row],[Shelter - new]]=0), "", tblPiNHistorical[[#This Row],[Shelter - new]]-tblPiNHistorical[[#This Row],[Shelter - old]])</f>
        <v/>
      </c>
      <c r="AH192" s="341" t="str">
        <f>IF(OR(tblPiNHistorical[[#This Row],[WASH - old]]="", tblPiNHistorical[[#This Row],[WASH - old]]=0, tblPiNHistorical[[#This Row],[WASH - new]]="", tblPiNHistorical[[#This Row],[WASH - new]]=0), "", tblPiNHistorical[[#This Row],[WASH - new]]-tblPiNHistorical[[#This Row],[WASH - old]])</f>
        <v/>
      </c>
      <c r="AI192" s="342" t="str">
        <f>IFERROR(ROUND((tblPiNHistorical[[#This Row],[CCCM - new]] - tblPiNHistorical[[#This Row],[CCCM - old]])/tblPiNHistorical[[#This Row],[CCCM - old]], 1), "")</f>
        <v/>
      </c>
      <c r="AJ192" s="343" t="str">
        <f>IFERROR(ROUND((tblPiNHistorical[[#This Row],[Education - new]]-tblPiNHistorical[[#This Row],[Education - old]])/tblPiNHistorical[[#This Row],[Education - old]], 1), "")</f>
        <v/>
      </c>
      <c r="AK192" s="343" t="str">
        <f>IFERROR(ROUND((tblPiNHistorical[[#This Row],[Nutrition - new]]-tblPiNHistorical[[#This Row],[Nutrition - old]])/tblPiNHistorical[[#This Row],[Nutrition - old]], 1), "")</f>
        <v/>
      </c>
      <c r="AL192" s="343" t="str">
        <f>IFERROR(ROUND((tblPiNHistorical[[#This Row],[Food Security - new]]-tblPiNHistorical[[#This Row],[Food Security - old]])/tblPiNHistorical[[#This Row],[Food Security - old]], 1), "")</f>
        <v/>
      </c>
      <c r="AM192" s="343" t="str">
        <f>IFERROR(ROUND((tblPiNHistorical[[#This Row],[Health - new]]-tblPiNHistorical[[#This Row],[Health - old]])/tblPiNHistorical[[#This Row],[Health - old]], 1), "")</f>
        <v/>
      </c>
      <c r="AN192" s="343" t="str">
        <f>IFERROR(ROUND((tblPiNHistorical[[#This Row],[Overarching Protection - new]]-tblPiNHistorical[[#This Row],[Overarching Protection - old]])/tblPiNHistorical[[#This Row],[Overarching Protection - old]], 1), "")</f>
        <v/>
      </c>
      <c r="AO192" s="343" t="str">
        <f>IFERROR(ROUND((tblPiNHistorical[[#This Row],[Shelter - new]]-tblPiNHistorical[[#This Row],[Shelter - old]])/tblPiNHistorical[[#This Row],[Shelter - old]], 1), "")</f>
        <v/>
      </c>
      <c r="AP192" s="38" t="str">
        <f>IFERROR(ROUND((tblPiNHistorical[[#This Row],[WASH - new]]-tblPiNHistorical[[#This Row],[WASH - old]])/tblPiNHistorical[[#This Row],[WASH - old]], 1), "")</f>
        <v/>
      </c>
      <c r="AQ192" s="406">
        <v>0</v>
      </c>
      <c r="AR192" s="406">
        <v>2637.7840017036069</v>
      </c>
    </row>
    <row r="193" spans="1:44" ht="15" customHeight="1" x14ac:dyDescent="0.55000000000000004">
      <c r="A19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3" s="316" t="s">
        <v>292</v>
      </c>
      <c r="C193" s="218" t="s">
        <v>293</v>
      </c>
      <c r="D193" s="218" t="s">
        <v>304</v>
      </c>
      <c r="E193" s="105" t="s">
        <v>305</v>
      </c>
      <c r="F193" s="100"/>
      <c r="G193" s="34"/>
      <c r="H193" s="335"/>
      <c r="I193" s="97"/>
      <c r="J193" s="97" t="s">
        <v>414</v>
      </c>
      <c r="K193" s="336">
        <v>50.543540646005496</v>
      </c>
      <c r="L193" s="337">
        <v>32</v>
      </c>
      <c r="M193" s="319">
        <v>193.35994319250273</v>
      </c>
      <c r="N193" s="319">
        <v>170</v>
      </c>
      <c r="O193" s="319">
        <v>248.83461368514324</v>
      </c>
      <c r="P193" s="319">
        <v>160.34214253624799</v>
      </c>
      <c r="Q193" s="320">
        <v>90.719175518471417</v>
      </c>
      <c r="R193" s="319">
        <v>230.87790171632136</v>
      </c>
      <c r="S193" s="235">
        <f>tblPiNAnalysis[[#This Row],[CCCM]]</f>
        <v>445.2</v>
      </c>
      <c r="T193" s="236">
        <f>tblPiNAnalysis[[#This Row],[Education]]</f>
        <v>455.83434400000004</v>
      </c>
      <c r="U193" s="219">
        <f>tblPiNAnalysis[[#This Row],[Nutrition]]</f>
        <v>1048.5404930660732</v>
      </c>
      <c r="V193" s="219">
        <f>tblPiNAnalysis[[#This Row],[Food Security]]</f>
        <v>746.35716709411224</v>
      </c>
      <c r="W193" s="219">
        <f>tblPiNAnalysis[[#This Row],[Health]]</f>
        <v>1461.1602558181589</v>
      </c>
      <c r="X193" s="219">
        <f>tblPiNAnalysis[[#This Row],[Overarching Protection]]</f>
        <v>594</v>
      </c>
      <c r="Y193" s="219">
        <f>tblPiNAnalysis[[#This Row],[Shelter]]</f>
        <v>1826.4615384615383</v>
      </c>
      <c r="Z193" s="230">
        <f>tblPiNAnalysis[[#This Row],[WASH]]</f>
        <v>1648.8888888888889</v>
      </c>
      <c r="AA193" s="339">
        <f>IF(OR(tblPiNHistorical[[#This Row],[CCCM - old]]="", tblPiNHistorical[[#This Row],[CCCM - old]]=0, tblPiNHistorical[[#This Row],[CCCM - new]]="", tblPiNHistorical[[#This Row],[CCCM - new]]=0), "", tblPiNHistorical[[#This Row],[CCCM - new]]-tblPiNHistorical[[#This Row],[CCCM - old]])</f>
        <v>394.65645935399448</v>
      </c>
      <c r="AB193" s="340">
        <f>IF(OR(tblPiNHistorical[[#This Row],[Education - old]]="", tblPiNHistorical[[#This Row],[Education - old]]=0, tblPiNHistorical[[#This Row],[Education - new]]="", tblPiNHistorical[[#This Row],[Education - new]]=0), "", tblPiNHistorical[[#This Row],[Education - new]]-tblPiNHistorical[[#This Row],[Education - old]])</f>
        <v>423.83434400000004</v>
      </c>
      <c r="AC193" s="340">
        <f>IF(OR(tblPiNHistorical[[#This Row],[Nutrition - old]]="", tblPiNHistorical[[#This Row],[Nutrition - old]]=0, tblPiNHistorical[[#This Row],[Nutrition - new]]="", tblPiNHistorical[[#This Row],[Nutrition - new]]=0), "", tblPiNHistorical[[#This Row],[Nutrition - new]]-tblPiNHistorical[[#This Row],[Nutrition - old]])</f>
        <v>855.1805498735705</v>
      </c>
      <c r="AD193" s="340">
        <f>IF(OR(tblPiNHistorical[[#This Row],[Food Security - old]]="", tblPiNHistorical[[#This Row],[Food Security - old]]=0, tblPiNHistorical[[#This Row],[Food Security - new]]="", tblPiNHistorical[[#This Row],[Food Security - new]]=0), "", tblPiNHistorical[[#This Row],[Food Security - new]]-tblPiNHistorical[[#This Row],[Food Security - old]])</f>
        <v>576.35716709411224</v>
      </c>
      <c r="AE193" s="340">
        <f>IF(OR(tblPiNHistorical[[#This Row],[Health - old]]="", tblPiNHistorical[[#This Row],[Health - old]]=0, tblPiNHistorical[[#This Row],[Health - new]]="", tblPiNHistorical[[#This Row],[Health - new]]=0), "", tblPiNHistorical[[#This Row],[Health - new]]-tblPiNHistorical[[#This Row],[Health - old]])</f>
        <v>1212.3256421330157</v>
      </c>
      <c r="AF19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433.65785746375201</v>
      </c>
      <c r="AG193" s="340">
        <f>IF(OR(tblPiNHistorical[[#This Row],[Shelter - old]]="", tblPiNHistorical[[#This Row],[Shelter - old]]=0, tblPiNHistorical[[#This Row],[Shelter - new]]="", tblPiNHistorical[[#This Row],[Shelter - new]]=0), "", tblPiNHistorical[[#This Row],[Shelter - new]]-tblPiNHistorical[[#This Row],[Shelter - old]])</f>
        <v>1735.7423629430668</v>
      </c>
      <c r="AH193" s="341">
        <f>IF(OR(tblPiNHistorical[[#This Row],[WASH - old]]="", tblPiNHistorical[[#This Row],[WASH - old]]=0, tblPiNHistorical[[#This Row],[WASH - new]]="", tblPiNHistorical[[#This Row],[WASH - new]]=0), "", tblPiNHistorical[[#This Row],[WASH - new]]-tblPiNHistorical[[#This Row],[WASH - old]])</f>
        <v>1418.0109871725676</v>
      </c>
      <c r="AI193" s="342">
        <f>IFERROR(ROUND((tblPiNHistorical[[#This Row],[CCCM - new]] - tblPiNHistorical[[#This Row],[CCCM - old]])/tblPiNHistorical[[#This Row],[CCCM - old]], 1), "")</f>
        <v>7.8</v>
      </c>
      <c r="AJ193" s="343">
        <f>IFERROR(ROUND((tblPiNHistorical[[#This Row],[Education - new]]-tblPiNHistorical[[#This Row],[Education - old]])/tblPiNHistorical[[#This Row],[Education - old]], 1), "")</f>
        <v>13.2</v>
      </c>
      <c r="AK193" s="343">
        <f>IFERROR(ROUND((tblPiNHistorical[[#This Row],[Nutrition - new]]-tblPiNHistorical[[#This Row],[Nutrition - old]])/tblPiNHistorical[[#This Row],[Nutrition - old]], 1), "")</f>
        <v>4.4000000000000004</v>
      </c>
      <c r="AL193" s="343">
        <f>IFERROR(ROUND((tblPiNHistorical[[#This Row],[Food Security - new]]-tblPiNHistorical[[#This Row],[Food Security - old]])/tblPiNHistorical[[#This Row],[Food Security - old]], 1), "")</f>
        <v>3.4</v>
      </c>
      <c r="AM193" s="343">
        <f>IFERROR(ROUND((tblPiNHistorical[[#This Row],[Health - new]]-tblPiNHistorical[[#This Row],[Health - old]])/tblPiNHistorical[[#This Row],[Health - old]], 1), "")</f>
        <v>4.9000000000000004</v>
      </c>
      <c r="AN193" s="343">
        <f>IFERROR(ROUND((tblPiNHistorical[[#This Row],[Overarching Protection - new]]-tblPiNHistorical[[#This Row],[Overarching Protection - old]])/tblPiNHistorical[[#This Row],[Overarching Protection - old]], 1), "")</f>
        <v>2.7</v>
      </c>
      <c r="AO193" s="343">
        <f>IFERROR(ROUND((tblPiNHistorical[[#This Row],[Shelter - new]]-tblPiNHistorical[[#This Row],[Shelter - old]])/tblPiNHistorical[[#This Row],[Shelter - old]], 1), "")</f>
        <v>19.100000000000001</v>
      </c>
      <c r="AP193" s="38">
        <f>IFERROR(ROUND((tblPiNHistorical[[#This Row],[WASH - new]]-tblPiNHistorical[[#This Row],[WASH - old]])/tblPiNHistorical[[#This Row],[WASH - old]], 1), "")</f>
        <v>6.1</v>
      </c>
      <c r="AQ193" s="406">
        <v>248.83461368514324</v>
      </c>
      <c r="AR193" s="406">
        <v>1826.4615384615383</v>
      </c>
    </row>
    <row r="194" spans="1:44" ht="15" customHeight="1" x14ac:dyDescent="0.55000000000000004">
      <c r="A19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4" s="316" t="s">
        <v>292</v>
      </c>
      <c r="C194" s="218" t="s">
        <v>293</v>
      </c>
      <c r="D194" s="218" t="s">
        <v>306</v>
      </c>
      <c r="E194" s="105" t="s">
        <v>307</v>
      </c>
      <c r="F194" s="100"/>
      <c r="G194" s="34"/>
      <c r="H194" s="335"/>
      <c r="I194" s="97"/>
      <c r="J194" s="97" t="s">
        <v>414</v>
      </c>
      <c r="K194" s="336">
        <v>173.80788977248829</v>
      </c>
      <c r="L194" s="337">
        <v>45</v>
      </c>
      <c r="M194" s="319">
        <v>657.96704082617555</v>
      </c>
      <c r="N194" s="319">
        <v>729</v>
      </c>
      <c r="O194" s="319">
        <v>522.57768966537719</v>
      </c>
      <c r="P194" s="319">
        <v>816.56086209045236</v>
      </c>
      <c r="Q194" s="320">
        <v>802.1902604884076</v>
      </c>
      <c r="R194" s="319">
        <v>289.67981628748049</v>
      </c>
      <c r="S194" s="235">
        <f>tblPiNAnalysis[[#This Row],[CCCM]]</f>
        <v>457.18065252201717</v>
      </c>
      <c r="T194" s="236">
        <f>tblPiNAnalysis[[#This Row],[Education]]</f>
        <v>507.92770495196112</v>
      </c>
      <c r="U194" s="219">
        <f>tblPiNAnalysis[[#This Row],[Nutrition]]</f>
        <v>983.45046112189311</v>
      </c>
      <c r="V194" s="219">
        <f>tblPiNAnalysis[[#This Row],[Food Security]]</f>
        <v>2284.4551779585386</v>
      </c>
      <c r="W194" s="219">
        <f>tblPiNAnalysis[[#This Row],[Health]]</f>
        <v>1173.8051731432633</v>
      </c>
      <c r="X194" s="219">
        <f>tblPiNAnalysis[[#This Row],[Overarching Protection]]</f>
        <v>2062</v>
      </c>
      <c r="Y194" s="219">
        <f>tblPiNAnalysis[[#This Row],[Shelter]]</f>
        <v>2216.6334667734168</v>
      </c>
      <c r="Z194" s="230">
        <f>tblPiNAnalysis[[#This Row],[WASH]]</f>
        <v>2031.9140112089651</v>
      </c>
      <c r="AA194" s="339">
        <f>IF(OR(tblPiNHistorical[[#This Row],[CCCM - old]]="", tblPiNHistorical[[#This Row],[CCCM - old]]=0, tblPiNHistorical[[#This Row],[CCCM - new]]="", tblPiNHistorical[[#This Row],[CCCM - new]]=0), "", tblPiNHistorical[[#This Row],[CCCM - new]]-tblPiNHistorical[[#This Row],[CCCM - old]])</f>
        <v>283.37276274952887</v>
      </c>
      <c r="AB194" s="340">
        <f>IF(OR(tblPiNHistorical[[#This Row],[Education - old]]="", tblPiNHistorical[[#This Row],[Education - old]]=0, tblPiNHistorical[[#This Row],[Education - new]]="", tblPiNHistorical[[#This Row],[Education - new]]=0), "", tblPiNHistorical[[#This Row],[Education - new]]-tblPiNHistorical[[#This Row],[Education - old]])</f>
        <v>462.92770495196112</v>
      </c>
      <c r="AC194" s="340">
        <f>IF(OR(tblPiNHistorical[[#This Row],[Nutrition - old]]="", tblPiNHistorical[[#This Row],[Nutrition - old]]=0, tblPiNHistorical[[#This Row],[Nutrition - new]]="", tblPiNHistorical[[#This Row],[Nutrition - new]]=0), "", tblPiNHistorical[[#This Row],[Nutrition - new]]-tblPiNHistorical[[#This Row],[Nutrition - old]])</f>
        <v>325.48342029571756</v>
      </c>
      <c r="AD194" s="340">
        <f>IF(OR(tblPiNHistorical[[#This Row],[Food Security - old]]="", tblPiNHistorical[[#This Row],[Food Security - old]]=0, tblPiNHistorical[[#This Row],[Food Security - new]]="", tblPiNHistorical[[#This Row],[Food Security - new]]=0), "", tblPiNHistorical[[#This Row],[Food Security - new]]-tblPiNHistorical[[#This Row],[Food Security - old]])</f>
        <v>1555.4551779585386</v>
      </c>
      <c r="AE194" s="340">
        <f>IF(OR(tblPiNHistorical[[#This Row],[Health - old]]="", tblPiNHistorical[[#This Row],[Health - old]]=0, tblPiNHistorical[[#This Row],[Health - new]]="", tblPiNHistorical[[#This Row],[Health - new]]=0), "", tblPiNHistorical[[#This Row],[Health - new]]-tblPiNHistorical[[#This Row],[Health - old]])</f>
        <v>651.22748347788615</v>
      </c>
      <c r="AF19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1245.4391379095478</v>
      </c>
      <c r="AG194" s="340">
        <f>IF(OR(tblPiNHistorical[[#This Row],[Shelter - old]]="", tblPiNHistorical[[#This Row],[Shelter - old]]=0, tblPiNHistorical[[#This Row],[Shelter - new]]="", tblPiNHistorical[[#This Row],[Shelter - new]]=0), "", tblPiNHistorical[[#This Row],[Shelter - new]]-tblPiNHistorical[[#This Row],[Shelter - old]])</f>
        <v>1414.4432062850092</v>
      </c>
      <c r="AH194" s="341">
        <f>IF(OR(tblPiNHistorical[[#This Row],[WASH - old]]="", tblPiNHistorical[[#This Row],[WASH - old]]=0, tblPiNHistorical[[#This Row],[WASH - new]]="", tblPiNHistorical[[#This Row],[WASH - new]]=0), "", tblPiNHistorical[[#This Row],[WASH - new]]-tblPiNHistorical[[#This Row],[WASH - old]])</f>
        <v>1742.2341949214847</v>
      </c>
      <c r="AI194" s="342">
        <f>IFERROR(ROUND((tblPiNHistorical[[#This Row],[CCCM - new]] - tblPiNHistorical[[#This Row],[CCCM - old]])/tblPiNHistorical[[#This Row],[CCCM - old]], 1), "")</f>
        <v>1.6</v>
      </c>
      <c r="AJ194" s="343">
        <f>IFERROR(ROUND((tblPiNHistorical[[#This Row],[Education - new]]-tblPiNHistorical[[#This Row],[Education - old]])/tblPiNHistorical[[#This Row],[Education - old]], 1), "")</f>
        <v>10.3</v>
      </c>
      <c r="AK194" s="343">
        <f>IFERROR(ROUND((tblPiNHistorical[[#This Row],[Nutrition - new]]-tblPiNHistorical[[#This Row],[Nutrition - old]])/tblPiNHistorical[[#This Row],[Nutrition - old]], 1), "")</f>
        <v>0.5</v>
      </c>
      <c r="AL194" s="343">
        <f>IFERROR(ROUND((tblPiNHistorical[[#This Row],[Food Security - new]]-tblPiNHistorical[[#This Row],[Food Security - old]])/tblPiNHistorical[[#This Row],[Food Security - old]], 1), "")</f>
        <v>2.1</v>
      </c>
      <c r="AM194" s="343">
        <f>IFERROR(ROUND((tblPiNHistorical[[#This Row],[Health - new]]-tblPiNHistorical[[#This Row],[Health - old]])/tblPiNHistorical[[#This Row],[Health - old]], 1), "")</f>
        <v>1.2</v>
      </c>
      <c r="AN194" s="343">
        <f>IFERROR(ROUND((tblPiNHistorical[[#This Row],[Overarching Protection - new]]-tblPiNHistorical[[#This Row],[Overarching Protection - old]])/tblPiNHistorical[[#This Row],[Overarching Protection - old]], 1), "")</f>
        <v>1.5</v>
      </c>
      <c r="AO194" s="343">
        <f>IFERROR(ROUND((tblPiNHistorical[[#This Row],[Shelter - new]]-tblPiNHistorical[[#This Row],[Shelter - old]])/tblPiNHistorical[[#This Row],[Shelter - old]], 1), "")</f>
        <v>1.8</v>
      </c>
      <c r="AP194" s="38">
        <f>IFERROR(ROUND((tblPiNHistorical[[#This Row],[WASH - new]]-tblPiNHistorical[[#This Row],[WASH - old]])/tblPiNHistorical[[#This Row],[WASH - old]], 1), "")</f>
        <v>6</v>
      </c>
      <c r="AQ194" s="406">
        <v>816.56086209045236</v>
      </c>
      <c r="AR194" s="406">
        <v>2284.4551779585386</v>
      </c>
    </row>
    <row r="195" spans="1:44" ht="15" customHeight="1" x14ac:dyDescent="0.55000000000000004">
      <c r="A19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5" s="316" t="s">
        <v>292</v>
      </c>
      <c r="C195" s="218" t="s">
        <v>293</v>
      </c>
      <c r="D195" s="218" t="s">
        <v>308</v>
      </c>
      <c r="E195" s="105" t="s">
        <v>309</v>
      </c>
      <c r="F195" s="100"/>
      <c r="G195" s="34"/>
      <c r="H195" s="335"/>
      <c r="I195" s="97"/>
      <c r="J195" s="97" t="s">
        <v>414</v>
      </c>
      <c r="K195" s="336">
        <v>324.40701088099445</v>
      </c>
      <c r="L195" s="337">
        <v>583</v>
      </c>
      <c r="M195" s="319">
        <v>1248.745259150804</v>
      </c>
      <c r="N195" s="319">
        <v>1526</v>
      </c>
      <c r="O195" s="319">
        <v>1625.9245625272076</v>
      </c>
      <c r="P195" s="319">
        <v>1142.0290648377377</v>
      </c>
      <c r="Q195" s="320">
        <v>576.72357489954572</v>
      </c>
      <c r="R195" s="319">
        <v>470.15508823332539</v>
      </c>
      <c r="S195" s="235">
        <f>tblPiNAnalysis[[#This Row],[CCCM]]</f>
        <v>767.97857142857106</v>
      </c>
      <c r="T195" s="236">
        <f>tblPiNAnalysis[[#This Row],[Education]]</f>
        <v>1060.8548794285709</v>
      </c>
      <c r="U195" s="219">
        <f>tblPiNAnalysis[[#This Row],[Nutrition]]</f>
        <v>1649.1679405392335</v>
      </c>
      <c r="V195" s="219">
        <f>tblPiNAnalysis[[#This Row],[Food Security]]</f>
        <v>3259.6310042964874</v>
      </c>
      <c r="W195" s="219">
        <f>tblPiNAnalysis[[#This Row],[Health]]</f>
        <v>2043.5933195983814</v>
      </c>
      <c r="X195" s="219">
        <f>tblPiNAnalysis[[#This Row],[Overarching Protection]]</f>
        <v>1018</v>
      </c>
      <c r="Y195" s="219">
        <f>tblPiNAnalysis[[#This Row],[Shelter]]</f>
        <v>4188.9740259740229</v>
      </c>
      <c r="Z195" s="230">
        <f>tblPiNAnalysis[[#This Row],[WASH]]</f>
        <v>3318.4259259259243</v>
      </c>
      <c r="AA195" s="339">
        <f>IF(OR(tblPiNHistorical[[#This Row],[CCCM - old]]="", tblPiNHistorical[[#This Row],[CCCM - old]]=0, tblPiNHistorical[[#This Row],[CCCM - new]]="", tblPiNHistorical[[#This Row],[CCCM - new]]=0), "", tblPiNHistorical[[#This Row],[CCCM - new]]-tblPiNHistorical[[#This Row],[CCCM - old]])</f>
        <v>443.57156054757661</v>
      </c>
      <c r="AB195" s="340">
        <f>IF(OR(tblPiNHistorical[[#This Row],[Education - old]]="", tblPiNHistorical[[#This Row],[Education - old]]=0, tblPiNHistorical[[#This Row],[Education - new]]="", tblPiNHistorical[[#This Row],[Education - new]]=0), "", tblPiNHistorical[[#This Row],[Education - new]]-tblPiNHistorical[[#This Row],[Education - old]])</f>
        <v>477.85487942857094</v>
      </c>
      <c r="AC195" s="340">
        <f>IF(OR(tblPiNHistorical[[#This Row],[Nutrition - old]]="", tblPiNHistorical[[#This Row],[Nutrition - old]]=0, tblPiNHistorical[[#This Row],[Nutrition - new]]="", tblPiNHistorical[[#This Row],[Nutrition - new]]=0), "", tblPiNHistorical[[#This Row],[Nutrition - new]]-tblPiNHistorical[[#This Row],[Nutrition - old]])</f>
        <v>400.42268138842951</v>
      </c>
      <c r="AD195" s="340">
        <f>IF(OR(tblPiNHistorical[[#This Row],[Food Security - old]]="", tblPiNHistorical[[#This Row],[Food Security - old]]=0, tblPiNHistorical[[#This Row],[Food Security - new]]="", tblPiNHistorical[[#This Row],[Food Security - new]]=0), "", tblPiNHistorical[[#This Row],[Food Security - new]]-tblPiNHistorical[[#This Row],[Food Security - old]])</f>
        <v>1733.6310042964874</v>
      </c>
      <c r="AE195" s="340">
        <f>IF(OR(tblPiNHistorical[[#This Row],[Health - old]]="", tblPiNHistorical[[#This Row],[Health - old]]=0, tblPiNHistorical[[#This Row],[Health - new]]="", tblPiNHistorical[[#This Row],[Health - new]]=0), "", tblPiNHistorical[[#This Row],[Health - new]]-tblPiNHistorical[[#This Row],[Health - old]])</f>
        <v>417.66875707117379</v>
      </c>
      <c r="AF19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-124.02906483773768</v>
      </c>
      <c r="AG195" s="340">
        <f>IF(OR(tblPiNHistorical[[#This Row],[Shelter - old]]="", tblPiNHistorical[[#This Row],[Shelter - old]]=0, tblPiNHistorical[[#This Row],[Shelter - new]]="", tblPiNHistorical[[#This Row],[Shelter - new]]=0), "", tblPiNHistorical[[#This Row],[Shelter - new]]-tblPiNHistorical[[#This Row],[Shelter - old]])</f>
        <v>3612.250451074477</v>
      </c>
      <c r="AH195" s="341">
        <f>IF(OR(tblPiNHistorical[[#This Row],[WASH - old]]="", tblPiNHistorical[[#This Row],[WASH - old]]=0, tblPiNHistorical[[#This Row],[WASH - new]]="", tblPiNHistorical[[#This Row],[WASH - new]]=0), "", tblPiNHistorical[[#This Row],[WASH - new]]-tblPiNHistorical[[#This Row],[WASH - old]])</f>
        <v>2848.2708376925989</v>
      </c>
      <c r="AI195" s="342">
        <f>IFERROR(ROUND((tblPiNHistorical[[#This Row],[CCCM - new]] - tblPiNHistorical[[#This Row],[CCCM - old]])/tblPiNHistorical[[#This Row],[CCCM - old]], 1), "")</f>
        <v>1.4</v>
      </c>
      <c r="AJ195" s="343">
        <f>IFERROR(ROUND((tblPiNHistorical[[#This Row],[Education - new]]-tblPiNHistorical[[#This Row],[Education - old]])/tblPiNHistorical[[#This Row],[Education - old]], 1), "")</f>
        <v>0.8</v>
      </c>
      <c r="AK195" s="343">
        <f>IFERROR(ROUND((tblPiNHistorical[[#This Row],[Nutrition - new]]-tblPiNHistorical[[#This Row],[Nutrition - old]])/tblPiNHistorical[[#This Row],[Nutrition - old]], 1), "")</f>
        <v>0.3</v>
      </c>
      <c r="AL195" s="343">
        <f>IFERROR(ROUND((tblPiNHistorical[[#This Row],[Food Security - new]]-tblPiNHistorical[[#This Row],[Food Security - old]])/tblPiNHistorical[[#This Row],[Food Security - old]], 1), "")</f>
        <v>1.1000000000000001</v>
      </c>
      <c r="AM195" s="343">
        <f>IFERROR(ROUND((tblPiNHistorical[[#This Row],[Health - new]]-tblPiNHistorical[[#This Row],[Health - old]])/tblPiNHistorical[[#This Row],[Health - old]], 1), "")</f>
        <v>0.3</v>
      </c>
      <c r="AN195" s="343">
        <f>IFERROR(ROUND((tblPiNHistorical[[#This Row],[Overarching Protection - new]]-tblPiNHistorical[[#This Row],[Overarching Protection - old]])/tblPiNHistorical[[#This Row],[Overarching Protection - old]], 1), "")</f>
        <v>-0.1</v>
      </c>
      <c r="AO195" s="343">
        <f>IFERROR(ROUND((tblPiNHistorical[[#This Row],[Shelter - new]]-tblPiNHistorical[[#This Row],[Shelter - old]])/tblPiNHistorical[[#This Row],[Shelter - old]], 1), "")</f>
        <v>6.3</v>
      </c>
      <c r="AP195" s="38">
        <f>IFERROR(ROUND((tblPiNHistorical[[#This Row],[WASH - new]]-tblPiNHistorical[[#This Row],[WASH - old]])/tblPiNHistorical[[#This Row],[WASH - old]], 1), "")</f>
        <v>6.1</v>
      </c>
      <c r="AQ195" s="406">
        <v>1625.9245625272076</v>
      </c>
      <c r="AR195" s="406">
        <v>4188.9740259740229</v>
      </c>
    </row>
    <row r="196" spans="1:44" ht="15" customHeight="1" x14ac:dyDescent="0.55000000000000004">
      <c r="A19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6" s="316" t="s">
        <v>310</v>
      </c>
      <c r="C196" s="218" t="s">
        <v>311</v>
      </c>
      <c r="D196" s="218" t="s">
        <v>312</v>
      </c>
      <c r="E196" s="105" t="s">
        <v>313</v>
      </c>
      <c r="F196" s="100"/>
      <c r="G196" s="34"/>
      <c r="H196" s="335"/>
      <c r="I196" s="97"/>
      <c r="J196" s="97" t="s">
        <v>414</v>
      </c>
      <c r="K196" s="336">
        <v>1402.3253777192751</v>
      </c>
      <c r="L196" s="337">
        <v>1845</v>
      </c>
      <c r="M196" s="319">
        <v>4975.5858316296089</v>
      </c>
      <c r="N196" s="319">
        <v>5502</v>
      </c>
      <c r="O196" s="319">
        <v>4543.8986939464676</v>
      </c>
      <c r="P196" s="319">
        <v>6044.6221271999993</v>
      </c>
      <c r="Q196" s="320">
        <v>4794.2747956214534</v>
      </c>
      <c r="R196" s="319">
        <v>4155.0381562052598</v>
      </c>
      <c r="S196" s="235">
        <f>tblPiNAnalysis[[#This Row],[CCCM]]</f>
        <v>2477.0230527279032</v>
      </c>
      <c r="T196" s="236">
        <f>tblPiNAnalysis[[#This Row],[Education]]</f>
        <v>2865.5160456203439</v>
      </c>
      <c r="U196" s="219">
        <f>tblPiNAnalysis[[#This Row],[Nutrition]]</f>
        <v>11446.945548084152</v>
      </c>
      <c r="V196" s="219">
        <f>tblPiNAnalysis[[#This Row],[Food Security]]</f>
        <v>9983.9878224402255</v>
      </c>
      <c r="W196" s="219">
        <f>tblPiNAnalysis[[#This Row],[Health]]</f>
        <v>13603.717947460118</v>
      </c>
      <c r="X196" s="219">
        <f>tblPiNAnalysis[[#This Row],[Overarching Protection]]</f>
        <v>10867</v>
      </c>
      <c r="Y196" s="219">
        <f>tblPiNAnalysis[[#This Row],[Shelter]]</f>
        <v>8615.7323573144458</v>
      </c>
      <c r="Z196" s="230">
        <f>tblPiNAnalysis[[#This Row],[WASH]]</f>
        <v>10803.21580628992</v>
      </c>
      <c r="AA196" s="339">
        <f>IF(OR(tblPiNHistorical[[#This Row],[CCCM - old]]="", tblPiNHistorical[[#This Row],[CCCM - old]]=0, tblPiNHistorical[[#This Row],[CCCM - new]]="", tblPiNHistorical[[#This Row],[CCCM - new]]=0), "", tblPiNHistorical[[#This Row],[CCCM - new]]-tblPiNHistorical[[#This Row],[CCCM - old]])</f>
        <v>1074.697675008628</v>
      </c>
      <c r="AB196" s="340">
        <f>IF(OR(tblPiNHistorical[[#This Row],[Education - old]]="", tblPiNHistorical[[#This Row],[Education - old]]=0, tblPiNHistorical[[#This Row],[Education - new]]="", tblPiNHistorical[[#This Row],[Education - new]]=0), "", tblPiNHistorical[[#This Row],[Education - new]]-tblPiNHistorical[[#This Row],[Education - old]])</f>
        <v>1020.5160456203439</v>
      </c>
      <c r="AC196" s="340">
        <f>IF(OR(tblPiNHistorical[[#This Row],[Nutrition - old]]="", tblPiNHistorical[[#This Row],[Nutrition - old]]=0, tblPiNHistorical[[#This Row],[Nutrition - new]]="", tblPiNHistorical[[#This Row],[Nutrition - new]]=0), "", tblPiNHistorical[[#This Row],[Nutrition - new]]-tblPiNHistorical[[#This Row],[Nutrition - old]])</f>
        <v>6471.3597164545426</v>
      </c>
      <c r="AD196" s="340">
        <f>IF(OR(tblPiNHistorical[[#This Row],[Food Security - old]]="", tblPiNHistorical[[#This Row],[Food Security - old]]=0, tblPiNHistorical[[#This Row],[Food Security - new]]="", tblPiNHistorical[[#This Row],[Food Security - new]]=0), "", tblPiNHistorical[[#This Row],[Food Security - new]]-tblPiNHistorical[[#This Row],[Food Security - old]])</f>
        <v>4481.9878224402255</v>
      </c>
      <c r="AE196" s="340">
        <f>IF(OR(tblPiNHistorical[[#This Row],[Health - old]]="", tblPiNHistorical[[#This Row],[Health - old]]=0, tblPiNHistorical[[#This Row],[Health - new]]="", tblPiNHistorical[[#This Row],[Health - new]]=0), "", tblPiNHistorical[[#This Row],[Health - new]]-tblPiNHistorical[[#This Row],[Health - old]])</f>
        <v>9059.8192535136513</v>
      </c>
      <c r="AF19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4822.3778728000007</v>
      </c>
      <c r="AG196" s="340">
        <f>IF(OR(tblPiNHistorical[[#This Row],[Shelter - old]]="", tblPiNHistorical[[#This Row],[Shelter - old]]=0, tblPiNHistorical[[#This Row],[Shelter - new]]="", tblPiNHistorical[[#This Row],[Shelter - new]]=0), "", tblPiNHistorical[[#This Row],[Shelter - new]]-tblPiNHistorical[[#This Row],[Shelter - old]])</f>
        <v>3821.4575616929924</v>
      </c>
      <c r="AH196" s="341">
        <f>IF(OR(tblPiNHistorical[[#This Row],[WASH - old]]="", tblPiNHistorical[[#This Row],[WASH - old]]=0, tblPiNHistorical[[#This Row],[WASH - new]]="", tblPiNHistorical[[#This Row],[WASH - new]]=0), "", tblPiNHistorical[[#This Row],[WASH - new]]-tblPiNHistorical[[#This Row],[WASH - old]])</f>
        <v>6648.1776500846599</v>
      </c>
      <c r="AI196" s="342">
        <f>IFERROR(ROUND((tblPiNHistorical[[#This Row],[CCCM - new]] - tblPiNHistorical[[#This Row],[CCCM - old]])/tblPiNHistorical[[#This Row],[CCCM - old]], 1), "")</f>
        <v>0.8</v>
      </c>
      <c r="AJ196" s="343">
        <f>IFERROR(ROUND((tblPiNHistorical[[#This Row],[Education - new]]-tblPiNHistorical[[#This Row],[Education - old]])/tblPiNHistorical[[#This Row],[Education - old]], 1), "")</f>
        <v>0.6</v>
      </c>
      <c r="AK196" s="343">
        <f>IFERROR(ROUND((tblPiNHistorical[[#This Row],[Nutrition - new]]-tblPiNHistorical[[#This Row],[Nutrition - old]])/tblPiNHistorical[[#This Row],[Nutrition - old]], 1), "")</f>
        <v>1.3</v>
      </c>
      <c r="AL196" s="343">
        <f>IFERROR(ROUND((tblPiNHistorical[[#This Row],[Food Security - new]]-tblPiNHistorical[[#This Row],[Food Security - old]])/tblPiNHistorical[[#This Row],[Food Security - old]], 1), "")</f>
        <v>0.8</v>
      </c>
      <c r="AM196" s="343">
        <f>IFERROR(ROUND((tblPiNHistorical[[#This Row],[Health - new]]-tblPiNHistorical[[#This Row],[Health - old]])/tblPiNHistorical[[#This Row],[Health - old]], 1), "")</f>
        <v>2</v>
      </c>
      <c r="AN196" s="343">
        <f>IFERROR(ROUND((tblPiNHistorical[[#This Row],[Overarching Protection - new]]-tblPiNHistorical[[#This Row],[Overarching Protection - old]])/tblPiNHistorical[[#This Row],[Overarching Protection - old]], 1), "")</f>
        <v>0.8</v>
      </c>
      <c r="AO196" s="343">
        <f>IFERROR(ROUND((tblPiNHistorical[[#This Row],[Shelter - new]]-tblPiNHistorical[[#This Row],[Shelter - old]])/tblPiNHistorical[[#This Row],[Shelter - old]], 1), "")</f>
        <v>0.8</v>
      </c>
      <c r="AP196" s="38">
        <f>IFERROR(ROUND((tblPiNHistorical[[#This Row],[WASH - new]]-tblPiNHistorical[[#This Row],[WASH - old]])/tblPiNHistorical[[#This Row],[WASH - old]], 1), "")</f>
        <v>1.6</v>
      </c>
      <c r="AQ196" s="406">
        <v>6044.6221271999993</v>
      </c>
      <c r="AR196" s="406">
        <v>13603.717947460118</v>
      </c>
    </row>
    <row r="197" spans="1:44" ht="15" customHeight="1" x14ac:dyDescent="0.55000000000000004">
      <c r="A19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7" s="316" t="s">
        <v>310</v>
      </c>
      <c r="C197" s="218" t="s">
        <v>311</v>
      </c>
      <c r="D197" s="218" t="s">
        <v>314</v>
      </c>
      <c r="E197" s="105" t="s">
        <v>315</v>
      </c>
      <c r="F197" s="100"/>
      <c r="G197" s="34"/>
      <c r="H197" s="335"/>
      <c r="I197" s="97"/>
      <c r="J197" s="97" t="s">
        <v>414</v>
      </c>
      <c r="K197" s="336">
        <v>16757.923650234836</v>
      </c>
      <c r="L197" s="337">
        <v>28831</v>
      </c>
      <c r="M197" s="319">
        <v>37744.743146969602</v>
      </c>
      <c r="N197" s="319">
        <v>54305</v>
      </c>
      <c r="O197" s="319">
        <v>43920.033902880787</v>
      </c>
      <c r="P197" s="319">
        <v>48304.181076900291</v>
      </c>
      <c r="Q197" s="320">
        <v>43104.255376991656</v>
      </c>
      <c r="R197" s="319">
        <v>20979.486614646903</v>
      </c>
      <c r="S197" s="235">
        <f>tblPiNAnalysis[[#This Row],[CCCM]]</f>
        <v>12693.655769186771</v>
      </c>
      <c r="T197" s="236">
        <f>tblPiNAnalysis[[#This Row],[Education]]</f>
        <v>31034.769764707813</v>
      </c>
      <c r="U197" s="219">
        <f>tblPiNAnalysis[[#This Row],[Nutrition]]</f>
        <v>32647.120414096447</v>
      </c>
      <c r="V197" s="219">
        <f>tblPiNAnalysis[[#This Row],[Food Security]]</f>
        <v>65204.331159042034</v>
      </c>
      <c r="W197" s="219">
        <f>tblPiNAnalysis[[#This Row],[Health]]</f>
        <v>35747.875154623791</v>
      </c>
      <c r="X197" s="219">
        <f>tblPiNAnalysis[[#This Row],[Overarching Protection]]</f>
        <v>56110</v>
      </c>
      <c r="Y197" s="219">
        <f>tblPiNAnalysis[[#This Row],[Shelter]]</f>
        <v>84624.371794578474</v>
      </c>
      <c r="Z197" s="230">
        <f>tblPiNAnalysis[[#This Row],[WASH]]</f>
        <v>34476.59591630975</v>
      </c>
      <c r="AA197" s="339">
        <f>IF(OR(tblPiNHistorical[[#This Row],[CCCM - old]]="", tblPiNHistorical[[#This Row],[CCCM - old]]=0, tblPiNHistorical[[#This Row],[CCCM - new]]="", tblPiNHistorical[[#This Row],[CCCM - new]]=0), "", tblPiNHistorical[[#This Row],[CCCM - new]]-tblPiNHistorical[[#This Row],[CCCM - old]])</f>
        <v>-4064.2678810480647</v>
      </c>
      <c r="AB197" s="340">
        <f>IF(OR(tblPiNHistorical[[#This Row],[Education - old]]="", tblPiNHistorical[[#This Row],[Education - old]]=0, tblPiNHistorical[[#This Row],[Education - new]]="", tblPiNHistorical[[#This Row],[Education - new]]=0), "", tblPiNHistorical[[#This Row],[Education - new]]-tblPiNHistorical[[#This Row],[Education - old]])</f>
        <v>2203.769764707813</v>
      </c>
      <c r="AC197" s="340">
        <f>IF(OR(tblPiNHistorical[[#This Row],[Nutrition - old]]="", tblPiNHistorical[[#This Row],[Nutrition - old]]=0, tblPiNHistorical[[#This Row],[Nutrition - new]]="", tblPiNHistorical[[#This Row],[Nutrition - new]]=0), "", tblPiNHistorical[[#This Row],[Nutrition - new]]-tblPiNHistorical[[#This Row],[Nutrition - old]])</f>
        <v>-5097.6227328731547</v>
      </c>
      <c r="AD197" s="340">
        <f>IF(OR(tblPiNHistorical[[#This Row],[Food Security - old]]="", tblPiNHistorical[[#This Row],[Food Security - old]]=0, tblPiNHistorical[[#This Row],[Food Security - new]]="", tblPiNHistorical[[#This Row],[Food Security - new]]=0), "", tblPiNHistorical[[#This Row],[Food Security - new]]-tblPiNHistorical[[#This Row],[Food Security - old]])</f>
        <v>10899.331159042034</v>
      </c>
      <c r="AE197" s="340">
        <f>IF(OR(tblPiNHistorical[[#This Row],[Health - old]]="", tblPiNHistorical[[#This Row],[Health - old]]=0, tblPiNHistorical[[#This Row],[Health - new]]="", tblPiNHistorical[[#This Row],[Health - new]]=0), "", tblPiNHistorical[[#This Row],[Health - new]]-tblPiNHistorical[[#This Row],[Health - old]])</f>
        <v>-8172.1587482569958</v>
      </c>
      <c r="AF19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7805.8189230997086</v>
      </c>
      <c r="AG197" s="340">
        <f>IF(OR(tblPiNHistorical[[#This Row],[Shelter - old]]="", tblPiNHistorical[[#This Row],[Shelter - old]]=0, tblPiNHistorical[[#This Row],[Shelter - new]]="", tblPiNHistorical[[#This Row],[Shelter - new]]=0), "", tblPiNHistorical[[#This Row],[Shelter - new]]-tblPiNHistorical[[#This Row],[Shelter - old]])</f>
        <v>41520.116417586818</v>
      </c>
      <c r="AH197" s="341">
        <f>IF(OR(tblPiNHistorical[[#This Row],[WASH - old]]="", tblPiNHistorical[[#This Row],[WASH - old]]=0, tblPiNHistorical[[#This Row],[WASH - new]]="", tblPiNHistorical[[#This Row],[WASH - new]]=0), "", tblPiNHistorical[[#This Row],[WASH - new]]-tblPiNHistorical[[#This Row],[WASH - old]])</f>
        <v>13497.109301662847</v>
      </c>
      <c r="AI197" s="342">
        <f>IFERROR(ROUND((tblPiNHistorical[[#This Row],[CCCM - new]] - tblPiNHistorical[[#This Row],[CCCM - old]])/tblPiNHistorical[[#This Row],[CCCM - old]], 1), "")</f>
        <v>-0.2</v>
      </c>
      <c r="AJ197" s="343">
        <f>IFERROR(ROUND((tblPiNHistorical[[#This Row],[Education - new]]-tblPiNHistorical[[#This Row],[Education - old]])/tblPiNHistorical[[#This Row],[Education - old]], 1), "")</f>
        <v>0.1</v>
      </c>
      <c r="AK197" s="343">
        <f>IFERROR(ROUND((tblPiNHistorical[[#This Row],[Nutrition - new]]-tblPiNHistorical[[#This Row],[Nutrition - old]])/tblPiNHistorical[[#This Row],[Nutrition - old]], 1), "")</f>
        <v>-0.1</v>
      </c>
      <c r="AL197" s="343">
        <f>IFERROR(ROUND((tblPiNHistorical[[#This Row],[Food Security - new]]-tblPiNHistorical[[#This Row],[Food Security - old]])/tblPiNHistorical[[#This Row],[Food Security - old]], 1), "")</f>
        <v>0.2</v>
      </c>
      <c r="AM197" s="343">
        <f>IFERROR(ROUND((tblPiNHistorical[[#This Row],[Health - new]]-tblPiNHistorical[[#This Row],[Health - old]])/tblPiNHistorical[[#This Row],[Health - old]], 1), "")</f>
        <v>-0.2</v>
      </c>
      <c r="AN197" s="343">
        <f>IFERROR(ROUND((tblPiNHistorical[[#This Row],[Overarching Protection - new]]-tblPiNHistorical[[#This Row],[Overarching Protection - old]])/tblPiNHistorical[[#This Row],[Overarching Protection - old]], 1), "")</f>
        <v>0.2</v>
      </c>
      <c r="AO197" s="343">
        <f>IFERROR(ROUND((tblPiNHistorical[[#This Row],[Shelter - new]]-tblPiNHistorical[[#This Row],[Shelter - old]])/tblPiNHistorical[[#This Row],[Shelter - old]], 1), "")</f>
        <v>1</v>
      </c>
      <c r="AP197" s="38">
        <f>IFERROR(ROUND((tblPiNHistorical[[#This Row],[WASH - new]]-tblPiNHistorical[[#This Row],[WASH - old]])/tblPiNHistorical[[#This Row],[WASH - old]], 1), "")</f>
        <v>0.6</v>
      </c>
      <c r="AQ197" s="406">
        <v>54305</v>
      </c>
      <c r="AR197" s="406">
        <v>84624.371794578474</v>
      </c>
    </row>
    <row r="198" spans="1:44" ht="15" customHeight="1" x14ac:dyDescent="0.55000000000000004">
      <c r="A19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8" s="316" t="s">
        <v>310</v>
      </c>
      <c r="C198" s="218" t="s">
        <v>311</v>
      </c>
      <c r="D198" s="218" t="s">
        <v>316</v>
      </c>
      <c r="E198" s="105" t="s">
        <v>317</v>
      </c>
      <c r="F198" s="100"/>
      <c r="G198" s="34"/>
      <c r="H198" s="335"/>
      <c r="I198" s="97"/>
      <c r="J198" s="97" t="s">
        <v>414</v>
      </c>
      <c r="K198" s="336">
        <v>4151.6679557049274</v>
      </c>
      <c r="L198" s="337">
        <v>9579</v>
      </c>
      <c r="M198" s="319">
        <v>14846.594618084584</v>
      </c>
      <c r="N198" s="319">
        <v>24920</v>
      </c>
      <c r="O198" s="319">
        <v>9511.8354735263056</v>
      </c>
      <c r="P198" s="319">
        <v>18505.266201303293</v>
      </c>
      <c r="Q198" s="320">
        <v>11354.989280560487</v>
      </c>
      <c r="R198" s="319">
        <v>6663.170793106674</v>
      </c>
      <c r="S198" s="235">
        <f>tblPiNAnalysis[[#This Row],[CCCM]]</f>
        <v>9339.3238802470605</v>
      </c>
      <c r="T198" s="236">
        <f>tblPiNAnalysis[[#This Row],[Education]]</f>
        <v>16288.117062810563</v>
      </c>
      <c r="U198" s="219">
        <f>tblPiNAnalysis[[#This Row],[Nutrition]]</f>
        <v>34228.428664160019</v>
      </c>
      <c r="V198" s="219">
        <f>tblPiNAnalysis[[#This Row],[Food Security]]</f>
        <v>44721.274699100119</v>
      </c>
      <c r="W198" s="219">
        <f>tblPiNAnalysis[[#This Row],[Health]]</f>
        <v>28481.445195627231</v>
      </c>
      <c r="X198" s="219">
        <f>tblPiNAnalysis[[#This Row],[Overarching Protection]]</f>
        <v>40492</v>
      </c>
      <c r="Y198" s="219">
        <f>tblPiNAnalysis[[#This Row],[Shelter]]</f>
        <v>48677.688103105895</v>
      </c>
      <c r="Z198" s="230">
        <f>tblPiNAnalysis[[#This Row],[WASH]]</f>
        <v>15565.539800411769</v>
      </c>
      <c r="AA198" s="339">
        <f>IF(OR(tblPiNHistorical[[#This Row],[CCCM - old]]="", tblPiNHistorical[[#This Row],[CCCM - old]]=0, tblPiNHistorical[[#This Row],[CCCM - new]]="", tblPiNHistorical[[#This Row],[CCCM - new]]=0), "", tblPiNHistorical[[#This Row],[CCCM - new]]-tblPiNHistorical[[#This Row],[CCCM - old]])</f>
        <v>5187.6559245421331</v>
      </c>
      <c r="AB198" s="340">
        <f>IF(OR(tblPiNHistorical[[#This Row],[Education - old]]="", tblPiNHistorical[[#This Row],[Education - old]]=0, tblPiNHistorical[[#This Row],[Education - new]]="", tblPiNHistorical[[#This Row],[Education - new]]=0), "", tblPiNHistorical[[#This Row],[Education - new]]-tblPiNHistorical[[#This Row],[Education - old]])</f>
        <v>6709.1170628105629</v>
      </c>
      <c r="AC198" s="340">
        <f>IF(OR(tblPiNHistorical[[#This Row],[Nutrition - old]]="", tblPiNHistorical[[#This Row],[Nutrition - old]]=0, tblPiNHistorical[[#This Row],[Nutrition - new]]="", tblPiNHistorical[[#This Row],[Nutrition - new]]=0), "", tblPiNHistorical[[#This Row],[Nutrition - new]]-tblPiNHistorical[[#This Row],[Nutrition - old]])</f>
        <v>19381.834046075433</v>
      </c>
      <c r="AD198" s="340">
        <f>IF(OR(tblPiNHistorical[[#This Row],[Food Security - old]]="", tblPiNHistorical[[#This Row],[Food Security - old]]=0, tblPiNHistorical[[#This Row],[Food Security - new]]="", tblPiNHistorical[[#This Row],[Food Security - new]]=0), "", tblPiNHistorical[[#This Row],[Food Security - new]]-tblPiNHistorical[[#This Row],[Food Security - old]])</f>
        <v>19801.274699100119</v>
      </c>
      <c r="AE198" s="340">
        <f>IF(OR(tblPiNHistorical[[#This Row],[Health - old]]="", tblPiNHistorical[[#This Row],[Health - old]]=0, tblPiNHistorical[[#This Row],[Health - new]]="", tblPiNHistorical[[#This Row],[Health - new]]=0), "", tblPiNHistorical[[#This Row],[Health - new]]-tblPiNHistorical[[#This Row],[Health - old]])</f>
        <v>18969.609722100926</v>
      </c>
      <c r="AF19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21986.733798696707</v>
      </c>
      <c r="AG198" s="340">
        <f>IF(OR(tblPiNHistorical[[#This Row],[Shelter - old]]="", tblPiNHistorical[[#This Row],[Shelter - old]]=0, tblPiNHistorical[[#This Row],[Shelter - new]]="", tblPiNHistorical[[#This Row],[Shelter - new]]=0), "", tblPiNHistorical[[#This Row],[Shelter - new]]-tblPiNHistorical[[#This Row],[Shelter - old]])</f>
        <v>37322.698822545412</v>
      </c>
      <c r="AH198" s="341">
        <f>IF(OR(tblPiNHistorical[[#This Row],[WASH - old]]="", tblPiNHistorical[[#This Row],[WASH - old]]=0, tblPiNHistorical[[#This Row],[WASH - new]]="", tblPiNHistorical[[#This Row],[WASH - new]]=0), "", tblPiNHistorical[[#This Row],[WASH - new]]-tblPiNHistorical[[#This Row],[WASH - old]])</f>
        <v>8902.3690073050948</v>
      </c>
      <c r="AI198" s="342">
        <f>IFERROR(ROUND((tblPiNHistorical[[#This Row],[CCCM - new]] - tblPiNHistorical[[#This Row],[CCCM - old]])/tblPiNHistorical[[#This Row],[CCCM - old]], 1), "")</f>
        <v>1.2</v>
      </c>
      <c r="AJ198" s="343">
        <f>IFERROR(ROUND((tblPiNHistorical[[#This Row],[Education - new]]-tblPiNHistorical[[#This Row],[Education - old]])/tblPiNHistorical[[#This Row],[Education - old]], 1), "")</f>
        <v>0.7</v>
      </c>
      <c r="AK198" s="343">
        <f>IFERROR(ROUND((tblPiNHistorical[[#This Row],[Nutrition - new]]-tblPiNHistorical[[#This Row],[Nutrition - old]])/tblPiNHistorical[[#This Row],[Nutrition - old]], 1), "")</f>
        <v>1.3</v>
      </c>
      <c r="AL198" s="343">
        <f>IFERROR(ROUND((tblPiNHistorical[[#This Row],[Food Security - new]]-tblPiNHistorical[[#This Row],[Food Security - old]])/tblPiNHistorical[[#This Row],[Food Security - old]], 1), "")</f>
        <v>0.8</v>
      </c>
      <c r="AM198" s="343">
        <f>IFERROR(ROUND((tblPiNHistorical[[#This Row],[Health - new]]-tblPiNHistorical[[#This Row],[Health - old]])/tblPiNHistorical[[#This Row],[Health - old]], 1), "")</f>
        <v>2</v>
      </c>
      <c r="AN198" s="343">
        <f>IFERROR(ROUND((tblPiNHistorical[[#This Row],[Overarching Protection - new]]-tblPiNHistorical[[#This Row],[Overarching Protection - old]])/tblPiNHistorical[[#This Row],[Overarching Protection - old]], 1), "")</f>
        <v>1.2</v>
      </c>
      <c r="AO198" s="343">
        <f>IFERROR(ROUND((tblPiNHistorical[[#This Row],[Shelter - new]]-tblPiNHistorical[[#This Row],[Shelter - old]])/tblPiNHistorical[[#This Row],[Shelter - old]], 1), "")</f>
        <v>3.3</v>
      </c>
      <c r="AP198" s="38">
        <f>IFERROR(ROUND((tblPiNHistorical[[#This Row],[WASH - new]]-tblPiNHistorical[[#This Row],[WASH - old]])/tblPiNHistorical[[#This Row],[WASH - old]], 1), "")</f>
        <v>1.3</v>
      </c>
      <c r="AQ198" s="406">
        <v>24920</v>
      </c>
      <c r="AR198" s="406">
        <v>48677.688103105895</v>
      </c>
    </row>
    <row r="199" spans="1:44" ht="15" customHeight="1" x14ac:dyDescent="0.55000000000000004">
      <c r="A19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199" s="316" t="s">
        <v>310</v>
      </c>
      <c r="C199" s="218" t="s">
        <v>311</v>
      </c>
      <c r="D199" s="218" t="s">
        <v>318</v>
      </c>
      <c r="E199" s="105" t="s">
        <v>319</v>
      </c>
      <c r="F199" s="100"/>
      <c r="G199" s="34"/>
      <c r="H199" s="335"/>
      <c r="I199" s="97"/>
      <c r="J199" s="97" t="s">
        <v>414</v>
      </c>
      <c r="K199" s="336">
        <v>807.79684821129524</v>
      </c>
      <c r="L199" s="337">
        <v>448</v>
      </c>
      <c r="M199" s="319">
        <v>3085.9435311013467</v>
      </c>
      <c r="N199" s="319">
        <v>4787</v>
      </c>
      <c r="O199" s="319">
        <v>2948.8478388264853</v>
      </c>
      <c r="P199" s="319">
        <v>3259.6201979999996</v>
      </c>
      <c r="Q199" s="320">
        <v>2278.4013667498075</v>
      </c>
      <c r="R199" s="319">
        <v>1860.3806201229831</v>
      </c>
      <c r="S199" s="235">
        <f>tblPiNAnalysis[[#This Row],[CCCM]]</f>
        <v>1331.549330893286</v>
      </c>
      <c r="T199" s="236">
        <f>tblPiNAnalysis[[#This Row],[Education]]</f>
        <v>1619.496873698959</v>
      </c>
      <c r="U199" s="219">
        <f>tblPiNAnalysis[[#This Row],[Nutrition]]</f>
        <v>4116.9543189771584</v>
      </c>
      <c r="V199" s="219">
        <f>tblPiNAnalysis[[#This Row],[Food Security]]</f>
        <v>6742.2447544422866</v>
      </c>
      <c r="W199" s="219">
        <f>tblPiNAnalysis[[#This Row],[Health]]</f>
        <v>4186.3245334297198</v>
      </c>
      <c r="X199" s="219">
        <f>tblPiNAnalysis[[#This Row],[Overarching Protection]]</f>
        <v>6115</v>
      </c>
      <c r="Y199" s="219">
        <f>tblPiNAnalysis[[#This Row],[Shelter]]</f>
        <v>5743.9382901279005</v>
      </c>
      <c r="Z199" s="230">
        <f>tblPiNAnalysis[[#This Row],[WASH]]</f>
        <v>5084.0974452289101</v>
      </c>
      <c r="AA199" s="339">
        <f>IF(OR(tblPiNHistorical[[#This Row],[CCCM - old]]="", tblPiNHistorical[[#This Row],[CCCM - old]]=0, tblPiNHistorical[[#This Row],[CCCM - new]]="", tblPiNHistorical[[#This Row],[CCCM - new]]=0), "", tblPiNHistorical[[#This Row],[CCCM - new]]-tblPiNHistorical[[#This Row],[CCCM - old]])</f>
        <v>523.75248268199073</v>
      </c>
      <c r="AB199" s="340">
        <f>IF(OR(tblPiNHistorical[[#This Row],[Education - old]]="", tblPiNHistorical[[#This Row],[Education - old]]=0, tblPiNHistorical[[#This Row],[Education - new]]="", tblPiNHistorical[[#This Row],[Education - new]]=0), "", tblPiNHistorical[[#This Row],[Education - new]]-tblPiNHistorical[[#This Row],[Education - old]])</f>
        <v>1171.496873698959</v>
      </c>
      <c r="AC199" s="340">
        <f>IF(OR(tblPiNHistorical[[#This Row],[Nutrition - old]]="", tblPiNHistorical[[#This Row],[Nutrition - old]]=0, tblPiNHistorical[[#This Row],[Nutrition - new]]="", tblPiNHistorical[[#This Row],[Nutrition - new]]=0), "", tblPiNHistorical[[#This Row],[Nutrition - new]]-tblPiNHistorical[[#This Row],[Nutrition - old]])</f>
        <v>1031.0107878758117</v>
      </c>
      <c r="AD199" s="340">
        <f>IF(OR(tblPiNHistorical[[#This Row],[Food Security - old]]="", tblPiNHistorical[[#This Row],[Food Security - old]]=0, tblPiNHistorical[[#This Row],[Food Security - new]]="", tblPiNHistorical[[#This Row],[Food Security - new]]=0), "", tblPiNHistorical[[#This Row],[Food Security - new]]-tblPiNHistorical[[#This Row],[Food Security - old]])</f>
        <v>1955.2447544422866</v>
      </c>
      <c r="AE199" s="340">
        <f>IF(OR(tblPiNHistorical[[#This Row],[Health - old]]="", tblPiNHistorical[[#This Row],[Health - old]]=0, tblPiNHistorical[[#This Row],[Health - new]]="", tblPiNHistorical[[#This Row],[Health - new]]=0), "", tblPiNHistorical[[#This Row],[Health - new]]-tblPiNHistorical[[#This Row],[Health - old]])</f>
        <v>1237.4766946032346</v>
      </c>
      <c r="AF19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2855.3798020000004</v>
      </c>
      <c r="AG199" s="340">
        <f>IF(OR(tblPiNHistorical[[#This Row],[Shelter - old]]="", tblPiNHistorical[[#This Row],[Shelter - old]]=0, tblPiNHistorical[[#This Row],[Shelter - new]]="", tblPiNHistorical[[#This Row],[Shelter - new]]=0), "", tblPiNHistorical[[#This Row],[Shelter - new]]-tblPiNHistorical[[#This Row],[Shelter - old]])</f>
        <v>3465.536923378093</v>
      </c>
      <c r="AH199" s="341">
        <f>IF(OR(tblPiNHistorical[[#This Row],[WASH - old]]="", tblPiNHistorical[[#This Row],[WASH - old]]=0, tblPiNHistorical[[#This Row],[WASH - new]]="", tblPiNHistorical[[#This Row],[WASH - new]]=0), "", tblPiNHistorical[[#This Row],[WASH - new]]-tblPiNHistorical[[#This Row],[WASH - old]])</f>
        <v>3223.716825105927</v>
      </c>
      <c r="AI199" s="342">
        <f>IFERROR(ROUND((tblPiNHistorical[[#This Row],[CCCM - new]] - tblPiNHistorical[[#This Row],[CCCM - old]])/tblPiNHistorical[[#This Row],[CCCM - old]], 1), "")</f>
        <v>0.6</v>
      </c>
      <c r="AJ199" s="343">
        <f>IFERROR(ROUND((tblPiNHistorical[[#This Row],[Education - new]]-tblPiNHistorical[[#This Row],[Education - old]])/tblPiNHistorical[[#This Row],[Education - old]], 1), "")</f>
        <v>2.6</v>
      </c>
      <c r="AK199" s="343">
        <f>IFERROR(ROUND((tblPiNHistorical[[#This Row],[Nutrition - new]]-tblPiNHistorical[[#This Row],[Nutrition - old]])/tblPiNHistorical[[#This Row],[Nutrition - old]], 1), "")</f>
        <v>0.3</v>
      </c>
      <c r="AL199" s="343">
        <f>IFERROR(ROUND((tblPiNHistorical[[#This Row],[Food Security - new]]-tblPiNHistorical[[#This Row],[Food Security - old]])/tblPiNHistorical[[#This Row],[Food Security - old]], 1), "")</f>
        <v>0.4</v>
      </c>
      <c r="AM199" s="343">
        <f>IFERROR(ROUND((tblPiNHistorical[[#This Row],[Health - new]]-tblPiNHistorical[[#This Row],[Health - old]])/tblPiNHistorical[[#This Row],[Health - old]], 1), "")</f>
        <v>0.4</v>
      </c>
      <c r="AN199" s="343">
        <f>IFERROR(ROUND((tblPiNHistorical[[#This Row],[Overarching Protection - new]]-tblPiNHistorical[[#This Row],[Overarching Protection - old]])/tblPiNHistorical[[#This Row],[Overarching Protection - old]], 1), "")</f>
        <v>0.9</v>
      </c>
      <c r="AO199" s="343">
        <f>IFERROR(ROUND((tblPiNHistorical[[#This Row],[Shelter - new]]-tblPiNHistorical[[#This Row],[Shelter - old]])/tblPiNHistorical[[#This Row],[Shelter - old]], 1), "")</f>
        <v>1.5</v>
      </c>
      <c r="AP199" s="38">
        <f>IFERROR(ROUND((tblPiNHistorical[[#This Row],[WASH - new]]-tblPiNHistorical[[#This Row],[WASH - old]])/tblPiNHistorical[[#This Row],[WASH - old]], 1), "")</f>
        <v>1.7</v>
      </c>
      <c r="AQ199" s="406">
        <v>4787</v>
      </c>
      <c r="AR199" s="406">
        <v>6742.2447544422866</v>
      </c>
    </row>
    <row r="200" spans="1:44" ht="15" customHeight="1" x14ac:dyDescent="0.55000000000000004">
      <c r="A20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0" s="316" t="s">
        <v>310</v>
      </c>
      <c r="C200" s="218" t="s">
        <v>311</v>
      </c>
      <c r="D200" s="218" t="s">
        <v>320</v>
      </c>
      <c r="E200" s="105" t="s">
        <v>321</v>
      </c>
      <c r="F200" s="100"/>
      <c r="G200" s="34"/>
      <c r="H200" s="335"/>
      <c r="I200" s="97"/>
      <c r="J200" s="97" t="s">
        <v>414</v>
      </c>
      <c r="K200" s="336">
        <v>4410.150679770074</v>
      </c>
      <c r="L200" s="337">
        <v>5474</v>
      </c>
      <c r="M200" s="319">
        <v>16163.431086567296</v>
      </c>
      <c r="N200" s="319">
        <v>23048</v>
      </c>
      <c r="O200" s="319">
        <v>15799.070670625695</v>
      </c>
      <c r="P200" s="319">
        <v>20225.915541061891</v>
      </c>
      <c r="Q200" s="320">
        <v>10177.270799469401</v>
      </c>
      <c r="R200" s="319">
        <v>1905.6206640981802</v>
      </c>
      <c r="S200" s="235">
        <f>tblPiNAnalysis[[#This Row],[CCCM]]</f>
        <v>7009.0939380075542</v>
      </c>
      <c r="T200" s="236">
        <f>tblPiNAnalysis[[#This Row],[Education]]</f>
        <v>7320.8584363701311</v>
      </c>
      <c r="U200" s="219">
        <f>tblPiNAnalysis[[#This Row],[Nutrition]]</f>
        <v>16160.236825051841</v>
      </c>
      <c r="V200" s="219">
        <f>tblPiNAnalysis[[#This Row],[Food Security]]</f>
        <v>31614.397795641988</v>
      </c>
      <c r="W200" s="219">
        <f>tblPiNAnalysis[[#This Row],[Health]]</f>
        <v>19880.916593575854</v>
      </c>
      <c r="X200" s="219">
        <f>tblPiNAnalysis[[#This Row],[Overarching Protection]]</f>
        <v>31590</v>
      </c>
      <c r="Y200" s="219">
        <f>tblPiNAnalysis[[#This Row],[Shelter]]</f>
        <v>32349.664329265637</v>
      </c>
      <c r="Z200" s="230">
        <f>tblPiNAnalysis[[#This Row],[WASH]]</f>
        <v>18005.011950845092</v>
      </c>
      <c r="AA200" s="339">
        <f>IF(OR(tblPiNHistorical[[#This Row],[CCCM - old]]="", tblPiNHistorical[[#This Row],[CCCM - old]]=0, tblPiNHistorical[[#This Row],[CCCM - new]]="", tblPiNHistorical[[#This Row],[CCCM - new]]=0), "", tblPiNHistorical[[#This Row],[CCCM - new]]-tblPiNHistorical[[#This Row],[CCCM - old]])</f>
        <v>2598.9432582374802</v>
      </c>
      <c r="AB200" s="340">
        <f>IF(OR(tblPiNHistorical[[#This Row],[Education - old]]="", tblPiNHistorical[[#This Row],[Education - old]]=0, tblPiNHistorical[[#This Row],[Education - new]]="", tblPiNHistorical[[#This Row],[Education - new]]=0), "", tblPiNHistorical[[#This Row],[Education - new]]-tblPiNHistorical[[#This Row],[Education - old]])</f>
        <v>1846.8584363701311</v>
      </c>
      <c r="AC200" s="340">
        <f>IF(OR(tblPiNHistorical[[#This Row],[Nutrition - old]]="", tblPiNHistorical[[#This Row],[Nutrition - old]]=0, tblPiNHistorical[[#This Row],[Nutrition - new]]="", tblPiNHistorical[[#This Row],[Nutrition - new]]=0), "", tblPiNHistorical[[#This Row],[Nutrition - new]]-tblPiNHistorical[[#This Row],[Nutrition - old]])</f>
        <v>-3.1942615154548548</v>
      </c>
      <c r="AD200" s="340">
        <f>IF(OR(tblPiNHistorical[[#This Row],[Food Security - old]]="", tblPiNHistorical[[#This Row],[Food Security - old]]=0, tblPiNHistorical[[#This Row],[Food Security - new]]="", tblPiNHistorical[[#This Row],[Food Security - new]]=0), "", tblPiNHistorical[[#This Row],[Food Security - new]]-tblPiNHistorical[[#This Row],[Food Security - old]])</f>
        <v>8566.3977956419876</v>
      </c>
      <c r="AE200" s="340">
        <f>IF(OR(tblPiNHistorical[[#This Row],[Health - old]]="", tblPiNHistorical[[#This Row],[Health - old]]=0, tblPiNHistorical[[#This Row],[Health - new]]="", tblPiNHistorical[[#This Row],[Health - new]]=0), "", tblPiNHistorical[[#This Row],[Health - new]]-tblPiNHistorical[[#This Row],[Health - old]])</f>
        <v>4081.8459229501586</v>
      </c>
      <c r="AF20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11364.084458938109</v>
      </c>
      <c r="AG200" s="340">
        <f>IF(OR(tblPiNHistorical[[#This Row],[Shelter - old]]="", tblPiNHistorical[[#This Row],[Shelter - old]]=0, tblPiNHistorical[[#This Row],[Shelter - new]]="", tblPiNHistorical[[#This Row],[Shelter - new]]=0), "", tblPiNHistorical[[#This Row],[Shelter - new]]-tblPiNHistorical[[#This Row],[Shelter - old]])</f>
        <v>22172.393529796238</v>
      </c>
      <c r="AH200" s="341">
        <f>IF(OR(tblPiNHistorical[[#This Row],[WASH - old]]="", tblPiNHistorical[[#This Row],[WASH - old]]=0, tblPiNHistorical[[#This Row],[WASH - new]]="", tblPiNHistorical[[#This Row],[WASH - new]]=0), "", tblPiNHistorical[[#This Row],[WASH - new]]-tblPiNHistorical[[#This Row],[WASH - old]])</f>
        <v>16099.391286746912</v>
      </c>
      <c r="AI200" s="342">
        <f>IFERROR(ROUND((tblPiNHistorical[[#This Row],[CCCM - new]] - tblPiNHistorical[[#This Row],[CCCM - old]])/tblPiNHistorical[[#This Row],[CCCM - old]], 1), "")</f>
        <v>0.6</v>
      </c>
      <c r="AJ200" s="343">
        <f>IFERROR(ROUND((tblPiNHistorical[[#This Row],[Education - new]]-tblPiNHistorical[[#This Row],[Education - old]])/tblPiNHistorical[[#This Row],[Education - old]], 1), "")</f>
        <v>0.3</v>
      </c>
      <c r="AK200" s="343">
        <f>IFERROR(ROUND((tblPiNHistorical[[#This Row],[Nutrition - new]]-tblPiNHistorical[[#This Row],[Nutrition - old]])/tblPiNHistorical[[#This Row],[Nutrition - old]], 1), "")</f>
        <v>0</v>
      </c>
      <c r="AL200" s="343">
        <f>IFERROR(ROUND((tblPiNHistorical[[#This Row],[Food Security - new]]-tblPiNHistorical[[#This Row],[Food Security - old]])/tblPiNHistorical[[#This Row],[Food Security - old]], 1), "")</f>
        <v>0.4</v>
      </c>
      <c r="AM200" s="343">
        <f>IFERROR(ROUND((tblPiNHistorical[[#This Row],[Health - new]]-tblPiNHistorical[[#This Row],[Health - old]])/tblPiNHistorical[[#This Row],[Health - old]], 1), "")</f>
        <v>0.3</v>
      </c>
      <c r="AN200" s="343">
        <f>IFERROR(ROUND((tblPiNHistorical[[#This Row],[Overarching Protection - new]]-tblPiNHistorical[[#This Row],[Overarching Protection - old]])/tblPiNHistorical[[#This Row],[Overarching Protection - old]], 1), "")</f>
        <v>0.6</v>
      </c>
      <c r="AO200" s="343">
        <f>IFERROR(ROUND((tblPiNHistorical[[#This Row],[Shelter - new]]-tblPiNHistorical[[#This Row],[Shelter - old]])/tblPiNHistorical[[#This Row],[Shelter - old]], 1), "")</f>
        <v>2.2000000000000002</v>
      </c>
      <c r="AP200" s="38">
        <f>IFERROR(ROUND((tblPiNHistorical[[#This Row],[WASH - new]]-tblPiNHistorical[[#This Row],[WASH - old]])/tblPiNHistorical[[#This Row],[WASH - old]], 1), "")</f>
        <v>8.4</v>
      </c>
      <c r="AQ200" s="406">
        <v>23048</v>
      </c>
      <c r="AR200" s="406">
        <v>32349.664329265637</v>
      </c>
    </row>
    <row r="201" spans="1:44" ht="15" customHeight="1" x14ac:dyDescent="0.55000000000000004">
      <c r="A20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1" s="316" t="s">
        <v>322</v>
      </c>
      <c r="C201" s="218" t="s">
        <v>323</v>
      </c>
      <c r="D201" s="218" t="s">
        <v>324</v>
      </c>
      <c r="E201" s="105" t="s">
        <v>325</v>
      </c>
      <c r="F201" s="100"/>
      <c r="G201" s="34"/>
      <c r="H201" s="335"/>
      <c r="I201" s="97"/>
      <c r="J201" s="97" t="s">
        <v>414</v>
      </c>
      <c r="K201" s="336">
        <v>136.93173511749447</v>
      </c>
      <c r="L201" s="337">
        <v>38</v>
      </c>
      <c r="M201" s="319">
        <v>517.51587208240778</v>
      </c>
      <c r="N201" s="319">
        <v>678</v>
      </c>
      <c r="O201" s="319">
        <v>385.03125632115103</v>
      </c>
      <c r="P201" s="319">
        <v>771.62537375000011</v>
      </c>
      <c r="Q201" s="320">
        <v>351.10701312178071</v>
      </c>
      <c r="R201" s="319">
        <v>80.785684435099995</v>
      </c>
      <c r="S201" s="235">
        <f>tblPiNAnalysis[[#This Row],[CCCM]]</f>
        <v>256.24019958824198</v>
      </c>
      <c r="T201" s="236">
        <f>tblPiNAnalysis[[#This Row],[Education]]</f>
        <v>136.01639778463226</v>
      </c>
      <c r="U201" s="219">
        <f>tblPiNAnalysis[[#This Row],[Nutrition]]</f>
        <v>670.13670661903291</v>
      </c>
      <c r="V201" s="219">
        <f>tblPiNAnalysis[[#This Row],[Food Security]]</f>
        <v>1064.7716969540184</v>
      </c>
      <c r="W201" s="219">
        <f>tblPiNAnalysis[[#This Row],[Health]]</f>
        <v>865.88797530309</v>
      </c>
      <c r="X201" s="219">
        <f>tblPiNAnalysis[[#This Row],[Overarching Protection]]</f>
        <v>328</v>
      </c>
      <c r="Y201" s="219">
        <f>tblPiNAnalysis[[#This Row],[Shelter]]</f>
        <v>1087.0796346167842</v>
      </c>
      <c r="Z201" s="230">
        <f>tblPiNAnalysis[[#This Row],[WASH]]</f>
        <v>442.88429558461581</v>
      </c>
      <c r="AA201" s="339">
        <f>IF(OR(tblPiNHistorical[[#This Row],[CCCM - old]]="", tblPiNHistorical[[#This Row],[CCCM - old]]=0, tblPiNHistorical[[#This Row],[CCCM - new]]="", tblPiNHistorical[[#This Row],[CCCM - new]]=0), "", tblPiNHistorical[[#This Row],[CCCM - new]]-tblPiNHistorical[[#This Row],[CCCM - old]])</f>
        <v>119.30846447074751</v>
      </c>
      <c r="AB201" s="340">
        <f>IF(OR(tblPiNHistorical[[#This Row],[Education - old]]="", tblPiNHistorical[[#This Row],[Education - old]]=0, tblPiNHistorical[[#This Row],[Education - new]]="", tblPiNHistorical[[#This Row],[Education - new]]=0), "", tblPiNHistorical[[#This Row],[Education - new]]-tblPiNHistorical[[#This Row],[Education - old]])</f>
        <v>98.016397784632261</v>
      </c>
      <c r="AC201" s="340">
        <f>IF(OR(tblPiNHistorical[[#This Row],[Nutrition - old]]="", tblPiNHistorical[[#This Row],[Nutrition - old]]=0, tblPiNHistorical[[#This Row],[Nutrition - new]]="", tblPiNHistorical[[#This Row],[Nutrition - new]]=0), "", tblPiNHistorical[[#This Row],[Nutrition - new]]-tblPiNHistorical[[#This Row],[Nutrition - old]])</f>
        <v>152.62083453662513</v>
      </c>
      <c r="AD201" s="340">
        <f>IF(OR(tblPiNHistorical[[#This Row],[Food Security - old]]="", tblPiNHistorical[[#This Row],[Food Security - old]]=0, tblPiNHistorical[[#This Row],[Food Security - new]]="", tblPiNHistorical[[#This Row],[Food Security - new]]=0), "", tblPiNHistorical[[#This Row],[Food Security - new]]-tblPiNHistorical[[#This Row],[Food Security - old]])</f>
        <v>386.77169695401835</v>
      </c>
      <c r="AE201" s="340">
        <f>IF(OR(tblPiNHistorical[[#This Row],[Health - old]]="", tblPiNHistorical[[#This Row],[Health - old]]=0, tblPiNHistorical[[#This Row],[Health - new]]="", tblPiNHistorical[[#This Row],[Health - new]]=0), "", tblPiNHistorical[[#This Row],[Health - new]]-tblPiNHistorical[[#This Row],[Health - old]])</f>
        <v>480.85671898193897</v>
      </c>
      <c r="AF20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-443.62537375000011</v>
      </c>
      <c r="AG201" s="340">
        <f>IF(OR(tblPiNHistorical[[#This Row],[Shelter - old]]="", tblPiNHistorical[[#This Row],[Shelter - old]]=0, tblPiNHistorical[[#This Row],[Shelter - new]]="", tblPiNHistorical[[#This Row],[Shelter - new]]=0), "", tblPiNHistorical[[#This Row],[Shelter - new]]-tblPiNHistorical[[#This Row],[Shelter - old]])</f>
        <v>735.97262149500352</v>
      </c>
      <c r="AH201" s="341">
        <f>IF(OR(tblPiNHistorical[[#This Row],[WASH - old]]="", tblPiNHistorical[[#This Row],[WASH - old]]=0, tblPiNHistorical[[#This Row],[WASH - new]]="", tblPiNHistorical[[#This Row],[WASH - new]]=0), "", tblPiNHistorical[[#This Row],[WASH - new]]-tblPiNHistorical[[#This Row],[WASH - old]])</f>
        <v>362.09861114951582</v>
      </c>
      <c r="AI201" s="342">
        <f>IFERROR(ROUND((tblPiNHistorical[[#This Row],[CCCM - new]] - tblPiNHistorical[[#This Row],[CCCM - old]])/tblPiNHistorical[[#This Row],[CCCM - old]], 1), "")</f>
        <v>0.9</v>
      </c>
      <c r="AJ201" s="343">
        <f>IFERROR(ROUND((tblPiNHistorical[[#This Row],[Education - new]]-tblPiNHistorical[[#This Row],[Education - old]])/tblPiNHistorical[[#This Row],[Education - old]], 1), "")</f>
        <v>2.6</v>
      </c>
      <c r="AK201" s="343">
        <f>IFERROR(ROUND((tblPiNHistorical[[#This Row],[Nutrition - new]]-tblPiNHistorical[[#This Row],[Nutrition - old]])/tblPiNHistorical[[#This Row],[Nutrition - old]], 1), "")</f>
        <v>0.3</v>
      </c>
      <c r="AL201" s="343">
        <f>IFERROR(ROUND((tblPiNHistorical[[#This Row],[Food Security - new]]-tblPiNHistorical[[#This Row],[Food Security - old]])/tblPiNHistorical[[#This Row],[Food Security - old]], 1), "")</f>
        <v>0.6</v>
      </c>
      <c r="AM201" s="343">
        <f>IFERROR(ROUND((tblPiNHistorical[[#This Row],[Health - new]]-tblPiNHistorical[[#This Row],[Health - old]])/tblPiNHistorical[[#This Row],[Health - old]], 1), "")</f>
        <v>1.2</v>
      </c>
      <c r="AN201" s="343">
        <f>IFERROR(ROUND((tblPiNHistorical[[#This Row],[Overarching Protection - new]]-tblPiNHistorical[[#This Row],[Overarching Protection - old]])/tblPiNHistorical[[#This Row],[Overarching Protection - old]], 1), "")</f>
        <v>-0.6</v>
      </c>
      <c r="AO201" s="343">
        <f>IFERROR(ROUND((tblPiNHistorical[[#This Row],[Shelter - new]]-tblPiNHistorical[[#This Row],[Shelter - old]])/tblPiNHistorical[[#This Row],[Shelter - old]], 1), "")</f>
        <v>2.1</v>
      </c>
      <c r="AP201" s="38">
        <f>IFERROR(ROUND((tblPiNHistorical[[#This Row],[WASH - new]]-tblPiNHistorical[[#This Row],[WASH - old]])/tblPiNHistorical[[#This Row],[WASH - old]], 1), "")</f>
        <v>4.5</v>
      </c>
      <c r="AQ201" s="406">
        <v>771.62537375000011</v>
      </c>
      <c r="AR201" s="406">
        <v>1087.0796346167842</v>
      </c>
    </row>
    <row r="202" spans="1:44" ht="15" customHeight="1" x14ac:dyDescent="0.55000000000000004">
      <c r="A20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2" s="316" t="s">
        <v>322</v>
      </c>
      <c r="C202" s="218" t="s">
        <v>323</v>
      </c>
      <c r="D202" s="218" t="s">
        <v>326</v>
      </c>
      <c r="E202" s="105" t="s">
        <v>327</v>
      </c>
      <c r="F202" s="100"/>
      <c r="G202" s="34"/>
      <c r="H202" s="335"/>
      <c r="I202" s="97"/>
      <c r="J202" s="97" t="s">
        <v>414</v>
      </c>
      <c r="K202" s="336">
        <v>77.362562213273719</v>
      </c>
      <c r="L202" s="337">
        <v>9</v>
      </c>
      <c r="M202" s="319">
        <v>42.854418116521295</v>
      </c>
      <c r="N202" s="319">
        <v>76</v>
      </c>
      <c r="O202" s="319">
        <v>33.845736146133916</v>
      </c>
      <c r="P202" s="319">
        <v>51.089191999999997</v>
      </c>
      <c r="Q202" s="320">
        <v>11.901932648195958</v>
      </c>
      <c r="R202" s="319">
        <v>66.617761905874602</v>
      </c>
      <c r="S202" s="235">
        <f>tblPiNAnalysis[[#This Row],[CCCM]]</f>
        <v>271.5</v>
      </c>
      <c r="T202" s="236">
        <f>tblPiNAnalysis[[#This Row],[Education]]</f>
        <v>412.36668899999995</v>
      </c>
      <c r="U202" s="219">
        <f>tblPiNAnalysis[[#This Row],[Nutrition]]</f>
        <v>625.62933932243084</v>
      </c>
      <c r="V202" s="219">
        <f>tblPiNAnalysis[[#This Row],[Food Security]]</f>
        <v>1490.6764099812244</v>
      </c>
      <c r="W202" s="219">
        <f>tblPiNAnalysis[[#This Row],[Health]]</f>
        <v>929.94220239263655</v>
      </c>
      <c r="X202" s="219">
        <f>tblPiNAnalysis[[#This Row],[Overarching Protection]]</f>
        <v>1267</v>
      </c>
      <c r="Y202" s="219">
        <f>tblPiNAnalysis[[#This Row],[Shelter]]</f>
        <v>1086</v>
      </c>
      <c r="Z202" s="230">
        <f>tblPiNAnalysis[[#This Row],[WASH]]</f>
        <v>938.51851851851836</v>
      </c>
      <c r="AA202" s="339">
        <f>IF(OR(tblPiNHistorical[[#This Row],[CCCM - old]]="", tblPiNHistorical[[#This Row],[CCCM - old]]=0, tblPiNHistorical[[#This Row],[CCCM - new]]="", tblPiNHistorical[[#This Row],[CCCM - new]]=0), "", tblPiNHistorical[[#This Row],[CCCM - new]]-tblPiNHistorical[[#This Row],[CCCM - old]])</f>
        <v>194.13743778672628</v>
      </c>
      <c r="AB202" s="340">
        <f>IF(OR(tblPiNHistorical[[#This Row],[Education - old]]="", tblPiNHistorical[[#This Row],[Education - old]]=0, tblPiNHistorical[[#This Row],[Education - new]]="", tblPiNHistorical[[#This Row],[Education - new]]=0), "", tblPiNHistorical[[#This Row],[Education - new]]-tblPiNHistorical[[#This Row],[Education - old]])</f>
        <v>403.36668899999995</v>
      </c>
      <c r="AC202" s="340">
        <f>IF(OR(tblPiNHistorical[[#This Row],[Nutrition - old]]="", tblPiNHistorical[[#This Row],[Nutrition - old]]=0, tblPiNHistorical[[#This Row],[Nutrition - new]]="", tblPiNHistorical[[#This Row],[Nutrition - new]]=0), "", tblPiNHistorical[[#This Row],[Nutrition - new]]-tblPiNHistorical[[#This Row],[Nutrition - old]])</f>
        <v>582.77492120590955</v>
      </c>
      <c r="AD202" s="340">
        <f>IF(OR(tblPiNHistorical[[#This Row],[Food Security - old]]="", tblPiNHistorical[[#This Row],[Food Security - old]]=0, tblPiNHistorical[[#This Row],[Food Security - new]]="", tblPiNHistorical[[#This Row],[Food Security - new]]=0), "", tblPiNHistorical[[#This Row],[Food Security - new]]-tblPiNHistorical[[#This Row],[Food Security - old]])</f>
        <v>1414.6764099812244</v>
      </c>
      <c r="AE202" s="340">
        <f>IF(OR(tblPiNHistorical[[#This Row],[Health - old]]="", tblPiNHistorical[[#This Row],[Health - old]]=0, tblPiNHistorical[[#This Row],[Health - new]]="", tblPiNHistorical[[#This Row],[Health - new]]=0), "", tblPiNHistorical[[#This Row],[Health - new]]-tblPiNHistorical[[#This Row],[Health - old]])</f>
        <v>896.09646624650259</v>
      </c>
      <c r="AF20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1215.9108080000001</v>
      </c>
      <c r="AG202" s="340">
        <f>IF(OR(tblPiNHistorical[[#This Row],[Shelter - old]]="", tblPiNHistorical[[#This Row],[Shelter - old]]=0, tblPiNHistorical[[#This Row],[Shelter - new]]="", tblPiNHistorical[[#This Row],[Shelter - new]]=0), "", tblPiNHistorical[[#This Row],[Shelter - new]]-tblPiNHistorical[[#This Row],[Shelter - old]])</f>
        <v>1074.098067351804</v>
      </c>
      <c r="AH202" s="341">
        <f>IF(OR(tblPiNHistorical[[#This Row],[WASH - old]]="", tblPiNHistorical[[#This Row],[WASH - old]]=0, tblPiNHistorical[[#This Row],[WASH - new]]="", tblPiNHistorical[[#This Row],[WASH - new]]=0), "", tblPiNHistorical[[#This Row],[WASH - new]]-tblPiNHistorical[[#This Row],[WASH - old]])</f>
        <v>871.90075661264382</v>
      </c>
      <c r="AI202" s="342">
        <f>IFERROR(ROUND((tblPiNHistorical[[#This Row],[CCCM - new]] - tblPiNHistorical[[#This Row],[CCCM - old]])/tblPiNHistorical[[#This Row],[CCCM - old]], 1), "")</f>
        <v>2.5</v>
      </c>
      <c r="AJ202" s="343">
        <f>IFERROR(ROUND((tblPiNHistorical[[#This Row],[Education - new]]-tblPiNHistorical[[#This Row],[Education - old]])/tblPiNHistorical[[#This Row],[Education - old]], 1), "")</f>
        <v>44.8</v>
      </c>
      <c r="AK202" s="343">
        <f>IFERROR(ROUND((tblPiNHistorical[[#This Row],[Nutrition - new]]-tblPiNHistorical[[#This Row],[Nutrition - old]])/tblPiNHistorical[[#This Row],[Nutrition - old]], 1), "")</f>
        <v>13.6</v>
      </c>
      <c r="AL202" s="343">
        <f>IFERROR(ROUND((tblPiNHistorical[[#This Row],[Food Security - new]]-tblPiNHistorical[[#This Row],[Food Security - old]])/tblPiNHistorical[[#This Row],[Food Security - old]], 1), "")</f>
        <v>18.600000000000001</v>
      </c>
      <c r="AM202" s="343">
        <f>IFERROR(ROUND((tblPiNHistorical[[#This Row],[Health - new]]-tblPiNHistorical[[#This Row],[Health - old]])/tblPiNHistorical[[#This Row],[Health - old]], 1), "")</f>
        <v>26.5</v>
      </c>
      <c r="AN202" s="343">
        <f>IFERROR(ROUND((tblPiNHistorical[[#This Row],[Overarching Protection - new]]-tblPiNHistorical[[#This Row],[Overarching Protection - old]])/tblPiNHistorical[[#This Row],[Overarching Protection - old]], 1), "")</f>
        <v>23.8</v>
      </c>
      <c r="AO202" s="343">
        <f>IFERROR(ROUND((tblPiNHistorical[[#This Row],[Shelter - new]]-tblPiNHistorical[[#This Row],[Shelter - old]])/tblPiNHistorical[[#This Row],[Shelter - old]], 1), "")</f>
        <v>90.2</v>
      </c>
      <c r="AP202" s="38">
        <f>IFERROR(ROUND((tblPiNHistorical[[#This Row],[WASH - new]]-tblPiNHistorical[[#This Row],[WASH - old]])/tblPiNHistorical[[#This Row],[WASH - old]], 1), "")</f>
        <v>13.1</v>
      </c>
      <c r="AQ202" s="406">
        <v>77.362562213273719</v>
      </c>
      <c r="AR202" s="406">
        <v>1490.6764099812244</v>
      </c>
    </row>
    <row r="203" spans="1:44" ht="15" customHeight="1" x14ac:dyDescent="0.55000000000000004">
      <c r="A20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3" s="316" t="s">
        <v>322</v>
      </c>
      <c r="C203" s="218" t="s">
        <v>323</v>
      </c>
      <c r="D203" s="218" t="s">
        <v>328</v>
      </c>
      <c r="E203" s="105" t="s">
        <v>329</v>
      </c>
      <c r="F203" s="100"/>
      <c r="G203" s="34"/>
      <c r="H203" s="335"/>
      <c r="I203" s="97"/>
      <c r="J203" s="97" t="s">
        <v>414</v>
      </c>
      <c r="K203" s="336">
        <v>353.54690931466087</v>
      </c>
      <c r="L203" s="337">
        <v>847</v>
      </c>
      <c r="M203" s="319">
        <v>1290.544175124151</v>
      </c>
      <c r="N203" s="319">
        <v>1935</v>
      </c>
      <c r="O203" s="319">
        <v>1173.3361054622108</v>
      </c>
      <c r="P203" s="319">
        <v>1387.7223596190001</v>
      </c>
      <c r="Q203" s="320">
        <v>0</v>
      </c>
      <c r="R203" s="319">
        <v>632.89261543982491</v>
      </c>
      <c r="S203" s="235">
        <f>tblPiNAnalysis[[#This Row],[CCCM]]</f>
        <v>1112.55</v>
      </c>
      <c r="T203" s="236">
        <f>tblPiNAnalysis[[#This Row],[Education]]</f>
        <v>2667.0360114</v>
      </c>
      <c r="U203" s="219">
        <f>tblPiNAnalysis[[#This Row],[Nutrition]]</f>
        <v>2854.2276968868132</v>
      </c>
      <c r="V203" s="219">
        <f>tblPiNAnalysis[[#This Row],[Food Security]]</f>
        <v>6114.9134977443282</v>
      </c>
      <c r="W203" s="219">
        <f>tblPiNAnalysis[[#This Row],[Health]]</f>
        <v>3802.4327491574586</v>
      </c>
      <c r="X203" s="219">
        <f>tblPiNAnalysis[[#This Row],[Overarching Protection]]</f>
        <v>4825</v>
      </c>
      <c r="Y203" s="219">
        <f>tblPiNAnalysis[[#This Row],[Shelter]]</f>
        <v>285.26923076923077</v>
      </c>
      <c r="Z203" s="230">
        <f>tblPiNAnalysis[[#This Row],[WASH]]</f>
        <v>4463.9351851851852</v>
      </c>
      <c r="AA203" s="339">
        <f>IF(OR(tblPiNHistorical[[#This Row],[CCCM - old]]="", tblPiNHistorical[[#This Row],[CCCM - old]]=0, tblPiNHistorical[[#This Row],[CCCM - new]]="", tblPiNHistorical[[#This Row],[CCCM - new]]=0), "", tblPiNHistorical[[#This Row],[CCCM - new]]-tblPiNHistorical[[#This Row],[CCCM - old]])</f>
        <v>759.00309068533909</v>
      </c>
      <c r="AB203" s="340">
        <f>IF(OR(tblPiNHistorical[[#This Row],[Education - old]]="", tblPiNHistorical[[#This Row],[Education - old]]=0, tblPiNHistorical[[#This Row],[Education - new]]="", tblPiNHistorical[[#This Row],[Education - new]]=0), "", tblPiNHistorical[[#This Row],[Education - new]]-tblPiNHistorical[[#This Row],[Education - old]])</f>
        <v>1820.0360114</v>
      </c>
      <c r="AC203" s="340">
        <f>IF(OR(tblPiNHistorical[[#This Row],[Nutrition - old]]="", tblPiNHistorical[[#This Row],[Nutrition - old]]=0, tblPiNHistorical[[#This Row],[Nutrition - new]]="", tblPiNHistorical[[#This Row],[Nutrition - new]]=0), "", tblPiNHistorical[[#This Row],[Nutrition - new]]-tblPiNHistorical[[#This Row],[Nutrition - old]])</f>
        <v>1563.6835217626622</v>
      </c>
      <c r="AD203" s="340">
        <f>IF(OR(tblPiNHistorical[[#This Row],[Food Security - old]]="", tblPiNHistorical[[#This Row],[Food Security - old]]=0, tblPiNHistorical[[#This Row],[Food Security - new]]="", tblPiNHistorical[[#This Row],[Food Security - new]]=0), "", tblPiNHistorical[[#This Row],[Food Security - new]]-tblPiNHistorical[[#This Row],[Food Security - old]])</f>
        <v>4179.9134977443282</v>
      </c>
      <c r="AE203" s="340">
        <f>IF(OR(tblPiNHistorical[[#This Row],[Health - old]]="", tblPiNHistorical[[#This Row],[Health - old]]=0, tblPiNHistorical[[#This Row],[Health - new]]="", tblPiNHistorical[[#This Row],[Health - new]]=0), "", tblPiNHistorical[[#This Row],[Health - new]]-tblPiNHistorical[[#This Row],[Health - old]])</f>
        <v>2629.0966436952476</v>
      </c>
      <c r="AF20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3437.2776403809999</v>
      </c>
      <c r="AG203" s="340" t="str">
        <f>IF(OR(tblPiNHistorical[[#This Row],[Shelter - old]]="", tblPiNHistorical[[#This Row],[Shelter - old]]=0, tblPiNHistorical[[#This Row],[Shelter - new]]="", tblPiNHistorical[[#This Row],[Shelter - new]]=0), "", tblPiNHistorical[[#This Row],[Shelter - new]]-tblPiNHistorical[[#This Row],[Shelter - old]])</f>
        <v/>
      </c>
      <c r="AH203" s="341">
        <f>IF(OR(tblPiNHistorical[[#This Row],[WASH - old]]="", tblPiNHistorical[[#This Row],[WASH - old]]=0, tblPiNHistorical[[#This Row],[WASH - new]]="", tblPiNHistorical[[#This Row],[WASH - new]]=0), "", tblPiNHistorical[[#This Row],[WASH - new]]-tblPiNHistorical[[#This Row],[WASH - old]])</f>
        <v>3831.0425697453602</v>
      </c>
      <c r="AI203" s="342">
        <f>IFERROR(ROUND((tblPiNHistorical[[#This Row],[CCCM - new]] - tblPiNHistorical[[#This Row],[CCCM - old]])/tblPiNHistorical[[#This Row],[CCCM - old]], 1), "")</f>
        <v>2.1</v>
      </c>
      <c r="AJ203" s="343">
        <f>IFERROR(ROUND((tblPiNHistorical[[#This Row],[Education - new]]-tblPiNHistorical[[#This Row],[Education - old]])/tblPiNHistorical[[#This Row],[Education - old]], 1), "")</f>
        <v>2.1</v>
      </c>
      <c r="AK203" s="343">
        <f>IFERROR(ROUND((tblPiNHistorical[[#This Row],[Nutrition - new]]-tblPiNHistorical[[#This Row],[Nutrition - old]])/tblPiNHistorical[[#This Row],[Nutrition - old]], 1), "")</f>
        <v>1.2</v>
      </c>
      <c r="AL203" s="343">
        <f>IFERROR(ROUND((tblPiNHistorical[[#This Row],[Food Security - new]]-tblPiNHistorical[[#This Row],[Food Security - old]])/tblPiNHistorical[[#This Row],[Food Security - old]], 1), "")</f>
        <v>2.2000000000000002</v>
      </c>
      <c r="AM203" s="343">
        <f>IFERROR(ROUND((tblPiNHistorical[[#This Row],[Health - new]]-tblPiNHistorical[[#This Row],[Health - old]])/tblPiNHistorical[[#This Row],[Health - old]], 1), "")</f>
        <v>2.2000000000000002</v>
      </c>
      <c r="AN203" s="343">
        <f>IFERROR(ROUND((tblPiNHistorical[[#This Row],[Overarching Protection - new]]-tblPiNHistorical[[#This Row],[Overarching Protection - old]])/tblPiNHistorical[[#This Row],[Overarching Protection - old]], 1), "")</f>
        <v>2.5</v>
      </c>
      <c r="AO203" s="343" t="str">
        <f>IFERROR(ROUND((tblPiNHistorical[[#This Row],[Shelter - new]]-tblPiNHistorical[[#This Row],[Shelter - old]])/tblPiNHistorical[[#This Row],[Shelter - old]], 1), "")</f>
        <v/>
      </c>
      <c r="AP203" s="38">
        <f>IFERROR(ROUND((tblPiNHistorical[[#This Row],[WASH - new]]-tblPiNHistorical[[#This Row],[WASH - old]])/tblPiNHistorical[[#This Row],[WASH - old]], 1), "")</f>
        <v>6.1</v>
      </c>
      <c r="AQ203" s="406">
        <v>1935</v>
      </c>
      <c r="AR203" s="406">
        <v>6114.9134977443282</v>
      </c>
    </row>
    <row r="204" spans="1:44" ht="15" customHeight="1" x14ac:dyDescent="0.55000000000000004">
      <c r="A20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4" s="316" t="s">
        <v>322</v>
      </c>
      <c r="C204" s="218" t="s">
        <v>323</v>
      </c>
      <c r="D204" s="218" t="s">
        <v>330</v>
      </c>
      <c r="E204" s="105" t="s">
        <v>331</v>
      </c>
      <c r="F204" s="100"/>
      <c r="G204" s="34"/>
      <c r="H204" s="335"/>
      <c r="I204" s="97"/>
      <c r="J204" s="97" t="s">
        <v>414</v>
      </c>
      <c r="K204" s="336">
        <v>2969.2</v>
      </c>
      <c r="L204" s="337">
        <v>1730</v>
      </c>
      <c r="M204" s="319">
        <v>3787.5263056603621</v>
      </c>
      <c r="N204" s="319">
        <v>6369</v>
      </c>
      <c r="O204" s="319">
        <v>7121.748943926319</v>
      </c>
      <c r="P204" s="319">
        <v>5476.133735623519</v>
      </c>
      <c r="Q204" s="320">
        <v>3910.5</v>
      </c>
      <c r="R204" s="319">
        <v>2172.5</v>
      </c>
      <c r="S204" s="235">
        <f>tblPiNAnalysis[[#This Row],[CCCM]]</f>
        <v>756.1535994509893</v>
      </c>
      <c r="T204" s="236">
        <f>tblPiNAnalysis[[#This Row],[Education]]</f>
        <v>983.45841246995303</v>
      </c>
      <c r="U204" s="219">
        <f>tblPiNAnalysis[[#This Row],[Nutrition]]</f>
        <v>1713.8548458301896</v>
      </c>
      <c r="V204" s="219">
        <f>tblPiNAnalysis[[#This Row],[Food Security]]</f>
        <v>3635.4409748010257</v>
      </c>
      <c r="W204" s="219">
        <f>tblPiNAnalysis[[#This Row],[Health]]</f>
        <v>2796.0794612320165</v>
      </c>
      <c r="X204" s="219">
        <f>tblPiNAnalysis[[#This Row],[Overarching Protection]]</f>
        <v>3474</v>
      </c>
      <c r="Y204" s="219">
        <f>tblPiNAnalysis[[#This Row],[Shelter]]</f>
        <v>4602.6740836147183</v>
      </c>
      <c r="Z204" s="230">
        <f>tblPiNAnalysis[[#This Row],[WASH]]</f>
        <v>1820.3697764560852</v>
      </c>
      <c r="AA204" s="339">
        <f>IF(OR(tblPiNHistorical[[#This Row],[CCCM - old]]="", tblPiNHistorical[[#This Row],[CCCM - old]]=0, tblPiNHistorical[[#This Row],[CCCM - new]]="", tblPiNHistorical[[#This Row],[CCCM - new]]=0), "", tblPiNHistorical[[#This Row],[CCCM - new]]-tblPiNHistorical[[#This Row],[CCCM - old]])</f>
        <v>-2213.0464005490103</v>
      </c>
      <c r="AB204" s="340">
        <f>IF(OR(tblPiNHistorical[[#This Row],[Education - old]]="", tblPiNHistorical[[#This Row],[Education - old]]=0, tblPiNHistorical[[#This Row],[Education - new]]="", tblPiNHistorical[[#This Row],[Education - new]]=0), "", tblPiNHistorical[[#This Row],[Education - new]]-tblPiNHistorical[[#This Row],[Education - old]])</f>
        <v>-746.54158753004697</v>
      </c>
      <c r="AC204" s="340">
        <f>IF(OR(tblPiNHistorical[[#This Row],[Nutrition - old]]="", tblPiNHistorical[[#This Row],[Nutrition - old]]=0, tblPiNHistorical[[#This Row],[Nutrition - new]]="", tblPiNHistorical[[#This Row],[Nutrition - new]]=0), "", tblPiNHistorical[[#This Row],[Nutrition - new]]-tblPiNHistorical[[#This Row],[Nutrition - old]])</f>
        <v>-2073.6714598301724</v>
      </c>
      <c r="AD204" s="340">
        <f>IF(OR(tblPiNHistorical[[#This Row],[Food Security - old]]="", tblPiNHistorical[[#This Row],[Food Security - old]]=0, tblPiNHistorical[[#This Row],[Food Security - new]]="", tblPiNHistorical[[#This Row],[Food Security - new]]=0), "", tblPiNHistorical[[#This Row],[Food Security - new]]-tblPiNHistorical[[#This Row],[Food Security - old]])</f>
        <v>-2733.5590251989743</v>
      </c>
      <c r="AE204" s="340">
        <f>IF(OR(tblPiNHistorical[[#This Row],[Health - old]]="", tblPiNHistorical[[#This Row],[Health - old]]=0, tblPiNHistorical[[#This Row],[Health - new]]="", tblPiNHistorical[[#This Row],[Health - new]]=0), "", tblPiNHistorical[[#This Row],[Health - new]]-tblPiNHistorical[[#This Row],[Health - old]])</f>
        <v>-4325.6694826943021</v>
      </c>
      <c r="AF20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-2002.133735623519</v>
      </c>
      <c r="AG204" s="340">
        <f>IF(OR(tblPiNHistorical[[#This Row],[Shelter - old]]="", tblPiNHistorical[[#This Row],[Shelter - old]]=0, tblPiNHistorical[[#This Row],[Shelter - new]]="", tblPiNHistorical[[#This Row],[Shelter - new]]=0), "", tblPiNHistorical[[#This Row],[Shelter - new]]-tblPiNHistorical[[#This Row],[Shelter - old]])</f>
        <v>692.17408361471826</v>
      </c>
      <c r="AH204" s="341">
        <f>IF(OR(tblPiNHistorical[[#This Row],[WASH - old]]="", tblPiNHistorical[[#This Row],[WASH - old]]=0, tblPiNHistorical[[#This Row],[WASH - new]]="", tblPiNHistorical[[#This Row],[WASH - new]]=0), "", tblPiNHistorical[[#This Row],[WASH - new]]-tblPiNHistorical[[#This Row],[WASH - old]])</f>
        <v>-352.13022354391478</v>
      </c>
      <c r="AI204" s="342">
        <f>IFERROR(ROUND((tblPiNHistorical[[#This Row],[CCCM - new]] - tblPiNHistorical[[#This Row],[CCCM - old]])/tblPiNHistorical[[#This Row],[CCCM - old]], 1), "")</f>
        <v>-0.7</v>
      </c>
      <c r="AJ204" s="343">
        <f>IFERROR(ROUND((tblPiNHistorical[[#This Row],[Education - new]]-tblPiNHistorical[[#This Row],[Education - old]])/tblPiNHistorical[[#This Row],[Education - old]], 1), "")</f>
        <v>-0.4</v>
      </c>
      <c r="AK204" s="343">
        <f>IFERROR(ROUND((tblPiNHistorical[[#This Row],[Nutrition - new]]-tblPiNHistorical[[#This Row],[Nutrition - old]])/tblPiNHistorical[[#This Row],[Nutrition - old]], 1), "")</f>
        <v>-0.5</v>
      </c>
      <c r="AL204" s="343">
        <f>IFERROR(ROUND((tblPiNHistorical[[#This Row],[Food Security - new]]-tblPiNHistorical[[#This Row],[Food Security - old]])/tblPiNHistorical[[#This Row],[Food Security - old]], 1), "")</f>
        <v>-0.4</v>
      </c>
      <c r="AM204" s="343">
        <f>IFERROR(ROUND((tblPiNHistorical[[#This Row],[Health - new]]-tblPiNHistorical[[#This Row],[Health - old]])/tblPiNHistorical[[#This Row],[Health - old]], 1), "")</f>
        <v>-0.6</v>
      </c>
      <c r="AN204" s="343">
        <f>IFERROR(ROUND((tblPiNHistorical[[#This Row],[Overarching Protection - new]]-tblPiNHistorical[[#This Row],[Overarching Protection - old]])/tblPiNHistorical[[#This Row],[Overarching Protection - old]], 1), "")</f>
        <v>-0.4</v>
      </c>
      <c r="AO204" s="343">
        <f>IFERROR(ROUND((tblPiNHistorical[[#This Row],[Shelter - new]]-tblPiNHistorical[[#This Row],[Shelter - old]])/tblPiNHistorical[[#This Row],[Shelter - old]], 1), "")</f>
        <v>0.2</v>
      </c>
      <c r="AP204" s="38">
        <f>IFERROR(ROUND((tblPiNHistorical[[#This Row],[WASH - new]]-tblPiNHistorical[[#This Row],[WASH - old]])/tblPiNHistorical[[#This Row],[WASH - old]], 1), "")</f>
        <v>-0.2</v>
      </c>
      <c r="AQ204" s="406">
        <v>7121.748943926319</v>
      </c>
      <c r="AR204" s="406">
        <v>4602.6740836147183</v>
      </c>
    </row>
    <row r="205" spans="1:44" ht="15" customHeight="1" x14ac:dyDescent="0.55000000000000004">
      <c r="A20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5" s="316" t="s">
        <v>322</v>
      </c>
      <c r="C205" s="218" t="s">
        <v>323</v>
      </c>
      <c r="D205" s="218" t="s">
        <v>332</v>
      </c>
      <c r="E205" s="105" t="s">
        <v>333</v>
      </c>
      <c r="F205" s="100"/>
      <c r="G205" s="34"/>
      <c r="H205" s="335"/>
      <c r="I205" s="97"/>
      <c r="J205" s="97" t="s">
        <v>414</v>
      </c>
      <c r="K205" s="336">
        <v>823.48149555906912</v>
      </c>
      <c r="L205" s="337">
        <v>160</v>
      </c>
      <c r="M205" s="319">
        <v>438.56378827846345</v>
      </c>
      <c r="N205" s="319">
        <v>721</v>
      </c>
      <c r="O205" s="319">
        <v>446.65655953922862</v>
      </c>
      <c r="P205" s="319">
        <v>389.45333509912803</v>
      </c>
      <c r="Q205" s="320">
        <v>570.1025738485863</v>
      </c>
      <c r="R205" s="319">
        <v>327.86763249111084</v>
      </c>
      <c r="S205" s="235">
        <f>tblPiNAnalysis[[#This Row],[CCCM]]</f>
        <v>460.37142857142902</v>
      </c>
      <c r="T205" s="236">
        <f>tblPiNAnalysis[[#This Row],[Education]]</f>
        <v>597.15391828571489</v>
      </c>
      <c r="U205" s="219">
        <f>tblPiNAnalysis[[#This Row],[Nutrition]]</f>
        <v>1293.574292400795</v>
      </c>
      <c r="V205" s="219">
        <f>tblPiNAnalysis[[#This Row],[Food Security]]</f>
        <v>2299.4820891862373</v>
      </c>
      <c r="W205" s="219">
        <f>tblPiNAnalysis[[#This Row],[Health]]</f>
        <v>1473.0465205838257</v>
      </c>
      <c r="X205" s="219">
        <f>tblPiNAnalysis[[#This Row],[Overarching Protection]]</f>
        <v>2142</v>
      </c>
      <c r="Y205" s="219">
        <f>tblPiNAnalysis[[#This Row],[Shelter]]</f>
        <v>3069.1428571428601</v>
      </c>
      <c r="Z205" s="230">
        <f>tblPiNAnalysis[[#This Row],[WASH]]</f>
        <v>1250.3915343915355</v>
      </c>
      <c r="AA205" s="339">
        <f>IF(OR(tblPiNHistorical[[#This Row],[CCCM - old]]="", tblPiNHistorical[[#This Row],[CCCM - old]]=0, tblPiNHistorical[[#This Row],[CCCM - new]]="", tblPiNHistorical[[#This Row],[CCCM - new]]=0), "", tblPiNHistorical[[#This Row],[CCCM - new]]-tblPiNHistorical[[#This Row],[CCCM - old]])</f>
        <v>-363.1100669876401</v>
      </c>
      <c r="AB205" s="340">
        <f>IF(OR(tblPiNHistorical[[#This Row],[Education - old]]="", tblPiNHistorical[[#This Row],[Education - old]]=0, tblPiNHistorical[[#This Row],[Education - new]]="", tblPiNHistorical[[#This Row],[Education - new]]=0), "", tblPiNHistorical[[#This Row],[Education - new]]-tblPiNHistorical[[#This Row],[Education - old]])</f>
        <v>437.15391828571489</v>
      </c>
      <c r="AC205" s="340">
        <f>IF(OR(tblPiNHistorical[[#This Row],[Nutrition - old]]="", tblPiNHistorical[[#This Row],[Nutrition - old]]=0, tblPiNHistorical[[#This Row],[Nutrition - new]]="", tblPiNHistorical[[#This Row],[Nutrition - new]]=0), "", tblPiNHistorical[[#This Row],[Nutrition - new]]-tblPiNHistorical[[#This Row],[Nutrition - old]])</f>
        <v>855.01050412233155</v>
      </c>
      <c r="AD205" s="340">
        <f>IF(OR(tblPiNHistorical[[#This Row],[Food Security - old]]="", tblPiNHistorical[[#This Row],[Food Security - old]]=0, tblPiNHistorical[[#This Row],[Food Security - new]]="", tblPiNHistorical[[#This Row],[Food Security - new]]=0), "", tblPiNHistorical[[#This Row],[Food Security - new]]-tblPiNHistorical[[#This Row],[Food Security - old]])</f>
        <v>1578.4820891862373</v>
      </c>
      <c r="AE205" s="340">
        <f>IF(OR(tblPiNHistorical[[#This Row],[Health - old]]="", tblPiNHistorical[[#This Row],[Health - old]]=0, tblPiNHistorical[[#This Row],[Health - new]]="", tblPiNHistorical[[#This Row],[Health - new]]=0), "", tblPiNHistorical[[#This Row],[Health - new]]-tblPiNHistorical[[#This Row],[Health - old]])</f>
        <v>1026.3899610445969</v>
      </c>
      <c r="AF20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1752.546664900872</v>
      </c>
      <c r="AG205" s="340">
        <f>IF(OR(tblPiNHistorical[[#This Row],[Shelter - old]]="", tblPiNHistorical[[#This Row],[Shelter - old]]=0, tblPiNHistorical[[#This Row],[Shelter - new]]="", tblPiNHistorical[[#This Row],[Shelter - new]]=0), "", tblPiNHistorical[[#This Row],[Shelter - new]]-tblPiNHistorical[[#This Row],[Shelter - old]])</f>
        <v>2499.0402832942736</v>
      </c>
      <c r="AH205" s="341">
        <f>IF(OR(tblPiNHistorical[[#This Row],[WASH - old]]="", tblPiNHistorical[[#This Row],[WASH - old]]=0, tblPiNHistorical[[#This Row],[WASH - new]]="", tblPiNHistorical[[#This Row],[WASH - new]]=0), "", tblPiNHistorical[[#This Row],[WASH - new]]-tblPiNHistorical[[#This Row],[WASH - old]])</f>
        <v>922.52390190042468</v>
      </c>
      <c r="AI205" s="342">
        <f>IFERROR(ROUND((tblPiNHistorical[[#This Row],[CCCM - new]] - tblPiNHistorical[[#This Row],[CCCM - old]])/tblPiNHistorical[[#This Row],[CCCM - old]], 1), "")</f>
        <v>-0.4</v>
      </c>
      <c r="AJ205" s="343">
        <f>IFERROR(ROUND((tblPiNHistorical[[#This Row],[Education - new]]-tblPiNHistorical[[#This Row],[Education - old]])/tblPiNHistorical[[#This Row],[Education - old]], 1), "")</f>
        <v>2.7</v>
      </c>
      <c r="AK205" s="343">
        <f>IFERROR(ROUND((tblPiNHistorical[[#This Row],[Nutrition - new]]-tblPiNHistorical[[#This Row],[Nutrition - old]])/tblPiNHistorical[[#This Row],[Nutrition - old]], 1), "")</f>
        <v>1.9</v>
      </c>
      <c r="AL205" s="343">
        <f>IFERROR(ROUND((tblPiNHistorical[[#This Row],[Food Security - new]]-tblPiNHistorical[[#This Row],[Food Security - old]])/tblPiNHistorical[[#This Row],[Food Security - old]], 1), "")</f>
        <v>2.2000000000000002</v>
      </c>
      <c r="AM205" s="343">
        <f>IFERROR(ROUND((tblPiNHistorical[[#This Row],[Health - new]]-tblPiNHistorical[[#This Row],[Health - old]])/tblPiNHistorical[[#This Row],[Health - old]], 1), "")</f>
        <v>2.2999999999999998</v>
      </c>
      <c r="AN205" s="343">
        <f>IFERROR(ROUND((tblPiNHistorical[[#This Row],[Overarching Protection - new]]-tblPiNHistorical[[#This Row],[Overarching Protection - old]])/tblPiNHistorical[[#This Row],[Overarching Protection - old]], 1), "")</f>
        <v>4.5</v>
      </c>
      <c r="AO205" s="343">
        <f>IFERROR(ROUND((tblPiNHistorical[[#This Row],[Shelter - new]]-tblPiNHistorical[[#This Row],[Shelter - old]])/tblPiNHistorical[[#This Row],[Shelter - old]], 1), "")</f>
        <v>4.4000000000000004</v>
      </c>
      <c r="AP205" s="38">
        <f>IFERROR(ROUND((tblPiNHistorical[[#This Row],[WASH - new]]-tblPiNHistorical[[#This Row],[WASH - old]])/tblPiNHistorical[[#This Row],[WASH - old]], 1), "")</f>
        <v>2.8</v>
      </c>
      <c r="AQ205" s="406">
        <v>823.48149555906912</v>
      </c>
      <c r="AR205" s="406">
        <v>3069.1428571428601</v>
      </c>
    </row>
    <row r="206" spans="1:44" ht="15" customHeight="1" x14ac:dyDescent="0.55000000000000004">
      <c r="A20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6" s="316" t="s">
        <v>322</v>
      </c>
      <c r="C206" s="218" t="s">
        <v>323</v>
      </c>
      <c r="D206" s="218" t="s">
        <v>334</v>
      </c>
      <c r="E206" s="105" t="s">
        <v>335</v>
      </c>
      <c r="F206" s="100"/>
      <c r="G206" s="34"/>
      <c r="H206" s="335"/>
      <c r="I206" s="97"/>
      <c r="J206" s="97" t="s">
        <v>414</v>
      </c>
      <c r="K206" s="336">
        <v>2072.617866289168</v>
      </c>
      <c r="L206" s="337">
        <v>2176</v>
      </c>
      <c r="M206" s="319">
        <v>7409.6919098964554</v>
      </c>
      <c r="N206" s="319">
        <v>8404</v>
      </c>
      <c r="O206" s="319">
        <v>9813.0551568535266</v>
      </c>
      <c r="P206" s="319">
        <v>9220.3685974954515</v>
      </c>
      <c r="Q206" s="320">
        <v>2047.0299913967092</v>
      </c>
      <c r="R206" s="319">
        <v>7676.3624677376602</v>
      </c>
      <c r="S206" s="235">
        <f>tblPiNAnalysis[[#This Row],[CCCM]]</f>
        <v>1057.5453173967744</v>
      </c>
      <c r="T206" s="236">
        <f>tblPiNAnalysis[[#This Row],[Education]]</f>
        <v>2157.4559002084634</v>
      </c>
      <c r="U206" s="219">
        <f>tblPiNAnalysis[[#This Row],[Nutrition]]</f>
        <v>2577.4022617242485</v>
      </c>
      <c r="V206" s="219">
        <f>tblPiNAnalysis[[#This Row],[Food Security]]</f>
        <v>4656.3863132350816</v>
      </c>
      <c r="W206" s="219">
        <f>tblPiNAnalysis[[#This Row],[Health]]</f>
        <v>3806.9093414081844</v>
      </c>
      <c r="X206" s="219">
        <f>tblPiNAnalysis[[#This Row],[Overarching Protection]]</f>
        <v>4717</v>
      </c>
      <c r="Y206" s="219">
        <f>tblPiNAnalysis[[#This Row],[Shelter]]</f>
        <v>2769.7615455629812</v>
      </c>
      <c r="Z206" s="230">
        <f>tblPiNAnalysis[[#This Row],[WASH]]</f>
        <v>3002.9064568056565</v>
      </c>
      <c r="AA206" s="339">
        <f>IF(OR(tblPiNHistorical[[#This Row],[CCCM - old]]="", tblPiNHistorical[[#This Row],[CCCM - old]]=0, tblPiNHistorical[[#This Row],[CCCM - new]]="", tblPiNHistorical[[#This Row],[CCCM - new]]=0), "", tblPiNHistorical[[#This Row],[CCCM - new]]-tblPiNHistorical[[#This Row],[CCCM - old]])</f>
        <v>-1015.0725488923936</v>
      </c>
      <c r="AB206" s="340">
        <f>IF(OR(tblPiNHistorical[[#This Row],[Education - old]]="", tblPiNHistorical[[#This Row],[Education - old]]=0, tblPiNHistorical[[#This Row],[Education - new]]="", tblPiNHistorical[[#This Row],[Education - new]]=0), "", tblPiNHistorical[[#This Row],[Education - new]]-tblPiNHistorical[[#This Row],[Education - old]])</f>
        <v>-18.54409979153661</v>
      </c>
      <c r="AC206" s="340">
        <f>IF(OR(tblPiNHistorical[[#This Row],[Nutrition - old]]="", tblPiNHistorical[[#This Row],[Nutrition - old]]=0, tblPiNHistorical[[#This Row],[Nutrition - new]]="", tblPiNHistorical[[#This Row],[Nutrition - new]]=0), "", tblPiNHistorical[[#This Row],[Nutrition - new]]-tblPiNHistorical[[#This Row],[Nutrition - old]])</f>
        <v>-4832.2896481722073</v>
      </c>
      <c r="AD206" s="340">
        <f>IF(OR(tblPiNHistorical[[#This Row],[Food Security - old]]="", tblPiNHistorical[[#This Row],[Food Security - old]]=0, tblPiNHistorical[[#This Row],[Food Security - new]]="", tblPiNHistorical[[#This Row],[Food Security - new]]=0), "", tblPiNHistorical[[#This Row],[Food Security - new]]-tblPiNHistorical[[#This Row],[Food Security - old]])</f>
        <v>-3747.6136867649184</v>
      </c>
      <c r="AE206" s="340">
        <f>IF(OR(tblPiNHistorical[[#This Row],[Health - old]]="", tblPiNHistorical[[#This Row],[Health - old]]=0, tblPiNHistorical[[#This Row],[Health - new]]="", tblPiNHistorical[[#This Row],[Health - new]]=0), "", tblPiNHistorical[[#This Row],[Health - new]]-tblPiNHistorical[[#This Row],[Health - old]])</f>
        <v>-6006.1458154453421</v>
      </c>
      <c r="AF20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-4503.3685974954515</v>
      </c>
      <c r="AG206" s="340">
        <f>IF(OR(tblPiNHistorical[[#This Row],[Shelter - old]]="", tblPiNHistorical[[#This Row],[Shelter - old]]=0, tblPiNHistorical[[#This Row],[Shelter - new]]="", tblPiNHistorical[[#This Row],[Shelter - new]]=0), "", tblPiNHistorical[[#This Row],[Shelter - new]]-tblPiNHistorical[[#This Row],[Shelter - old]])</f>
        <v>722.73155416627196</v>
      </c>
      <c r="AH206" s="341">
        <f>IF(OR(tblPiNHistorical[[#This Row],[WASH - old]]="", tblPiNHistorical[[#This Row],[WASH - old]]=0, tblPiNHistorical[[#This Row],[WASH - new]]="", tblPiNHistorical[[#This Row],[WASH - new]]=0), "", tblPiNHistorical[[#This Row],[WASH - new]]-tblPiNHistorical[[#This Row],[WASH - old]])</f>
        <v>-4673.4560109320037</v>
      </c>
      <c r="AI206" s="342">
        <f>IFERROR(ROUND((tblPiNHistorical[[#This Row],[CCCM - new]] - tblPiNHistorical[[#This Row],[CCCM - old]])/tblPiNHistorical[[#This Row],[CCCM - old]], 1), "")</f>
        <v>-0.5</v>
      </c>
      <c r="AJ206" s="343">
        <f>IFERROR(ROUND((tblPiNHistorical[[#This Row],[Education - new]]-tblPiNHistorical[[#This Row],[Education - old]])/tblPiNHistorical[[#This Row],[Education - old]], 1), "")</f>
        <v>0</v>
      </c>
      <c r="AK206" s="343">
        <f>IFERROR(ROUND((tblPiNHistorical[[#This Row],[Nutrition - new]]-tblPiNHistorical[[#This Row],[Nutrition - old]])/tblPiNHistorical[[#This Row],[Nutrition - old]], 1), "")</f>
        <v>-0.7</v>
      </c>
      <c r="AL206" s="343">
        <f>IFERROR(ROUND((tblPiNHistorical[[#This Row],[Food Security - new]]-tblPiNHistorical[[#This Row],[Food Security - old]])/tblPiNHistorical[[#This Row],[Food Security - old]], 1), "")</f>
        <v>-0.4</v>
      </c>
      <c r="AM206" s="343">
        <f>IFERROR(ROUND((tblPiNHistorical[[#This Row],[Health - new]]-tblPiNHistorical[[#This Row],[Health - old]])/tblPiNHistorical[[#This Row],[Health - old]], 1), "")</f>
        <v>-0.6</v>
      </c>
      <c r="AN206" s="343">
        <f>IFERROR(ROUND((tblPiNHistorical[[#This Row],[Overarching Protection - new]]-tblPiNHistorical[[#This Row],[Overarching Protection - old]])/tblPiNHistorical[[#This Row],[Overarching Protection - old]], 1), "")</f>
        <v>-0.5</v>
      </c>
      <c r="AO206" s="343">
        <f>IFERROR(ROUND((tblPiNHistorical[[#This Row],[Shelter - new]]-tblPiNHistorical[[#This Row],[Shelter - old]])/tblPiNHistorical[[#This Row],[Shelter - old]], 1), "")</f>
        <v>0.4</v>
      </c>
      <c r="AP206" s="38">
        <f>IFERROR(ROUND((tblPiNHistorical[[#This Row],[WASH - new]]-tblPiNHistorical[[#This Row],[WASH - old]])/tblPiNHistorical[[#This Row],[WASH - old]], 1), "")</f>
        <v>-0.6</v>
      </c>
      <c r="AQ206" s="406">
        <v>9813.0551568535266</v>
      </c>
      <c r="AR206" s="406">
        <v>4717</v>
      </c>
    </row>
    <row r="207" spans="1:44" ht="15" customHeight="1" x14ac:dyDescent="0.55000000000000004">
      <c r="A20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7" s="316" t="s">
        <v>322</v>
      </c>
      <c r="C207" s="218" t="s">
        <v>323</v>
      </c>
      <c r="D207" s="218" t="s">
        <v>336</v>
      </c>
      <c r="E207" s="105" t="s">
        <v>337</v>
      </c>
      <c r="F207" s="100"/>
      <c r="G207" s="34"/>
      <c r="H207" s="335"/>
      <c r="I207" s="97"/>
      <c r="J207" s="97" t="s">
        <v>414</v>
      </c>
      <c r="K207" s="336">
        <v>1022.4071864931316</v>
      </c>
      <c r="L207" s="337">
        <v>194</v>
      </c>
      <c r="M207" s="319">
        <v>564.60170397051365</v>
      </c>
      <c r="N207" s="319">
        <v>867</v>
      </c>
      <c r="O207" s="319">
        <v>435.58010150381938</v>
      </c>
      <c r="P207" s="319">
        <v>690.48364000000004</v>
      </c>
      <c r="Q207" s="320">
        <v>185.89221572602389</v>
      </c>
      <c r="R207" s="319">
        <v>596.40419212099334</v>
      </c>
      <c r="S207" s="235">
        <f>tblPiNAnalysis[[#This Row],[CCCM]]</f>
        <v>545.4</v>
      </c>
      <c r="T207" s="236">
        <f>tblPiNAnalysis[[#This Row],[Education]]</f>
        <v>688.46932800000013</v>
      </c>
      <c r="U207" s="219">
        <f>tblPiNAnalysis[[#This Row],[Nutrition]]</f>
        <v>1418.8092270233087</v>
      </c>
      <c r="V207" s="219">
        <f>tblPiNAnalysis[[#This Row],[Food Security]]</f>
        <v>2665.0680294809003</v>
      </c>
      <c r="W207" s="219">
        <f>tblPiNAnalysis[[#This Row],[Health]]</f>
        <v>2336.2567443257749</v>
      </c>
      <c r="X207" s="219">
        <f>tblPiNAnalysis[[#This Row],[Overarching Protection]]</f>
        <v>2445</v>
      </c>
      <c r="Y207" s="219">
        <f>tblPiNAnalysis[[#This Row],[Shelter]]</f>
        <v>3636</v>
      </c>
      <c r="Z207" s="230">
        <f>tblPiNAnalysis[[#This Row],[WASH]]</f>
        <v>1919</v>
      </c>
      <c r="AA207" s="339">
        <f>IF(OR(tblPiNHistorical[[#This Row],[CCCM - old]]="", tblPiNHistorical[[#This Row],[CCCM - old]]=0, tblPiNHistorical[[#This Row],[CCCM - new]]="", tblPiNHistorical[[#This Row],[CCCM - new]]=0), "", tblPiNHistorical[[#This Row],[CCCM - new]]-tblPiNHistorical[[#This Row],[CCCM - old]])</f>
        <v>-477.0071864931316</v>
      </c>
      <c r="AB207" s="340">
        <f>IF(OR(tblPiNHistorical[[#This Row],[Education - old]]="", tblPiNHistorical[[#This Row],[Education - old]]=0, tblPiNHistorical[[#This Row],[Education - new]]="", tblPiNHistorical[[#This Row],[Education - new]]=0), "", tblPiNHistorical[[#This Row],[Education - new]]-tblPiNHistorical[[#This Row],[Education - old]])</f>
        <v>494.46932800000013</v>
      </c>
      <c r="AC207" s="340">
        <f>IF(OR(tblPiNHistorical[[#This Row],[Nutrition - old]]="", tblPiNHistorical[[#This Row],[Nutrition - old]]=0, tblPiNHistorical[[#This Row],[Nutrition - new]]="", tblPiNHistorical[[#This Row],[Nutrition - new]]=0), "", tblPiNHistorical[[#This Row],[Nutrition - new]]-tblPiNHistorical[[#This Row],[Nutrition - old]])</f>
        <v>854.20752305279507</v>
      </c>
      <c r="AD207" s="340">
        <f>IF(OR(tblPiNHistorical[[#This Row],[Food Security - old]]="", tblPiNHistorical[[#This Row],[Food Security - old]]=0, tblPiNHistorical[[#This Row],[Food Security - new]]="", tblPiNHistorical[[#This Row],[Food Security - new]]=0), "", tblPiNHistorical[[#This Row],[Food Security - new]]-tblPiNHistorical[[#This Row],[Food Security - old]])</f>
        <v>1798.0680294809003</v>
      </c>
      <c r="AE207" s="340">
        <f>IF(OR(tblPiNHistorical[[#This Row],[Health - old]]="", tblPiNHistorical[[#This Row],[Health - old]]=0, tblPiNHistorical[[#This Row],[Health - new]]="", tblPiNHistorical[[#This Row],[Health - new]]=0), "", tblPiNHistorical[[#This Row],[Health - new]]-tblPiNHistorical[[#This Row],[Health - old]])</f>
        <v>1900.6766428219555</v>
      </c>
      <c r="AF20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1754.5163600000001</v>
      </c>
      <c r="AG207" s="340">
        <f>IF(OR(tblPiNHistorical[[#This Row],[Shelter - old]]="", tblPiNHistorical[[#This Row],[Shelter - old]]=0, tblPiNHistorical[[#This Row],[Shelter - new]]="", tblPiNHistorical[[#This Row],[Shelter - new]]=0), "", tblPiNHistorical[[#This Row],[Shelter - new]]-tblPiNHistorical[[#This Row],[Shelter - old]])</f>
        <v>3450.107784273976</v>
      </c>
      <c r="AH207" s="341">
        <f>IF(OR(tblPiNHistorical[[#This Row],[WASH - old]]="", tblPiNHistorical[[#This Row],[WASH - old]]=0, tblPiNHistorical[[#This Row],[WASH - new]]="", tblPiNHistorical[[#This Row],[WASH - new]]=0), "", tblPiNHistorical[[#This Row],[WASH - new]]-tblPiNHistorical[[#This Row],[WASH - old]])</f>
        <v>1322.5958078790068</v>
      </c>
      <c r="AI207" s="342">
        <f>IFERROR(ROUND((tblPiNHistorical[[#This Row],[CCCM - new]] - tblPiNHistorical[[#This Row],[CCCM - old]])/tblPiNHistorical[[#This Row],[CCCM - old]], 1), "")</f>
        <v>-0.5</v>
      </c>
      <c r="AJ207" s="343">
        <f>IFERROR(ROUND((tblPiNHistorical[[#This Row],[Education - new]]-tblPiNHistorical[[#This Row],[Education - old]])/tblPiNHistorical[[#This Row],[Education - old]], 1), "")</f>
        <v>2.5</v>
      </c>
      <c r="AK207" s="343">
        <f>IFERROR(ROUND((tblPiNHistorical[[#This Row],[Nutrition - new]]-tblPiNHistorical[[#This Row],[Nutrition - old]])/tblPiNHistorical[[#This Row],[Nutrition - old]], 1), "")</f>
        <v>1.5</v>
      </c>
      <c r="AL207" s="343">
        <f>IFERROR(ROUND((tblPiNHistorical[[#This Row],[Food Security - new]]-tblPiNHistorical[[#This Row],[Food Security - old]])/tblPiNHistorical[[#This Row],[Food Security - old]], 1), "")</f>
        <v>2.1</v>
      </c>
      <c r="AM207" s="343">
        <f>IFERROR(ROUND((tblPiNHistorical[[#This Row],[Health - new]]-tblPiNHistorical[[#This Row],[Health - old]])/tblPiNHistorical[[#This Row],[Health - old]], 1), "")</f>
        <v>4.4000000000000004</v>
      </c>
      <c r="AN207" s="343">
        <f>IFERROR(ROUND((tblPiNHistorical[[#This Row],[Overarching Protection - new]]-tblPiNHistorical[[#This Row],[Overarching Protection - old]])/tblPiNHistorical[[#This Row],[Overarching Protection - old]], 1), "")</f>
        <v>2.5</v>
      </c>
      <c r="AO207" s="343">
        <f>IFERROR(ROUND((tblPiNHistorical[[#This Row],[Shelter - new]]-tblPiNHistorical[[#This Row],[Shelter - old]])/tblPiNHistorical[[#This Row],[Shelter - old]], 1), "")</f>
        <v>18.600000000000001</v>
      </c>
      <c r="AP207" s="38">
        <f>IFERROR(ROUND((tblPiNHistorical[[#This Row],[WASH - new]]-tblPiNHistorical[[#This Row],[WASH - old]])/tblPiNHistorical[[#This Row],[WASH - old]], 1), "")</f>
        <v>2.2000000000000002</v>
      </c>
      <c r="AQ207" s="406">
        <v>1022.4071864931316</v>
      </c>
      <c r="AR207" s="406">
        <v>3636</v>
      </c>
    </row>
    <row r="208" spans="1:44" ht="15" customHeight="1" x14ac:dyDescent="0.55000000000000004">
      <c r="A20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8" s="316" t="s">
        <v>322</v>
      </c>
      <c r="C208" s="218" t="s">
        <v>323</v>
      </c>
      <c r="D208" s="218" t="s">
        <v>338</v>
      </c>
      <c r="E208" s="105" t="s">
        <v>339</v>
      </c>
      <c r="F208" s="100"/>
      <c r="G208" s="34"/>
      <c r="H208" s="335"/>
      <c r="I208" s="97"/>
      <c r="J208" s="97" t="s">
        <v>414</v>
      </c>
      <c r="K208" s="336">
        <v>1144.2</v>
      </c>
      <c r="L208" s="337">
        <v>407</v>
      </c>
      <c r="M208" s="319">
        <v>4177.9532100612614</v>
      </c>
      <c r="N208" s="319">
        <v>5051</v>
      </c>
      <c r="O208" s="319">
        <v>2224.5355346966321</v>
      </c>
      <c r="P208" s="319">
        <v>4455.953065029461</v>
      </c>
      <c r="Q208" s="320">
        <v>2080.363636363636</v>
      </c>
      <c r="R208" s="319">
        <v>2401.4074074074078</v>
      </c>
      <c r="S208" s="235">
        <f>tblPiNAnalysis[[#This Row],[CCCM]]</f>
        <v>527.3908366693355</v>
      </c>
      <c r="T208" s="236">
        <f>tblPiNAnalysis[[#This Row],[Education]]</f>
        <v>188.39455467502003</v>
      </c>
      <c r="U208" s="219">
        <f>tblPiNAnalysis[[#This Row],[Nutrition]]</f>
        <v>1347.609100074098</v>
      </c>
      <c r="V208" s="219">
        <f>tblPiNAnalysis[[#This Row],[Food Security]]</f>
        <v>2224.6482399145461</v>
      </c>
      <c r="W208" s="219">
        <f>tblPiNAnalysis[[#This Row],[Health]]</f>
        <v>3142.4968348686766</v>
      </c>
      <c r="X208" s="219">
        <f>tblPiNAnalysis[[#This Row],[Overarching Protection]]</f>
        <v>703</v>
      </c>
      <c r="Y208" s="219">
        <f>tblPiNAnalysis[[#This Row],[Shelter]]</f>
        <v>878.98472778222583</v>
      </c>
      <c r="Z208" s="230">
        <f>tblPiNAnalysis[[#This Row],[WASH]]</f>
        <v>1483.7907331369684</v>
      </c>
      <c r="AA208" s="339">
        <f>IF(OR(tblPiNHistorical[[#This Row],[CCCM - old]]="", tblPiNHistorical[[#This Row],[CCCM - old]]=0, tblPiNHistorical[[#This Row],[CCCM - new]]="", tblPiNHistorical[[#This Row],[CCCM - new]]=0), "", tblPiNHistorical[[#This Row],[CCCM - new]]-tblPiNHistorical[[#This Row],[CCCM - old]])</f>
        <v>-616.80916333066455</v>
      </c>
      <c r="AB208" s="340">
        <f>IF(OR(tblPiNHistorical[[#This Row],[Education - old]]="", tblPiNHistorical[[#This Row],[Education - old]]=0, tblPiNHistorical[[#This Row],[Education - new]]="", tblPiNHistorical[[#This Row],[Education - new]]=0), "", tblPiNHistorical[[#This Row],[Education - new]]-tblPiNHistorical[[#This Row],[Education - old]])</f>
        <v>-218.60544532497997</v>
      </c>
      <c r="AC208" s="340">
        <f>IF(OR(tblPiNHistorical[[#This Row],[Nutrition - old]]="", tblPiNHistorical[[#This Row],[Nutrition - old]]=0, tblPiNHistorical[[#This Row],[Nutrition - new]]="", tblPiNHistorical[[#This Row],[Nutrition - new]]=0), "", tblPiNHistorical[[#This Row],[Nutrition - new]]-tblPiNHistorical[[#This Row],[Nutrition - old]])</f>
        <v>-2830.3441099871634</v>
      </c>
      <c r="AD208" s="340">
        <f>IF(OR(tblPiNHistorical[[#This Row],[Food Security - old]]="", tblPiNHistorical[[#This Row],[Food Security - old]]=0, tblPiNHistorical[[#This Row],[Food Security - new]]="", tblPiNHistorical[[#This Row],[Food Security - new]]=0), "", tblPiNHistorical[[#This Row],[Food Security - new]]-tblPiNHistorical[[#This Row],[Food Security - old]])</f>
        <v>-2826.3517600854539</v>
      </c>
      <c r="AE208" s="340">
        <f>IF(OR(tblPiNHistorical[[#This Row],[Health - old]]="", tblPiNHistorical[[#This Row],[Health - old]]=0, tblPiNHistorical[[#This Row],[Health - new]]="", tblPiNHistorical[[#This Row],[Health - new]]=0), "", tblPiNHistorical[[#This Row],[Health - new]]-tblPiNHistorical[[#This Row],[Health - old]])</f>
        <v>917.9613001720445</v>
      </c>
      <c r="AF20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-3752.953065029461</v>
      </c>
      <c r="AG208" s="340">
        <f>IF(OR(tblPiNHistorical[[#This Row],[Shelter - old]]="", tblPiNHistorical[[#This Row],[Shelter - old]]=0, tblPiNHistorical[[#This Row],[Shelter - new]]="", tblPiNHistorical[[#This Row],[Shelter - new]]=0), "", tblPiNHistorical[[#This Row],[Shelter - new]]-tblPiNHistorical[[#This Row],[Shelter - old]])</f>
        <v>-1201.3789085814101</v>
      </c>
      <c r="AH208" s="341">
        <f>IF(OR(tblPiNHistorical[[#This Row],[WASH - old]]="", tblPiNHistorical[[#This Row],[WASH - old]]=0, tblPiNHistorical[[#This Row],[WASH - new]]="", tblPiNHistorical[[#This Row],[WASH - new]]=0), "", tblPiNHistorical[[#This Row],[WASH - new]]-tblPiNHistorical[[#This Row],[WASH - old]])</f>
        <v>-917.61667427043949</v>
      </c>
      <c r="AI208" s="342">
        <f>IFERROR(ROUND((tblPiNHistorical[[#This Row],[CCCM - new]] - tblPiNHistorical[[#This Row],[CCCM - old]])/tblPiNHistorical[[#This Row],[CCCM - old]], 1), "")</f>
        <v>-0.5</v>
      </c>
      <c r="AJ208" s="343">
        <f>IFERROR(ROUND((tblPiNHistorical[[#This Row],[Education - new]]-tblPiNHistorical[[#This Row],[Education - old]])/tblPiNHistorical[[#This Row],[Education - old]], 1), "")</f>
        <v>-0.5</v>
      </c>
      <c r="AK208" s="343">
        <f>IFERROR(ROUND((tblPiNHistorical[[#This Row],[Nutrition - new]]-tblPiNHistorical[[#This Row],[Nutrition - old]])/tblPiNHistorical[[#This Row],[Nutrition - old]], 1), "")</f>
        <v>-0.7</v>
      </c>
      <c r="AL208" s="343">
        <f>IFERROR(ROUND((tblPiNHistorical[[#This Row],[Food Security - new]]-tblPiNHistorical[[#This Row],[Food Security - old]])/tblPiNHistorical[[#This Row],[Food Security - old]], 1), "")</f>
        <v>-0.6</v>
      </c>
      <c r="AM208" s="343">
        <f>IFERROR(ROUND((tblPiNHistorical[[#This Row],[Health - new]]-tblPiNHistorical[[#This Row],[Health - old]])/tblPiNHistorical[[#This Row],[Health - old]], 1), "")</f>
        <v>0.4</v>
      </c>
      <c r="AN208" s="343">
        <f>IFERROR(ROUND((tblPiNHistorical[[#This Row],[Overarching Protection - new]]-tblPiNHistorical[[#This Row],[Overarching Protection - old]])/tblPiNHistorical[[#This Row],[Overarching Protection - old]], 1), "")</f>
        <v>-0.8</v>
      </c>
      <c r="AO208" s="343">
        <f>IFERROR(ROUND((tblPiNHistorical[[#This Row],[Shelter - new]]-tblPiNHistorical[[#This Row],[Shelter - old]])/tblPiNHistorical[[#This Row],[Shelter - old]], 1), "")</f>
        <v>-0.6</v>
      </c>
      <c r="AP208" s="38">
        <f>IFERROR(ROUND((tblPiNHistorical[[#This Row],[WASH - new]]-tblPiNHistorical[[#This Row],[WASH - old]])/tblPiNHistorical[[#This Row],[WASH - old]], 1), "")</f>
        <v>-0.4</v>
      </c>
      <c r="AQ208" s="406">
        <v>5051</v>
      </c>
      <c r="AR208" s="406">
        <v>3142.4968348686766</v>
      </c>
    </row>
    <row r="209" spans="1:44" ht="15" customHeight="1" x14ac:dyDescent="0.55000000000000004">
      <c r="A20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09" s="316" t="s">
        <v>322</v>
      </c>
      <c r="C209" s="218" t="s">
        <v>323</v>
      </c>
      <c r="D209" s="218" t="s">
        <v>340</v>
      </c>
      <c r="E209" s="105" t="s">
        <v>341</v>
      </c>
      <c r="F209" s="100"/>
      <c r="G209" s="34"/>
      <c r="H209" s="335"/>
      <c r="I209" s="97"/>
      <c r="J209" s="97" t="s">
        <v>414</v>
      </c>
      <c r="K209" s="336">
        <v>1608.3879010922535</v>
      </c>
      <c r="L209" s="337">
        <v>143</v>
      </c>
      <c r="M209" s="319">
        <v>797.55877272541306</v>
      </c>
      <c r="N209" s="319">
        <v>1467</v>
      </c>
      <c r="O209" s="319">
        <v>1032.0653267656246</v>
      </c>
      <c r="P209" s="319">
        <v>1243.8968693390086</v>
      </c>
      <c r="Q209" s="320">
        <v>364.16329836051023</v>
      </c>
      <c r="R209" s="319">
        <v>729.73154771778172</v>
      </c>
      <c r="S209" s="235">
        <f>tblPiNAnalysis[[#This Row],[CCCM]]</f>
        <v>1983.6093537687293</v>
      </c>
      <c r="T209" s="236">
        <f>tblPiNAnalysis[[#This Row],[Education]]</f>
        <v>3641.3751662125778</v>
      </c>
      <c r="U209" s="219">
        <f>tblPiNAnalysis[[#This Row],[Nutrition]]</f>
        <v>4210.7443991140663</v>
      </c>
      <c r="V209" s="219">
        <f>tblPiNAnalysis[[#This Row],[Food Security]]</f>
        <v>10965.324618021728</v>
      </c>
      <c r="W209" s="219">
        <f>tblPiNAnalysis[[#This Row],[Health]]</f>
        <v>8362.3019895435882</v>
      </c>
      <c r="X209" s="219">
        <f>tblPiNAnalysis[[#This Row],[Overarching Protection]]</f>
        <v>7772</v>
      </c>
      <c r="Y209" s="219">
        <f>tblPiNAnalysis[[#This Row],[Shelter]]</f>
        <v>13224.062358458195</v>
      </c>
      <c r="Z209" s="230">
        <f>tblPiNAnalysis[[#This Row],[WASH]]</f>
        <v>6244.6961137163698</v>
      </c>
      <c r="AA209" s="339">
        <f>IF(OR(tblPiNHistorical[[#This Row],[CCCM - old]]="", tblPiNHistorical[[#This Row],[CCCM - old]]=0, tblPiNHistorical[[#This Row],[CCCM - new]]="", tblPiNHistorical[[#This Row],[CCCM - new]]=0), "", tblPiNHistorical[[#This Row],[CCCM - new]]-tblPiNHistorical[[#This Row],[CCCM - old]])</f>
        <v>375.22145267647579</v>
      </c>
      <c r="AB209" s="340">
        <f>IF(OR(tblPiNHistorical[[#This Row],[Education - old]]="", tblPiNHistorical[[#This Row],[Education - old]]=0, tblPiNHistorical[[#This Row],[Education - new]]="", tblPiNHistorical[[#This Row],[Education - new]]=0), "", tblPiNHistorical[[#This Row],[Education - new]]-tblPiNHistorical[[#This Row],[Education - old]])</f>
        <v>3498.3751662125778</v>
      </c>
      <c r="AC209" s="340">
        <f>IF(OR(tblPiNHistorical[[#This Row],[Nutrition - old]]="", tblPiNHistorical[[#This Row],[Nutrition - old]]=0, tblPiNHistorical[[#This Row],[Nutrition - new]]="", tblPiNHistorical[[#This Row],[Nutrition - new]]=0), "", tblPiNHistorical[[#This Row],[Nutrition - new]]-tblPiNHistorical[[#This Row],[Nutrition - old]])</f>
        <v>3413.185626388653</v>
      </c>
      <c r="AD209" s="340">
        <f>IF(OR(tblPiNHistorical[[#This Row],[Food Security - old]]="", tblPiNHistorical[[#This Row],[Food Security - old]]=0, tblPiNHistorical[[#This Row],[Food Security - new]]="", tblPiNHistorical[[#This Row],[Food Security - new]]=0), "", tblPiNHistorical[[#This Row],[Food Security - new]]-tblPiNHistorical[[#This Row],[Food Security - old]])</f>
        <v>9498.3246180217284</v>
      </c>
      <c r="AE209" s="340">
        <f>IF(OR(tblPiNHistorical[[#This Row],[Health - old]]="", tblPiNHistorical[[#This Row],[Health - old]]=0, tblPiNHistorical[[#This Row],[Health - new]]="", tblPiNHistorical[[#This Row],[Health - new]]=0), "", tblPiNHistorical[[#This Row],[Health - new]]-tblPiNHistorical[[#This Row],[Health - old]])</f>
        <v>7330.2366627779638</v>
      </c>
      <c r="AF20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6528.1031306609912</v>
      </c>
      <c r="AG209" s="340">
        <f>IF(OR(tblPiNHistorical[[#This Row],[Shelter - old]]="", tblPiNHistorical[[#This Row],[Shelter - old]]=0, tblPiNHistorical[[#This Row],[Shelter - new]]="", tblPiNHistorical[[#This Row],[Shelter - new]]=0), "", tblPiNHistorical[[#This Row],[Shelter - new]]-tblPiNHistorical[[#This Row],[Shelter - old]])</f>
        <v>12859.899060097685</v>
      </c>
      <c r="AH209" s="341">
        <f>IF(OR(tblPiNHistorical[[#This Row],[WASH - old]]="", tblPiNHistorical[[#This Row],[WASH - old]]=0, tblPiNHistorical[[#This Row],[WASH - new]]="", tblPiNHistorical[[#This Row],[WASH - new]]=0), "", tblPiNHistorical[[#This Row],[WASH - new]]-tblPiNHistorical[[#This Row],[WASH - old]])</f>
        <v>5514.9645659985881</v>
      </c>
      <c r="AI209" s="342">
        <f>IFERROR(ROUND((tblPiNHistorical[[#This Row],[CCCM - new]] - tblPiNHistorical[[#This Row],[CCCM - old]])/tblPiNHistorical[[#This Row],[CCCM - old]], 1), "")</f>
        <v>0.2</v>
      </c>
      <c r="AJ209" s="343">
        <f>IFERROR(ROUND((tblPiNHistorical[[#This Row],[Education - new]]-tblPiNHistorical[[#This Row],[Education - old]])/tblPiNHistorical[[#This Row],[Education - old]], 1), "")</f>
        <v>24.5</v>
      </c>
      <c r="AK209" s="343">
        <f>IFERROR(ROUND((tblPiNHistorical[[#This Row],[Nutrition - new]]-tblPiNHistorical[[#This Row],[Nutrition - old]])/tblPiNHistorical[[#This Row],[Nutrition - old]], 1), "")</f>
        <v>4.3</v>
      </c>
      <c r="AL209" s="343">
        <f>IFERROR(ROUND((tblPiNHistorical[[#This Row],[Food Security - new]]-tblPiNHistorical[[#This Row],[Food Security - old]])/tblPiNHistorical[[#This Row],[Food Security - old]], 1), "")</f>
        <v>6.5</v>
      </c>
      <c r="AM209" s="343">
        <f>IFERROR(ROUND((tblPiNHistorical[[#This Row],[Health - new]]-tblPiNHistorical[[#This Row],[Health - old]])/tblPiNHistorical[[#This Row],[Health - old]], 1), "")</f>
        <v>7.1</v>
      </c>
      <c r="AN209" s="343">
        <f>IFERROR(ROUND((tblPiNHistorical[[#This Row],[Overarching Protection - new]]-tblPiNHistorical[[#This Row],[Overarching Protection - old]])/tblPiNHistorical[[#This Row],[Overarching Protection - old]], 1), "")</f>
        <v>5.2</v>
      </c>
      <c r="AO209" s="343">
        <f>IFERROR(ROUND((tblPiNHistorical[[#This Row],[Shelter - new]]-tblPiNHistorical[[#This Row],[Shelter - old]])/tblPiNHistorical[[#This Row],[Shelter - old]], 1), "")</f>
        <v>35.299999999999997</v>
      </c>
      <c r="AP209" s="38">
        <f>IFERROR(ROUND((tblPiNHistorical[[#This Row],[WASH - new]]-tblPiNHistorical[[#This Row],[WASH - old]])/tblPiNHistorical[[#This Row],[WASH - old]], 1), "")</f>
        <v>7.6</v>
      </c>
      <c r="AQ209" s="406">
        <v>1608.3879010922535</v>
      </c>
      <c r="AR209" s="406">
        <v>13224.062358458195</v>
      </c>
    </row>
    <row r="210" spans="1:44" ht="15" customHeight="1" x14ac:dyDescent="0.55000000000000004">
      <c r="A21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0" s="316" t="s">
        <v>342</v>
      </c>
      <c r="C210" s="218" t="s">
        <v>343</v>
      </c>
      <c r="D210" s="218" t="s">
        <v>344</v>
      </c>
      <c r="E210" s="105" t="s">
        <v>345</v>
      </c>
      <c r="F210" s="100"/>
      <c r="G210" s="34"/>
      <c r="H210" s="335"/>
      <c r="I210" s="97"/>
      <c r="J210" s="97" t="s">
        <v>414</v>
      </c>
      <c r="K210" s="336">
        <v>964.5</v>
      </c>
      <c r="L210" s="337">
        <v>121</v>
      </c>
      <c r="M210" s="319">
        <v>3424.8072382255959</v>
      </c>
      <c r="N210" s="319">
        <v>4598</v>
      </c>
      <c r="O210" s="319">
        <v>2655.8009963787335</v>
      </c>
      <c r="P210" s="319">
        <v>3716.1310519999997</v>
      </c>
      <c r="Q210" s="320">
        <v>2049.1208791208792</v>
      </c>
      <c r="R210" s="319">
        <v>6132.3148148148148</v>
      </c>
      <c r="S210" s="235">
        <f>tblPiNAnalysis[[#This Row],[CCCM]]</f>
        <v>744.15</v>
      </c>
      <c r="T210" s="236">
        <f>tblPiNAnalysis[[#This Row],[Education]]</f>
        <v>397.55469600000004</v>
      </c>
      <c r="U210" s="219">
        <f>tblPiNAnalysis[[#This Row],[Nutrition]]</f>
        <v>2733.7680235374769</v>
      </c>
      <c r="V210" s="219">
        <f>tblPiNAnalysis[[#This Row],[Food Security]]</f>
        <v>3999.4205137166382</v>
      </c>
      <c r="W210" s="219">
        <f>tblPiNAnalysis[[#This Row],[Health]]</f>
        <v>2450.9402045196935</v>
      </c>
      <c r="X210" s="219">
        <f>tblPiNAnalysis[[#This Row],[Overarching Protection]]</f>
        <v>940</v>
      </c>
      <c r="Y210" s="219">
        <f>tblPiNAnalysis[[#This Row],[Shelter]]</f>
        <v>1954.3333333333333</v>
      </c>
      <c r="Z210" s="230">
        <f>tblPiNAnalysis[[#This Row],[WASH]]</f>
        <v>4455.7129629629626</v>
      </c>
      <c r="AA210" s="339">
        <f>IF(OR(tblPiNHistorical[[#This Row],[CCCM - old]]="", tblPiNHistorical[[#This Row],[CCCM - old]]=0, tblPiNHistorical[[#This Row],[CCCM - new]]="", tblPiNHistorical[[#This Row],[CCCM - new]]=0), "", tblPiNHistorical[[#This Row],[CCCM - new]]-tblPiNHistorical[[#This Row],[CCCM - old]])</f>
        <v>-220.35000000000002</v>
      </c>
      <c r="AB210" s="340">
        <f>IF(OR(tblPiNHistorical[[#This Row],[Education - old]]="", tblPiNHistorical[[#This Row],[Education - old]]=0, tblPiNHistorical[[#This Row],[Education - new]]="", tblPiNHistorical[[#This Row],[Education - new]]=0), "", tblPiNHistorical[[#This Row],[Education - new]]-tblPiNHistorical[[#This Row],[Education - old]])</f>
        <v>276.55469600000004</v>
      </c>
      <c r="AC210" s="340">
        <f>IF(OR(tblPiNHistorical[[#This Row],[Nutrition - old]]="", tblPiNHistorical[[#This Row],[Nutrition - old]]=0, tblPiNHistorical[[#This Row],[Nutrition - new]]="", tblPiNHistorical[[#This Row],[Nutrition - new]]=0), "", tblPiNHistorical[[#This Row],[Nutrition - new]]-tblPiNHistorical[[#This Row],[Nutrition - old]])</f>
        <v>-691.03921468811905</v>
      </c>
      <c r="AD210" s="340">
        <f>IF(OR(tblPiNHistorical[[#This Row],[Food Security - old]]="", tblPiNHistorical[[#This Row],[Food Security - old]]=0, tblPiNHistorical[[#This Row],[Food Security - new]]="", tblPiNHistorical[[#This Row],[Food Security - new]]=0), "", tblPiNHistorical[[#This Row],[Food Security - new]]-tblPiNHistorical[[#This Row],[Food Security - old]])</f>
        <v>-598.5794862833618</v>
      </c>
      <c r="AE210" s="340">
        <f>IF(OR(tblPiNHistorical[[#This Row],[Health - old]]="", tblPiNHistorical[[#This Row],[Health - old]]=0, tblPiNHistorical[[#This Row],[Health - new]]="", tblPiNHistorical[[#This Row],[Health - new]]=0), "", tblPiNHistorical[[#This Row],[Health - new]]-tblPiNHistorical[[#This Row],[Health - old]])</f>
        <v>-204.86079185904009</v>
      </c>
      <c r="AF21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-2776.1310519999997</v>
      </c>
      <c r="AG210" s="340">
        <f>IF(OR(tblPiNHistorical[[#This Row],[Shelter - old]]="", tblPiNHistorical[[#This Row],[Shelter - old]]=0, tblPiNHistorical[[#This Row],[Shelter - new]]="", tblPiNHistorical[[#This Row],[Shelter - new]]=0), "", tblPiNHistorical[[#This Row],[Shelter - new]]-tblPiNHistorical[[#This Row],[Shelter - old]])</f>
        <v>-94.787545787545923</v>
      </c>
      <c r="AH210" s="341">
        <f>IF(OR(tblPiNHistorical[[#This Row],[WASH - old]]="", tblPiNHistorical[[#This Row],[WASH - old]]=0, tblPiNHistorical[[#This Row],[WASH - new]]="", tblPiNHistorical[[#This Row],[WASH - new]]=0), "", tblPiNHistorical[[#This Row],[WASH - new]]-tblPiNHistorical[[#This Row],[WASH - old]])</f>
        <v>-1676.6018518518522</v>
      </c>
      <c r="AI210" s="342">
        <f>IFERROR(ROUND((tblPiNHistorical[[#This Row],[CCCM - new]] - tblPiNHistorical[[#This Row],[CCCM - old]])/tblPiNHistorical[[#This Row],[CCCM - old]], 1), "")</f>
        <v>-0.2</v>
      </c>
      <c r="AJ210" s="343">
        <f>IFERROR(ROUND((tblPiNHistorical[[#This Row],[Education - new]]-tblPiNHistorical[[#This Row],[Education - old]])/tblPiNHistorical[[#This Row],[Education - old]], 1), "")</f>
        <v>2.2999999999999998</v>
      </c>
      <c r="AK210" s="343">
        <f>IFERROR(ROUND((tblPiNHistorical[[#This Row],[Nutrition - new]]-tblPiNHistorical[[#This Row],[Nutrition - old]])/tblPiNHistorical[[#This Row],[Nutrition - old]], 1), "")</f>
        <v>-0.2</v>
      </c>
      <c r="AL210" s="343">
        <f>IFERROR(ROUND((tblPiNHistorical[[#This Row],[Food Security - new]]-tblPiNHistorical[[#This Row],[Food Security - old]])/tblPiNHistorical[[#This Row],[Food Security - old]], 1), "")</f>
        <v>-0.1</v>
      </c>
      <c r="AM210" s="343">
        <f>IFERROR(ROUND((tblPiNHistorical[[#This Row],[Health - new]]-tblPiNHistorical[[#This Row],[Health - old]])/tblPiNHistorical[[#This Row],[Health - old]], 1), "")</f>
        <v>-0.1</v>
      </c>
      <c r="AN210" s="343">
        <f>IFERROR(ROUND((tblPiNHistorical[[#This Row],[Overarching Protection - new]]-tblPiNHistorical[[#This Row],[Overarching Protection - old]])/tblPiNHistorical[[#This Row],[Overarching Protection - old]], 1), "")</f>
        <v>-0.7</v>
      </c>
      <c r="AO210" s="343">
        <f>IFERROR(ROUND((tblPiNHistorical[[#This Row],[Shelter - new]]-tblPiNHistorical[[#This Row],[Shelter - old]])/tblPiNHistorical[[#This Row],[Shelter - old]], 1), "")</f>
        <v>0</v>
      </c>
      <c r="AP210" s="38">
        <f>IFERROR(ROUND((tblPiNHistorical[[#This Row],[WASH - new]]-tblPiNHistorical[[#This Row],[WASH - old]])/tblPiNHistorical[[#This Row],[WASH - old]], 1), "")</f>
        <v>-0.3</v>
      </c>
      <c r="AQ210" s="406">
        <v>6132.3148148148148</v>
      </c>
      <c r="AR210" s="406">
        <v>4455.7129629629626</v>
      </c>
    </row>
    <row r="211" spans="1:44" ht="15" customHeight="1" x14ac:dyDescent="0.55000000000000004">
      <c r="A21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1" s="316" t="s">
        <v>342</v>
      </c>
      <c r="C211" s="218" t="s">
        <v>343</v>
      </c>
      <c r="D211" s="218" t="s">
        <v>346</v>
      </c>
      <c r="E211" s="105" t="s">
        <v>347</v>
      </c>
      <c r="F211" s="100"/>
      <c r="G211" s="34"/>
      <c r="H211" s="335"/>
      <c r="I211" s="97"/>
      <c r="J211" s="97" t="s">
        <v>414</v>
      </c>
      <c r="K211" s="336">
        <v>7218.05</v>
      </c>
      <c r="L211" s="337">
        <v>1990</v>
      </c>
      <c r="M211" s="319">
        <v>7075.701898148177</v>
      </c>
      <c r="N211" s="319">
        <v>10450</v>
      </c>
      <c r="O211" s="319">
        <v>5650.3099577960757</v>
      </c>
      <c r="P211" s="319">
        <v>11347.53336776986</v>
      </c>
      <c r="Q211" s="320">
        <v>436.88659793814435</v>
      </c>
      <c r="R211" s="319">
        <v>11117.685185185184</v>
      </c>
      <c r="S211" s="235">
        <f>tblPiNAnalysis[[#This Row],[CCCM]]</f>
        <v>2162.4883787029626</v>
      </c>
      <c r="T211" s="236">
        <f>tblPiNAnalysis[[#This Row],[Education]]</f>
        <v>4916.7489105325858</v>
      </c>
      <c r="U211" s="219">
        <f>tblPiNAnalysis[[#This Row],[Nutrition]]</f>
        <v>4643.2566401440918</v>
      </c>
      <c r="V211" s="219">
        <f>tblPiNAnalysis[[#This Row],[Food Security]]</f>
        <v>9982.5972806473583</v>
      </c>
      <c r="W211" s="219">
        <f>tblPiNAnalysis[[#This Row],[Health]]</f>
        <v>6346.7178879007397</v>
      </c>
      <c r="X211" s="219">
        <f>tblPiNAnalysis[[#This Row],[Overarching Protection]]</f>
        <v>9757</v>
      </c>
      <c r="Y211" s="219">
        <f>tblPiNAnalysis[[#This Row],[Shelter]]</f>
        <v>8148.506934243047</v>
      </c>
      <c r="Z211" s="230">
        <f>tblPiNAnalysis[[#This Row],[WASH]]</f>
        <v>13755.277760557072</v>
      </c>
      <c r="AA211" s="339">
        <f>IF(OR(tblPiNHistorical[[#This Row],[CCCM - old]]="", tblPiNHistorical[[#This Row],[CCCM - old]]=0, tblPiNHistorical[[#This Row],[CCCM - new]]="", tblPiNHistorical[[#This Row],[CCCM - new]]=0), "", tblPiNHistorical[[#This Row],[CCCM - new]]-tblPiNHistorical[[#This Row],[CCCM - old]])</f>
        <v>-5055.5616212970381</v>
      </c>
      <c r="AB211" s="340">
        <f>IF(OR(tblPiNHistorical[[#This Row],[Education - old]]="", tblPiNHistorical[[#This Row],[Education - old]]=0, tblPiNHistorical[[#This Row],[Education - new]]="", tblPiNHistorical[[#This Row],[Education - new]]=0), "", tblPiNHistorical[[#This Row],[Education - new]]-tblPiNHistorical[[#This Row],[Education - old]])</f>
        <v>2926.7489105325858</v>
      </c>
      <c r="AC211" s="340">
        <f>IF(OR(tblPiNHistorical[[#This Row],[Nutrition - old]]="", tblPiNHistorical[[#This Row],[Nutrition - old]]=0, tblPiNHistorical[[#This Row],[Nutrition - new]]="", tblPiNHistorical[[#This Row],[Nutrition - new]]=0), "", tblPiNHistorical[[#This Row],[Nutrition - new]]-tblPiNHistorical[[#This Row],[Nutrition - old]])</f>
        <v>-2432.4452580040852</v>
      </c>
      <c r="AD211" s="340">
        <f>IF(OR(tblPiNHistorical[[#This Row],[Food Security - old]]="", tblPiNHistorical[[#This Row],[Food Security - old]]=0, tblPiNHistorical[[#This Row],[Food Security - new]]="", tblPiNHistorical[[#This Row],[Food Security - new]]=0), "", tblPiNHistorical[[#This Row],[Food Security - new]]-tblPiNHistorical[[#This Row],[Food Security - old]])</f>
        <v>-467.40271935264172</v>
      </c>
      <c r="AE211" s="340">
        <f>IF(OR(tblPiNHistorical[[#This Row],[Health - old]]="", tblPiNHistorical[[#This Row],[Health - old]]=0, tblPiNHistorical[[#This Row],[Health - new]]="", tblPiNHistorical[[#This Row],[Health - new]]=0), "", tblPiNHistorical[[#This Row],[Health - new]]-tblPiNHistorical[[#This Row],[Health - old]])</f>
        <v>696.40793010466405</v>
      </c>
      <c r="AF21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-1590.53336776986</v>
      </c>
      <c r="AG211" s="340">
        <f>IF(OR(tblPiNHistorical[[#This Row],[Shelter - old]]="", tblPiNHistorical[[#This Row],[Shelter - old]]=0, tblPiNHistorical[[#This Row],[Shelter - new]]="", tblPiNHistorical[[#This Row],[Shelter - new]]=0), "", tblPiNHistorical[[#This Row],[Shelter - new]]-tblPiNHistorical[[#This Row],[Shelter - old]])</f>
        <v>7711.6203363049026</v>
      </c>
      <c r="AH211" s="341">
        <f>IF(OR(tblPiNHistorical[[#This Row],[WASH - old]]="", tblPiNHistorical[[#This Row],[WASH - old]]=0, tblPiNHistorical[[#This Row],[WASH - new]]="", tblPiNHistorical[[#This Row],[WASH - new]]=0), "", tblPiNHistorical[[#This Row],[WASH - new]]-tblPiNHistorical[[#This Row],[WASH - old]])</f>
        <v>2637.5925753718875</v>
      </c>
      <c r="AI211" s="342">
        <f>IFERROR(ROUND((tblPiNHistorical[[#This Row],[CCCM - new]] - tblPiNHistorical[[#This Row],[CCCM - old]])/tblPiNHistorical[[#This Row],[CCCM - old]], 1), "")</f>
        <v>-0.7</v>
      </c>
      <c r="AJ211" s="343">
        <f>IFERROR(ROUND((tblPiNHistorical[[#This Row],[Education - new]]-tblPiNHistorical[[#This Row],[Education - old]])/tblPiNHistorical[[#This Row],[Education - old]], 1), "")</f>
        <v>1.5</v>
      </c>
      <c r="AK211" s="343">
        <f>IFERROR(ROUND((tblPiNHistorical[[#This Row],[Nutrition - new]]-tblPiNHistorical[[#This Row],[Nutrition - old]])/tblPiNHistorical[[#This Row],[Nutrition - old]], 1), "")</f>
        <v>-0.3</v>
      </c>
      <c r="AL211" s="343">
        <f>IFERROR(ROUND((tblPiNHistorical[[#This Row],[Food Security - new]]-tblPiNHistorical[[#This Row],[Food Security - old]])/tblPiNHistorical[[#This Row],[Food Security - old]], 1), "")</f>
        <v>0</v>
      </c>
      <c r="AM211" s="343">
        <f>IFERROR(ROUND((tblPiNHistorical[[#This Row],[Health - new]]-tblPiNHistorical[[#This Row],[Health - old]])/tblPiNHistorical[[#This Row],[Health - old]], 1), "")</f>
        <v>0.1</v>
      </c>
      <c r="AN211" s="343">
        <f>IFERROR(ROUND((tblPiNHistorical[[#This Row],[Overarching Protection - new]]-tblPiNHistorical[[#This Row],[Overarching Protection - old]])/tblPiNHistorical[[#This Row],[Overarching Protection - old]], 1), "")</f>
        <v>-0.1</v>
      </c>
      <c r="AO211" s="343">
        <f>IFERROR(ROUND((tblPiNHistorical[[#This Row],[Shelter - new]]-tblPiNHistorical[[#This Row],[Shelter - old]])/tblPiNHistorical[[#This Row],[Shelter - old]], 1), "")</f>
        <v>17.7</v>
      </c>
      <c r="AP211" s="38">
        <f>IFERROR(ROUND((tblPiNHistorical[[#This Row],[WASH - new]]-tblPiNHistorical[[#This Row],[WASH - old]])/tblPiNHistorical[[#This Row],[WASH - old]], 1), "")</f>
        <v>0.2</v>
      </c>
      <c r="AQ211" s="406">
        <v>11347.53336776986</v>
      </c>
      <c r="AR211" s="406">
        <v>13755.277760557072</v>
      </c>
    </row>
    <row r="212" spans="1:44" ht="15" customHeight="1" x14ac:dyDescent="0.55000000000000004">
      <c r="A21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2" s="316" t="s">
        <v>342</v>
      </c>
      <c r="C212" s="218" t="s">
        <v>343</v>
      </c>
      <c r="D212" s="218" t="s">
        <v>348</v>
      </c>
      <c r="E212" s="105" t="s">
        <v>349</v>
      </c>
      <c r="F212" s="100"/>
      <c r="G212" s="34"/>
      <c r="H212" s="335"/>
      <c r="I212" s="97"/>
      <c r="J212" s="97" t="s">
        <v>414</v>
      </c>
      <c r="K212" s="336">
        <v>3152.1</v>
      </c>
      <c r="L212" s="337">
        <v>7365</v>
      </c>
      <c r="M212" s="319">
        <v>10019.85118258102</v>
      </c>
      <c r="N212" s="319">
        <v>16158</v>
      </c>
      <c r="O212" s="319">
        <v>18839.853690794698</v>
      </c>
      <c r="P212" s="319">
        <v>13566.616566371</v>
      </c>
      <c r="Q212" s="320">
        <v>21014</v>
      </c>
      <c r="R212" s="319">
        <v>9534.1296296296277</v>
      </c>
      <c r="S212" s="235">
        <f>tblPiNAnalysis[[#This Row],[CCCM]]</f>
        <v>2434.8973773304356</v>
      </c>
      <c r="T212" s="236">
        <f>tblPiNAnalysis[[#This Row],[Education]]</f>
        <v>5592.8212982099622</v>
      </c>
      <c r="U212" s="219">
        <f>tblPiNAnalysis[[#This Row],[Nutrition]]</f>
        <v>5531.9675173877868</v>
      </c>
      <c r="V212" s="219">
        <f>tblPiNAnalysis[[#This Row],[Food Security]]</f>
        <v>14764.837695457401</v>
      </c>
      <c r="W212" s="219">
        <f>tblPiNAnalysis[[#This Row],[Health]]</f>
        <v>7049.6537064105569</v>
      </c>
      <c r="X212" s="219">
        <f>tblPiNAnalysis[[#This Row],[Overarching Protection]]</f>
        <v>12298</v>
      </c>
      <c r="Y212" s="219">
        <f>tblPiNAnalysis[[#This Row],[Shelter]]</f>
        <v>15434.32217324211</v>
      </c>
      <c r="Z212" s="230">
        <f>tblPiNAnalysis[[#This Row],[WASH]]</f>
        <v>5510.1653187294278</v>
      </c>
      <c r="AA212" s="339">
        <f>IF(OR(tblPiNHistorical[[#This Row],[CCCM - old]]="", tblPiNHistorical[[#This Row],[CCCM - old]]=0, tblPiNHistorical[[#This Row],[CCCM - new]]="", tblPiNHistorical[[#This Row],[CCCM - new]]=0), "", tblPiNHistorical[[#This Row],[CCCM - new]]-tblPiNHistorical[[#This Row],[CCCM - old]])</f>
        <v>-717.20262266956433</v>
      </c>
      <c r="AB212" s="340">
        <f>IF(OR(tblPiNHistorical[[#This Row],[Education - old]]="", tblPiNHistorical[[#This Row],[Education - old]]=0, tblPiNHistorical[[#This Row],[Education - new]]="", tblPiNHistorical[[#This Row],[Education - new]]=0), "", tblPiNHistorical[[#This Row],[Education - new]]-tblPiNHistorical[[#This Row],[Education - old]])</f>
        <v>-1772.1787017900378</v>
      </c>
      <c r="AC212" s="340">
        <f>IF(OR(tblPiNHistorical[[#This Row],[Nutrition - old]]="", tblPiNHistorical[[#This Row],[Nutrition - old]]=0, tblPiNHistorical[[#This Row],[Nutrition - new]]="", tblPiNHistorical[[#This Row],[Nutrition - new]]=0), "", tblPiNHistorical[[#This Row],[Nutrition - new]]-tblPiNHistorical[[#This Row],[Nutrition - old]])</f>
        <v>-4487.8836651932334</v>
      </c>
      <c r="AD212" s="340">
        <f>IF(OR(tblPiNHistorical[[#This Row],[Food Security - old]]="", tblPiNHistorical[[#This Row],[Food Security - old]]=0, tblPiNHistorical[[#This Row],[Food Security - new]]="", tblPiNHistorical[[#This Row],[Food Security - new]]=0), "", tblPiNHistorical[[#This Row],[Food Security - new]]-tblPiNHistorical[[#This Row],[Food Security - old]])</f>
        <v>-1393.1623045425986</v>
      </c>
      <c r="AE212" s="340">
        <f>IF(OR(tblPiNHistorical[[#This Row],[Health - old]]="", tblPiNHistorical[[#This Row],[Health - old]]=0, tblPiNHistorical[[#This Row],[Health - new]]="", tblPiNHistorical[[#This Row],[Health - new]]=0), "", tblPiNHistorical[[#This Row],[Health - new]]-tblPiNHistorical[[#This Row],[Health - old]])</f>
        <v>-11790.19998438414</v>
      </c>
      <c r="AF21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-1268.6165663709999</v>
      </c>
      <c r="AG212" s="340">
        <f>IF(OR(tblPiNHistorical[[#This Row],[Shelter - old]]="", tblPiNHistorical[[#This Row],[Shelter - old]]=0, tblPiNHistorical[[#This Row],[Shelter - new]]="", tblPiNHistorical[[#This Row],[Shelter - new]]=0), "", tblPiNHistorical[[#This Row],[Shelter - new]]-tblPiNHistorical[[#This Row],[Shelter - old]])</f>
        <v>-5579.6778267578902</v>
      </c>
      <c r="AH212" s="341">
        <f>IF(OR(tblPiNHistorical[[#This Row],[WASH - old]]="", tblPiNHistorical[[#This Row],[WASH - old]]=0, tblPiNHistorical[[#This Row],[WASH - new]]="", tblPiNHistorical[[#This Row],[WASH - new]]=0), "", tblPiNHistorical[[#This Row],[WASH - new]]-tblPiNHistorical[[#This Row],[WASH - old]])</f>
        <v>-4023.9643109002</v>
      </c>
      <c r="AI212" s="342">
        <f>IFERROR(ROUND((tblPiNHistorical[[#This Row],[CCCM - new]] - tblPiNHistorical[[#This Row],[CCCM - old]])/tblPiNHistorical[[#This Row],[CCCM - old]], 1), "")</f>
        <v>-0.2</v>
      </c>
      <c r="AJ212" s="343">
        <f>IFERROR(ROUND((tblPiNHistorical[[#This Row],[Education - new]]-tblPiNHistorical[[#This Row],[Education - old]])/tblPiNHistorical[[#This Row],[Education - old]], 1), "")</f>
        <v>-0.2</v>
      </c>
      <c r="AK212" s="343">
        <f>IFERROR(ROUND((tblPiNHistorical[[#This Row],[Nutrition - new]]-tblPiNHistorical[[#This Row],[Nutrition - old]])/tblPiNHistorical[[#This Row],[Nutrition - old]], 1), "")</f>
        <v>-0.4</v>
      </c>
      <c r="AL212" s="343">
        <f>IFERROR(ROUND((tblPiNHistorical[[#This Row],[Food Security - new]]-tblPiNHistorical[[#This Row],[Food Security - old]])/tblPiNHistorical[[#This Row],[Food Security - old]], 1), "")</f>
        <v>-0.1</v>
      </c>
      <c r="AM212" s="343">
        <f>IFERROR(ROUND((tblPiNHistorical[[#This Row],[Health - new]]-tblPiNHistorical[[#This Row],[Health - old]])/tblPiNHistorical[[#This Row],[Health - old]], 1), "")</f>
        <v>-0.6</v>
      </c>
      <c r="AN212" s="343">
        <f>IFERROR(ROUND((tblPiNHistorical[[#This Row],[Overarching Protection - new]]-tblPiNHistorical[[#This Row],[Overarching Protection - old]])/tblPiNHistorical[[#This Row],[Overarching Protection - old]], 1), "")</f>
        <v>-0.1</v>
      </c>
      <c r="AO212" s="343">
        <f>IFERROR(ROUND((tblPiNHistorical[[#This Row],[Shelter - new]]-tblPiNHistorical[[#This Row],[Shelter - old]])/tblPiNHistorical[[#This Row],[Shelter - old]], 1), "")</f>
        <v>-0.3</v>
      </c>
      <c r="AP212" s="38">
        <f>IFERROR(ROUND((tblPiNHistorical[[#This Row],[WASH - new]]-tblPiNHistorical[[#This Row],[WASH - old]])/tblPiNHistorical[[#This Row],[WASH - old]], 1), "")</f>
        <v>-0.4</v>
      </c>
      <c r="AQ212" s="406">
        <v>21014</v>
      </c>
      <c r="AR212" s="406">
        <v>15434.32217324211</v>
      </c>
    </row>
    <row r="213" spans="1:44" ht="15" customHeight="1" x14ac:dyDescent="0.55000000000000004">
      <c r="A21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3" s="316" t="s">
        <v>342</v>
      </c>
      <c r="C213" s="218" t="s">
        <v>343</v>
      </c>
      <c r="D213" s="218" t="s">
        <v>350</v>
      </c>
      <c r="E213" s="105" t="s">
        <v>351</v>
      </c>
      <c r="F213" s="100"/>
      <c r="G213" s="34"/>
      <c r="H213" s="335"/>
      <c r="I213" s="97"/>
      <c r="J213" s="97" t="s">
        <v>414</v>
      </c>
      <c r="K213" s="336">
        <v>7728</v>
      </c>
      <c r="L213" s="337">
        <v>13885</v>
      </c>
      <c r="M213" s="319">
        <v>27230.320236834326</v>
      </c>
      <c r="N213" s="319">
        <v>42643</v>
      </c>
      <c r="O213" s="319">
        <v>34476.277576868684</v>
      </c>
      <c r="P213" s="319">
        <v>39994.097070022639</v>
      </c>
      <c r="Q213" s="320">
        <v>46368</v>
      </c>
      <c r="R213" s="319">
        <v>33050.566037735844</v>
      </c>
      <c r="S213" s="235">
        <f>tblPiNAnalysis[[#This Row],[CCCM]]</f>
        <v>23707.501293606292</v>
      </c>
      <c r="T213" s="236">
        <f>tblPiNAnalysis[[#This Row],[Education]]</f>
        <v>42577.170848234979</v>
      </c>
      <c r="U213" s="219">
        <f>tblPiNAnalysis[[#This Row],[Nutrition]]</f>
        <v>59197.71759471752</v>
      </c>
      <c r="V213" s="219">
        <f>tblPiNAnalysis[[#This Row],[Food Security]]</f>
        <v>142110.0378171395</v>
      </c>
      <c r="W213" s="219">
        <f>tblPiNAnalysis[[#This Row],[Health]]</f>
        <v>97595.508530042076</v>
      </c>
      <c r="X213" s="219">
        <f>tblPiNAnalysis[[#This Row],[Overarching Protection]]</f>
        <v>119302</v>
      </c>
      <c r="Y213" s="219">
        <f>tblPiNAnalysis[[#This Row],[Shelter]]</f>
        <v>68248.867360381744</v>
      </c>
      <c r="Z213" s="230">
        <f>tblPiNAnalysis[[#This Row],[WASH]]</f>
        <v>118537.50646803142</v>
      </c>
      <c r="AA213" s="339">
        <f>IF(OR(tblPiNHistorical[[#This Row],[CCCM - old]]="", tblPiNHistorical[[#This Row],[CCCM - old]]=0, tblPiNHistorical[[#This Row],[CCCM - new]]="", tblPiNHistorical[[#This Row],[CCCM - new]]=0), "", tblPiNHistorical[[#This Row],[CCCM - new]]-tblPiNHistorical[[#This Row],[CCCM - old]])</f>
        <v>15979.501293606292</v>
      </c>
      <c r="AB213" s="340">
        <f>IF(OR(tblPiNHistorical[[#This Row],[Education - old]]="", tblPiNHistorical[[#This Row],[Education - old]]=0, tblPiNHistorical[[#This Row],[Education - new]]="", tblPiNHistorical[[#This Row],[Education - new]]=0), "", tblPiNHistorical[[#This Row],[Education - new]]-tblPiNHistorical[[#This Row],[Education - old]])</f>
        <v>28692.170848234979</v>
      </c>
      <c r="AC213" s="340">
        <f>IF(OR(tblPiNHistorical[[#This Row],[Nutrition - old]]="", tblPiNHistorical[[#This Row],[Nutrition - old]]=0, tblPiNHistorical[[#This Row],[Nutrition - new]]="", tblPiNHistorical[[#This Row],[Nutrition - new]]=0), "", tblPiNHistorical[[#This Row],[Nutrition - new]]-tblPiNHistorical[[#This Row],[Nutrition - old]])</f>
        <v>31967.397357883194</v>
      </c>
      <c r="AD213" s="340">
        <f>IF(OR(tblPiNHistorical[[#This Row],[Food Security - old]]="", tblPiNHistorical[[#This Row],[Food Security - old]]=0, tblPiNHistorical[[#This Row],[Food Security - new]]="", tblPiNHistorical[[#This Row],[Food Security - new]]=0), "", tblPiNHistorical[[#This Row],[Food Security - new]]-tblPiNHistorical[[#This Row],[Food Security - old]])</f>
        <v>99467.037817139499</v>
      </c>
      <c r="AE213" s="340">
        <f>IF(OR(tblPiNHistorical[[#This Row],[Health - old]]="", tblPiNHistorical[[#This Row],[Health - old]]=0, tblPiNHistorical[[#This Row],[Health - new]]="", tblPiNHistorical[[#This Row],[Health - new]]=0), "", tblPiNHistorical[[#This Row],[Health - new]]-tblPiNHistorical[[#This Row],[Health - old]])</f>
        <v>63119.230953173392</v>
      </c>
      <c r="AF21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79307.902929977368</v>
      </c>
      <c r="AG213" s="340">
        <f>IF(OR(tblPiNHistorical[[#This Row],[Shelter - old]]="", tblPiNHistorical[[#This Row],[Shelter - old]]=0, tblPiNHistorical[[#This Row],[Shelter - new]]="", tblPiNHistorical[[#This Row],[Shelter - new]]=0), "", tblPiNHistorical[[#This Row],[Shelter - new]]-tblPiNHistorical[[#This Row],[Shelter - old]])</f>
        <v>21880.867360381744</v>
      </c>
      <c r="AH213" s="341">
        <f>IF(OR(tblPiNHistorical[[#This Row],[WASH - old]]="", tblPiNHistorical[[#This Row],[WASH - old]]=0, tblPiNHistorical[[#This Row],[WASH - new]]="", tblPiNHistorical[[#This Row],[WASH - new]]=0), "", tblPiNHistorical[[#This Row],[WASH - new]]-tblPiNHistorical[[#This Row],[WASH - old]])</f>
        <v>85486.940430295581</v>
      </c>
      <c r="AI213" s="342">
        <f>IFERROR(ROUND((tblPiNHistorical[[#This Row],[CCCM - new]] - tblPiNHistorical[[#This Row],[CCCM - old]])/tblPiNHistorical[[#This Row],[CCCM - old]], 1), "")</f>
        <v>2.1</v>
      </c>
      <c r="AJ213" s="343">
        <f>IFERROR(ROUND((tblPiNHistorical[[#This Row],[Education - new]]-tblPiNHistorical[[#This Row],[Education - old]])/tblPiNHistorical[[#This Row],[Education - old]], 1), "")</f>
        <v>2.1</v>
      </c>
      <c r="AK213" s="343">
        <f>IFERROR(ROUND((tblPiNHistorical[[#This Row],[Nutrition - new]]-tblPiNHistorical[[#This Row],[Nutrition - old]])/tblPiNHistorical[[#This Row],[Nutrition - old]], 1), "")</f>
        <v>1.2</v>
      </c>
      <c r="AL213" s="343">
        <f>IFERROR(ROUND((tblPiNHistorical[[#This Row],[Food Security - new]]-tblPiNHistorical[[#This Row],[Food Security - old]])/tblPiNHistorical[[#This Row],[Food Security - old]], 1), "")</f>
        <v>2.2999999999999998</v>
      </c>
      <c r="AM213" s="343">
        <f>IFERROR(ROUND((tblPiNHistorical[[#This Row],[Health - new]]-tblPiNHistorical[[#This Row],[Health - old]])/tblPiNHistorical[[#This Row],[Health - old]], 1), "")</f>
        <v>1.8</v>
      </c>
      <c r="AN213" s="343">
        <f>IFERROR(ROUND((tblPiNHistorical[[#This Row],[Overarching Protection - new]]-tblPiNHistorical[[#This Row],[Overarching Protection - old]])/tblPiNHistorical[[#This Row],[Overarching Protection - old]], 1), "")</f>
        <v>2</v>
      </c>
      <c r="AO213" s="343">
        <f>IFERROR(ROUND((tblPiNHistorical[[#This Row],[Shelter - new]]-tblPiNHistorical[[#This Row],[Shelter - old]])/tblPiNHistorical[[#This Row],[Shelter - old]], 1), "")</f>
        <v>0.5</v>
      </c>
      <c r="AP213" s="38">
        <f>IFERROR(ROUND((tblPiNHistorical[[#This Row],[WASH - new]]-tblPiNHistorical[[#This Row],[WASH - old]])/tblPiNHistorical[[#This Row],[WASH - old]], 1), "")</f>
        <v>2.6</v>
      </c>
      <c r="AQ213" s="406">
        <v>46368</v>
      </c>
      <c r="AR213" s="406">
        <v>142110.0378171395</v>
      </c>
    </row>
    <row r="214" spans="1:44" ht="15" customHeight="1" x14ac:dyDescent="0.55000000000000004">
      <c r="A21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4" s="316" t="s">
        <v>342</v>
      </c>
      <c r="C214" s="218" t="s">
        <v>343</v>
      </c>
      <c r="D214" s="218" t="s">
        <v>352</v>
      </c>
      <c r="E214" s="105" t="s">
        <v>353</v>
      </c>
      <c r="F214" s="100"/>
      <c r="G214" s="34"/>
      <c r="H214" s="335"/>
      <c r="I214" s="97"/>
      <c r="J214" s="97" t="s">
        <v>414</v>
      </c>
      <c r="K214" s="336">
        <v>3623.2933095514413</v>
      </c>
      <c r="L214" s="337">
        <v>7472</v>
      </c>
      <c r="M214" s="319">
        <v>11648.704362321325</v>
      </c>
      <c r="N214" s="319">
        <v>19831</v>
      </c>
      <c r="O214" s="319">
        <v>6880.4223037446636</v>
      </c>
      <c r="P214" s="319">
        <v>18458.789573377067</v>
      </c>
      <c r="Q214" s="320">
        <v>16863.126094767715</v>
      </c>
      <c r="R214" s="319">
        <v>9393.7233951333674</v>
      </c>
      <c r="S214" s="235">
        <f>tblPiNAnalysis[[#This Row],[CCCM]]</f>
        <v>3864.973740706851</v>
      </c>
      <c r="T214" s="236">
        <f>tblPiNAnalysis[[#This Row],[Education]]</f>
        <v>8874.6367541988493</v>
      </c>
      <c r="U214" s="219">
        <f>tblPiNAnalysis[[#This Row],[Nutrition]]</f>
        <v>7995.02529353717</v>
      </c>
      <c r="V214" s="219">
        <f>tblPiNAnalysis[[#This Row],[Food Security]]</f>
        <v>16784.628773650235</v>
      </c>
      <c r="W214" s="219">
        <f>tblPiNAnalysis[[#This Row],[Health]]</f>
        <v>14656.848379685682</v>
      </c>
      <c r="X214" s="219">
        <f>tblPiNAnalysis[[#This Row],[Overarching Protection]]</f>
        <v>17004</v>
      </c>
      <c r="Y214" s="219">
        <f>tblPiNAnalysis[[#This Row],[Shelter]]</f>
        <v>19563.447329503815</v>
      </c>
      <c r="Z214" s="230">
        <f>tblPiNAnalysis[[#This Row],[WASH]]</f>
        <v>12883.24580235617</v>
      </c>
      <c r="AA214" s="339">
        <f>IF(OR(tblPiNHistorical[[#This Row],[CCCM - old]]="", tblPiNHistorical[[#This Row],[CCCM - old]]=0, tblPiNHistorical[[#This Row],[CCCM - new]]="", tblPiNHistorical[[#This Row],[CCCM - new]]=0), "", tblPiNHistorical[[#This Row],[CCCM - new]]-tblPiNHistorical[[#This Row],[CCCM - old]])</f>
        <v>241.68043115540968</v>
      </c>
      <c r="AB214" s="340">
        <f>IF(OR(tblPiNHistorical[[#This Row],[Education - old]]="", tblPiNHistorical[[#This Row],[Education - old]]=0, tblPiNHistorical[[#This Row],[Education - new]]="", tblPiNHistorical[[#This Row],[Education - new]]=0), "", tblPiNHistorical[[#This Row],[Education - new]]-tblPiNHistorical[[#This Row],[Education - old]])</f>
        <v>1402.6367541988493</v>
      </c>
      <c r="AC214" s="340">
        <f>IF(OR(tblPiNHistorical[[#This Row],[Nutrition - old]]="", tblPiNHistorical[[#This Row],[Nutrition - old]]=0, tblPiNHistorical[[#This Row],[Nutrition - new]]="", tblPiNHistorical[[#This Row],[Nutrition - new]]=0), "", tblPiNHistorical[[#This Row],[Nutrition - new]]-tblPiNHistorical[[#This Row],[Nutrition - old]])</f>
        <v>-3653.6790687841549</v>
      </c>
      <c r="AD214" s="340">
        <f>IF(OR(tblPiNHistorical[[#This Row],[Food Security - old]]="", tblPiNHistorical[[#This Row],[Food Security - old]]=0, tblPiNHistorical[[#This Row],[Food Security - new]]="", tblPiNHistorical[[#This Row],[Food Security - new]]=0), "", tblPiNHistorical[[#This Row],[Food Security - new]]-tblPiNHistorical[[#This Row],[Food Security - old]])</f>
        <v>-3046.3712263497655</v>
      </c>
      <c r="AE214" s="340">
        <f>IF(OR(tblPiNHistorical[[#This Row],[Health - old]]="", tblPiNHistorical[[#This Row],[Health - old]]=0, tblPiNHistorical[[#This Row],[Health - new]]="", tblPiNHistorical[[#This Row],[Health - new]]=0), "", tblPiNHistorical[[#This Row],[Health - new]]-tblPiNHistorical[[#This Row],[Health - old]])</f>
        <v>7776.4260759410181</v>
      </c>
      <c r="AF21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-1454.7895733770674</v>
      </c>
      <c r="AG214" s="340">
        <f>IF(OR(tblPiNHistorical[[#This Row],[Shelter - old]]="", tblPiNHistorical[[#This Row],[Shelter - old]]=0, tblPiNHistorical[[#This Row],[Shelter - new]]="", tblPiNHistorical[[#This Row],[Shelter - new]]=0), "", tblPiNHistorical[[#This Row],[Shelter - new]]-tblPiNHistorical[[#This Row],[Shelter - old]])</f>
        <v>2700.3212347361005</v>
      </c>
      <c r="AH214" s="341">
        <f>IF(OR(tblPiNHistorical[[#This Row],[WASH - old]]="", tblPiNHistorical[[#This Row],[WASH - old]]=0, tblPiNHistorical[[#This Row],[WASH - new]]="", tblPiNHistorical[[#This Row],[WASH - new]]=0), "", tblPiNHistorical[[#This Row],[WASH - new]]-tblPiNHistorical[[#This Row],[WASH - old]])</f>
        <v>3489.5224072228029</v>
      </c>
      <c r="AI214" s="342">
        <f>IFERROR(ROUND((tblPiNHistorical[[#This Row],[CCCM - new]] - tblPiNHistorical[[#This Row],[CCCM - old]])/tblPiNHistorical[[#This Row],[CCCM - old]], 1), "")</f>
        <v>0.1</v>
      </c>
      <c r="AJ214" s="343">
        <f>IFERROR(ROUND((tblPiNHistorical[[#This Row],[Education - new]]-tblPiNHistorical[[#This Row],[Education - old]])/tblPiNHistorical[[#This Row],[Education - old]], 1), "")</f>
        <v>0.2</v>
      </c>
      <c r="AK214" s="343">
        <f>IFERROR(ROUND((tblPiNHistorical[[#This Row],[Nutrition - new]]-tblPiNHistorical[[#This Row],[Nutrition - old]])/tblPiNHistorical[[#This Row],[Nutrition - old]], 1), "")</f>
        <v>-0.3</v>
      </c>
      <c r="AL214" s="343">
        <f>IFERROR(ROUND((tblPiNHistorical[[#This Row],[Food Security - new]]-tblPiNHistorical[[#This Row],[Food Security - old]])/tblPiNHistorical[[#This Row],[Food Security - old]], 1), "")</f>
        <v>-0.2</v>
      </c>
      <c r="AM214" s="343">
        <f>IFERROR(ROUND((tblPiNHistorical[[#This Row],[Health - new]]-tblPiNHistorical[[#This Row],[Health - old]])/tblPiNHistorical[[#This Row],[Health - old]], 1), "")</f>
        <v>1.1000000000000001</v>
      </c>
      <c r="AN214" s="343">
        <f>IFERROR(ROUND((tblPiNHistorical[[#This Row],[Overarching Protection - new]]-tblPiNHistorical[[#This Row],[Overarching Protection - old]])/tblPiNHistorical[[#This Row],[Overarching Protection - old]], 1), "")</f>
        <v>-0.1</v>
      </c>
      <c r="AO214" s="343">
        <f>IFERROR(ROUND((tblPiNHistorical[[#This Row],[Shelter - new]]-tblPiNHistorical[[#This Row],[Shelter - old]])/tblPiNHistorical[[#This Row],[Shelter - old]], 1), "")</f>
        <v>0.2</v>
      </c>
      <c r="AP214" s="38">
        <f>IFERROR(ROUND((tblPiNHistorical[[#This Row],[WASH - new]]-tblPiNHistorical[[#This Row],[WASH - old]])/tblPiNHistorical[[#This Row],[WASH - old]], 1), "")</f>
        <v>0.4</v>
      </c>
      <c r="AQ214" s="406">
        <v>19831</v>
      </c>
      <c r="AR214" s="406">
        <v>19563.447329503815</v>
      </c>
    </row>
    <row r="215" spans="1:44" ht="15" customHeight="1" x14ac:dyDescent="0.55000000000000004">
      <c r="A21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5" s="316" t="s">
        <v>342</v>
      </c>
      <c r="C215" s="218" t="s">
        <v>343</v>
      </c>
      <c r="D215" s="218" t="s">
        <v>354</v>
      </c>
      <c r="E215" s="105" t="s">
        <v>355</v>
      </c>
      <c r="F215" s="100"/>
      <c r="G215" s="34"/>
      <c r="H215" s="335"/>
      <c r="I215" s="97"/>
      <c r="J215" s="97" t="s">
        <v>414</v>
      </c>
      <c r="K215" s="336">
        <v>3226.4968279603395</v>
      </c>
      <c r="L215" s="337">
        <v>5273</v>
      </c>
      <c r="M215" s="319">
        <v>11737.517827529244</v>
      </c>
      <c r="N215" s="319">
        <v>16639</v>
      </c>
      <c r="O215" s="319">
        <v>20827.094900646451</v>
      </c>
      <c r="P215" s="319">
        <v>15198.247704103893</v>
      </c>
      <c r="Q215" s="320">
        <v>12499.041765972486</v>
      </c>
      <c r="R215" s="319">
        <v>10555.822955672715</v>
      </c>
      <c r="S215" s="235">
        <f>tblPiNAnalysis[[#This Row],[CCCM]]</f>
        <v>6478.3613353539931</v>
      </c>
      <c r="T215" s="236">
        <f>tblPiNAnalysis[[#This Row],[Education]]</f>
        <v>8117.179445635823</v>
      </c>
      <c r="U215" s="219">
        <f>tblPiNAnalysis[[#This Row],[Nutrition]]</f>
        <v>13758.146796365621</v>
      </c>
      <c r="V215" s="219">
        <f>tblPiNAnalysis[[#This Row],[Food Security]]</f>
        <v>25828.661119600776</v>
      </c>
      <c r="W215" s="219">
        <f>tblPiNAnalysis[[#This Row],[Health]]</f>
        <v>18939.369573208412</v>
      </c>
      <c r="X215" s="219">
        <f>tblPiNAnalysis[[#This Row],[Overarching Protection]]</f>
        <v>28413</v>
      </c>
      <c r="Y215" s="219">
        <f>tblPiNAnalysis[[#This Row],[Shelter]]</f>
        <v>17275.630227610647</v>
      </c>
      <c r="Z215" s="230">
        <f>tblPiNAnalysis[[#This Row],[WASH]]</f>
        <v>34791.199763938115</v>
      </c>
      <c r="AA215" s="339">
        <f>IF(OR(tblPiNHistorical[[#This Row],[CCCM - old]]="", tblPiNHistorical[[#This Row],[CCCM - old]]=0, tblPiNHistorical[[#This Row],[CCCM - new]]="", tblPiNHistorical[[#This Row],[CCCM - new]]=0), "", tblPiNHistorical[[#This Row],[CCCM - new]]-tblPiNHistorical[[#This Row],[CCCM - old]])</f>
        <v>3251.8645073936536</v>
      </c>
      <c r="AB215" s="340">
        <f>IF(OR(tblPiNHistorical[[#This Row],[Education - old]]="", tblPiNHistorical[[#This Row],[Education - old]]=0, tblPiNHistorical[[#This Row],[Education - new]]="", tblPiNHistorical[[#This Row],[Education - new]]=0), "", tblPiNHistorical[[#This Row],[Education - new]]-tblPiNHistorical[[#This Row],[Education - old]])</f>
        <v>2844.179445635823</v>
      </c>
      <c r="AC215" s="340">
        <f>IF(OR(tblPiNHistorical[[#This Row],[Nutrition - old]]="", tblPiNHistorical[[#This Row],[Nutrition - old]]=0, tblPiNHistorical[[#This Row],[Nutrition - new]]="", tblPiNHistorical[[#This Row],[Nutrition - new]]=0), "", tblPiNHistorical[[#This Row],[Nutrition - new]]-tblPiNHistorical[[#This Row],[Nutrition - old]])</f>
        <v>2020.6289688363777</v>
      </c>
      <c r="AD215" s="340">
        <f>IF(OR(tblPiNHistorical[[#This Row],[Food Security - old]]="", tblPiNHistorical[[#This Row],[Food Security - old]]=0, tblPiNHistorical[[#This Row],[Food Security - new]]="", tblPiNHistorical[[#This Row],[Food Security - new]]=0), "", tblPiNHistorical[[#This Row],[Food Security - new]]-tblPiNHistorical[[#This Row],[Food Security - old]])</f>
        <v>9189.6611196007761</v>
      </c>
      <c r="AE215" s="340">
        <f>IF(OR(tblPiNHistorical[[#This Row],[Health - old]]="", tblPiNHistorical[[#This Row],[Health - old]]=0, tblPiNHistorical[[#This Row],[Health - new]]="", tblPiNHistorical[[#This Row],[Health - new]]=0), "", tblPiNHistorical[[#This Row],[Health - new]]-tblPiNHistorical[[#This Row],[Health - old]])</f>
        <v>-1887.7253274380382</v>
      </c>
      <c r="AF21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13214.752295896107</v>
      </c>
      <c r="AG215" s="340">
        <f>IF(OR(tblPiNHistorical[[#This Row],[Shelter - old]]="", tblPiNHistorical[[#This Row],[Shelter - old]]=0, tblPiNHistorical[[#This Row],[Shelter - new]]="", tblPiNHistorical[[#This Row],[Shelter - new]]=0), "", tblPiNHistorical[[#This Row],[Shelter - new]]-tblPiNHistorical[[#This Row],[Shelter - old]])</f>
        <v>4776.5884616381609</v>
      </c>
      <c r="AH215" s="341">
        <f>IF(OR(tblPiNHistorical[[#This Row],[WASH - old]]="", tblPiNHistorical[[#This Row],[WASH - old]]=0, tblPiNHistorical[[#This Row],[WASH - new]]="", tblPiNHistorical[[#This Row],[WASH - new]]=0), "", tblPiNHistorical[[#This Row],[WASH - new]]-tblPiNHistorical[[#This Row],[WASH - old]])</f>
        <v>24235.376808265399</v>
      </c>
      <c r="AI215" s="342">
        <f>IFERROR(ROUND((tblPiNHistorical[[#This Row],[CCCM - new]] - tblPiNHistorical[[#This Row],[CCCM - old]])/tblPiNHistorical[[#This Row],[CCCM - old]], 1), "")</f>
        <v>1</v>
      </c>
      <c r="AJ215" s="343">
        <f>IFERROR(ROUND((tblPiNHistorical[[#This Row],[Education - new]]-tblPiNHistorical[[#This Row],[Education - old]])/tblPiNHistorical[[#This Row],[Education - old]], 1), "")</f>
        <v>0.5</v>
      </c>
      <c r="AK215" s="343">
        <f>IFERROR(ROUND((tblPiNHistorical[[#This Row],[Nutrition - new]]-tblPiNHistorical[[#This Row],[Nutrition - old]])/tblPiNHistorical[[#This Row],[Nutrition - old]], 1), "")</f>
        <v>0.2</v>
      </c>
      <c r="AL215" s="343">
        <f>IFERROR(ROUND((tblPiNHistorical[[#This Row],[Food Security - new]]-tblPiNHistorical[[#This Row],[Food Security - old]])/tblPiNHistorical[[#This Row],[Food Security - old]], 1), "")</f>
        <v>0.6</v>
      </c>
      <c r="AM215" s="343">
        <f>IFERROR(ROUND((tblPiNHistorical[[#This Row],[Health - new]]-tblPiNHistorical[[#This Row],[Health - old]])/tblPiNHistorical[[#This Row],[Health - old]], 1), "")</f>
        <v>-0.1</v>
      </c>
      <c r="AN215" s="343">
        <f>IFERROR(ROUND((tblPiNHistorical[[#This Row],[Overarching Protection - new]]-tblPiNHistorical[[#This Row],[Overarching Protection - old]])/tblPiNHistorical[[#This Row],[Overarching Protection - old]], 1), "")</f>
        <v>0.9</v>
      </c>
      <c r="AO215" s="343">
        <f>IFERROR(ROUND((tblPiNHistorical[[#This Row],[Shelter - new]]-tblPiNHistorical[[#This Row],[Shelter - old]])/tblPiNHistorical[[#This Row],[Shelter - old]], 1), "")</f>
        <v>0.4</v>
      </c>
      <c r="AP215" s="38">
        <f>IFERROR(ROUND((tblPiNHistorical[[#This Row],[WASH - new]]-tblPiNHistorical[[#This Row],[WASH - old]])/tblPiNHistorical[[#This Row],[WASH - old]], 1), "")</f>
        <v>2.2999999999999998</v>
      </c>
      <c r="AQ215" s="406">
        <v>20827.094900646451</v>
      </c>
      <c r="AR215" s="406">
        <v>34791.199763938115</v>
      </c>
    </row>
    <row r="216" spans="1:44" ht="15" customHeight="1" x14ac:dyDescent="0.55000000000000004">
      <c r="A21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6" s="316" t="s">
        <v>342</v>
      </c>
      <c r="C216" s="218" t="s">
        <v>343</v>
      </c>
      <c r="D216" s="218" t="s">
        <v>356</v>
      </c>
      <c r="E216" s="105" t="s">
        <v>357</v>
      </c>
      <c r="F216" s="100"/>
      <c r="G216" s="34"/>
      <c r="H216" s="335"/>
      <c r="I216" s="97"/>
      <c r="J216" s="97" t="s">
        <v>414</v>
      </c>
      <c r="K216" s="336">
        <v>8178</v>
      </c>
      <c r="L216" s="337">
        <v>2289.84</v>
      </c>
      <c r="M216" s="319">
        <v>4127.7940216980815</v>
      </c>
      <c r="N216" s="319">
        <v>7034</v>
      </c>
      <c r="O216" s="319">
        <v>4208.4488072860177</v>
      </c>
      <c r="P216" s="319">
        <v>7115.8039030313421</v>
      </c>
      <c r="Q216" s="320">
        <v>4057.7862595419847</v>
      </c>
      <c r="R216" s="319">
        <v>7329.339622641508</v>
      </c>
      <c r="S216" s="235">
        <f>tblPiNAnalysis[[#This Row],[CCCM]]</f>
        <v>1903.6150657668989</v>
      </c>
      <c r="T216" s="236">
        <f>tblPiNAnalysis[[#This Row],[Education]]</f>
        <v>355.58514167157261</v>
      </c>
      <c r="U216" s="219">
        <f>tblPiNAnalysis[[#This Row],[Nutrition]]</f>
        <v>4640.4143331105124</v>
      </c>
      <c r="V216" s="219">
        <f>tblPiNAnalysis[[#This Row],[Food Security]]</f>
        <v>10271.8459241485</v>
      </c>
      <c r="W216" s="219">
        <f>tblPiNAnalysis[[#This Row],[Health]]</f>
        <v>8575.119729918777</v>
      </c>
      <c r="X216" s="219">
        <f>tblPiNAnalysis[[#This Row],[Overarching Protection]]</f>
        <v>8299</v>
      </c>
      <c r="Y216" s="219">
        <f>tblPiNAnalysis[[#This Row],[Shelter]]</f>
        <v>12690.76710511266</v>
      </c>
      <c r="Z216" s="230">
        <f>tblPiNAnalysis[[#This Row],[WASH]]</f>
        <v>10061.14869594517</v>
      </c>
      <c r="AA216" s="339">
        <f>IF(OR(tblPiNHistorical[[#This Row],[CCCM - old]]="", tblPiNHistorical[[#This Row],[CCCM - old]]=0, tblPiNHistorical[[#This Row],[CCCM - new]]="", tblPiNHistorical[[#This Row],[CCCM - new]]=0), "", tblPiNHistorical[[#This Row],[CCCM - new]]-tblPiNHistorical[[#This Row],[CCCM - old]])</f>
        <v>-6274.3849342331014</v>
      </c>
      <c r="AB216" s="340">
        <f>IF(OR(tblPiNHistorical[[#This Row],[Education - old]]="", tblPiNHistorical[[#This Row],[Education - old]]=0, tblPiNHistorical[[#This Row],[Education - new]]="", tblPiNHistorical[[#This Row],[Education - new]]=0), "", tblPiNHistorical[[#This Row],[Education - new]]-tblPiNHistorical[[#This Row],[Education - old]])</f>
        <v>-1934.2548583284274</v>
      </c>
      <c r="AC216" s="340">
        <f>IF(OR(tblPiNHistorical[[#This Row],[Nutrition - old]]="", tblPiNHistorical[[#This Row],[Nutrition - old]]=0, tblPiNHistorical[[#This Row],[Nutrition - new]]="", tblPiNHistorical[[#This Row],[Nutrition - new]]=0), "", tblPiNHistorical[[#This Row],[Nutrition - new]]-tblPiNHistorical[[#This Row],[Nutrition - old]])</f>
        <v>512.62031141243096</v>
      </c>
      <c r="AD216" s="340">
        <f>IF(OR(tblPiNHistorical[[#This Row],[Food Security - old]]="", tblPiNHistorical[[#This Row],[Food Security - old]]=0, tblPiNHistorical[[#This Row],[Food Security - new]]="", tblPiNHistorical[[#This Row],[Food Security - new]]=0), "", tblPiNHistorical[[#This Row],[Food Security - new]]-tblPiNHistorical[[#This Row],[Food Security - old]])</f>
        <v>3237.8459241484998</v>
      </c>
      <c r="AE216" s="340">
        <f>IF(OR(tblPiNHistorical[[#This Row],[Health - old]]="", tblPiNHistorical[[#This Row],[Health - old]]=0, tblPiNHistorical[[#This Row],[Health - new]]="", tblPiNHistorical[[#This Row],[Health - new]]=0), "", tblPiNHistorical[[#This Row],[Health - new]]-tblPiNHistorical[[#This Row],[Health - old]])</f>
        <v>4366.6709226327594</v>
      </c>
      <c r="AF21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1183.1960969686579</v>
      </c>
      <c r="AG216" s="340">
        <f>IF(OR(tblPiNHistorical[[#This Row],[Shelter - old]]="", tblPiNHistorical[[#This Row],[Shelter - old]]=0, tblPiNHistorical[[#This Row],[Shelter - new]]="", tblPiNHistorical[[#This Row],[Shelter - new]]=0), "", tblPiNHistorical[[#This Row],[Shelter - new]]-tblPiNHistorical[[#This Row],[Shelter - old]])</f>
        <v>8632.9808455706752</v>
      </c>
      <c r="AH216" s="341">
        <f>IF(OR(tblPiNHistorical[[#This Row],[WASH - old]]="", tblPiNHistorical[[#This Row],[WASH - old]]=0, tblPiNHistorical[[#This Row],[WASH - new]]="", tblPiNHistorical[[#This Row],[WASH - new]]=0), "", tblPiNHistorical[[#This Row],[WASH - new]]-tblPiNHistorical[[#This Row],[WASH - old]])</f>
        <v>2731.8090733036624</v>
      </c>
      <c r="AI216" s="342">
        <f>IFERROR(ROUND((tblPiNHistorical[[#This Row],[CCCM - new]] - tblPiNHistorical[[#This Row],[CCCM - old]])/tblPiNHistorical[[#This Row],[CCCM - old]], 1), "")</f>
        <v>-0.8</v>
      </c>
      <c r="AJ216" s="343">
        <f>IFERROR(ROUND((tblPiNHistorical[[#This Row],[Education - new]]-tblPiNHistorical[[#This Row],[Education - old]])/tblPiNHistorical[[#This Row],[Education - old]], 1), "")</f>
        <v>-0.8</v>
      </c>
      <c r="AK216" s="343">
        <f>IFERROR(ROUND((tblPiNHistorical[[#This Row],[Nutrition - new]]-tblPiNHistorical[[#This Row],[Nutrition - old]])/tblPiNHistorical[[#This Row],[Nutrition - old]], 1), "")</f>
        <v>0.1</v>
      </c>
      <c r="AL216" s="343">
        <f>IFERROR(ROUND((tblPiNHistorical[[#This Row],[Food Security - new]]-tblPiNHistorical[[#This Row],[Food Security - old]])/tblPiNHistorical[[#This Row],[Food Security - old]], 1), "")</f>
        <v>0.5</v>
      </c>
      <c r="AM216" s="343">
        <f>IFERROR(ROUND((tblPiNHistorical[[#This Row],[Health - new]]-tblPiNHistorical[[#This Row],[Health - old]])/tblPiNHistorical[[#This Row],[Health - old]], 1), "")</f>
        <v>1</v>
      </c>
      <c r="AN216" s="343">
        <f>IFERROR(ROUND((tblPiNHistorical[[#This Row],[Overarching Protection - new]]-tblPiNHistorical[[#This Row],[Overarching Protection - old]])/tblPiNHistorical[[#This Row],[Overarching Protection - old]], 1), "")</f>
        <v>0.2</v>
      </c>
      <c r="AO216" s="343">
        <f>IFERROR(ROUND((tblPiNHistorical[[#This Row],[Shelter - new]]-tblPiNHistorical[[#This Row],[Shelter - old]])/tblPiNHistorical[[#This Row],[Shelter - old]], 1), "")</f>
        <v>2.1</v>
      </c>
      <c r="AP216" s="38">
        <f>IFERROR(ROUND((tblPiNHistorical[[#This Row],[WASH - new]]-tblPiNHistorical[[#This Row],[WASH - old]])/tblPiNHistorical[[#This Row],[WASH - old]], 1), "")</f>
        <v>0.4</v>
      </c>
      <c r="AQ216" s="406">
        <v>8178</v>
      </c>
      <c r="AR216" s="406">
        <v>12690.76710511266</v>
      </c>
    </row>
    <row r="217" spans="1:44" ht="15" customHeight="1" x14ac:dyDescent="0.55000000000000004">
      <c r="A21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7" s="316" t="s">
        <v>342</v>
      </c>
      <c r="C217" s="218" t="s">
        <v>343</v>
      </c>
      <c r="D217" s="218" t="s">
        <v>358</v>
      </c>
      <c r="E217" s="105" t="s">
        <v>359</v>
      </c>
      <c r="F217" s="100"/>
      <c r="G217" s="34"/>
      <c r="H217" s="335"/>
      <c r="I217" s="97"/>
      <c r="J217" s="97" t="s">
        <v>414</v>
      </c>
      <c r="K217" s="336">
        <v>1852.05</v>
      </c>
      <c r="L217" s="337">
        <v>1315</v>
      </c>
      <c r="M217" s="319">
        <v>5965.9194016625861</v>
      </c>
      <c r="N217" s="319">
        <v>9595</v>
      </c>
      <c r="O217" s="319">
        <v>4938.8214913031979</v>
      </c>
      <c r="P217" s="319">
        <v>9476.4736660929175</v>
      </c>
      <c r="Q217" s="320">
        <v>7408.2</v>
      </c>
      <c r="R217" s="319">
        <v>12234.754545454547</v>
      </c>
      <c r="S217" s="235">
        <f>tblPiNAnalysis[[#This Row],[CCCM]]</f>
        <v>3686.4493903694406</v>
      </c>
      <c r="T217" s="236">
        <f>tblPiNAnalysis[[#This Row],[Education]]</f>
        <v>2643.6265868217333</v>
      </c>
      <c r="U217" s="219">
        <f>tblPiNAnalysis[[#This Row],[Nutrition]]</f>
        <v>9282.5257772875138</v>
      </c>
      <c r="V217" s="219">
        <f>tblPiNAnalysis[[#This Row],[Food Security]]</f>
        <v>17283.929073371444</v>
      </c>
      <c r="W217" s="219">
        <f>tblPiNAnalysis[[#This Row],[Health]]</f>
        <v>12121.356328320824</v>
      </c>
      <c r="X217" s="219">
        <f>tblPiNAnalysis[[#This Row],[Overarching Protection]]</f>
        <v>15865</v>
      </c>
      <c r="Y217" s="219">
        <f>tblPiNAnalysis[[#This Row],[Shelter]]</f>
        <v>12934.91014164716</v>
      </c>
      <c r="Z217" s="230">
        <f>tblPiNAnalysis[[#This Row],[WASH]]</f>
        <v>20707.832995285127</v>
      </c>
      <c r="AA217" s="339">
        <f>IF(OR(tblPiNHistorical[[#This Row],[CCCM - old]]="", tblPiNHistorical[[#This Row],[CCCM - old]]=0, tblPiNHistorical[[#This Row],[CCCM - new]]="", tblPiNHistorical[[#This Row],[CCCM - new]]=0), "", tblPiNHistorical[[#This Row],[CCCM - new]]-tblPiNHistorical[[#This Row],[CCCM - old]])</f>
        <v>1834.3993903694407</v>
      </c>
      <c r="AB217" s="340">
        <f>IF(OR(tblPiNHistorical[[#This Row],[Education - old]]="", tblPiNHistorical[[#This Row],[Education - old]]=0, tblPiNHistorical[[#This Row],[Education - new]]="", tblPiNHistorical[[#This Row],[Education - new]]=0), "", tblPiNHistorical[[#This Row],[Education - new]]-tblPiNHistorical[[#This Row],[Education - old]])</f>
        <v>1328.6265868217333</v>
      </c>
      <c r="AC217" s="340">
        <f>IF(OR(tblPiNHistorical[[#This Row],[Nutrition - old]]="", tblPiNHistorical[[#This Row],[Nutrition - old]]=0, tblPiNHistorical[[#This Row],[Nutrition - new]]="", tblPiNHistorical[[#This Row],[Nutrition - new]]=0), "", tblPiNHistorical[[#This Row],[Nutrition - new]]-tblPiNHistorical[[#This Row],[Nutrition - old]])</f>
        <v>3316.6063756249278</v>
      </c>
      <c r="AD217" s="340">
        <f>IF(OR(tblPiNHistorical[[#This Row],[Food Security - old]]="", tblPiNHistorical[[#This Row],[Food Security - old]]=0, tblPiNHistorical[[#This Row],[Food Security - new]]="", tblPiNHistorical[[#This Row],[Food Security - new]]=0), "", tblPiNHistorical[[#This Row],[Food Security - new]]-tblPiNHistorical[[#This Row],[Food Security - old]])</f>
        <v>7688.9290733714442</v>
      </c>
      <c r="AE217" s="340">
        <f>IF(OR(tblPiNHistorical[[#This Row],[Health - old]]="", tblPiNHistorical[[#This Row],[Health - old]]=0, tblPiNHistorical[[#This Row],[Health - new]]="", tblPiNHistorical[[#This Row],[Health - new]]=0), "", tblPiNHistorical[[#This Row],[Health - new]]-tblPiNHistorical[[#This Row],[Health - old]])</f>
        <v>7182.5348370176262</v>
      </c>
      <c r="AF21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6388.5263339070825</v>
      </c>
      <c r="AG217" s="340">
        <f>IF(OR(tblPiNHistorical[[#This Row],[Shelter - old]]="", tblPiNHistorical[[#This Row],[Shelter - old]]=0, tblPiNHistorical[[#This Row],[Shelter - new]]="", tblPiNHistorical[[#This Row],[Shelter - new]]=0), "", tblPiNHistorical[[#This Row],[Shelter - new]]-tblPiNHistorical[[#This Row],[Shelter - old]])</f>
        <v>5526.7101416471605</v>
      </c>
      <c r="AH217" s="341">
        <f>IF(OR(tblPiNHistorical[[#This Row],[WASH - old]]="", tblPiNHistorical[[#This Row],[WASH - old]]=0, tblPiNHistorical[[#This Row],[WASH - new]]="", tblPiNHistorical[[#This Row],[WASH - new]]=0), "", tblPiNHistorical[[#This Row],[WASH - new]]-tblPiNHistorical[[#This Row],[WASH - old]])</f>
        <v>8473.0784498305802</v>
      </c>
      <c r="AI217" s="342">
        <f>IFERROR(ROUND((tblPiNHistorical[[#This Row],[CCCM - new]] - tblPiNHistorical[[#This Row],[CCCM - old]])/tblPiNHistorical[[#This Row],[CCCM - old]], 1), "")</f>
        <v>1</v>
      </c>
      <c r="AJ217" s="343">
        <f>IFERROR(ROUND((tblPiNHistorical[[#This Row],[Education - new]]-tblPiNHistorical[[#This Row],[Education - old]])/tblPiNHistorical[[#This Row],[Education - old]], 1), "")</f>
        <v>1</v>
      </c>
      <c r="AK217" s="343">
        <f>IFERROR(ROUND((tblPiNHistorical[[#This Row],[Nutrition - new]]-tblPiNHistorical[[#This Row],[Nutrition - old]])/tblPiNHistorical[[#This Row],[Nutrition - old]], 1), "")</f>
        <v>0.6</v>
      </c>
      <c r="AL217" s="343">
        <f>IFERROR(ROUND((tblPiNHistorical[[#This Row],[Food Security - new]]-tblPiNHistorical[[#This Row],[Food Security - old]])/tblPiNHistorical[[#This Row],[Food Security - old]], 1), "")</f>
        <v>0.8</v>
      </c>
      <c r="AM217" s="343">
        <f>IFERROR(ROUND((tblPiNHistorical[[#This Row],[Health - new]]-tblPiNHistorical[[#This Row],[Health - old]])/tblPiNHistorical[[#This Row],[Health - old]], 1), "")</f>
        <v>1.5</v>
      </c>
      <c r="AN217" s="343">
        <f>IFERROR(ROUND((tblPiNHistorical[[#This Row],[Overarching Protection - new]]-tblPiNHistorical[[#This Row],[Overarching Protection - old]])/tblPiNHistorical[[#This Row],[Overarching Protection - old]], 1), "")</f>
        <v>0.7</v>
      </c>
      <c r="AO217" s="343">
        <f>IFERROR(ROUND((tblPiNHistorical[[#This Row],[Shelter - new]]-tblPiNHistorical[[#This Row],[Shelter - old]])/tblPiNHistorical[[#This Row],[Shelter - old]], 1), "")</f>
        <v>0.7</v>
      </c>
      <c r="AP217" s="38">
        <f>IFERROR(ROUND((tblPiNHistorical[[#This Row],[WASH - new]]-tblPiNHistorical[[#This Row],[WASH - old]])/tblPiNHistorical[[#This Row],[WASH - old]], 1), "")</f>
        <v>0.7</v>
      </c>
      <c r="AQ217" s="406">
        <v>12234.754545454547</v>
      </c>
      <c r="AR217" s="406">
        <v>20707.832995285127</v>
      </c>
    </row>
    <row r="218" spans="1:44" ht="15" customHeight="1" x14ac:dyDescent="0.55000000000000004">
      <c r="A21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8" s="316" t="s">
        <v>342</v>
      </c>
      <c r="C218" s="218" t="s">
        <v>343</v>
      </c>
      <c r="D218" s="218" t="s">
        <v>360</v>
      </c>
      <c r="E218" s="105" t="s">
        <v>361</v>
      </c>
      <c r="F218" s="100"/>
      <c r="G218" s="34"/>
      <c r="H218" s="335"/>
      <c r="I218" s="97"/>
      <c r="J218" s="97" t="s">
        <v>414</v>
      </c>
      <c r="K218" s="336">
        <v>10.572883502480741</v>
      </c>
      <c r="L218" s="337">
        <v>21</v>
      </c>
      <c r="M218" s="319">
        <v>39.354814685050762</v>
      </c>
      <c r="N218" s="319">
        <v>43</v>
      </c>
      <c r="O218" s="319">
        <v>40.391195401508277</v>
      </c>
      <c r="P218" s="319">
        <v>42.830209331651957</v>
      </c>
      <c r="Q218" s="320">
        <v>27.10995769866857</v>
      </c>
      <c r="R218" s="319">
        <v>43.727357695445036</v>
      </c>
      <c r="S218" s="235">
        <f>tblPiNAnalysis[[#This Row],[CCCM]]</f>
        <v>243.36419306874075</v>
      </c>
      <c r="T218" s="236">
        <f>tblPiNAnalysis[[#This Row],[Education]]</f>
        <v>345.82587236292812</v>
      </c>
      <c r="U218" s="219">
        <f>tblPiNAnalysis[[#This Row],[Nutrition]]</f>
        <v>578.16760239038786</v>
      </c>
      <c r="V218" s="219">
        <f>tblPiNAnalysis[[#This Row],[Food Security]]</f>
        <v>1086.3058597408046</v>
      </c>
      <c r="W218" s="219">
        <f>tblPiNAnalysis[[#This Row],[Health]]</f>
        <v>789.91024757446075</v>
      </c>
      <c r="X218" s="219">
        <f>tblPiNAnalysis[[#This Row],[Overarching Protection]]</f>
        <v>1135</v>
      </c>
      <c r="Y218" s="219">
        <f>tblPiNAnalysis[[#This Row],[Shelter]]</f>
        <v>0</v>
      </c>
      <c r="Z218" s="230">
        <f>tblPiNAnalysis[[#This Row],[WASH]]</f>
        <v>150.22481053625972</v>
      </c>
      <c r="AA218" s="339">
        <f>IF(OR(tblPiNHistorical[[#This Row],[CCCM - old]]="", tblPiNHistorical[[#This Row],[CCCM - old]]=0, tblPiNHistorical[[#This Row],[CCCM - new]]="", tblPiNHistorical[[#This Row],[CCCM - new]]=0), "", tblPiNHistorical[[#This Row],[CCCM - new]]-tblPiNHistorical[[#This Row],[CCCM - old]])</f>
        <v>232.79130956626</v>
      </c>
      <c r="AB218" s="340">
        <f>IF(OR(tblPiNHistorical[[#This Row],[Education - old]]="", tblPiNHistorical[[#This Row],[Education - old]]=0, tblPiNHistorical[[#This Row],[Education - new]]="", tblPiNHistorical[[#This Row],[Education - new]]=0), "", tblPiNHistorical[[#This Row],[Education - new]]-tblPiNHistorical[[#This Row],[Education - old]])</f>
        <v>324.82587236292812</v>
      </c>
      <c r="AC218" s="340">
        <f>IF(OR(tblPiNHistorical[[#This Row],[Nutrition - old]]="", tblPiNHistorical[[#This Row],[Nutrition - old]]=0, tblPiNHistorical[[#This Row],[Nutrition - new]]="", tblPiNHistorical[[#This Row],[Nutrition - new]]=0), "", tblPiNHistorical[[#This Row],[Nutrition - new]]-tblPiNHistorical[[#This Row],[Nutrition - old]])</f>
        <v>538.81278770533709</v>
      </c>
      <c r="AD218" s="340">
        <f>IF(OR(tblPiNHistorical[[#This Row],[Food Security - old]]="", tblPiNHistorical[[#This Row],[Food Security - old]]=0, tblPiNHistorical[[#This Row],[Food Security - new]]="", tblPiNHistorical[[#This Row],[Food Security - new]]=0), "", tblPiNHistorical[[#This Row],[Food Security - new]]-tblPiNHistorical[[#This Row],[Food Security - old]])</f>
        <v>1043.3058597408046</v>
      </c>
      <c r="AE218" s="340">
        <f>IF(OR(tblPiNHistorical[[#This Row],[Health - old]]="", tblPiNHistorical[[#This Row],[Health - old]]=0, tblPiNHistorical[[#This Row],[Health - new]]="", tblPiNHistorical[[#This Row],[Health - new]]=0), "", tblPiNHistorical[[#This Row],[Health - new]]-tblPiNHistorical[[#This Row],[Health - old]])</f>
        <v>749.51905217295246</v>
      </c>
      <c r="AF21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1092.169790668348</v>
      </c>
      <c r="AG218" s="340" t="str">
        <f>IF(OR(tblPiNHistorical[[#This Row],[Shelter - old]]="", tblPiNHistorical[[#This Row],[Shelter - old]]=0, tblPiNHistorical[[#This Row],[Shelter - new]]="", tblPiNHistorical[[#This Row],[Shelter - new]]=0), "", tblPiNHistorical[[#This Row],[Shelter - new]]-tblPiNHistorical[[#This Row],[Shelter - old]])</f>
        <v/>
      </c>
      <c r="AH218" s="341">
        <f>IF(OR(tblPiNHistorical[[#This Row],[WASH - old]]="", tblPiNHistorical[[#This Row],[WASH - old]]=0, tblPiNHistorical[[#This Row],[WASH - new]]="", tblPiNHistorical[[#This Row],[WASH - new]]=0), "", tblPiNHistorical[[#This Row],[WASH - new]]-tblPiNHistorical[[#This Row],[WASH - old]])</f>
        <v>106.49745284081469</v>
      </c>
      <c r="AI218" s="342">
        <f>IFERROR(ROUND((tblPiNHistorical[[#This Row],[CCCM - new]] - tblPiNHistorical[[#This Row],[CCCM - old]])/tblPiNHistorical[[#This Row],[CCCM - old]], 1), "")</f>
        <v>22</v>
      </c>
      <c r="AJ218" s="343">
        <f>IFERROR(ROUND((tblPiNHistorical[[#This Row],[Education - new]]-tblPiNHistorical[[#This Row],[Education - old]])/tblPiNHistorical[[#This Row],[Education - old]], 1), "")</f>
        <v>15.5</v>
      </c>
      <c r="AK218" s="343">
        <f>IFERROR(ROUND((tblPiNHistorical[[#This Row],[Nutrition - new]]-tblPiNHistorical[[#This Row],[Nutrition - old]])/tblPiNHistorical[[#This Row],[Nutrition - old]], 1), "")</f>
        <v>13.7</v>
      </c>
      <c r="AL218" s="343">
        <f>IFERROR(ROUND((tblPiNHistorical[[#This Row],[Food Security - new]]-tblPiNHistorical[[#This Row],[Food Security - old]])/tblPiNHistorical[[#This Row],[Food Security - old]], 1), "")</f>
        <v>24.3</v>
      </c>
      <c r="AM218" s="343">
        <f>IFERROR(ROUND((tblPiNHistorical[[#This Row],[Health - new]]-tblPiNHistorical[[#This Row],[Health - old]])/tblPiNHistorical[[#This Row],[Health - old]], 1), "")</f>
        <v>18.600000000000001</v>
      </c>
      <c r="AN218" s="343">
        <f>IFERROR(ROUND((tblPiNHistorical[[#This Row],[Overarching Protection - new]]-tblPiNHistorical[[#This Row],[Overarching Protection - old]])/tblPiNHistorical[[#This Row],[Overarching Protection - old]], 1), "")</f>
        <v>25.5</v>
      </c>
      <c r="AO218" s="343">
        <f>IFERROR(ROUND((tblPiNHistorical[[#This Row],[Shelter - new]]-tblPiNHistorical[[#This Row],[Shelter - old]])/tblPiNHistorical[[#This Row],[Shelter - old]], 1), "")</f>
        <v>-1</v>
      </c>
      <c r="AP218" s="38">
        <f>IFERROR(ROUND((tblPiNHistorical[[#This Row],[WASH - new]]-tblPiNHistorical[[#This Row],[WASH - old]])/tblPiNHistorical[[#This Row],[WASH - old]], 1), "")</f>
        <v>2.4</v>
      </c>
      <c r="AQ218" s="406">
        <v>43.727357695445036</v>
      </c>
      <c r="AR218" s="406">
        <v>1135</v>
      </c>
    </row>
    <row r="219" spans="1:44" ht="15" customHeight="1" x14ac:dyDescent="0.55000000000000004">
      <c r="A21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19" s="316" t="s">
        <v>342</v>
      </c>
      <c r="C219" s="218" t="s">
        <v>343</v>
      </c>
      <c r="D219" s="218" t="s">
        <v>362</v>
      </c>
      <c r="E219" s="105" t="s">
        <v>363</v>
      </c>
      <c r="F219" s="100"/>
      <c r="G219" s="34"/>
      <c r="H219" s="335"/>
      <c r="I219" s="97"/>
      <c r="J219" s="97" t="s">
        <v>414</v>
      </c>
      <c r="K219" s="336">
        <v>584.69999999999993</v>
      </c>
      <c r="L219" s="337">
        <v>676</v>
      </c>
      <c r="M219" s="319">
        <v>2061.2883243119959</v>
      </c>
      <c r="N219" s="319">
        <v>3342</v>
      </c>
      <c r="O219" s="319">
        <v>3487.1538110779402</v>
      </c>
      <c r="P219" s="319">
        <v>3787.2253867837544</v>
      </c>
      <c r="Q219" s="320">
        <v>410.31578947368416</v>
      </c>
      <c r="R219" s="319">
        <v>3540.3853211009177</v>
      </c>
      <c r="S219" s="235">
        <f>tblPiNAnalysis[[#This Row],[CCCM]]</f>
        <v>713.53188264897688</v>
      </c>
      <c r="T219" s="236">
        <f>tblPiNAnalysis[[#This Row],[Education]]</f>
        <v>393.45004247523769</v>
      </c>
      <c r="U219" s="219">
        <f>tblPiNAnalysis[[#This Row],[Nutrition]]</f>
        <v>2302.8572149639735</v>
      </c>
      <c r="V219" s="219">
        <f>tblPiNAnalysis[[#This Row],[Food Security]]</f>
        <v>3993.3912483369177</v>
      </c>
      <c r="W219" s="219">
        <f>tblPiNAnalysis[[#This Row],[Health]]</f>
        <v>2891.7710180994654</v>
      </c>
      <c r="X219" s="219">
        <f>tblPiNAnalysis[[#This Row],[Overarching Protection]]</f>
        <v>3620</v>
      </c>
      <c r="Y219" s="219">
        <f>tblPiNAnalysis[[#This Row],[Shelter]]</f>
        <v>3567.6594132448845</v>
      </c>
      <c r="Z219" s="230">
        <f>tblPiNAnalysis[[#This Row],[WASH]]</f>
        <v>4540.6574350389437</v>
      </c>
      <c r="AA219" s="339">
        <f>IF(OR(tblPiNHistorical[[#This Row],[CCCM - old]]="", tblPiNHistorical[[#This Row],[CCCM - old]]=0, tblPiNHistorical[[#This Row],[CCCM - new]]="", tblPiNHistorical[[#This Row],[CCCM - new]]=0), "", tblPiNHistorical[[#This Row],[CCCM - new]]-tblPiNHistorical[[#This Row],[CCCM - old]])</f>
        <v>128.83188264897694</v>
      </c>
      <c r="AB219" s="340">
        <f>IF(OR(tblPiNHistorical[[#This Row],[Education - old]]="", tblPiNHistorical[[#This Row],[Education - old]]=0, tblPiNHistorical[[#This Row],[Education - new]]="", tblPiNHistorical[[#This Row],[Education - new]]=0), "", tblPiNHistorical[[#This Row],[Education - new]]-tblPiNHistorical[[#This Row],[Education - old]])</f>
        <v>-282.54995752476231</v>
      </c>
      <c r="AC219" s="340">
        <f>IF(OR(tblPiNHistorical[[#This Row],[Nutrition - old]]="", tblPiNHistorical[[#This Row],[Nutrition - old]]=0, tblPiNHistorical[[#This Row],[Nutrition - new]]="", tblPiNHistorical[[#This Row],[Nutrition - new]]=0), "", tblPiNHistorical[[#This Row],[Nutrition - new]]-tblPiNHistorical[[#This Row],[Nutrition - old]])</f>
        <v>241.56889065197765</v>
      </c>
      <c r="AD219" s="340">
        <f>IF(OR(tblPiNHistorical[[#This Row],[Food Security - old]]="", tblPiNHistorical[[#This Row],[Food Security - old]]=0, tblPiNHistorical[[#This Row],[Food Security - new]]="", tblPiNHistorical[[#This Row],[Food Security - new]]=0), "", tblPiNHistorical[[#This Row],[Food Security - new]]-tblPiNHistorical[[#This Row],[Food Security - old]])</f>
        <v>651.39124833691767</v>
      </c>
      <c r="AE219" s="340">
        <f>IF(OR(tblPiNHistorical[[#This Row],[Health - old]]="", tblPiNHistorical[[#This Row],[Health - old]]=0, tblPiNHistorical[[#This Row],[Health - new]]="", tblPiNHistorical[[#This Row],[Health - new]]=0), "", tblPiNHistorical[[#This Row],[Health - new]]-tblPiNHistorical[[#This Row],[Health - old]])</f>
        <v>-595.38279297847475</v>
      </c>
      <c r="AF21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-167.2253867837544</v>
      </c>
      <c r="AG219" s="340">
        <f>IF(OR(tblPiNHistorical[[#This Row],[Shelter - old]]="", tblPiNHistorical[[#This Row],[Shelter - old]]=0, tblPiNHistorical[[#This Row],[Shelter - new]]="", tblPiNHistorical[[#This Row],[Shelter - new]]=0), "", tblPiNHistorical[[#This Row],[Shelter - new]]-tblPiNHistorical[[#This Row],[Shelter - old]])</f>
        <v>3157.3436237712003</v>
      </c>
      <c r="AH219" s="341">
        <f>IF(OR(tblPiNHistorical[[#This Row],[WASH - old]]="", tblPiNHistorical[[#This Row],[WASH - old]]=0, tblPiNHistorical[[#This Row],[WASH - new]]="", tblPiNHistorical[[#This Row],[WASH - new]]=0), "", tblPiNHistorical[[#This Row],[WASH - new]]-tblPiNHistorical[[#This Row],[WASH - old]])</f>
        <v>1000.272113938026</v>
      </c>
      <c r="AI219" s="342">
        <f>IFERROR(ROUND((tblPiNHistorical[[#This Row],[CCCM - new]] - tblPiNHistorical[[#This Row],[CCCM - old]])/tblPiNHistorical[[#This Row],[CCCM - old]], 1), "")</f>
        <v>0.2</v>
      </c>
      <c r="AJ219" s="343">
        <f>IFERROR(ROUND((tblPiNHistorical[[#This Row],[Education - new]]-tblPiNHistorical[[#This Row],[Education - old]])/tblPiNHistorical[[#This Row],[Education - old]], 1), "")</f>
        <v>-0.4</v>
      </c>
      <c r="AK219" s="343">
        <f>IFERROR(ROUND((tblPiNHistorical[[#This Row],[Nutrition - new]]-tblPiNHistorical[[#This Row],[Nutrition - old]])/tblPiNHistorical[[#This Row],[Nutrition - old]], 1), "")</f>
        <v>0.1</v>
      </c>
      <c r="AL219" s="343">
        <f>IFERROR(ROUND((tblPiNHistorical[[#This Row],[Food Security - new]]-tblPiNHistorical[[#This Row],[Food Security - old]])/tblPiNHistorical[[#This Row],[Food Security - old]], 1), "")</f>
        <v>0.2</v>
      </c>
      <c r="AM219" s="343">
        <f>IFERROR(ROUND((tblPiNHistorical[[#This Row],[Health - new]]-tblPiNHistorical[[#This Row],[Health - old]])/tblPiNHistorical[[#This Row],[Health - old]], 1), "")</f>
        <v>-0.2</v>
      </c>
      <c r="AN219" s="343">
        <f>IFERROR(ROUND((tblPiNHistorical[[#This Row],[Overarching Protection - new]]-tblPiNHistorical[[#This Row],[Overarching Protection - old]])/tblPiNHistorical[[#This Row],[Overarching Protection - old]], 1), "")</f>
        <v>0</v>
      </c>
      <c r="AO219" s="343">
        <f>IFERROR(ROUND((tblPiNHistorical[[#This Row],[Shelter - new]]-tblPiNHistorical[[#This Row],[Shelter - old]])/tblPiNHistorical[[#This Row],[Shelter - old]], 1), "")</f>
        <v>7.7</v>
      </c>
      <c r="AP219" s="38">
        <f>IFERROR(ROUND((tblPiNHistorical[[#This Row],[WASH - new]]-tblPiNHistorical[[#This Row],[WASH - old]])/tblPiNHistorical[[#This Row],[WASH - old]], 1), "")</f>
        <v>0.3</v>
      </c>
      <c r="AQ219" s="406">
        <v>3787.2253867837544</v>
      </c>
      <c r="AR219" s="406">
        <v>4540.6574350389437</v>
      </c>
    </row>
    <row r="220" spans="1:44" ht="15" customHeight="1" x14ac:dyDescent="0.55000000000000004">
      <c r="A22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0" s="316" t="s">
        <v>342</v>
      </c>
      <c r="C220" s="218" t="s">
        <v>343</v>
      </c>
      <c r="D220" s="218" t="s">
        <v>364</v>
      </c>
      <c r="E220" s="105" t="s">
        <v>365</v>
      </c>
      <c r="F220" s="100"/>
      <c r="G220" s="34"/>
      <c r="H220" s="335"/>
      <c r="I220" s="97"/>
      <c r="J220" s="97" t="s">
        <v>414</v>
      </c>
      <c r="K220" s="336">
        <v>36090.93136483655</v>
      </c>
      <c r="L220" s="337">
        <v>64159</v>
      </c>
      <c r="M220" s="319">
        <v>49110.043723449999</v>
      </c>
      <c r="N220" s="319">
        <v>126425</v>
      </c>
      <c r="O220" s="319">
        <v>68184.530211234873</v>
      </c>
      <c r="P220" s="319">
        <v>116712.97596565</v>
      </c>
      <c r="Q220" s="320">
        <v>99922.311288418554</v>
      </c>
      <c r="R220" s="319">
        <v>122643.66372609514</v>
      </c>
      <c r="S220" s="235">
        <f>tblPiNAnalysis[[#This Row],[CCCM]]</f>
        <v>35253.028809333176</v>
      </c>
      <c r="T220" s="236">
        <f>tblPiNAnalysis[[#This Row],[Education]]</f>
        <v>43043.948176195809</v>
      </c>
      <c r="U220" s="219">
        <f>tblPiNAnalysis[[#This Row],[Nutrition]]</f>
        <v>69811.746562686749</v>
      </c>
      <c r="V220" s="219">
        <f>tblPiNAnalysis[[#This Row],[Food Security]]</f>
        <v>157164.99172748698</v>
      </c>
      <c r="W220" s="219">
        <f>tblPiNAnalysis[[#This Row],[Health]]</f>
        <v>99310.943787170196</v>
      </c>
      <c r="X220" s="219">
        <f>tblPiNAnalysis[[#This Row],[Overarching Protection]]</f>
        <v>155152</v>
      </c>
      <c r="Y220" s="219">
        <f>tblPiNAnalysis[[#This Row],[Shelter]]</f>
        <v>52226.709347160257</v>
      </c>
      <c r="Z220" s="230">
        <f>tblPiNAnalysis[[#This Row],[WASH]]</f>
        <v>113157.87025218057</v>
      </c>
      <c r="AA220" s="339">
        <f>IF(OR(tblPiNHistorical[[#This Row],[CCCM - old]]="", tblPiNHistorical[[#This Row],[CCCM - old]]=0, tblPiNHistorical[[#This Row],[CCCM - new]]="", tblPiNHistorical[[#This Row],[CCCM - new]]=0), "", tblPiNHistorical[[#This Row],[CCCM - new]]-tblPiNHistorical[[#This Row],[CCCM - old]])</f>
        <v>-837.90255550337315</v>
      </c>
      <c r="AB220" s="340">
        <f>IF(OR(tblPiNHistorical[[#This Row],[Education - old]]="", tblPiNHistorical[[#This Row],[Education - old]]=0, tblPiNHistorical[[#This Row],[Education - new]]="", tblPiNHistorical[[#This Row],[Education - new]]=0), "", tblPiNHistorical[[#This Row],[Education - new]]-tblPiNHistorical[[#This Row],[Education - old]])</f>
        <v>-21115.051823804191</v>
      </c>
      <c r="AC220" s="340">
        <f>IF(OR(tblPiNHistorical[[#This Row],[Nutrition - old]]="", tblPiNHistorical[[#This Row],[Nutrition - old]]=0, tblPiNHistorical[[#This Row],[Nutrition - new]]="", tblPiNHistorical[[#This Row],[Nutrition - new]]=0), "", tblPiNHistorical[[#This Row],[Nutrition - new]]-tblPiNHistorical[[#This Row],[Nutrition - old]])</f>
        <v>20701.70283923675</v>
      </c>
      <c r="AD220" s="340">
        <f>IF(OR(tblPiNHistorical[[#This Row],[Food Security - old]]="", tblPiNHistorical[[#This Row],[Food Security - old]]=0, tblPiNHistorical[[#This Row],[Food Security - new]]="", tblPiNHistorical[[#This Row],[Food Security - new]]=0), "", tblPiNHistorical[[#This Row],[Food Security - new]]-tblPiNHistorical[[#This Row],[Food Security - old]])</f>
        <v>30739.99172748698</v>
      </c>
      <c r="AE220" s="340">
        <f>IF(OR(tblPiNHistorical[[#This Row],[Health - old]]="", tblPiNHistorical[[#This Row],[Health - old]]=0, tblPiNHistorical[[#This Row],[Health - new]]="", tblPiNHistorical[[#This Row],[Health - new]]=0), "", tblPiNHistorical[[#This Row],[Health - new]]-tblPiNHistorical[[#This Row],[Health - old]])</f>
        <v>31126.413575935323</v>
      </c>
      <c r="AF22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38439.024034350005</v>
      </c>
      <c r="AG220" s="340">
        <f>IF(OR(tblPiNHistorical[[#This Row],[Shelter - old]]="", tblPiNHistorical[[#This Row],[Shelter - old]]=0, tblPiNHistorical[[#This Row],[Shelter - new]]="", tblPiNHistorical[[#This Row],[Shelter - new]]=0), "", tblPiNHistorical[[#This Row],[Shelter - new]]-tblPiNHistorical[[#This Row],[Shelter - old]])</f>
        <v>-47695.601941258297</v>
      </c>
      <c r="AH220" s="341">
        <f>IF(OR(tblPiNHistorical[[#This Row],[WASH - old]]="", tblPiNHistorical[[#This Row],[WASH - old]]=0, tblPiNHistorical[[#This Row],[WASH - new]]="", tblPiNHistorical[[#This Row],[WASH - new]]=0), "", tblPiNHistorical[[#This Row],[WASH - new]]-tblPiNHistorical[[#This Row],[WASH - old]])</f>
        <v>-9485.7934739145712</v>
      </c>
      <c r="AI220" s="342">
        <f>IFERROR(ROUND((tblPiNHistorical[[#This Row],[CCCM - new]] - tblPiNHistorical[[#This Row],[CCCM - old]])/tblPiNHistorical[[#This Row],[CCCM - old]], 1), "")</f>
        <v>0</v>
      </c>
      <c r="AJ220" s="343">
        <f>IFERROR(ROUND((tblPiNHistorical[[#This Row],[Education - new]]-tblPiNHistorical[[#This Row],[Education - old]])/tblPiNHistorical[[#This Row],[Education - old]], 1), "")</f>
        <v>-0.3</v>
      </c>
      <c r="AK220" s="343">
        <f>IFERROR(ROUND((tblPiNHistorical[[#This Row],[Nutrition - new]]-tblPiNHistorical[[#This Row],[Nutrition - old]])/tblPiNHistorical[[#This Row],[Nutrition - old]], 1), "")</f>
        <v>0.4</v>
      </c>
      <c r="AL220" s="343">
        <f>IFERROR(ROUND((tblPiNHistorical[[#This Row],[Food Security - new]]-tblPiNHistorical[[#This Row],[Food Security - old]])/tblPiNHistorical[[#This Row],[Food Security - old]], 1), "")</f>
        <v>0.2</v>
      </c>
      <c r="AM220" s="343">
        <f>IFERROR(ROUND((tblPiNHistorical[[#This Row],[Health - new]]-tblPiNHistorical[[#This Row],[Health - old]])/tblPiNHistorical[[#This Row],[Health - old]], 1), "")</f>
        <v>0.5</v>
      </c>
      <c r="AN220" s="343">
        <f>IFERROR(ROUND((tblPiNHistorical[[#This Row],[Overarching Protection - new]]-tblPiNHistorical[[#This Row],[Overarching Protection - old]])/tblPiNHistorical[[#This Row],[Overarching Protection - old]], 1), "")</f>
        <v>0.3</v>
      </c>
      <c r="AO220" s="343">
        <f>IFERROR(ROUND((tblPiNHistorical[[#This Row],[Shelter - new]]-tblPiNHistorical[[#This Row],[Shelter - old]])/tblPiNHistorical[[#This Row],[Shelter - old]], 1), "")</f>
        <v>-0.5</v>
      </c>
      <c r="AP220" s="38">
        <f>IFERROR(ROUND((tblPiNHistorical[[#This Row],[WASH - new]]-tblPiNHistorical[[#This Row],[WASH - old]])/tblPiNHistorical[[#This Row],[WASH - old]], 1), "")</f>
        <v>-0.1</v>
      </c>
      <c r="AQ220" s="406">
        <v>126425</v>
      </c>
      <c r="AR220" s="406">
        <v>157164.99172748698</v>
      </c>
    </row>
    <row r="221" spans="1:44" ht="15" customHeight="1" x14ac:dyDescent="0.55000000000000004">
      <c r="A22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1" s="316" t="s">
        <v>342</v>
      </c>
      <c r="C221" s="218" t="s">
        <v>343</v>
      </c>
      <c r="D221" s="218" t="s">
        <v>366</v>
      </c>
      <c r="E221" s="105" t="s">
        <v>367</v>
      </c>
      <c r="F221" s="100"/>
      <c r="G221" s="34"/>
      <c r="H221" s="335"/>
      <c r="I221" s="97"/>
      <c r="J221" s="97" t="s">
        <v>414</v>
      </c>
      <c r="K221" s="336">
        <v>6222.9</v>
      </c>
      <c r="L221" s="337">
        <v>9089</v>
      </c>
      <c r="M221" s="319">
        <v>20520.746016955582</v>
      </c>
      <c r="N221" s="319">
        <v>33011</v>
      </c>
      <c r="O221" s="319">
        <v>26698.936995428558</v>
      </c>
      <c r="P221" s="319">
        <v>31223.069903966403</v>
      </c>
      <c r="Q221" s="320">
        <v>11927.224999999999</v>
      </c>
      <c r="R221" s="319">
        <v>25977.214953271028</v>
      </c>
      <c r="S221" s="235">
        <f>tblPiNAnalysis[[#This Row],[CCCM]]</f>
        <v>6638.5899113576515</v>
      </c>
      <c r="T221" s="236">
        <f>tblPiNAnalysis[[#This Row],[Education]]</f>
        <v>14377.415457357643</v>
      </c>
      <c r="U221" s="219">
        <f>tblPiNAnalysis[[#This Row],[Nutrition]]</f>
        <v>15943.841592578076</v>
      </c>
      <c r="V221" s="219">
        <f>tblPiNAnalysis[[#This Row],[Food Security]]</f>
        <v>38531.47105902285</v>
      </c>
      <c r="W221" s="219">
        <f>tblPiNAnalysis[[#This Row],[Health]]</f>
        <v>28532.03421814082</v>
      </c>
      <c r="X221" s="219">
        <f>tblPiNAnalysis[[#This Row],[Overarching Protection]]</f>
        <v>29257</v>
      </c>
      <c r="Y221" s="219">
        <f>tblPiNAnalysis[[#This Row],[Shelter]]</f>
        <v>25289.86632898153</v>
      </c>
      <c r="Z221" s="230">
        <f>tblPiNAnalysis[[#This Row],[WASH]]</f>
        <v>33192.949556788255</v>
      </c>
      <c r="AA221" s="339">
        <f>IF(OR(tblPiNHistorical[[#This Row],[CCCM - old]]="", tblPiNHistorical[[#This Row],[CCCM - old]]=0, tblPiNHistorical[[#This Row],[CCCM - new]]="", tblPiNHistorical[[#This Row],[CCCM - new]]=0), "", tblPiNHistorical[[#This Row],[CCCM - new]]-tblPiNHistorical[[#This Row],[CCCM - old]])</f>
        <v>415.68991135765191</v>
      </c>
      <c r="AB221" s="340">
        <f>IF(OR(tblPiNHistorical[[#This Row],[Education - old]]="", tblPiNHistorical[[#This Row],[Education - old]]=0, tblPiNHistorical[[#This Row],[Education - new]]="", tblPiNHistorical[[#This Row],[Education - new]]=0), "", tblPiNHistorical[[#This Row],[Education - new]]-tblPiNHistorical[[#This Row],[Education - old]])</f>
        <v>5288.4154573576434</v>
      </c>
      <c r="AC221" s="340">
        <f>IF(OR(tblPiNHistorical[[#This Row],[Nutrition - old]]="", tblPiNHistorical[[#This Row],[Nutrition - old]]=0, tblPiNHistorical[[#This Row],[Nutrition - new]]="", tblPiNHistorical[[#This Row],[Nutrition - new]]=0), "", tblPiNHistorical[[#This Row],[Nutrition - new]]-tblPiNHistorical[[#This Row],[Nutrition - old]])</f>
        <v>-4576.9044243775061</v>
      </c>
      <c r="AD221" s="340">
        <f>IF(OR(tblPiNHistorical[[#This Row],[Food Security - old]]="", tblPiNHistorical[[#This Row],[Food Security - old]]=0, tblPiNHistorical[[#This Row],[Food Security - new]]="", tblPiNHistorical[[#This Row],[Food Security - new]]=0), "", tblPiNHistorical[[#This Row],[Food Security - new]]-tblPiNHistorical[[#This Row],[Food Security - old]])</f>
        <v>5520.4710590228497</v>
      </c>
      <c r="AE221" s="340">
        <f>IF(OR(tblPiNHistorical[[#This Row],[Health - old]]="", tblPiNHistorical[[#This Row],[Health - old]]=0, tblPiNHistorical[[#This Row],[Health - new]]="", tblPiNHistorical[[#This Row],[Health - new]]=0), "", tblPiNHistorical[[#This Row],[Health - new]]-tblPiNHistorical[[#This Row],[Health - old]])</f>
        <v>1833.097222712262</v>
      </c>
      <c r="AF22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-1966.0699039664032</v>
      </c>
      <c r="AG221" s="340">
        <f>IF(OR(tblPiNHistorical[[#This Row],[Shelter - old]]="", tblPiNHistorical[[#This Row],[Shelter - old]]=0, tblPiNHistorical[[#This Row],[Shelter - new]]="", tblPiNHistorical[[#This Row],[Shelter - new]]=0), "", tblPiNHistorical[[#This Row],[Shelter - new]]-tblPiNHistorical[[#This Row],[Shelter - old]])</f>
        <v>13362.641328981532</v>
      </c>
      <c r="AH221" s="341">
        <f>IF(OR(tblPiNHistorical[[#This Row],[WASH - old]]="", tblPiNHistorical[[#This Row],[WASH - old]]=0, tblPiNHistorical[[#This Row],[WASH - new]]="", tblPiNHistorical[[#This Row],[WASH - new]]=0), "", tblPiNHistorical[[#This Row],[WASH - new]]-tblPiNHistorical[[#This Row],[WASH - old]])</f>
        <v>7215.7346035172268</v>
      </c>
      <c r="AI221" s="342">
        <f>IFERROR(ROUND((tblPiNHistorical[[#This Row],[CCCM - new]] - tblPiNHistorical[[#This Row],[CCCM - old]])/tblPiNHistorical[[#This Row],[CCCM - old]], 1), "")</f>
        <v>0.1</v>
      </c>
      <c r="AJ221" s="343">
        <f>IFERROR(ROUND((tblPiNHistorical[[#This Row],[Education - new]]-tblPiNHistorical[[#This Row],[Education - old]])/tblPiNHistorical[[#This Row],[Education - old]], 1), "")</f>
        <v>0.6</v>
      </c>
      <c r="AK221" s="343">
        <f>IFERROR(ROUND((tblPiNHistorical[[#This Row],[Nutrition - new]]-tblPiNHistorical[[#This Row],[Nutrition - old]])/tblPiNHistorical[[#This Row],[Nutrition - old]], 1), "")</f>
        <v>-0.2</v>
      </c>
      <c r="AL221" s="343">
        <f>IFERROR(ROUND((tblPiNHistorical[[#This Row],[Food Security - new]]-tblPiNHistorical[[#This Row],[Food Security - old]])/tblPiNHistorical[[#This Row],[Food Security - old]], 1), "")</f>
        <v>0.2</v>
      </c>
      <c r="AM221" s="343">
        <f>IFERROR(ROUND((tblPiNHistorical[[#This Row],[Health - new]]-tblPiNHistorical[[#This Row],[Health - old]])/tblPiNHistorical[[#This Row],[Health - old]], 1), "")</f>
        <v>0.1</v>
      </c>
      <c r="AN221" s="343">
        <f>IFERROR(ROUND((tblPiNHistorical[[#This Row],[Overarching Protection - new]]-tblPiNHistorical[[#This Row],[Overarching Protection - old]])/tblPiNHistorical[[#This Row],[Overarching Protection - old]], 1), "")</f>
        <v>-0.1</v>
      </c>
      <c r="AO221" s="343">
        <f>IFERROR(ROUND((tblPiNHistorical[[#This Row],[Shelter - new]]-tblPiNHistorical[[#This Row],[Shelter - old]])/tblPiNHistorical[[#This Row],[Shelter - old]], 1), "")</f>
        <v>1.1000000000000001</v>
      </c>
      <c r="AP221" s="38">
        <f>IFERROR(ROUND((tblPiNHistorical[[#This Row],[WASH - new]]-tblPiNHistorical[[#This Row],[WASH - old]])/tblPiNHistorical[[#This Row],[WASH - old]], 1), "")</f>
        <v>0.3</v>
      </c>
      <c r="AQ221" s="406">
        <v>33011</v>
      </c>
      <c r="AR221" s="406">
        <v>38531.47105902285</v>
      </c>
    </row>
    <row r="222" spans="1:44" ht="15" customHeight="1" x14ac:dyDescent="0.55000000000000004">
      <c r="A22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2" s="316" t="s">
        <v>368</v>
      </c>
      <c r="C222" s="218" t="s">
        <v>369</v>
      </c>
      <c r="D222" s="218" t="s">
        <v>370</v>
      </c>
      <c r="E222" s="105" t="s">
        <v>371</v>
      </c>
      <c r="F222" s="100"/>
      <c r="G222" s="34"/>
      <c r="H222" s="335"/>
      <c r="I222" s="97"/>
      <c r="J222" s="97" t="s">
        <v>414</v>
      </c>
      <c r="K222" s="336">
        <v>931.99484885776815</v>
      </c>
      <c r="L222" s="337">
        <v>1317</v>
      </c>
      <c r="M222" s="319">
        <v>3488.990087815424</v>
      </c>
      <c r="N222" s="319">
        <v>5105</v>
      </c>
      <c r="O222" s="319">
        <v>2485.3172784288899</v>
      </c>
      <c r="P222" s="319">
        <v>4144.4828038571432</v>
      </c>
      <c r="Q222" s="320">
        <v>716.91911450597559</v>
      </c>
      <c r="R222" s="319">
        <v>1208.1414707415511</v>
      </c>
      <c r="S222" s="235">
        <f>tblPiNAnalysis[[#This Row],[CCCM]]</f>
        <v>5247.4994281139261</v>
      </c>
      <c r="T222" s="236">
        <f>tblPiNAnalysis[[#This Row],[Education]]</f>
        <v>7413.4293053986139</v>
      </c>
      <c r="U222" s="219">
        <f>tblPiNAnalysis[[#This Row],[Nutrition]]</f>
        <v>12492.153849814778</v>
      </c>
      <c r="V222" s="219">
        <f>tblPiNAnalysis[[#This Row],[Food Security]]</f>
        <v>20489.716482018473</v>
      </c>
      <c r="W222" s="219">
        <f>tblPiNAnalysis[[#This Row],[Health]]</f>
        <v>16834.613214961206</v>
      </c>
      <c r="X222" s="219">
        <f>tblPiNAnalysis[[#This Row],[Overarching Protection]]</f>
        <v>23078</v>
      </c>
      <c r="Y222" s="219">
        <f>tblPiNAnalysis[[#This Row],[Shelter]]</f>
        <v>24660.379826109162</v>
      </c>
      <c r="Z222" s="230">
        <f>tblPiNAnalysis[[#This Row],[WASH]]</f>
        <v>11661.109840253168</v>
      </c>
      <c r="AA222" s="339">
        <f>IF(OR(tblPiNHistorical[[#This Row],[CCCM - old]]="", tblPiNHistorical[[#This Row],[CCCM - old]]=0, tblPiNHistorical[[#This Row],[CCCM - new]]="", tblPiNHistorical[[#This Row],[CCCM - new]]=0), "", tblPiNHistorical[[#This Row],[CCCM - new]]-tblPiNHistorical[[#This Row],[CCCM - old]])</f>
        <v>4315.5045792561577</v>
      </c>
      <c r="AB222" s="340">
        <f>IF(OR(tblPiNHistorical[[#This Row],[Education - old]]="", tblPiNHistorical[[#This Row],[Education - old]]=0, tblPiNHistorical[[#This Row],[Education - new]]="", tblPiNHistorical[[#This Row],[Education - new]]=0), "", tblPiNHistorical[[#This Row],[Education - new]]-tblPiNHistorical[[#This Row],[Education - old]])</f>
        <v>6096.4293053986139</v>
      </c>
      <c r="AC222" s="340">
        <f>IF(OR(tblPiNHistorical[[#This Row],[Nutrition - old]]="", tblPiNHistorical[[#This Row],[Nutrition - old]]=0, tblPiNHistorical[[#This Row],[Nutrition - new]]="", tblPiNHistorical[[#This Row],[Nutrition - new]]=0), "", tblPiNHistorical[[#This Row],[Nutrition - new]]-tblPiNHistorical[[#This Row],[Nutrition - old]])</f>
        <v>9003.1637619993544</v>
      </c>
      <c r="AD222" s="340">
        <f>IF(OR(tblPiNHistorical[[#This Row],[Food Security - old]]="", tblPiNHistorical[[#This Row],[Food Security - old]]=0, tblPiNHistorical[[#This Row],[Food Security - new]]="", tblPiNHistorical[[#This Row],[Food Security - new]]=0), "", tblPiNHistorical[[#This Row],[Food Security - new]]-tblPiNHistorical[[#This Row],[Food Security - old]])</f>
        <v>15384.716482018473</v>
      </c>
      <c r="AE222" s="340">
        <f>IF(OR(tblPiNHistorical[[#This Row],[Health - old]]="", tblPiNHistorical[[#This Row],[Health - old]]=0, tblPiNHistorical[[#This Row],[Health - new]]="", tblPiNHistorical[[#This Row],[Health - new]]=0), "", tblPiNHistorical[[#This Row],[Health - new]]-tblPiNHistorical[[#This Row],[Health - old]])</f>
        <v>14349.295936532315</v>
      </c>
      <c r="AF22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18933.517196142857</v>
      </c>
      <c r="AG222" s="340">
        <f>IF(OR(tblPiNHistorical[[#This Row],[Shelter - old]]="", tblPiNHistorical[[#This Row],[Shelter - old]]=0, tblPiNHistorical[[#This Row],[Shelter - new]]="", tblPiNHistorical[[#This Row],[Shelter - new]]=0), "", tblPiNHistorical[[#This Row],[Shelter - new]]-tblPiNHistorical[[#This Row],[Shelter - old]])</f>
        <v>23943.460711603188</v>
      </c>
      <c r="AH222" s="341">
        <f>IF(OR(tblPiNHistorical[[#This Row],[WASH - old]]="", tblPiNHistorical[[#This Row],[WASH - old]]=0, tblPiNHistorical[[#This Row],[WASH - new]]="", tblPiNHistorical[[#This Row],[WASH - new]]=0), "", tblPiNHistorical[[#This Row],[WASH - new]]-tblPiNHistorical[[#This Row],[WASH - old]])</f>
        <v>10452.968369511616</v>
      </c>
      <c r="AI222" s="342">
        <f>IFERROR(ROUND((tblPiNHistorical[[#This Row],[CCCM - new]] - tblPiNHistorical[[#This Row],[CCCM - old]])/tblPiNHistorical[[#This Row],[CCCM - old]], 1), "")</f>
        <v>4.5999999999999996</v>
      </c>
      <c r="AJ222" s="343">
        <f>IFERROR(ROUND((tblPiNHistorical[[#This Row],[Education - new]]-tblPiNHistorical[[#This Row],[Education - old]])/tblPiNHistorical[[#This Row],[Education - old]], 1), "")</f>
        <v>4.5999999999999996</v>
      </c>
      <c r="AK222" s="343">
        <f>IFERROR(ROUND((tblPiNHistorical[[#This Row],[Nutrition - new]]-tblPiNHistorical[[#This Row],[Nutrition - old]])/tblPiNHistorical[[#This Row],[Nutrition - old]], 1), "")</f>
        <v>2.6</v>
      </c>
      <c r="AL222" s="343">
        <f>IFERROR(ROUND((tblPiNHistorical[[#This Row],[Food Security - new]]-tblPiNHistorical[[#This Row],[Food Security - old]])/tblPiNHistorical[[#This Row],[Food Security - old]], 1), "")</f>
        <v>3</v>
      </c>
      <c r="AM222" s="343">
        <f>IFERROR(ROUND((tblPiNHistorical[[#This Row],[Health - new]]-tblPiNHistorical[[#This Row],[Health - old]])/tblPiNHistorical[[#This Row],[Health - old]], 1), "")</f>
        <v>5.8</v>
      </c>
      <c r="AN222" s="343">
        <f>IFERROR(ROUND((tblPiNHistorical[[#This Row],[Overarching Protection - new]]-tblPiNHistorical[[#This Row],[Overarching Protection - old]])/tblPiNHistorical[[#This Row],[Overarching Protection - old]], 1), "")</f>
        <v>4.5999999999999996</v>
      </c>
      <c r="AO222" s="343">
        <f>IFERROR(ROUND((tblPiNHistorical[[#This Row],[Shelter - new]]-tblPiNHistorical[[#This Row],[Shelter - old]])/tblPiNHistorical[[#This Row],[Shelter - old]], 1), "")</f>
        <v>33.4</v>
      </c>
      <c r="AP222" s="38">
        <f>IFERROR(ROUND((tblPiNHistorical[[#This Row],[WASH - new]]-tblPiNHistorical[[#This Row],[WASH - old]])/tblPiNHistorical[[#This Row],[WASH - old]], 1), "")</f>
        <v>8.6999999999999993</v>
      </c>
      <c r="AQ222" s="406">
        <v>5105</v>
      </c>
      <c r="AR222" s="406">
        <v>24660.379826109162</v>
      </c>
    </row>
    <row r="223" spans="1:44" ht="15" customHeight="1" x14ac:dyDescent="0.55000000000000004">
      <c r="A22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3" s="316" t="s">
        <v>368</v>
      </c>
      <c r="C223" s="218" t="s">
        <v>369</v>
      </c>
      <c r="D223" s="218" t="s">
        <v>372</v>
      </c>
      <c r="E223" s="105" t="s">
        <v>373</v>
      </c>
      <c r="F223" s="100"/>
      <c r="G223" s="34"/>
      <c r="H223" s="335"/>
      <c r="I223" s="97"/>
      <c r="J223" s="97" t="s">
        <v>414</v>
      </c>
      <c r="K223" s="336">
        <v>1853.25</v>
      </c>
      <c r="L223" s="337">
        <v>1333</v>
      </c>
      <c r="M223" s="319">
        <v>7005.1487771543489</v>
      </c>
      <c r="N223" s="319">
        <v>9316</v>
      </c>
      <c r="O223" s="319">
        <v>5823.1334400700516</v>
      </c>
      <c r="P223" s="319">
        <v>9024.8240039199991</v>
      </c>
      <c r="Q223" s="320">
        <v>6335.8974358974356</v>
      </c>
      <c r="R223" s="319">
        <v>3348.5514018691588</v>
      </c>
      <c r="S223" s="235">
        <f>tblPiNAnalysis[[#This Row],[CCCM]]</f>
        <v>14761.312114834724</v>
      </c>
      <c r="T223" s="236">
        <f>tblPiNAnalysis[[#This Row],[Education]]</f>
        <v>22394.770403530743</v>
      </c>
      <c r="U223" s="219">
        <f>tblPiNAnalysis[[#This Row],[Nutrition]]</f>
        <v>35540.933869193272</v>
      </c>
      <c r="V223" s="219">
        <f>tblPiNAnalysis[[#This Row],[Food Security]]</f>
        <v>52315.662132673438</v>
      </c>
      <c r="W223" s="219">
        <f>tblPiNAnalysis[[#This Row],[Health]]</f>
        <v>49887.945759563932</v>
      </c>
      <c r="X223" s="219">
        <f>tblPiNAnalysis[[#This Row],[Overarching Protection]]</f>
        <v>65097</v>
      </c>
      <c r="Y223" s="219">
        <f>tblPiNAnalysis[[#This Row],[Shelter]]</f>
        <v>57990.869022564992</v>
      </c>
      <c r="Z223" s="230">
        <f>tblPiNAnalysis[[#This Row],[WASH]]</f>
        <v>49204.373716115748</v>
      </c>
      <c r="AA223" s="339">
        <f>IF(OR(tblPiNHistorical[[#This Row],[CCCM - old]]="", tblPiNHistorical[[#This Row],[CCCM - old]]=0, tblPiNHistorical[[#This Row],[CCCM - new]]="", tblPiNHistorical[[#This Row],[CCCM - new]]=0), "", tblPiNHistorical[[#This Row],[CCCM - new]]-tblPiNHistorical[[#This Row],[CCCM - old]])</f>
        <v>12908.062114834724</v>
      </c>
      <c r="AB223" s="340">
        <f>IF(OR(tblPiNHistorical[[#This Row],[Education - old]]="", tblPiNHistorical[[#This Row],[Education - old]]=0, tblPiNHistorical[[#This Row],[Education - new]]="", tblPiNHistorical[[#This Row],[Education - new]]=0), "", tblPiNHistorical[[#This Row],[Education - new]]-tblPiNHistorical[[#This Row],[Education - old]])</f>
        <v>21061.770403530743</v>
      </c>
      <c r="AC223" s="340">
        <f>IF(OR(tblPiNHistorical[[#This Row],[Nutrition - old]]="", tblPiNHistorical[[#This Row],[Nutrition - old]]=0, tblPiNHistorical[[#This Row],[Nutrition - new]]="", tblPiNHistorical[[#This Row],[Nutrition - new]]=0), "", tblPiNHistorical[[#This Row],[Nutrition - new]]-tblPiNHistorical[[#This Row],[Nutrition - old]])</f>
        <v>28535.785092038925</v>
      </c>
      <c r="AD223" s="340">
        <f>IF(OR(tblPiNHistorical[[#This Row],[Food Security - old]]="", tblPiNHistorical[[#This Row],[Food Security - old]]=0, tblPiNHistorical[[#This Row],[Food Security - new]]="", tblPiNHistorical[[#This Row],[Food Security - new]]=0), "", tblPiNHistorical[[#This Row],[Food Security - new]]-tblPiNHistorical[[#This Row],[Food Security - old]])</f>
        <v>42999.662132673438</v>
      </c>
      <c r="AE223" s="340">
        <f>IF(OR(tblPiNHistorical[[#This Row],[Health - old]]="", tblPiNHistorical[[#This Row],[Health - old]]=0, tblPiNHistorical[[#This Row],[Health - new]]="", tblPiNHistorical[[#This Row],[Health - new]]=0), "", tblPiNHistorical[[#This Row],[Health - new]]-tblPiNHistorical[[#This Row],[Health - old]])</f>
        <v>44064.812319493882</v>
      </c>
      <c r="AF22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56072.175996079997</v>
      </c>
      <c r="AG223" s="340">
        <f>IF(OR(tblPiNHistorical[[#This Row],[Shelter - old]]="", tblPiNHistorical[[#This Row],[Shelter - old]]=0, tblPiNHistorical[[#This Row],[Shelter - new]]="", tblPiNHistorical[[#This Row],[Shelter - new]]=0), "", tblPiNHistorical[[#This Row],[Shelter - new]]-tblPiNHistorical[[#This Row],[Shelter - old]])</f>
        <v>51654.971586667554</v>
      </c>
      <c r="AH223" s="341">
        <f>IF(OR(tblPiNHistorical[[#This Row],[WASH - old]]="", tblPiNHistorical[[#This Row],[WASH - old]]=0, tblPiNHistorical[[#This Row],[WASH - new]]="", tblPiNHistorical[[#This Row],[WASH - new]]=0), "", tblPiNHistorical[[#This Row],[WASH - new]]-tblPiNHistorical[[#This Row],[WASH - old]])</f>
        <v>45855.822314246587</v>
      </c>
      <c r="AI223" s="342">
        <f>IFERROR(ROUND((tblPiNHistorical[[#This Row],[CCCM - new]] - tblPiNHistorical[[#This Row],[CCCM - old]])/tblPiNHistorical[[#This Row],[CCCM - old]], 1), "")</f>
        <v>7</v>
      </c>
      <c r="AJ223" s="343">
        <f>IFERROR(ROUND((tblPiNHistorical[[#This Row],[Education - new]]-tblPiNHistorical[[#This Row],[Education - old]])/tblPiNHistorical[[#This Row],[Education - old]], 1), "")</f>
        <v>15.8</v>
      </c>
      <c r="AK223" s="343">
        <f>IFERROR(ROUND((tblPiNHistorical[[#This Row],[Nutrition - new]]-tblPiNHistorical[[#This Row],[Nutrition - old]])/tblPiNHistorical[[#This Row],[Nutrition - old]], 1), "")</f>
        <v>4.0999999999999996</v>
      </c>
      <c r="AL223" s="343">
        <f>IFERROR(ROUND((tblPiNHistorical[[#This Row],[Food Security - new]]-tblPiNHistorical[[#This Row],[Food Security - old]])/tblPiNHistorical[[#This Row],[Food Security - old]], 1), "")</f>
        <v>4.5999999999999996</v>
      </c>
      <c r="AM223" s="343">
        <f>IFERROR(ROUND((tblPiNHistorical[[#This Row],[Health - new]]-tblPiNHistorical[[#This Row],[Health - old]])/tblPiNHistorical[[#This Row],[Health - old]], 1), "")</f>
        <v>7.6</v>
      </c>
      <c r="AN223" s="343">
        <f>IFERROR(ROUND((tblPiNHistorical[[#This Row],[Overarching Protection - new]]-tblPiNHistorical[[#This Row],[Overarching Protection - old]])/tblPiNHistorical[[#This Row],[Overarching Protection - old]], 1), "")</f>
        <v>6.2</v>
      </c>
      <c r="AO223" s="343">
        <f>IFERROR(ROUND((tblPiNHistorical[[#This Row],[Shelter - new]]-tblPiNHistorical[[#This Row],[Shelter - old]])/tblPiNHistorical[[#This Row],[Shelter - old]], 1), "")</f>
        <v>8.1999999999999993</v>
      </c>
      <c r="AP223" s="38">
        <f>IFERROR(ROUND((tblPiNHistorical[[#This Row],[WASH - new]]-tblPiNHistorical[[#This Row],[WASH - old]])/tblPiNHistorical[[#This Row],[WASH - old]], 1), "")</f>
        <v>13.7</v>
      </c>
      <c r="AQ223" s="406">
        <v>9316</v>
      </c>
      <c r="AR223" s="406">
        <v>65097</v>
      </c>
    </row>
    <row r="224" spans="1:44" ht="15" customHeight="1" x14ac:dyDescent="0.55000000000000004">
      <c r="A22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4" s="316" t="s">
        <v>368</v>
      </c>
      <c r="C224" s="218" t="s">
        <v>369</v>
      </c>
      <c r="D224" s="218" t="s">
        <v>374</v>
      </c>
      <c r="E224" s="105" t="s">
        <v>375</v>
      </c>
      <c r="F224" s="100"/>
      <c r="G224" s="34"/>
      <c r="H224" s="335"/>
      <c r="I224" s="97"/>
      <c r="J224" s="97" t="s">
        <v>414</v>
      </c>
      <c r="K224" s="336">
        <v>152.13745235183697</v>
      </c>
      <c r="L224" s="337">
        <v>280</v>
      </c>
      <c r="M224" s="319">
        <v>584.31938097815362</v>
      </c>
      <c r="N224" s="319">
        <v>777</v>
      </c>
      <c r="O224" s="319">
        <v>933.75127153825736</v>
      </c>
      <c r="P224" s="319">
        <v>697.17570000000001</v>
      </c>
      <c r="Q224" s="320">
        <v>225.38881829901774</v>
      </c>
      <c r="R224" s="319">
        <v>347.47442821098571</v>
      </c>
      <c r="S224" s="235">
        <f>tblPiNAnalysis[[#This Row],[CCCM]]</f>
        <v>2680.3252070227609</v>
      </c>
      <c r="T224" s="236">
        <f>tblPiNAnalysis[[#This Row],[Education]]</f>
        <v>5845.6498996058772</v>
      </c>
      <c r="U224" s="219">
        <f>tblPiNAnalysis[[#This Row],[Nutrition]]</f>
        <v>7627.3791897194624</v>
      </c>
      <c r="V224" s="219">
        <f>tblPiNAnalysis[[#This Row],[Food Security]]</f>
        <v>13176.465842066476</v>
      </c>
      <c r="W224" s="219">
        <f>tblPiNAnalysis[[#This Row],[Health]]</f>
        <v>7643.5241742857106</v>
      </c>
      <c r="X224" s="219">
        <f>tblPiNAnalysis[[#This Row],[Overarching Protection]]</f>
        <v>13713</v>
      </c>
      <c r="Y224" s="219">
        <f>tblPiNAnalysis[[#This Row],[Shelter]]</f>
        <v>12183.296395558005</v>
      </c>
      <c r="Z224" s="230">
        <f>tblPiNAnalysis[[#This Row],[WASH]]</f>
        <v>8768.9651834695287</v>
      </c>
      <c r="AA224" s="339">
        <f>IF(OR(tblPiNHistorical[[#This Row],[CCCM - old]]="", tblPiNHistorical[[#This Row],[CCCM - old]]=0, tblPiNHistorical[[#This Row],[CCCM - new]]="", tblPiNHistorical[[#This Row],[CCCM - new]]=0), "", tblPiNHistorical[[#This Row],[CCCM - new]]-tblPiNHistorical[[#This Row],[CCCM - old]])</f>
        <v>2528.1877546709238</v>
      </c>
      <c r="AB224" s="340">
        <f>IF(OR(tblPiNHistorical[[#This Row],[Education - old]]="", tblPiNHistorical[[#This Row],[Education - old]]=0, tblPiNHistorical[[#This Row],[Education - new]]="", tblPiNHistorical[[#This Row],[Education - new]]=0), "", tblPiNHistorical[[#This Row],[Education - new]]-tblPiNHistorical[[#This Row],[Education - old]])</f>
        <v>5565.6498996058772</v>
      </c>
      <c r="AC224" s="340">
        <f>IF(OR(tblPiNHistorical[[#This Row],[Nutrition - old]]="", tblPiNHistorical[[#This Row],[Nutrition - old]]=0, tblPiNHistorical[[#This Row],[Nutrition - new]]="", tblPiNHistorical[[#This Row],[Nutrition - new]]=0), "", tblPiNHistorical[[#This Row],[Nutrition - new]]-tblPiNHistorical[[#This Row],[Nutrition - old]])</f>
        <v>7043.0598087413091</v>
      </c>
      <c r="AD224" s="340">
        <f>IF(OR(tblPiNHistorical[[#This Row],[Food Security - old]]="", tblPiNHistorical[[#This Row],[Food Security - old]]=0, tblPiNHistorical[[#This Row],[Food Security - new]]="", tblPiNHistorical[[#This Row],[Food Security - new]]=0), "", tblPiNHistorical[[#This Row],[Food Security - new]]-tblPiNHistorical[[#This Row],[Food Security - old]])</f>
        <v>12399.465842066476</v>
      </c>
      <c r="AE224" s="340">
        <f>IF(OR(tblPiNHistorical[[#This Row],[Health - old]]="", tblPiNHistorical[[#This Row],[Health - old]]=0, tblPiNHistorical[[#This Row],[Health - new]]="", tblPiNHistorical[[#This Row],[Health - new]]=0), "", tblPiNHistorical[[#This Row],[Health - new]]-tblPiNHistorical[[#This Row],[Health - old]])</f>
        <v>6709.7729027474534</v>
      </c>
      <c r="AF224"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13015.8243</v>
      </c>
      <c r="AG224" s="340">
        <f>IF(OR(tblPiNHistorical[[#This Row],[Shelter - old]]="", tblPiNHistorical[[#This Row],[Shelter - old]]=0, tblPiNHistorical[[#This Row],[Shelter - new]]="", tblPiNHistorical[[#This Row],[Shelter - new]]=0), "", tblPiNHistorical[[#This Row],[Shelter - new]]-tblPiNHistorical[[#This Row],[Shelter - old]])</f>
        <v>11957.907577258988</v>
      </c>
      <c r="AH224" s="341">
        <f>IF(OR(tblPiNHistorical[[#This Row],[WASH - old]]="", tblPiNHistorical[[#This Row],[WASH - old]]=0, tblPiNHistorical[[#This Row],[WASH - new]]="", tblPiNHistorical[[#This Row],[WASH - new]]=0), "", tblPiNHistorical[[#This Row],[WASH - new]]-tblPiNHistorical[[#This Row],[WASH - old]])</f>
        <v>8421.4907552585428</v>
      </c>
      <c r="AI224" s="342">
        <f>IFERROR(ROUND((tblPiNHistorical[[#This Row],[CCCM - new]] - tblPiNHistorical[[#This Row],[CCCM - old]])/tblPiNHistorical[[#This Row],[CCCM - old]], 1), "")</f>
        <v>16.600000000000001</v>
      </c>
      <c r="AJ224" s="343">
        <f>IFERROR(ROUND((tblPiNHistorical[[#This Row],[Education - new]]-tblPiNHistorical[[#This Row],[Education - old]])/tblPiNHistorical[[#This Row],[Education - old]], 1), "")</f>
        <v>19.899999999999999</v>
      </c>
      <c r="AK224" s="343">
        <f>IFERROR(ROUND((tblPiNHistorical[[#This Row],[Nutrition - new]]-tblPiNHistorical[[#This Row],[Nutrition - old]])/tblPiNHistorical[[#This Row],[Nutrition - old]], 1), "")</f>
        <v>12.1</v>
      </c>
      <c r="AL224" s="343">
        <f>IFERROR(ROUND((tblPiNHistorical[[#This Row],[Food Security - new]]-tblPiNHistorical[[#This Row],[Food Security - old]])/tblPiNHistorical[[#This Row],[Food Security - old]], 1), "")</f>
        <v>16</v>
      </c>
      <c r="AM224" s="343">
        <f>IFERROR(ROUND((tblPiNHistorical[[#This Row],[Health - new]]-tblPiNHistorical[[#This Row],[Health - old]])/tblPiNHistorical[[#This Row],[Health - old]], 1), "")</f>
        <v>7.2</v>
      </c>
      <c r="AN224" s="343">
        <f>IFERROR(ROUND((tblPiNHistorical[[#This Row],[Overarching Protection - new]]-tblPiNHistorical[[#This Row],[Overarching Protection - old]])/tblPiNHistorical[[#This Row],[Overarching Protection - old]], 1), "")</f>
        <v>18.7</v>
      </c>
      <c r="AO224" s="343">
        <f>IFERROR(ROUND((tblPiNHistorical[[#This Row],[Shelter - new]]-tblPiNHistorical[[#This Row],[Shelter - old]])/tblPiNHistorical[[#This Row],[Shelter - old]], 1), "")</f>
        <v>53.1</v>
      </c>
      <c r="AP224" s="38">
        <f>IFERROR(ROUND((tblPiNHistorical[[#This Row],[WASH - new]]-tblPiNHistorical[[#This Row],[WASH - old]])/tblPiNHistorical[[#This Row],[WASH - old]], 1), "")</f>
        <v>24.2</v>
      </c>
      <c r="AQ224" s="406">
        <v>933.75127153825736</v>
      </c>
      <c r="AR224" s="406">
        <v>13713</v>
      </c>
    </row>
    <row r="225" spans="1:44" ht="15" customHeight="1" x14ac:dyDescent="0.55000000000000004">
      <c r="A22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5" s="316" t="s">
        <v>368</v>
      </c>
      <c r="C225" s="218" t="s">
        <v>369</v>
      </c>
      <c r="D225" s="218" t="s">
        <v>376</v>
      </c>
      <c r="E225" s="105" t="s">
        <v>377</v>
      </c>
      <c r="F225" s="100"/>
      <c r="G225" s="34"/>
      <c r="H225" s="335"/>
      <c r="I225" s="97"/>
      <c r="J225" s="97" t="s">
        <v>414</v>
      </c>
      <c r="K225" s="336">
        <v>8.5653793549291599</v>
      </c>
      <c r="L225" s="337">
        <v>7</v>
      </c>
      <c r="M225" s="319">
        <v>33.21692201153364</v>
      </c>
      <c r="N225" s="319">
        <v>40</v>
      </c>
      <c r="O225" s="319">
        <v>32.576107133094318</v>
      </c>
      <c r="P225" s="319">
        <v>34.671161999999995</v>
      </c>
      <c r="Q225" s="320">
        <v>24.472512442654743</v>
      </c>
      <c r="R225" s="319">
        <v>7.4021796894449539</v>
      </c>
      <c r="S225" s="235">
        <f>tblPiNAnalysis[[#This Row],[CCCM]]</f>
        <v>1969.3858143657783</v>
      </c>
      <c r="T225" s="236">
        <f>tblPiNAnalysis[[#This Row],[Education]]</f>
        <v>3481.1651409055244</v>
      </c>
      <c r="U225" s="219">
        <f>tblPiNAnalysis[[#This Row],[Nutrition]]</f>
        <v>4927.9522371892199</v>
      </c>
      <c r="V225" s="219">
        <f>tblPiNAnalysis[[#This Row],[Food Security]]</f>
        <v>8153.4055458651592</v>
      </c>
      <c r="W225" s="219">
        <f>tblPiNAnalysis[[#This Row],[Health]]</f>
        <v>5919.1551518143524</v>
      </c>
      <c r="X225" s="219">
        <f>tblPiNAnalysis[[#This Row],[Overarching Protection]]</f>
        <v>8907</v>
      </c>
      <c r="Y225" s="219">
        <f>tblPiNAnalysis[[#This Row],[Shelter]]</f>
        <v>8951.7537016626302</v>
      </c>
      <c r="Z225" s="230">
        <f>tblPiNAnalysis[[#This Row],[WASH]]</f>
        <v>7901.8566625787389</v>
      </c>
      <c r="AA225" s="339">
        <f>IF(OR(tblPiNHistorical[[#This Row],[CCCM - old]]="", tblPiNHistorical[[#This Row],[CCCM - old]]=0, tblPiNHistorical[[#This Row],[CCCM - new]]="", tblPiNHistorical[[#This Row],[CCCM - new]]=0), "", tblPiNHistorical[[#This Row],[CCCM - new]]-tblPiNHistorical[[#This Row],[CCCM - old]])</f>
        <v>1960.8204350108492</v>
      </c>
      <c r="AB225" s="340">
        <f>IF(OR(tblPiNHistorical[[#This Row],[Education - old]]="", tblPiNHistorical[[#This Row],[Education - old]]=0, tblPiNHistorical[[#This Row],[Education - new]]="", tblPiNHistorical[[#This Row],[Education - new]]=0), "", tblPiNHistorical[[#This Row],[Education - new]]-tblPiNHistorical[[#This Row],[Education - old]])</f>
        <v>3474.1651409055244</v>
      </c>
      <c r="AC225" s="340">
        <f>IF(OR(tblPiNHistorical[[#This Row],[Nutrition - old]]="", tblPiNHistorical[[#This Row],[Nutrition - old]]=0, tblPiNHistorical[[#This Row],[Nutrition - new]]="", tblPiNHistorical[[#This Row],[Nutrition - new]]=0), "", tblPiNHistorical[[#This Row],[Nutrition - new]]-tblPiNHistorical[[#This Row],[Nutrition - old]])</f>
        <v>4894.7353151776861</v>
      </c>
      <c r="AD225" s="340">
        <f>IF(OR(tblPiNHistorical[[#This Row],[Food Security - old]]="", tblPiNHistorical[[#This Row],[Food Security - old]]=0, tblPiNHistorical[[#This Row],[Food Security - new]]="", tblPiNHistorical[[#This Row],[Food Security - new]]=0), "", tblPiNHistorical[[#This Row],[Food Security - new]]-tblPiNHistorical[[#This Row],[Food Security - old]])</f>
        <v>8113.4055458651592</v>
      </c>
      <c r="AE225" s="340">
        <f>IF(OR(tblPiNHistorical[[#This Row],[Health - old]]="", tblPiNHistorical[[#This Row],[Health - old]]=0, tblPiNHistorical[[#This Row],[Health - new]]="", tblPiNHistorical[[#This Row],[Health - new]]=0), "", tblPiNHistorical[[#This Row],[Health - new]]-tblPiNHistorical[[#This Row],[Health - old]])</f>
        <v>5886.579044681258</v>
      </c>
      <c r="AF22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8872.3288379999995</v>
      </c>
      <c r="AG225" s="340">
        <f>IF(OR(tblPiNHistorical[[#This Row],[Shelter - old]]="", tblPiNHistorical[[#This Row],[Shelter - old]]=0, tblPiNHistorical[[#This Row],[Shelter - new]]="", tblPiNHistorical[[#This Row],[Shelter - new]]=0), "", tblPiNHistorical[[#This Row],[Shelter - new]]-tblPiNHistorical[[#This Row],[Shelter - old]])</f>
        <v>8927.2811892199752</v>
      </c>
      <c r="AH225" s="341">
        <f>IF(OR(tblPiNHistorical[[#This Row],[WASH - old]]="", tblPiNHistorical[[#This Row],[WASH - old]]=0, tblPiNHistorical[[#This Row],[WASH - new]]="", tblPiNHistorical[[#This Row],[WASH - new]]=0), "", tblPiNHistorical[[#This Row],[WASH - new]]-tblPiNHistorical[[#This Row],[WASH - old]])</f>
        <v>7894.454482889294</v>
      </c>
      <c r="AI225" s="342">
        <f>IFERROR(ROUND((tblPiNHistorical[[#This Row],[CCCM - new]] - tblPiNHistorical[[#This Row],[CCCM - old]])/tblPiNHistorical[[#This Row],[CCCM - old]], 1), "")</f>
        <v>228.9</v>
      </c>
      <c r="AJ225" s="343">
        <f>IFERROR(ROUND((tblPiNHistorical[[#This Row],[Education - new]]-tblPiNHistorical[[#This Row],[Education - old]])/tblPiNHistorical[[#This Row],[Education - old]], 1), "")</f>
        <v>496.3</v>
      </c>
      <c r="AK225" s="343">
        <f>IFERROR(ROUND((tblPiNHistorical[[#This Row],[Nutrition - new]]-tblPiNHistorical[[#This Row],[Nutrition - old]])/tblPiNHistorical[[#This Row],[Nutrition - old]], 1), "")</f>
        <v>147.4</v>
      </c>
      <c r="AL225" s="343">
        <f>IFERROR(ROUND((tblPiNHistorical[[#This Row],[Food Security - new]]-tblPiNHistorical[[#This Row],[Food Security - old]])/tblPiNHistorical[[#This Row],[Food Security - old]], 1), "")</f>
        <v>202.8</v>
      </c>
      <c r="AM225" s="343">
        <f>IFERROR(ROUND((tblPiNHistorical[[#This Row],[Health - new]]-tblPiNHistorical[[#This Row],[Health - old]])/tblPiNHistorical[[#This Row],[Health - old]], 1), "")</f>
        <v>180.7</v>
      </c>
      <c r="AN225" s="343">
        <f>IFERROR(ROUND((tblPiNHistorical[[#This Row],[Overarching Protection - new]]-tblPiNHistorical[[#This Row],[Overarching Protection - old]])/tblPiNHistorical[[#This Row],[Overarching Protection - old]], 1), "")</f>
        <v>255.9</v>
      </c>
      <c r="AO225" s="343">
        <f>IFERROR(ROUND((tblPiNHistorical[[#This Row],[Shelter - new]]-tblPiNHistorical[[#This Row],[Shelter - old]])/tblPiNHistorical[[#This Row],[Shelter - old]], 1), "")</f>
        <v>364.8</v>
      </c>
      <c r="AP225" s="38">
        <f>IFERROR(ROUND((tblPiNHistorical[[#This Row],[WASH - new]]-tblPiNHistorical[[#This Row],[WASH - old]])/tblPiNHistorical[[#This Row],[WASH - old]], 1), "")</f>
        <v>1066.5</v>
      </c>
      <c r="AQ225" s="406">
        <v>40</v>
      </c>
      <c r="AR225" s="406">
        <v>8951.7537016626302</v>
      </c>
    </row>
    <row r="226" spans="1:44" ht="15" customHeight="1" x14ac:dyDescent="0.55000000000000004">
      <c r="A22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6" s="316" t="s">
        <v>368</v>
      </c>
      <c r="C226" s="218" t="s">
        <v>369</v>
      </c>
      <c r="D226" s="218" t="s">
        <v>378</v>
      </c>
      <c r="E226" s="105" t="s">
        <v>379</v>
      </c>
      <c r="F226" s="100"/>
      <c r="G226" s="34"/>
      <c r="H226" s="335"/>
      <c r="I226" s="97"/>
      <c r="J226" s="97" t="s">
        <v>414</v>
      </c>
      <c r="K226" s="336">
        <v>135.21063124566746</v>
      </c>
      <c r="L226" s="337">
        <v>305</v>
      </c>
      <c r="M226" s="319">
        <v>523.91752312269705</v>
      </c>
      <c r="N226" s="319">
        <v>512</v>
      </c>
      <c r="O226" s="319">
        <v>302.53910486006401</v>
      </c>
      <c r="P226" s="319">
        <v>609.87587568728475</v>
      </c>
      <c r="Q226" s="320">
        <v>355.81745064649328</v>
      </c>
      <c r="R226" s="319">
        <v>166.92670524156475</v>
      </c>
      <c r="S226" s="235">
        <f>tblPiNAnalysis[[#This Row],[CCCM]]</f>
        <v>1297.1157251515499</v>
      </c>
      <c r="T226" s="236">
        <f>tblPiNAnalysis[[#This Row],[Education]]</f>
        <v>1343.0984776081723</v>
      </c>
      <c r="U226" s="219">
        <f>tblPiNAnalysis[[#This Row],[Nutrition]]</f>
        <v>3855.9279964630709</v>
      </c>
      <c r="V226" s="219">
        <f>tblPiNAnalysis[[#This Row],[Food Security]]</f>
        <v>4902.8872654551633</v>
      </c>
      <c r="W226" s="219">
        <f>tblPiNAnalysis[[#This Row],[Health]]</f>
        <v>4930.3563020103575</v>
      </c>
      <c r="X226" s="219">
        <f>tblPiNAnalysis[[#This Row],[Overarching Protection]]</f>
        <v>6053</v>
      </c>
      <c r="Y226" s="219">
        <f>tblPiNAnalysis[[#This Row],[Shelter]]</f>
        <v>5228.6835432465577</v>
      </c>
      <c r="Z226" s="230">
        <f>tblPiNAnalysis[[#This Row],[WASH]]</f>
        <v>6645.7163696036187</v>
      </c>
      <c r="AA226" s="339">
        <f>IF(OR(tblPiNHistorical[[#This Row],[CCCM - old]]="", tblPiNHistorical[[#This Row],[CCCM - old]]=0, tblPiNHistorical[[#This Row],[CCCM - new]]="", tblPiNHistorical[[#This Row],[CCCM - new]]=0), "", tblPiNHistorical[[#This Row],[CCCM - new]]-tblPiNHistorical[[#This Row],[CCCM - old]])</f>
        <v>1161.9050939058825</v>
      </c>
      <c r="AB226" s="340">
        <f>IF(OR(tblPiNHistorical[[#This Row],[Education - old]]="", tblPiNHistorical[[#This Row],[Education - old]]=0, tblPiNHistorical[[#This Row],[Education - new]]="", tblPiNHistorical[[#This Row],[Education - new]]=0), "", tblPiNHistorical[[#This Row],[Education - new]]-tblPiNHistorical[[#This Row],[Education - old]])</f>
        <v>1038.0984776081723</v>
      </c>
      <c r="AC226" s="340">
        <f>IF(OR(tblPiNHistorical[[#This Row],[Nutrition - old]]="", tblPiNHistorical[[#This Row],[Nutrition - old]]=0, tblPiNHistorical[[#This Row],[Nutrition - new]]="", tblPiNHistorical[[#This Row],[Nutrition - new]]=0), "", tblPiNHistorical[[#This Row],[Nutrition - new]]-tblPiNHistorical[[#This Row],[Nutrition - old]])</f>
        <v>3332.0104733403741</v>
      </c>
      <c r="AD226" s="340">
        <f>IF(OR(tblPiNHistorical[[#This Row],[Food Security - old]]="", tblPiNHistorical[[#This Row],[Food Security - old]]=0, tblPiNHistorical[[#This Row],[Food Security - new]]="", tblPiNHistorical[[#This Row],[Food Security - new]]=0), "", tblPiNHistorical[[#This Row],[Food Security - new]]-tblPiNHistorical[[#This Row],[Food Security - old]])</f>
        <v>4390.8872654551633</v>
      </c>
      <c r="AE226" s="340">
        <f>IF(OR(tblPiNHistorical[[#This Row],[Health - old]]="", tblPiNHistorical[[#This Row],[Health - old]]=0, tblPiNHistorical[[#This Row],[Health - new]]="", tblPiNHistorical[[#This Row],[Health - new]]=0), "", tblPiNHistorical[[#This Row],[Health - new]]-tblPiNHistorical[[#This Row],[Health - old]])</f>
        <v>4627.8171971502934</v>
      </c>
      <c r="AF226"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5443.1241243127151</v>
      </c>
      <c r="AG226" s="340">
        <f>IF(OR(tblPiNHistorical[[#This Row],[Shelter - old]]="", tblPiNHistorical[[#This Row],[Shelter - old]]=0, tblPiNHistorical[[#This Row],[Shelter - new]]="", tblPiNHistorical[[#This Row],[Shelter - new]]=0), "", tblPiNHistorical[[#This Row],[Shelter - new]]-tblPiNHistorical[[#This Row],[Shelter - old]])</f>
        <v>4872.8660926000648</v>
      </c>
      <c r="AH226" s="341">
        <f>IF(OR(tblPiNHistorical[[#This Row],[WASH - old]]="", tblPiNHistorical[[#This Row],[WASH - old]]=0, tblPiNHistorical[[#This Row],[WASH - new]]="", tblPiNHistorical[[#This Row],[WASH - new]]=0), "", tblPiNHistorical[[#This Row],[WASH - new]]-tblPiNHistorical[[#This Row],[WASH - old]])</f>
        <v>6478.7896643620543</v>
      </c>
      <c r="AI226" s="342">
        <f>IFERROR(ROUND((tblPiNHistorical[[#This Row],[CCCM - new]] - tblPiNHistorical[[#This Row],[CCCM - old]])/tblPiNHistorical[[#This Row],[CCCM - old]], 1), "")</f>
        <v>8.6</v>
      </c>
      <c r="AJ226" s="343">
        <f>IFERROR(ROUND((tblPiNHistorical[[#This Row],[Education - new]]-tblPiNHistorical[[#This Row],[Education - old]])/tblPiNHistorical[[#This Row],[Education - old]], 1), "")</f>
        <v>3.4</v>
      </c>
      <c r="AK226" s="343">
        <f>IFERROR(ROUND((tblPiNHistorical[[#This Row],[Nutrition - new]]-tblPiNHistorical[[#This Row],[Nutrition - old]])/tblPiNHistorical[[#This Row],[Nutrition - old]], 1), "")</f>
        <v>6.4</v>
      </c>
      <c r="AL226" s="343">
        <f>IFERROR(ROUND((tblPiNHistorical[[#This Row],[Food Security - new]]-tblPiNHistorical[[#This Row],[Food Security - old]])/tblPiNHistorical[[#This Row],[Food Security - old]], 1), "")</f>
        <v>8.6</v>
      </c>
      <c r="AM226" s="343">
        <f>IFERROR(ROUND((tblPiNHistorical[[#This Row],[Health - new]]-tblPiNHistorical[[#This Row],[Health - old]])/tblPiNHistorical[[#This Row],[Health - old]], 1), "")</f>
        <v>15.3</v>
      </c>
      <c r="AN226" s="343">
        <f>IFERROR(ROUND((tblPiNHistorical[[#This Row],[Overarching Protection - new]]-tblPiNHistorical[[#This Row],[Overarching Protection - old]])/tblPiNHistorical[[#This Row],[Overarching Protection - old]], 1), "")</f>
        <v>8.9</v>
      </c>
      <c r="AO226" s="343">
        <f>IFERROR(ROUND((tblPiNHistorical[[#This Row],[Shelter - new]]-tblPiNHistorical[[#This Row],[Shelter - old]])/tblPiNHistorical[[#This Row],[Shelter - old]], 1), "")</f>
        <v>13.7</v>
      </c>
      <c r="AP226" s="38">
        <f>IFERROR(ROUND((tblPiNHistorical[[#This Row],[WASH - new]]-tblPiNHistorical[[#This Row],[WASH - old]])/tblPiNHistorical[[#This Row],[WASH - old]], 1), "")</f>
        <v>38.799999999999997</v>
      </c>
      <c r="AQ226" s="406">
        <v>609.87587568728475</v>
      </c>
      <c r="AR226" s="406">
        <v>6645.7163696036187</v>
      </c>
    </row>
    <row r="227" spans="1:44" ht="15" customHeight="1" x14ac:dyDescent="0.55000000000000004">
      <c r="A22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7" s="316" t="s">
        <v>368</v>
      </c>
      <c r="C227" s="218" t="s">
        <v>369</v>
      </c>
      <c r="D227" s="218" t="s">
        <v>380</v>
      </c>
      <c r="E227" s="105" t="s">
        <v>381</v>
      </c>
      <c r="F227" s="100"/>
      <c r="G227" s="34"/>
      <c r="H227" s="335"/>
      <c r="I227" s="97"/>
      <c r="J227" s="97" t="s">
        <v>414</v>
      </c>
      <c r="K227" s="336">
        <v>2265.8822518284278</v>
      </c>
      <c r="L227" s="337">
        <v>2567</v>
      </c>
      <c r="M227" s="319">
        <v>7075.4855364440373</v>
      </c>
      <c r="N227" s="319">
        <v>10187</v>
      </c>
      <c r="O227" s="319">
        <v>6103.3882811847161</v>
      </c>
      <c r="P227" s="319">
        <v>9729.0840481472005</v>
      </c>
      <c r="Q227" s="320">
        <v>4233.5198789615933</v>
      </c>
      <c r="R227" s="319">
        <v>2412.262039294355</v>
      </c>
      <c r="S227" s="235">
        <f>tblPiNAnalysis[[#This Row],[CCCM]]</f>
        <v>11896.094866178653</v>
      </c>
      <c r="T227" s="236">
        <f>tblPiNAnalysis[[#This Row],[Education]]</f>
        <v>9739.0949450431381</v>
      </c>
      <c r="U227" s="219">
        <f>tblPiNAnalysis[[#This Row],[Nutrition]]</f>
        <v>32810.821682426264</v>
      </c>
      <c r="V227" s="219">
        <f>tblPiNAnalysis[[#This Row],[Food Security]]</f>
        <v>46274.274786345559</v>
      </c>
      <c r="W227" s="219">
        <f>tblPiNAnalysis[[#This Row],[Health]]</f>
        <v>47910.869250360593</v>
      </c>
      <c r="X227" s="219">
        <f>tblPiNAnalysis[[#This Row],[Overarching Protection]]</f>
        <v>33234</v>
      </c>
      <c r="Y227" s="219">
        <f>tblPiNAnalysis[[#This Row],[Shelter]]</f>
        <v>45123.11845791903</v>
      </c>
      <c r="Z227" s="230">
        <f>tblPiNAnalysis[[#This Row],[WASH]]</f>
        <v>35982.015335972479</v>
      </c>
      <c r="AA227" s="339">
        <f>IF(OR(tblPiNHistorical[[#This Row],[CCCM - old]]="", tblPiNHistorical[[#This Row],[CCCM - old]]=0, tblPiNHistorical[[#This Row],[CCCM - new]]="", tblPiNHistorical[[#This Row],[CCCM - new]]=0), "", tblPiNHistorical[[#This Row],[CCCM - new]]-tblPiNHistorical[[#This Row],[CCCM - old]])</f>
        <v>9630.2126143502246</v>
      </c>
      <c r="AB227" s="340">
        <f>IF(OR(tblPiNHistorical[[#This Row],[Education - old]]="", tblPiNHistorical[[#This Row],[Education - old]]=0, tblPiNHistorical[[#This Row],[Education - new]]="", tblPiNHistorical[[#This Row],[Education - new]]=0), "", tblPiNHistorical[[#This Row],[Education - new]]-tblPiNHistorical[[#This Row],[Education - old]])</f>
        <v>7172.0949450431381</v>
      </c>
      <c r="AC227" s="340">
        <f>IF(OR(tblPiNHistorical[[#This Row],[Nutrition - old]]="", tblPiNHistorical[[#This Row],[Nutrition - old]]=0, tblPiNHistorical[[#This Row],[Nutrition - new]]="", tblPiNHistorical[[#This Row],[Nutrition - new]]=0), "", tblPiNHistorical[[#This Row],[Nutrition - new]]-tblPiNHistorical[[#This Row],[Nutrition - old]])</f>
        <v>25735.336145982226</v>
      </c>
      <c r="AD227" s="340">
        <f>IF(OR(tblPiNHistorical[[#This Row],[Food Security - old]]="", tblPiNHistorical[[#This Row],[Food Security - old]]=0, tblPiNHistorical[[#This Row],[Food Security - new]]="", tblPiNHistorical[[#This Row],[Food Security - new]]=0), "", tblPiNHistorical[[#This Row],[Food Security - new]]-tblPiNHistorical[[#This Row],[Food Security - old]])</f>
        <v>36087.274786345559</v>
      </c>
      <c r="AE227" s="340">
        <f>IF(OR(tblPiNHistorical[[#This Row],[Health - old]]="", tblPiNHistorical[[#This Row],[Health - old]]=0, tblPiNHistorical[[#This Row],[Health - new]]="", tblPiNHistorical[[#This Row],[Health - new]]=0), "", tblPiNHistorical[[#This Row],[Health - new]]-tblPiNHistorical[[#This Row],[Health - old]])</f>
        <v>41807.480969175878</v>
      </c>
      <c r="AF227"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23504.915951852799</v>
      </c>
      <c r="AG227" s="340">
        <f>IF(OR(tblPiNHistorical[[#This Row],[Shelter - old]]="", tblPiNHistorical[[#This Row],[Shelter - old]]=0, tblPiNHistorical[[#This Row],[Shelter - new]]="", tblPiNHistorical[[#This Row],[Shelter - new]]=0), "", tblPiNHistorical[[#This Row],[Shelter - new]]-tblPiNHistorical[[#This Row],[Shelter - old]])</f>
        <v>40889.598578957433</v>
      </c>
      <c r="AH227" s="341">
        <f>IF(OR(tblPiNHistorical[[#This Row],[WASH - old]]="", tblPiNHistorical[[#This Row],[WASH - old]]=0, tblPiNHistorical[[#This Row],[WASH - new]]="", tblPiNHistorical[[#This Row],[WASH - new]]=0), "", tblPiNHistorical[[#This Row],[WASH - new]]-tblPiNHistorical[[#This Row],[WASH - old]])</f>
        <v>33569.753296678122</v>
      </c>
      <c r="AI227" s="342">
        <f>IFERROR(ROUND((tblPiNHistorical[[#This Row],[CCCM - new]] - tblPiNHistorical[[#This Row],[CCCM - old]])/tblPiNHistorical[[#This Row],[CCCM - old]], 1), "")</f>
        <v>4.3</v>
      </c>
      <c r="AJ227" s="343">
        <f>IFERROR(ROUND((tblPiNHistorical[[#This Row],[Education - new]]-tblPiNHistorical[[#This Row],[Education - old]])/tblPiNHistorical[[#This Row],[Education - old]], 1), "")</f>
        <v>2.8</v>
      </c>
      <c r="AK227" s="343">
        <f>IFERROR(ROUND((tblPiNHistorical[[#This Row],[Nutrition - new]]-tblPiNHistorical[[#This Row],[Nutrition - old]])/tblPiNHistorical[[#This Row],[Nutrition - old]], 1), "")</f>
        <v>3.6</v>
      </c>
      <c r="AL227" s="343">
        <f>IFERROR(ROUND((tblPiNHistorical[[#This Row],[Food Security - new]]-tblPiNHistorical[[#This Row],[Food Security - old]])/tblPiNHistorical[[#This Row],[Food Security - old]], 1), "")</f>
        <v>3.5</v>
      </c>
      <c r="AM227" s="343">
        <f>IFERROR(ROUND((tblPiNHistorical[[#This Row],[Health - new]]-tblPiNHistorical[[#This Row],[Health - old]])/tblPiNHistorical[[#This Row],[Health - old]], 1), "")</f>
        <v>6.8</v>
      </c>
      <c r="AN227" s="343">
        <f>IFERROR(ROUND((tblPiNHistorical[[#This Row],[Overarching Protection - new]]-tblPiNHistorical[[#This Row],[Overarching Protection - old]])/tblPiNHistorical[[#This Row],[Overarching Protection - old]], 1), "")</f>
        <v>2.4</v>
      </c>
      <c r="AO227" s="343">
        <f>IFERROR(ROUND((tblPiNHistorical[[#This Row],[Shelter - new]]-tblPiNHistorical[[#This Row],[Shelter - old]])/tblPiNHistorical[[#This Row],[Shelter - old]], 1), "")</f>
        <v>9.6999999999999993</v>
      </c>
      <c r="AP227" s="38">
        <f>IFERROR(ROUND((tblPiNHistorical[[#This Row],[WASH - new]]-tblPiNHistorical[[#This Row],[WASH - old]])/tblPiNHistorical[[#This Row],[WASH - old]], 1), "")</f>
        <v>13.9</v>
      </c>
      <c r="AQ227" s="406">
        <v>10187</v>
      </c>
      <c r="AR227" s="406">
        <v>47910.869250360593</v>
      </c>
    </row>
    <row r="228" spans="1:44" ht="15" customHeight="1" x14ac:dyDescent="0.55000000000000004">
      <c r="A22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8" s="316" t="s">
        <v>382</v>
      </c>
      <c r="C228" s="218" t="s">
        <v>383</v>
      </c>
      <c r="D228" s="218" t="s">
        <v>384</v>
      </c>
      <c r="E228" s="105" t="s">
        <v>385</v>
      </c>
      <c r="F228" s="100"/>
      <c r="G228" s="34"/>
      <c r="H228" s="335"/>
      <c r="I228" s="97"/>
      <c r="J228" s="97" t="s">
        <v>414</v>
      </c>
      <c r="K228" s="336">
        <v>185.37928175310969</v>
      </c>
      <c r="L228" s="337">
        <v>188</v>
      </c>
      <c r="M228" s="319">
        <v>718.61536295058352</v>
      </c>
      <c r="N228" s="319">
        <v>397</v>
      </c>
      <c r="O228" s="319">
        <v>457.05156957394331</v>
      </c>
      <c r="P228" s="319">
        <v>925.14168602005213</v>
      </c>
      <c r="Q228" s="320">
        <v>418.93622995053033</v>
      </c>
      <c r="R228" s="319">
        <v>217.42014526599286</v>
      </c>
      <c r="S228" s="235">
        <f>tblPiNAnalysis[[#This Row],[CCCM]]</f>
        <v>3030.3374768386093</v>
      </c>
      <c r="T228" s="236">
        <f>tblPiNAnalysis[[#This Row],[Education]]</f>
        <v>4130.4429112803145</v>
      </c>
      <c r="U228" s="219">
        <f>tblPiNAnalysis[[#This Row],[Nutrition]]</f>
        <v>6199.331577511226</v>
      </c>
      <c r="V228" s="219">
        <f>tblPiNAnalysis[[#This Row],[Food Security]]</f>
        <v>6182.5606374466261</v>
      </c>
      <c r="W228" s="219">
        <f>tblPiNAnalysis[[#This Row],[Health]]</f>
        <v>10500.549384030208</v>
      </c>
      <c r="X228" s="219">
        <f>tblPiNAnalysis[[#This Row],[Overarching Protection]]</f>
        <v>13430</v>
      </c>
      <c r="Y228" s="219">
        <f>tblPiNAnalysis[[#This Row],[Shelter]]</f>
        <v>11223.472136439294</v>
      </c>
      <c r="Z228" s="230">
        <f>tblPiNAnalysis[[#This Row],[WASH]]</f>
        <v>14403.455908430427</v>
      </c>
      <c r="AA228" s="339">
        <f>IF(OR(tblPiNHistorical[[#This Row],[CCCM - old]]="", tblPiNHistorical[[#This Row],[CCCM - old]]=0, tblPiNHistorical[[#This Row],[CCCM - new]]="", tblPiNHistorical[[#This Row],[CCCM - new]]=0), "", tblPiNHistorical[[#This Row],[CCCM - new]]-tblPiNHistorical[[#This Row],[CCCM - old]])</f>
        <v>2844.9581950854995</v>
      </c>
      <c r="AB228" s="340">
        <f>IF(OR(tblPiNHistorical[[#This Row],[Education - old]]="", tblPiNHistorical[[#This Row],[Education - old]]=0, tblPiNHistorical[[#This Row],[Education - new]]="", tblPiNHistorical[[#This Row],[Education - new]]=0), "", tblPiNHistorical[[#This Row],[Education - new]]-tblPiNHistorical[[#This Row],[Education - old]])</f>
        <v>3942.4429112803145</v>
      </c>
      <c r="AC228" s="340">
        <f>IF(OR(tblPiNHistorical[[#This Row],[Nutrition - old]]="", tblPiNHistorical[[#This Row],[Nutrition - old]]=0, tblPiNHistorical[[#This Row],[Nutrition - new]]="", tblPiNHistorical[[#This Row],[Nutrition - new]]=0), "", tblPiNHistorical[[#This Row],[Nutrition - new]]-tblPiNHistorical[[#This Row],[Nutrition - old]])</f>
        <v>5480.7162145606426</v>
      </c>
      <c r="AD228" s="340">
        <f>IF(OR(tblPiNHistorical[[#This Row],[Food Security - old]]="", tblPiNHistorical[[#This Row],[Food Security - old]]=0, tblPiNHistorical[[#This Row],[Food Security - new]]="", tblPiNHistorical[[#This Row],[Food Security - new]]=0), "", tblPiNHistorical[[#This Row],[Food Security - new]]-tblPiNHistorical[[#This Row],[Food Security - old]])</f>
        <v>5785.5606374466261</v>
      </c>
      <c r="AE228" s="340">
        <f>IF(OR(tblPiNHistorical[[#This Row],[Health - old]]="", tblPiNHistorical[[#This Row],[Health - old]]=0, tblPiNHistorical[[#This Row],[Health - new]]="", tblPiNHistorical[[#This Row],[Health - new]]=0), "", tblPiNHistorical[[#This Row],[Health - new]]-tblPiNHistorical[[#This Row],[Health - old]])</f>
        <v>10043.497814456265</v>
      </c>
      <c r="AF22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12504.858313979948</v>
      </c>
      <c r="AG228" s="340">
        <f>IF(OR(tblPiNHistorical[[#This Row],[Shelter - old]]="", tblPiNHistorical[[#This Row],[Shelter - old]]=0, tblPiNHistorical[[#This Row],[Shelter - new]]="", tblPiNHistorical[[#This Row],[Shelter - new]]=0), "", tblPiNHistorical[[#This Row],[Shelter - new]]-tblPiNHistorical[[#This Row],[Shelter - old]])</f>
        <v>10804.535906488763</v>
      </c>
      <c r="AH228" s="341">
        <f>IF(OR(tblPiNHistorical[[#This Row],[WASH - old]]="", tblPiNHistorical[[#This Row],[WASH - old]]=0, tblPiNHistorical[[#This Row],[WASH - new]]="", tblPiNHistorical[[#This Row],[WASH - new]]=0), "", tblPiNHistorical[[#This Row],[WASH - new]]-tblPiNHistorical[[#This Row],[WASH - old]])</f>
        <v>14186.035763164435</v>
      </c>
      <c r="AI228" s="342">
        <f>IFERROR(ROUND((tblPiNHistorical[[#This Row],[CCCM - new]] - tblPiNHistorical[[#This Row],[CCCM - old]])/tblPiNHistorical[[#This Row],[CCCM - old]], 1), "")</f>
        <v>15.3</v>
      </c>
      <c r="AJ228" s="343">
        <f>IFERROR(ROUND((tblPiNHistorical[[#This Row],[Education - new]]-tblPiNHistorical[[#This Row],[Education - old]])/tblPiNHistorical[[#This Row],[Education - old]], 1), "")</f>
        <v>21</v>
      </c>
      <c r="AK228" s="343">
        <f>IFERROR(ROUND((tblPiNHistorical[[#This Row],[Nutrition - new]]-tblPiNHistorical[[#This Row],[Nutrition - old]])/tblPiNHistorical[[#This Row],[Nutrition - old]], 1), "")</f>
        <v>7.6</v>
      </c>
      <c r="AL228" s="343">
        <f>IFERROR(ROUND((tblPiNHistorical[[#This Row],[Food Security - new]]-tblPiNHistorical[[#This Row],[Food Security - old]])/tblPiNHistorical[[#This Row],[Food Security - old]], 1), "")</f>
        <v>14.6</v>
      </c>
      <c r="AM228" s="343">
        <f>IFERROR(ROUND((tblPiNHistorical[[#This Row],[Health - new]]-tblPiNHistorical[[#This Row],[Health - old]])/tblPiNHistorical[[#This Row],[Health - old]], 1), "")</f>
        <v>22</v>
      </c>
      <c r="AN228" s="343">
        <f>IFERROR(ROUND((tblPiNHistorical[[#This Row],[Overarching Protection - new]]-tblPiNHistorical[[#This Row],[Overarching Protection - old]])/tblPiNHistorical[[#This Row],[Overarching Protection - old]], 1), "")</f>
        <v>13.5</v>
      </c>
      <c r="AO228" s="343">
        <f>IFERROR(ROUND((tblPiNHistorical[[#This Row],[Shelter - new]]-tblPiNHistorical[[#This Row],[Shelter - old]])/tblPiNHistorical[[#This Row],[Shelter - old]], 1), "")</f>
        <v>25.8</v>
      </c>
      <c r="AP228" s="38">
        <f>IFERROR(ROUND((tblPiNHistorical[[#This Row],[WASH - new]]-tblPiNHistorical[[#This Row],[WASH - old]])/tblPiNHistorical[[#This Row],[WASH - old]], 1), "")</f>
        <v>65.2</v>
      </c>
      <c r="AQ228" s="406">
        <v>925.14168602005213</v>
      </c>
      <c r="AR228" s="406">
        <v>14403.455908430427</v>
      </c>
    </row>
    <row r="229" spans="1:44" ht="15" customHeight="1" x14ac:dyDescent="0.55000000000000004">
      <c r="A22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29" s="316" t="s">
        <v>382</v>
      </c>
      <c r="C229" s="218" t="s">
        <v>383</v>
      </c>
      <c r="D229" s="218" t="s">
        <v>386</v>
      </c>
      <c r="E229" s="105" t="s">
        <v>387</v>
      </c>
      <c r="F229" s="100"/>
      <c r="G229" s="34"/>
      <c r="H229" s="335"/>
      <c r="I229" s="97"/>
      <c r="J229" s="97" t="s">
        <v>414</v>
      </c>
      <c r="K229" s="336">
        <v>8058.05</v>
      </c>
      <c r="L229" s="337">
        <v>6291</v>
      </c>
      <c r="M229" s="319">
        <v>15476.855925052459</v>
      </c>
      <c r="N229" s="319">
        <v>26575</v>
      </c>
      <c r="O229" s="319">
        <v>13381.735812894261</v>
      </c>
      <c r="P229" s="319">
        <v>26292.823452988923</v>
      </c>
      <c r="Q229" s="320">
        <v>17577.627118644068</v>
      </c>
      <c r="R229" s="319">
        <v>7764.2352941176468</v>
      </c>
      <c r="S229" s="235">
        <f>tblPiNAnalysis[[#This Row],[CCCM]]</f>
        <v>4301.4785239620305</v>
      </c>
      <c r="T229" s="236">
        <f>tblPiNAnalysis[[#This Row],[Education]]</f>
        <v>7547.8473807814153</v>
      </c>
      <c r="U229" s="219">
        <f>tblPiNAnalysis[[#This Row],[Nutrition]]</f>
        <v>9034.1005309117991</v>
      </c>
      <c r="V229" s="219">
        <f>tblPiNAnalysis[[#This Row],[Food Security]]</f>
        <v>14917.237217909655</v>
      </c>
      <c r="W229" s="219">
        <f>tblPiNAnalysis[[#This Row],[Health]]</f>
        <v>14871.963856483533</v>
      </c>
      <c r="X229" s="219">
        <f>tblPiNAnalysis[[#This Row],[Overarching Protection]]</f>
        <v>19279</v>
      </c>
      <c r="Y229" s="219">
        <f>tblPiNAnalysis[[#This Row],[Shelter]]</f>
        <v>20899.83915597371</v>
      </c>
      <c r="Z229" s="230">
        <f>tblPiNAnalysis[[#This Row],[WASH]]</f>
        <v>7434.6542389467213</v>
      </c>
      <c r="AA229" s="339">
        <f>IF(OR(tblPiNHistorical[[#This Row],[CCCM - old]]="", tblPiNHistorical[[#This Row],[CCCM - old]]=0, tblPiNHistorical[[#This Row],[CCCM - new]]="", tblPiNHistorical[[#This Row],[CCCM - new]]=0), "", tblPiNHistorical[[#This Row],[CCCM - new]]-tblPiNHistorical[[#This Row],[CCCM - old]])</f>
        <v>-3756.5714760379697</v>
      </c>
      <c r="AB229" s="340">
        <f>IF(OR(tblPiNHistorical[[#This Row],[Education - old]]="", tblPiNHistorical[[#This Row],[Education - old]]=0, tblPiNHistorical[[#This Row],[Education - new]]="", tblPiNHistorical[[#This Row],[Education - new]]=0), "", tblPiNHistorical[[#This Row],[Education - new]]-tblPiNHistorical[[#This Row],[Education - old]])</f>
        <v>1256.8473807814153</v>
      </c>
      <c r="AC229" s="340">
        <f>IF(OR(tblPiNHistorical[[#This Row],[Nutrition - old]]="", tblPiNHistorical[[#This Row],[Nutrition - old]]=0, tblPiNHistorical[[#This Row],[Nutrition - new]]="", tblPiNHistorical[[#This Row],[Nutrition - new]]=0), "", tblPiNHistorical[[#This Row],[Nutrition - new]]-tblPiNHistorical[[#This Row],[Nutrition - old]])</f>
        <v>-6442.7553941406604</v>
      </c>
      <c r="AD229" s="340">
        <f>IF(OR(tblPiNHistorical[[#This Row],[Food Security - old]]="", tblPiNHistorical[[#This Row],[Food Security - old]]=0, tblPiNHistorical[[#This Row],[Food Security - new]]="", tblPiNHistorical[[#This Row],[Food Security - new]]=0), "", tblPiNHistorical[[#This Row],[Food Security - new]]-tblPiNHistorical[[#This Row],[Food Security - old]])</f>
        <v>-11657.762782090345</v>
      </c>
      <c r="AE229" s="340">
        <f>IF(OR(tblPiNHistorical[[#This Row],[Health - old]]="", tblPiNHistorical[[#This Row],[Health - old]]=0, tblPiNHistorical[[#This Row],[Health - new]]="", tblPiNHistorical[[#This Row],[Health - new]]=0), "", tblPiNHistorical[[#This Row],[Health - new]]-tblPiNHistorical[[#This Row],[Health - old]])</f>
        <v>1490.2280435892717</v>
      </c>
      <c r="AF22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-7013.8234529889232</v>
      </c>
      <c r="AG229" s="340">
        <f>IF(OR(tblPiNHistorical[[#This Row],[Shelter - old]]="", tblPiNHistorical[[#This Row],[Shelter - old]]=0, tblPiNHistorical[[#This Row],[Shelter - new]]="", tblPiNHistorical[[#This Row],[Shelter - new]]=0), "", tblPiNHistorical[[#This Row],[Shelter - new]]-tblPiNHistorical[[#This Row],[Shelter - old]])</f>
        <v>3322.212037329642</v>
      </c>
      <c r="AH229" s="341">
        <f>IF(OR(tblPiNHistorical[[#This Row],[WASH - old]]="", tblPiNHistorical[[#This Row],[WASH - old]]=0, tblPiNHistorical[[#This Row],[WASH - new]]="", tblPiNHistorical[[#This Row],[WASH - new]]=0), "", tblPiNHistorical[[#This Row],[WASH - new]]-tblPiNHistorical[[#This Row],[WASH - old]])</f>
        <v>-329.58105517092554</v>
      </c>
      <c r="AI229" s="342">
        <f>IFERROR(ROUND((tblPiNHistorical[[#This Row],[CCCM - new]] - tblPiNHistorical[[#This Row],[CCCM - old]])/tblPiNHistorical[[#This Row],[CCCM - old]], 1), "")</f>
        <v>-0.5</v>
      </c>
      <c r="AJ229" s="343">
        <f>IFERROR(ROUND((tblPiNHistorical[[#This Row],[Education - new]]-tblPiNHistorical[[#This Row],[Education - old]])/tblPiNHistorical[[#This Row],[Education - old]], 1), "")</f>
        <v>0.2</v>
      </c>
      <c r="AK229" s="343">
        <f>IFERROR(ROUND((tblPiNHistorical[[#This Row],[Nutrition - new]]-tblPiNHistorical[[#This Row],[Nutrition - old]])/tblPiNHistorical[[#This Row],[Nutrition - old]], 1), "")</f>
        <v>-0.4</v>
      </c>
      <c r="AL229" s="343">
        <f>IFERROR(ROUND((tblPiNHistorical[[#This Row],[Food Security - new]]-tblPiNHistorical[[#This Row],[Food Security - old]])/tblPiNHistorical[[#This Row],[Food Security - old]], 1), "")</f>
        <v>-0.4</v>
      </c>
      <c r="AM229" s="343">
        <f>IFERROR(ROUND((tblPiNHistorical[[#This Row],[Health - new]]-tblPiNHistorical[[#This Row],[Health - old]])/tblPiNHistorical[[#This Row],[Health - old]], 1), "")</f>
        <v>0.1</v>
      </c>
      <c r="AN229" s="343">
        <f>IFERROR(ROUND((tblPiNHistorical[[#This Row],[Overarching Protection - new]]-tblPiNHistorical[[#This Row],[Overarching Protection - old]])/tblPiNHistorical[[#This Row],[Overarching Protection - old]], 1), "")</f>
        <v>-0.3</v>
      </c>
      <c r="AO229" s="343">
        <f>IFERROR(ROUND((tblPiNHistorical[[#This Row],[Shelter - new]]-tblPiNHistorical[[#This Row],[Shelter - old]])/tblPiNHistorical[[#This Row],[Shelter - old]], 1), "")</f>
        <v>0.2</v>
      </c>
      <c r="AP229" s="38">
        <f>IFERROR(ROUND((tblPiNHistorical[[#This Row],[WASH - new]]-tblPiNHistorical[[#This Row],[WASH - old]])/tblPiNHistorical[[#This Row],[WASH - old]], 1), "")</f>
        <v>0</v>
      </c>
      <c r="AQ229" s="406">
        <v>26575</v>
      </c>
      <c r="AR229" s="406">
        <v>20899.83915597371</v>
      </c>
    </row>
    <row r="230" spans="1:44" ht="15" customHeight="1" x14ac:dyDescent="0.55000000000000004">
      <c r="A23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0" s="316" t="s">
        <v>382</v>
      </c>
      <c r="C230" s="218" t="s">
        <v>383</v>
      </c>
      <c r="D230" s="218" t="s">
        <v>388</v>
      </c>
      <c r="E230" s="105" t="s">
        <v>389</v>
      </c>
      <c r="F230" s="100"/>
      <c r="G230" s="34"/>
      <c r="H230" s="335"/>
      <c r="I230" s="97"/>
      <c r="J230" s="97" t="s">
        <v>414</v>
      </c>
      <c r="K230" s="336">
        <v>4389.75</v>
      </c>
      <c r="L230" s="337">
        <v>2950</v>
      </c>
      <c r="M230" s="319">
        <v>16079.483557356192</v>
      </c>
      <c r="N230" s="319">
        <v>18488</v>
      </c>
      <c r="O230" s="319">
        <v>5975.3774898810343</v>
      </c>
      <c r="P230" s="319">
        <v>22414.142455558063</v>
      </c>
      <c r="Q230" s="320">
        <v>8876.5876777251178</v>
      </c>
      <c r="R230" s="319">
        <v>7316.25</v>
      </c>
      <c r="S230" s="235">
        <f>tblPiNAnalysis[[#This Row],[CCCM]]</f>
        <v>7146.9052722177694</v>
      </c>
      <c r="T230" s="236">
        <f>tblPiNAnalysis[[#This Row],[Education]]</f>
        <v>6494.4214084853766</v>
      </c>
      <c r="U230" s="219">
        <f>tblPiNAnalysis[[#This Row],[Nutrition]]</f>
        <v>14934.166989641053</v>
      </c>
      <c r="V230" s="219">
        <f>tblPiNAnalysis[[#This Row],[Food Security]]</f>
        <v>23618.765949974742</v>
      </c>
      <c r="W230" s="219">
        <f>tblPiNAnalysis[[#This Row],[Health]]</f>
        <v>21699.970696247929</v>
      </c>
      <c r="X230" s="219">
        <f>tblPiNAnalysis[[#This Row],[Overarching Protection]]</f>
        <v>31618</v>
      </c>
      <c r="Y230" s="219">
        <f>tblPiNAnalysis[[#This Row],[Shelter]]</f>
        <v>27488.097200837576</v>
      </c>
      <c r="Z230" s="230">
        <f>tblPiNAnalysis[[#This Row],[WASH]]</f>
        <v>20734.848629273776</v>
      </c>
      <c r="AA230" s="339">
        <f>IF(OR(tblPiNHistorical[[#This Row],[CCCM - old]]="", tblPiNHistorical[[#This Row],[CCCM - old]]=0, tblPiNHistorical[[#This Row],[CCCM - new]]="", tblPiNHistorical[[#This Row],[CCCM - new]]=0), "", tblPiNHistorical[[#This Row],[CCCM - new]]-tblPiNHistorical[[#This Row],[CCCM - old]])</f>
        <v>2757.1552722177694</v>
      </c>
      <c r="AB230" s="340">
        <f>IF(OR(tblPiNHistorical[[#This Row],[Education - old]]="", tblPiNHistorical[[#This Row],[Education - old]]=0, tblPiNHistorical[[#This Row],[Education - new]]="", tblPiNHistorical[[#This Row],[Education - new]]=0), "", tblPiNHistorical[[#This Row],[Education - new]]-tblPiNHistorical[[#This Row],[Education - old]])</f>
        <v>3544.4214084853766</v>
      </c>
      <c r="AC230" s="340">
        <f>IF(OR(tblPiNHistorical[[#This Row],[Nutrition - old]]="", tblPiNHistorical[[#This Row],[Nutrition - old]]=0, tblPiNHistorical[[#This Row],[Nutrition - new]]="", tblPiNHistorical[[#This Row],[Nutrition - new]]=0), "", tblPiNHistorical[[#This Row],[Nutrition - new]]-tblPiNHistorical[[#This Row],[Nutrition - old]])</f>
        <v>-1145.3165677151392</v>
      </c>
      <c r="AD230" s="340">
        <f>IF(OR(tblPiNHistorical[[#This Row],[Food Security - old]]="", tblPiNHistorical[[#This Row],[Food Security - old]]=0, tblPiNHistorical[[#This Row],[Food Security - new]]="", tblPiNHistorical[[#This Row],[Food Security - new]]=0), "", tblPiNHistorical[[#This Row],[Food Security - new]]-tblPiNHistorical[[#This Row],[Food Security - old]])</f>
        <v>5130.7659499747424</v>
      </c>
      <c r="AE230" s="340">
        <f>IF(OR(tblPiNHistorical[[#This Row],[Health - old]]="", tblPiNHistorical[[#This Row],[Health - old]]=0, tblPiNHistorical[[#This Row],[Health - new]]="", tblPiNHistorical[[#This Row],[Health - new]]=0), "", tblPiNHistorical[[#This Row],[Health - new]]-tblPiNHistorical[[#This Row],[Health - old]])</f>
        <v>15724.593206366895</v>
      </c>
      <c r="AF23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9203.8575444419366</v>
      </c>
      <c r="AG230" s="340">
        <f>IF(OR(tblPiNHistorical[[#This Row],[Shelter - old]]="", tblPiNHistorical[[#This Row],[Shelter - old]]=0, tblPiNHistorical[[#This Row],[Shelter - new]]="", tblPiNHistorical[[#This Row],[Shelter - new]]=0), "", tblPiNHistorical[[#This Row],[Shelter - new]]-tblPiNHistorical[[#This Row],[Shelter - old]])</f>
        <v>18611.509523112458</v>
      </c>
      <c r="AH230" s="341">
        <f>IF(OR(tblPiNHistorical[[#This Row],[WASH - old]]="", tblPiNHistorical[[#This Row],[WASH - old]]=0, tblPiNHistorical[[#This Row],[WASH - new]]="", tblPiNHistorical[[#This Row],[WASH - new]]=0), "", tblPiNHistorical[[#This Row],[WASH - new]]-tblPiNHistorical[[#This Row],[WASH - old]])</f>
        <v>13418.598629273776</v>
      </c>
      <c r="AI230" s="342">
        <f>IFERROR(ROUND((tblPiNHistorical[[#This Row],[CCCM - new]] - tblPiNHistorical[[#This Row],[CCCM - old]])/tblPiNHistorical[[#This Row],[CCCM - old]], 1), "")</f>
        <v>0.6</v>
      </c>
      <c r="AJ230" s="343">
        <f>IFERROR(ROUND((tblPiNHistorical[[#This Row],[Education - new]]-tblPiNHistorical[[#This Row],[Education - old]])/tblPiNHistorical[[#This Row],[Education - old]], 1), "")</f>
        <v>1.2</v>
      </c>
      <c r="AK230" s="343">
        <f>IFERROR(ROUND((tblPiNHistorical[[#This Row],[Nutrition - new]]-tblPiNHistorical[[#This Row],[Nutrition - old]])/tblPiNHistorical[[#This Row],[Nutrition - old]], 1), "")</f>
        <v>-0.1</v>
      </c>
      <c r="AL230" s="343">
        <f>IFERROR(ROUND((tblPiNHistorical[[#This Row],[Food Security - new]]-tblPiNHistorical[[#This Row],[Food Security - old]])/tblPiNHistorical[[#This Row],[Food Security - old]], 1), "")</f>
        <v>0.3</v>
      </c>
      <c r="AM230" s="343">
        <f>IFERROR(ROUND((tblPiNHistorical[[#This Row],[Health - new]]-tblPiNHistorical[[#This Row],[Health - old]])/tblPiNHistorical[[#This Row],[Health - old]], 1), "")</f>
        <v>2.6</v>
      </c>
      <c r="AN230" s="343">
        <f>IFERROR(ROUND((tblPiNHistorical[[#This Row],[Overarching Protection - new]]-tblPiNHistorical[[#This Row],[Overarching Protection - old]])/tblPiNHistorical[[#This Row],[Overarching Protection - old]], 1), "")</f>
        <v>0.4</v>
      </c>
      <c r="AO230" s="343">
        <f>IFERROR(ROUND((tblPiNHistorical[[#This Row],[Shelter - new]]-tblPiNHistorical[[#This Row],[Shelter - old]])/tblPiNHistorical[[#This Row],[Shelter - old]], 1), "")</f>
        <v>2.1</v>
      </c>
      <c r="AP230" s="38">
        <f>IFERROR(ROUND((tblPiNHistorical[[#This Row],[WASH - new]]-tblPiNHistorical[[#This Row],[WASH - old]])/tblPiNHistorical[[#This Row],[WASH - old]], 1), "")</f>
        <v>1.8</v>
      </c>
      <c r="AQ230" s="406">
        <v>22414.142455558063</v>
      </c>
      <c r="AR230" s="406">
        <v>31618</v>
      </c>
    </row>
    <row r="231" spans="1:44" ht="15" customHeight="1" x14ac:dyDescent="0.55000000000000004">
      <c r="A231"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1" s="316" t="s">
        <v>390</v>
      </c>
      <c r="C231" s="218" t="s">
        <v>391</v>
      </c>
      <c r="D231" s="218" t="s">
        <v>392</v>
      </c>
      <c r="E231" s="105" t="s">
        <v>393</v>
      </c>
      <c r="F231" s="100"/>
      <c r="G231" s="34"/>
      <c r="H231" s="335"/>
      <c r="I231" s="97"/>
      <c r="J231" s="97" t="s">
        <v>414</v>
      </c>
      <c r="K231" s="336">
        <v>112.17571520924689</v>
      </c>
      <c r="L231" s="337">
        <v>32</v>
      </c>
      <c r="M231" s="319">
        <v>423.87119463472641</v>
      </c>
      <c r="N231" s="319">
        <v>140</v>
      </c>
      <c r="O231" s="319">
        <v>224.34795145090143</v>
      </c>
      <c r="P231" s="319">
        <v>324.15772965975998</v>
      </c>
      <c r="Q231" s="320">
        <v>160.25102172749556</v>
      </c>
      <c r="R231" s="319">
        <v>602.42513723484444</v>
      </c>
      <c r="S231" s="235">
        <f>tblPiNAnalysis[[#This Row],[CCCM]]</f>
        <v>549.15</v>
      </c>
      <c r="T231" s="236">
        <f>tblPiNAnalysis[[#This Row],[Education]]</f>
        <v>805.27539049999984</v>
      </c>
      <c r="U231" s="219">
        <f>tblPiNAnalysis[[#This Row],[Nutrition]]</f>
        <v>1372.115900864655</v>
      </c>
      <c r="V231" s="219">
        <f>tblPiNAnalysis[[#This Row],[Food Security]]</f>
        <v>654.49499948243829</v>
      </c>
      <c r="W231" s="219">
        <f>tblPiNAnalysis[[#This Row],[Health]]</f>
        <v>1809.4480634899089</v>
      </c>
      <c r="X231" s="219">
        <f>tblPiNAnalysis[[#This Row],[Overarching Protection]]</f>
        <v>1902</v>
      </c>
      <c r="Y231" s="219">
        <f>tblPiNAnalysis[[#This Row],[Shelter]]</f>
        <v>1464.4</v>
      </c>
      <c r="Z231" s="230">
        <f>tblPiNAnalysis[[#This Row],[WASH]]</f>
        <v>2711.8518518518522</v>
      </c>
      <c r="AA231" s="339">
        <f>IF(OR(tblPiNHistorical[[#This Row],[CCCM - old]]="", tblPiNHistorical[[#This Row],[CCCM - old]]=0, tblPiNHistorical[[#This Row],[CCCM - new]]="", tblPiNHistorical[[#This Row],[CCCM - new]]=0), "", tblPiNHistorical[[#This Row],[CCCM - new]]-tblPiNHistorical[[#This Row],[CCCM - old]])</f>
        <v>436.97428479075307</v>
      </c>
      <c r="AB231" s="340">
        <f>IF(OR(tblPiNHistorical[[#This Row],[Education - old]]="", tblPiNHistorical[[#This Row],[Education - old]]=0, tblPiNHistorical[[#This Row],[Education - new]]="", tblPiNHistorical[[#This Row],[Education - new]]=0), "", tblPiNHistorical[[#This Row],[Education - new]]-tblPiNHistorical[[#This Row],[Education - old]])</f>
        <v>773.27539049999984</v>
      </c>
      <c r="AC231" s="340">
        <f>IF(OR(tblPiNHistorical[[#This Row],[Nutrition - old]]="", tblPiNHistorical[[#This Row],[Nutrition - old]]=0, tblPiNHistorical[[#This Row],[Nutrition - new]]="", tblPiNHistorical[[#This Row],[Nutrition - new]]=0), "", tblPiNHistorical[[#This Row],[Nutrition - new]]-tblPiNHistorical[[#This Row],[Nutrition - old]])</f>
        <v>948.24470622992862</v>
      </c>
      <c r="AD231" s="340">
        <f>IF(OR(tblPiNHistorical[[#This Row],[Food Security - old]]="", tblPiNHistorical[[#This Row],[Food Security - old]]=0, tblPiNHistorical[[#This Row],[Food Security - new]]="", tblPiNHistorical[[#This Row],[Food Security - new]]=0), "", tblPiNHistorical[[#This Row],[Food Security - new]]-tblPiNHistorical[[#This Row],[Food Security - old]])</f>
        <v>514.49499948243829</v>
      </c>
      <c r="AE231" s="340">
        <f>IF(OR(tblPiNHistorical[[#This Row],[Health - old]]="", tblPiNHistorical[[#This Row],[Health - old]]=0, tblPiNHistorical[[#This Row],[Health - new]]="", tblPiNHistorical[[#This Row],[Health - new]]=0), "", tblPiNHistorical[[#This Row],[Health - new]]-tblPiNHistorical[[#This Row],[Health - old]])</f>
        <v>1585.1001120390074</v>
      </c>
      <c r="AF231"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1577.84227034024</v>
      </c>
      <c r="AG231" s="340">
        <f>IF(OR(tblPiNHistorical[[#This Row],[Shelter - old]]="", tblPiNHistorical[[#This Row],[Shelter - old]]=0, tblPiNHistorical[[#This Row],[Shelter - new]]="", tblPiNHistorical[[#This Row],[Shelter - new]]=0), "", tblPiNHistorical[[#This Row],[Shelter - new]]-tblPiNHistorical[[#This Row],[Shelter - old]])</f>
        <v>1304.1489782725046</v>
      </c>
      <c r="AH231" s="341">
        <f>IF(OR(tblPiNHistorical[[#This Row],[WASH - old]]="", tblPiNHistorical[[#This Row],[WASH - old]]=0, tblPiNHistorical[[#This Row],[WASH - new]]="", tblPiNHistorical[[#This Row],[WASH - new]]=0), "", tblPiNHistorical[[#This Row],[WASH - new]]-tblPiNHistorical[[#This Row],[WASH - old]])</f>
        <v>2109.4267146170077</v>
      </c>
      <c r="AI231" s="342">
        <f>IFERROR(ROUND((tblPiNHistorical[[#This Row],[CCCM - new]] - tblPiNHistorical[[#This Row],[CCCM - old]])/tblPiNHistorical[[#This Row],[CCCM - old]], 1), "")</f>
        <v>3.9</v>
      </c>
      <c r="AJ231" s="343">
        <f>IFERROR(ROUND((tblPiNHistorical[[#This Row],[Education - new]]-tblPiNHistorical[[#This Row],[Education - old]])/tblPiNHistorical[[#This Row],[Education - old]], 1), "")</f>
        <v>24.2</v>
      </c>
      <c r="AK231" s="343">
        <f>IFERROR(ROUND((tblPiNHistorical[[#This Row],[Nutrition - new]]-tblPiNHistorical[[#This Row],[Nutrition - old]])/tblPiNHistorical[[#This Row],[Nutrition - old]], 1), "")</f>
        <v>2.2000000000000002</v>
      </c>
      <c r="AL231" s="343">
        <f>IFERROR(ROUND((tblPiNHistorical[[#This Row],[Food Security - new]]-tblPiNHistorical[[#This Row],[Food Security - old]])/tblPiNHistorical[[#This Row],[Food Security - old]], 1), "")</f>
        <v>3.7</v>
      </c>
      <c r="AM231" s="343">
        <f>IFERROR(ROUND((tblPiNHistorical[[#This Row],[Health - new]]-tblPiNHistorical[[#This Row],[Health - old]])/tblPiNHistorical[[#This Row],[Health - old]], 1), "")</f>
        <v>7.1</v>
      </c>
      <c r="AN231" s="343">
        <f>IFERROR(ROUND((tblPiNHistorical[[#This Row],[Overarching Protection - new]]-tblPiNHistorical[[#This Row],[Overarching Protection - old]])/tblPiNHistorical[[#This Row],[Overarching Protection - old]], 1), "")</f>
        <v>4.9000000000000004</v>
      </c>
      <c r="AO231" s="343">
        <f>IFERROR(ROUND((tblPiNHistorical[[#This Row],[Shelter - new]]-tblPiNHistorical[[#This Row],[Shelter - old]])/tblPiNHistorical[[#This Row],[Shelter - old]], 1), "")</f>
        <v>8.1</v>
      </c>
      <c r="AP231" s="38">
        <f>IFERROR(ROUND((tblPiNHistorical[[#This Row],[WASH - new]]-tblPiNHistorical[[#This Row],[WASH - old]])/tblPiNHistorical[[#This Row],[WASH - old]], 1), "")</f>
        <v>3.5</v>
      </c>
      <c r="AQ231" s="406">
        <v>602.42513723484444</v>
      </c>
      <c r="AR231" s="406">
        <v>2711.8518518518522</v>
      </c>
    </row>
    <row r="232" spans="1:44" ht="15" customHeight="1" x14ac:dyDescent="0.55000000000000004">
      <c r="A232"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2" s="316" t="s">
        <v>390</v>
      </c>
      <c r="C232" s="218" t="s">
        <v>391</v>
      </c>
      <c r="D232" s="218" t="s">
        <v>394</v>
      </c>
      <c r="E232" s="105" t="s">
        <v>395</v>
      </c>
      <c r="F232" s="100"/>
      <c r="G232" s="34"/>
      <c r="H232" s="335"/>
      <c r="I232" s="97"/>
      <c r="J232" s="97" t="s">
        <v>414</v>
      </c>
      <c r="K232" s="336">
        <v>1.2893760368878953</v>
      </c>
      <c r="L232" s="337">
        <v>1</v>
      </c>
      <c r="M232" s="319">
        <v>5.9359978552620172</v>
      </c>
      <c r="N232" s="319">
        <v>2</v>
      </c>
      <c r="O232" s="319">
        <v>4.1758218132883904</v>
      </c>
      <c r="P232" s="319">
        <v>5.8872816000000006</v>
      </c>
      <c r="Q232" s="320">
        <v>1.0315008295103163</v>
      </c>
      <c r="R232" s="319">
        <v>6.9397609324853091</v>
      </c>
      <c r="S232" s="235">
        <f>tblPiNAnalysis[[#This Row],[CCCM]]</f>
        <v>219.47142857142902</v>
      </c>
      <c r="T232" s="236">
        <f>tblPiNAnalysis[[#This Row],[Education]]</f>
        <v>209.6127720000004</v>
      </c>
      <c r="U232" s="219">
        <f>tblPiNAnalysis[[#This Row],[Nutrition]]</f>
        <v>493.86726857254502</v>
      </c>
      <c r="V232" s="219">
        <f>tblPiNAnalysis[[#This Row],[Food Security]]</f>
        <v>368.66869819399255</v>
      </c>
      <c r="W232" s="219">
        <f>tblPiNAnalysis[[#This Row],[Health]]</f>
        <v>636.05586257138452</v>
      </c>
      <c r="X232" s="219">
        <f>tblPiNAnalysis[[#This Row],[Overarching Protection]]</f>
        <v>765</v>
      </c>
      <c r="Y232" s="219">
        <f>tblPiNAnalysis[[#This Row],[Shelter]]</f>
        <v>585.257142857144</v>
      </c>
      <c r="Z232" s="230">
        <f>tblPiNAnalysis[[#This Row],[WASH]]</f>
        <v>1246.3809523809548</v>
      </c>
      <c r="AA232" s="339">
        <f>IF(OR(tblPiNHistorical[[#This Row],[CCCM - old]]="", tblPiNHistorical[[#This Row],[CCCM - old]]=0, tblPiNHistorical[[#This Row],[CCCM - new]]="", tblPiNHistorical[[#This Row],[CCCM - new]]=0), "", tblPiNHistorical[[#This Row],[CCCM - new]]-tblPiNHistorical[[#This Row],[CCCM - old]])</f>
        <v>218.18205253454113</v>
      </c>
      <c r="AB232" s="340">
        <f>IF(OR(tblPiNHistorical[[#This Row],[Education - old]]="", tblPiNHistorical[[#This Row],[Education - old]]=0, tblPiNHistorical[[#This Row],[Education - new]]="", tblPiNHistorical[[#This Row],[Education - new]]=0), "", tblPiNHistorical[[#This Row],[Education - new]]-tblPiNHistorical[[#This Row],[Education - old]])</f>
        <v>208.6127720000004</v>
      </c>
      <c r="AC232" s="340">
        <f>IF(OR(tblPiNHistorical[[#This Row],[Nutrition - old]]="", tblPiNHistorical[[#This Row],[Nutrition - old]]=0, tblPiNHistorical[[#This Row],[Nutrition - new]]="", tblPiNHistorical[[#This Row],[Nutrition - new]]=0), "", tblPiNHistorical[[#This Row],[Nutrition - new]]-tblPiNHistorical[[#This Row],[Nutrition - old]])</f>
        <v>487.93127071728298</v>
      </c>
      <c r="AD232" s="340">
        <f>IF(OR(tblPiNHistorical[[#This Row],[Food Security - old]]="", tblPiNHistorical[[#This Row],[Food Security - old]]=0, tblPiNHistorical[[#This Row],[Food Security - new]]="", tblPiNHistorical[[#This Row],[Food Security - new]]=0), "", tblPiNHistorical[[#This Row],[Food Security - new]]-tblPiNHistorical[[#This Row],[Food Security - old]])</f>
        <v>366.66869819399255</v>
      </c>
      <c r="AE232" s="340">
        <f>IF(OR(tblPiNHistorical[[#This Row],[Health - old]]="", tblPiNHistorical[[#This Row],[Health - old]]=0, tblPiNHistorical[[#This Row],[Health - new]]="", tblPiNHistorical[[#This Row],[Health - new]]=0), "", tblPiNHistorical[[#This Row],[Health - new]]-tblPiNHistorical[[#This Row],[Health - old]])</f>
        <v>631.88004075809613</v>
      </c>
      <c r="AF232"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759.11271839999995</v>
      </c>
      <c r="AG232" s="340">
        <f>IF(OR(tblPiNHistorical[[#This Row],[Shelter - old]]="", tblPiNHistorical[[#This Row],[Shelter - old]]=0, tblPiNHistorical[[#This Row],[Shelter - new]]="", tblPiNHistorical[[#This Row],[Shelter - new]]=0), "", tblPiNHistorical[[#This Row],[Shelter - new]]-tblPiNHistorical[[#This Row],[Shelter - old]])</f>
        <v>584.22564202763374</v>
      </c>
      <c r="AH232" s="341">
        <f>IF(OR(tblPiNHistorical[[#This Row],[WASH - old]]="", tblPiNHistorical[[#This Row],[WASH - old]]=0, tblPiNHistorical[[#This Row],[WASH - new]]="", tblPiNHistorical[[#This Row],[WASH - new]]=0), "", tblPiNHistorical[[#This Row],[WASH - new]]-tblPiNHistorical[[#This Row],[WASH - old]])</f>
        <v>1239.4411914484695</v>
      </c>
      <c r="AI232" s="342">
        <f>IFERROR(ROUND((tblPiNHistorical[[#This Row],[CCCM - new]] - tblPiNHistorical[[#This Row],[CCCM - old]])/tblPiNHistorical[[#This Row],[CCCM - old]], 1), "")</f>
        <v>169.2</v>
      </c>
      <c r="AJ232" s="343">
        <f>IFERROR(ROUND((tblPiNHistorical[[#This Row],[Education - new]]-tblPiNHistorical[[#This Row],[Education - old]])/tblPiNHistorical[[#This Row],[Education - old]], 1), "")</f>
        <v>208.6</v>
      </c>
      <c r="AK232" s="343">
        <f>IFERROR(ROUND((tblPiNHistorical[[#This Row],[Nutrition - new]]-tblPiNHistorical[[#This Row],[Nutrition - old]])/tblPiNHistorical[[#This Row],[Nutrition - old]], 1), "")</f>
        <v>82.2</v>
      </c>
      <c r="AL232" s="343">
        <f>IFERROR(ROUND((tblPiNHistorical[[#This Row],[Food Security - new]]-tblPiNHistorical[[#This Row],[Food Security - old]])/tblPiNHistorical[[#This Row],[Food Security - old]], 1), "")</f>
        <v>183.3</v>
      </c>
      <c r="AM232" s="343">
        <f>IFERROR(ROUND((tblPiNHistorical[[#This Row],[Health - new]]-tblPiNHistorical[[#This Row],[Health - old]])/tblPiNHistorical[[#This Row],[Health - old]], 1), "")</f>
        <v>151.30000000000001</v>
      </c>
      <c r="AN232" s="343">
        <f>IFERROR(ROUND((tblPiNHistorical[[#This Row],[Overarching Protection - new]]-tblPiNHistorical[[#This Row],[Overarching Protection - old]])/tblPiNHistorical[[#This Row],[Overarching Protection - old]], 1), "")</f>
        <v>128.9</v>
      </c>
      <c r="AO232" s="343">
        <f>IFERROR(ROUND((tblPiNHistorical[[#This Row],[Shelter - new]]-tblPiNHistorical[[#This Row],[Shelter - old]])/tblPiNHistorical[[#This Row],[Shelter - old]], 1), "")</f>
        <v>566.4</v>
      </c>
      <c r="AP232" s="38">
        <f>IFERROR(ROUND((tblPiNHistorical[[#This Row],[WASH - new]]-tblPiNHistorical[[#This Row],[WASH - old]])/tblPiNHistorical[[#This Row],[WASH - old]], 1), "")</f>
        <v>178.6</v>
      </c>
      <c r="AQ232" s="406">
        <v>6.9397609324853091</v>
      </c>
      <c r="AR232" s="406">
        <v>1246.3809523809548</v>
      </c>
    </row>
    <row r="233" spans="1:44" ht="15" customHeight="1" x14ac:dyDescent="0.55000000000000004">
      <c r="A233"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3" s="316" t="s">
        <v>390</v>
      </c>
      <c r="C233" s="218" t="s">
        <v>391</v>
      </c>
      <c r="D233" s="218" t="s">
        <v>396</v>
      </c>
      <c r="E233" s="105" t="s">
        <v>397</v>
      </c>
      <c r="F233" s="100"/>
      <c r="G233" s="34"/>
      <c r="H233" s="335"/>
      <c r="I233" s="97"/>
      <c r="J233" s="97" t="s">
        <v>414</v>
      </c>
      <c r="K233" s="336">
        <v>4.8996289401740025</v>
      </c>
      <c r="L233" s="337">
        <v>6</v>
      </c>
      <c r="M233" s="319">
        <v>19.563693635689564</v>
      </c>
      <c r="N233" s="319">
        <v>8</v>
      </c>
      <c r="O233" s="319">
        <v>22.533894183517155</v>
      </c>
      <c r="P233" s="319">
        <v>25.51072891074709</v>
      </c>
      <c r="Q233" s="320">
        <v>8.7942057900559014</v>
      </c>
      <c r="R233" s="319">
        <v>20.566343699495814</v>
      </c>
      <c r="S233" s="235">
        <f>tblPiNAnalysis[[#This Row],[CCCM]]</f>
        <v>103.2</v>
      </c>
      <c r="T233" s="236">
        <f>tblPiNAnalysis[[#This Row],[Education]]</f>
        <v>107.43986879999999</v>
      </c>
      <c r="U233" s="219">
        <f>tblPiNAnalysis[[#This Row],[Nutrition]]</f>
        <v>303.0168485540961</v>
      </c>
      <c r="V233" s="219">
        <f>tblPiNAnalysis[[#This Row],[Food Security]]</f>
        <v>174.49196153942614</v>
      </c>
      <c r="W233" s="219">
        <f>tblPiNAnalysis[[#This Row],[Health]]</f>
        <v>270.21792453378356</v>
      </c>
      <c r="X233" s="219">
        <f>tblPiNAnalysis[[#This Row],[Overarching Protection]]</f>
        <v>482</v>
      </c>
      <c r="Y233" s="219">
        <f>tblPiNAnalysis[[#This Row],[Shelter]]</f>
        <v>516</v>
      </c>
      <c r="Z233" s="230">
        <f>tblPiNAnalysis[[#This Row],[WASH]]</f>
        <v>496.88888888888886</v>
      </c>
      <c r="AA233" s="339">
        <f>IF(OR(tblPiNHistorical[[#This Row],[CCCM - old]]="", tblPiNHistorical[[#This Row],[CCCM - old]]=0, tblPiNHistorical[[#This Row],[CCCM - new]]="", tblPiNHistorical[[#This Row],[CCCM - new]]=0), "", tblPiNHistorical[[#This Row],[CCCM - new]]-tblPiNHistorical[[#This Row],[CCCM - old]])</f>
        <v>98.300371059826006</v>
      </c>
      <c r="AB233" s="340">
        <f>IF(OR(tblPiNHistorical[[#This Row],[Education - old]]="", tblPiNHistorical[[#This Row],[Education - old]]=0, tblPiNHistorical[[#This Row],[Education - new]]="", tblPiNHistorical[[#This Row],[Education - new]]=0), "", tblPiNHistorical[[#This Row],[Education - new]]-tblPiNHistorical[[#This Row],[Education - old]])</f>
        <v>101.43986879999999</v>
      </c>
      <c r="AC233" s="340">
        <f>IF(OR(tblPiNHistorical[[#This Row],[Nutrition - old]]="", tblPiNHistorical[[#This Row],[Nutrition - old]]=0, tblPiNHistorical[[#This Row],[Nutrition - new]]="", tblPiNHistorical[[#This Row],[Nutrition - new]]=0), "", tblPiNHistorical[[#This Row],[Nutrition - new]]-tblPiNHistorical[[#This Row],[Nutrition - old]])</f>
        <v>283.45315491840654</v>
      </c>
      <c r="AD233" s="340">
        <f>IF(OR(tblPiNHistorical[[#This Row],[Food Security - old]]="", tblPiNHistorical[[#This Row],[Food Security - old]]=0, tblPiNHistorical[[#This Row],[Food Security - new]]="", tblPiNHistorical[[#This Row],[Food Security - new]]=0), "", tblPiNHistorical[[#This Row],[Food Security - new]]-tblPiNHistorical[[#This Row],[Food Security - old]])</f>
        <v>166.49196153942614</v>
      </c>
      <c r="AE233" s="340">
        <f>IF(OR(tblPiNHistorical[[#This Row],[Health - old]]="", tblPiNHistorical[[#This Row],[Health - old]]=0, tblPiNHistorical[[#This Row],[Health - new]]="", tblPiNHistorical[[#This Row],[Health - new]]=0), "", tblPiNHistorical[[#This Row],[Health - new]]-tblPiNHistorical[[#This Row],[Health - old]])</f>
        <v>247.6840303502664</v>
      </c>
      <c r="AF233"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456.4892710892529</v>
      </c>
      <c r="AG233" s="340">
        <f>IF(OR(tblPiNHistorical[[#This Row],[Shelter - old]]="", tblPiNHistorical[[#This Row],[Shelter - old]]=0, tblPiNHistorical[[#This Row],[Shelter - new]]="", tblPiNHistorical[[#This Row],[Shelter - new]]=0), "", tblPiNHistorical[[#This Row],[Shelter - new]]-tblPiNHistorical[[#This Row],[Shelter - old]])</f>
        <v>507.20579420994409</v>
      </c>
      <c r="AH233" s="341">
        <f>IF(OR(tblPiNHistorical[[#This Row],[WASH - old]]="", tblPiNHistorical[[#This Row],[WASH - old]]=0, tblPiNHistorical[[#This Row],[WASH - new]]="", tblPiNHistorical[[#This Row],[WASH - new]]=0), "", tblPiNHistorical[[#This Row],[WASH - new]]-tblPiNHistorical[[#This Row],[WASH - old]])</f>
        <v>476.32254518939305</v>
      </c>
      <c r="AI233" s="342">
        <f>IFERROR(ROUND((tblPiNHistorical[[#This Row],[CCCM - new]] - tblPiNHistorical[[#This Row],[CCCM - old]])/tblPiNHistorical[[#This Row],[CCCM - old]], 1), "")</f>
        <v>20.100000000000001</v>
      </c>
      <c r="AJ233" s="343">
        <f>IFERROR(ROUND((tblPiNHistorical[[#This Row],[Education - new]]-tblPiNHistorical[[#This Row],[Education - old]])/tblPiNHistorical[[#This Row],[Education - old]], 1), "")</f>
        <v>16.899999999999999</v>
      </c>
      <c r="AK233" s="343">
        <f>IFERROR(ROUND((tblPiNHistorical[[#This Row],[Nutrition - new]]-tblPiNHistorical[[#This Row],[Nutrition - old]])/tblPiNHistorical[[#This Row],[Nutrition - old]], 1), "")</f>
        <v>14.5</v>
      </c>
      <c r="AL233" s="343">
        <f>IFERROR(ROUND((tblPiNHistorical[[#This Row],[Food Security - new]]-tblPiNHistorical[[#This Row],[Food Security - old]])/tblPiNHistorical[[#This Row],[Food Security - old]], 1), "")</f>
        <v>20.8</v>
      </c>
      <c r="AM233" s="343">
        <f>IFERROR(ROUND((tblPiNHistorical[[#This Row],[Health - new]]-tblPiNHistorical[[#This Row],[Health - old]])/tblPiNHistorical[[#This Row],[Health - old]], 1), "")</f>
        <v>11</v>
      </c>
      <c r="AN233" s="343">
        <f>IFERROR(ROUND((tblPiNHistorical[[#This Row],[Overarching Protection - new]]-tblPiNHistorical[[#This Row],[Overarching Protection - old]])/tblPiNHistorical[[#This Row],[Overarching Protection - old]], 1), "")</f>
        <v>17.899999999999999</v>
      </c>
      <c r="AO233" s="343">
        <f>IFERROR(ROUND((tblPiNHistorical[[#This Row],[Shelter - new]]-tblPiNHistorical[[#This Row],[Shelter - old]])/tblPiNHistorical[[#This Row],[Shelter - old]], 1), "")</f>
        <v>57.7</v>
      </c>
      <c r="AP233" s="38">
        <f>IFERROR(ROUND((tblPiNHistorical[[#This Row],[WASH - new]]-tblPiNHistorical[[#This Row],[WASH - old]])/tblPiNHistorical[[#This Row],[WASH - old]], 1), "")</f>
        <v>23.2</v>
      </c>
      <c r="AQ233" s="406">
        <v>25.51072891074709</v>
      </c>
      <c r="AR233" s="406">
        <v>516</v>
      </c>
    </row>
    <row r="234" spans="1:44" ht="15" customHeight="1" x14ac:dyDescent="0.55000000000000004">
      <c r="A234"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4" s="316" t="s">
        <v>390</v>
      </c>
      <c r="C234" s="218" t="s">
        <v>391</v>
      </c>
      <c r="D234" s="218" t="s">
        <v>398</v>
      </c>
      <c r="E234" s="105" t="s">
        <v>399</v>
      </c>
      <c r="F234" s="100"/>
      <c r="G234" s="34"/>
      <c r="H234" s="335"/>
      <c r="I234" s="97"/>
      <c r="J234" s="97" t="s">
        <v>414</v>
      </c>
      <c r="K234" s="336">
        <v>0</v>
      </c>
      <c r="L234" s="337">
        <v>0</v>
      </c>
      <c r="M234" s="319">
        <v>0</v>
      </c>
      <c r="N234" s="319">
        <v>0</v>
      </c>
      <c r="O234" s="319">
        <v>0</v>
      </c>
      <c r="P234" s="319">
        <v>0</v>
      </c>
      <c r="Q234" s="320">
        <v>0</v>
      </c>
      <c r="R234" s="319">
        <v>0</v>
      </c>
      <c r="S234" s="235">
        <f>tblPiNAnalysis[[#This Row],[CCCM]]</f>
        <v>752.85</v>
      </c>
      <c r="T234" s="236">
        <f>tblPiNAnalysis[[#This Row],[Education]]</f>
        <v>78.894664800000015</v>
      </c>
      <c r="U234" s="219">
        <f>tblPiNAnalysis[[#This Row],[Nutrition]]</f>
        <v>2034.152637362987</v>
      </c>
      <c r="V234" s="219">
        <f>tblPiNAnalysis[[#This Row],[Food Security]]</f>
        <v>2159.001427823719</v>
      </c>
      <c r="W234" s="219">
        <f>tblPiNAnalysis[[#This Row],[Health]]</f>
        <v>2420.3032000838125</v>
      </c>
      <c r="X234" s="219">
        <f>tblPiNAnalysis[[#This Row],[Overarching Protection]]</f>
        <v>2794</v>
      </c>
      <c r="Y234" s="219">
        <f>tblPiNAnalysis[[#This Row],[Shelter]]</f>
        <v>1892.4098360655737</v>
      </c>
      <c r="Z234" s="230">
        <f>tblPiNAnalysis[[#This Row],[WASH]]</f>
        <v>3113.6388888888891</v>
      </c>
      <c r="AA234" s="339" t="str">
        <f>IF(OR(tblPiNHistorical[[#This Row],[CCCM - old]]="", tblPiNHistorical[[#This Row],[CCCM - old]]=0, tblPiNHistorical[[#This Row],[CCCM - new]]="", tblPiNHistorical[[#This Row],[CCCM - new]]=0), "", tblPiNHistorical[[#This Row],[CCCM - new]]-tblPiNHistorical[[#This Row],[CCCM - old]])</f>
        <v/>
      </c>
      <c r="AB234" s="340" t="str">
        <f>IF(OR(tblPiNHistorical[[#This Row],[Education - old]]="", tblPiNHistorical[[#This Row],[Education - old]]=0, tblPiNHistorical[[#This Row],[Education - new]]="", tblPiNHistorical[[#This Row],[Education - new]]=0), "", tblPiNHistorical[[#This Row],[Education - new]]-tblPiNHistorical[[#This Row],[Education - old]])</f>
        <v/>
      </c>
      <c r="AC234" s="340" t="str">
        <f>IF(OR(tblPiNHistorical[[#This Row],[Nutrition - old]]="", tblPiNHistorical[[#This Row],[Nutrition - old]]=0, tblPiNHistorical[[#This Row],[Nutrition - new]]="", tblPiNHistorical[[#This Row],[Nutrition - new]]=0), "", tblPiNHistorical[[#This Row],[Nutrition - new]]-tblPiNHistorical[[#This Row],[Nutrition - old]])</f>
        <v/>
      </c>
      <c r="AD234"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34" s="340" t="str">
        <f>IF(OR(tblPiNHistorical[[#This Row],[Health - old]]="", tblPiNHistorical[[#This Row],[Health - old]]=0, tblPiNHistorical[[#This Row],[Health - new]]="", tblPiNHistorical[[#This Row],[Health - new]]=0), "", tblPiNHistorical[[#This Row],[Health - new]]-tblPiNHistorical[[#This Row],[Health - old]])</f>
        <v/>
      </c>
      <c r="AF234"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34" s="340" t="str">
        <f>IF(OR(tblPiNHistorical[[#This Row],[Shelter - old]]="", tblPiNHistorical[[#This Row],[Shelter - old]]=0, tblPiNHistorical[[#This Row],[Shelter - new]]="", tblPiNHistorical[[#This Row],[Shelter - new]]=0), "", tblPiNHistorical[[#This Row],[Shelter - new]]-tblPiNHistorical[[#This Row],[Shelter - old]])</f>
        <v/>
      </c>
      <c r="AH234" s="341" t="str">
        <f>IF(OR(tblPiNHistorical[[#This Row],[WASH - old]]="", tblPiNHistorical[[#This Row],[WASH - old]]=0, tblPiNHistorical[[#This Row],[WASH - new]]="", tblPiNHistorical[[#This Row],[WASH - new]]=0), "", tblPiNHistorical[[#This Row],[WASH - new]]-tblPiNHistorical[[#This Row],[WASH - old]])</f>
        <v/>
      </c>
      <c r="AI234" s="342" t="str">
        <f>IFERROR(ROUND((tblPiNHistorical[[#This Row],[CCCM - new]] - tblPiNHistorical[[#This Row],[CCCM - old]])/tblPiNHistorical[[#This Row],[CCCM - old]], 1), "")</f>
        <v/>
      </c>
      <c r="AJ234" s="343" t="str">
        <f>IFERROR(ROUND((tblPiNHistorical[[#This Row],[Education - new]]-tblPiNHistorical[[#This Row],[Education - old]])/tblPiNHistorical[[#This Row],[Education - old]], 1), "")</f>
        <v/>
      </c>
      <c r="AK234" s="343" t="str">
        <f>IFERROR(ROUND((tblPiNHistorical[[#This Row],[Nutrition - new]]-tblPiNHistorical[[#This Row],[Nutrition - old]])/tblPiNHistorical[[#This Row],[Nutrition - old]], 1), "")</f>
        <v/>
      </c>
      <c r="AL234" s="343" t="str">
        <f>IFERROR(ROUND((tblPiNHistorical[[#This Row],[Food Security - new]]-tblPiNHistorical[[#This Row],[Food Security - old]])/tblPiNHistorical[[#This Row],[Food Security - old]], 1), "")</f>
        <v/>
      </c>
      <c r="AM234" s="343" t="str">
        <f>IFERROR(ROUND((tblPiNHistorical[[#This Row],[Health - new]]-tblPiNHistorical[[#This Row],[Health - old]])/tblPiNHistorical[[#This Row],[Health - old]], 1), "")</f>
        <v/>
      </c>
      <c r="AN234" s="343" t="str">
        <f>IFERROR(ROUND((tblPiNHistorical[[#This Row],[Overarching Protection - new]]-tblPiNHistorical[[#This Row],[Overarching Protection - old]])/tblPiNHistorical[[#This Row],[Overarching Protection - old]], 1), "")</f>
        <v/>
      </c>
      <c r="AO234" s="343" t="str">
        <f>IFERROR(ROUND((tblPiNHistorical[[#This Row],[Shelter - new]]-tblPiNHistorical[[#This Row],[Shelter - old]])/tblPiNHistorical[[#This Row],[Shelter - old]], 1), "")</f>
        <v/>
      </c>
      <c r="AP234" s="38" t="str">
        <f>IFERROR(ROUND((tblPiNHistorical[[#This Row],[WASH - new]]-tblPiNHistorical[[#This Row],[WASH - old]])/tblPiNHistorical[[#This Row],[WASH - old]], 1), "")</f>
        <v/>
      </c>
      <c r="AQ234" s="406">
        <v>0</v>
      </c>
      <c r="AR234" s="406">
        <v>3113.6388888888891</v>
      </c>
    </row>
    <row r="235" spans="1:44" ht="15" customHeight="1" x14ac:dyDescent="0.55000000000000004">
      <c r="A235"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5" s="316" t="s">
        <v>390</v>
      </c>
      <c r="C235" s="218" t="s">
        <v>391</v>
      </c>
      <c r="D235" s="218" t="s">
        <v>400</v>
      </c>
      <c r="E235" s="105" t="s">
        <v>401</v>
      </c>
      <c r="F235" s="100"/>
      <c r="G235" s="34"/>
      <c r="H235" s="335"/>
      <c r="I235" s="97"/>
      <c r="J235" s="97" t="s">
        <v>414</v>
      </c>
      <c r="K235" s="336">
        <v>6.9626305991946351</v>
      </c>
      <c r="L235" s="337">
        <v>1</v>
      </c>
      <c r="M235" s="319">
        <v>28.152821650658794</v>
      </c>
      <c r="N235" s="319">
        <v>12</v>
      </c>
      <c r="O235" s="319">
        <v>43.593876515136678</v>
      </c>
      <c r="P235" s="319">
        <v>32.417693883756904</v>
      </c>
      <c r="Q235" s="320">
        <v>15.036667021734893</v>
      </c>
      <c r="R235" s="319">
        <v>14.612928418062811</v>
      </c>
      <c r="S235" s="235">
        <f>tblPiNAnalysis[[#This Row],[CCCM]]</f>
        <v>347.84999999999997</v>
      </c>
      <c r="T235" s="236">
        <f>tblPiNAnalysis[[#This Row],[Education]]</f>
        <v>190.59397199999998</v>
      </c>
      <c r="U235" s="219">
        <f>tblPiNAnalysis[[#This Row],[Nutrition]]</f>
        <v>960.62743263091625</v>
      </c>
      <c r="V235" s="219">
        <f>tblPiNAnalysis[[#This Row],[Food Security]]</f>
        <v>891.58596384741622</v>
      </c>
      <c r="W235" s="219">
        <f>tblPiNAnalysis[[#This Row],[Health]]</f>
        <v>1150.5166343396793</v>
      </c>
      <c r="X235" s="219">
        <f>tblPiNAnalysis[[#This Row],[Overarching Protection]]</f>
        <v>1623</v>
      </c>
      <c r="Y235" s="219">
        <f>tblPiNAnalysis[[#This Row],[Shelter]]</f>
        <v>1578.2083333333333</v>
      </c>
      <c r="Z235" s="230">
        <f>tblPiNAnalysis[[#This Row],[WASH]]</f>
        <v>878.40909090909099</v>
      </c>
      <c r="AA235" s="339">
        <f>IF(OR(tblPiNHistorical[[#This Row],[CCCM - old]]="", tblPiNHistorical[[#This Row],[CCCM - old]]=0, tblPiNHistorical[[#This Row],[CCCM - new]]="", tblPiNHistorical[[#This Row],[CCCM - new]]=0), "", tblPiNHistorical[[#This Row],[CCCM - new]]-tblPiNHistorical[[#This Row],[CCCM - old]])</f>
        <v>340.88736940080531</v>
      </c>
      <c r="AB235" s="340">
        <f>IF(OR(tblPiNHistorical[[#This Row],[Education - old]]="", tblPiNHistorical[[#This Row],[Education - old]]=0, tblPiNHistorical[[#This Row],[Education - new]]="", tblPiNHistorical[[#This Row],[Education - new]]=0), "", tblPiNHistorical[[#This Row],[Education - new]]-tblPiNHistorical[[#This Row],[Education - old]])</f>
        <v>189.59397199999998</v>
      </c>
      <c r="AC235" s="340">
        <f>IF(OR(tblPiNHistorical[[#This Row],[Nutrition - old]]="", tblPiNHistorical[[#This Row],[Nutrition - old]]=0, tblPiNHistorical[[#This Row],[Nutrition - new]]="", tblPiNHistorical[[#This Row],[Nutrition - new]]=0), "", tblPiNHistorical[[#This Row],[Nutrition - new]]-tblPiNHistorical[[#This Row],[Nutrition - old]])</f>
        <v>932.47461098025747</v>
      </c>
      <c r="AD235" s="340">
        <f>IF(OR(tblPiNHistorical[[#This Row],[Food Security - old]]="", tblPiNHistorical[[#This Row],[Food Security - old]]=0, tblPiNHistorical[[#This Row],[Food Security - new]]="", tblPiNHistorical[[#This Row],[Food Security - new]]=0), "", tblPiNHistorical[[#This Row],[Food Security - new]]-tblPiNHistorical[[#This Row],[Food Security - old]])</f>
        <v>879.58596384741622</v>
      </c>
      <c r="AE235" s="340">
        <f>IF(OR(tblPiNHistorical[[#This Row],[Health - old]]="", tblPiNHistorical[[#This Row],[Health - old]]=0, tblPiNHistorical[[#This Row],[Health - new]]="", tblPiNHistorical[[#This Row],[Health - new]]=0), "", tblPiNHistorical[[#This Row],[Health - new]]-tblPiNHistorical[[#This Row],[Health - old]])</f>
        <v>1106.9227578245427</v>
      </c>
      <c r="AF235"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1590.582306116243</v>
      </c>
      <c r="AG235" s="340">
        <f>IF(OR(tblPiNHistorical[[#This Row],[Shelter - old]]="", tblPiNHistorical[[#This Row],[Shelter - old]]=0, tblPiNHistorical[[#This Row],[Shelter - new]]="", tblPiNHistorical[[#This Row],[Shelter - new]]=0), "", tblPiNHistorical[[#This Row],[Shelter - new]]-tblPiNHistorical[[#This Row],[Shelter - old]])</f>
        <v>1563.1716663115983</v>
      </c>
      <c r="AH235" s="341">
        <f>IF(OR(tblPiNHistorical[[#This Row],[WASH - old]]="", tblPiNHistorical[[#This Row],[WASH - old]]=0, tblPiNHistorical[[#This Row],[WASH - new]]="", tblPiNHistorical[[#This Row],[WASH - new]]=0), "", tblPiNHistorical[[#This Row],[WASH - new]]-tblPiNHistorical[[#This Row],[WASH - old]])</f>
        <v>863.79616249102821</v>
      </c>
      <c r="AI235" s="342">
        <f>IFERROR(ROUND((tblPiNHistorical[[#This Row],[CCCM - new]] - tblPiNHistorical[[#This Row],[CCCM - old]])/tblPiNHistorical[[#This Row],[CCCM - old]], 1), "")</f>
        <v>49</v>
      </c>
      <c r="AJ235" s="343">
        <f>IFERROR(ROUND((tblPiNHistorical[[#This Row],[Education - new]]-tblPiNHistorical[[#This Row],[Education - old]])/tblPiNHistorical[[#This Row],[Education - old]], 1), "")</f>
        <v>189.6</v>
      </c>
      <c r="AK235" s="343">
        <f>IFERROR(ROUND((tblPiNHistorical[[#This Row],[Nutrition - new]]-tblPiNHistorical[[#This Row],[Nutrition - old]])/tblPiNHistorical[[#This Row],[Nutrition - old]], 1), "")</f>
        <v>33.1</v>
      </c>
      <c r="AL235" s="343">
        <f>IFERROR(ROUND((tblPiNHistorical[[#This Row],[Food Security - new]]-tblPiNHistorical[[#This Row],[Food Security - old]])/tblPiNHistorical[[#This Row],[Food Security - old]], 1), "")</f>
        <v>73.3</v>
      </c>
      <c r="AM235" s="343">
        <f>IFERROR(ROUND((tblPiNHistorical[[#This Row],[Health - new]]-tblPiNHistorical[[#This Row],[Health - old]])/tblPiNHistorical[[#This Row],[Health - old]], 1), "")</f>
        <v>25.4</v>
      </c>
      <c r="AN235" s="343">
        <f>IFERROR(ROUND((tblPiNHistorical[[#This Row],[Overarching Protection - new]]-tblPiNHistorical[[#This Row],[Overarching Protection - old]])/tblPiNHistorical[[#This Row],[Overarching Protection - old]], 1), "")</f>
        <v>49.1</v>
      </c>
      <c r="AO235" s="343">
        <f>IFERROR(ROUND((tblPiNHistorical[[#This Row],[Shelter - new]]-tblPiNHistorical[[#This Row],[Shelter - old]])/tblPiNHistorical[[#This Row],[Shelter - old]], 1), "")</f>
        <v>104</v>
      </c>
      <c r="AP235" s="38">
        <f>IFERROR(ROUND((tblPiNHistorical[[#This Row],[WASH - new]]-tblPiNHistorical[[#This Row],[WASH - old]])/tblPiNHistorical[[#This Row],[WASH - old]], 1), "")</f>
        <v>59.1</v>
      </c>
      <c r="AQ235" s="406">
        <v>43.593876515136678</v>
      </c>
      <c r="AR235" s="406">
        <v>1623</v>
      </c>
    </row>
    <row r="236" spans="1:44" ht="15" customHeight="1" x14ac:dyDescent="0.55000000000000004">
      <c r="A236"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6" s="316" t="s">
        <v>390</v>
      </c>
      <c r="C236" s="218" t="s">
        <v>391</v>
      </c>
      <c r="D236" s="218" t="s">
        <v>402</v>
      </c>
      <c r="E236" s="105" t="s">
        <v>403</v>
      </c>
      <c r="F236" s="100"/>
      <c r="G236" s="34"/>
      <c r="H236" s="335"/>
      <c r="I236" s="97"/>
      <c r="J236" s="97" t="s">
        <v>414</v>
      </c>
      <c r="K236" s="336">
        <v>0</v>
      </c>
      <c r="L236" s="337">
        <v>0</v>
      </c>
      <c r="M236" s="319">
        <v>0</v>
      </c>
      <c r="N236" s="319">
        <v>0</v>
      </c>
      <c r="O236" s="319">
        <v>0</v>
      </c>
      <c r="P236" s="319">
        <v>0</v>
      </c>
      <c r="Q236" s="320">
        <v>0</v>
      </c>
      <c r="R236" s="319">
        <v>0</v>
      </c>
      <c r="S236" s="235">
        <f>tblPiNAnalysis[[#This Row],[CCCM]]</f>
        <v>740.1</v>
      </c>
      <c r="T236" s="236">
        <f>tblPiNAnalysis[[#This Row],[Education]]</f>
        <v>399.89083199999999</v>
      </c>
      <c r="U236" s="219">
        <f>tblPiNAnalysis[[#This Row],[Nutrition]]</f>
        <v>1713.0999138081784</v>
      </c>
      <c r="V236" s="219">
        <f>tblPiNAnalysis[[#This Row],[Food Security]]</f>
        <v>2851.7811157245615</v>
      </c>
      <c r="W236" s="219">
        <f>tblPiNAnalysis[[#This Row],[Health]]</f>
        <v>2276.5651665888586</v>
      </c>
      <c r="X236" s="219">
        <f>tblPiNAnalysis[[#This Row],[Overarching Protection]]</f>
        <v>2682</v>
      </c>
      <c r="Y236" s="219">
        <f>tblPiNAnalysis[[#This Row],[Shelter]]</f>
        <v>3981.8245614035086</v>
      </c>
      <c r="Z236" s="230">
        <f>tblPiNAnalysis[[#This Row],[WASH]]</f>
        <v>2284.2592592592591</v>
      </c>
      <c r="AA236" s="339" t="str">
        <f>IF(OR(tblPiNHistorical[[#This Row],[CCCM - old]]="", tblPiNHistorical[[#This Row],[CCCM - old]]=0, tblPiNHistorical[[#This Row],[CCCM - new]]="", tblPiNHistorical[[#This Row],[CCCM - new]]=0), "", tblPiNHistorical[[#This Row],[CCCM - new]]-tblPiNHistorical[[#This Row],[CCCM - old]])</f>
        <v/>
      </c>
      <c r="AB236" s="340" t="str">
        <f>IF(OR(tblPiNHistorical[[#This Row],[Education - old]]="", tblPiNHistorical[[#This Row],[Education - old]]=0, tblPiNHistorical[[#This Row],[Education - new]]="", tblPiNHistorical[[#This Row],[Education - new]]=0), "", tblPiNHistorical[[#This Row],[Education - new]]-tblPiNHistorical[[#This Row],[Education - old]])</f>
        <v/>
      </c>
      <c r="AC236" s="340" t="str">
        <f>IF(OR(tblPiNHistorical[[#This Row],[Nutrition - old]]="", tblPiNHistorical[[#This Row],[Nutrition - old]]=0, tblPiNHistorical[[#This Row],[Nutrition - new]]="", tblPiNHistorical[[#This Row],[Nutrition - new]]=0), "", tblPiNHistorical[[#This Row],[Nutrition - new]]-tblPiNHistorical[[#This Row],[Nutrition - old]])</f>
        <v/>
      </c>
      <c r="AD236"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36" s="340" t="str">
        <f>IF(OR(tblPiNHistorical[[#This Row],[Health - old]]="", tblPiNHistorical[[#This Row],[Health - old]]=0, tblPiNHistorical[[#This Row],[Health - new]]="", tblPiNHistorical[[#This Row],[Health - new]]=0), "", tblPiNHistorical[[#This Row],[Health - new]]-tblPiNHistorical[[#This Row],[Health - old]])</f>
        <v/>
      </c>
      <c r="AF236"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36" s="340" t="str">
        <f>IF(OR(tblPiNHistorical[[#This Row],[Shelter - old]]="", tblPiNHistorical[[#This Row],[Shelter - old]]=0, tblPiNHistorical[[#This Row],[Shelter - new]]="", tblPiNHistorical[[#This Row],[Shelter - new]]=0), "", tblPiNHistorical[[#This Row],[Shelter - new]]-tblPiNHistorical[[#This Row],[Shelter - old]])</f>
        <v/>
      </c>
      <c r="AH236" s="341" t="str">
        <f>IF(OR(tblPiNHistorical[[#This Row],[WASH - old]]="", tblPiNHistorical[[#This Row],[WASH - old]]=0, tblPiNHistorical[[#This Row],[WASH - new]]="", tblPiNHistorical[[#This Row],[WASH - new]]=0), "", tblPiNHistorical[[#This Row],[WASH - new]]-tblPiNHistorical[[#This Row],[WASH - old]])</f>
        <v/>
      </c>
      <c r="AI236" s="342" t="str">
        <f>IFERROR(ROUND((tblPiNHistorical[[#This Row],[CCCM - new]] - tblPiNHistorical[[#This Row],[CCCM - old]])/tblPiNHistorical[[#This Row],[CCCM - old]], 1), "")</f>
        <v/>
      </c>
      <c r="AJ236" s="343" t="str">
        <f>IFERROR(ROUND((tblPiNHistorical[[#This Row],[Education - new]]-tblPiNHistorical[[#This Row],[Education - old]])/tblPiNHistorical[[#This Row],[Education - old]], 1), "")</f>
        <v/>
      </c>
      <c r="AK236" s="343" t="str">
        <f>IFERROR(ROUND((tblPiNHistorical[[#This Row],[Nutrition - new]]-tblPiNHistorical[[#This Row],[Nutrition - old]])/tblPiNHistorical[[#This Row],[Nutrition - old]], 1), "")</f>
        <v/>
      </c>
      <c r="AL236" s="343" t="str">
        <f>IFERROR(ROUND((tblPiNHistorical[[#This Row],[Food Security - new]]-tblPiNHistorical[[#This Row],[Food Security - old]])/tblPiNHistorical[[#This Row],[Food Security - old]], 1), "")</f>
        <v/>
      </c>
      <c r="AM236" s="343" t="str">
        <f>IFERROR(ROUND((tblPiNHistorical[[#This Row],[Health - new]]-tblPiNHistorical[[#This Row],[Health - old]])/tblPiNHistorical[[#This Row],[Health - old]], 1), "")</f>
        <v/>
      </c>
      <c r="AN236" s="343" t="str">
        <f>IFERROR(ROUND((tblPiNHistorical[[#This Row],[Overarching Protection - new]]-tblPiNHistorical[[#This Row],[Overarching Protection - old]])/tblPiNHistorical[[#This Row],[Overarching Protection - old]], 1), "")</f>
        <v/>
      </c>
      <c r="AO236" s="343" t="str">
        <f>IFERROR(ROUND((tblPiNHistorical[[#This Row],[Shelter - new]]-tblPiNHistorical[[#This Row],[Shelter - old]])/tblPiNHistorical[[#This Row],[Shelter - old]], 1), "")</f>
        <v/>
      </c>
      <c r="AP236" s="38" t="str">
        <f>IFERROR(ROUND((tblPiNHistorical[[#This Row],[WASH - new]]-tblPiNHistorical[[#This Row],[WASH - old]])/tblPiNHistorical[[#This Row],[WASH - old]], 1), "")</f>
        <v/>
      </c>
      <c r="AQ236" s="406">
        <v>0</v>
      </c>
      <c r="AR236" s="406">
        <v>3981.8245614035086</v>
      </c>
    </row>
    <row r="237" spans="1:44" ht="15" customHeight="1" x14ac:dyDescent="0.55000000000000004">
      <c r="A237"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7" s="316" t="s">
        <v>390</v>
      </c>
      <c r="C237" s="218" t="s">
        <v>391</v>
      </c>
      <c r="D237" s="218" t="s">
        <v>404</v>
      </c>
      <c r="E237" s="105" t="s">
        <v>405</v>
      </c>
      <c r="F237" s="100"/>
      <c r="G237" s="34"/>
      <c r="H237" s="335"/>
      <c r="I237" s="97"/>
      <c r="J237" s="97" t="s">
        <v>414</v>
      </c>
      <c r="K237" s="336">
        <v>0</v>
      </c>
      <c r="L237" s="337">
        <v>0</v>
      </c>
      <c r="M237" s="319">
        <v>0</v>
      </c>
      <c r="N237" s="319">
        <v>0</v>
      </c>
      <c r="O237" s="319">
        <v>0</v>
      </c>
      <c r="P237" s="319">
        <v>0</v>
      </c>
      <c r="Q237" s="320">
        <v>0</v>
      </c>
      <c r="R237" s="319">
        <v>0</v>
      </c>
      <c r="S237" s="235">
        <f>tblPiNAnalysis[[#This Row],[CCCM]]</f>
        <v>0</v>
      </c>
      <c r="T237" s="236">
        <f>tblPiNAnalysis[[#This Row],[Education]]</f>
        <v>0</v>
      </c>
      <c r="U237" s="219">
        <f>tblPiNAnalysis[[#This Row],[Nutrition]]</f>
        <v>0</v>
      </c>
      <c r="V237" s="219">
        <f>tblPiNAnalysis[[#This Row],[Food Security]]</f>
        <v>0</v>
      </c>
      <c r="W237" s="219">
        <f>tblPiNAnalysis[[#This Row],[Health]]</f>
        <v>0</v>
      </c>
      <c r="X237" s="219">
        <f>tblPiNAnalysis[[#This Row],[Overarching Protection]]</f>
        <v>0</v>
      </c>
      <c r="Y237" s="219">
        <f>tblPiNAnalysis[[#This Row],[Shelter]]</f>
        <v>0</v>
      </c>
      <c r="Z237" s="230">
        <f>tblPiNAnalysis[[#This Row],[WASH]]</f>
        <v>0</v>
      </c>
      <c r="AA237" s="339" t="str">
        <f>IF(OR(tblPiNHistorical[[#This Row],[CCCM - old]]="", tblPiNHistorical[[#This Row],[CCCM - old]]=0, tblPiNHistorical[[#This Row],[CCCM - new]]="", tblPiNHistorical[[#This Row],[CCCM - new]]=0), "", tblPiNHistorical[[#This Row],[CCCM - new]]-tblPiNHistorical[[#This Row],[CCCM - old]])</f>
        <v/>
      </c>
      <c r="AB237" s="340" t="str">
        <f>IF(OR(tblPiNHistorical[[#This Row],[Education - old]]="", tblPiNHistorical[[#This Row],[Education - old]]=0, tblPiNHistorical[[#This Row],[Education - new]]="", tblPiNHistorical[[#This Row],[Education - new]]=0), "", tblPiNHistorical[[#This Row],[Education - new]]-tblPiNHistorical[[#This Row],[Education - old]])</f>
        <v/>
      </c>
      <c r="AC237" s="340" t="str">
        <f>IF(OR(tblPiNHistorical[[#This Row],[Nutrition - old]]="", tblPiNHistorical[[#This Row],[Nutrition - old]]=0, tblPiNHistorical[[#This Row],[Nutrition - new]]="", tblPiNHistorical[[#This Row],[Nutrition - new]]=0), "", tblPiNHistorical[[#This Row],[Nutrition - new]]-tblPiNHistorical[[#This Row],[Nutrition - old]])</f>
        <v/>
      </c>
      <c r="AD237" s="340" t="str">
        <f>IF(OR(tblPiNHistorical[[#This Row],[Food Security - old]]="", tblPiNHistorical[[#This Row],[Food Security - old]]=0, tblPiNHistorical[[#This Row],[Food Security - new]]="", tblPiNHistorical[[#This Row],[Food Security - new]]=0), "", tblPiNHistorical[[#This Row],[Food Security - new]]-tblPiNHistorical[[#This Row],[Food Security - old]])</f>
        <v/>
      </c>
      <c r="AE237" s="340" t="str">
        <f>IF(OR(tblPiNHistorical[[#This Row],[Health - old]]="", tblPiNHistorical[[#This Row],[Health - old]]=0, tblPiNHistorical[[#This Row],[Health - new]]="", tblPiNHistorical[[#This Row],[Health - new]]=0), "", tblPiNHistorical[[#This Row],[Health - new]]-tblPiNHistorical[[#This Row],[Health - old]])</f>
        <v/>
      </c>
      <c r="AF237" s="340" t="str">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
      </c>
      <c r="AG237" s="340" t="str">
        <f>IF(OR(tblPiNHistorical[[#This Row],[Shelter - old]]="", tblPiNHistorical[[#This Row],[Shelter - old]]=0, tblPiNHistorical[[#This Row],[Shelter - new]]="", tblPiNHistorical[[#This Row],[Shelter - new]]=0), "", tblPiNHistorical[[#This Row],[Shelter - new]]-tblPiNHistorical[[#This Row],[Shelter - old]])</f>
        <v/>
      </c>
      <c r="AH237" s="341" t="str">
        <f>IF(OR(tblPiNHistorical[[#This Row],[WASH - old]]="", tblPiNHistorical[[#This Row],[WASH - old]]=0, tblPiNHistorical[[#This Row],[WASH - new]]="", tblPiNHistorical[[#This Row],[WASH - new]]=0), "", tblPiNHistorical[[#This Row],[WASH - new]]-tblPiNHistorical[[#This Row],[WASH - old]])</f>
        <v/>
      </c>
      <c r="AI237" s="342" t="str">
        <f>IFERROR(ROUND((tblPiNHistorical[[#This Row],[CCCM - new]] - tblPiNHistorical[[#This Row],[CCCM - old]])/tblPiNHistorical[[#This Row],[CCCM - old]], 1), "")</f>
        <v/>
      </c>
      <c r="AJ237" s="343" t="str">
        <f>IFERROR(ROUND((tblPiNHistorical[[#This Row],[Education - new]]-tblPiNHistorical[[#This Row],[Education - old]])/tblPiNHistorical[[#This Row],[Education - old]], 1), "")</f>
        <v/>
      </c>
      <c r="AK237" s="343" t="str">
        <f>IFERROR(ROUND((tblPiNHistorical[[#This Row],[Nutrition - new]]-tblPiNHistorical[[#This Row],[Nutrition - old]])/tblPiNHistorical[[#This Row],[Nutrition - old]], 1), "")</f>
        <v/>
      </c>
      <c r="AL237" s="343" t="str">
        <f>IFERROR(ROUND((tblPiNHistorical[[#This Row],[Food Security - new]]-tblPiNHistorical[[#This Row],[Food Security - old]])/tblPiNHistorical[[#This Row],[Food Security - old]], 1), "")</f>
        <v/>
      </c>
      <c r="AM237" s="343" t="str">
        <f>IFERROR(ROUND((tblPiNHistorical[[#This Row],[Health - new]]-tblPiNHistorical[[#This Row],[Health - old]])/tblPiNHistorical[[#This Row],[Health - old]], 1), "")</f>
        <v/>
      </c>
      <c r="AN237" s="343" t="str">
        <f>IFERROR(ROUND((tblPiNHistorical[[#This Row],[Overarching Protection - new]]-tblPiNHistorical[[#This Row],[Overarching Protection - old]])/tblPiNHistorical[[#This Row],[Overarching Protection - old]], 1), "")</f>
        <v/>
      </c>
      <c r="AO237" s="343" t="str">
        <f>IFERROR(ROUND((tblPiNHistorical[[#This Row],[Shelter - new]]-tblPiNHistorical[[#This Row],[Shelter - old]])/tblPiNHistorical[[#This Row],[Shelter - old]], 1), "")</f>
        <v/>
      </c>
      <c r="AP237" s="38" t="str">
        <f>IFERROR(ROUND((tblPiNHistorical[[#This Row],[WASH - new]]-tblPiNHistorical[[#This Row],[WASH - old]])/tblPiNHistorical[[#This Row],[WASH - old]], 1), "")</f>
        <v/>
      </c>
      <c r="AQ237" s="406">
        <v>0</v>
      </c>
      <c r="AR237" s="406">
        <v>0</v>
      </c>
    </row>
    <row r="238" spans="1:44" ht="15" customHeight="1" x14ac:dyDescent="0.55000000000000004">
      <c r="A238"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8" s="316" t="s">
        <v>390</v>
      </c>
      <c r="C238" s="218" t="s">
        <v>391</v>
      </c>
      <c r="D238" s="218" t="s">
        <v>406</v>
      </c>
      <c r="E238" s="105" t="s">
        <v>407</v>
      </c>
      <c r="F238" s="100"/>
      <c r="G238" s="34"/>
      <c r="H238" s="335"/>
      <c r="I238" s="97"/>
      <c r="J238" s="97" t="s">
        <v>414</v>
      </c>
      <c r="K238" s="336">
        <v>4.6417537327964231</v>
      </c>
      <c r="L238" s="337">
        <v>4</v>
      </c>
      <c r="M238" s="319">
        <v>19.416384492578501</v>
      </c>
      <c r="N238" s="319">
        <v>4</v>
      </c>
      <c r="O238" s="319">
        <v>16.081809906517069</v>
      </c>
      <c r="P238" s="319">
        <v>22.601083199999998</v>
      </c>
      <c r="Q238" s="320">
        <v>3.5705797944587876</v>
      </c>
      <c r="R238" s="319">
        <v>18.910848541022464</v>
      </c>
      <c r="S238" s="235">
        <f>tblPiNAnalysis[[#This Row],[CCCM]]</f>
        <v>56.25</v>
      </c>
      <c r="T238" s="236">
        <f>tblPiNAnalysis[[#This Row],[Education]]</f>
        <v>71.836050000000014</v>
      </c>
      <c r="U238" s="219">
        <f>tblPiNAnalysis[[#This Row],[Nutrition]]</f>
        <v>154.24426865262288</v>
      </c>
      <c r="V238" s="219">
        <f>tblPiNAnalysis[[#This Row],[Food Security]]</f>
        <v>72.83154889829467</v>
      </c>
      <c r="W238" s="219">
        <f>tblPiNAnalysis[[#This Row],[Health]]</f>
        <v>162.93212727173531</v>
      </c>
      <c r="X238" s="219">
        <f>tblPiNAnalysis[[#This Row],[Overarching Protection]]</f>
        <v>263</v>
      </c>
      <c r="Y238" s="219">
        <f>tblPiNAnalysis[[#This Row],[Shelter]]</f>
        <v>375</v>
      </c>
      <c r="Z238" s="230">
        <f>tblPiNAnalysis[[#This Row],[WASH]]</f>
        <v>295.13888888888886</v>
      </c>
      <c r="AA238" s="339">
        <f>IF(OR(tblPiNHistorical[[#This Row],[CCCM - old]]="", tblPiNHistorical[[#This Row],[CCCM - old]]=0, tblPiNHistorical[[#This Row],[CCCM - new]]="", tblPiNHistorical[[#This Row],[CCCM - new]]=0), "", tblPiNHistorical[[#This Row],[CCCM - new]]-tblPiNHistorical[[#This Row],[CCCM - old]])</f>
        <v>51.608246267203576</v>
      </c>
      <c r="AB238" s="340">
        <f>IF(OR(tblPiNHistorical[[#This Row],[Education - old]]="", tblPiNHistorical[[#This Row],[Education - old]]=0, tblPiNHistorical[[#This Row],[Education - new]]="", tblPiNHistorical[[#This Row],[Education - new]]=0), "", tblPiNHistorical[[#This Row],[Education - new]]-tblPiNHistorical[[#This Row],[Education - old]])</f>
        <v>67.836050000000014</v>
      </c>
      <c r="AC238" s="340">
        <f>IF(OR(tblPiNHistorical[[#This Row],[Nutrition - old]]="", tblPiNHistorical[[#This Row],[Nutrition - old]]=0, tblPiNHistorical[[#This Row],[Nutrition - new]]="", tblPiNHistorical[[#This Row],[Nutrition - new]]=0), "", tblPiNHistorical[[#This Row],[Nutrition - new]]-tblPiNHistorical[[#This Row],[Nutrition - old]])</f>
        <v>134.82788416004439</v>
      </c>
      <c r="AD238" s="340">
        <f>IF(OR(tblPiNHistorical[[#This Row],[Food Security - old]]="", tblPiNHistorical[[#This Row],[Food Security - old]]=0, tblPiNHistorical[[#This Row],[Food Security - new]]="", tblPiNHistorical[[#This Row],[Food Security - new]]=0), "", tblPiNHistorical[[#This Row],[Food Security - new]]-tblPiNHistorical[[#This Row],[Food Security - old]])</f>
        <v>68.83154889829467</v>
      </c>
      <c r="AE238" s="340">
        <f>IF(OR(tblPiNHistorical[[#This Row],[Health - old]]="", tblPiNHistorical[[#This Row],[Health - old]]=0, tblPiNHistorical[[#This Row],[Health - new]]="", tblPiNHistorical[[#This Row],[Health - new]]=0), "", tblPiNHistorical[[#This Row],[Health - new]]-tblPiNHistorical[[#This Row],[Health - old]])</f>
        <v>146.85031736521825</v>
      </c>
      <c r="AF238"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240.39891679999999</v>
      </c>
      <c r="AG238" s="340">
        <f>IF(OR(tblPiNHistorical[[#This Row],[Shelter - old]]="", tblPiNHistorical[[#This Row],[Shelter - old]]=0, tblPiNHistorical[[#This Row],[Shelter - new]]="", tblPiNHistorical[[#This Row],[Shelter - new]]=0), "", tblPiNHistorical[[#This Row],[Shelter - new]]-tblPiNHistorical[[#This Row],[Shelter - old]])</f>
        <v>371.42942020554119</v>
      </c>
      <c r="AH238" s="341">
        <f>IF(OR(tblPiNHistorical[[#This Row],[WASH - old]]="", tblPiNHistorical[[#This Row],[WASH - old]]=0, tblPiNHistorical[[#This Row],[WASH - new]]="", tblPiNHistorical[[#This Row],[WASH - new]]=0), "", tblPiNHistorical[[#This Row],[WASH - new]]-tblPiNHistorical[[#This Row],[WASH - old]])</f>
        <v>276.2280403478664</v>
      </c>
      <c r="AI238" s="342">
        <f>IFERROR(ROUND((tblPiNHistorical[[#This Row],[CCCM - new]] - tblPiNHistorical[[#This Row],[CCCM - old]])/tblPiNHistorical[[#This Row],[CCCM - old]], 1), "")</f>
        <v>11.1</v>
      </c>
      <c r="AJ238" s="343">
        <f>IFERROR(ROUND((tblPiNHistorical[[#This Row],[Education - new]]-tblPiNHistorical[[#This Row],[Education - old]])/tblPiNHistorical[[#This Row],[Education - old]], 1), "")</f>
        <v>17</v>
      </c>
      <c r="AK238" s="343">
        <f>IFERROR(ROUND((tblPiNHistorical[[#This Row],[Nutrition - new]]-tblPiNHistorical[[#This Row],[Nutrition - old]])/tblPiNHistorical[[#This Row],[Nutrition - old]], 1), "")</f>
        <v>6.9</v>
      </c>
      <c r="AL238" s="343">
        <f>IFERROR(ROUND((tblPiNHistorical[[#This Row],[Food Security - new]]-tblPiNHistorical[[#This Row],[Food Security - old]])/tblPiNHistorical[[#This Row],[Food Security - old]], 1), "")</f>
        <v>17.2</v>
      </c>
      <c r="AM238" s="343">
        <f>IFERROR(ROUND((tblPiNHistorical[[#This Row],[Health - new]]-tblPiNHistorical[[#This Row],[Health - old]])/tblPiNHistorical[[#This Row],[Health - old]], 1), "")</f>
        <v>9.1</v>
      </c>
      <c r="AN238" s="343">
        <f>IFERROR(ROUND((tblPiNHistorical[[#This Row],[Overarching Protection - new]]-tblPiNHistorical[[#This Row],[Overarching Protection - old]])/tblPiNHistorical[[#This Row],[Overarching Protection - old]], 1), "")</f>
        <v>10.6</v>
      </c>
      <c r="AO238" s="343">
        <f>IFERROR(ROUND((tblPiNHistorical[[#This Row],[Shelter - new]]-tblPiNHistorical[[#This Row],[Shelter - old]])/tblPiNHistorical[[#This Row],[Shelter - old]], 1), "")</f>
        <v>104</v>
      </c>
      <c r="AP238" s="38">
        <f>IFERROR(ROUND((tblPiNHistorical[[#This Row],[WASH - new]]-tblPiNHistorical[[#This Row],[WASH - old]])/tblPiNHistorical[[#This Row],[WASH - old]], 1), "")</f>
        <v>14.6</v>
      </c>
      <c r="AQ238" s="406">
        <v>22.601083199999998</v>
      </c>
      <c r="AR238" s="406">
        <v>375</v>
      </c>
    </row>
    <row r="239" spans="1:44" ht="15" customHeight="1" x14ac:dyDescent="0.55000000000000004">
      <c r="A239"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39" s="316" t="s">
        <v>390</v>
      </c>
      <c r="C239" s="218" t="s">
        <v>391</v>
      </c>
      <c r="D239" s="218" t="s">
        <v>408</v>
      </c>
      <c r="E239" s="105" t="s">
        <v>409</v>
      </c>
      <c r="F239" s="100"/>
      <c r="G239" s="34"/>
      <c r="H239" s="335"/>
      <c r="I239" s="97"/>
      <c r="J239" s="97" t="s">
        <v>414</v>
      </c>
      <c r="K239" s="336">
        <v>136.65</v>
      </c>
      <c r="L239" s="337">
        <v>110</v>
      </c>
      <c r="M239" s="319">
        <v>506.47221786224907</v>
      </c>
      <c r="N239" s="319">
        <v>450</v>
      </c>
      <c r="O239" s="319">
        <v>326.43896505593364</v>
      </c>
      <c r="P239" s="319">
        <v>763.38389774363213</v>
      </c>
      <c r="Q239" s="320">
        <v>159.42500000000001</v>
      </c>
      <c r="R239" s="319">
        <v>472.37037037037049</v>
      </c>
      <c r="S239" s="235">
        <f>tblPiNAnalysis[[#This Row],[CCCM]]</f>
        <v>317.72142857142899</v>
      </c>
      <c r="T239" s="236">
        <f>tblPiNAnalysis[[#This Row],[Education]]</f>
        <v>426.52830900000049</v>
      </c>
      <c r="U239" s="219">
        <f>tblPiNAnalysis[[#This Row],[Nutrition]]</f>
        <v>697.85443144825274</v>
      </c>
      <c r="V239" s="219">
        <f>tblPiNAnalysis[[#This Row],[Food Security]]</f>
        <v>910.43538781819404</v>
      </c>
      <c r="W239" s="219">
        <f>tblPiNAnalysis[[#This Row],[Health]]</f>
        <v>1288.5202770589237</v>
      </c>
      <c r="X239" s="219">
        <f>tblPiNAnalysis[[#This Row],[Overarching Protection]]</f>
        <v>1551</v>
      </c>
      <c r="Y239" s="219">
        <f>tblPiNAnalysis[[#This Row],[Shelter]]</f>
        <v>2118.1428571428601</v>
      </c>
      <c r="Z239" s="230">
        <f>tblPiNAnalysis[[#This Row],[WASH]]</f>
        <v>1627.8320105820128</v>
      </c>
      <c r="AA239" s="339">
        <f>IF(OR(tblPiNHistorical[[#This Row],[CCCM - old]]="", tblPiNHistorical[[#This Row],[CCCM - old]]=0, tblPiNHistorical[[#This Row],[CCCM - new]]="", tblPiNHistorical[[#This Row],[CCCM - new]]=0), "", tblPiNHistorical[[#This Row],[CCCM - new]]-tblPiNHistorical[[#This Row],[CCCM - old]])</f>
        <v>181.07142857142898</v>
      </c>
      <c r="AB239" s="340">
        <f>IF(OR(tblPiNHistorical[[#This Row],[Education - old]]="", tblPiNHistorical[[#This Row],[Education - old]]=0, tblPiNHistorical[[#This Row],[Education - new]]="", tblPiNHistorical[[#This Row],[Education - new]]=0), "", tblPiNHistorical[[#This Row],[Education - new]]-tblPiNHistorical[[#This Row],[Education - old]])</f>
        <v>316.52830900000049</v>
      </c>
      <c r="AC239" s="340">
        <f>IF(OR(tblPiNHistorical[[#This Row],[Nutrition - old]]="", tblPiNHistorical[[#This Row],[Nutrition - old]]=0, tblPiNHistorical[[#This Row],[Nutrition - new]]="", tblPiNHistorical[[#This Row],[Nutrition - new]]=0), "", tblPiNHistorical[[#This Row],[Nutrition - new]]-tblPiNHistorical[[#This Row],[Nutrition - old]])</f>
        <v>191.38221358600367</v>
      </c>
      <c r="AD239" s="340">
        <f>IF(OR(tblPiNHistorical[[#This Row],[Food Security - old]]="", tblPiNHistorical[[#This Row],[Food Security - old]]=0, tblPiNHistorical[[#This Row],[Food Security - new]]="", tblPiNHistorical[[#This Row],[Food Security - new]]=0), "", tblPiNHistorical[[#This Row],[Food Security - new]]-tblPiNHistorical[[#This Row],[Food Security - old]])</f>
        <v>460.43538781819404</v>
      </c>
      <c r="AE239" s="340">
        <f>IF(OR(tblPiNHistorical[[#This Row],[Health - old]]="", tblPiNHistorical[[#This Row],[Health - old]]=0, tblPiNHistorical[[#This Row],[Health - new]]="", tblPiNHistorical[[#This Row],[Health - new]]=0), "", tblPiNHistorical[[#This Row],[Health - new]]-tblPiNHistorical[[#This Row],[Health - old]])</f>
        <v>962.0813120029901</v>
      </c>
      <c r="AF239"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787.61610225636787</v>
      </c>
      <c r="AG239" s="340">
        <f>IF(OR(tblPiNHistorical[[#This Row],[Shelter - old]]="", tblPiNHistorical[[#This Row],[Shelter - old]]=0, tblPiNHistorical[[#This Row],[Shelter - new]]="", tblPiNHistorical[[#This Row],[Shelter - new]]=0), "", tblPiNHistorical[[#This Row],[Shelter - new]]-tblPiNHistorical[[#This Row],[Shelter - old]])</f>
        <v>1958.7178571428601</v>
      </c>
      <c r="AH239" s="341">
        <f>IF(OR(tblPiNHistorical[[#This Row],[WASH - old]]="", tblPiNHistorical[[#This Row],[WASH - old]]=0, tblPiNHistorical[[#This Row],[WASH - new]]="", tblPiNHistorical[[#This Row],[WASH - new]]=0), "", tblPiNHistorical[[#This Row],[WASH - new]]-tblPiNHistorical[[#This Row],[WASH - old]])</f>
        <v>1155.4616402116424</v>
      </c>
      <c r="AI239" s="342">
        <f>IFERROR(ROUND((tblPiNHistorical[[#This Row],[CCCM - new]] - tblPiNHistorical[[#This Row],[CCCM - old]])/tblPiNHistorical[[#This Row],[CCCM - old]], 1), "")</f>
        <v>1.3</v>
      </c>
      <c r="AJ239" s="343">
        <f>IFERROR(ROUND((tblPiNHistorical[[#This Row],[Education - new]]-tblPiNHistorical[[#This Row],[Education - old]])/tblPiNHistorical[[#This Row],[Education - old]], 1), "")</f>
        <v>2.9</v>
      </c>
      <c r="AK239" s="343">
        <f>IFERROR(ROUND((tblPiNHistorical[[#This Row],[Nutrition - new]]-tblPiNHistorical[[#This Row],[Nutrition - old]])/tblPiNHistorical[[#This Row],[Nutrition - old]], 1), "")</f>
        <v>0.4</v>
      </c>
      <c r="AL239" s="343">
        <f>IFERROR(ROUND((tblPiNHistorical[[#This Row],[Food Security - new]]-tblPiNHistorical[[#This Row],[Food Security - old]])/tblPiNHistorical[[#This Row],[Food Security - old]], 1), "")</f>
        <v>1</v>
      </c>
      <c r="AM239" s="343">
        <f>IFERROR(ROUND((tblPiNHistorical[[#This Row],[Health - new]]-tblPiNHistorical[[#This Row],[Health - old]])/tblPiNHistorical[[#This Row],[Health - old]], 1), "")</f>
        <v>2.9</v>
      </c>
      <c r="AN239" s="343">
        <f>IFERROR(ROUND((tblPiNHistorical[[#This Row],[Overarching Protection - new]]-tblPiNHistorical[[#This Row],[Overarching Protection - old]])/tblPiNHistorical[[#This Row],[Overarching Protection - old]], 1), "")</f>
        <v>1</v>
      </c>
      <c r="AO239" s="343">
        <f>IFERROR(ROUND((tblPiNHistorical[[#This Row],[Shelter - new]]-tblPiNHistorical[[#This Row],[Shelter - old]])/tblPiNHistorical[[#This Row],[Shelter - old]], 1), "")</f>
        <v>12.3</v>
      </c>
      <c r="AP239" s="38">
        <f>IFERROR(ROUND((tblPiNHistorical[[#This Row],[WASH - new]]-tblPiNHistorical[[#This Row],[WASH - old]])/tblPiNHistorical[[#This Row],[WASH - old]], 1), "")</f>
        <v>2.4</v>
      </c>
      <c r="AQ239" s="406">
        <v>763.38389774363213</v>
      </c>
      <c r="AR239" s="406">
        <v>2118.1428571428601</v>
      </c>
    </row>
    <row r="240" spans="1:44" ht="15" customHeight="1" x14ac:dyDescent="0.55000000000000004">
      <c r="A240" s="248" t="str">
        <f>IFERROR(_xlfn.CONCAT(IF([2]!tblPiNHistorical[[#This Row],[Population Group]]="", "",[2]!tblPiNHistorical[[#This Row],[Population Group]] ), IF([2]!tblPiNHistorical[[#This Row],[Pocket of need]]&lt;&gt;"",[2]!tblPiNHistorical[[#This Row],[Pocket of need]],), _xlfn.IFS([2]!tblPiNHistorical[[#This Row],[Admin 3 P-Code]]&lt;&gt;"", [2]!tblPiNHistorical[[#This Row],[Admin 3 P-Code]], [2]!tblPiNHistorical[[#This Row],[Admin 2 P-Code]]&lt;&gt;"", [2]!tblPiNHistorical[[#This Row],[Admin 2 P-Code]], [2]!tblPiNHistorical[[#This Row],[Admin 1 P-Code]]&lt;&gt;"", [2]!tblPiNHistorical[[#This Row],[Admin 1 P-Code]])),"")</f>
        <v/>
      </c>
      <c r="B240" s="316" t="s">
        <v>390</v>
      </c>
      <c r="C240" s="218" t="s">
        <v>391</v>
      </c>
      <c r="D240" s="218" t="s">
        <v>410</v>
      </c>
      <c r="E240" s="105" t="s">
        <v>411</v>
      </c>
      <c r="F240" s="100"/>
      <c r="G240" s="34"/>
      <c r="H240" s="335"/>
      <c r="I240" s="97"/>
      <c r="J240" s="97" t="s">
        <v>414</v>
      </c>
      <c r="K240" s="336">
        <v>84.75</v>
      </c>
      <c r="L240" s="338">
        <v>66</v>
      </c>
      <c r="M240" s="319">
        <v>330.16873208725997</v>
      </c>
      <c r="N240" s="319">
        <v>110</v>
      </c>
      <c r="O240" s="319">
        <v>239.77045843847503</v>
      </c>
      <c r="P240" s="319">
        <v>398.28992970159572</v>
      </c>
      <c r="Q240" s="320">
        <v>86.92307692307692</v>
      </c>
      <c r="R240" s="319">
        <v>207.33944954128438</v>
      </c>
      <c r="S240" s="235">
        <f>tblPiNAnalysis[[#This Row],[CCCM]]</f>
        <v>1162.5</v>
      </c>
      <c r="T240" s="236">
        <f>tblPiNAnalysis[[#This Row],[Education]]</f>
        <v>1435.114</v>
      </c>
      <c r="U240" s="219">
        <f>tblPiNAnalysis[[#This Row],[Nutrition]]</f>
        <v>2568.044207503222</v>
      </c>
      <c r="V240" s="219">
        <f>tblPiNAnalysis[[#This Row],[Food Security]]</f>
        <v>1965.3678550191587</v>
      </c>
      <c r="W240" s="219">
        <f>tblPiNAnalysis[[#This Row],[Health]]</f>
        <v>3793.3158280108482</v>
      </c>
      <c r="X240" s="219">
        <f>tblPiNAnalysis[[#This Row],[Overarching Protection]]</f>
        <v>5936</v>
      </c>
      <c r="Y240" s="219">
        <f>tblPiNAnalysis[[#This Row],[Shelter]]</f>
        <v>5904.7619047619046</v>
      </c>
      <c r="Z240" s="230">
        <f>tblPiNAnalysis[[#This Row],[WASH]]</f>
        <v>5812.5</v>
      </c>
      <c r="AA240" s="339">
        <f>IF(OR(tblPiNHistorical[[#This Row],[CCCM - old]]="", tblPiNHistorical[[#This Row],[CCCM - old]]=0, tblPiNHistorical[[#This Row],[CCCM - new]]="", tblPiNHistorical[[#This Row],[CCCM - new]]=0), "", tblPiNHistorical[[#This Row],[CCCM - new]]-tblPiNHistorical[[#This Row],[CCCM - old]])</f>
        <v>1077.75</v>
      </c>
      <c r="AB240" s="340">
        <f>IF(OR(tblPiNHistorical[[#This Row],[Education - old]]="", tblPiNHistorical[[#This Row],[Education - old]]=0, tblPiNHistorical[[#This Row],[Education - new]]="", tblPiNHistorical[[#This Row],[Education - new]]=0), "", tblPiNHistorical[[#This Row],[Education - new]]-tblPiNHistorical[[#This Row],[Education - old]])</f>
        <v>1369.114</v>
      </c>
      <c r="AC240" s="340">
        <f>IF(OR(tblPiNHistorical[[#This Row],[Nutrition - old]]="", tblPiNHistorical[[#This Row],[Nutrition - old]]=0, tblPiNHistorical[[#This Row],[Nutrition - new]]="", tblPiNHistorical[[#This Row],[Nutrition - new]]=0), "", tblPiNHistorical[[#This Row],[Nutrition - new]]-tblPiNHistorical[[#This Row],[Nutrition - old]])</f>
        <v>2237.8754754159618</v>
      </c>
      <c r="AD240" s="340">
        <f>IF(OR(tblPiNHistorical[[#This Row],[Food Security - old]]="", tblPiNHistorical[[#This Row],[Food Security - old]]=0, tblPiNHistorical[[#This Row],[Food Security - new]]="", tblPiNHistorical[[#This Row],[Food Security - new]]=0), "", tblPiNHistorical[[#This Row],[Food Security - new]]-tblPiNHistorical[[#This Row],[Food Security - old]])</f>
        <v>1855.3678550191587</v>
      </c>
      <c r="AE240" s="340">
        <f>IF(OR(tblPiNHistorical[[#This Row],[Health - old]]="", tblPiNHistorical[[#This Row],[Health - old]]=0, tblPiNHistorical[[#This Row],[Health - new]]="", tblPiNHistorical[[#This Row],[Health - new]]=0), "", tblPiNHistorical[[#This Row],[Health - new]]-tblPiNHistorical[[#This Row],[Health - old]])</f>
        <v>3553.5453695723731</v>
      </c>
      <c r="AF240" s="34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5537.7100702984044</v>
      </c>
      <c r="AG240" s="340">
        <f>IF(OR(tblPiNHistorical[[#This Row],[Shelter - old]]="", tblPiNHistorical[[#This Row],[Shelter - old]]=0, tblPiNHistorical[[#This Row],[Shelter - new]]="", tblPiNHistorical[[#This Row],[Shelter - new]]=0), "", tblPiNHistorical[[#This Row],[Shelter - new]]-tblPiNHistorical[[#This Row],[Shelter - old]])</f>
        <v>5817.8388278388275</v>
      </c>
      <c r="AH240" s="341">
        <f>IF(OR(tblPiNHistorical[[#This Row],[WASH - old]]="", tblPiNHistorical[[#This Row],[WASH - old]]=0, tblPiNHistorical[[#This Row],[WASH - new]]="", tblPiNHistorical[[#This Row],[WASH - new]]=0), "", tblPiNHistorical[[#This Row],[WASH - new]]-tblPiNHistorical[[#This Row],[WASH - old]])</f>
        <v>5605.160550458716</v>
      </c>
      <c r="AI240" s="342">
        <f>IFERROR(ROUND((tblPiNHistorical[[#This Row],[CCCM - new]] - tblPiNHistorical[[#This Row],[CCCM - old]])/tblPiNHistorical[[#This Row],[CCCM - old]], 1), "")</f>
        <v>12.7</v>
      </c>
      <c r="AJ240" s="343">
        <f>IFERROR(ROUND((tblPiNHistorical[[#This Row],[Education - new]]-tblPiNHistorical[[#This Row],[Education - old]])/tblPiNHistorical[[#This Row],[Education - old]], 1), "")</f>
        <v>20.7</v>
      </c>
      <c r="AK240" s="343">
        <f>IFERROR(ROUND((tblPiNHistorical[[#This Row],[Nutrition - new]]-tblPiNHistorical[[#This Row],[Nutrition - old]])/tblPiNHistorical[[#This Row],[Nutrition - old]], 1), "")</f>
        <v>6.8</v>
      </c>
      <c r="AL240" s="343">
        <f>IFERROR(ROUND((tblPiNHistorical[[#This Row],[Food Security - new]]-tblPiNHistorical[[#This Row],[Food Security - old]])/tblPiNHistorical[[#This Row],[Food Security - old]], 1), "")</f>
        <v>16.899999999999999</v>
      </c>
      <c r="AM240" s="343">
        <f>IFERROR(ROUND((tblPiNHistorical[[#This Row],[Health - new]]-tblPiNHistorical[[#This Row],[Health - old]])/tblPiNHistorical[[#This Row],[Health - old]], 1), "")</f>
        <v>14.8</v>
      </c>
      <c r="AN240" s="343">
        <f>IFERROR(ROUND((tblPiNHistorical[[#This Row],[Overarching Protection - new]]-tblPiNHistorical[[#This Row],[Overarching Protection - old]])/tblPiNHistorical[[#This Row],[Overarching Protection - old]], 1), "")</f>
        <v>13.9</v>
      </c>
      <c r="AO240" s="343">
        <f>IFERROR(ROUND((tblPiNHistorical[[#This Row],[Shelter - new]]-tblPiNHistorical[[#This Row],[Shelter - old]])/tblPiNHistorical[[#This Row],[Shelter - old]], 1), "")</f>
        <v>66.900000000000006</v>
      </c>
      <c r="AP240" s="38">
        <f>IFERROR(ROUND((tblPiNHistorical[[#This Row],[WASH - new]]-tblPiNHistorical[[#This Row],[WASH - old]])/tblPiNHistorical[[#This Row],[WASH - old]], 1), "")</f>
        <v>27</v>
      </c>
      <c r="AQ240" s="408">
        <v>398.28992970159572</v>
      </c>
      <c r="AR240" s="408">
        <v>5936</v>
      </c>
    </row>
    <row r="241" spans="1:44" ht="15" customHeight="1" x14ac:dyDescent="0.55000000000000004">
      <c r="A241" s="355"/>
      <c r="B241" s="356"/>
      <c r="C241" s="357"/>
      <c r="D241" s="357"/>
      <c r="E241" s="358"/>
      <c r="F241" s="359"/>
      <c r="G241" s="360"/>
      <c r="H241" s="361"/>
      <c r="I241" s="362"/>
      <c r="J241" s="362"/>
      <c r="K241" s="370">
        <f>SUBTOTAL(109,tblPiNHistorical[CCCM - old])</f>
        <v>1351731.7071169005</v>
      </c>
      <c r="L241" s="370">
        <f>SUBTOTAL(109,tblPiNHistorical[Education - old])</f>
        <v>2139278.4789218772</v>
      </c>
      <c r="M241" s="370">
        <f>SUBTOTAL(109,tblPiNHistorical[Nutrition - old])</f>
        <v>4334588.2826397959</v>
      </c>
      <c r="N241" s="370">
        <f>SUBTOTAL(109,tblPiNHistorical[Food Security - old])</f>
        <v>7750164.7495274944</v>
      </c>
      <c r="O241" s="370">
        <f>SUBTOTAL(109,tblPiNHistorical[Health - old])</f>
        <v>5657326.8418663237</v>
      </c>
      <c r="P241" s="370">
        <f>SUBTOTAL(109,tblPiNHistorical[Overarching Protection - old])</f>
        <v>5342405.8687670603</v>
      </c>
      <c r="Q241" s="370">
        <f>SUBTOTAL(109,tblPiNHistorical[Shelter - old])</f>
        <v>4243316.9301740006</v>
      </c>
      <c r="R241" s="370">
        <f>SUBTOTAL(109,tblPiNHistorical[WASH - old])</f>
        <v>5010139.0219568107</v>
      </c>
      <c r="S241" s="363">
        <f>SUBTOTAL(109,tblPiNHistorical[CCCM - new])</f>
        <v>1359005.6654804838</v>
      </c>
      <c r="T241" s="363">
        <f>SUBTOTAL(109,tblPiNHistorical[Education - new])</f>
        <v>2435900.2640912938</v>
      </c>
      <c r="U241" s="363">
        <f>SUBTOTAL(109,tblPiNHistorical[Nutrition - new])</f>
        <v>5250932.6034867046</v>
      </c>
      <c r="V241" s="363">
        <f>SUBTOTAL(109,tblPiNHistorical[Food Security - new])</f>
        <v>7650961.5530535178</v>
      </c>
      <c r="W241" s="363">
        <f>SUBTOTAL(109,tblPiNHistorical[Health - new])</f>
        <v>6269692.2333403639</v>
      </c>
      <c r="X241" s="363">
        <f>SUBTOTAL(109,tblPiNHistorical[Overarching Protection - new])</f>
        <v>4867750</v>
      </c>
      <c r="Y241" s="363">
        <f>SUBTOTAL(109,tblPiNHistorical[Shelter - new])</f>
        <v>6669355.3914749231</v>
      </c>
      <c r="Z241" s="363">
        <f>SUBTOTAL(109,tblPiNHistorical[WASH - new])</f>
        <v>6806494.7796443868</v>
      </c>
      <c r="AA241" s="364"/>
      <c r="AB241" s="365"/>
      <c r="AC241" s="365"/>
      <c r="AD241" s="365"/>
      <c r="AE241" s="365"/>
      <c r="AF241" s="365"/>
      <c r="AG241" s="365"/>
      <c r="AH241" s="366"/>
      <c r="AI241" s="367"/>
      <c r="AJ241" s="368"/>
      <c r="AK241" s="368"/>
      <c r="AL241" s="368"/>
      <c r="AM241" s="368"/>
      <c r="AN241" s="368"/>
      <c r="AO241" s="368"/>
      <c r="AP241" s="367"/>
      <c r="AQ241" s="410"/>
      <c r="AR241" s="410"/>
    </row>
  </sheetData>
  <mergeCells count="6">
    <mergeCell ref="AI2:AP2"/>
    <mergeCell ref="B2:G2"/>
    <mergeCell ref="I2:J2"/>
    <mergeCell ref="K2:R2"/>
    <mergeCell ref="S2:Z2"/>
    <mergeCell ref="AA2:AH2"/>
  </mergeCells>
  <phoneticPr fontId="9" type="noConversion"/>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notBetween" id="{44980C84-2A4A-4B13-B285-48DD8024EE62}">
            <xm:f>Thresholds!$D$13*-1</xm:f>
            <xm:f>Thresholds!$D$13</xm:f>
            <x14:dxf>
              <font>
                <color rgb="FFFF0000"/>
              </font>
              <fill>
                <patternFill patternType="none">
                  <bgColor auto="1"/>
                </patternFill>
              </fill>
            </x14:dxf>
          </x14:cfRule>
          <xm:sqref>AI4:AP240</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7F7-6C31-4B6E-9251-013C1D64B81D}">
  <sheetPr codeName="Sheet4">
    <tabColor theme="7" tint="0.59999389629810485"/>
  </sheetPr>
  <dimension ref="A1:AB77"/>
  <sheetViews>
    <sheetView showGridLines="0" topLeftCell="P1" zoomScaleNormal="100" workbookViewId="0">
      <selection activeCell="AO11" sqref="AO11"/>
    </sheetView>
  </sheetViews>
  <sheetFormatPr defaultColWidth="8.83984375" defaultRowHeight="14.4" x14ac:dyDescent="0.55000000000000004"/>
  <cols>
    <col min="1" max="1" width="14.26171875" style="88" hidden="1" customWidth="1"/>
    <col min="2" max="2" width="21" style="90" hidden="1" customWidth="1"/>
    <col min="3" max="4" width="21" style="88" hidden="1" customWidth="1"/>
    <col min="5" max="5" width="10.26171875" style="88" hidden="1" customWidth="1"/>
    <col min="6" max="6" width="9" style="88" hidden="1" customWidth="1"/>
    <col min="7" max="7" width="9.15625" hidden="1" customWidth="1"/>
    <col min="8" max="8" width="12.15625" style="19" hidden="1" customWidth="1"/>
    <col min="9" max="9" width="14.41796875" hidden="1" customWidth="1"/>
    <col min="10" max="10" width="16.26171875" hidden="1" customWidth="1"/>
    <col min="11" max="11" width="13.26171875" hidden="1" customWidth="1"/>
    <col min="12" max="12" width="14.83984375" hidden="1" customWidth="1"/>
    <col min="13" max="14" width="9.15625" hidden="1" customWidth="1"/>
    <col min="15" max="15" width="8.83984375" hidden="1" customWidth="1"/>
    <col min="16" max="16" width="15.83984375" customWidth="1"/>
    <col min="17" max="17" width="28.83984375" customWidth="1"/>
    <col min="27" max="41" width="8.83984375" customWidth="1"/>
  </cols>
  <sheetData>
    <row r="1" spans="1:26" x14ac:dyDescent="0.55000000000000004">
      <c r="A1" s="87"/>
      <c r="B1" s="89"/>
      <c r="F1"/>
    </row>
    <row r="2" spans="1:26" ht="24.75" customHeight="1" x14ac:dyDescent="0.55000000000000004">
      <c r="A2" s="87"/>
      <c r="B2" s="89"/>
      <c r="F2"/>
      <c r="P2" s="91" t="s">
        <v>162</v>
      </c>
      <c r="Q2" s="92" t="s">
        <v>56</v>
      </c>
    </row>
    <row r="3" spans="1:26" ht="24.75" customHeight="1" x14ac:dyDescent="0.55000000000000004">
      <c r="A3" s="87"/>
      <c r="B3" s="89"/>
      <c r="F3"/>
      <c r="Z3" s="172"/>
    </row>
    <row r="4" spans="1:26" ht="24.75" customHeight="1" x14ac:dyDescent="0.55000000000000004">
      <c r="A4" s="87"/>
      <c r="B4" s="89"/>
      <c r="F4"/>
      <c r="Z4" s="172"/>
    </row>
    <row r="5" spans="1:26" ht="14.7" thickBot="1" x14ac:dyDescent="0.6">
      <c r="A5" s="98" t="s">
        <v>163</v>
      </c>
      <c r="B5" s="98" t="str" cm="1">
        <f t="array" ref="B5:D5">TRANSPOSE(_xlfn.UNIQUE(tblPiNAnalysis[Population Group]))</f>
        <v>IDPs</v>
      </c>
      <c r="C5" s="98" t="str">
        <v>Residents</v>
      </c>
      <c r="D5" s="98" t="str">
        <v>Returnees</v>
      </c>
      <c r="E5" s="98"/>
      <c r="F5" s="98"/>
      <c r="H5" s="140" t="s">
        <v>163</v>
      </c>
      <c r="I5" s="98" t="str" cm="1">
        <f t="array" ref="I5:K5">TRANSPOSE(_xlfn.UNIQUE(tblPiNHistorical[Population Group]))</f>
        <v>IDPs</v>
      </c>
      <c r="J5" s="98" t="str">
        <v>Residents</v>
      </c>
      <c r="K5" s="98" t="str">
        <v>Returnees</v>
      </c>
      <c r="L5" s="98"/>
      <c r="M5" s="98"/>
      <c r="Z5" s="172"/>
    </row>
    <row r="6" spans="1:26" ht="14.7" thickTop="1" x14ac:dyDescent="0.55000000000000004">
      <c r="A6" s="94" cm="1">
        <f t="array" ref="A6:A15">_xlfn._xlws.SORT(_xlfn.UNIQUE(INDEX(tblPiNAnalysis[[CCCM%]:[WASH%]], 0, MATCH(_xlfn.CONCAT($Q$2, "%"), tblPiNAnalysis[[#Headers],[CCCM%]:[WASH%]], 0))))</f>
        <v>0</v>
      </c>
      <c r="B6" s="93" cm="1">
        <f t="array" ref="B6">IF($A6="", "", IF(SUM(IF(INDEX(_xlfn._xlws.FILTER(tblPiNAnalysis[[CCCM%]:[WASH%]], tblPiNAnalysis[Population Group]=B$5), 0, MATCH(_xlfn.CONCAT($Q$2, "%"), tblPiNAnalysis[[#Headers],[CCCM%]:[WASH%]], 0))=$A6, 1, 0))=0, "",SUM(IF(INDEX(_xlfn._xlws.FILTER(tblPiNAnalysis[[CCCM%]:[WASH%]], tblPiNAnalysis[Population Group]=B$5), 0, MATCH(_xlfn.CONCAT($Q$2, "%"), tblPiNAnalysis[[#Headers],[CCCM%]:[WASH%]], 0))=$A6, 1, 0))))</f>
        <v>2</v>
      </c>
      <c r="C6" s="93" cm="1">
        <f t="array" ref="C6">IFERROR(IF(OR($A6="", C$5=""), "", IF(SUM(IF(INDEX(_xlfn._xlws.FILTER(tblPiNAnalysis[[CCCM%]:[WASH%]], tblPiNAnalysis[Population Group]=C$5), 0, MATCH(_xlfn.CONCAT($Q$2, "%"), tblPiNAnalysis[[#Headers],[CCCM%]:[WASH%]], 0))=$A6, 1, 0))=0, "",SUM(IF(INDEX(_xlfn._xlws.FILTER(tblPiNAnalysis[[CCCM%]:[WASH%]], tblPiNAnalysis[Population Group]=C$5), 0, MATCH(_xlfn.CONCAT($Q$2, "%"), tblPiNAnalysis[[#Headers],[CCCM%]:[WASH%]], 0))=$A6, 1, 0)))), "")</f>
        <v>1</v>
      </c>
      <c r="D6" s="93" cm="1">
        <f t="array" ref="D6">IFERROR(IF(OR($A6="", D$5=""), "", IF(SUM(IF(INDEX(_xlfn._xlws.FILTER(tblPiNAnalysis[[CCCM%]:[WASH%]], tblPiNAnalysis[Population Group]=D$5), 0, MATCH(_xlfn.CONCAT($Q$2, "%"), tblPiNAnalysis[[#Headers],[CCCM%]:[WASH%]], 0))=$A6, 1, 0))=0, "",SUM(IF(INDEX(_xlfn._xlws.FILTER(tblPiNAnalysis[[CCCM%]:[WASH%]], tblPiNAnalysis[Population Group]=D$5), 0, MATCH(_xlfn.CONCAT($Q$2, "%"), tblPiNAnalysis[[#Headers],[CCCM%]:[WASH%]], 0))=$A6, 1, 0)))), "")</f>
        <v>1</v>
      </c>
      <c r="E6" s="93" t="str" cm="1">
        <f t="array" ref="E6">IFERROR(IF(OR($A6="", E$5=""), "", IF(SUM(IF(INDEX(_xlfn._xlws.FILTER(tblPiNAnalysis[[CCCM%]:[WASH%]], tblPiNAnalysis[Population Group]=E$5), 0, MATCH(_xlfn.CONCAT($Q$2, "%"), tblPiNAnalysis[[#Headers],[CCCM%]:[WASH%]], 0))=$A6, 1, 0))=0, "",SUM(IF(INDEX(_xlfn._xlws.FILTER(tblPiNAnalysis[[CCCM%]:[WASH%]], tblPiNAnalysis[Population Group]=E$5), 0, MATCH(_xlfn.CONCAT($Q$2, "%"), tblPiNAnalysis[[#Headers],[CCCM%]:[WASH%]], 0))=$A6, 1, 0)))), "")</f>
        <v/>
      </c>
      <c r="F6" s="93" t="str" cm="1">
        <f t="array" ref="F6">IFERROR(IF(OR($A6="", F$5=""), "", IF(SUM(IF(INDEX(_xlfn._xlws.FILTER(tblPiNAnalysis[[CCCM%]:[WASH%]], tblPiNAnalysis[CCCM]=F$5), 0, MATCH(_xlfn.CONCAT($Q$2, "%"), tblPiNAnalysis[[#Headers],[CCCM%]:[WASH%]], 0))=$A6, 1, 0))=0, "",SUM(IF(INDEX(_xlfn._xlws.FILTER(tblPiNAnalysis[[CCCM%]:[WASH%]], tblPiNAnalysis[CCCM]=F$5), 0, MATCH(_xlfn.CONCAT($Q$2, "%"), tblPiNAnalysis[[#Headers],[CCCM%]:[WASH%]], 0))=$A6, 1, 0)))), "")</f>
        <v/>
      </c>
      <c r="H6" s="94" cm="1">
        <f t="array" ref="H6:H35">_xlfn._xlws.SORT(_xlfn.UNIQUE(_xlfn._xlws.FILTER(INDEX(tblPiNHistorical[[CCCM]:[WASH]],0,MATCH($Q$2,tblPiNHistorical[[#Headers],[CCCM]:[WASH]],0)),INDEX(tblPiNHistorical[[CCCM]:[WASH]],0,MATCH($Q$2,tblPiNHistorical[[#Headers],[CCCM]:[WASH]],0))&lt;=2)))</f>
        <v>-1</v>
      </c>
      <c r="I6" s="93" cm="1">
        <f t="array" ref="I6">IF($H6="", "", IF($H6=2, SUM(IF(INDEX(_xlfn._xlws.FILTER(tblPiNHistorical[[CCCM]:[WASH]], tblPiNHistorical[Population Group]=I$5), 0, MATCH($Q$2, tblPiNHistorical[[#Headers],[CCCM]:[WASH]], 0))&gt;1.9, 1, 0)), IF(SUM(IF(INDEX(_xlfn._xlws.FILTER(tblPiNHistorical[[CCCM]:[WASH]], tblPiNHistorical[Population Group]=I$5), 0, MATCH($Q$2, tblPiNHistorical[[#Headers],[CCCM]:[WASH]], 0))=$H6, 1, 0))=0, "", SUM(IF(INDEX(_xlfn._xlws.FILTER(tblPiNHistorical[[CCCM]:[WASH]], tblPiNHistorical[Population Group]=I$5), 0, MATCH($Q$2, tblPiNHistorical[[#Headers],[CCCM]:[WASH]], 0))=$H6, 1, 0)))))</f>
        <v>1</v>
      </c>
      <c r="J6" s="93" t="str" cm="1">
        <f t="array" ref="J6">IFERROR(IF(OR($H6="", J5=""), "", IF($H6=2, SUM(IF(INDEX(_xlfn._xlws.FILTER(tblPiNHistorical[[CCCM]:[WASH]], tblPiNHistorical[Population Group]=J$5), 0, MATCH($Q$2, tblPiNHistorical[[#Headers],[CCCM]:[WASH]], 0))&gt;1.9, 1, 0)), IF(SUM(IF(INDEX(_xlfn._xlws.FILTER(tblPiNHistorical[[CCCM]:[WASH]], tblPiNHistorical[Population Group]=J$5), 0, MATCH($Q$2, tblPiNHistorical[[#Headers],[CCCM]:[WASH]], 0))=$H6, 1, 0))=0, "", SUM(IF(INDEX(_xlfn._xlws.FILTER(tblPiNHistorical[[CCCM]:[WASH]], tblPiNHistorical[Population Group]=J$5), 0, MATCH($Q$2, tblPiNHistorical[[#Headers],[CCCM]:[WASH]], 0))=$H6, 1, 0))))), "")</f>
        <v/>
      </c>
      <c r="K6" s="93" t="str" cm="1">
        <f t="array" ref="K6">IFERROR(IF(OR($H6="", K5=""), "", IF($H6=2, SUM(IF(INDEX(_xlfn._xlws.FILTER(tblPiNHistorical[[CCCM]:[WASH]], tblPiNHistorical[CCCM - old]=K$5), 0, MATCH($Q$2, tblPiNHistorical[[#Headers],[CCCM]:[WASH]], 0))&gt;1.9, 1, 0)), IF(SUM(IF(INDEX(_xlfn._xlws.FILTER(tblPiNHistorical[[CCCM]:[WASH]], tblPiNHistorical[CCCM - old]=K$5), 0, MATCH($Q$2, tblPiNHistorical[[#Headers],[CCCM]:[WASH]], 0))=$H6, 1, 0))=0, "", SUM(IF(INDEX(_xlfn._xlws.FILTER(tblPiNHistorical[[CCCM]:[WASH]], tblPiNHistorical[CCCM - old]=K$5), 0, MATCH($Q$2, tblPiNHistorical[[#Headers],[CCCM]:[WASH]], 0))=$H6, 1, 0))))), "")</f>
        <v/>
      </c>
      <c r="L6" s="93" t="str" cm="1">
        <f t="array" ref="L6">IFERROR(IF(OR($H6="", L5=""), "", IF($H6=2, SUM(IF(INDEX(_xlfn._xlws.FILTER(tblPiNHistorical[[CCCM]:[WASH]],#REF!= L$5), 0, MATCH($Q$2, tblPiNHistorical[[#Headers],[CCCM]:[WASH]], 0))&gt;1.9, 1, 0)), IF(SUM(IF(INDEX(_xlfn._xlws.FILTER(tblPiNHistorical[[CCCM]:[WASH]],#REF!= L$5), 0, MATCH($Q$2, tblPiNHistorical[[#Headers],[CCCM]:[WASH]], 0))=$H6, 1, 0))=0, "", SUM(IF(INDEX(_xlfn._xlws.FILTER(tblPiNHistorical[[CCCM]:[WASH]],#REF!= L$5), 0, MATCH($Q$2, tblPiNHistorical[[#Headers],[CCCM]:[WASH]], 0))=$H6, 1, 0))))), "")</f>
        <v/>
      </c>
      <c r="M6" s="93" t="str" cm="1">
        <f t="array" ref="M6">IFERROR(IF(OR($H6="", M5=""), "", IF($H6=2, SUM(IF(INDEX(_xlfn._xlws.FILTER(tblPiNHistorical[[CCCM]:[WASH]],#REF!= M$5), 0, MATCH($Q$2, tblPiNHistorical[[#Headers],[CCCM]:[WASH]], 0))&gt;1.9, 1, 0)), IF(SUM(IF(INDEX(_xlfn._xlws.FILTER(tblPiNHistorical[[CCCM]:[WASH]],#REF!= M$5), 0, MATCH($Q$2, tblPiNHistorical[[#Headers],[CCCM]:[WASH]], 0))=$H6, 1, 0))=0, "", SUM(IF(INDEX(_xlfn._xlws.FILTER(tblPiNHistorical[[CCCM]:[WASH]],#REF!= M$5), 0, MATCH($Q$2, tblPiNHistorical[[#Headers],[CCCM]:[WASH]], 0))=$H6, 1, 0))))), "")</f>
        <v/>
      </c>
      <c r="Z6" s="172"/>
    </row>
    <row r="7" spans="1:26" x14ac:dyDescent="0.55000000000000004">
      <c r="A7" s="95">
        <v>0.05</v>
      </c>
      <c r="B7" s="93" cm="1">
        <f t="array" ref="B7">IF($A7="", "", IF(SUM(IF(INDEX(_xlfn._xlws.FILTER(tblPiNAnalysis[[CCCM%]:[WASH%]], tblPiNAnalysis[Population Group]=B$5), 0, MATCH(_xlfn.CONCAT($Q$2, "%"), tblPiNAnalysis[[#Headers],[CCCM%]:[WASH%]], 0))=$A7, 1, 0))=0, "",SUM(IF(INDEX(_xlfn._xlws.FILTER(tblPiNAnalysis[[CCCM%]:[WASH%]], tblPiNAnalysis[Population Group]=B$5), 0, MATCH(_xlfn.CONCAT($Q$2, "%"), tblPiNAnalysis[[#Headers],[CCCM%]:[WASH%]], 0))=$A7, 1, 0))))</f>
        <v>6</v>
      </c>
      <c r="C7" s="93" cm="1">
        <f t="array" ref="C7">IFERROR(IF(OR($A7="", C$5=""), "", IF(SUM(IF(INDEX(_xlfn._xlws.FILTER(tblPiNAnalysis[[CCCM%]:[WASH%]], tblPiNAnalysis[Population Group]=C$5), 0, MATCH(_xlfn.CONCAT($Q$2, "%"), tblPiNAnalysis[[#Headers],[CCCM%]:[WASH%]], 0))=$A7, 1, 0))=0, "",SUM(IF(INDEX(_xlfn._xlws.FILTER(tblPiNAnalysis[[CCCM%]:[WASH%]], tblPiNAnalysis[Population Group]=C$5), 0, MATCH(_xlfn.CONCAT($Q$2, "%"), tblPiNAnalysis[[#Headers],[CCCM%]:[WASH%]], 0))=$A7, 1, 0)))), "")</f>
        <v>5</v>
      </c>
      <c r="D7" s="93" cm="1">
        <f t="array" ref="D7">IFERROR(IF(OR($A7="", D$5=""), "", IF(SUM(IF(INDEX(_xlfn._xlws.FILTER(tblPiNAnalysis[[CCCM%]:[WASH%]], tblPiNAnalysis[Population Group]=D$5), 0, MATCH(_xlfn.CONCAT($Q$2, "%"), tblPiNAnalysis[[#Headers],[CCCM%]:[WASH%]], 0))=$A7, 1, 0))=0, "",SUM(IF(INDEX(_xlfn._xlws.FILTER(tblPiNAnalysis[[CCCM%]:[WASH%]], tblPiNAnalysis[Population Group]=D$5), 0, MATCH(_xlfn.CONCAT($Q$2, "%"), tblPiNAnalysis[[#Headers],[CCCM%]:[WASH%]], 0))=$A7, 1, 0)))), "")</f>
        <v>6</v>
      </c>
      <c r="E7" s="93" t="str" cm="1">
        <f t="array" ref="E7">IFERROR(IF(OR($A7="", E$5=""), "", IF(SUM(IF(INDEX(_xlfn._xlws.FILTER(tblPiNAnalysis[[CCCM%]:[WASH%]], tblPiNAnalysis[Population Group]=E$5), 0, MATCH(_xlfn.CONCAT($Q$2, "%"), tblPiNAnalysis[[#Headers],[CCCM%]:[WASH%]], 0))=$A7, 1, 0))=0, "",SUM(IF(INDEX(_xlfn._xlws.FILTER(tblPiNAnalysis[[CCCM%]:[WASH%]], tblPiNAnalysis[Population Group]=E$5), 0, MATCH(_xlfn.CONCAT($Q$2, "%"), tblPiNAnalysis[[#Headers],[CCCM%]:[WASH%]], 0))=$A7, 1, 0)))), "")</f>
        <v/>
      </c>
      <c r="F7" s="93" t="str" cm="1">
        <f t="array" ref="F7">IFERROR(IF(OR($A7="", F$5=""), "", IF(SUM(IF(INDEX(_xlfn._xlws.FILTER(tblPiNAnalysis[[CCCM%]:[WASH%]], tblPiNAnalysis[CCCM]=F$5), 0, MATCH(_xlfn.CONCAT($Q$2, "%"), tblPiNAnalysis[[#Headers],[CCCM%]:[WASH%]], 0))=$A7, 1, 0))=0, "",SUM(IF(INDEX(_xlfn._xlws.FILTER(tblPiNAnalysis[[CCCM%]:[WASH%]], tblPiNAnalysis[CCCM]=F$5), 0, MATCH(_xlfn.CONCAT($Q$2, "%"), tblPiNAnalysis[[#Headers],[CCCM%]:[WASH%]], 0))=$A7, 1, 0)))), "")</f>
        <v/>
      </c>
      <c r="H7" s="95">
        <v>-0.9</v>
      </c>
      <c r="I7" s="93" t="str" cm="1">
        <f t="array" ref="I7">IF($H7="", "", IF($H7=2, SUM(IF(INDEX(_xlfn._xlws.FILTER(tblPiNHistorical[[CCCM]:[WASH]], tblPiNHistorical[Population Group]=I$5), 0, MATCH($Q$2, tblPiNHistorical[[#Headers],[CCCM]:[WASH]], 0))&gt;1.9, 1, 0)), IF(SUM(IF(INDEX(_xlfn._xlws.FILTER(tblPiNHistorical[[CCCM]:[WASH]], tblPiNHistorical[Population Group]=I$5), 0, MATCH($Q$2, tblPiNHistorical[[#Headers],[CCCM]:[WASH]], 0))=$H7, 1, 0))=0, "", SUM(IF(INDEX(_xlfn._xlws.FILTER(tblPiNHistorical[[CCCM]:[WASH]], tblPiNHistorical[Population Group]=I$5), 0, MATCH($Q$2, tblPiNHistorical[[#Headers],[CCCM]:[WASH]], 0))=$H7, 1, 0)))))</f>
        <v/>
      </c>
      <c r="J7" s="93" t="str" cm="1">
        <f t="array" ref="J7">IFERROR(IF(OR($H7="", J6=""), "", IF($H7=2, SUM(IF(INDEX(_xlfn._xlws.FILTER(tblPiNHistorical[[CCCM]:[WASH]], tblPiNHistorical[Population Group]=J$5), 0, MATCH($Q$2, tblPiNHistorical[[#Headers],[CCCM]:[WASH]], 0))&gt;1.9, 1, 0)), IF(SUM(IF(INDEX(_xlfn._xlws.FILTER(tblPiNHistorical[[CCCM]:[WASH]], tblPiNHistorical[Population Group]=J$5), 0, MATCH($Q$2, tblPiNHistorical[[#Headers],[CCCM]:[WASH]], 0))=$H7, 1, 0))=0, "", SUM(IF(INDEX(_xlfn._xlws.FILTER(tblPiNHistorical[[CCCM]:[WASH]], tblPiNHistorical[Population Group]=J$5), 0, MATCH($Q$2, tblPiNHistorical[[#Headers],[CCCM]:[WASH]], 0))=$H7, 1, 0))))), "")</f>
        <v/>
      </c>
      <c r="K7" s="93" t="str" cm="1">
        <f t="array" ref="K7">IFERROR(IF(OR($H7="", K6=""), "", IF($H7=2, SUM(IF(INDEX(_xlfn._xlws.FILTER(tblPiNHistorical[[CCCM]:[WASH]], tblPiNHistorical[CCCM - old]=K$5), 0, MATCH($Q$2, tblPiNHistorical[[#Headers],[CCCM]:[WASH]], 0))&gt;1.9, 1, 0)), IF(SUM(IF(INDEX(_xlfn._xlws.FILTER(tblPiNHistorical[[CCCM]:[WASH]], tblPiNHistorical[CCCM - old]=K$5), 0, MATCH($Q$2, tblPiNHistorical[[#Headers],[CCCM]:[WASH]], 0))=$H7, 1, 0))=0, "", SUM(IF(INDEX(_xlfn._xlws.FILTER(tblPiNHistorical[[CCCM]:[WASH]], tblPiNHistorical[CCCM - old]=K$5), 0, MATCH($Q$2, tblPiNHistorical[[#Headers],[CCCM]:[WASH]], 0))=$H7, 1, 0))))), "")</f>
        <v/>
      </c>
      <c r="L7" s="93" t="str" cm="1">
        <f t="array" ref="L7">IFERROR(IF(OR($H7="", L6=""), "", IF($H7=2, SUM(IF(INDEX(_xlfn._xlws.FILTER(tblPiNHistorical[[CCCM]:[WASH]],#REF!= L$5), 0, MATCH($Q$2, tblPiNHistorical[[#Headers],[CCCM]:[WASH]], 0))&gt;1.9, 1, 0)), IF(SUM(IF(INDEX(_xlfn._xlws.FILTER(tblPiNHistorical[[CCCM]:[WASH]],#REF!= L$5), 0, MATCH($Q$2, tblPiNHistorical[[#Headers],[CCCM]:[WASH]], 0))=$H7, 1, 0))=0, "", SUM(IF(INDEX(_xlfn._xlws.FILTER(tblPiNHistorical[[CCCM]:[WASH]],#REF!= L$5), 0, MATCH($Q$2, tblPiNHistorical[[#Headers],[CCCM]:[WASH]], 0))=$H7, 1, 0))))), "")</f>
        <v/>
      </c>
      <c r="M7" s="93" t="str" cm="1">
        <f t="array" ref="M7">IFERROR(IF(OR($H7="", M6=""), "", IF($H7=2, SUM(IF(INDEX(_xlfn._xlws.FILTER(tblPiNHistorical[[CCCM]:[WASH]],#REF!= M$5), 0, MATCH($Q$2, tblPiNHistorical[[#Headers],[CCCM]:[WASH]], 0))&gt;1.9, 1, 0)), IF(SUM(IF(INDEX(_xlfn._xlws.FILTER(tblPiNHistorical[[CCCM]:[WASH]],#REF!= M$5), 0, MATCH($Q$2, tblPiNHistorical[[#Headers],[CCCM]:[WASH]], 0))=$H7, 1, 0))=0, "", SUM(IF(INDEX(_xlfn._xlws.FILTER(tblPiNHistorical[[CCCM]:[WASH]],#REF!= M$5), 0, MATCH($Q$2, tblPiNHistorical[[#Headers],[CCCM]:[WASH]], 0))=$H7, 1, 0))))), "")</f>
        <v/>
      </c>
      <c r="Z7" s="172"/>
    </row>
    <row r="8" spans="1:26" x14ac:dyDescent="0.55000000000000004">
      <c r="A8" s="95">
        <v>0.1</v>
      </c>
      <c r="B8" s="93" cm="1">
        <f t="array" ref="B8">IF($A8="", "", IF(SUM(IF(INDEX(_xlfn._xlws.FILTER(tblPiNAnalysis[[CCCM%]:[WASH%]], tblPiNAnalysis[Population Group]=B$5), 0, MATCH(_xlfn.CONCAT($Q$2, "%"), tblPiNAnalysis[[#Headers],[CCCM%]:[WASH%]], 0))=$A8, 1, 0))=0, "",SUM(IF(INDEX(_xlfn._xlws.FILTER(tblPiNAnalysis[[CCCM%]:[WASH%]], tblPiNAnalysis[Population Group]=B$5), 0, MATCH(_xlfn.CONCAT($Q$2, "%"), tblPiNAnalysis[[#Headers],[CCCM%]:[WASH%]], 0))=$A8, 1, 0))))</f>
        <v>10</v>
      </c>
      <c r="C8" s="93" cm="1">
        <f t="array" ref="C8">IFERROR(IF(OR($A8="", C$5=""), "", IF(SUM(IF(INDEX(_xlfn._xlws.FILTER(tblPiNAnalysis[[CCCM%]:[WASH%]], tblPiNAnalysis[Population Group]=C$5), 0, MATCH(_xlfn.CONCAT($Q$2, "%"), tblPiNAnalysis[[#Headers],[CCCM%]:[WASH%]], 0))=$A8, 1, 0))=0, "",SUM(IF(INDEX(_xlfn._xlws.FILTER(tblPiNAnalysis[[CCCM%]:[WASH%]], tblPiNAnalysis[Population Group]=C$5), 0, MATCH(_xlfn.CONCAT($Q$2, "%"), tblPiNAnalysis[[#Headers],[CCCM%]:[WASH%]], 0))=$A8, 1, 0)))), "")</f>
        <v>13</v>
      </c>
      <c r="D8" s="93" cm="1">
        <f t="array" ref="D8">IFERROR(IF(OR($A8="", D$5=""), "", IF(SUM(IF(INDEX(_xlfn._xlws.FILTER(tblPiNAnalysis[[CCCM%]:[WASH%]], tblPiNAnalysis[Population Group]=D$5), 0, MATCH(_xlfn.CONCAT($Q$2, "%"), tblPiNAnalysis[[#Headers],[CCCM%]:[WASH%]], 0))=$A8, 1, 0))=0, "",SUM(IF(INDEX(_xlfn._xlws.FILTER(tblPiNAnalysis[[CCCM%]:[WASH%]], tblPiNAnalysis[Population Group]=D$5), 0, MATCH(_xlfn.CONCAT($Q$2, "%"), tblPiNAnalysis[[#Headers],[CCCM%]:[WASH%]], 0))=$A8, 1, 0)))), "")</f>
        <v>11</v>
      </c>
      <c r="E8" s="93" t="str" cm="1">
        <f t="array" ref="E8">IFERROR(IF(OR($A8="", E$5=""), "", IF(SUM(IF(INDEX(_xlfn._xlws.FILTER(tblPiNAnalysis[[CCCM%]:[WASH%]], tblPiNAnalysis[Population Group]=E$5), 0, MATCH(_xlfn.CONCAT($Q$2, "%"), tblPiNAnalysis[[#Headers],[CCCM%]:[WASH%]], 0))=$A8, 1, 0))=0, "",SUM(IF(INDEX(_xlfn._xlws.FILTER(tblPiNAnalysis[[CCCM%]:[WASH%]], tblPiNAnalysis[Population Group]=E$5), 0, MATCH(_xlfn.CONCAT($Q$2, "%"), tblPiNAnalysis[[#Headers],[CCCM%]:[WASH%]], 0))=$A8, 1, 0)))), "")</f>
        <v/>
      </c>
      <c r="F8" s="93" t="str" cm="1">
        <f t="array" ref="F8">IFERROR(IF(OR($A8="", F$5=""), "", IF(SUM(IF(INDEX(_xlfn._xlws.FILTER(tblPiNAnalysis[[CCCM%]:[WASH%]], tblPiNAnalysis[CCCM]=F$5), 0, MATCH(_xlfn.CONCAT($Q$2, "%"), tblPiNAnalysis[[#Headers],[CCCM%]:[WASH%]], 0))=$A8, 1, 0))=0, "",SUM(IF(INDEX(_xlfn._xlws.FILTER(tblPiNAnalysis[[CCCM%]:[WASH%]], tblPiNAnalysis[CCCM]=F$5), 0, MATCH(_xlfn.CONCAT($Q$2, "%"), tblPiNAnalysis[[#Headers],[CCCM%]:[WASH%]], 0))=$A8, 1, 0)))), "")</f>
        <v/>
      </c>
      <c r="H8" s="95">
        <v>-0.8</v>
      </c>
      <c r="I8" s="93" cm="1">
        <f t="array" ref="I8">IF($H8="", "", IF($H8=2, SUM(IF(INDEX(_xlfn._xlws.FILTER(tblPiNHistorical[[CCCM]:[WASH]], tblPiNHistorical[Population Group]=I$5), 0, MATCH($Q$2, tblPiNHistorical[[#Headers],[CCCM]:[WASH]], 0))&gt;1.9, 1, 0)), IF(SUM(IF(INDEX(_xlfn._xlws.FILTER(tblPiNHistorical[[CCCM]:[WASH]], tblPiNHistorical[Population Group]=I$5), 0, MATCH($Q$2, tblPiNHistorical[[#Headers],[CCCM]:[WASH]], 0))=$H8, 1, 0))=0, "", SUM(IF(INDEX(_xlfn._xlws.FILTER(tblPiNHistorical[[CCCM]:[WASH]], tblPiNHistorical[Population Group]=I$5), 0, MATCH($Q$2, tblPiNHistorical[[#Headers],[CCCM]:[WASH]], 0))=$H8, 1, 0)))))</f>
        <v>1</v>
      </c>
      <c r="J8" s="93" t="str" cm="1">
        <f t="array" ref="J8">IFERROR(IF(OR($H8="", J7=""), "", IF($H8=2, SUM(IF(INDEX(_xlfn._xlws.FILTER(tblPiNHistorical[[CCCM]:[WASH]], tblPiNHistorical[Population Group]=J$5), 0, MATCH($Q$2, tblPiNHistorical[[#Headers],[CCCM]:[WASH]], 0))&gt;1.9, 1, 0)), IF(SUM(IF(INDEX(_xlfn._xlws.FILTER(tblPiNHistorical[[CCCM]:[WASH]], tblPiNHistorical[Population Group]=J$5), 0, MATCH($Q$2, tblPiNHistorical[[#Headers],[CCCM]:[WASH]], 0))=$H8, 1, 0))=0, "", SUM(IF(INDEX(_xlfn._xlws.FILTER(tblPiNHistorical[[CCCM]:[WASH]], tblPiNHistorical[Population Group]=J$5), 0, MATCH($Q$2, tblPiNHistorical[[#Headers],[CCCM]:[WASH]], 0))=$H8, 1, 0))))), "")</f>
        <v/>
      </c>
      <c r="K8" s="93" t="str" cm="1">
        <f t="array" ref="K8">IFERROR(IF(OR($H8="", K7=""), "", IF($H8=2, SUM(IF(INDEX(_xlfn._xlws.FILTER(tblPiNHistorical[[CCCM]:[WASH]], tblPiNHistorical[CCCM - old]=K$5), 0, MATCH($Q$2, tblPiNHistorical[[#Headers],[CCCM]:[WASH]], 0))&gt;1.9, 1, 0)), IF(SUM(IF(INDEX(_xlfn._xlws.FILTER(tblPiNHistorical[[CCCM]:[WASH]], tblPiNHistorical[CCCM - old]=K$5), 0, MATCH($Q$2, tblPiNHistorical[[#Headers],[CCCM]:[WASH]], 0))=$H8, 1, 0))=0, "", SUM(IF(INDEX(_xlfn._xlws.FILTER(tblPiNHistorical[[CCCM]:[WASH]], tblPiNHistorical[CCCM - old]=K$5), 0, MATCH($Q$2, tblPiNHistorical[[#Headers],[CCCM]:[WASH]], 0))=$H8, 1, 0))))), "")</f>
        <v/>
      </c>
      <c r="L8" s="93" t="str" cm="1">
        <f t="array" ref="L8">IFERROR(IF(OR($H8="", L7=""), "", IF($H8=2, SUM(IF(INDEX(_xlfn._xlws.FILTER(tblPiNHistorical[[CCCM]:[WASH]],#REF!= L$5), 0, MATCH($Q$2, tblPiNHistorical[[#Headers],[CCCM]:[WASH]], 0))&gt;1.9, 1, 0)), IF(SUM(IF(INDEX(_xlfn._xlws.FILTER(tblPiNHistorical[[CCCM]:[WASH]],#REF!= L$5), 0, MATCH($Q$2, tblPiNHistorical[[#Headers],[CCCM]:[WASH]], 0))=$H8, 1, 0))=0, "", SUM(IF(INDEX(_xlfn._xlws.FILTER(tblPiNHistorical[[CCCM]:[WASH]],#REF!= L$5), 0, MATCH($Q$2, tblPiNHistorical[[#Headers],[CCCM]:[WASH]], 0))=$H8, 1, 0))))), "")</f>
        <v/>
      </c>
      <c r="M8" s="93" t="str" cm="1">
        <f t="array" ref="M8">IFERROR(IF(OR($H8="", M7=""), "", IF($H8=2, SUM(IF(INDEX(_xlfn._xlws.FILTER(tblPiNHistorical[[CCCM]:[WASH]],#REF!= M$5), 0, MATCH($Q$2, tblPiNHistorical[[#Headers],[CCCM]:[WASH]], 0))&gt;1.9, 1, 0)), IF(SUM(IF(INDEX(_xlfn._xlws.FILTER(tblPiNHistorical[[CCCM]:[WASH]],#REF!= M$5), 0, MATCH($Q$2, tblPiNHistorical[[#Headers],[CCCM]:[WASH]], 0))=$H8, 1, 0))=0, "", SUM(IF(INDEX(_xlfn._xlws.FILTER(tblPiNHistorical[[CCCM]:[WASH]],#REF!= M$5), 0, MATCH($Q$2, tblPiNHistorical[[#Headers],[CCCM]:[WASH]], 0))=$H8, 1, 0))))), "")</f>
        <v/>
      </c>
      <c r="Z8" s="172"/>
    </row>
    <row r="9" spans="1:26" x14ac:dyDescent="0.55000000000000004">
      <c r="A9" s="95">
        <v>0.15000000000000002</v>
      </c>
      <c r="B9" s="93" cm="1">
        <f t="array" ref="B9">IF($A9="", "", IF(SUM(IF(INDEX(_xlfn._xlws.FILTER(tblPiNAnalysis[[CCCM%]:[WASH%]], tblPiNAnalysis[Population Group]=B$5), 0, MATCH(_xlfn.CONCAT($Q$2, "%"), tblPiNAnalysis[[#Headers],[CCCM%]:[WASH%]], 0))=$A9, 1, 0))=0, "",SUM(IF(INDEX(_xlfn._xlws.FILTER(tblPiNAnalysis[[CCCM%]:[WASH%]], tblPiNAnalysis[Population Group]=B$5), 0, MATCH(_xlfn.CONCAT($Q$2, "%"), tblPiNAnalysis[[#Headers],[CCCM%]:[WASH%]], 0))=$A9, 1, 0))))</f>
        <v>14</v>
      </c>
      <c r="C9" s="93" cm="1">
        <f t="array" ref="C9">IFERROR(IF(OR($A9="", C$5=""), "", IF(SUM(IF(INDEX(_xlfn._xlws.FILTER(tblPiNAnalysis[[CCCM%]:[WASH%]], tblPiNAnalysis[Population Group]=C$5), 0, MATCH(_xlfn.CONCAT($Q$2, "%"), tblPiNAnalysis[[#Headers],[CCCM%]:[WASH%]], 0))=$A9, 1, 0))=0, "",SUM(IF(INDEX(_xlfn._xlws.FILTER(tblPiNAnalysis[[CCCM%]:[WASH%]], tblPiNAnalysis[Population Group]=C$5), 0, MATCH(_xlfn.CONCAT($Q$2, "%"), tblPiNAnalysis[[#Headers],[CCCM%]:[WASH%]], 0))=$A9, 1, 0)))), "")</f>
        <v>14</v>
      </c>
      <c r="D9" s="93" cm="1">
        <f t="array" ref="D9">IFERROR(IF(OR($A9="", D$5=""), "", IF(SUM(IF(INDEX(_xlfn._xlws.FILTER(tblPiNAnalysis[[CCCM%]:[WASH%]], tblPiNAnalysis[Population Group]=D$5), 0, MATCH(_xlfn.CONCAT($Q$2, "%"), tblPiNAnalysis[[#Headers],[CCCM%]:[WASH%]], 0))=$A9, 1, 0))=0, "",SUM(IF(INDEX(_xlfn._xlws.FILTER(tblPiNAnalysis[[CCCM%]:[WASH%]], tblPiNAnalysis[Population Group]=D$5), 0, MATCH(_xlfn.CONCAT($Q$2, "%"), tblPiNAnalysis[[#Headers],[CCCM%]:[WASH%]], 0))=$A9, 1, 0)))), "")</f>
        <v>13</v>
      </c>
      <c r="E9" s="93" t="str" cm="1">
        <f t="array" ref="E9">IFERROR(IF(OR($A9="", E$5=""), "", IF(SUM(IF(INDEX(_xlfn._xlws.FILTER(tblPiNAnalysis[[CCCM%]:[WASH%]], tblPiNAnalysis[Population Group]=E$5), 0, MATCH(_xlfn.CONCAT($Q$2, "%"), tblPiNAnalysis[[#Headers],[CCCM%]:[WASH%]], 0))=$A9, 1, 0))=0, "",SUM(IF(INDEX(_xlfn._xlws.FILTER(tblPiNAnalysis[[CCCM%]:[WASH%]], tblPiNAnalysis[Population Group]=E$5), 0, MATCH(_xlfn.CONCAT($Q$2, "%"), tblPiNAnalysis[[#Headers],[CCCM%]:[WASH%]], 0))=$A9, 1, 0)))), "")</f>
        <v/>
      </c>
      <c r="F9" s="93" t="str" cm="1">
        <f t="array" ref="F9">IFERROR(IF(OR($A9="", F$5=""), "", IF(SUM(IF(INDEX(_xlfn._xlws.FILTER(tblPiNAnalysis[[CCCM%]:[WASH%]], tblPiNAnalysis[CCCM]=F$5), 0, MATCH(_xlfn.CONCAT($Q$2, "%"), tblPiNAnalysis[[#Headers],[CCCM%]:[WASH%]], 0))=$A9, 1, 0))=0, "",SUM(IF(INDEX(_xlfn._xlws.FILTER(tblPiNAnalysis[[CCCM%]:[WASH%]], tblPiNAnalysis[CCCM]=F$5), 0, MATCH(_xlfn.CONCAT($Q$2, "%"), tblPiNAnalysis[[#Headers],[CCCM%]:[WASH%]], 0))=$A9, 1, 0)))), "")</f>
        <v/>
      </c>
      <c r="H9" s="95">
        <v>-0.7</v>
      </c>
      <c r="I9" s="93" t="str" cm="1">
        <f t="array" ref="I9">IF($H9="", "", IF($H9=2, SUM(IF(INDEX(_xlfn._xlws.FILTER(tblPiNHistorical[[CCCM]:[WASH]], tblPiNHistorical[Population Group]=I$5), 0, MATCH($Q$2, tblPiNHistorical[[#Headers],[CCCM]:[WASH]], 0))&gt;1.9, 1, 0)), IF(SUM(IF(INDEX(_xlfn._xlws.FILTER(tblPiNHistorical[[CCCM]:[WASH]], tblPiNHistorical[Population Group]=I$5), 0, MATCH($Q$2, tblPiNHistorical[[#Headers],[CCCM]:[WASH]], 0))=$H9, 1, 0))=0, "", SUM(IF(INDEX(_xlfn._xlws.FILTER(tblPiNHistorical[[CCCM]:[WASH]], tblPiNHistorical[Population Group]=I$5), 0, MATCH($Q$2, tblPiNHistorical[[#Headers],[CCCM]:[WASH]], 0))=$H9, 1, 0)))))</f>
        <v/>
      </c>
      <c r="J9" s="93" t="str" cm="1">
        <f t="array" ref="J9">IFERROR(IF(OR($H9="", J8=""), "", IF($H9=2, SUM(IF(INDEX(_xlfn._xlws.FILTER(tblPiNHistorical[[CCCM]:[WASH]], tblPiNHistorical[Population Group]=J$5), 0, MATCH($Q$2, tblPiNHistorical[[#Headers],[CCCM]:[WASH]], 0))&gt;1.9, 1, 0)), IF(SUM(IF(INDEX(_xlfn._xlws.FILTER(tblPiNHistorical[[CCCM]:[WASH]], tblPiNHistorical[Population Group]=J$5), 0, MATCH($Q$2, tblPiNHistorical[[#Headers],[CCCM]:[WASH]], 0))=$H9, 1, 0))=0, "", SUM(IF(INDEX(_xlfn._xlws.FILTER(tblPiNHistorical[[CCCM]:[WASH]], tblPiNHistorical[Population Group]=J$5), 0, MATCH($Q$2, tblPiNHistorical[[#Headers],[CCCM]:[WASH]], 0))=$H9, 1, 0))))), "")</f>
        <v/>
      </c>
      <c r="K9" s="93" t="str" cm="1">
        <f t="array" ref="K9">IFERROR(IF(OR($H9="", K8=""), "", IF($H9=2, SUM(IF(INDEX(_xlfn._xlws.FILTER(tblPiNHistorical[[CCCM]:[WASH]], tblPiNHistorical[CCCM - old]=K$5), 0, MATCH($Q$2, tblPiNHistorical[[#Headers],[CCCM]:[WASH]], 0))&gt;1.9, 1, 0)), IF(SUM(IF(INDEX(_xlfn._xlws.FILTER(tblPiNHistorical[[CCCM]:[WASH]], tblPiNHistorical[CCCM - old]=K$5), 0, MATCH($Q$2, tblPiNHistorical[[#Headers],[CCCM]:[WASH]], 0))=$H9, 1, 0))=0, "", SUM(IF(INDEX(_xlfn._xlws.FILTER(tblPiNHistorical[[CCCM]:[WASH]], tblPiNHistorical[CCCM - old]=K$5), 0, MATCH($Q$2, tblPiNHistorical[[#Headers],[CCCM]:[WASH]], 0))=$H9, 1, 0))))), "")</f>
        <v/>
      </c>
      <c r="L9" s="93" t="str" cm="1">
        <f t="array" ref="L9">IFERROR(IF(OR($H9="", L8=""), "", IF($H9=2, SUM(IF(INDEX(_xlfn._xlws.FILTER(tblPiNHistorical[[CCCM]:[WASH]],#REF!= L$5), 0, MATCH($Q$2, tblPiNHistorical[[#Headers],[CCCM]:[WASH]], 0))&gt;1.9, 1, 0)), IF(SUM(IF(INDEX(_xlfn._xlws.FILTER(tblPiNHistorical[[CCCM]:[WASH]],#REF!= L$5), 0, MATCH($Q$2, tblPiNHistorical[[#Headers],[CCCM]:[WASH]], 0))=$H9, 1, 0))=0, "", SUM(IF(INDEX(_xlfn._xlws.FILTER(tblPiNHistorical[[CCCM]:[WASH]],#REF!= L$5), 0, MATCH($Q$2, tblPiNHistorical[[#Headers],[CCCM]:[WASH]], 0))=$H9, 1, 0))))), "")</f>
        <v/>
      </c>
      <c r="M9" s="93" t="str" cm="1">
        <f t="array" ref="M9">IFERROR(IF(OR($H9="", M8=""), "", IF($H9=2, SUM(IF(INDEX(_xlfn._xlws.FILTER(tblPiNHistorical[[CCCM]:[WASH]],#REF!= M$5), 0, MATCH($Q$2, tblPiNHistorical[[#Headers],[CCCM]:[WASH]], 0))&gt;1.9, 1, 0)), IF(SUM(IF(INDEX(_xlfn._xlws.FILTER(tblPiNHistorical[[CCCM]:[WASH]],#REF!= M$5), 0, MATCH($Q$2, tblPiNHistorical[[#Headers],[CCCM]:[WASH]], 0))=$H9, 1, 0))=0, "", SUM(IF(INDEX(_xlfn._xlws.FILTER(tblPiNHistorical[[CCCM]:[WASH]],#REF!= M$5), 0, MATCH($Q$2, tblPiNHistorical[[#Headers],[CCCM]:[WASH]], 0))=$H9, 1, 0))))), "")</f>
        <v/>
      </c>
      <c r="Z9" s="172"/>
    </row>
    <row r="10" spans="1:26" x14ac:dyDescent="0.55000000000000004">
      <c r="A10" s="95">
        <v>0.2</v>
      </c>
      <c r="B10" s="93" cm="1">
        <f t="array" ref="B10">IF($A10="", "", IF(SUM(IF(INDEX(_xlfn._xlws.FILTER(tblPiNAnalysis[[CCCM%]:[WASH%]], tblPiNAnalysis[Population Group]=B$5), 0, MATCH(_xlfn.CONCAT($Q$2, "%"), tblPiNAnalysis[[#Headers],[CCCM%]:[WASH%]], 0))=$A10, 1, 0))=0, "",SUM(IF(INDEX(_xlfn._xlws.FILTER(tblPiNAnalysis[[CCCM%]:[WASH%]], tblPiNAnalysis[Population Group]=B$5), 0, MATCH(_xlfn.CONCAT($Q$2, "%"), tblPiNAnalysis[[#Headers],[CCCM%]:[WASH%]], 0))=$A10, 1, 0))))</f>
        <v>17</v>
      </c>
      <c r="C10" s="93" cm="1">
        <f t="array" ref="C10">IFERROR(IF(OR($A10="", C$5=""), "", IF(SUM(IF(INDEX(_xlfn._xlws.FILTER(tblPiNAnalysis[[CCCM%]:[WASH%]], tblPiNAnalysis[Population Group]=C$5), 0, MATCH(_xlfn.CONCAT($Q$2, "%"), tblPiNAnalysis[[#Headers],[CCCM%]:[WASH%]], 0))=$A10, 1, 0))=0, "",SUM(IF(INDEX(_xlfn._xlws.FILTER(tblPiNAnalysis[[CCCM%]:[WASH%]], tblPiNAnalysis[Population Group]=C$5), 0, MATCH(_xlfn.CONCAT($Q$2, "%"), tblPiNAnalysis[[#Headers],[CCCM%]:[WASH%]], 0))=$A10, 1, 0)))), "")</f>
        <v>17</v>
      </c>
      <c r="D10" s="93" cm="1">
        <f t="array" ref="D10">IFERROR(IF(OR($A10="", D$5=""), "", IF(SUM(IF(INDEX(_xlfn._xlws.FILTER(tblPiNAnalysis[[CCCM%]:[WASH%]], tblPiNAnalysis[Population Group]=D$5), 0, MATCH(_xlfn.CONCAT($Q$2, "%"), tblPiNAnalysis[[#Headers],[CCCM%]:[WASH%]], 0))=$A10, 1, 0))=0, "",SUM(IF(INDEX(_xlfn._xlws.FILTER(tblPiNAnalysis[[CCCM%]:[WASH%]], tblPiNAnalysis[Population Group]=D$5), 0, MATCH(_xlfn.CONCAT($Q$2, "%"), tblPiNAnalysis[[#Headers],[CCCM%]:[WASH%]], 0))=$A10, 1, 0)))), "")</f>
        <v>19</v>
      </c>
      <c r="E10" s="93" t="str" cm="1">
        <f t="array" ref="E10">IFERROR(IF(OR($A10="", E$5=""), "", IF(SUM(IF(INDEX(_xlfn._xlws.FILTER(tblPiNAnalysis[[CCCM%]:[WASH%]], tblPiNAnalysis[Population Group]=E$5), 0, MATCH(_xlfn.CONCAT($Q$2, "%"), tblPiNAnalysis[[#Headers],[CCCM%]:[WASH%]], 0))=$A10, 1, 0))=0, "",SUM(IF(INDEX(_xlfn._xlws.FILTER(tblPiNAnalysis[[CCCM%]:[WASH%]], tblPiNAnalysis[Population Group]=E$5), 0, MATCH(_xlfn.CONCAT($Q$2, "%"), tblPiNAnalysis[[#Headers],[CCCM%]:[WASH%]], 0))=$A10, 1, 0)))), "")</f>
        <v/>
      </c>
      <c r="F10" s="93" t="str" cm="1">
        <f t="array" ref="F10">IFERROR(IF(OR($A10="", F$5=""), "", IF(SUM(IF(INDEX(_xlfn._xlws.FILTER(tblPiNAnalysis[[CCCM%]:[WASH%]], tblPiNAnalysis[CCCM]=F$5), 0, MATCH(_xlfn.CONCAT($Q$2, "%"), tblPiNAnalysis[[#Headers],[CCCM%]:[WASH%]], 0))=$A10, 1, 0))=0, "",SUM(IF(INDEX(_xlfn._xlws.FILTER(tblPiNAnalysis[[CCCM%]:[WASH%]], tblPiNAnalysis[CCCM]=F$5), 0, MATCH(_xlfn.CONCAT($Q$2, "%"), tblPiNAnalysis[[#Headers],[CCCM%]:[WASH%]], 0))=$A10, 1, 0)))), "")</f>
        <v/>
      </c>
      <c r="H10" s="95">
        <v>-0.6</v>
      </c>
      <c r="I10" s="93" cm="1">
        <f t="array" ref="I10">IF($H10="", "", IF($H10=2, SUM(IF(INDEX(_xlfn._xlws.FILTER(tblPiNHistorical[[CCCM]:[WASH]], tblPiNHistorical[Population Group]=I$5), 0, MATCH($Q$2, tblPiNHistorical[[#Headers],[CCCM]:[WASH]], 0))&gt;1.9, 1, 0)), IF(SUM(IF(INDEX(_xlfn._xlws.FILTER(tblPiNHistorical[[CCCM]:[WASH]], tblPiNHistorical[Population Group]=I$5), 0, MATCH($Q$2, tblPiNHistorical[[#Headers],[CCCM]:[WASH]], 0))=$H10, 1, 0))=0, "", SUM(IF(INDEX(_xlfn._xlws.FILTER(tblPiNHistorical[[CCCM]:[WASH]], tblPiNHistorical[Population Group]=I$5), 0, MATCH($Q$2, tblPiNHistorical[[#Headers],[CCCM]:[WASH]], 0))=$H10, 1, 0)))))</f>
        <v>1</v>
      </c>
      <c r="J10" s="93" t="str" cm="1">
        <f t="array" ref="J10">IFERROR(IF(OR($H10="", J9=""), "", IF($H10=2, SUM(IF(INDEX(_xlfn._xlws.FILTER(tblPiNHistorical[[CCCM]:[WASH]], tblPiNHistorical[Population Group]=J$5), 0, MATCH($Q$2, tblPiNHistorical[[#Headers],[CCCM]:[WASH]], 0))&gt;1.9, 1, 0)), IF(SUM(IF(INDEX(_xlfn._xlws.FILTER(tblPiNHistorical[[CCCM]:[WASH]], tblPiNHistorical[Population Group]=J$5), 0, MATCH($Q$2, tblPiNHistorical[[#Headers],[CCCM]:[WASH]], 0))=$H10, 1, 0))=0, "", SUM(IF(INDEX(_xlfn._xlws.FILTER(tblPiNHistorical[[CCCM]:[WASH]], tblPiNHistorical[Population Group]=J$5), 0, MATCH($Q$2, tblPiNHistorical[[#Headers],[CCCM]:[WASH]], 0))=$H10, 1, 0))))), "")</f>
        <v/>
      </c>
      <c r="K10" s="93" t="str" cm="1">
        <f t="array" ref="K10">IFERROR(IF(OR($H10="", K9=""), "", IF($H10=2, SUM(IF(INDEX(_xlfn._xlws.FILTER(tblPiNHistorical[[CCCM]:[WASH]], tblPiNHistorical[CCCM - old]=K$5), 0, MATCH($Q$2, tblPiNHistorical[[#Headers],[CCCM]:[WASH]], 0))&gt;1.9, 1, 0)), IF(SUM(IF(INDEX(_xlfn._xlws.FILTER(tblPiNHistorical[[CCCM]:[WASH]], tblPiNHistorical[CCCM - old]=K$5), 0, MATCH($Q$2, tblPiNHistorical[[#Headers],[CCCM]:[WASH]], 0))=$H10, 1, 0))=0, "", SUM(IF(INDEX(_xlfn._xlws.FILTER(tblPiNHistorical[[CCCM]:[WASH]], tblPiNHistorical[CCCM - old]=K$5), 0, MATCH($Q$2, tblPiNHistorical[[#Headers],[CCCM]:[WASH]], 0))=$H10, 1, 0))))), "")</f>
        <v/>
      </c>
      <c r="L10" s="93" t="str" cm="1">
        <f t="array" ref="L10">IFERROR(IF(OR($H10="", L9=""), "", IF($H10=2, SUM(IF(INDEX(_xlfn._xlws.FILTER(tblPiNHistorical[[CCCM]:[WASH]],#REF!= L$5), 0, MATCH($Q$2, tblPiNHistorical[[#Headers],[CCCM]:[WASH]], 0))&gt;1.9, 1, 0)), IF(SUM(IF(INDEX(_xlfn._xlws.FILTER(tblPiNHistorical[[CCCM]:[WASH]],#REF!= L$5), 0, MATCH($Q$2, tblPiNHistorical[[#Headers],[CCCM]:[WASH]], 0))=$H10, 1, 0))=0, "", SUM(IF(INDEX(_xlfn._xlws.FILTER(tblPiNHistorical[[CCCM]:[WASH]],#REF!= L$5), 0, MATCH($Q$2, tblPiNHistorical[[#Headers],[CCCM]:[WASH]], 0))=$H10, 1, 0))))), "")</f>
        <v/>
      </c>
      <c r="M10" s="93" t="str" cm="1">
        <f t="array" ref="M10">IFERROR(IF(OR($H10="", M9=""), "", IF($H10=2, SUM(IF(INDEX(_xlfn._xlws.FILTER(tblPiNHistorical[[CCCM]:[WASH]],#REF!= M$5), 0, MATCH($Q$2, tblPiNHistorical[[#Headers],[CCCM]:[WASH]], 0))&gt;1.9, 1, 0)), IF(SUM(IF(INDEX(_xlfn._xlws.FILTER(tblPiNHistorical[[CCCM]:[WASH]],#REF!= M$5), 0, MATCH($Q$2, tblPiNHistorical[[#Headers],[CCCM]:[WASH]], 0))=$H10, 1, 0))=0, "", SUM(IF(INDEX(_xlfn._xlws.FILTER(tblPiNHistorical[[CCCM]:[WASH]],#REF!= M$5), 0, MATCH($Q$2, tblPiNHistorical[[#Headers],[CCCM]:[WASH]], 0))=$H10, 1, 0))))), "")</f>
        <v/>
      </c>
      <c r="Z10" s="172"/>
    </row>
    <row r="11" spans="1:26" x14ac:dyDescent="0.55000000000000004">
      <c r="A11" s="95">
        <v>0.25</v>
      </c>
      <c r="B11" s="93" cm="1">
        <f t="array" ref="B11">IF($A11="", "", IF(SUM(IF(INDEX(_xlfn._xlws.FILTER(tblPiNAnalysis[[CCCM%]:[WASH%]], tblPiNAnalysis[Population Group]=B$5), 0, MATCH(_xlfn.CONCAT($Q$2, "%"), tblPiNAnalysis[[#Headers],[CCCM%]:[WASH%]], 0))=$A11, 1, 0))=0, "",SUM(IF(INDEX(_xlfn._xlws.FILTER(tblPiNAnalysis[[CCCM%]:[WASH%]], tblPiNAnalysis[Population Group]=B$5), 0, MATCH(_xlfn.CONCAT($Q$2, "%"), tblPiNAnalysis[[#Headers],[CCCM%]:[WASH%]], 0))=$A11, 1, 0))))</f>
        <v>10</v>
      </c>
      <c r="C11" s="93" cm="1">
        <f t="array" ref="C11">IFERROR(IF(OR($A11="", C$5=""), "", IF(SUM(IF(INDEX(_xlfn._xlws.FILTER(tblPiNAnalysis[[CCCM%]:[WASH%]], tblPiNAnalysis[Population Group]=C$5), 0, MATCH(_xlfn.CONCAT($Q$2, "%"), tblPiNAnalysis[[#Headers],[CCCM%]:[WASH%]], 0))=$A11, 1, 0))=0, "",SUM(IF(INDEX(_xlfn._xlws.FILTER(tblPiNAnalysis[[CCCM%]:[WASH%]], tblPiNAnalysis[Population Group]=C$5), 0, MATCH(_xlfn.CONCAT($Q$2, "%"), tblPiNAnalysis[[#Headers],[CCCM%]:[WASH%]], 0))=$A11, 1, 0)))), "")</f>
        <v>12</v>
      </c>
      <c r="D11" s="93" cm="1">
        <f t="array" ref="D11">IFERROR(IF(OR($A11="", D$5=""), "", IF(SUM(IF(INDEX(_xlfn._xlws.FILTER(tblPiNAnalysis[[CCCM%]:[WASH%]], tblPiNAnalysis[Population Group]=D$5), 0, MATCH(_xlfn.CONCAT($Q$2, "%"), tblPiNAnalysis[[#Headers],[CCCM%]:[WASH%]], 0))=$A11, 1, 0))=0, "",SUM(IF(INDEX(_xlfn._xlws.FILTER(tblPiNAnalysis[[CCCM%]:[WASH%]], tblPiNAnalysis[Population Group]=D$5), 0, MATCH(_xlfn.CONCAT($Q$2, "%"), tblPiNAnalysis[[#Headers],[CCCM%]:[WASH%]], 0))=$A11, 1, 0)))), "")</f>
        <v>10</v>
      </c>
      <c r="E11" s="93" t="str" cm="1">
        <f t="array" ref="E11">IFERROR(IF(OR($A11="", E$5=""), "", IF(SUM(IF(INDEX(_xlfn._xlws.FILTER(tblPiNAnalysis[[CCCM%]:[WASH%]], tblPiNAnalysis[Population Group]=E$5), 0, MATCH(_xlfn.CONCAT($Q$2, "%"), tblPiNAnalysis[[#Headers],[CCCM%]:[WASH%]], 0))=$A11, 1, 0))=0, "",SUM(IF(INDEX(_xlfn._xlws.FILTER(tblPiNAnalysis[[CCCM%]:[WASH%]], tblPiNAnalysis[Population Group]=E$5), 0, MATCH(_xlfn.CONCAT($Q$2, "%"), tblPiNAnalysis[[#Headers],[CCCM%]:[WASH%]], 0))=$A11, 1, 0)))), "")</f>
        <v/>
      </c>
      <c r="F11" s="93" t="str" cm="1">
        <f t="array" ref="F11">IFERROR(IF(OR($A11="", F$5=""), "", IF(SUM(IF(INDEX(_xlfn._xlws.FILTER(tblPiNAnalysis[[CCCM%]:[WASH%]], tblPiNAnalysis[CCCM]=F$5), 0, MATCH(_xlfn.CONCAT($Q$2, "%"), tblPiNAnalysis[[#Headers],[CCCM%]:[WASH%]], 0))=$A11, 1, 0))=0, "",SUM(IF(INDEX(_xlfn._xlws.FILTER(tblPiNAnalysis[[CCCM%]:[WASH%]], tblPiNAnalysis[CCCM]=F$5), 0, MATCH(_xlfn.CONCAT($Q$2, "%"), tblPiNAnalysis[[#Headers],[CCCM%]:[WASH%]], 0))=$A11, 1, 0)))), "")</f>
        <v/>
      </c>
      <c r="H11" s="95">
        <v>-0.5</v>
      </c>
      <c r="I11" s="93" cm="1">
        <f t="array" ref="I11">IF($H11="", "", IF($H11=2, SUM(IF(INDEX(_xlfn._xlws.FILTER(tblPiNHistorical[[CCCM]:[WASH]], tblPiNHistorical[Population Group]=I$5), 0, MATCH($Q$2, tblPiNHistorical[[#Headers],[CCCM]:[WASH]], 0))&gt;1.9, 1, 0)), IF(SUM(IF(INDEX(_xlfn._xlws.FILTER(tblPiNHistorical[[CCCM]:[WASH]], tblPiNHistorical[Population Group]=I$5), 0, MATCH($Q$2, tblPiNHistorical[[#Headers],[CCCM]:[WASH]], 0))=$H11, 1, 0))=0, "", SUM(IF(INDEX(_xlfn._xlws.FILTER(tblPiNHistorical[[CCCM]:[WASH]], tblPiNHistorical[Population Group]=I$5), 0, MATCH($Q$2, tblPiNHistorical[[#Headers],[CCCM]:[WASH]], 0))=$H11, 1, 0)))))</f>
        <v>1</v>
      </c>
      <c r="J11" s="93" t="str" cm="1">
        <f t="array" ref="J11">IFERROR(IF(OR($H11="", J10=""), "", IF($H11=2, SUM(IF(INDEX(_xlfn._xlws.FILTER(tblPiNHistorical[[CCCM]:[WASH]], tblPiNHistorical[Population Group]=J$5), 0, MATCH($Q$2, tblPiNHistorical[[#Headers],[CCCM]:[WASH]], 0))&gt;1.9, 1, 0)), IF(SUM(IF(INDEX(_xlfn._xlws.FILTER(tblPiNHistorical[[CCCM]:[WASH]], tblPiNHistorical[Population Group]=J$5), 0, MATCH($Q$2, tblPiNHistorical[[#Headers],[CCCM]:[WASH]], 0))=$H11, 1, 0))=0, "", SUM(IF(INDEX(_xlfn._xlws.FILTER(tblPiNHistorical[[CCCM]:[WASH]], tblPiNHistorical[Population Group]=J$5), 0, MATCH($Q$2, tblPiNHistorical[[#Headers],[CCCM]:[WASH]], 0))=$H11, 1, 0))))), "")</f>
        <v/>
      </c>
      <c r="K11" s="93" t="str" cm="1">
        <f t="array" ref="K11">IFERROR(IF(OR($H11="", K10=""), "", IF($H11=2, SUM(IF(INDEX(_xlfn._xlws.FILTER(tblPiNHistorical[[CCCM]:[WASH]], tblPiNHistorical[CCCM - old]=K$5), 0, MATCH($Q$2, tblPiNHistorical[[#Headers],[CCCM]:[WASH]], 0))&gt;1.9, 1, 0)), IF(SUM(IF(INDEX(_xlfn._xlws.FILTER(tblPiNHistorical[[CCCM]:[WASH]], tblPiNHistorical[CCCM - old]=K$5), 0, MATCH($Q$2, tblPiNHistorical[[#Headers],[CCCM]:[WASH]], 0))=$H11, 1, 0))=0, "", SUM(IF(INDEX(_xlfn._xlws.FILTER(tblPiNHistorical[[CCCM]:[WASH]], tblPiNHistorical[CCCM - old]=K$5), 0, MATCH($Q$2, tblPiNHistorical[[#Headers],[CCCM]:[WASH]], 0))=$H11, 1, 0))))), "")</f>
        <v/>
      </c>
      <c r="L11" s="93" t="str" cm="1">
        <f t="array" ref="L11">IFERROR(IF(OR($H11="", L10=""), "", IF($H11=2, SUM(IF(INDEX(_xlfn._xlws.FILTER(tblPiNHistorical[[CCCM]:[WASH]],#REF!= L$5), 0, MATCH($Q$2, tblPiNHistorical[[#Headers],[CCCM]:[WASH]], 0))&gt;1.9, 1, 0)), IF(SUM(IF(INDEX(_xlfn._xlws.FILTER(tblPiNHistorical[[CCCM]:[WASH]],#REF!= L$5), 0, MATCH($Q$2, tblPiNHistorical[[#Headers],[CCCM]:[WASH]], 0))=$H11, 1, 0))=0, "", SUM(IF(INDEX(_xlfn._xlws.FILTER(tblPiNHistorical[[CCCM]:[WASH]],#REF!= L$5), 0, MATCH($Q$2, tblPiNHistorical[[#Headers],[CCCM]:[WASH]], 0))=$H11, 1, 0))))), "")</f>
        <v/>
      </c>
      <c r="M11" s="93" t="str" cm="1">
        <f t="array" ref="M11">IFERROR(IF(OR($H11="", M10=""), "", IF($H11=2, SUM(IF(INDEX(_xlfn._xlws.FILTER(tblPiNHistorical[[CCCM]:[WASH]],#REF!= M$5), 0, MATCH($Q$2, tblPiNHistorical[[#Headers],[CCCM]:[WASH]], 0))&gt;1.9, 1, 0)), IF(SUM(IF(INDEX(_xlfn._xlws.FILTER(tblPiNHistorical[[CCCM]:[WASH]],#REF!= M$5), 0, MATCH($Q$2, tblPiNHistorical[[#Headers],[CCCM]:[WASH]], 0))=$H11, 1, 0))=0, "", SUM(IF(INDEX(_xlfn._xlws.FILTER(tblPiNHistorical[[CCCM]:[WASH]],#REF!= M$5), 0, MATCH($Q$2, tblPiNHistorical[[#Headers],[CCCM]:[WASH]], 0))=$H11, 1, 0))))), "")</f>
        <v/>
      </c>
      <c r="Z11" s="172"/>
    </row>
    <row r="12" spans="1:26" x14ac:dyDescent="0.55000000000000004">
      <c r="A12" s="95">
        <v>0.30000000000000004</v>
      </c>
      <c r="B12" s="93" cm="1">
        <f t="array" ref="B12">IF($A12="", "", IF(SUM(IF(INDEX(_xlfn._xlws.FILTER(tblPiNAnalysis[[CCCM%]:[WASH%]], tblPiNAnalysis[Population Group]=B$5), 0, MATCH(_xlfn.CONCAT($Q$2, "%"), tblPiNAnalysis[[#Headers],[CCCM%]:[WASH%]], 0))=$A12, 1, 0))=0, "",SUM(IF(INDEX(_xlfn._xlws.FILTER(tblPiNAnalysis[[CCCM%]:[WASH%]], tblPiNAnalysis[Population Group]=B$5), 0, MATCH(_xlfn.CONCAT($Q$2, "%"), tblPiNAnalysis[[#Headers],[CCCM%]:[WASH%]], 0))=$A12, 1, 0))))</f>
        <v>6</v>
      </c>
      <c r="C12" s="93" cm="1">
        <f t="array" ref="C12">IFERROR(IF(OR($A12="", C$5=""), "", IF(SUM(IF(INDEX(_xlfn._xlws.FILTER(tblPiNAnalysis[[CCCM%]:[WASH%]], tblPiNAnalysis[Population Group]=C$5), 0, MATCH(_xlfn.CONCAT($Q$2, "%"), tblPiNAnalysis[[#Headers],[CCCM%]:[WASH%]], 0))=$A12, 1, 0))=0, "",SUM(IF(INDEX(_xlfn._xlws.FILTER(tblPiNAnalysis[[CCCM%]:[WASH%]], tblPiNAnalysis[Population Group]=C$5), 0, MATCH(_xlfn.CONCAT($Q$2, "%"), tblPiNAnalysis[[#Headers],[CCCM%]:[WASH%]], 0))=$A12, 1, 0)))), "")</f>
        <v>7</v>
      </c>
      <c r="D12" s="93" cm="1">
        <f t="array" ref="D12">IFERROR(IF(OR($A12="", D$5=""), "", IF(SUM(IF(INDEX(_xlfn._xlws.FILTER(tblPiNAnalysis[[CCCM%]:[WASH%]], tblPiNAnalysis[Population Group]=D$5), 0, MATCH(_xlfn.CONCAT($Q$2, "%"), tblPiNAnalysis[[#Headers],[CCCM%]:[WASH%]], 0))=$A12, 1, 0))=0, "",SUM(IF(INDEX(_xlfn._xlws.FILTER(tblPiNAnalysis[[CCCM%]:[WASH%]], tblPiNAnalysis[Population Group]=D$5), 0, MATCH(_xlfn.CONCAT($Q$2, "%"), tblPiNAnalysis[[#Headers],[CCCM%]:[WASH%]], 0))=$A12, 1, 0)))), "")</f>
        <v>5</v>
      </c>
      <c r="E12" s="93" t="str" cm="1">
        <f t="array" ref="E12">IFERROR(IF(OR($A12="", E$5=""), "", IF(SUM(IF(INDEX(_xlfn._xlws.FILTER(tblPiNAnalysis[[CCCM%]:[WASH%]], tblPiNAnalysis[Population Group]=E$5), 0, MATCH(_xlfn.CONCAT($Q$2, "%"), tblPiNAnalysis[[#Headers],[CCCM%]:[WASH%]], 0))=$A12, 1, 0))=0, "",SUM(IF(INDEX(_xlfn._xlws.FILTER(tblPiNAnalysis[[CCCM%]:[WASH%]], tblPiNAnalysis[Population Group]=E$5), 0, MATCH(_xlfn.CONCAT($Q$2, "%"), tblPiNAnalysis[[#Headers],[CCCM%]:[WASH%]], 0))=$A12, 1, 0)))), "")</f>
        <v/>
      </c>
      <c r="F12" s="93" t="str" cm="1">
        <f t="array" ref="F12">IFERROR(IF(OR($A12="", F$5=""), "", IF(SUM(IF(INDEX(_xlfn._xlws.FILTER(tblPiNAnalysis[[CCCM%]:[WASH%]], tblPiNAnalysis[CCCM]=F$5), 0, MATCH(_xlfn.CONCAT($Q$2, "%"), tblPiNAnalysis[[#Headers],[CCCM%]:[WASH%]], 0))=$A12, 1, 0))=0, "",SUM(IF(INDEX(_xlfn._xlws.FILTER(tblPiNAnalysis[[CCCM%]:[WASH%]], tblPiNAnalysis[CCCM]=F$5), 0, MATCH(_xlfn.CONCAT($Q$2, "%"), tblPiNAnalysis[[#Headers],[CCCM%]:[WASH%]], 0))=$A12, 1, 0)))), "")</f>
        <v/>
      </c>
      <c r="H12" s="95">
        <v>-0.4</v>
      </c>
      <c r="I12" s="93" cm="1">
        <f t="array" ref="I12">IF($H12="", "", IF($H12=2, SUM(IF(INDEX(_xlfn._xlws.FILTER(tblPiNHistorical[[CCCM]:[WASH]], tblPiNHistorical[Population Group]=I$5), 0, MATCH($Q$2, tblPiNHistorical[[#Headers],[CCCM]:[WASH]], 0))&gt;1.9, 1, 0)), IF(SUM(IF(INDEX(_xlfn._xlws.FILTER(tblPiNHistorical[[CCCM]:[WASH]], tblPiNHistorical[Population Group]=I$5), 0, MATCH($Q$2, tblPiNHistorical[[#Headers],[CCCM]:[WASH]], 0))=$H12, 1, 0))=0, "", SUM(IF(INDEX(_xlfn._xlws.FILTER(tblPiNHistorical[[CCCM]:[WASH]], tblPiNHistorical[Population Group]=I$5), 0, MATCH($Q$2, tblPiNHistorical[[#Headers],[CCCM]:[WASH]], 0))=$H12, 1, 0)))))</f>
        <v>3</v>
      </c>
      <c r="J12" s="93" t="str" cm="1">
        <f t="array" ref="J12">IFERROR(IF(OR($H12="", J11=""), "", IF($H12=2, SUM(IF(INDEX(_xlfn._xlws.FILTER(tblPiNHistorical[[CCCM]:[WASH]], tblPiNHistorical[Population Group]=J$5), 0, MATCH($Q$2, tblPiNHistorical[[#Headers],[CCCM]:[WASH]], 0))&gt;1.9, 1, 0)), IF(SUM(IF(INDEX(_xlfn._xlws.FILTER(tblPiNHistorical[[CCCM]:[WASH]], tblPiNHistorical[Population Group]=J$5), 0, MATCH($Q$2, tblPiNHistorical[[#Headers],[CCCM]:[WASH]], 0))=$H12, 1, 0))=0, "", SUM(IF(INDEX(_xlfn._xlws.FILTER(tblPiNHistorical[[CCCM]:[WASH]], tblPiNHistorical[Population Group]=J$5), 0, MATCH($Q$2, tblPiNHistorical[[#Headers],[CCCM]:[WASH]], 0))=$H12, 1, 0))))), "")</f>
        <v/>
      </c>
      <c r="K12" s="93" t="str" cm="1">
        <f t="array" ref="K12">IFERROR(IF(OR($H12="", K11=""), "", IF($H12=2, SUM(IF(INDEX(_xlfn._xlws.FILTER(tblPiNHistorical[[CCCM]:[WASH]], tblPiNHistorical[CCCM - old]=K$5), 0, MATCH($Q$2, tblPiNHistorical[[#Headers],[CCCM]:[WASH]], 0))&gt;1.9, 1, 0)), IF(SUM(IF(INDEX(_xlfn._xlws.FILTER(tblPiNHistorical[[CCCM]:[WASH]], tblPiNHistorical[CCCM - old]=K$5), 0, MATCH($Q$2, tblPiNHistorical[[#Headers],[CCCM]:[WASH]], 0))=$H12, 1, 0))=0, "", SUM(IF(INDEX(_xlfn._xlws.FILTER(tblPiNHistorical[[CCCM]:[WASH]], tblPiNHistorical[CCCM - old]=K$5), 0, MATCH($Q$2, tblPiNHistorical[[#Headers],[CCCM]:[WASH]], 0))=$H12, 1, 0))))), "")</f>
        <v/>
      </c>
      <c r="L12" s="93" t="str" cm="1">
        <f t="array" ref="L12">IFERROR(IF(OR($H12="", L11=""), "", IF($H12=2, SUM(IF(INDEX(_xlfn._xlws.FILTER(tblPiNHistorical[[CCCM]:[WASH]],#REF!= L$5), 0, MATCH($Q$2, tblPiNHistorical[[#Headers],[CCCM]:[WASH]], 0))&gt;1.9, 1, 0)), IF(SUM(IF(INDEX(_xlfn._xlws.FILTER(tblPiNHistorical[[CCCM]:[WASH]],#REF!= L$5), 0, MATCH($Q$2, tblPiNHistorical[[#Headers],[CCCM]:[WASH]], 0))=$H12, 1, 0))=0, "", SUM(IF(INDEX(_xlfn._xlws.FILTER(tblPiNHistorical[[CCCM]:[WASH]],#REF!= L$5), 0, MATCH($Q$2, tblPiNHistorical[[#Headers],[CCCM]:[WASH]], 0))=$H12, 1, 0))))), "")</f>
        <v/>
      </c>
      <c r="M12" s="93" t="str" cm="1">
        <f t="array" ref="M12">IFERROR(IF(OR($H12="", M11=""), "", IF($H12=2, SUM(IF(INDEX(_xlfn._xlws.FILTER(tblPiNHistorical[[CCCM]:[WASH]],#REF!= M$5), 0, MATCH($Q$2, tblPiNHistorical[[#Headers],[CCCM]:[WASH]], 0))&gt;1.9, 1, 0)), IF(SUM(IF(INDEX(_xlfn._xlws.FILTER(tblPiNHistorical[[CCCM]:[WASH]],#REF!= M$5), 0, MATCH($Q$2, tblPiNHistorical[[#Headers],[CCCM]:[WASH]], 0))=$H12, 1, 0))=0, "", SUM(IF(INDEX(_xlfn._xlws.FILTER(tblPiNHistorical[[CCCM]:[WASH]],#REF!= M$5), 0, MATCH($Q$2, tblPiNHistorical[[#Headers],[CCCM]:[WASH]], 0))=$H12, 1, 0))))), "")</f>
        <v/>
      </c>
      <c r="Z12" s="172"/>
    </row>
    <row r="13" spans="1:26" x14ac:dyDescent="0.55000000000000004">
      <c r="A13" s="95">
        <v>0.35000000000000003</v>
      </c>
      <c r="B13" s="93" cm="1">
        <f t="array" ref="B13">IF($A13="", "", IF(SUM(IF(INDEX(_xlfn._xlws.FILTER(tblPiNAnalysis[[CCCM%]:[WASH%]], tblPiNAnalysis[Population Group]=B$5), 0, MATCH(_xlfn.CONCAT($Q$2, "%"), tblPiNAnalysis[[#Headers],[CCCM%]:[WASH%]], 0))=$A13, 1, 0))=0, "",SUM(IF(INDEX(_xlfn._xlws.FILTER(tblPiNAnalysis[[CCCM%]:[WASH%]], tblPiNAnalysis[Population Group]=B$5), 0, MATCH(_xlfn.CONCAT($Q$2, "%"), tblPiNAnalysis[[#Headers],[CCCM%]:[WASH%]], 0))=$A13, 1, 0))))</f>
        <v>9</v>
      </c>
      <c r="C13" s="93" cm="1">
        <f t="array" ref="C13">IFERROR(IF(OR($A13="", C$5=""), "", IF(SUM(IF(INDEX(_xlfn._xlws.FILTER(tblPiNAnalysis[[CCCM%]:[WASH%]], tblPiNAnalysis[Population Group]=C$5), 0, MATCH(_xlfn.CONCAT($Q$2, "%"), tblPiNAnalysis[[#Headers],[CCCM%]:[WASH%]], 0))=$A13, 1, 0))=0, "",SUM(IF(INDEX(_xlfn._xlws.FILTER(tblPiNAnalysis[[CCCM%]:[WASH%]], tblPiNAnalysis[Population Group]=C$5), 0, MATCH(_xlfn.CONCAT($Q$2, "%"), tblPiNAnalysis[[#Headers],[CCCM%]:[WASH%]], 0))=$A13, 1, 0)))), "")</f>
        <v>8</v>
      </c>
      <c r="D13" s="93" cm="1">
        <f t="array" ref="D13">IFERROR(IF(OR($A13="", D$5=""), "", IF(SUM(IF(INDEX(_xlfn._xlws.FILTER(tblPiNAnalysis[[CCCM%]:[WASH%]], tblPiNAnalysis[Population Group]=D$5), 0, MATCH(_xlfn.CONCAT($Q$2, "%"), tblPiNAnalysis[[#Headers],[CCCM%]:[WASH%]], 0))=$A13, 1, 0))=0, "",SUM(IF(INDEX(_xlfn._xlws.FILTER(tblPiNAnalysis[[CCCM%]:[WASH%]], tblPiNAnalysis[Population Group]=D$5), 0, MATCH(_xlfn.CONCAT($Q$2, "%"), tblPiNAnalysis[[#Headers],[CCCM%]:[WASH%]], 0))=$A13, 1, 0)))), "")</f>
        <v>11</v>
      </c>
      <c r="E13" s="93" t="str" cm="1">
        <f t="array" ref="E13">IFERROR(IF(OR($A13="", E$5=""), "", IF(SUM(IF(INDEX(_xlfn._xlws.FILTER(tblPiNAnalysis[[CCCM%]:[WASH%]], tblPiNAnalysis[Population Group]=E$5), 0, MATCH(_xlfn.CONCAT($Q$2, "%"), tblPiNAnalysis[[#Headers],[CCCM%]:[WASH%]], 0))=$A13, 1, 0))=0, "",SUM(IF(INDEX(_xlfn._xlws.FILTER(tblPiNAnalysis[[CCCM%]:[WASH%]], tblPiNAnalysis[Population Group]=E$5), 0, MATCH(_xlfn.CONCAT($Q$2, "%"), tblPiNAnalysis[[#Headers],[CCCM%]:[WASH%]], 0))=$A13, 1, 0)))), "")</f>
        <v/>
      </c>
      <c r="F13" s="93" t="str" cm="1">
        <f t="array" ref="F13">IFERROR(IF(OR($A13="", F$5=""), "", IF(SUM(IF(INDEX(_xlfn._xlws.FILTER(tblPiNAnalysis[[CCCM%]:[WASH%]], tblPiNAnalysis[CCCM]=F$5), 0, MATCH(_xlfn.CONCAT($Q$2, "%"), tblPiNAnalysis[[#Headers],[CCCM%]:[WASH%]], 0))=$A13, 1, 0))=0, "",SUM(IF(INDEX(_xlfn._xlws.FILTER(tblPiNAnalysis[[CCCM%]:[WASH%]], tblPiNAnalysis[CCCM]=F$5), 0, MATCH(_xlfn.CONCAT($Q$2, "%"), tblPiNAnalysis[[#Headers],[CCCM%]:[WASH%]], 0))=$A13, 1, 0)))), "")</f>
        <v/>
      </c>
      <c r="H13" s="95">
        <v>-0.3</v>
      </c>
      <c r="I13" s="93" cm="1">
        <f t="array" ref="I13">IF($H13="", "", IF($H13=2, SUM(IF(INDEX(_xlfn._xlws.FILTER(tblPiNHistorical[[CCCM]:[WASH]], tblPiNHistorical[Population Group]=I$5), 0, MATCH($Q$2, tblPiNHistorical[[#Headers],[CCCM]:[WASH]], 0))&gt;1.9, 1, 0)), IF(SUM(IF(INDEX(_xlfn._xlws.FILTER(tblPiNHistorical[[CCCM]:[WASH]], tblPiNHistorical[Population Group]=I$5), 0, MATCH($Q$2, tblPiNHistorical[[#Headers],[CCCM]:[WASH]], 0))=$H13, 1, 0))=0, "", SUM(IF(INDEX(_xlfn._xlws.FILTER(tblPiNHistorical[[CCCM]:[WASH]], tblPiNHistorical[Population Group]=I$5), 0, MATCH($Q$2, tblPiNHistorical[[#Headers],[CCCM]:[WASH]], 0))=$H13, 1, 0)))))</f>
        <v>3</v>
      </c>
      <c r="J13" s="93" t="str" cm="1">
        <f t="array" ref="J13">IFERROR(IF(OR($H13="", J12=""), "", IF($H13=2, SUM(IF(INDEX(_xlfn._xlws.FILTER(tblPiNHistorical[[CCCM]:[WASH]], tblPiNHistorical[Population Group]=J$5), 0, MATCH($Q$2, tblPiNHistorical[[#Headers],[CCCM]:[WASH]], 0))&gt;1.9, 1, 0)), IF(SUM(IF(INDEX(_xlfn._xlws.FILTER(tblPiNHistorical[[CCCM]:[WASH]], tblPiNHistorical[Population Group]=J$5), 0, MATCH($Q$2, tblPiNHistorical[[#Headers],[CCCM]:[WASH]], 0))=$H13, 1, 0))=0, "", SUM(IF(INDEX(_xlfn._xlws.FILTER(tblPiNHistorical[[CCCM]:[WASH]], tblPiNHistorical[Population Group]=J$5), 0, MATCH($Q$2, tblPiNHistorical[[#Headers],[CCCM]:[WASH]], 0))=$H13, 1, 0))))), "")</f>
        <v/>
      </c>
      <c r="K13" s="93" t="str" cm="1">
        <f t="array" ref="K13">IFERROR(IF(OR($H13="", K12=""), "", IF($H13=2, SUM(IF(INDEX(_xlfn._xlws.FILTER(tblPiNHistorical[[CCCM]:[WASH]], tblPiNHistorical[CCCM - old]=K$5), 0, MATCH($Q$2, tblPiNHistorical[[#Headers],[CCCM]:[WASH]], 0))&gt;1.9, 1, 0)), IF(SUM(IF(INDEX(_xlfn._xlws.FILTER(tblPiNHistorical[[CCCM]:[WASH]], tblPiNHistorical[CCCM - old]=K$5), 0, MATCH($Q$2, tblPiNHistorical[[#Headers],[CCCM]:[WASH]], 0))=$H13, 1, 0))=0, "", SUM(IF(INDEX(_xlfn._xlws.FILTER(tblPiNHistorical[[CCCM]:[WASH]], tblPiNHistorical[CCCM - old]=K$5), 0, MATCH($Q$2, tblPiNHistorical[[#Headers],[CCCM]:[WASH]], 0))=$H13, 1, 0))))), "")</f>
        <v/>
      </c>
      <c r="L13" s="93" t="str" cm="1">
        <f t="array" ref="L13">IFERROR(IF(OR($H13="", L12=""), "", IF($H13=2, SUM(IF(INDEX(_xlfn._xlws.FILTER(tblPiNHistorical[[CCCM]:[WASH]],#REF!= L$5), 0, MATCH($Q$2, tblPiNHistorical[[#Headers],[CCCM]:[WASH]], 0))&gt;1.9, 1, 0)), IF(SUM(IF(INDEX(_xlfn._xlws.FILTER(tblPiNHistorical[[CCCM]:[WASH]],#REF!= L$5), 0, MATCH($Q$2, tblPiNHistorical[[#Headers],[CCCM]:[WASH]], 0))=$H13, 1, 0))=0, "", SUM(IF(INDEX(_xlfn._xlws.FILTER(tblPiNHistorical[[CCCM]:[WASH]],#REF!= L$5), 0, MATCH($Q$2, tblPiNHistorical[[#Headers],[CCCM]:[WASH]], 0))=$H13, 1, 0))))), "")</f>
        <v/>
      </c>
      <c r="M13" s="93" t="str" cm="1">
        <f t="array" ref="M13">IFERROR(IF(OR($H13="", M12=""), "", IF($H13=2, SUM(IF(INDEX(_xlfn._xlws.FILTER(tblPiNHistorical[[CCCM]:[WASH]],#REF!= M$5), 0, MATCH($Q$2, tblPiNHistorical[[#Headers],[CCCM]:[WASH]], 0))&gt;1.9, 1, 0)), IF(SUM(IF(INDEX(_xlfn._xlws.FILTER(tblPiNHistorical[[CCCM]:[WASH]],#REF!= M$5), 0, MATCH($Q$2, tblPiNHistorical[[#Headers],[CCCM]:[WASH]], 0))=$H13, 1, 0))=0, "", SUM(IF(INDEX(_xlfn._xlws.FILTER(tblPiNHistorical[[CCCM]:[WASH]],#REF!= M$5), 0, MATCH($Q$2, tblPiNHistorical[[#Headers],[CCCM]:[WASH]], 0))=$H13, 1, 0))))), "")</f>
        <v/>
      </c>
      <c r="Z13" s="172"/>
    </row>
    <row r="14" spans="1:26" x14ac:dyDescent="0.55000000000000004">
      <c r="A14" s="95">
        <v>0.4</v>
      </c>
      <c r="B14" s="93" cm="1">
        <f t="array" ref="B14">IF($A14="", "", IF(SUM(IF(INDEX(_xlfn._xlws.FILTER(tblPiNAnalysis[[CCCM%]:[WASH%]], tblPiNAnalysis[Population Group]=B$5), 0, MATCH(_xlfn.CONCAT($Q$2, "%"), tblPiNAnalysis[[#Headers],[CCCM%]:[WASH%]], 0))=$A14, 1, 0))=0, "",SUM(IF(INDEX(_xlfn._xlws.FILTER(tblPiNAnalysis[[CCCM%]:[WASH%]], tblPiNAnalysis[Population Group]=B$5), 0, MATCH(_xlfn.CONCAT($Q$2, "%"), tblPiNAnalysis[[#Headers],[CCCM%]:[WASH%]], 0))=$A14, 1, 0))))</f>
        <v>3</v>
      </c>
      <c r="C14" s="93" cm="1">
        <f t="array" ref="C14">IFERROR(IF(OR($A14="", C$5=""), "", IF(SUM(IF(INDEX(_xlfn._xlws.FILTER(tblPiNAnalysis[[CCCM%]:[WASH%]], tblPiNAnalysis[Population Group]=C$5), 0, MATCH(_xlfn.CONCAT($Q$2, "%"), tblPiNAnalysis[[#Headers],[CCCM%]:[WASH%]], 0))=$A14, 1, 0))=0, "",SUM(IF(INDEX(_xlfn._xlws.FILTER(tblPiNAnalysis[[CCCM%]:[WASH%]], tblPiNAnalysis[Population Group]=C$5), 0, MATCH(_xlfn.CONCAT($Q$2, "%"), tblPiNAnalysis[[#Headers],[CCCM%]:[WASH%]], 0))=$A14, 1, 0)))), "")</f>
        <v>2</v>
      </c>
      <c r="D14" s="93" cm="1">
        <f t="array" ref="D14">IFERROR(IF(OR($A14="", D$5=""), "", IF(SUM(IF(INDEX(_xlfn._xlws.FILTER(tblPiNAnalysis[[CCCM%]:[WASH%]], tblPiNAnalysis[Population Group]=D$5), 0, MATCH(_xlfn.CONCAT($Q$2, "%"), tblPiNAnalysis[[#Headers],[CCCM%]:[WASH%]], 0))=$A14, 1, 0))=0, "",SUM(IF(INDEX(_xlfn._xlws.FILTER(tblPiNAnalysis[[CCCM%]:[WASH%]], tblPiNAnalysis[Population Group]=D$5), 0, MATCH(_xlfn.CONCAT($Q$2, "%"), tblPiNAnalysis[[#Headers],[CCCM%]:[WASH%]], 0))=$A14, 1, 0)))), "")</f>
        <v>2</v>
      </c>
      <c r="E14" s="93" t="str" cm="1">
        <f t="array" ref="E14">IFERROR(IF(OR($A14="", E$5=""), "", IF(SUM(IF(INDEX(_xlfn._xlws.FILTER(tblPiNAnalysis[[CCCM%]:[WASH%]], tblPiNAnalysis[Population Group]=E$5), 0, MATCH(_xlfn.CONCAT($Q$2, "%"), tblPiNAnalysis[[#Headers],[CCCM%]:[WASH%]], 0))=$A14, 1, 0))=0, "",SUM(IF(INDEX(_xlfn._xlws.FILTER(tblPiNAnalysis[[CCCM%]:[WASH%]], tblPiNAnalysis[Population Group]=E$5), 0, MATCH(_xlfn.CONCAT($Q$2, "%"), tblPiNAnalysis[[#Headers],[CCCM%]:[WASH%]], 0))=$A14, 1, 0)))), "")</f>
        <v/>
      </c>
      <c r="F14" s="93" t="str" cm="1">
        <f t="array" ref="F14">IFERROR(IF(OR($A14="", F$5=""), "", IF(SUM(IF(INDEX(_xlfn._xlws.FILTER(tblPiNAnalysis[[CCCM%]:[WASH%]], tblPiNAnalysis[CCCM]=F$5), 0, MATCH(_xlfn.CONCAT($Q$2, "%"), tblPiNAnalysis[[#Headers],[CCCM%]:[WASH%]], 0))=$A14, 1, 0))=0, "",SUM(IF(INDEX(_xlfn._xlws.FILTER(tblPiNAnalysis[[CCCM%]:[WASH%]], tblPiNAnalysis[CCCM]=F$5), 0, MATCH(_xlfn.CONCAT($Q$2, "%"), tblPiNAnalysis[[#Headers],[CCCM%]:[WASH%]], 0))=$A14, 1, 0)))), "")</f>
        <v/>
      </c>
      <c r="H14" s="95">
        <v>-0.2</v>
      </c>
      <c r="I14" s="93" cm="1">
        <f t="array" ref="I14">IF($H14="", "", IF($H14=2, SUM(IF(INDEX(_xlfn._xlws.FILTER(tblPiNHistorical[[CCCM]:[WASH]], tblPiNHistorical[Population Group]=I$5), 0, MATCH($Q$2, tblPiNHistorical[[#Headers],[CCCM]:[WASH]], 0))&gt;1.9, 1, 0)), IF(SUM(IF(INDEX(_xlfn._xlws.FILTER(tblPiNHistorical[[CCCM]:[WASH]], tblPiNHistorical[Population Group]=I$5), 0, MATCH($Q$2, tblPiNHistorical[[#Headers],[CCCM]:[WASH]], 0))=$H14, 1, 0))=0, "", SUM(IF(INDEX(_xlfn._xlws.FILTER(tblPiNHistorical[[CCCM]:[WASH]], tblPiNHistorical[Population Group]=I$5), 0, MATCH($Q$2, tblPiNHistorical[[#Headers],[CCCM]:[WASH]], 0))=$H14, 1, 0)))))</f>
        <v>2</v>
      </c>
      <c r="J14" s="93" t="str" cm="1">
        <f t="array" ref="J14">IFERROR(IF(OR($H14="", J13=""), "", IF($H14=2, SUM(IF(INDEX(_xlfn._xlws.FILTER(tblPiNHistorical[[CCCM]:[WASH]], tblPiNHistorical[Population Group]=J$5), 0, MATCH($Q$2, tblPiNHistorical[[#Headers],[CCCM]:[WASH]], 0))&gt;1.9, 1, 0)), IF(SUM(IF(INDEX(_xlfn._xlws.FILTER(tblPiNHistorical[[CCCM]:[WASH]], tblPiNHistorical[Population Group]=J$5), 0, MATCH($Q$2, tblPiNHistorical[[#Headers],[CCCM]:[WASH]], 0))=$H14, 1, 0))=0, "", SUM(IF(INDEX(_xlfn._xlws.FILTER(tblPiNHistorical[[CCCM]:[WASH]], tblPiNHistorical[Population Group]=J$5), 0, MATCH($Q$2, tblPiNHistorical[[#Headers],[CCCM]:[WASH]], 0))=$H14, 1, 0))))), "")</f>
        <v/>
      </c>
      <c r="K14" s="93" t="str" cm="1">
        <f t="array" ref="K14">IFERROR(IF(OR($H14="", K13=""), "", IF($H14=2, SUM(IF(INDEX(_xlfn._xlws.FILTER(tblPiNHistorical[[CCCM]:[WASH]], tblPiNHistorical[CCCM - old]=K$5), 0, MATCH($Q$2, tblPiNHistorical[[#Headers],[CCCM]:[WASH]], 0))&gt;1.9, 1, 0)), IF(SUM(IF(INDEX(_xlfn._xlws.FILTER(tblPiNHistorical[[CCCM]:[WASH]], tblPiNHistorical[CCCM - old]=K$5), 0, MATCH($Q$2, tblPiNHistorical[[#Headers],[CCCM]:[WASH]], 0))=$H14, 1, 0))=0, "", SUM(IF(INDEX(_xlfn._xlws.FILTER(tblPiNHistorical[[CCCM]:[WASH]], tblPiNHistorical[CCCM - old]=K$5), 0, MATCH($Q$2, tblPiNHistorical[[#Headers],[CCCM]:[WASH]], 0))=$H14, 1, 0))))), "")</f>
        <v/>
      </c>
      <c r="L14" s="93" t="str" cm="1">
        <f t="array" ref="L14">IFERROR(IF(OR($H14="", L13=""), "", IF($H14=2, SUM(IF(INDEX(_xlfn._xlws.FILTER(tblPiNHistorical[[CCCM]:[WASH]],#REF!= L$5), 0, MATCH($Q$2, tblPiNHistorical[[#Headers],[CCCM]:[WASH]], 0))&gt;1.9, 1, 0)), IF(SUM(IF(INDEX(_xlfn._xlws.FILTER(tblPiNHistorical[[CCCM]:[WASH]],#REF!= L$5), 0, MATCH($Q$2, tblPiNHistorical[[#Headers],[CCCM]:[WASH]], 0))=$H14, 1, 0))=0, "", SUM(IF(INDEX(_xlfn._xlws.FILTER(tblPiNHistorical[[CCCM]:[WASH]],#REF!= L$5), 0, MATCH($Q$2, tblPiNHistorical[[#Headers],[CCCM]:[WASH]], 0))=$H14, 1, 0))))), "")</f>
        <v/>
      </c>
      <c r="M14" s="93" t="str" cm="1">
        <f t="array" ref="M14">IFERROR(IF(OR($H14="", M13=""), "", IF($H14=2, SUM(IF(INDEX(_xlfn._xlws.FILTER(tblPiNHistorical[[CCCM]:[WASH]],#REF!= M$5), 0, MATCH($Q$2, tblPiNHistorical[[#Headers],[CCCM]:[WASH]], 0))&gt;1.9, 1, 0)), IF(SUM(IF(INDEX(_xlfn._xlws.FILTER(tblPiNHistorical[[CCCM]:[WASH]],#REF!= M$5), 0, MATCH($Q$2, tblPiNHistorical[[#Headers],[CCCM]:[WASH]], 0))=$H14, 1, 0))=0, "", SUM(IF(INDEX(_xlfn._xlws.FILTER(tblPiNHistorical[[CCCM]:[WASH]],#REF!= M$5), 0, MATCH($Q$2, tblPiNHistorical[[#Headers],[CCCM]:[WASH]], 0))=$H14, 1, 0))))), "")</f>
        <v/>
      </c>
      <c r="Z14" s="172"/>
    </row>
    <row r="15" spans="1:26" x14ac:dyDescent="0.55000000000000004">
      <c r="A15" s="95" t="str">
        <v/>
      </c>
      <c r="B15" s="93" t="str" cm="1">
        <f t="array" ref="B15">IF($A15="", "", IF(SUM(IF(INDEX(_xlfn._xlws.FILTER(tblPiNAnalysis[[CCCM%]:[WASH%]], tblPiNAnalysis[Population Group]=B$5), 0, MATCH(_xlfn.CONCAT($Q$2, "%"), tblPiNAnalysis[[#Headers],[CCCM%]:[WASH%]], 0))=$A15, 1, 0))=0, "",SUM(IF(INDEX(_xlfn._xlws.FILTER(tblPiNAnalysis[[CCCM%]:[WASH%]], tblPiNAnalysis[Population Group]=B$5), 0, MATCH(_xlfn.CONCAT($Q$2, "%"), tblPiNAnalysis[[#Headers],[CCCM%]:[WASH%]], 0))=$A15, 1, 0))))</f>
        <v/>
      </c>
      <c r="C15" s="93" t="str" cm="1">
        <f t="array" ref="C15">IFERROR(IF(OR($A15="", C$5=""), "", IF(SUM(IF(INDEX(_xlfn._xlws.FILTER(tblPiNAnalysis[[CCCM%]:[WASH%]], tblPiNAnalysis[Population Group]=C$5), 0, MATCH(_xlfn.CONCAT($Q$2, "%"), tblPiNAnalysis[[#Headers],[CCCM%]:[WASH%]], 0))=$A15, 1, 0))=0, "",SUM(IF(INDEX(_xlfn._xlws.FILTER(tblPiNAnalysis[[CCCM%]:[WASH%]], tblPiNAnalysis[Population Group]=C$5), 0, MATCH(_xlfn.CONCAT($Q$2, "%"), tblPiNAnalysis[[#Headers],[CCCM%]:[WASH%]], 0))=$A15, 1, 0)))), "")</f>
        <v/>
      </c>
      <c r="D15" s="93" t="str" cm="1">
        <f t="array" ref="D15">IFERROR(IF(OR($A15="", D$5=""), "", IF(SUM(IF(INDEX(_xlfn._xlws.FILTER(tblPiNAnalysis[[CCCM%]:[WASH%]], tblPiNAnalysis[Population Group]=D$5), 0, MATCH(_xlfn.CONCAT($Q$2, "%"), tblPiNAnalysis[[#Headers],[CCCM%]:[WASH%]], 0))=$A15, 1, 0))=0, "",SUM(IF(INDEX(_xlfn._xlws.FILTER(tblPiNAnalysis[[CCCM%]:[WASH%]], tblPiNAnalysis[Population Group]=D$5), 0, MATCH(_xlfn.CONCAT($Q$2, "%"), tblPiNAnalysis[[#Headers],[CCCM%]:[WASH%]], 0))=$A15, 1, 0)))), "")</f>
        <v/>
      </c>
      <c r="E15" s="93" t="str" cm="1">
        <f t="array" ref="E15">IFERROR(IF(OR($A15="", E$5=""), "", IF(SUM(IF(INDEX(_xlfn._xlws.FILTER(tblPiNAnalysis[[CCCM%]:[WASH%]], tblPiNAnalysis[Population Group]=E$5), 0, MATCH(_xlfn.CONCAT($Q$2, "%"), tblPiNAnalysis[[#Headers],[CCCM%]:[WASH%]], 0))=$A15, 1, 0))=0, "",SUM(IF(INDEX(_xlfn._xlws.FILTER(tblPiNAnalysis[[CCCM%]:[WASH%]], tblPiNAnalysis[Population Group]=E$5), 0, MATCH(_xlfn.CONCAT($Q$2, "%"), tblPiNAnalysis[[#Headers],[CCCM%]:[WASH%]], 0))=$A15, 1, 0)))), "")</f>
        <v/>
      </c>
      <c r="F15" s="93" t="str" cm="1">
        <f t="array" ref="F15">IFERROR(IF(OR($A15="", F$5=""), "", IF(SUM(IF(INDEX(_xlfn._xlws.FILTER(tblPiNAnalysis[[CCCM%]:[WASH%]], tblPiNAnalysis[CCCM]=F$5), 0, MATCH(_xlfn.CONCAT($Q$2, "%"), tblPiNAnalysis[[#Headers],[CCCM%]:[WASH%]], 0))=$A15, 1, 0))=0, "",SUM(IF(INDEX(_xlfn._xlws.FILTER(tblPiNAnalysis[[CCCM%]:[WASH%]], tblPiNAnalysis[CCCM]=F$5), 0, MATCH(_xlfn.CONCAT($Q$2, "%"), tblPiNAnalysis[[#Headers],[CCCM%]:[WASH%]], 0))=$A15, 1, 0)))), "")</f>
        <v/>
      </c>
      <c r="H15" s="95">
        <v>-0.1</v>
      </c>
      <c r="I15" s="93" cm="1">
        <f t="array" ref="I15">IF($H15="", "", IF($H15=2, SUM(IF(INDEX(_xlfn._xlws.FILTER(tblPiNHistorical[[CCCM]:[WASH]], tblPiNHistorical[Population Group]=I$5), 0, MATCH($Q$2, tblPiNHistorical[[#Headers],[CCCM]:[WASH]], 0))&gt;1.9, 1, 0)), IF(SUM(IF(INDEX(_xlfn._xlws.FILTER(tblPiNHistorical[[CCCM]:[WASH]], tblPiNHistorical[Population Group]=I$5), 0, MATCH($Q$2, tblPiNHistorical[[#Headers],[CCCM]:[WASH]], 0))=$H15, 1, 0))=0, "", SUM(IF(INDEX(_xlfn._xlws.FILTER(tblPiNHistorical[[CCCM]:[WASH]], tblPiNHistorical[Population Group]=I$5), 0, MATCH($Q$2, tblPiNHistorical[[#Headers],[CCCM]:[WASH]], 0))=$H15, 1, 0)))))</f>
        <v>6</v>
      </c>
      <c r="J15" s="93" t="str" cm="1">
        <f t="array" ref="J15">IFERROR(IF(OR($H15="", J14=""), "", IF($H15=2, SUM(IF(INDEX(_xlfn._xlws.FILTER(tblPiNHistorical[[CCCM]:[WASH]], tblPiNHistorical[Population Group]=J$5), 0, MATCH($Q$2, tblPiNHistorical[[#Headers],[CCCM]:[WASH]], 0))&gt;1.9, 1, 0)), IF(SUM(IF(INDEX(_xlfn._xlws.FILTER(tblPiNHistorical[[CCCM]:[WASH]], tblPiNHistorical[Population Group]=J$5), 0, MATCH($Q$2, tblPiNHistorical[[#Headers],[CCCM]:[WASH]], 0))=$H15, 1, 0))=0, "", SUM(IF(INDEX(_xlfn._xlws.FILTER(tblPiNHistorical[[CCCM]:[WASH]], tblPiNHistorical[Population Group]=J$5), 0, MATCH($Q$2, tblPiNHistorical[[#Headers],[CCCM]:[WASH]], 0))=$H15, 1, 0))))), "")</f>
        <v/>
      </c>
      <c r="K15" s="93" t="str" cm="1">
        <f t="array" ref="K15">IFERROR(IF(OR($H15="", K14=""), "", IF($H15=2, SUM(IF(INDEX(_xlfn._xlws.FILTER(tblPiNHistorical[[CCCM]:[WASH]], tblPiNHistorical[CCCM - old]=K$5), 0, MATCH($Q$2, tblPiNHistorical[[#Headers],[CCCM]:[WASH]], 0))&gt;1.9, 1, 0)), IF(SUM(IF(INDEX(_xlfn._xlws.FILTER(tblPiNHistorical[[CCCM]:[WASH]], tblPiNHistorical[CCCM - old]=K$5), 0, MATCH($Q$2, tblPiNHistorical[[#Headers],[CCCM]:[WASH]], 0))=$H15, 1, 0))=0, "", SUM(IF(INDEX(_xlfn._xlws.FILTER(tblPiNHistorical[[CCCM]:[WASH]], tblPiNHistorical[CCCM - old]=K$5), 0, MATCH($Q$2, tblPiNHistorical[[#Headers],[CCCM]:[WASH]], 0))=$H15, 1, 0))))), "")</f>
        <v/>
      </c>
      <c r="L15" s="93" t="str" cm="1">
        <f t="array" ref="L15">IFERROR(IF(OR($H15="", L14=""), "", IF($H15=2, SUM(IF(INDEX(_xlfn._xlws.FILTER(tblPiNHistorical[[CCCM]:[WASH]],#REF!= L$5), 0, MATCH($Q$2, tblPiNHistorical[[#Headers],[CCCM]:[WASH]], 0))&gt;1.9, 1, 0)), IF(SUM(IF(INDEX(_xlfn._xlws.FILTER(tblPiNHistorical[[CCCM]:[WASH]],#REF!= L$5), 0, MATCH($Q$2, tblPiNHistorical[[#Headers],[CCCM]:[WASH]], 0))=$H15, 1, 0))=0, "", SUM(IF(INDEX(_xlfn._xlws.FILTER(tblPiNHistorical[[CCCM]:[WASH]],#REF!= L$5), 0, MATCH($Q$2, tblPiNHistorical[[#Headers],[CCCM]:[WASH]], 0))=$H15, 1, 0))))), "")</f>
        <v/>
      </c>
      <c r="M15" s="93" t="str" cm="1">
        <f t="array" ref="M15">IFERROR(IF(OR($H15="", M14=""), "", IF($H15=2, SUM(IF(INDEX(_xlfn._xlws.FILTER(tblPiNHistorical[[CCCM]:[WASH]],#REF!= M$5), 0, MATCH($Q$2, tblPiNHistorical[[#Headers],[CCCM]:[WASH]], 0))&gt;1.9, 1, 0)), IF(SUM(IF(INDEX(_xlfn._xlws.FILTER(tblPiNHistorical[[CCCM]:[WASH]],#REF!= M$5), 0, MATCH($Q$2, tblPiNHistorical[[#Headers],[CCCM]:[WASH]], 0))=$H15, 1, 0))=0, "", SUM(IF(INDEX(_xlfn._xlws.FILTER(tblPiNHistorical[[CCCM]:[WASH]],#REF!= M$5), 0, MATCH($Q$2, tblPiNHistorical[[#Headers],[CCCM]:[WASH]], 0))=$H15, 1, 0))))), "")</f>
        <v/>
      </c>
      <c r="Z15" s="172"/>
    </row>
    <row r="16" spans="1:26" x14ac:dyDescent="0.55000000000000004">
      <c r="A16" s="95"/>
      <c r="B16" s="93" t="str" cm="1">
        <f t="array" ref="B16">IF($A16="", "", IF(SUM(IF(INDEX(_xlfn._xlws.FILTER(tblPiNAnalysis[[CCCM%]:[WASH%]], tblPiNAnalysis[Population Group]=B$5), 0, MATCH(_xlfn.CONCAT($Q$2, "%"), tblPiNAnalysis[[#Headers],[CCCM%]:[WASH%]], 0))=$A16, 1, 0))=0, "",SUM(IF(INDEX(_xlfn._xlws.FILTER(tblPiNAnalysis[[CCCM%]:[WASH%]], tblPiNAnalysis[Population Group]=B$5), 0, MATCH(_xlfn.CONCAT($Q$2, "%"), tblPiNAnalysis[[#Headers],[CCCM%]:[WASH%]], 0))=$A16, 1, 0))))</f>
        <v/>
      </c>
      <c r="C16" s="93" t="str" cm="1">
        <f t="array" ref="C16">IFERROR(IF(OR($A16="", C$5=""), "", IF(SUM(IF(INDEX(_xlfn._xlws.FILTER(tblPiNAnalysis[[CCCM%]:[WASH%]], tblPiNAnalysis[Population Group]=C$5), 0, MATCH(_xlfn.CONCAT($Q$2, "%"), tblPiNAnalysis[[#Headers],[CCCM%]:[WASH%]], 0))=$A16, 1, 0))=0, "",SUM(IF(INDEX(_xlfn._xlws.FILTER(tblPiNAnalysis[[CCCM%]:[WASH%]], tblPiNAnalysis[Population Group]=C$5), 0, MATCH(_xlfn.CONCAT($Q$2, "%"), tblPiNAnalysis[[#Headers],[CCCM%]:[WASH%]], 0))=$A16, 1, 0)))), "")</f>
        <v/>
      </c>
      <c r="D16" s="93" t="str" cm="1">
        <f t="array" ref="D16">IFERROR(IF(OR($A16="", D$5=""), "", IF(SUM(IF(INDEX(_xlfn._xlws.FILTER(tblPiNAnalysis[[CCCM%]:[WASH%]], tblPiNAnalysis[Population Group]=D$5), 0, MATCH(_xlfn.CONCAT($Q$2, "%"), tblPiNAnalysis[[#Headers],[CCCM%]:[WASH%]], 0))=$A16, 1, 0))=0, "",SUM(IF(INDEX(_xlfn._xlws.FILTER(tblPiNAnalysis[[CCCM%]:[WASH%]], tblPiNAnalysis[Population Group]=D$5), 0, MATCH(_xlfn.CONCAT($Q$2, "%"), tblPiNAnalysis[[#Headers],[CCCM%]:[WASH%]], 0))=$A16, 1, 0)))), "")</f>
        <v/>
      </c>
      <c r="E16" s="93" t="str" cm="1">
        <f t="array" ref="E16">IFERROR(IF(OR($A16="", E$5=""), "", IF(SUM(IF(INDEX(_xlfn._xlws.FILTER(tblPiNAnalysis[[CCCM%]:[WASH%]], tblPiNAnalysis[Population Group]=E$5), 0, MATCH(_xlfn.CONCAT($Q$2, "%"), tblPiNAnalysis[[#Headers],[CCCM%]:[WASH%]], 0))=$A16, 1, 0))=0, "",SUM(IF(INDEX(_xlfn._xlws.FILTER(tblPiNAnalysis[[CCCM%]:[WASH%]], tblPiNAnalysis[Population Group]=E$5), 0, MATCH(_xlfn.CONCAT($Q$2, "%"), tblPiNAnalysis[[#Headers],[CCCM%]:[WASH%]], 0))=$A16, 1, 0)))), "")</f>
        <v/>
      </c>
      <c r="F16" s="93" t="str" cm="1">
        <f t="array" ref="F16">IFERROR(IF(OR($A16="", F$5=""), "", IF(SUM(IF(INDEX(_xlfn._xlws.FILTER(tblPiNAnalysis[[CCCM%]:[WASH%]], tblPiNAnalysis[CCCM]=F$5), 0, MATCH(_xlfn.CONCAT($Q$2, "%"), tblPiNAnalysis[[#Headers],[CCCM%]:[WASH%]], 0))=$A16, 1, 0))=0, "",SUM(IF(INDEX(_xlfn._xlws.FILTER(tblPiNAnalysis[[CCCM%]:[WASH%]], tblPiNAnalysis[CCCM]=F$5), 0, MATCH(_xlfn.CONCAT($Q$2, "%"), tblPiNAnalysis[[#Headers],[CCCM%]:[WASH%]], 0))=$A16, 1, 0)))), "")</f>
        <v/>
      </c>
      <c r="H16" s="95">
        <v>0</v>
      </c>
      <c r="I16" s="93" cm="1">
        <f t="array" ref="I16">IF($H16="", "", IF($H16=2, SUM(IF(INDEX(_xlfn._xlws.FILTER(tblPiNHistorical[[CCCM]:[WASH]], tblPiNHistorical[Population Group]=I$5), 0, MATCH($Q$2, tblPiNHistorical[[#Headers],[CCCM]:[WASH]], 0))&gt;1.9, 1, 0)), IF(SUM(IF(INDEX(_xlfn._xlws.FILTER(tblPiNHistorical[[CCCM]:[WASH]], tblPiNHistorical[Population Group]=I$5), 0, MATCH($Q$2, tblPiNHistorical[[#Headers],[CCCM]:[WASH]], 0))=$H16, 1, 0))=0, "", SUM(IF(INDEX(_xlfn._xlws.FILTER(tblPiNHistorical[[CCCM]:[WASH]], tblPiNHistorical[Population Group]=I$5), 0, MATCH($Q$2, tblPiNHistorical[[#Headers],[CCCM]:[WASH]], 0))=$H16, 1, 0)))))</f>
        <v>9</v>
      </c>
      <c r="J16" s="93" t="str" cm="1">
        <f t="array" ref="J16">IFERROR(IF(OR($H16="", J15=""), "", IF($H16=2, SUM(IF(INDEX(_xlfn._xlws.FILTER(tblPiNHistorical[[CCCM]:[WASH]], tblPiNHistorical[Population Group]=J$5), 0, MATCH($Q$2, tblPiNHistorical[[#Headers],[CCCM]:[WASH]], 0))&gt;1.9, 1, 0)), IF(SUM(IF(INDEX(_xlfn._xlws.FILTER(tblPiNHistorical[[CCCM]:[WASH]], tblPiNHistorical[Population Group]=J$5), 0, MATCH($Q$2, tblPiNHistorical[[#Headers],[CCCM]:[WASH]], 0))=$H16, 1, 0))=0, "", SUM(IF(INDEX(_xlfn._xlws.FILTER(tblPiNHistorical[[CCCM]:[WASH]], tblPiNHistorical[Population Group]=J$5), 0, MATCH($Q$2, tblPiNHistorical[[#Headers],[CCCM]:[WASH]], 0))=$H16, 1, 0))))), "")</f>
        <v/>
      </c>
      <c r="K16" s="93" t="str" cm="1">
        <f t="array" ref="K16">IFERROR(IF(OR($H16="", K15=""), "", IF($H16=2, SUM(IF(INDEX(_xlfn._xlws.FILTER(tblPiNHistorical[[CCCM]:[WASH]], tblPiNHistorical[CCCM - old]=K$5), 0, MATCH($Q$2, tblPiNHistorical[[#Headers],[CCCM]:[WASH]], 0))&gt;1.9, 1, 0)), IF(SUM(IF(INDEX(_xlfn._xlws.FILTER(tblPiNHistorical[[CCCM]:[WASH]], tblPiNHistorical[CCCM - old]=K$5), 0, MATCH($Q$2, tblPiNHistorical[[#Headers],[CCCM]:[WASH]], 0))=$H16, 1, 0))=0, "", SUM(IF(INDEX(_xlfn._xlws.FILTER(tblPiNHistorical[[CCCM]:[WASH]], tblPiNHistorical[CCCM - old]=K$5), 0, MATCH($Q$2, tblPiNHistorical[[#Headers],[CCCM]:[WASH]], 0))=$H16, 1, 0))))), "")</f>
        <v/>
      </c>
      <c r="L16" s="93" t="str" cm="1">
        <f t="array" ref="L16">IFERROR(IF(OR($H16="", L15=""), "", IF($H16=2, SUM(IF(INDEX(_xlfn._xlws.FILTER(tblPiNHistorical[[CCCM]:[WASH]],#REF!= L$5), 0, MATCH($Q$2, tblPiNHistorical[[#Headers],[CCCM]:[WASH]], 0))&gt;1.9, 1, 0)), IF(SUM(IF(INDEX(_xlfn._xlws.FILTER(tblPiNHistorical[[CCCM]:[WASH]],#REF!= L$5), 0, MATCH($Q$2, tblPiNHistorical[[#Headers],[CCCM]:[WASH]], 0))=$H16, 1, 0))=0, "", SUM(IF(INDEX(_xlfn._xlws.FILTER(tblPiNHistorical[[CCCM]:[WASH]],#REF!= L$5), 0, MATCH($Q$2, tblPiNHistorical[[#Headers],[CCCM]:[WASH]], 0))=$H16, 1, 0))))), "")</f>
        <v/>
      </c>
      <c r="M16" s="93" t="str" cm="1">
        <f t="array" ref="M16">IFERROR(IF(OR($H16="", M15=""), "", IF($H16=2, SUM(IF(INDEX(_xlfn._xlws.FILTER(tblPiNHistorical[[CCCM]:[WASH]],#REF!= M$5), 0, MATCH($Q$2, tblPiNHistorical[[#Headers],[CCCM]:[WASH]], 0))&gt;1.9, 1, 0)), IF(SUM(IF(INDEX(_xlfn._xlws.FILTER(tblPiNHistorical[[CCCM]:[WASH]],#REF!= M$5), 0, MATCH($Q$2, tblPiNHistorical[[#Headers],[CCCM]:[WASH]], 0))=$H16, 1, 0))=0, "", SUM(IF(INDEX(_xlfn._xlws.FILTER(tblPiNHistorical[[CCCM]:[WASH]],#REF!= M$5), 0, MATCH($Q$2, tblPiNHistorical[[#Headers],[CCCM]:[WASH]], 0))=$H16, 1, 0))))), "")</f>
        <v/>
      </c>
      <c r="Z16" s="172"/>
    </row>
    <row r="17" spans="1:28" x14ac:dyDescent="0.55000000000000004">
      <c r="A17" s="95"/>
      <c r="B17" s="93" t="str" cm="1">
        <f t="array" ref="B17">IF($A17="", "", IF(SUM(IF(INDEX(_xlfn._xlws.FILTER(tblPiNAnalysis[[CCCM%]:[WASH%]], tblPiNAnalysis[Population Group]=B$5), 0, MATCH(_xlfn.CONCAT($Q$2, "%"), tblPiNAnalysis[[#Headers],[CCCM%]:[WASH%]], 0))=$A17, 1, 0))=0, "",SUM(IF(INDEX(_xlfn._xlws.FILTER(tblPiNAnalysis[[CCCM%]:[WASH%]], tblPiNAnalysis[Population Group]=B$5), 0, MATCH(_xlfn.CONCAT($Q$2, "%"), tblPiNAnalysis[[#Headers],[CCCM%]:[WASH%]], 0))=$A17, 1, 0))))</f>
        <v/>
      </c>
      <c r="C17" s="93" t="str" cm="1">
        <f t="array" ref="C17">IFERROR(IF(OR($A17="", C$5=""), "", IF(SUM(IF(INDEX(_xlfn._xlws.FILTER(tblPiNAnalysis[[CCCM%]:[WASH%]], tblPiNAnalysis[Population Group]=C$5), 0, MATCH(_xlfn.CONCAT($Q$2, "%"), tblPiNAnalysis[[#Headers],[CCCM%]:[WASH%]], 0))=$A17, 1, 0))=0, "",SUM(IF(INDEX(_xlfn._xlws.FILTER(tblPiNAnalysis[[CCCM%]:[WASH%]], tblPiNAnalysis[Population Group]=C$5), 0, MATCH(_xlfn.CONCAT($Q$2, "%"), tblPiNAnalysis[[#Headers],[CCCM%]:[WASH%]], 0))=$A17, 1, 0)))), "")</f>
        <v/>
      </c>
      <c r="D17" s="93" t="str" cm="1">
        <f t="array" ref="D17">IFERROR(IF(OR($A17="", D$5=""), "", IF(SUM(IF(INDEX(_xlfn._xlws.FILTER(tblPiNAnalysis[[CCCM%]:[WASH%]], tblPiNAnalysis[Population Group]=D$5), 0, MATCH(_xlfn.CONCAT($Q$2, "%"), tblPiNAnalysis[[#Headers],[CCCM%]:[WASH%]], 0))=$A17, 1, 0))=0, "",SUM(IF(INDEX(_xlfn._xlws.FILTER(tblPiNAnalysis[[CCCM%]:[WASH%]], tblPiNAnalysis[Population Group]=D$5), 0, MATCH(_xlfn.CONCAT($Q$2, "%"), tblPiNAnalysis[[#Headers],[CCCM%]:[WASH%]], 0))=$A17, 1, 0)))), "")</f>
        <v/>
      </c>
      <c r="E17" s="93" t="str" cm="1">
        <f t="array" ref="E17">IFERROR(IF(OR($A17="", E$5=""), "", IF(SUM(IF(INDEX(_xlfn._xlws.FILTER(tblPiNAnalysis[[CCCM%]:[WASH%]], tblPiNAnalysis[Population Group]=E$5), 0, MATCH(_xlfn.CONCAT($Q$2, "%"), tblPiNAnalysis[[#Headers],[CCCM%]:[WASH%]], 0))=$A17, 1, 0))=0, "",SUM(IF(INDEX(_xlfn._xlws.FILTER(tblPiNAnalysis[[CCCM%]:[WASH%]], tblPiNAnalysis[Population Group]=E$5), 0, MATCH(_xlfn.CONCAT($Q$2, "%"), tblPiNAnalysis[[#Headers],[CCCM%]:[WASH%]], 0))=$A17, 1, 0)))), "")</f>
        <v/>
      </c>
      <c r="F17" s="93" t="str" cm="1">
        <f t="array" ref="F17">IFERROR(IF(OR($A17="", F$5=""), "", IF(SUM(IF(INDEX(_xlfn._xlws.FILTER(tblPiNAnalysis[[CCCM%]:[WASH%]], tblPiNAnalysis[CCCM]=F$5), 0, MATCH(_xlfn.CONCAT($Q$2, "%"), tblPiNAnalysis[[#Headers],[CCCM%]:[WASH%]], 0))=$A17, 1, 0))=0, "",SUM(IF(INDEX(_xlfn._xlws.FILTER(tblPiNAnalysis[[CCCM%]:[WASH%]], tblPiNAnalysis[CCCM]=F$5), 0, MATCH(_xlfn.CONCAT($Q$2, "%"), tblPiNAnalysis[[#Headers],[CCCM%]:[WASH%]], 0))=$A17, 1, 0)))), "")</f>
        <v/>
      </c>
      <c r="H17" s="95">
        <v>0.1</v>
      </c>
      <c r="I17" s="93" cm="1">
        <f t="array" ref="I17">IF($H17="", "", IF($H17=2, SUM(IF(INDEX(_xlfn._xlws.FILTER(tblPiNHistorical[[CCCM]:[WASH]], tblPiNHistorical[Population Group]=I$5), 0, MATCH($Q$2, tblPiNHistorical[[#Headers],[CCCM]:[WASH]], 0))&gt;1.9, 1, 0)), IF(SUM(IF(INDEX(_xlfn._xlws.FILTER(tblPiNHistorical[[CCCM]:[WASH]], tblPiNHistorical[Population Group]=I$5), 0, MATCH($Q$2, tblPiNHistorical[[#Headers],[CCCM]:[WASH]], 0))=$H17, 1, 0))=0, "", SUM(IF(INDEX(_xlfn._xlws.FILTER(tblPiNHistorical[[CCCM]:[WASH]], tblPiNHistorical[Population Group]=I$5), 0, MATCH($Q$2, tblPiNHistorical[[#Headers],[CCCM]:[WASH]], 0))=$H17, 1, 0)))))</f>
        <v>4</v>
      </c>
      <c r="J17" s="93" t="str" cm="1">
        <f t="array" ref="J17">IFERROR(IF(OR($H17="", J16=""), "", IF($H17=2, SUM(IF(INDEX(_xlfn._xlws.FILTER(tblPiNHistorical[[CCCM]:[WASH]], tblPiNHistorical[Population Group]=J$5), 0, MATCH($Q$2, tblPiNHistorical[[#Headers],[CCCM]:[WASH]], 0))&gt;1.9, 1, 0)), IF(SUM(IF(INDEX(_xlfn._xlws.FILTER(tblPiNHistorical[[CCCM]:[WASH]], tblPiNHistorical[Population Group]=J$5), 0, MATCH($Q$2, tblPiNHistorical[[#Headers],[CCCM]:[WASH]], 0))=$H17, 1, 0))=0, "", SUM(IF(INDEX(_xlfn._xlws.FILTER(tblPiNHistorical[[CCCM]:[WASH]], tblPiNHistorical[Population Group]=J$5), 0, MATCH($Q$2, tblPiNHistorical[[#Headers],[CCCM]:[WASH]], 0))=$H17, 1, 0))))), "")</f>
        <v/>
      </c>
      <c r="K17" s="93" t="str" cm="1">
        <f t="array" ref="K17">IFERROR(IF(OR($H17="", K16=""), "", IF($H17=2, SUM(IF(INDEX(_xlfn._xlws.FILTER(tblPiNHistorical[[CCCM]:[WASH]], tblPiNHistorical[CCCM - old]=K$5), 0, MATCH($Q$2, tblPiNHistorical[[#Headers],[CCCM]:[WASH]], 0))&gt;1.9, 1, 0)), IF(SUM(IF(INDEX(_xlfn._xlws.FILTER(tblPiNHistorical[[CCCM]:[WASH]], tblPiNHistorical[CCCM - old]=K$5), 0, MATCH($Q$2, tblPiNHistorical[[#Headers],[CCCM]:[WASH]], 0))=$H17, 1, 0))=0, "", SUM(IF(INDEX(_xlfn._xlws.FILTER(tblPiNHistorical[[CCCM]:[WASH]], tblPiNHistorical[CCCM - old]=K$5), 0, MATCH($Q$2, tblPiNHistorical[[#Headers],[CCCM]:[WASH]], 0))=$H17, 1, 0))))), "")</f>
        <v/>
      </c>
      <c r="L17" s="93" t="str" cm="1">
        <f t="array" ref="L17">IFERROR(IF(OR($H17="", L16=""), "", IF($H17=2, SUM(IF(INDEX(_xlfn._xlws.FILTER(tblPiNHistorical[[CCCM]:[WASH]],#REF!= L$5), 0, MATCH($Q$2, tblPiNHistorical[[#Headers],[CCCM]:[WASH]], 0))&gt;1.9, 1, 0)), IF(SUM(IF(INDEX(_xlfn._xlws.FILTER(tblPiNHistorical[[CCCM]:[WASH]],#REF!= L$5), 0, MATCH($Q$2, tblPiNHistorical[[#Headers],[CCCM]:[WASH]], 0))=$H17, 1, 0))=0, "", SUM(IF(INDEX(_xlfn._xlws.FILTER(tblPiNHistorical[[CCCM]:[WASH]],#REF!= L$5), 0, MATCH($Q$2, tblPiNHistorical[[#Headers],[CCCM]:[WASH]], 0))=$H17, 1, 0))))), "")</f>
        <v/>
      </c>
      <c r="M17" s="93" t="str" cm="1">
        <f t="array" ref="M17">IFERROR(IF(OR($H17="", M16=""), "", IF($H17=2, SUM(IF(INDEX(_xlfn._xlws.FILTER(tblPiNHistorical[[CCCM]:[WASH]],#REF!= M$5), 0, MATCH($Q$2, tblPiNHistorical[[#Headers],[CCCM]:[WASH]], 0))&gt;1.9, 1, 0)), IF(SUM(IF(INDEX(_xlfn._xlws.FILTER(tblPiNHistorical[[CCCM]:[WASH]],#REF!= M$5), 0, MATCH($Q$2, tblPiNHistorical[[#Headers],[CCCM]:[WASH]], 0))=$H17, 1, 0))=0, "", SUM(IF(INDEX(_xlfn._xlws.FILTER(tblPiNHistorical[[CCCM]:[WASH]],#REF!= M$5), 0, MATCH($Q$2, tblPiNHistorical[[#Headers],[CCCM]:[WASH]], 0))=$H17, 1, 0))))), "")</f>
        <v/>
      </c>
      <c r="Z17" s="172"/>
    </row>
    <row r="18" spans="1:28" x14ac:dyDescent="0.55000000000000004">
      <c r="A18" s="95"/>
      <c r="B18" s="93" t="str" cm="1">
        <f t="array" ref="B18">IF($A18="", "", IF(SUM(IF(INDEX(_xlfn._xlws.FILTER(tblPiNAnalysis[[CCCM%]:[WASH%]], tblPiNAnalysis[Population Group]=B$5), 0, MATCH(_xlfn.CONCAT($Q$2, "%"), tblPiNAnalysis[[#Headers],[CCCM%]:[WASH%]], 0))=$A18, 1, 0))=0, "",SUM(IF(INDEX(_xlfn._xlws.FILTER(tblPiNAnalysis[[CCCM%]:[WASH%]], tblPiNAnalysis[Population Group]=B$5), 0, MATCH(_xlfn.CONCAT($Q$2, "%"), tblPiNAnalysis[[#Headers],[CCCM%]:[WASH%]], 0))=$A18, 1, 0))))</f>
        <v/>
      </c>
      <c r="C18" s="93" t="str" cm="1">
        <f t="array" ref="C18">IFERROR(IF(OR($A18="", C$5=""), "", IF(SUM(IF(INDEX(_xlfn._xlws.FILTER(tblPiNAnalysis[[CCCM%]:[WASH%]], tblPiNAnalysis[Population Group]=C$5), 0, MATCH(_xlfn.CONCAT($Q$2, "%"), tblPiNAnalysis[[#Headers],[CCCM%]:[WASH%]], 0))=$A18, 1, 0))=0, "",SUM(IF(INDEX(_xlfn._xlws.FILTER(tblPiNAnalysis[[CCCM%]:[WASH%]], tblPiNAnalysis[Population Group]=C$5), 0, MATCH(_xlfn.CONCAT($Q$2, "%"), tblPiNAnalysis[[#Headers],[CCCM%]:[WASH%]], 0))=$A18, 1, 0)))), "")</f>
        <v/>
      </c>
      <c r="D18" s="93" t="str" cm="1">
        <f t="array" ref="D18">IFERROR(IF(OR($A18="", D$5=""), "", IF(SUM(IF(INDEX(_xlfn._xlws.FILTER(tblPiNAnalysis[[CCCM%]:[WASH%]], tblPiNAnalysis[Population Group]=D$5), 0, MATCH(_xlfn.CONCAT($Q$2, "%"), tblPiNAnalysis[[#Headers],[CCCM%]:[WASH%]], 0))=$A18, 1, 0))=0, "",SUM(IF(INDEX(_xlfn._xlws.FILTER(tblPiNAnalysis[[CCCM%]:[WASH%]], tblPiNAnalysis[Population Group]=D$5), 0, MATCH(_xlfn.CONCAT($Q$2, "%"), tblPiNAnalysis[[#Headers],[CCCM%]:[WASH%]], 0))=$A18, 1, 0)))), "")</f>
        <v/>
      </c>
      <c r="E18" s="93" t="str" cm="1">
        <f t="array" ref="E18">IFERROR(IF(OR($A18="", E$5=""), "", IF(SUM(IF(INDEX(_xlfn._xlws.FILTER(tblPiNAnalysis[[CCCM%]:[WASH%]], tblPiNAnalysis[Population Group]=E$5), 0, MATCH(_xlfn.CONCAT($Q$2, "%"), tblPiNAnalysis[[#Headers],[CCCM%]:[WASH%]], 0))=$A18, 1, 0))=0, "",SUM(IF(INDEX(_xlfn._xlws.FILTER(tblPiNAnalysis[[CCCM%]:[WASH%]], tblPiNAnalysis[Population Group]=E$5), 0, MATCH(_xlfn.CONCAT($Q$2, "%"), tblPiNAnalysis[[#Headers],[CCCM%]:[WASH%]], 0))=$A18, 1, 0)))), "")</f>
        <v/>
      </c>
      <c r="F18" s="93" t="str" cm="1">
        <f t="array" ref="F18">IFERROR(IF(OR($A18="", F$5=""), "", IF(SUM(IF(INDEX(_xlfn._xlws.FILTER(tblPiNAnalysis[[CCCM%]:[WASH%]], tblPiNAnalysis[CCCM]=F$5), 0, MATCH(_xlfn.CONCAT($Q$2, "%"), tblPiNAnalysis[[#Headers],[CCCM%]:[WASH%]], 0))=$A18, 1, 0))=0, "",SUM(IF(INDEX(_xlfn._xlws.FILTER(tblPiNAnalysis[[CCCM%]:[WASH%]], tblPiNAnalysis[CCCM]=F$5), 0, MATCH(_xlfn.CONCAT($Q$2, "%"), tblPiNAnalysis[[#Headers],[CCCM%]:[WASH%]], 0))=$A18, 1, 0)))), "")</f>
        <v/>
      </c>
      <c r="H18" s="95">
        <v>0.2</v>
      </c>
      <c r="I18" s="93" cm="1">
        <f t="array" ref="I18">IF($H18="", "", IF($H18=2, SUM(IF(INDEX(_xlfn._xlws.FILTER(tblPiNHistorical[[CCCM]:[WASH]], tblPiNHistorical[Population Group]=I$5), 0, MATCH($Q$2, tblPiNHistorical[[#Headers],[CCCM]:[WASH]], 0))&gt;1.9, 1, 0)), IF(SUM(IF(INDEX(_xlfn._xlws.FILTER(tblPiNHistorical[[CCCM]:[WASH]], tblPiNHistorical[Population Group]=I$5), 0, MATCH($Q$2, tblPiNHistorical[[#Headers],[CCCM]:[WASH]], 0))=$H18, 1, 0))=0, "", SUM(IF(INDEX(_xlfn._xlws.FILTER(tblPiNHistorical[[CCCM]:[WASH]], tblPiNHistorical[Population Group]=I$5), 0, MATCH($Q$2, tblPiNHistorical[[#Headers],[CCCM]:[WASH]], 0))=$H18, 1, 0)))))</f>
        <v>6</v>
      </c>
      <c r="J18" s="93" t="str" cm="1">
        <f t="array" ref="J18">IFERROR(IF(OR($H18="", J17=""), "", IF($H18=2, SUM(IF(INDEX(_xlfn._xlws.FILTER(tblPiNHistorical[[CCCM]:[WASH]], tblPiNHistorical[Population Group]=J$5), 0, MATCH($Q$2, tblPiNHistorical[[#Headers],[CCCM]:[WASH]], 0))&gt;1.9, 1, 0)), IF(SUM(IF(INDEX(_xlfn._xlws.FILTER(tblPiNHistorical[[CCCM]:[WASH]], tblPiNHistorical[Population Group]=J$5), 0, MATCH($Q$2, tblPiNHistorical[[#Headers],[CCCM]:[WASH]], 0))=$H18, 1, 0))=0, "", SUM(IF(INDEX(_xlfn._xlws.FILTER(tblPiNHistorical[[CCCM]:[WASH]], tblPiNHistorical[Population Group]=J$5), 0, MATCH($Q$2, tblPiNHistorical[[#Headers],[CCCM]:[WASH]], 0))=$H18, 1, 0))))), "")</f>
        <v/>
      </c>
      <c r="K18" s="93" t="str" cm="1">
        <f t="array" ref="K18">IFERROR(IF(OR($H18="", K17=""), "", IF($H18=2, SUM(IF(INDEX(_xlfn._xlws.FILTER(tblPiNHistorical[[CCCM]:[WASH]], tblPiNHistorical[CCCM - old]=K$5), 0, MATCH($Q$2, tblPiNHistorical[[#Headers],[CCCM]:[WASH]], 0))&gt;1.9, 1, 0)), IF(SUM(IF(INDEX(_xlfn._xlws.FILTER(tblPiNHistorical[[CCCM]:[WASH]], tblPiNHistorical[CCCM - old]=K$5), 0, MATCH($Q$2, tblPiNHistorical[[#Headers],[CCCM]:[WASH]], 0))=$H18, 1, 0))=0, "", SUM(IF(INDEX(_xlfn._xlws.FILTER(tblPiNHistorical[[CCCM]:[WASH]], tblPiNHistorical[CCCM - old]=K$5), 0, MATCH($Q$2, tblPiNHistorical[[#Headers],[CCCM]:[WASH]], 0))=$H18, 1, 0))))), "")</f>
        <v/>
      </c>
      <c r="L18" s="93" t="str" cm="1">
        <f t="array" ref="L18">IFERROR(IF(OR($H18="", L17=""), "", IF($H18=2, SUM(IF(INDEX(_xlfn._xlws.FILTER(tblPiNHistorical[[CCCM]:[WASH]],#REF!= L$5), 0, MATCH($Q$2, tblPiNHistorical[[#Headers],[CCCM]:[WASH]], 0))&gt;1.9, 1, 0)), IF(SUM(IF(INDEX(_xlfn._xlws.FILTER(tblPiNHistorical[[CCCM]:[WASH]],#REF!= L$5), 0, MATCH($Q$2, tblPiNHistorical[[#Headers],[CCCM]:[WASH]], 0))=$H18, 1, 0))=0, "", SUM(IF(INDEX(_xlfn._xlws.FILTER(tblPiNHistorical[[CCCM]:[WASH]],#REF!= L$5), 0, MATCH($Q$2, tblPiNHistorical[[#Headers],[CCCM]:[WASH]], 0))=$H18, 1, 0))))), "")</f>
        <v/>
      </c>
      <c r="M18" s="93" t="str" cm="1">
        <f t="array" ref="M18">IFERROR(IF(OR($H18="", M17=""), "", IF($H18=2, SUM(IF(INDEX(_xlfn._xlws.FILTER(tblPiNHistorical[[CCCM]:[WASH]],#REF!= M$5), 0, MATCH($Q$2, tblPiNHistorical[[#Headers],[CCCM]:[WASH]], 0))&gt;1.9, 1, 0)), IF(SUM(IF(INDEX(_xlfn._xlws.FILTER(tblPiNHistorical[[CCCM]:[WASH]],#REF!= M$5), 0, MATCH($Q$2, tblPiNHistorical[[#Headers],[CCCM]:[WASH]], 0))=$H18, 1, 0))=0, "", SUM(IF(INDEX(_xlfn._xlws.FILTER(tblPiNHistorical[[CCCM]:[WASH]],#REF!= M$5), 0, MATCH($Q$2, tblPiNHistorical[[#Headers],[CCCM]:[WASH]], 0))=$H18, 1, 0))))), "")</f>
        <v/>
      </c>
      <c r="Z18" s="172"/>
    </row>
    <row r="19" spans="1:28" x14ac:dyDescent="0.55000000000000004">
      <c r="A19" s="95"/>
      <c r="B19" s="93" t="str" cm="1">
        <f t="array" ref="B19">IF($A19="", "", IF(SUM(IF(INDEX(_xlfn._xlws.FILTER(tblPiNAnalysis[[CCCM%]:[WASH%]], tblPiNAnalysis[Population Group]=B$5), 0, MATCH(_xlfn.CONCAT($Q$2, "%"), tblPiNAnalysis[[#Headers],[CCCM%]:[WASH%]], 0))=$A19, 1, 0))=0, "",SUM(IF(INDEX(_xlfn._xlws.FILTER(tblPiNAnalysis[[CCCM%]:[WASH%]], tblPiNAnalysis[Population Group]=B$5), 0, MATCH(_xlfn.CONCAT($Q$2, "%"), tblPiNAnalysis[[#Headers],[CCCM%]:[WASH%]], 0))=$A19, 1, 0))))</f>
        <v/>
      </c>
      <c r="C19" s="93" t="str" cm="1">
        <f t="array" ref="C19">IFERROR(IF(OR($A19="", C$5=""), "", IF(SUM(IF(INDEX(_xlfn._xlws.FILTER(tblPiNAnalysis[[CCCM%]:[WASH%]], tblPiNAnalysis[Population Group]=C$5), 0, MATCH(_xlfn.CONCAT($Q$2, "%"), tblPiNAnalysis[[#Headers],[CCCM%]:[WASH%]], 0))=$A19, 1, 0))=0, "",SUM(IF(INDEX(_xlfn._xlws.FILTER(tblPiNAnalysis[[CCCM%]:[WASH%]], tblPiNAnalysis[Population Group]=C$5), 0, MATCH(_xlfn.CONCAT($Q$2, "%"), tblPiNAnalysis[[#Headers],[CCCM%]:[WASH%]], 0))=$A19, 1, 0)))), "")</f>
        <v/>
      </c>
      <c r="D19" s="93" t="str" cm="1">
        <f t="array" ref="D19">IFERROR(IF(OR($A19="", D$5=""), "", IF(SUM(IF(INDEX(_xlfn._xlws.FILTER(tblPiNAnalysis[[CCCM%]:[WASH%]], tblPiNAnalysis[Population Group]=D$5), 0, MATCH(_xlfn.CONCAT($Q$2, "%"), tblPiNAnalysis[[#Headers],[CCCM%]:[WASH%]], 0))=$A19, 1, 0))=0, "",SUM(IF(INDEX(_xlfn._xlws.FILTER(tblPiNAnalysis[[CCCM%]:[WASH%]], tblPiNAnalysis[Population Group]=D$5), 0, MATCH(_xlfn.CONCAT($Q$2, "%"), tblPiNAnalysis[[#Headers],[CCCM%]:[WASH%]], 0))=$A19, 1, 0)))), "")</f>
        <v/>
      </c>
      <c r="E19" s="93" t="str" cm="1">
        <f t="array" ref="E19">IFERROR(IF(OR($A19="", E$5=""), "", IF(SUM(IF(INDEX(_xlfn._xlws.FILTER(tblPiNAnalysis[[CCCM%]:[WASH%]], tblPiNAnalysis[Population Group]=E$5), 0, MATCH(_xlfn.CONCAT($Q$2, "%"), tblPiNAnalysis[[#Headers],[CCCM%]:[WASH%]], 0))=$A19, 1, 0))=0, "",SUM(IF(INDEX(_xlfn._xlws.FILTER(tblPiNAnalysis[[CCCM%]:[WASH%]], tblPiNAnalysis[Population Group]=E$5), 0, MATCH(_xlfn.CONCAT($Q$2, "%"), tblPiNAnalysis[[#Headers],[CCCM%]:[WASH%]], 0))=$A19, 1, 0)))), "")</f>
        <v/>
      </c>
      <c r="F19" s="93" t="str" cm="1">
        <f t="array" ref="F19">IFERROR(IF(OR($A19="", F$5=""), "", IF(SUM(IF(INDEX(_xlfn._xlws.FILTER(tblPiNAnalysis[[CCCM%]:[WASH%]], tblPiNAnalysis[CCCM]=F$5), 0, MATCH(_xlfn.CONCAT($Q$2, "%"), tblPiNAnalysis[[#Headers],[CCCM%]:[WASH%]], 0))=$A19, 1, 0))=0, "",SUM(IF(INDEX(_xlfn._xlws.FILTER(tblPiNAnalysis[[CCCM%]:[WASH%]], tblPiNAnalysis[CCCM]=F$5), 0, MATCH(_xlfn.CONCAT($Q$2, "%"), tblPiNAnalysis[[#Headers],[CCCM%]:[WASH%]], 0))=$A19, 1, 0)))), "")</f>
        <v/>
      </c>
      <c r="H19" s="95">
        <v>0.3</v>
      </c>
      <c r="I19" s="93" cm="1">
        <f t="array" ref="I19">IF($H19="", "", IF($H19=2, SUM(IF(INDEX(_xlfn._xlws.FILTER(tblPiNHistorical[[CCCM]:[WASH]], tblPiNHistorical[Population Group]=I$5), 0, MATCH($Q$2, tblPiNHistorical[[#Headers],[CCCM]:[WASH]], 0))&gt;1.9, 1, 0)), IF(SUM(IF(INDEX(_xlfn._xlws.FILTER(tblPiNHistorical[[CCCM]:[WASH]], tblPiNHistorical[Population Group]=I$5), 0, MATCH($Q$2, tblPiNHistorical[[#Headers],[CCCM]:[WASH]], 0))=$H19, 1, 0))=0, "", SUM(IF(INDEX(_xlfn._xlws.FILTER(tblPiNHistorical[[CCCM]:[WASH]], tblPiNHistorical[Population Group]=I$5), 0, MATCH($Q$2, tblPiNHistorical[[#Headers],[CCCM]:[WASH]], 0))=$H19, 1, 0)))))</f>
        <v>7</v>
      </c>
      <c r="J19" s="93" t="str" cm="1">
        <f t="array" ref="J19">IFERROR(IF(OR($H19="", J18=""), "", IF($H19=2, SUM(IF(INDEX(_xlfn._xlws.FILTER(tblPiNHistorical[[CCCM]:[WASH]], tblPiNHistorical[Population Group]=J$5), 0, MATCH($Q$2, tblPiNHistorical[[#Headers],[CCCM]:[WASH]], 0))&gt;1.9, 1, 0)), IF(SUM(IF(INDEX(_xlfn._xlws.FILTER(tblPiNHistorical[[CCCM]:[WASH]], tblPiNHistorical[Population Group]=J$5), 0, MATCH($Q$2, tblPiNHistorical[[#Headers],[CCCM]:[WASH]], 0))=$H19, 1, 0))=0, "", SUM(IF(INDEX(_xlfn._xlws.FILTER(tblPiNHistorical[[CCCM]:[WASH]], tblPiNHistorical[Population Group]=J$5), 0, MATCH($Q$2, tblPiNHistorical[[#Headers],[CCCM]:[WASH]], 0))=$H19, 1, 0))))), "")</f>
        <v/>
      </c>
      <c r="K19" s="93" t="str" cm="1">
        <f t="array" ref="K19">IFERROR(IF(OR($H19="", K18=""), "", IF($H19=2, SUM(IF(INDEX(_xlfn._xlws.FILTER(tblPiNHistorical[[CCCM]:[WASH]], tblPiNHistorical[CCCM - old]=K$5), 0, MATCH($Q$2, tblPiNHistorical[[#Headers],[CCCM]:[WASH]], 0))&gt;1.9, 1, 0)), IF(SUM(IF(INDEX(_xlfn._xlws.FILTER(tblPiNHistorical[[CCCM]:[WASH]], tblPiNHistorical[CCCM - old]=K$5), 0, MATCH($Q$2, tblPiNHistorical[[#Headers],[CCCM]:[WASH]], 0))=$H19, 1, 0))=0, "", SUM(IF(INDEX(_xlfn._xlws.FILTER(tblPiNHistorical[[CCCM]:[WASH]], tblPiNHistorical[CCCM - old]=K$5), 0, MATCH($Q$2, tblPiNHistorical[[#Headers],[CCCM]:[WASH]], 0))=$H19, 1, 0))))), "")</f>
        <v/>
      </c>
      <c r="L19" s="93" t="str" cm="1">
        <f t="array" ref="L19">IFERROR(IF(OR($H19="", L18=""), "", IF($H19=2, SUM(IF(INDEX(_xlfn._xlws.FILTER(tblPiNHistorical[[CCCM]:[WASH]],#REF!= L$5), 0, MATCH($Q$2, tblPiNHistorical[[#Headers],[CCCM]:[WASH]], 0))&gt;1.9, 1, 0)), IF(SUM(IF(INDEX(_xlfn._xlws.FILTER(tblPiNHistorical[[CCCM]:[WASH]],#REF!= L$5), 0, MATCH($Q$2, tblPiNHistorical[[#Headers],[CCCM]:[WASH]], 0))=$H19, 1, 0))=0, "", SUM(IF(INDEX(_xlfn._xlws.FILTER(tblPiNHistorical[[CCCM]:[WASH]],#REF!= L$5), 0, MATCH($Q$2, tblPiNHistorical[[#Headers],[CCCM]:[WASH]], 0))=$H19, 1, 0))))), "")</f>
        <v/>
      </c>
      <c r="M19" s="93" t="str" cm="1">
        <f t="array" ref="M19">IFERROR(IF(OR($H19="", M18=""), "", IF($H19=2, SUM(IF(INDEX(_xlfn._xlws.FILTER(tblPiNHistorical[[CCCM]:[WASH]],#REF!= M$5), 0, MATCH($Q$2, tblPiNHistorical[[#Headers],[CCCM]:[WASH]], 0))&gt;1.9, 1, 0)), IF(SUM(IF(INDEX(_xlfn._xlws.FILTER(tblPiNHistorical[[CCCM]:[WASH]],#REF!= M$5), 0, MATCH($Q$2, tblPiNHistorical[[#Headers],[CCCM]:[WASH]], 0))=$H19, 1, 0))=0, "", SUM(IF(INDEX(_xlfn._xlws.FILTER(tblPiNHistorical[[CCCM]:[WASH]],#REF!= M$5), 0, MATCH($Q$2, tblPiNHistorical[[#Headers],[CCCM]:[WASH]], 0))=$H19, 1, 0))))), "")</f>
        <v/>
      </c>
      <c r="Z19" s="172"/>
    </row>
    <row r="20" spans="1:28" x14ac:dyDescent="0.55000000000000004">
      <c r="A20" s="95"/>
      <c r="B20" s="93" t="str" cm="1">
        <f t="array" ref="B20">IF($A20="", "", IF(SUM(IF(INDEX(_xlfn._xlws.FILTER(tblPiNAnalysis[[CCCM%]:[WASH%]], tblPiNAnalysis[Population Group]=B$5), 0, MATCH(_xlfn.CONCAT($Q$2, "%"), tblPiNAnalysis[[#Headers],[CCCM%]:[WASH%]], 0))=$A20, 1, 0))=0, "",SUM(IF(INDEX(_xlfn._xlws.FILTER(tblPiNAnalysis[[CCCM%]:[WASH%]], tblPiNAnalysis[Population Group]=B$5), 0, MATCH(_xlfn.CONCAT($Q$2, "%"), tblPiNAnalysis[[#Headers],[CCCM%]:[WASH%]], 0))=$A20, 1, 0))))</f>
        <v/>
      </c>
      <c r="C20" s="93" t="str" cm="1">
        <f t="array" ref="C20">IFERROR(IF(OR($A20="", C$5=""), "", IF(SUM(IF(INDEX(_xlfn._xlws.FILTER(tblPiNAnalysis[[CCCM%]:[WASH%]], tblPiNAnalysis[Population Group]=C$5), 0, MATCH(_xlfn.CONCAT($Q$2, "%"), tblPiNAnalysis[[#Headers],[CCCM%]:[WASH%]], 0))=$A20, 1, 0))=0, "",SUM(IF(INDEX(_xlfn._xlws.FILTER(tblPiNAnalysis[[CCCM%]:[WASH%]], tblPiNAnalysis[Population Group]=C$5), 0, MATCH(_xlfn.CONCAT($Q$2, "%"), tblPiNAnalysis[[#Headers],[CCCM%]:[WASH%]], 0))=$A20, 1, 0)))), "")</f>
        <v/>
      </c>
      <c r="D20" s="93" t="str" cm="1">
        <f t="array" ref="D20">IFERROR(IF(OR($A20="", D$5=""), "", IF(SUM(IF(INDEX(_xlfn._xlws.FILTER(tblPiNAnalysis[[CCCM%]:[WASH%]], tblPiNAnalysis[Population Group]=D$5), 0, MATCH(_xlfn.CONCAT($Q$2, "%"), tblPiNAnalysis[[#Headers],[CCCM%]:[WASH%]], 0))=$A20, 1, 0))=0, "",SUM(IF(INDEX(_xlfn._xlws.FILTER(tblPiNAnalysis[[CCCM%]:[WASH%]], tblPiNAnalysis[Population Group]=D$5), 0, MATCH(_xlfn.CONCAT($Q$2, "%"), tblPiNAnalysis[[#Headers],[CCCM%]:[WASH%]], 0))=$A20, 1, 0)))), "")</f>
        <v/>
      </c>
      <c r="E20" s="93" t="str" cm="1">
        <f t="array" ref="E20">IFERROR(IF(OR($A20="", E$5=""), "", IF(SUM(IF(INDEX(_xlfn._xlws.FILTER(tblPiNAnalysis[[CCCM%]:[WASH%]], tblPiNAnalysis[Population Group]=E$5), 0, MATCH(_xlfn.CONCAT($Q$2, "%"), tblPiNAnalysis[[#Headers],[CCCM%]:[WASH%]], 0))=$A20, 1, 0))=0, "",SUM(IF(INDEX(_xlfn._xlws.FILTER(tblPiNAnalysis[[CCCM%]:[WASH%]], tblPiNAnalysis[Population Group]=E$5), 0, MATCH(_xlfn.CONCAT($Q$2, "%"), tblPiNAnalysis[[#Headers],[CCCM%]:[WASH%]], 0))=$A20, 1, 0)))), "")</f>
        <v/>
      </c>
      <c r="F20" s="93" t="str" cm="1">
        <f t="array" ref="F20">IFERROR(IF(OR($A20="", F$5=""), "", IF(SUM(IF(INDEX(_xlfn._xlws.FILTER(tblPiNAnalysis[[CCCM%]:[WASH%]], tblPiNAnalysis[CCCM]=F$5), 0, MATCH(_xlfn.CONCAT($Q$2, "%"), tblPiNAnalysis[[#Headers],[CCCM%]:[WASH%]], 0))=$A20, 1, 0))=0, "",SUM(IF(INDEX(_xlfn._xlws.FILTER(tblPiNAnalysis[[CCCM%]:[WASH%]], tblPiNAnalysis[CCCM]=F$5), 0, MATCH(_xlfn.CONCAT($Q$2, "%"), tblPiNAnalysis[[#Headers],[CCCM%]:[WASH%]], 0))=$A20, 1, 0)))), "")</f>
        <v/>
      </c>
      <c r="H20" s="95">
        <v>0.4</v>
      </c>
      <c r="I20" s="93" cm="1">
        <f t="array" ref="I20">IF($H20="", "", IF($H20=2, SUM(IF(INDEX(_xlfn._xlws.FILTER(tblPiNHistorical[[CCCM]:[WASH]], tblPiNHistorical[Population Group]=I$5), 0, MATCH($Q$2, tblPiNHistorical[[#Headers],[CCCM]:[WASH]], 0))&gt;1.9, 1, 0)), IF(SUM(IF(INDEX(_xlfn._xlws.FILTER(tblPiNHistorical[[CCCM]:[WASH]], tblPiNHistorical[Population Group]=I$5), 0, MATCH($Q$2, tblPiNHistorical[[#Headers],[CCCM]:[WASH]], 0))=$H20, 1, 0))=0, "", SUM(IF(INDEX(_xlfn._xlws.FILTER(tblPiNHistorical[[CCCM]:[WASH]], tblPiNHistorical[Population Group]=I$5), 0, MATCH($Q$2, tblPiNHistorical[[#Headers],[CCCM]:[WASH]], 0))=$H20, 1, 0)))))</f>
        <v>6</v>
      </c>
      <c r="J20" s="93" t="str" cm="1">
        <f t="array" ref="J20">IFERROR(IF(OR($H20="", J19=""), "", IF($H20=2, SUM(IF(INDEX(_xlfn._xlws.FILTER(tblPiNHistorical[[CCCM]:[WASH]], tblPiNHistorical[Population Group]=J$5), 0, MATCH($Q$2, tblPiNHistorical[[#Headers],[CCCM]:[WASH]], 0))&gt;1.9, 1, 0)), IF(SUM(IF(INDEX(_xlfn._xlws.FILTER(tblPiNHistorical[[CCCM]:[WASH]], tblPiNHistorical[Population Group]=J$5), 0, MATCH($Q$2, tblPiNHistorical[[#Headers],[CCCM]:[WASH]], 0))=$H20, 1, 0))=0, "", SUM(IF(INDEX(_xlfn._xlws.FILTER(tblPiNHistorical[[CCCM]:[WASH]], tblPiNHistorical[Population Group]=J$5), 0, MATCH($Q$2, tblPiNHistorical[[#Headers],[CCCM]:[WASH]], 0))=$H20, 1, 0))))), "")</f>
        <v/>
      </c>
      <c r="K20" s="93" t="str" cm="1">
        <f t="array" ref="K20">IFERROR(IF(OR($H20="", K19=""), "", IF($H20=2, SUM(IF(INDEX(_xlfn._xlws.FILTER(tblPiNHistorical[[CCCM]:[WASH]], tblPiNHistorical[CCCM - old]=K$5), 0, MATCH($Q$2, tblPiNHistorical[[#Headers],[CCCM]:[WASH]], 0))&gt;1.9, 1, 0)), IF(SUM(IF(INDEX(_xlfn._xlws.FILTER(tblPiNHistorical[[CCCM]:[WASH]], tblPiNHistorical[CCCM - old]=K$5), 0, MATCH($Q$2, tblPiNHistorical[[#Headers],[CCCM]:[WASH]], 0))=$H20, 1, 0))=0, "", SUM(IF(INDEX(_xlfn._xlws.FILTER(tblPiNHistorical[[CCCM]:[WASH]], tblPiNHistorical[CCCM - old]=K$5), 0, MATCH($Q$2, tblPiNHistorical[[#Headers],[CCCM]:[WASH]], 0))=$H20, 1, 0))))), "")</f>
        <v/>
      </c>
      <c r="L20" s="93" t="str" cm="1">
        <f t="array" ref="L20">IFERROR(IF(OR($H20="", L19=""), "", IF($H20=2, SUM(IF(INDEX(_xlfn._xlws.FILTER(tblPiNHistorical[[CCCM]:[WASH]],#REF!= L$5), 0, MATCH($Q$2, tblPiNHistorical[[#Headers],[CCCM]:[WASH]], 0))&gt;1.9, 1, 0)), IF(SUM(IF(INDEX(_xlfn._xlws.FILTER(tblPiNHistorical[[CCCM]:[WASH]],#REF!= L$5), 0, MATCH($Q$2, tblPiNHistorical[[#Headers],[CCCM]:[WASH]], 0))=$H20, 1, 0))=0, "", SUM(IF(INDEX(_xlfn._xlws.FILTER(tblPiNHistorical[[CCCM]:[WASH]],#REF!= L$5), 0, MATCH($Q$2, tblPiNHistorical[[#Headers],[CCCM]:[WASH]], 0))=$H20, 1, 0))))), "")</f>
        <v/>
      </c>
      <c r="M20" s="93" t="str" cm="1">
        <f t="array" ref="M20">IFERROR(IF(OR($H20="", M19=""), "", IF($H20=2, SUM(IF(INDEX(_xlfn._xlws.FILTER(tblPiNHistorical[[CCCM]:[WASH]],#REF!= M$5), 0, MATCH($Q$2, tblPiNHistorical[[#Headers],[CCCM]:[WASH]], 0))&gt;1.9, 1, 0)), IF(SUM(IF(INDEX(_xlfn._xlws.FILTER(tblPiNHistorical[[CCCM]:[WASH]],#REF!= M$5), 0, MATCH($Q$2, tblPiNHistorical[[#Headers],[CCCM]:[WASH]], 0))=$H20, 1, 0))=0, "", SUM(IF(INDEX(_xlfn._xlws.FILTER(tblPiNHistorical[[CCCM]:[WASH]],#REF!= M$5), 0, MATCH($Q$2, tblPiNHistorical[[#Headers],[CCCM]:[WASH]], 0))=$H20, 1, 0))))), "")</f>
        <v/>
      </c>
      <c r="Z20" s="172"/>
    </row>
    <row r="21" spans="1:28" x14ac:dyDescent="0.55000000000000004">
      <c r="A21" s="95"/>
      <c r="B21" s="93" t="str" cm="1">
        <f t="array" ref="B21">IF($A21="", "", IF(SUM(IF(INDEX(_xlfn._xlws.FILTER(tblPiNAnalysis[[CCCM%]:[WASH%]], tblPiNAnalysis[Population Group]=B$5), 0, MATCH(_xlfn.CONCAT($Q$2, "%"), tblPiNAnalysis[[#Headers],[CCCM%]:[WASH%]], 0))=$A21, 1, 0))=0, "",SUM(IF(INDEX(_xlfn._xlws.FILTER(tblPiNAnalysis[[CCCM%]:[WASH%]], tblPiNAnalysis[Population Group]=B$5), 0, MATCH(_xlfn.CONCAT($Q$2, "%"), tblPiNAnalysis[[#Headers],[CCCM%]:[WASH%]], 0))=$A21, 1, 0))))</f>
        <v/>
      </c>
      <c r="C21" s="93" t="str" cm="1">
        <f t="array" ref="C21">IFERROR(IF(OR($A21="", C$5=""), "", IF(SUM(IF(INDEX(_xlfn._xlws.FILTER(tblPiNAnalysis[[CCCM%]:[WASH%]], tblPiNAnalysis[Population Group]=C$5), 0, MATCH(_xlfn.CONCAT($Q$2, "%"), tblPiNAnalysis[[#Headers],[CCCM%]:[WASH%]], 0))=$A21, 1, 0))=0, "",SUM(IF(INDEX(_xlfn._xlws.FILTER(tblPiNAnalysis[[CCCM%]:[WASH%]], tblPiNAnalysis[Population Group]=C$5), 0, MATCH(_xlfn.CONCAT($Q$2, "%"), tblPiNAnalysis[[#Headers],[CCCM%]:[WASH%]], 0))=$A21, 1, 0)))), "")</f>
        <v/>
      </c>
      <c r="D21" s="93" t="str" cm="1">
        <f t="array" ref="D21">IFERROR(IF(OR($A21="", D$5=""), "", IF(SUM(IF(INDEX(_xlfn._xlws.FILTER(tblPiNAnalysis[[CCCM%]:[WASH%]], tblPiNAnalysis[Population Group]=D$5), 0, MATCH(_xlfn.CONCAT($Q$2, "%"), tblPiNAnalysis[[#Headers],[CCCM%]:[WASH%]], 0))=$A21, 1, 0))=0, "",SUM(IF(INDEX(_xlfn._xlws.FILTER(tblPiNAnalysis[[CCCM%]:[WASH%]], tblPiNAnalysis[Population Group]=D$5), 0, MATCH(_xlfn.CONCAT($Q$2, "%"), tblPiNAnalysis[[#Headers],[CCCM%]:[WASH%]], 0))=$A21, 1, 0)))), "")</f>
        <v/>
      </c>
      <c r="E21" s="93" t="str" cm="1">
        <f t="array" ref="E21">IFERROR(IF(OR($A21="", E$5=""), "", IF(SUM(IF(INDEX(_xlfn._xlws.FILTER(tblPiNAnalysis[[CCCM%]:[WASH%]], tblPiNAnalysis[Population Group]=E$5), 0, MATCH(_xlfn.CONCAT($Q$2, "%"), tblPiNAnalysis[[#Headers],[CCCM%]:[WASH%]], 0))=$A21, 1, 0))=0, "",SUM(IF(INDEX(_xlfn._xlws.FILTER(tblPiNAnalysis[[CCCM%]:[WASH%]], tblPiNAnalysis[Population Group]=E$5), 0, MATCH(_xlfn.CONCAT($Q$2, "%"), tblPiNAnalysis[[#Headers],[CCCM%]:[WASH%]], 0))=$A21, 1, 0)))), "")</f>
        <v/>
      </c>
      <c r="F21" s="93" t="str" cm="1">
        <f t="array" ref="F21">IFERROR(IF(OR($A21="", F$5=""), "", IF(SUM(IF(INDEX(_xlfn._xlws.FILTER(tblPiNAnalysis[[CCCM%]:[WASH%]], tblPiNAnalysis[CCCM]=F$5), 0, MATCH(_xlfn.CONCAT($Q$2, "%"), tblPiNAnalysis[[#Headers],[CCCM%]:[WASH%]], 0))=$A21, 1, 0))=0, "",SUM(IF(INDEX(_xlfn._xlws.FILTER(tblPiNAnalysis[[CCCM%]:[WASH%]], tblPiNAnalysis[CCCM]=F$5), 0, MATCH(_xlfn.CONCAT($Q$2, "%"), tblPiNAnalysis[[#Headers],[CCCM%]:[WASH%]], 0))=$A21, 1, 0)))), "")</f>
        <v/>
      </c>
      <c r="H21" s="95">
        <v>0.5</v>
      </c>
      <c r="I21" s="93" cm="1">
        <f t="array" ref="I21">IF($H21="", "", IF($H21=2, SUM(IF(INDEX(_xlfn._xlws.FILTER(tblPiNHistorical[[CCCM]:[WASH]], tblPiNHistorical[Population Group]=I$5), 0, MATCH($Q$2, tblPiNHistorical[[#Headers],[CCCM]:[WASH]], 0))&gt;1.9, 1, 0)), IF(SUM(IF(INDEX(_xlfn._xlws.FILTER(tblPiNHistorical[[CCCM]:[WASH]], tblPiNHistorical[Population Group]=I$5), 0, MATCH($Q$2, tblPiNHistorical[[#Headers],[CCCM]:[WASH]], 0))=$H21, 1, 0))=0, "", SUM(IF(INDEX(_xlfn._xlws.FILTER(tblPiNHistorical[[CCCM]:[WASH]], tblPiNHistorical[Population Group]=I$5), 0, MATCH($Q$2, tblPiNHistorical[[#Headers],[CCCM]:[WASH]], 0))=$H21, 1, 0)))))</f>
        <v>2</v>
      </c>
      <c r="J21" s="93" t="str" cm="1">
        <f t="array" ref="J21">IFERROR(IF(OR($H21="", J20=""), "", IF($H21=2, SUM(IF(INDEX(_xlfn._xlws.FILTER(tblPiNHistorical[[CCCM]:[WASH]], tblPiNHistorical[Population Group]=J$5), 0, MATCH($Q$2, tblPiNHistorical[[#Headers],[CCCM]:[WASH]], 0))&gt;1.9, 1, 0)), IF(SUM(IF(INDEX(_xlfn._xlws.FILTER(tblPiNHistorical[[CCCM]:[WASH]], tblPiNHistorical[Population Group]=J$5), 0, MATCH($Q$2, tblPiNHistorical[[#Headers],[CCCM]:[WASH]], 0))=$H21, 1, 0))=0, "", SUM(IF(INDEX(_xlfn._xlws.FILTER(tblPiNHistorical[[CCCM]:[WASH]], tblPiNHistorical[Population Group]=J$5), 0, MATCH($Q$2, tblPiNHistorical[[#Headers],[CCCM]:[WASH]], 0))=$H21, 1, 0))))), "")</f>
        <v/>
      </c>
      <c r="K21" s="93" t="str" cm="1">
        <f t="array" ref="K21">IFERROR(IF(OR($H21="", K20=""), "", IF($H21=2, SUM(IF(INDEX(_xlfn._xlws.FILTER(tblPiNHistorical[[CCCM]:[WASH]], tblPiNHistorical[CCCM - old]=K$5), 0, MATCH($Q$2, tblPiNHistorical[[#Headers],[CCCM]:[WASH]], 0))&gt;1.9, 1, 0)), IF(SUM(IF(INDEX(_xlfn._xlws.FILTER(tblPiNHistorical[[CCCM]:[WASH]], tblPiNHistorical[CCCM - old]=K$5), 0, MATCH($Q$2, tblPiNHistorical[[#Headers],[CCCM]:[WASH]], 0))=$H21, 1, 0))=0, "", SUM(IF(INDEX(_xlfn._xlws.FILTER(tblPiNHistorical[[CCCM]:[WASH]], tblPiNHistorical[CCCM - old]=K$5), 0, MATCH($Q$2, tblPiNHistorical[[#Headers],[CCCM]:[WASH]], 0))=$H21, 1, 0))))), "")</f>
        <v/>
      </c>
      <c r="L21" s="93" t="str" cm="1">
        <f t="array" ref="L21">IFERROR(IF(OR($H21="", L20=""), "", IF($H21=2, SUM(IF(INDEX(_xlfn._xlws.FILTER(tblPiNHistorical[[CCCM]:[WASH]],#REF!= L$5), 0, MATCH($Q$2, tblPiNHistorical[[#Headers],[CCCM]:[WASH]], 0))&gt;1.9, 1, 0)), IF(SUM(IF(INDEX(_xlfn._xlws.FILTER(tblPiNHistorical[[CCCM]:[WASH]],#REF!= L$5), 0, MATCH($Q$2, tblPiNHistorical[[#Headers],[CCCM]:[WASH]], 0))=$H21, 1, 0))=0, "", SUM(IF(INDEX(_xlfn._xlws.FILTER(tblPiNHistorical[[CCCM]:[WASH]],#REF!= L$5), 0, MATCH($Q$2, tblPiNHistorical[[#Headers],[CCCM]:[WASH]], 0))=$H21, 1, 0))))), "")</f>
        <v/>
      </c>
      <c r="M21" s="93" t="str" cm="1">
        <f t="array" ref="M21">IFERROR(IF(OR($H21="", M20=""), "", IF($H21=2, SUM(IF(INDEX(_xlfn._xlws.FILTER(tblPiNHistorical[[CCCM]:[WASH]],#REF!= M$5), 0, MATCH($Q$2, tblPiNHistorical[[#Headers],[CCCM]:[WASH]], 0))&gt;1.9, 1, 0)), IF(SUM(IF(INDEX(_xlfn._xlws.FILTER(tblPiNHistorical[[CCCM]:[WASH]],#REF!= M$5), 0, MATCH($Q$2, tblPiNHistorical[[#Headers],[CCCM]:[WASH]], 0))=$H21, 1, 0))=0, "", SUM(IF(INDEX(_xlfn._xlws.FILTER(tblPiNHistorical[[CCCM]:[WASH]],#REF!= M$5), 0, MATCH($Q$2, tblPiNHistorical[[#Headers],[CCCM]:[WASH]], 0))=$H21, 1, 0))))), "")</f>
        <v/>
      </c>
      <c r="Z21" s="172"/>
    </row>
    <row r="22" spans="1:28" x14ac:dyDescent="0.55000000000000004">
      <c r="A22" s="95"/>
      <c r="B22" s="93" t="str" cm="1">
        <f t="array" ref="B22">IF($A22="", "", IF(SUM(IF(INDEX(_xlfn._xlws.FILTER(tblPiNAnalysis[[CCCM%]:[WASH%]], tblPiNAnalysis[Population Group]=B$5), 0, MATCH(_xlfn.CONCAT($Q$2, "%"), tblPiNAnalysis[[#Headers],[CCCM%]:[WASH%]], 0))=$A22, 1, 0))=0, "",SUM(IF(INDEX(_xlfn._xlws.FILTER(tblPiNAnalysis[[CCCM%]:[WASH%]], tblPiNAnalysis[Population Group]=B$5), 0, MATCH(_xlfn.CONCAT($Q$2, "%"), tblPiNAnalysis[[#Headers],[CCCM%]:[WASH%]], 0))=$A22, 1, 0))))</f>
        <v/>
      </c>
      <c r="C22" s="93" t="str" cm="1">
        <f t="array" ref="C22">IFERROR(IF(OR($A22="", C$5=""), "", IF(SUM(IF(INDEX(_xlfn._xlws.FILTER(tblPiNAnalysis[[CCCM%]:[WASH%]], tblPiNAnalysis[Population Group]=C$5), 0, MATCH(_xlfn.CONCAT($Q$2, "%"), tblPiNAnalysis[[#Headers],[CCCM%]:[WASH%]], 0))=$A22, 1, 0))=0, "",SUM(IF(INDEX(_xlfn._xlws.FILTER(tblPiNAnalysis[[CCCM%]:[WASH%]], tblPiNAnalysis[Population Group]=C$5), 0, MATCH(_xlfn.CONCAT($Q$2, "%"), tblPiNAnalysis[[#Headers],[CCCM%]:[WASH%]], 0))=$A22, 1, 0)))), "")</f>
        <v/>
      </c>
      <c r="D22" s="93" t="str" cm="1">
        <f t="array" ref="D22">IFERROR(IF(OR($A22="", D$5=""), "", IF(SUM(IF(INDEX(_xlfn._xlws.FILTER(tblPiNAnalysis[[CCCM%]:[WASH%]], tblPiNAnalysis[Population Group]=D$5), 0, MATCH(_xlfn.CONCAT($Q$2, "%"), tblPiNAnalysis[[#Headers],[CCCM%]:[WASH%]], 0))=$A22, 1, 0))=0, "",SUM(IF(INDEX(_xlfn._xlws.FILTER(tblPiNAnalysis[[CCCM%]:[WASH%]], tblPiNAnalysis[Population Group]=D$5), 0, MATCH(_xlfn.CONCAT($Q$2, "%"), tblPiNAnalysis[[#Headers],[CCCM%]:[WASH%]], 0))=$A22, 1, 0)))), "")</f>
        <v/>
      </c>
      <c r="E22" s="93" t="str" cm="1">
        <f t="array" ref="E22">IFERROR(IF(OR($A22="", E$5=""), "", IF(SUM(IF(INDEX(_xlfn._xlws.FILTER(tblPiNAnalysis[[CCCM%]:[WASH%]], tblPiNAnalysis[Population Group]=E$5), 0, MATCH(_xlfn.CONCAT($Q$2, "%"), tblPiNAnalysis[[#Headers],[CCCM%]:[WASH%]], 0))=$A22, 1, 0))=0, "",SUM(IF(INDEX(_xlfn._xlws.FILTER(tblPiNAnalysis[[CCCM%]:[WASH%]], tblPiNAnalysis[Population Group]=E$5), 0, MATCH(_xlfn.CONCAT($Q$2, "%"), tblPiNAnalysis[[#Headers],[CCCM%]:[WASH%]], 0))=$A22, 1, 0)))), "")</f>
        <v/>
      </c>
      <c r="F22" s="93" t="str" cm="1">
        <f t="array" ref="F22">IFERROR(IF(OR($A22="", F$5=""), "", IF(SUM(IF(INDEX(_xlfn._xlws.FILTER(tblPiNAnalysis[[CCCM%]:[WASH%]], tblPiNAnalysis[CCCM]=F$5), 0, MATCH(_xlfn.CONCAT($Q$2, "%"), tblPiNAnalysis[[#Headers],[CCCM%]:[WASH%]], 0))=$A22, 1, 0))=0, "",SUM(IF(INDEX(_xlfn._xlws.FILTER(tblPiNAnalysis[[CCCM%]:[WASH%]], tblPiNAnalysis[CCCM]=F$5), 0, MATCH(_xlfn.CONCAT($Q$2, "%"), tblPiNAnalysis[[#Headers],[CCCM%]:[WASH%]], 0))=$A22, 1, 0)))), "")</f>
        <v/>
      </c>
      <c r="H22" s="95">
        <v>0.6</v>
      </c>
      <c r="I22" s="93" cm="1">
        <f t="array" ref="I22">IF($H22="", "", IF($H22=2, SUM(IF(INDEX(_xlfn._xlws.FILTER(tblPiNHistorical[[CCCM]:[WASH]], tblPiNHistorical[Population Group]=I$5), 0, MATCH($Q$2, tblPiNHistorical[[#Headers],[CCCM]:[WASH]], 0))&gt;1.9, 1, 0)), IF(SUM(IF(INDEX(_xlfn._xlws.FILTER(tblPiNHistorical[[CCCM]:[WASH]], tblPiNHistorical[Population Group]=I$5), 0, MATCH($Q$2, tblPiNHistorical[[#Headers],[CCCM]:[WASH]], 0))=$H22, 1, 0))=0, "", SUM(IF(INDEX(_xlfn._xlws.FILTER(tblPiNHistorical[[CCCM]:[WASH]], tblPiNHistorical[Population Group]=I$5), 0, MATCH($Q$2, tblPiNHistorical[[#Headers],[CCCM]:[WASH]], 0))=$H22, 1, 0)))))</f>
        <v>1</v>
      </c>
      <c r="J22" s="93" t="str" cm="1">
        <f t="array" ref="J22">IFERROR(IF(OR($H22="", J21=""), "", IF($H22=2, SUM(IF(INDEX(_xlfn._xlws.FILTER(tblPiNHistorical[[CCCM]:[WASH]], tblPiNHistorical[Population Group]=J$5), 0, MATCH($Q$2, tblPiNHistorical[[#Headers],[CCCM]:[WASH]], 0))&gt;1.9, 1, 0)), IF(SUM(IF(INDEX(_xlfn._xlws.FILTER(tblPiNHistorical[[CCCM]:[WASH]], tblPiNHistorical[Population Group]=J$5), 0, MATCH($Q$2, tblPiNHistorical[[#Headers],[CCCM]:[WASH]], 0))=$H22, 1, 0))=0, "", SUM(IF(INDEX(_xlfn._xlws.FILTER(tblPiNHistorical[[CCCM]:[WASH]], tblPiNHistorical[Population Group]=J$5), 0, MATCH($Q$2, tblPiNHistorical[[#Headers],[CCCM]:[WASH]], 0))=$H22, 1, 0))))), "")</f>
        <v/>
      </c>
      <c r="K22" s="93" t="str" cm="1">
        <f t="array" ref="K22">IFERROR(IF(OR($H22="", K21=""), "", IF($H22=2, SUM(IF(INDEX(_xlfn._xlws.FILTER(tblPiNHistorical[[CCCM]:[WASH]], tblPiNHistorical[CCCM - old]=K$5), 0, MATCH($Q$2, tblPiNHistorical[[#Headers],[CCCM]:[WASH]], 0))&gt;1.9, 1, 0)), IF(SUM(IF(INDEX(_xlfn._xlws.FILTER(tblPiNHistorical[[CCCM]:[WASH]], tblPiNHistorical[CCCM - old]=K$5), 0, MATCH($Q$2, tblPiNHistorical[[#Headers],[CCCM]:[WASH]], 0))=$H22, 1, 0))=0, "", SUM(IF(INDEX(_xlfn._xlws.FILTER(tblPiNHistorical[[CCCM]:[WASH]], tblPiNHistorical[CCCM - old]=K$5), 0, MATCH($Q$2, tblPiNHistorical[[#Headers],[CCCM]:[WASH]], 0))=$H22, 1, 0))))), "")</f>
        <v/>
      </c>
      <c r="L22" s="93" t="str" cm="1">
        <f t="array" ref="L22">IFERROR(IF(OR($H22="", L21=""), "", IF($H22=2, SUM(IF(INDEX(_xlfn._xlws.FILTER(tblPiNHistorical[[CCCM]:[WASH]],#REF!= L$5), 0, MATCH($Q$2, tblPiNHistorical[[#Headers],[CCCM]:[WASH]], 0))&gt;1.9, 1, 0)), IF(SUM(IF(INDEX(_xlfn._xlws.FILTER(tblPiNHistorical[[CCCM]:[WASH]],#REF!= L$5), 0, MATCH($Q$2, tblPiNHistorical[[#Headers],[CCCM]:[WASH]], 0))=$H22, 1, 0))=0, "", SUM(IF(INDEX(_xlfn._xlws.FILTER(tblPiNHistorical[[CCCM]:[WASH]],#REF!= L$5), 0, MATCH($Q$2, tblPiNHistorical[[#Headers],[CCCM]:[WASH]], 0))=$H22, 1, 0))))), "")</f>
        <v/>
      </c>
      <c r="M22" s="93" t="str" cm="1">
        <f t="array" ref="M22">IFERROR(IF(OR($H22="", M21=""), "", IF($H22=2, SUM(IF(INDEX(_xlfn._xlws.FILTER(tblPiNHistorical[[CCCM]:[WASH]],#REF!= M$5), 0, MATCH($Q$2, tblPiNHistorical[[#Headers],[CCCM]:[WASH]], 0))&gt;1.9, 1, 0)), IF(SUM(IF(INDEX(_xlfn._xlws.FILTER(tblPiNHistorical[[CCCM]:[WASH]],#REF!= M$5), 0, MATCH($Q$2, tblPiNHistorical[[#Headers],[CCCM]:[WASH]], 0))=$H22, 1, 0))=0, "", SUM(IF(INDEX(_xlfn._xlws.FILTER(tblPiNHistorical[[CCCM]:[WASH]],#REF!= M$5), 0, MATCH($Q$2, tblPiNHistorical[[#Headers],[CCCM]:[WASH]], 0))=$H22, 1, 0))))), "")</f>
        <v/>
      </c>
      <c r="Z22" s="172"/>
    </row>
    <row r="23" spans="1:28" x14ac:dyDescent="0.55000000000000004">
      <c r="A23" s="95"/>
      <c r="B23" s="93" t="str" cm="1">
        <f t="array" ref="B23">IF($A23="", "", IF(SUM(IF(INDEX(_xlfn._xlws.FILTER(tblPiNAnalysis[[CCCM%]:[WASH%]], tblPiNAnalysis[Population Group]=B$5), 0, MATCH(_xlfn.CONCAT($Q$2, "%"), tblPiNAnalysis[[#Headers],[CCCM%]:[WASH%]], 0))=$A23, 1, 0))=0, "",SUM(IF(INDEX(_xlfn._xlws.FILTER(tblPiNAnalysis[[CCCM%]:[WASH%]], tblPiNAnalysis[Population Group]=B$5), 0, MATCH(_xlfn.CONCAT($Q$2, "%"), tblPiNAnalysis[[#Headers],[CCCM%]:[WASH%]], 0))=$A23, 1, 0))))</f>
        <v/>
      </c>
      <c r="C23" s="93" t="str" cm="1">
        <f t="array" ref="C23">IFERROR(IF(OR($A23="", C$5=""), "", IF(SUM(IF(INDEX(_xlfn._xlws.FILTER(tblPiNAnalysis[[CCCM%]:[WASH%]], tblPiNAnalysis[Population Group]=C$5), 0, MATCH(_xlfn.CONCAT($Q$2, "%"), tblPiNAnalysis[[#Headers],[CCCM%]:[WASH%]], 0))=$A23, 1, 0))=0, "",SUM(IF(INDEX(_xlfn._xlws.FILTER(tblPiNAnalysis[[CCCM%]:[WASH%]], tblPiNAnalysis[Population Group]=C$5), 0, MATCH(_xlfn.CONCAT($Q$2, "%"), tblPiNAnalysis[[#Headers],[CCCM%]:[WASH%]], 0))=$A23, 1, 0)))), "")</f>
        <v/>
      </c>
      <c r="D23" s="93" t="str" cm="1">
        <f t="array" ref="D23">IFERROR(IF(OR($A23="", D$5=""), "", IF(SUM(IF(INDEX(_xlfn._xlws.FILTER(tblPiNAnalysis[[CCCM%]:[WASH%]], tblPiNAnalysis[Population Group]=D$5), 0, MATCH(_xlfn.CONCAT($Q$2, "%"), tblPiNAnalysis[[#Headers],[CCCM%]:[WASH%]], 0))=$A23, 1, 0))=0, "",SUM(IF(INDEX(_xlfn._xlws.FILTER(tblPiNAnalysis[[CCCM%]:[WASH%]], tblPiNAnalysis[Population Group]=D$5), 0, MATCH(_xlfn.CONCAT($Q$2, "%"), tblPiNAnalysis[[#Headers],[CCCM%]:[WASH%]], 0))=$A23, 1, 0)))), "")</f>
        <v/>
      </c>
      <c r="E23" s="93" t="str" cm="1">
        <f t="array" ref="E23">IFERROR(IF(OR($A23="", E$5=""), "", IF(SUM(IF(INDEX(_xlfn._xlws.FILTER(tblPiNAnalysis[[CCCM%]:[WASH%]], tblPiNAnalysis[Population Group]=E$5), 0, MATCH(_xlfn.CONCAT($Q$2, "%"), tblPiNAnalysis[[#Headers],[CCCM%]:[WASH%]], 0))=$A23, 1, 0))=0, "",SUM(IF(INDEX(_xlfn._xlws.FILTER(tblPiNAnalysis[[CCCM%]:[WASH%]], tblPiNAnalysis[Population Group]=E$5), 0, MATCH(_xlfn.CONCAT($Q$2, "%"), tblPiNAnalysis[[#Headers],[CCCM%]:[WASH%]], 0))=$A23, 1, 0)))), "")</f>
        <v/>
      </c>
      <c r="F23" s="93" t="str" cm="1">
        <f t="array" ref="F23">IFERROR(IF(OR($A23="", F$5=""), "", IF(SUM(IF(INDEX(_xlfn._xlws.FILTER(tblPiNAnalysis[[CCCM%]:[WASH%]], tblPiNAnalysis[CCCM]=F$5), 0, MATCH(_xlfn.CONCAT($Q$2, "%"), tblPiNAnalysis[[#Headers],[CCCM%]:[WASH%]], 0))=$A23, 1, 0))=0, "",SUM(IF(INDEX(_xlfn._xlws.FILTER(tblPiNAnalysis[[CCCM%]:[WASH%]], tblPiNAnalysis[CCCM]=F$5), 0, MATCH(_xlfn.CONCAT($Q$2, "%"), tblPiNAnalysis[[#Headers],[CCCM%]:[WASH%]], 0))=$A23, 1, 0)))), "")</f>
        <v/>
      </c>
      <c r="H23" s="95">
        <v>0.7</v>
      </c>
      <c r="I23" s="93" cm="1">
        <f t="array" ref="I23">IF($H23="", "", IF($H23=2, SUM(IF(INDEX(_xlfn._xlws.FILTER(tblPiNHistorical[[CCCM]:[WASH]], tblPiNHistorical[Population Group]=I$5), 0, MATCH($Q$2, tblPiNHistorical[[#Headers],[CCCM]:[WASH]], 0))&gt;1.9, 1, 0)), IF(SUM(IF(INDEX(_xlfn._xlws.FILTER(tblPiNHistorical[[CCCM]:[WASH]], tblPiNHistorical[Population Group]=I$5), 0, MATCH($Q$2, tblPiNHistorical[[#Headers],[CCCM]:[WASH]], 0))=$H23, 1, 0))=0, "", SUM(IF(INDEX(_xlfn._xlws.FILTER(tblPiNHistorical[[CCCM]:[WASH]], tblPiNHistorical[Population Group]=I$5), 0, MATCH($Q$2, tblPiNHistorical[[#Headers],[CCCM]:[WASH]], 0))=$H23, 1, 0)))))</f>
        <v>3</v>
      </c>
      <c r="J23" s="93" t="str" cm="1">
        <f t="array" ref="J23">IFERROR(IF(OR($H23="", J22=""), "", IF($H23=2, SUM(IF(INDEX(_xlfn._xlws.FILTER(tblPiNHistorical[[CCCM]:[WASH]], tblPiNHistorical[Population Group]=J$5), 0, MATCH($Q$2, tblPiNHistorical[[#Headers],[CCCM]:[WASH]], 0))&gt;1.9, 1, 0)), IF(SUM(IF(INDEX(_xlfn._xlws.FILTER(tblPiNHistorical[[CCCM]:[WASH]], tblPiNHistorical[Population Group]=J$5), 0, MATCH($Q$2, tblPiNHistorical[[#Headers],[CCCM]:[WASH]], 0))=$H23, 1, 0))=0, "", SUM(IF(INDEX(_xlfn._xlws.FILTER(tblPiNHistorical[[CCCM]:[WASH]], tblPiNHistorical[Population Group]=J$5), 0, MATCH($Q$2, tblPiNHistorical[[#Headers],[CCCM]:[WASH]], 0))=$H23, 1, 0))))), "")</f>
        <v/>
      </c>
      <c r="K23" s="93" t="str" cm="1">
        <f t="array" ref="K23">IFERROR(IF(OR($H23="", K22=""), "", IF($H23=2, SUM(IF(INDEX(_xlfn._xlws.FILTER(tblPiNHistorical[[CCCM]:[WASH]], tblPiNHistorical[CCCM - old]=K$5), 0, MATCH($Q$2, tblPiNHistorical[[#Headers],[CCCM]:[WASH]], 0))&gt;1.9, 1, 0)), IF(SUM(IF(INDEX(_xlfn._xlws.FILTER(tblPiNHistorical[[CCCM]:[WASH]], tblPiNHistorical[CCCM - old]=K$5), 0, MATCH($Q$2, tblPiNHistorical[[#Headers],[CCCM]:[WASH]], 0))=$H23, 1, 0))=0, "", SUM(IF(INDEX(_xlfn._xlws.FILTER(tblPiNHistorical[[CCCM]:[WASH]], tblPiNHistorical[CCCM - old]=K$5), 0, MATCH($Q$2, tblPiNHistorical[[#Headers],[CCCM]:[WASH]], 0))=$H23, 1, 0))))), "")</f>
        <v/>
      </c>
      <c r="L23" s="93" t="str" cm="1">
        <f t="array" ref="L23">IFERROR(IF(OR($H23="", L22=""), "", IF($H23=2, SUM(IF(INDEX(_xlfn._xlws.FILTER(tblPiNHistorical[[CCCM]:[WASH]],#REF!= L$5), 0, MATCH($Q$2, tblPiNHistorical[[#Headers],[CCCM]:[WASH]], 0))&gt;1.9, 1, 0)), IF(SUM(IF(INDEX(_xlfn._xlws.FILTER(tblPiNHistorical[[CCCM]:[WASH]],#REF!= L$5), 0, MATCH($Q$2, tblPiNHistorical[[#Headers],[CCCM]:[WASH]], 0))=$H23, 1, 0))=0, "", SUM(IF(INDEX(_xlfn._xlws.FILTER(tblPiNHistorical[[CCCM]:[WASH]],#REF!= L$5), 0, MATCH($Q$2, tblPiNHistorical[[#Headers],[CCCM]:[WASH]], 0))=$H23, 1, 0))))), "")</f>
        <v/>
      </c>
      <c r="M23" s="93" t="str" cm="1">
        <f t="array" ref="M23">IFERROR(IF(OR($H23="", M22=""), "", IF($H23=2, SUM(IF(INDEX(_xlfn._xlws.FILTER(tblPiNHistorical[[CCCM]:[WASH]],#REF!= M$5), 0, MATCH($Q$2, tblPiNHistorical[[#Headers],[CCCM]:[WASH]], 0))&gt;1.9, 1, 0)), IF(SUM(IF(INDEX(_xlfn._xlws.FILTER(tblPiNHistorical[[CCCM]:[WASH]],#REF!= M$5), 0, MATCH($Q$2, tblPiNHistorical[[#Headers],[CCCM]:[WASH]], 0))=$H23, 1, 0))=0, "", SUM(IF(INDEX(_xlfn._xlws.FILTER(tblPiNHistorical[[CCCM]:[WASH]],#REF!= M$5), 0, MATCH($Q$2, tblPiNHistorical[[#Headers],[CCCM]:[WASH]], 0))=$H23, 1, 0))))), "")</f>
        <v/>
      </c>
      <c r="Z23" s="172"/>
    </row>
    <row r="24" spans="1:28" x14ac:dyDescent="0.55000000000000004">
      <c r="A24" s="95"/>
      <c r="B24" s="93" t="str" cm="1">
        <f t="array" ref="B24">IF($A24="", "", IF(SUM(IF(INDEX(_xlfn._xlws.FILTER(tblPiNAnalysis[[CCCM%]:[WASH%]], tblPiNAnalysis[Population Group]=B$5), 0, MATCH(_xlfn.CONCAT($Q$2, "%"), tblPiNAnalysis[[#Headers],[CCCM%]:[WASH%]], 0))=$A24, 1, 0))=0, "",SUM(IF(INDEX(_xlfn._xlws.FILTER(tblPiNAnalysis[[CCCM%]:[WASH%]], tblPiNAnalysis[Population Group]=B$5), 0, MATCH(_xlfn.CONCAT($Q$2, "%"), tblPiNAnalysis[[#Headers],[CCCM%]:[WASH%]], 0))=$A24, 1, 0))))</f>
        <v/>
      </c>
      <c r="C24" s="93" t="str" cm="1">
        <f t="array" ref="C24">IFERROR(IF(OR($A24="", C$5=""), "", IF(SUM(IF(INDEX(_xlfn._xlws.FILTER(tblPiNAnalysis[[CCCM%]:[WASH%]], tblPiNAnalysis[Population Group]=C$5), 0, MATCH(_xlfn.CONCAT($Q$2, "%"), tblPiNAnalysis[[#Headers],[CCCM%]:[WASH%]], 0))=$A24, 1, 0))=0, "",SUM(IF(INDEX(_xlfn._xlws.FILTER(tblPiNAnalysis[[CCCM%]:[WASH%]], tblPiNAnalysis[Population Group]=C$5), 0, MATCH(_xlfn.CONCAT($Q$2, "%"), tblPiNAnalysis[[#Headers],[CCCM%]:[WASH%]], 0))=$A24, 1, 0)))), "")</f>
        <v/>
      </c>
      <c r="D24" s="93" t="str" cm="1">
        <f t="array" ref="D24">IFERROR(IF(OR($A24="", D$5=""), "", IF(SUM(IF(INDEX(_xlfn._xlws.FILTER(tblPiNAnalysis[[CCCM%]:[WASH%]], tblPiNAnalysis[Population Group]=D$5), 0, MATCH(_xlfn.CONCAT($Q$2, "%"), tblPiNAnalysis[[#Headers],[CCCM%]:[WASH%]], 0))=$A24, 1, 0))=0, "",SUM(IF(INDEX(_xlfn._xlws.FILTER(tblPiNAnalysis[[CCCM%]:[WASH%]], tblPiNAnalysis[Population Group]=D$5), 0, MATCH(_xlfn.CONCAT($Q$2, "%"), tblPiNAnalysis[[#Headers],[CCCM%]:[WASH%]], 0))=$A24, 1, 0)))), "")</f>
        <v/>
      </c>
      <c r="E24" s="93" t="str" cm="1">
        <f t="array" ref="E24">IFERROR(IF(OR($A24="", E$5=""), "", IF(SUM(IF(INDEX(_xlfn._xlws.FILTER(tblPiNAnalysis[[CCCM%]:[WASH%]], tblPiNAnalysis[Population Group]=E$5), 0, MATCH(_xlfn.CONCAT($Q$2, "%"), tblPiNAnalysis[[#Headers],[CCCM%]:[WASH%]], 0))=$A24, 1, 0))=0, "",SUM(IF(INDEX(_xlfn._xlws.FILTER(tblPiNAnalysis[[CCCM%]:[WASH%]], tblPiNAnalysis[Population Group]=E$5), 0, MATCH(_xlfn.CONCAT($Q$2, "%"), tblPiNAnalysis[[#Headers],[CCCM%]:[WASH%]], 0))=$A24, 1, 0)))), "")</f>
        <v/>
      </c>
      <c r="F24" s="93" t="str" cm="1">
        <f t="array" ref="F24">IFERROR(IF(OR($A24="", F$5=""), "", IF(SUM(IF(INDEX(_xlfn._xlws.FILTER(tblPiNAnalysis[[CCCM%]:[WASH%]], tblPiNAnalysis[CCCM]=F$5), 0, MATCH(_xlfn.CONCAT($Q$2, "%"), tblPiNAnalysis[[#Headers],[CCCM%]:[WASH%]], 0))=$A24, 1, 0))=0, "",SUM(IF(INDEX(_xlfn._xlws.FILTER(tblPiNAnalysis[[CCCM%]:[WASH%]], tblPiNAnalysis[CCCM]=F$5), 0, MATCH(_xlfn.CONCAT($Q$2, "%"), tblPiNAnalysis[[#Headers],[CCCM%]:[WASH%]], 0))=$A24, 1, 0)))), "")</f>
        <v/>
      </c>
      <c r="H24" s="95">
        <v>0.8</v>
      </c>
      <c r="I24" s="93" t="str" cm="1">
        <f t="array" ref="I24">IF($H24="", "", IF($H24=2, SUM(IF(INDEX(_xlfn._xlws.FILTER(tblPiNHistorical[[CCCM]:[WASH]], tblPiNHistorical[Population Group]=I$5), 0, MATCH($Q$2, tblPiNHistorical[[#Headers],[CCCM]:[WASH]], 0))&gt;1.9, 1, 0)), IF(SUM(IF(INDEX(_xlfn._xlws.FILTER(tblPiNHistorical[[CCCM]:[WASH]], tblPiNHistorical[Population Group]=I$5), 0, MATCH($Q$2, tblPiNHistorical[[#Headers],[CCCM]:[WASH]], 0))=$H24, 1, 0))=0, "", SUM(IF(INDEX(_xlfn._xlws.FILTER(tblPiNHistorical[[CCCM]:[WASH]], tblPiNHistorical[Population Group]=I$5), 0, MATCH($Q$2, tblPiNHistorical[[#Headers],[CCCM]:[WASH]], 0))=$H24, 1, 0)))))</f>
        <v/>
      </c>
      <c r="J24" s="93" t="str" cm="1">
        <f t="array" ref="J24">IFERROR(IF(OR($H24="", J23=""), "", IF($H24=2, SUM(IF(INDEX(_xlfn._xlws.FILTER(tblPiNHistorical[[CCCM]:[WASH]], tblPiNHistorical[Population Group]=J$5), 0, MATCH($Q$2, tblPiNHistorical[[#Headers],[CCCM]:[WASH]], 0))&gt;1.9, 1, 0)), IF(SUM(IF(INDEX(_xlfn._xlws.FILTER(tblPiNHistorical[[CCCM]:[WASH]], tblPiNHistorical[Population Group]=J$5), 0, MATCH($Q$2, tblPiNHistorical[[#Headers],[CCCM]:[WASH]], 0))=$H24, 1, 0))=0, "", SUM(IF(INDEX(_xlfn._xlws.FILTER(tblPiNHistorical[[CCCM]:[WASH]], tblPiNHistorical[Population Group]=J$5), 0, MATCH($Q$2, tblPiNHistorical[[#Headers],[CCCM]:[WASH]], 0))=$H24, 1, 0))))), "")</f>
        <v/>
      </c>
      <c r="K24" s="93" t="str" cm="1">
        <f t="array" ref="K24">IFERROR(IF(OR($H24="", K23=""), "", IF($H24=2, SUM(IF(INDEX(_xlfn._xlws.FILTER(tblPiNHistorical[[CCCM]:[WASH]], tblPiNHistorical[CCCM - old]=K$5), 0, MATCH($Q$2, tblPiNHistorical[[#Headers],[CCCM]:[WASH]], 0))&gt;1.9, 1, 0)), IF(SUM(IF(INDEX(_xlfn._xlws.FILTER(tblPiNHistorical[[CCCM]:[WASH]], tblPiNHistorical[CCCM - old]=K$5), 0, MATCH($Q$2, tblPiNHistorical[[#Headers],[CCCM]:[WASH]], 0))=$H24, 1, 0))=0, "", SUM(IF(INDEX(_xlfn._xlws.FILTER(tblPiNHistorical[[CCCM]:[WASH]], tblPiNHistorical[CCCM - old]=K$5), 0, MATCH($Q$2, tblPiNHistorical[[#Headers],[CCCM]:[WASH]], 0))=$H24, 1, 0))))), "")</f>
        <v/>
      </c>
      <c r="L24" s="93" t="str" cm="1">
        <f t="array" ref="L24">IFERROR(IF(OR($H24="", L23=""), "", IF($H24=2, SUM(IF(INDEX(_xlfn._xlws.FILTER(tblPiNHistorical[[CCCM]:[WASH]],#REF!= L$5), 0, MATCH($Q$2, tblPiNHistorical[[#Headers],[CCCM]:[WASH]], 0))&gt;1.9, 1, 0)), IF(SUM(IF(INDEX(_xlfn._xlws.FILTER(tblPiNHistorical[[CCCM]:[WASH]],#REF!= L$5), 0, MATCH($Q$2, tblPiNHistorical[[#Headers],[CCCM]:[WASH]], 0))=$H24, 1, 0))=0, "", SUM(IF(INDEX(_xlfn._xlws.FILTER(tblPiNHistorical[[CCCM]:[WASH]],#REF!= L$5), 0, MATCH($Q$2, tblPiNHistorical[[#Headers],[CCCM]:[WASH]], 0))=$H24, 1, 0))))), "")</f>
        <v/>
      </c>
      <c r="M24" s="93" t="str" cm="1">
        <f t="array" ref="M24">IFERROR(IF(OR($H24="", M23=""), "", IF($H24=2, SUM(IF(INDEX(_xlfn._xlws.FILTER(tblPiNHistorical[[CCCM]:[WASH]],#REF!= M$5), 0, MATCH($Q$2, tblPiNHistorical[[#Headers],[CCCM]:[WASH]], 0))&gt;1.9, 1, 0)), IF(SUM(IF(INDEX(_xlfn._xlws.FILTER(tblPiNHistorical[[CCCM]:[WASH]],#REF!= M$5), 0, MATCH($Q$2, tblPiNHistorical[[#Headers],[CCCM]:[WASH]], 0))=$H24, 1, 0))=0, "", SUM(IF(INDEX(_xlfn._xlws.FILTER(tblPiNHistorical[[CCCM]:[WASH]],#REF!= M$5), 0, MATCH($Q$2, tblPiNHistorical[[#Headers],[CCCM]:[WASH]], 0))=$H24, 1, 0))))), "")</f>
        <v/>
      </c>
      <c r="Z24" s="172"/>
    </row>
    <row r="25" spans="1:28" x14ac:dyDescent="0.55000000000000004">
      <c r="A25" s="95"/>
      <c r="B25" s="93" t="str" cm="1">
        <f t="array" ref="B25">IF($A25="", "", IF(SUM(IF(INDEX(_xlfn._xlws.FILTER(tblPiNAnalysis[[CCCM%]:[WASH%]], tblPiNAnalysis[Population Group]=B$5), 0, MATCH(_xlfn.CONCAT($Q$2, "%"), tblPiNAnalysis[[#Headers],[CCCM%]:[WASH%]], 0))=$A25, 1, 0))=0, "",SUM(IF(INDEX(_xlfn._xlws.FILTER(tblPiNAnalysis[[CCCM%]:[WASH%]], tblPiNAnalysis[Population Group]=B$5), 0, MATCH(_xlfn.CONCAT($Q$2, "%"), tblPiNAnalysis[[#Headers],[CCCM%]:[WASH%]], 0))=$A25, 1, 0))))</f>
        <v/>
      </c>
      <c r="C25" s="93" t="str" cm="1">
        <f t="array" ref="C25">IFERROR(IF(OR($A25="", C$5=""), "", IF(SUM(IF(INDEX(_xlfn._xlws.FILTER(tblPiNAnalysis[[CCCM%]:[WASH%]], tblPiNAnalysis[Population Group]=C$5), 0, MATCH(_xlfn.CONCAT($Q$2, "%"), tblPiNAnalysis[[#Headers],[CCCM%]:[WASH%]], 0))=$A25, 1, 0))=0, "",SUM(IF(INDEX(_xlfn._xlws.FILTER(tblPiNAnalysis[[CCCM%]:[WASH%]], tblPiNAnalysis[Population Group]=C$5), 0, MATCH(_xlfn.CONCAT($Q$2, "%"), tblPiNAnalysis[[#Headers],[CCCM%]:[WASH%]], 0))=$A25, 1, 0)))), "")</f>
        <v/>
      </c>
      <c r="D25" s="93" t="str" cm="1">
        <f t="array" ref="D25">IFERROR(IF(OR($A25="", D$5=""), "", IF(SUM(IF(INDEX(_xlfn._xlws.FILTER(tblPiNAnalysis[[CCCM%]:[WASH%]], tblPiNAnalysis[Population Group]=D$5), 0, MATCH(_xlfn.CONCAT($Q$2, "%"), tblPiNAnalysis[[#Headers],[CCCM%]:[WASH%]], 0))=$A25, 1, 0))=0, "",SUM(IF(INDEX(_xlfn._xlws.FILTER(tblPiNAnalysis[[CCCM%]:[WASH%]], tblPiNAnalysis[Population Group]=D$5), 0, MATCH(_xlfn.CONCAT($Q$2, "%"), tblPiNAnalysis[[#Headers],[CCCM%]:[WASH%]], 0))=$A25, 1, 0)))), "")</f>
        <v/>
      </c>
      <c r="E25" s="93" t="str" cm="1">
        <f t="array" ref="E25">IFERROR(IF(OR($A25="", E$5=""), "", IF(SUM(IF(INDEX(_xlfn._xlws.FILTER(tblPiNAnalysis[[CCCM%]:[WASH%]], tblPiNAnalysis[Population Group]=E$5), 0, MATCH(_xlfn.CONCAT($Q$2, "%"), tblPiNAnalysis[[#Headers],[CCCM%]:[WASH%]], 0))=$A25, 1, 0))=0, "",SUM(IF(INDEX(_xlfn._xlws.FILTER(tblPiNAnalysis[[CCCM%]:[WASH%]], tblPiNAnalysis[Population Group]=E$5), 0, MATCH(_xlfn.CONCAT($Q$2, "%"), tblPiNAnalysis[[#Headers],[CCCM%]:[WASH%]], 0))=$A25, 1, 0)))), "")</f>
        <v/>
      </c>
      <c r="F25" s="93" t="str" cm="1">
        <f t="array" ref="F25">IFERROR(IF(OR($A25="", F$5=""), "", IF(SUM(IF(INDEX(_xlfn._xlws.FILTER(tblPiNAnalysis[[CCCM%]:[WASH%]], tblPiNAnalysis[CCCM]=F$5), 0, MATCH(_xlfn.CONCAT($Q$2, "%"), tblPiNAnalysis[[#Headers],[CCCM%]:[WASH%]], 0))=$A25, 1, 0))=0, "",SUM(IF(INDEX(_xlfn._xlws.FILTER(tblPiNAnalysis[[CCCM%]:[WASH%]], tblPiNAnalysis[CCCM]=F$5), 0, MATCH(_xlfn.CONCAT($Q$2, "%"), tblPiNAnalysis[[#Headers],[CCCM%]:[WASH%]], 0))=$A25, 1, 0)))), "")</f>
        <v/>
      </c>
      <c r="H25" s="95">
        <v>0.9</v>
      </c>
      <c r="I25" s="93" t="str" cm="1">
        <f t="array" ref="I25">IF($H25="", "", IF($H25=2, SUM(IF(INDEX(_xlfn._xlws.FILTER(tblPiNHistorical[[CCCM]:[WASH]], tblPiNHistorical[Population Group]=I$5), 0, MATCH($Q$2, tblPiNHistorical[[#Headers],[CCCM]:[WASH]], 0))&gt;1.9, 1, 0)), IF(SUM(IF(INDEX(_xlfn._xlws.FILTER(tblPiNHistorical[[CCCM]:[WASH]], tblPiNHistorical[Population Group]=I$5), 0, MATCH($Q$2, tblPiNHistorical[[#Headers],[CCCM]:[WASH]], 0))=$H25, 1, 0))=0, "", SUM(IF(INDEX(_xlfn._xlws.FILTER(tblPiNHistorical[[CCCM]:[WASH]], tblPiNHistorical[Population Group]=I$5), 0, MATCH($Q$2, tblPiNHistorical[[#Headers],[CCCM]:[WASH]], 0))=$H25, 1, 0)))))</f>
        <v/>
      </c>
      <c r="J25" s="93" t="str" cm="1">
        <f t="array" ref="J25">IFERROR(IF(OR($H25="", J24=""), "", IF($H25=2, SUM(IF(INDEX(_xlfn._xlws.FILTER(tblPiNHistorical[[CCCM]:[WASH]], tblPiNHistorical[Population Group]=J$5), 0, MATCH($Q$2, tblPiNHistorical[[#Headers],[CCCM]:[WASH]], 0))&gt;1.9, 1, 0)), IF(SUM(IF(INDEX(_xlfn._xlws.FILTER(tblPiNHistorical[[CCCM]:[WASH]], tblPiNHistorical[Population Group]=J$5), 0, MATCH($Q$2, tblPiNHistorical[[#Headers],[CCCM]:[WASH]], 0))=$H25, 1, 0))=0, "", SUM(IF(INDEX(_xlfn._xlws.FILTER(tblPiNHistorical[[CCCM]:[WASH]], tblPiNHistorical[Population Group]=J$5), 0, MATCH($Q$2, tblPiNHistorical[[#Headers],[CCCM]:[WASH]], 0))=$H25, 1, 0))))), "")</f>
        <v/>
      </c>
      <c r="K25" s="93" t="str" cm="1">
        <f t="array" ref="K25">IFERROR(IF(OR($H25="", K24=""), "", IF($H25=2, SUM(IF(INDEX(_xlfn._xlws.FILTER(tblPiNHistorical[[CCCM]:[WASH]], tblPiNHistorical[CCCM - old]=K$5), 0, MATCH($Q$2, tblPiNHistorical[[#Headers],[CCCM]:[WASH]], 0))&gt;1.9, 1, 0)), IF(SUM(IF(INDEX(_xlfn._xlws.FILTER(tblPiNHistorical[[CCCM]:[WASH]], tblPiNHistorical[CCCM - old]=K$5), 0, MATCH($Q$2, tblPiNHistorical[[#Headers],[CCCM]:[WASH]], 0))=$H25, 1, 0))=0, "", SUM(IF(INDEX(_xlfn._xlws.FILTER(tblPiNHistorical[[CCCM]:[WASH]], tblPiNHistorical[CCCM - old]=K$5), 0, MATCH($Q$2, tblPiNHistorical[[#Headers],[CCCM]:[WASH]], 0))=$H25, 1, 0))))), "")</f>
        <v/>
      </c>
      <c r="L25" s="93" t="str" cm="1">
        <f t="array" ref="L25">IFERROR(IF(OR($H25="", L24=""), "", IF($H25=2, SUM(IF(INDEX(_xlfn._xlws.FILTER(tblPiNHistorical[[CCCM]:[WASH]],#REF!= L$5), 0, MATCH($Q$2, tblPiNHistorical[[#Headers],[CCCM]:[WASH]], 0))&gt;1.9, 1, 0)), IF(SUM(IF(INDEX(_xlfn._xlws.FILTER(tblPiNHistorical[[CCCM]:[WASH]],#REF!= L$5), 0, MATCH($Q$2, tblPiNHistorical[[#Headers],[CCCM]:[WASH]], 0))=$H25, 1, 0))=0, "", SUM(IF(INDEX(_xlfn._xlws.FILTER(tblPiNHistorical[[CCCM]:[WASH]],#REF!= L$5), 0, MATCH($Q$2, tblPiNHistorical[[#Headers],[CCCM]:[WASH]], 0))=$H25, 1, 0))))), "")</f>
        <v/>
      </c>
      <c r="M25" s="93" t="str" cm="1">
        <f t="array" ref="M25">IFERROR(IF(OR($H25="", M24=""), "", IF($H25=2, SUM(IF(INDEX(_xlfn._xlws.FILTER(tblPiNHistorical[[CCCM]:[WASH]],#REF!= M$5), 0, MATCH($Q$2, tblPiNHistorical[[#Headers],[CCCM]:[WASH]], 0))&gt;1.9, 1, 0)), IF(SUM(IF(INDEX(_xlfn._xlws.FILTER(tblPiNHistorical[[CCCM]:[WASH]],#REF!= M$5), 0, MATCH($Q$2, tblPiNHistorical[[#Headers],[CCCM]:[WASH]], 0))=$H25, 1, 0))=0, "", SUM(IF(INDEX(_xlfn._xlws.FILTER(tblPiNHistorical[[CCCM]:[WASH]],#REF!= M$5), 0, MATCH($Q$2, tblPiNHistorical[[#Headers],[CCCM]:[WASH]], 0))=$H25, 1, 0))))), "")</f>
        <v/>
      </c>
      <c r="Z25" s="172"/>
    </row>
    <row r="26" spans="1:28" x14ac:dyDescent="0.55000000000000004">
      <c r="A26" s="95"/>
      <c r="B26" s="93" t="str" cm="1">
        <f t="array" ref="B26">IF($A26="", "", IF(SUM(IF(INDEX(_xlfn._xlws.FILTER(tblPiNAnalysis[[CCCM%]:[WASH%]], tblPiNAnalysis[Population Group]=B$5), 0, MATCH(_xlfn.CONCAT($Q$2, "%"), tblPiNAnalysis[[#Headers],[CCCM%]:[WASH%]], 0))=$A26, 1, 0))=0, "",SUM(IF(INDEX(_xlfn._xlws.FILTER(tblPiNAnalysis[[CCCM%]:[WASH%]], tblPiNAnalysis[Population Group]=B$5), 0, MATCH(_xlfn.CONCAT($Q$2, "%"), tblPiNAnalysis[[#Headers],[CCCM%]:[WASH%]], 0))=$A26, 1, 0))))</f>
        <v/>
      </c>
      <c r="C26" s="93" t="str" cm="1">
        <f t="array" ref="C26">IFERROR(IF(OR($A26="", C$5=""), "", IF(SUM(IF(INDEX(_xlfn._xlws.FILTER(tblPiNAnalysis[[CCCM%]:[WASH%]], tblPiNAnalysis[Population Group]=C$5), 0, MATCH(_xlfn.CONCAT($Q$2, "%"), tblPiNAnalysis[[#Headers],[CCCM%]:[WASH%]], 0))=$A26, 1, 0))=0, "",SUM(IF(INDEX(_xlfn._xlws.FILTER(tblPiNAnalysis[[CCCM%]:[WASH%]], tblPiNAnalysis[Population Group]=C$5), 0, MATCH(_xlfn.CONCAT($Q$2, "%"), tblPiNAnalysis[[#Headers],[CCCM%]:[WASH%]], 0))=$A26, 1, 0)))), "")</f>
        <v/>
      </c>
      <c r="D26" s="93" t="str" cm="1">
        <f t="array" ref="D26">IFERROR(IF(OR($A26="", D$5=""), "", IF(SUM(IF(INDEX(_xlfn._xlws.FILTER(tblPiNAnalysis[[CCCM%]:[WASH%]], tblPiNAnalysis[Population Group]=D$5), 0, MATCH(_xlfn.CONCAT($Q$2, "%"), tblPiNAnalysis[[#Headers],[CCCM%]:[WASH%]], 0))=$A26, 1, 0))=0, "",SUM(IF(INDEX(_xlfn._xlws.FILTER(tblPiNAnalysis[[CCCM%]:[WASH%]], tblPiNAnalysis[Population Group]=D$5), 0, MATCH(_xlfn.CONCAT($Q$2, "%"), tblPiNAnalysis[[#Headers],[CCCM%]:[WASH%]], 0))=$A26, 1, 0)))), "")</f>
        <v/>
      </c>
      <c r="E26" s="93" t="str" cm="1">
        <f t="array" ref="E26">IFERROR(IF(OR($A26="", E$5=""), "", IF(SUM(IF(INDEX(_xlfn._xlws.FILTER(tblPiNAnalysis[[CCCM%]:[WASH%]], tblPiNAnalysis[Population Group]=E$5), 0, MATCH(_xlfn.CONCAT($Q$2, "%"), tblPiNAnalysis[[#Headers],[CCCM%]:[WASH%]], 0))=$A26, 1, 0))=0, "",SUM(IF(INDEX(_xlfn._xlws.FILTER(tblPiNAnalysis[[CCCM%]:[WASH%]], tblPiNAnalysis[Population Group]=E$5), 0, MATCH(_xlfn.CONCAT($Q$2, "%"), tblPiNAnalysis[[#Headers],[CCCM%]:[WASH%]], 0))=$A26, 1, 0)))), "")</f>
        <v/>
      </c>
      <c r="F26" s="93" t="str" cm="1">
        <f t="array" ref="F26">IFERROR(IF(OR($A26="", F$5=""), "", IF(SUM(IF(INDEX(_xlfn._xlws.FILTER(tblPiNAnalysis[[CCCM%]:[WASH%]], tblPiNAnalysis[CCCM]=F$5), 0, MATCH(_xlfn.CONCAT($Q$2, "%"), tblPiNAnalysis[[#Headers],[CCCM%]:[WASH%]], 0))=$A26, 1, 0))=0, "",SUM(IF(INDEX(_xlfn._xlws.FILTER(tblPiNAnalysis[[CCCM%]:[WASH%]], tblPiNAnalysis[CCCM]=F$5), 0, MATCH(_xlfn.CONCAT($Q$2, "%"), tblPiNAnalysis[[#Headers],[CCCM%]:[WASH%]], 0))=$A26, 1, 0)))), "")</f>
        <v/>
      </c>
      <c r="H26" s="95">
        <v>1</v>
      </c>
      <c r="I26" s="93" t="str" cm="1">
        <f t="array" ref="I26">IF($H26="", "", IF($H26=2, SUM(IF(INDEX(_xlfn._xlws.FILTER(tblPiNHistorical[[CCCM]:[WASH]], tblPiNHistorical[Population Group]=I$5), 0, MATCH($Q$2, tblPiNHistorical[[#Headers],[CCCM]:[WASH]], 0))&gt;1.9, 1, 0)), IF(SUM(IF(INDEX(_xlfn._xlws.FILTER(tblPiNHistorical[[CCCM]:[WASH]], tblPiNHistorical[Population Group]=I$5), 0, MATCH($Q$2, tblPiNHistorical[[#Headers],[CCCM]:[WASH]], 0))=$H26, 1, 0))=0, "", SUM(IF(INDEX(_xlfn._xlws.FILTER(tblPiNHistorical[[CCCM]:[WASH]], tblPiNHistorical[Population Group]=I$5), 0, MATCH($Q$2, tblPiNHistorical[[#Headers],[CCCM]:[WASH]], 0))=$H26, 1, 0)))))</f>
        <v/>
      </c>
      <c r="J26" s="93" t="str" cm="1">
        <f t="array" ref="J26">IFERROR(IF(OR($H26="", J25=""), "", IF($H26=2, SUM(IF(INDEX(_xlfn._xlws.FILTER(tblPiNHistorical[[CCCM]:[WASH]], tblPiNHistorical[Population Group]=J$5), 0, MATCH($Q$2, tblPiNHistorical[[#Headers],[CCCM]:[WASH]], 0))&gt;1.9, 1, 0)), IF(SUM(IF(INDEX(_xlfn._xlws.FILTER(tblPiNHistorical[[CCCM]:[WASH]], tblPiNHistorical[Population Group]=J$5), 0, MATCH($Q$2, tblPiNHistorical[[#Headers],[CCCM]:[WASH]], 0))=$H26, 1, 0))=0, "", SUM(IF(INDEX(_xlfn._xlws.FILTER(tblPiNHistorical[[CCCM]:[WASH]], tblPiNHistorical[Population Group]=J$5), 0, MATCH($Q$2, tblPiNHistorical[[#Headers],[CCCM]:[WASH]], 0))=$H26, 1, 0))))), "")</f>
        <v/>
      </c>
      <c r="K26" s="93" t="str" cm="1">
        <f t="array" ref="K26">IFERROR(IF(OR($H26="", K25=""), "", IF($H26=2, SUM(IF(INDEX(_xlfn._xlws.FILTER(tblPiNHistorical[[CCCM]:[WASH]], tblPiNHistorical[CCCM - old]=K$5), 0, MATCH($Q$2, tblPiNHistorical[[#Headers],[CCCM]:[WASH]], 0))&gt;1.9, 1, 0)), IF(SUM(IF(INDEX(_xlfn._xlws.FILTER(tblPiNHistorical[[CCCM]:[WASH]], tblPiNHistorical[CCCM - old]=K$5), 0, MATCH($Q$2, tblPiNHistorical[[#Headers],[CCCM]:[WASH]], 0))=$H26, 1, 0))=0, "", SUM(IF(INDEX(_xlfn._xlws.FILTER(tblPiNHistorical[[CCCM]:[WASH]], tblPiNHistorical[CCCM - old]=K$5), 0, MATCH($Q$2, tblPiNHistorical[[#Headers],[CCCM]:[WASH]], 0))=$H26, 1, 0))))), "")</f>
        <v/>
      </c>
      <c r="L26" s="93" t="str" cm="1">
        <f t="array" ref="L26">IFERROR(IF(OR($H26="", L25=""), "", IF($H26=2, SUM(IF(INDEX(_xlfn._xlws.FILTER(tblPiNHistorical[[CCCM]:[WASH]],#REF!= L$5), 0, MATCH($Q$2, tblPiNHistorical[[#Headers],[CCCM]:[WASH]], 0))&gt;1.9, 1, 0)), IF(SUM(IF(INDEX(_xlfn._xlws.FILTER(tblPiNHistorical[[CCCM]:[WASH]],#REF!= L$5), 0, MATCH($Q$2, tblPiNHistorical[[#Headers],[CCCM]:[WASH]], 0))=$H26, 1, 0))=0, "", SUM(IF(INDEX(_xlfn._xlws.FILTER(tblPiNHistorical[[CCCM]:[WASH]],#REF!= L$5), 0, MATCH($Q$2, tblPiNHistorical[[#Headers],[CCCM]:[WASH]], 0))=$H26, 1, 0))))), "")</f>
        <v/>
      </c>
      <c r="M26" s="93" t="str" cm="1">
        <f t="array" ref="M26">IFERROR(IF(OR($H26="", M25=""), "", IF($H26=2, SUM(IF(INDEX(_xlfn._xlws.FILTER(tblPiNHistorical[[CCCM]:[WASH]],#REF!= M$5), 0, MATCH($Q$2, tblPiNHistorical[[#Headers],[CCCM]:[WASH]], 0))&gt;1.9, 1, 0)), IF(SUM(IF(INDEX(_xlfn._xlws.FILTER(tblPiNHistorical[[CCCM]:[WASH]],#REF!= M$5), 0, MATCH($Q$2, tblPiNHistorical[[#Headers],[CCCM]:[WASH]], 0))=$H26, 1, 0))=0, "", SUM(IF(INDEX(_xlfn._xlws.FILTER(tblPiNHistorical[[CCCM]:[WASH]],#REF!= M$5), 0, MATCH($Q$2, tblPiNHistorical[[#Headers],[CCCM]:[WASH]], 0))=$H26, 1, 0))))), "")</f>
        <v/>
      </c>
      <c r="Z26" s="172"/>
    </row>
    <row r="27" spans="1:28" x14ac:dyDescent="0.55000000000000004">
      <c r="A27" s="95"/>
      <c r="B27" s="93" t="str" cm="1">
        <f t="array" ref="B27">IF($A27="", "", IF(SUM(IF(INDEX(_xlfn._xlws.FILTER(tblPiNAnalysis[[CCCM%]:[WASH%]], tblPiNAnalysis[Population Group]=B$5), 0, MATCH(_xlfn.CONCAT($Q$2, "%"), tblPiNAnalysis[[#Headers],[CCCM%]:[WASH%]], 0))=$A27, 1, 0))=0, "",SUM(IF(INDEX(_xlfn._xlws.FILTER(tblPiNAnalysis[[CCCM%]:[WASH%]], tblPiNAnalysis[Population Group]=B$5), 0, MATCH(_xlfn.CONCAT($Q$2, "%"), tblPiNAnalysis[[#Headers],[CCCM%]:[WASH%]], 0))=$A27, 1, 0))))</f>
        <v/>
      </c>
      <c r="C27" s="93" t="str" cm="1">
        <f t="array" ref="C27">IFERROR(IF(OR($A27="", C$5=""), "", IF(SUM(IF(INDEX(_xlfn._xlws.FILTER(tblPiNAnalysis[[CCCM%]:[WASH%]], tblPiNAnalysis[Population Group]=C$5), 0, MATCH(_xlfn.CONCAT($Q$2, "%"), tblPiNAnalysis[[#Headers],[CCCM%]:[WASH%]], 0))=$A27, 1, 0))=0, "",SUM(IF(INDEX(_xlfn._xlws.FILTER(tblPiNAnalysis[[CCCM%]:[WASH%]], tblPiNAnalysis[Population Group]=C$5), 0, MATCH(_xlfn.CONCAT($Q$2, "%"), tblPiNAnalysis[[#Headers],[CCCM%]:[WASH%]], 0))=$A27, 1, 0)))), "")</f>
        <v/>
      </c>
      <c r="D27" s="93" t="str" cm="1">
        <f t="array" ref="D27">IFERROR(IF(OR($A27="", D$5=""), "", IF(SUM(IF(INDEX(_xlfn._xlws.FILTER(tblPiNAnalysis[[CCCM%]:[WASH%]], tblPiNAnalysis[Population Group]=D$5), 0, MATCH(_xlfn.CONCAT($Q$2, "%"), tblPiNAnalysis[[#Headers],[CCCM%]:[WASH%]], 0))=$A27, 1, 0))=0, "",SUM(IF(INDEX(_xlfn._xlws.FILTER(tblPiNAnalysis[[CCCM%]:[WASH%]], tblPiNAnalysis[Population Group]=D$5), 0, MATCH(_xlfn.CONCAT($Q$2, "%"), tblPiNAnalysis[[#Headers],[CCCM%]:[WASH%]], 0))=$A27, 1, 0)))), "")</f>
        <v/>
      </c>
      <c r="E27" s="93" t="str" cm="1">
        <f t="array" ref="E27">IFERROR(IF(OR($A27="", E$5=""), "", IF(SUM(IF(INDEX(_xlfn._xlws.FILTER(tblPiNAnalysis[[CCCM%]:[WASH%]], tblPiNAnalysis[Population Group]=E$5), 0, MATCH(_xlfn.CONCAT($Q$2, "%"), tblPiNAnalysis[[#Headers],[CCCM%]:[WASH%]], 0))=$A27, 1, 0))=0, "",SUM(IF(INDEX(_xlfn._xlws.FILTER(tblPiNAnalysis[[CCCM%]:[WASH%]], tblPiNAnalysis[Population Group]=E$5), 0, MATCH(_xlfn.CONCAT($Q$2, "%"), tblPiNAnalysis[[#Headers],[CCCM%]:[WASH%]], 0))=$A27, 1, 0)))), "")</f>
        <v/>
      </c>
      <c r="F27" s="93" t="str" cm="1">
        <f t="array" ref="F27">IFERROR(IF(OR($A27="", F$5=""), "", IF(SUM(IF(INDEX(_xlfn._xlws.FILTER(tblPiNAnalysis[[CCCM%]:[WASH%]], tblPiNAnalysis[CCCM]=F$5), 0, MATCH(_xlfn.CONCAT($Q$2, "%"), tblPiNAnalysis[[#Headers],[CCCM%]:[WASH%]], 0))=$A27, 1, 0))=0, "",SUM(IF(INDEX(_xlfn._xlws.FILTER(tblPiNAnalysis[[CCCM%]:[WASH%]], tblPiNAnalysis[CCCM]=F$5), 0, MATCH(_xlfn.CONCAT($Q$2, "%"), tblPiNAnalysis[[#Headers],[CCCM%]:[WASH%]], 0))=$A27, 1, 0)))), "")</f>
        <v/>
      </c>
      <c r="H27" s="95">
        <v>1.1000000000000001</v>
      </c>
      <c r="I27" s="93" cm="1">
        <f t="array" ref="I27">IF($H27="", "", IF($H27=2, SUM(IF(INDEX(_xlfn._xlws.FILTER(tblPiNHistorical[[CCCM]:[WASH]], tblPiNHistorical[Population Group]=I$5), 0, MATCH($Q$2, tblPiNHistorical[[#Headers],[CCCM]:[WASH]], 0))&gt;1.9, 1, 0)), IF(SUM(IF(INDEX(_xlfn._xlws.FILTER(tblPiNHistorical[[CCCM]:[WASH]], tblPiNHistorical[Population Group]=I$5), 0, MATCH($Q$2, tblPiNHistorical[[#Headers],[CCCM]:[WASH]], 0))=$H27, 1, 0))=0, "", SUM(IF(INDEX(_xlfn._xlws.FILTER(tblPiNHistorical[[CCCM]:[WASH]], tblPiNHistorical[Population Group]=I$5), 0, MATCH($Q$2, tblPiNHistorical[[#Headers],[CCCM]:[WASH]], 0))=$H27, 1, 0)))))</f>
        <v>1</v>
      </c>
      <c r="J27" s="93" t="str" cm="1">
        <f t="array" ref="J27">IFERROR(IF(OR($H27="", J26=""), "", IF($H27=2, SUM(IF(INDEX(_xlfn._xlws.FILTER(tblPiNHistorical[[CCCM]:[WASH]], tblPiNHistorical[Population Group]=J$5), 0, MATCH($Q$2, tblPiNHistorical[[#Headers],[CCCM]:[WASH]], 0))&gt;1.9, 1, 0)), IF(SUM(IF(INDEX(_xlfn._xlws.FILTER(tblPiNHistorical[[CCCM]:[WASH]], tblPiNHistorical[Population Group]=J$5), 0, MATCH($Q$2, tblPiNHistorical[[#Headers],[CCCM]:[WASH]], 0))=$H27, 1, 0))=0, "", SUM(IF(INDEX(_xlfn._xlws.FILTER(tblPiNHistorical[[CCCM]:[WASH]], tblPiNHistorical[Population Group]=J$5), 0, MATCH($Q$2, tblPiNHistorical[[#Headers],[CCCM]:[WASH]], 0))=$H27, 1, 0))))), "")</f>
        <v/>
      </c>
      <c r="K27" s="93" t="str" cm="1">
        <f t="array" ref="K27">IFERROR(IF(OR($H27="", K26=""), "", IF($H27=2, SUM(IF(INDEX(_xlfn._xlws.FILTER(tblPiNHistorical[[CCCM]:[WASH]], tblPiNHistorical[CCCM - old]=K$5), 0, MATCH($Q$2, tblPiNHistorical[[#Headers],[CCCM]:[WASH]], 0))&gt;1.9, 1, 0)), IF(SUM(IF(INDEX(_xlfn._xlws.FILTER(tblPiNHistorical[[CCCM]:[WASH]], tblPiNHistorical[CCCM - old]=K$5), 0, MATCH($Q$2, tblPiNHistorical[[#Headers],[CCCM]:[WASH]], 0))=$H27, 1, 0))=0, "", SUM(IF(INDEX(_xlfn._xlws.FILTER(tblPiNHistorical[[CCCM]:[WASH]], tblPiNHistorical[CCCM - old]=K$5), 0, MATCH($Q$2, tblPiNHistorical[[#Headers],[CCCM]:[WASH]], 0))=$H27, 1, 0))))), "")</f>
        <v/>
      </c>
      <c r="L27" s="93" t="str" cm="1">
        <f t="array" ref="L27">IFERROR(IF(OR($H27="", L26=""), "", IF($H27=2, SUM(IF(INDEX(_xlfn._xlws.FILTER(tblPiNHistorical[[CCCM]:[WASH]],#REF!= L$5), 0, MATCH($Q$2, tblPiNHistorical[[#Headers],[CCCM]:[WASH]], 0))&gt;1.9, 1, 0)), IF(SUM(IF(INDEX(_xlfn._xlws.FILTER(tblPiNHistorical[[CCCM]:[WASH]],#REF!= L$5), 0, MATCH($Q$2, tblPiNHistorical[[#Headers],[CCCM]:[WASH]], 0))=$H27, 1, 0))=0, "", SUM(IF(INDEX(_xlfn._xlws.FILTER(tblPiNHistorical[[CCCM]:[WASH]],#REF!= L$5), 0, MATCH($Q$2, tblPiNHistorical[[#Headers],[CCCM]:[WASH]], 0))=$H27, 1, 0))))), "")</f>
        <v/>
      </c>
      <c r="M27" s="93" t="str" cm="1">
        <f t="array" ref="M27">IFERROR(IF(OR($H27="", M26=""), "", IF($H27=2, SUM(IF(INDEX(_xlfn._xlws.FILTER(tblPiNHistorical[[CCCM]:[WASH]],#REF!= M$5), 0, MATCH($Q$2, tblPiNHistorical[[#Headers],[CCCM]:[WASH]], 0))&gt;1.9, 1, 0)), IF(SUM(IF(INDEX(_xlfn._xlws.FILTER(tblPiNHistorical[[CCCM]:[WASH]],#REF!= M$5), 0, MATCH($Q$2, tblPiNHistorical[[#Headers],[CCCM]:[WASH]], 0))=$H27, 1, 0))=0, "", SUM(IF(INDEX(_xlfn._xlws.FILTER(tblPiNHistorical[[CCCM]:[WASH]],#REF!= M$5), 0, MATCH($Q$2, tblPiNHistorical[[#Headers],[CCCM]:[WASH]], 0))=$H27, 1, 0))))), "")</f>
        <v/>
      </c>
      <c r="Z27" s="172"/>
    </row>
    <row r="28" spans="1:28" x14ac:dyDescent="0.55000000000000004">
      <c r="A28" s="95"/>
      <c r="B28" s="93" t="str" cm="1">
        <f t="array" ref="B28">IF($A28="", "", IF(SUM(IF(INDEX(_xlfn._xlws.FILTER(tblPiNAnalysis[[CCCM%]:[WASH%]], tblPiNAnalysis[Population Group]=B$5), 0, MATCH(_xlfn.CONCAT($Q$2, "%"), tblPiNAnalysis[[#Headers],[CCCM%]:[WASH%]], 0))=$A28, 1, 0))=0, "",SUM(IF(INDEX(_xlfn._xlws.FILTER(tblPiNAnalysis[[CCCM%]:[WASH%]], tblPiNAnalysis[Population Group]=B$5), 0, MATCH(_xlfn.CONCAT($Q$2, "%"), tblPiNAnalysis[[#Headers],[CCCM%]:[WASH%]], 0))=$A28, 1, 0))))</f>
        <v/>
      </c>
      <c r="C28" s="93" t="str" cm="1">
        <f t="array" ref="C28">IFERROR(IF(OR($A28="", C$5=""), "", IF(SUM(IF(INDEX(_xlfn._xlws.FILTER(tblPiNAnalysis[[CCCM%]:[WASH%]], tblPiNAnalysis[Population Group]=C$5), 0, MATCH(_xlfn.CONCAT($Q$2, "%"), tblPiNAnalysis[[#Headers],[CCCM%]:[WASH%]], 0))=$A28, 1, 0))=0, "",SUM(IF(INDEX(_xlfn._xlws.FILTER(tblPiNAnalysis[[CCCM%]:[WASH%]], tblPiNAnalysis[Population Group]=C$5), 0, MATCH(_xlfn.CONCAT($Q$2, "%"), tblPiNAnalysis[[#Headers],[CCCM%]:[WASH%]], 0))=$A28, 1, 0)))), "")</f>
        <v/>
      </c>
      <c r="D28" s="93" t="str" cm="1">
        <f t="array" ref="D28">IFERROR(IF(OR($A28="", D$5=""), "", IF(SUM(IF(INDEX(_xlfn._xlws.FILTER(tblPiNAnalysis[[CCCM%]:[WASH%]], tblPiNAnalysis[Population Group]=D$5), 0, MATCH(_xlfn.CONCAT($Q$2, "%"), tblPiNAnalysis[[#Headers],[CCCM%]:[WASH%]], 0))=$A28, 1, 0))=0, "",SUM(IF(INDEX(_xlfn._xlws.FILTER(tblPiNAnalysis[[CCCM%]:[WASH%]], tblPiNAnalysis[Population Group]=D$5), 0, MATCH(_xlfn.CONCAT($Q$2, "%"), tblPiNAnalysis[[#Headers],[CCCM%]:[WASH%]], 0))=$A28, 1, 0)))), "")</f>
        <v/>
      </c>
      <c r="E28" s="93" t="str" cm="1">
        <f t="array" ref="E28">IFERROR(IF(OR($A28="", E$5=""), "", IF(SUM(IF(INDEX(_xlfn._xlws.FILTER(tblPiNAnalysis[[CCCM%]:[WASH%]], tblPiNAnalysis[Population Group]=E$5), 0, MATCH(_xlfn.CONCAT($Q$2, "%"), tblPiNAnalysis[[#Headers],[CCCM%]:[WASH%]], 0))=$A28, 1, 0))=0, "",SUM(IF(INDEX(_xlfn._xlws.FILTER(tblPiNAnalysis[[CCCM%]:[WASH%]], tblPiNAnalysis[Population Group]=E$5), 0, MATCH(_xlfn.CONCAT($Q$2, "%"), tblPiNAnalysis[[#Headers],[CCCM%]:[WASH%]], 0))=$A28, 1, 0)))), "")</f>
        <v/>
      </c>
      <c r="F28" s="93" t="str" cm="1">
        <f t="array" ref="F28">IFERROR(IF(OR($A28="", F$5=""), "", IF(SUM(IF(INDEX(_xlfn._xlws.FILTER(tblPiNAnalysis[[CCCM%]:[WASH%]], tblPiNAnalysis[CCCM]=F$5), 0, MATCH(_xlfn.CONCAT($Q$2, "%"), tblPiNAnalysis[[#Headers],[CCCM%]:[WASH%]], 0))=$A28, 1, 0))=0, "",SUM(IF(INDEX(_xlfn._xlws.FILTER(tblPiNAnalysis[[CCCM%]:[WASH%]], tblPiNAnalysis[CCCM]=F$5), 0, MATCH(_xlfn.CONCAT($Q$2, "%"), tblPiNAnalysis[[#Headers],[CCCM%]:[WASH%]], 0))=$A28, 1, 0)))), "")</f>
        <v/>
      </c>
      <c r="H28" s="95">
        <v>1.2</v>
      </c>
      <c r="I28" s="93" cm="1">
        <f t="array" ref="I28">IF($H28="", "", IF($H28=2, SUM(IF(INDEX(_xlfn._xlws.FILTER(tblPiNHistorical[[CCCM]:[WASH]], tblPiNHistorical[Population Group]=I$5), 0, MATCH($Q$2, tblPiNHistorical[[#Headers],[CCCM]:[WASH]], 0))&gt;1.9, 1, 0)), IF(SUM(IF(INDEX(_xlfn._xlws.FILTER(tblPiNHistorical[[CCCM]:[WASH]], tblPiNHistorical[Population Group]=I$5), 0, MATCH($Q$2, tblPiNHistorical[[#Headers],[CCCM]:[WASH]], 0))=$H28, 1, 0))=0, "", SUM(IF(INDEX(_xlfn._xlws.FILTER(tblPiNHistorical[[CCCM]:[WASH]], tblPiNHistorical[Population Group]=I$5), 0, MATCH($Q$2, tblPiNHistorical[[#Headers],[CCCM]:[WASH]], 0))=$H28, 1, 0)))))</f>
        <v>1</v>
      </c>
      <c r="J28" s="93" t="str" cm="1">
        <f t="array" ref="J28">IFERROR(IF(OR($H28="", J27=""), "", IF($H28=2, SUM(IF(INDEX(_xlfn._xlws.FILTER(tblPiNHistorical[[CCCM]:[WASH]], tblPiNHistorical[Population Group]=J$5), 0, MATCH($Q$2, tblPiNHistorical[[#Headers],[CCCM]:[WASH]], 0))&gt;1.9, 1, 0)), IF(SUM(IF(INDEX(_xlfn._xlws.FILTER(tblPiNHistorical[[CCCM]:[WASH]], tblPiNHistorical[Population Group]=J$5), 0, MATCH($Q$2, tblPiNHistorical[[#Headers],[CCCM]:[WASH]], 0))=$H28, 1, 0))=0, "", SUM(IF(INDEX(_xlfn._xlws.FILTER(tblPiNHistorical[[CCCM]:[WASH]], tblPiNHistorical[Population Group]=J$5), 0, MATCH($Q$2, tblPiNHistorical[[#Headers],[CCCM]:[WASH]], 0))=$H28, 1, 0))))), "")</f>
        <v/>
      </c>
      <c r="K28" s="93" t="str" cm="1">
        <f t="array" ref="K28">IFERROR(IF(OR($H28="", K27=""), "", IF($H28=2, SUM(IF(INDEX(_xlfn._xlws.FILTER(tblPiNHistorical[[CCCM]:[WASH]], tblPiNHistorical[CCCM - old]=K$5), 0, MATCH($Q$2, tblPiNHistorical[[#Headers],[CCCM]:[WASH]], 0))&gt;1.9, 1, 0)), IF(SUM(IF(INDEX(_xlfn._xlws.FILTER(tblPiNHistorical[[CCCM]:[WASH]], tblPiNHistorical[CCCM - old]=K$5), 0, MATCH($Q$2, tblPiNHistorical[[#Headers],[CCCM]:[WASH]], 0))=$H28, 1, 0))=0, "", SUM(IF(INDEX(_xlfn._xlws.FILTER(tblPiNHistorical[[CCCM]:[WASH]], tblPiNHistorical[CCCM - old]=K$5), 0, MATCH($Q$2, tblPiNHistorical[[#Headers],[CCCM]:[WASH]], 0))=$H28, 1, 0))))), "")</f>
        <v/>
      </c>
      <c r="L28" s="93" t="str" cm="1">
        <f t="array" ref="L28">IFERROR(IF(OR($H28="", L27=""), "", IF($H28=2, SUM(IF(INDEX(_xlfn._xlws.FILTER(tblPiNHistorical[[CCCM]:[WASH]],#REF!= L$5), 0, MATCH($Q$2, tblPiNHistorical[[#Headers],[CCCM]:[WASH]], 0))&gt;1.9, 1, 0)), IF(SUM(IF(INDEX(_xlfn._xlws.FILTER(tblPiNHistorical[[CCCM]:[WASH]],#REF!= L$5), 0, MATCH($Q$2, tblPiNHistorical[[#Headers],[CCCM]:[WASH]], 0))=$H28, 1, 0))=0, "", SUM(IF(INDEX(_xlfn._xlws.FILTER(tblPiNHistorical[[CCCM]:[WASH]],#REF!= L$5), 0, MATCH($Q$2, tblPiNHistorical[[#Headers],[CCCM]:[WASH]], 0))=$H28, 1, 0))))), "")</f>
        <v/>
      </c>
      <c r="M28" s="93" t="str" cm="1">
        <f t="array" ref="M28">IFERROR(IF(OR($H28="", M27=""), "", IF($H28=2, SUM(IF(INDEX(_xlfn._xlws.FILTER(tblPiNHistorical[[CCCM]:[WASH]],#REF!= M$5), 0, MATCH($Q$2, tblPiNHistorical[[#Headers],[CCCM]:[WASH]], 0))&gt;1.9, 1, 0)), IF(SUM(IF(INDEX(_xlfn._xlws.FILTER(tblPiNHistorical[[CCCM]:[WASH]],#REF!= M$5), 0, MATCH($Q$2, tblPiNHistorical[[#Headers],[CCCM]:[WASH]], 0))=$H28, 1, 0))=0, "", SUM(IF(INDEX(_xlfn._xlws.FILTER(tblPiNHistorical[[CCCM]:[WASH]],#REF!= M$5), 0, MATCH($Q$2, tblPiNHistorical[[#Headers],[CCCM]:[WASH]], 0))=$H28, 1, 0))))), "")</f>
        <v/>
      </c>
      <c r="Q28" t="s">
        <v>164</v>
      </c>
      <c r="Z28" s="172"/>
      <c r="AB28" t="s">
        <v>164</v>
      </c>
    </row>
    <row r="29" spans="1:28" x14ac:dyDescent="0.55000000000000004">
      <c r="A29" s="95"/>
      <c r="B29" s="93" t="str" cm="1">
        <f t="array" ref="B29">IF($A29="", "", IF(SUM(IF(INDEX(_xlfn._xlws.FILTER(tblPiNAnalysis[[CCCM%]:[WASH%]], tblPiNAnalysis[Population Group]=B$5), 0, MATCH(_xlfn.CONCAT($Q$2, "%"), tblPiNAnalysis[[#Headers],[CCCM%]:[WASH%]], 0))=$A29, 1, 0))=0, "",SUM(IF(INDEX(_xlfn._xlws.FILTER(tblPiNAnalysis[[CCCM%]:[WASH%]], tblPiNAnalysis[Population Group]=B$5), 0, MATCH(_xlfn.CONCAT($Q$2, "%"), tblPiNAnalysis[[#Headers],[CCCM%]:[WASH%]], 0))=$A29, 1, 0))))</f>
        <v/>
      </c>
      <c r="C29" s="93" t="str" cm="1">
        <f t="array" ref="C29">IFERROR(IF(OR($A29="", C$5=""), "", IF(SUM(IF(INDEX(_xlfn._xlws.FILTER(tblPiNAnalysis[[CCCM%]:[WASH%]], tblPiNAnalysis[Population Group]=C$5), 0, MATCH(_xlfn.CONCAT($Q$2, "%"), tblPiNAnalysis[[#Headers],[CCCM%]:[WASH%]], 0))=$A29, 1, 0))=0, "",SUM(IF(INDEX(_xlfn._xlws.FILTER(tblPiNAnalysis[[CCCM%]:[WASH%]], tblPiNAnalysis[Population Group]=C$5), 0, MATCH(_xlfn.CONCAT($Q$2, "%"), tblPiNAnalysis[[#Headers],[CCCM%]:[WASH%]], 0))=$A29, 1, 0)))), "")</f>
        <v/>
      </c>
      <c r="D29" s="93" t="str" cm="1">
        <f t="array" ref="D29">IFERROR(IF(OR($A29="", D$5=""), "", IF(SUM(IF(INDEX(_xlfn._xlws.FILTER(tblPiNAnalysis[[CCCM%]:[WASH%]], tblPiNAnalysis[Population Group]=D$5), 0, MATCH(_xlfn.CONCAT($Q$2, "%"), tblPiNAnalysis[[#Headers],[CCCM%]:[WASH%]], 0))=$A29, 1, 0))=0, "",SUM(IF(INDEX(_xlfn._xlws.FILTER(tblPiNAnalysis[[CCCM%]:[WASH%]], tblPiNAnalysis[Population Group]=D$5), 0, MATCH(_xlfn.CONCAT($Q$2, "%"), tblPiNAnalysis[[#Headers],[CCCM%]:[WASH%]], 0))=$A29, 1, 0)))), "")</f>
        <v/>
      </c>
      <c r="E29" s="93" t="str" cm="1">
        <f t="array" ref="E29">IFERROR(IF(OR($A29="", E$5=""), "", IF(SUM(IF(INDEX(_xlfn._xlws.FILTER(tblPiNAnalysis[[CCCM%]:[WASH%]], tblPiNAnalysis[Population Group]=E$5), 0, MATCH(_xlfn.CONCAT($Q$2, "%"), tblPiNAnalysis[[#Headers],[CCCM%]:[WASH%]], 0))=$A29, 1, 0))=0, "",SUM(IF(INDEX(_xlfn._xlws.FILTER(tblPiNAnalysis[[CCCM%]:[WASH%]], tblPiNAnalysis[Population Group]=E$5), 0, MATCH(_xlfn.CONCAT($Q$2, "%"), tblPiNAnalysis[[#Headers],[CCCM%]:[WASH%]], 0))=$A29, 1, 0)))), "")</f>
        <v/>
      </c>
      <c r="F29" s="93" t="str" cm="1">
        <f t="array" ref="F29">IFERROR(IF(OR($A29="", F$5=""), "", IF(SUM(IF(INDEX(_xlfn._xlws.FILTER(tblPiNAnalysis[[CCCM%]:[WASH%]], tblPiNAnalysis[CCCM]=F$5), 0, MATCH(_xlfn.CONCAT($Q$2, "%"), tblPiNAnalysis[[#Headers],[CCCM%]:[WASH%]], 0))=$A29, 1, 0))=0, "",SUM(IF(INDEX(_xlfn._xlws.FILTER(tblPiNAnalysis[[CCCM%]:[WASH%]], tblPiNAnalysis[CCCM]=F$5), 0, MATCH(_xlfn.CONCAT($Q$2, "%"), tblPiNAnalysis[[#Headers],[CCCM%]:[WASH%]], 0))=$A29, 1, 0)))), "")</f>
        <v/>
      </c>
      <c r="H29" s="95">
        <v>1.3</v>
      </c>
      <c r="I29" s="93" t="str" cm="1">
        <f t="array" ref="I29">IF($H29="", "", IF($H29=2, SUM(IF(INDEX(_xlfn._xlws.FILTER(tblPiNHistorical[[CCCM]:[WASH]], tblPiNHistorical[Population Group]=I$5), 0, MATCH($Q$2, tblPiNHistorical[[#Headers],[CCCM]:[WASH]], 0))&gt;1.9, 1, 0)), IF(SUM(IF(INDEX(_xlfn._xlws.FILTER(tblPiNHistorical[[CCCM]:[WASH]], tblPiNHistorical[Population Group]=I$5), 0, MATCH($Q$2, tblPiNHistorical[[#Headers],[CCCM]:[WASH]], 0))=$H29, 1, 0))=0, "", SUM(IF(INDEX(_xlfn._xlws.FILTER(tblPiNHistorical[[CCCM]:[WASH]], tblPiNHistorical[Population Group]=I$5), 0, MATCH($Q$2, tblPiNHistorical[[#Headers],[CCCM]:[WASH]], 0))=$H29, 1, 0)))))</f>
        <v/>
      </c>
      <c r="J29" s="93" t="str" cm="1">
        <f t="array" ref="J29">IFERROR(IF(OR($H29="", J28=""), "", IF($H29=2, SUM(IF(INDEX(_xlfn._xlws.FILTER(tblPiNHistorical[[CCCM]:[WASH]], tblPiNHistorical[Population Group]=J$5), 0, MATCH($Q$2, tblPiNHistorical[[#Headers],[CCCM]:[WASH]], 0))&gt;1.9, 1, 0)), IF(SUM(IF(INDEX(_xlfn._xlws.FILTER(tblPiNHistorical[[CCCM]:[WASH]], tblPiNHistorical[Population Group]=J$5), 0, MATCH($Q$2, tblPiNHistorical[[#Headers],[CCCM]:[WASH]], 0))=$H29, 1, 0))=0, "", SUM(IF(INDEX(_xlfn._xlws.FILTER(tblPiNHistorical[[CCCM]:[WASH]], tblPiNHistorical[Population Group]=J$5), 0, MATCH($Q$2, tblPiNHistorical[[#Headers],[CCCM]:[WASH]], 0))=$H29, 1, 0))))), "")</f>
        <v/>
      </c>
      <c r="K29" s="93" t="str" cm="1">
        <f t="array" ref="K29">IFERROR(IF(OR($H29="", K28=""), "", IF($H29=2, SUM(IF(INDEX(_xlfn._xlws.FILTER(tblPiNHistorical[[CCCM]:[WASH]], tblPiNHistorical[CCCM - old]=K$5), 0, MATCH($Q$2, tblPiNHistorical[[#Headers],[CCCM]:[WASH]], 0))&gt;1.9, 1, 0)), IF(SUM(IF(INDEX(_xlfn._xlws.FILTER(tblPiNHistorical[[CCCM]:[WASH]], tblPiNHistorical[CCCM - old]=K$5), 0, MATCH($Q$2, tblPiNHistorical[[#Headers],[CCCM]:[WASH]], 0))=$H29, 1, 0))=0, "", SUM(IF(INDEX(_xlfn._xlws.FILTER(tblPiNHistorical[[CCCM]:[WASH]], tblPiNHistorical[CCCM - old]=K$5), 0, MATCH($Q$2, tblPiNHistorical[[#Headers],[CCCM]:[WASH]], 0))=$H29, 1, 0))))), "")</f>
        <v/>
      </c>
      <c r="L29" s="93" t="str" cm="1">
        <f t="array" ref="L29">IFERROR(IF(OR($H29="", L28=""), "", IF($H29=2, SUM(IF(INDEX(_xlfn._xlws.FILTER(tblPiNHistorical[[CCCM]:[WASH]],#REF!= L$5), 0, MATCH($Q$2, tblPiNHistorical[[#Headers],[CCCM]:[WASH]], 0))&gt;1.9, 1, 0)), IF(SUM(IF(INDEX(_xlfn._xlws.FILTER(tblPiNHistorical[[CCCM]:[WASH]],#REF!= L$5), 0, MATCH($Q$2, tblPiNHistorical[[#Headers],[CCCM]:[WASH]], 0))=$H29, 1, 0))=0, "", SUM(IF(INDEX(_xlfn._xlws.FILTER(tblPiNHistorical[[CCCM]:[WASH]],#REF!= L$5), 0, MATCH($Q$2, tblPiNHistorical[[#Headers],[CCCM]:[WASH]], 0))=$H29, 1, 0))))), "")</f>
        <v/>
      </c>
      <c r="M29" s="93" t="str" cm="1">
        <f t="array" ref="M29">IFERROR(IF(OR($H29="", M28=""), "", IF($H29=2, SUM(IF(INDEX(_xlfn._xlws.FILTER(tblPiNHistorical[[CCCM]:[WASH]],#REF!= M$5), 0, MATCH($Q$2, tblPiNHistorical[[#Headers],[CCCM]:[WASH]], 0))&gt;1.9, 1, 0)), IF(SUM(IF(INDEX(_xlfn._xlws.FILTER(tblPiNHistorical[[CCCM]:[WASH]],#REF!= M$5), 0, MATCH($Q$2, tblPiNHistorical[[#Headers],[CCCM]:[WASH]], 0))=$H29, 1, 0))=0, "", SUM(IF(INDEX(_xlfn._xlws.FILTER(tblPiNHistorical[[CCCM]:[WASH]],#REF!= M$5), 0, MATCH($Q$2, tblPiNHistorical[[#Headers],[CCCM]:[WASH]], 0))=$H29, 1, 0))))), "")</f>
        <v/>
      </c>
      <c r="Q29" s="99" t="s">
        <v>165</v>
      </c>
      <c r="Z29" s="172"/>
      <c r="AB29" s="99" t="s">
        <v>165</v>
      </c>
    </row>
    <row r="30" spans="1:28" x14ac:dyDescent="0.55000000000000004">
      <c r="A30" s="95"/>
      <c r="B30" s="93" t="str" cm="1">
        <f t="array" ref="B30">IF($A30="", "", IF(SUM(IF(INDEX(_xlfn._xlws.FILTER(tblPiNAnalysis[[CCCM%]:[WASH%]], tblPiNAnalysis[Population Group]=B$5), 0, MATCH(_xlfn.CONCAT($Q$2, "%"), tblPiNAnalysis[[#Headers],[CCCM%]:[WASH%]], 0))=$A30, 1, 0))=0, "",SUM(IF(INDEX(_xlfn._xlws.FILTER(tblPiNAnalysis[[CCCM%]:[WASH%]], tblPiNAnalysis[Population Group]=B$5), 0, MATCH(_xlfn.CONCAT($Q$2, "%"), tblPiNAnalysis[[#Headers],[CCCM%]:[WASH%]], 0))=$A30, 1, 0))))</f>
        <v/>
      </c>
      <c r="C30" s="93" t="str" cm="1">
        <f t="array" ref="C30">IFERROR(IF(OR($A30="", C$5=""), "", IF(SUM(IF(INDEX(_xlfn._xlws.FILTER(tblPiNAnalysis[[CCCM%]:[WASH%]], tblPiNAnalysis[Population Group]=C$5), 0, MATCH(_xlfn.CONCAT($Q$2, "%"), tblPiNAnalysis[[#Headers],[CCCM%]:[WASH%]], 0))=$A30, 1, 0))=0, "",SUM(IF(INDEX(_xlfn._xlws.FILTER(tblPiNAnalysis[[CCCM%]:[WASH%]], tblPiNAnalysis[Population Group]=C$5), 0, MATCH(_xlfn.CONCAT($Q$2, "%"), tblPiNAnalysis[[#Headers],[CCCM%]:[WASH%]], 0))=$A30, 1, 0)))), "")</f>
        <v/>
      </c>
      <c r="D30" s="93" t="str" cm="1">
        <f t="array" ref="D30">IFERROR(IF(OR($A30="", D$5=""), "", IF(SUM(IF(INDEX(_xlfn._xlws.FILTER(tblPiNAnalysis[[CCCM%]:[WASH%]], tblPiNAnalysis[Population Group]=D$5), 0, MATCH(_xlfn.CONCAT($Q$2, "%"), tblPiNAnalysis[[#Headers],[CCCM%]:[WASH%]], 0))=$A30, 1, 0))=0, "",SUM(IF(INDEX(_xlfn._xlws.FILTER(tblPiNAnalysis[[CCCM%]:[WASH%]], tblPiNAnalysis[Population Group]=D$5), 0, MATCH(_xlfn.CONCAT($Q$2, "%"), tblPiNAnalysis[[#Headers],[CCCM%]:[WASH%]], 0))=$A30, 1, 0)))), "")</f>
        <v/>
      </c>
      <c r="E30" s="93" t="str" cm="1">
        <f t="array" ref="E30">IFERROR(IF(OR($A30="", E$5=""), "", IF(SUM(IF(INDEX(_xlfn._xlws.FILTER(tblPiNAnalysis[[CCCM%]:[WASH%]], tblPiNAnalysis[Population Group]=E$5), 0, MATCH(_xlfn.CONCAT($Q$2, "%"), tblPiNAnalysis[[#Headers],[CCCM%]:[WASH%]], 0))=$A30, 1, 0))=0, "",SUM(IF(INDEX(_xlfn._xlws.FILTER(tblPiNAnalysis[[CCCM%]:[WASH%]], tblPiNAnalysis[Population Group]=E$5), 0, MATCH(_xlfn.CONCAT($Q$2, "%"), tblPiNAnalysis[[#Headers],[CCCM%]:[WASH%]], 0))=$A30, 1, 0)))), "")</f>
        <v/>
      </c>
      <c r="F30" s="93" t="str" cm="1">
        <f t="array" ref="F30">IFERROR(IF(OR($A30="", F$5=""), "", IF(SUM(IF(INDEX(_xlfn._xlws.FILTER(tblPiNAnalysis[[CCCM%]:[WASH%]], tblPiNAnalysis[CCCM]=F$5), 0, MATCH(_xlfn.CONCAT($Q$2, "%"), tblPiNAnalysis[[#Headers],[CCCM%]:[WASH%]], 0))=$A30, 1, 0))=0, "",SUM(IF(INDEX(_xlfn._xlws.FILTER(tblPiNAnalysis[[CCCM%]:[WASH%]], tblPiNAnalysis[CCCM]=F$5), 0, MATCH(_xlfn.CONCAT($Q$2, "%"), tblPiNAnalysis[[#Headers],[CCCM%]:[WASH%]], 0))=$A30, 1, 0)))), "")</f>
        <v/>
      </c>
      <c r="H30" s="95">
        <v>1.4</v>
      </c>
      <c r="I30" s="93" cm="1">
        <f t="array" ref="I30">IF($H30="", "", IF($H30=2, SUM(IF(INDEX(_xlfn._xlws.FILTER(tblPiNHistorical[[CCCM]:[WASH]], tblPiNHistorical[Population Group]=I$5), 0, MATCH($Q$2, tblPiNHistorical[[#Headers],[CCCM]:[WASH]], 0))&gt;1.9, 1, 0)), IF(SUM(IF(INDEX(_xlfn._xlws.FILTER(tblPiNHistorical[[CCCM]:[WASH]], tblPiNHistorical[Population Group]=I$5), 0, MATCH($Q$2, tblPiNHistorical[[#Headers],[CCCM]:[WASH]], 0))=$H30, 1, 0))=0, "", SUM(IF(INDEX(_xlfn._xlws.FILTER(tblPiNHistorical[[CCCM]:[WASH]], tblPiNHistorical[Population Group]=I$5), 0, MATCH($Q$2, tblPiNHistorical[[#Headers],[CCCM]:[WASH]], 0))=$H30, 1, 0)))))</f>
        <v>2</v>
      </c>
      <c r="J30" s="93" t="str" cm="1">
        <f t="array" ref="J30">IFERROR(IF(OR($H30="", J29=""), "", IF($H30=2, SUM(IF(INDEX(_xlfn._xlws.FILTER(tblPiNHistorical[[CCCM]:[WASH]], tblPiNHistorical[Population Group]=J$5), 0, MATCH($Q$2, tblPiNHistorical[[#Headers],[CCCM]:[WASH]], 0))&gt;1.9, 1, 0)), IF(SUM(IF(INDEX(_xlfn._xlws.FILTER(tblPiNHistorical[[CCCM]:[WASH]], tblPiNHistorical[Population Group]=J$5), 0, MATCH($Q$2, tblPiNHistorical[[#Headers],[CCCM]:[WASH]], 0))=$H30, 1, 0))=0, "", SUM(IF(INDEX(_xlfn._xlws.FILTER(tblPiNHistorical[[CCCM]:[WASH]], tblPiNHistorical[Population Group]=J$5), 0, MATCH($Q$2, tblPiNHistorical[[#Headers],[CCCM]:[WASH]], 0))=$H30, 1, 0))))), "")</f>
        <v/>
      </c>
      <c r="K30" s="93" t="str" cm="1">
        <f t="array" ref="K30">IFERROR(IF(OR($H30="", K29=""), "", IF($H30=2, SUM(IF(INDEX(_xlfn._xlws.FILTER(tblPiNHistorical[[CCCM]:[WASH]], tblPiNHistorical[CCCM - old]=K$5), 0, MATCH($Q$2, tblPiNHistorical[[#Headers],[CCCM]:[WASH]], 0))&gt;1.9, 1, 0)), IF(SUM(IF(INDEX(_xlfn._xlws.FILTER(tblPiNHistorical[[CCCM]:[WASH]], tblPiNHistorical[CCCM - old]=K$5), 0, MATCH($Q$2, tblPiNHistorical[[#Headers],[CCCM]:[WASH]], 0))=$H30, 1, 0))=0, "", SUM(IF(INDEX(_xlfn._xlws.FILTER(tblPiNHistorical[[CCCM]:[WASH]], tblPiNHistorical[CCCM - old]=K$5), 0, MATCH($Q$2, tblPiNHistorical[[#Headers],[CCCM]:[WASH]], 0))=$H30, 1, 0))))), "")</f>
        <v/>
      </c>
      <c r="L30" s="93" t="str" cm="1">
        <f t="array" ref="L30">IFERROR(IF(OR($H30="", L29=""), "", IF($H30=2, SUM(IF(INDEX(_xlfn._xlws.FILTER(tblPiNHistorical[[CCCM]:[WASH]],#REF!= L$5), 0, MATCH($Q$2, tblPiNHistorical[[#Headers],[CCCM]:[WASH]], 0))&gt;1.9, 1, 0)), IF(SUM(IF(INDEX(_xlfn._xlws.FILTER(tblPiNHistorical[[CCCM]:[WASH]],#REF!= L$5), 0, MATCH($Q$2, tblPiNHistorical[[#Headers],[CCCM]:[WASH]], 0))=$H30, 1, 0))=0, "", SUM(IF(INDEX(_xlfn._xlws.FILTER(tblPiNHistorical[[CCCM]:[WASH]],#REF!= L$5), 0, MATCH($Q$2, tblPiNHistorical[[#Headers],[CCCM]:[WASH]], 0))=$H30, 1, 0))))), "")</f>
        <v/>
      </c>
      <c r="M30" s="93" t="str" cm="1">
        <f t="array" ref="M30">IFERROR(IF(OR($H30="", M29=""), "", IF($H30=2, SUM(IF(INDEX(_xlfn._xlws.FILTER(tblPiNHistorical[[CCCM]:[WASH]],#REF!= M$5), 0, MATCH($Q$2, tblPiNHistorical[[#Headers],[CCCM]:[WASH]], 0))&gt;1.9, 1, 0)), IF(SUM(IF(INDEX(_xlfn._xlws.FILTER(tblPiNHistorical[[CCCM]:[WASH]],#REF!= M$5), 0, MATCH($Q$2, tblPiNHistorical[[#Headers],[CCCM]:[WASH]], 0))=$H30, 1, 0))=0, "", SUM(IF(INDEX(_xlfn._xlws.FILTER(tblPiNHistorical[[CCCM]:[WASH]],#REF!= M$5), 0, MATCH($Q$2, tblPiNHistorical[[#Headers],[CCCM]:[WASH]], 0))=$H30, 1, 0))))), "")</f>
        <v/>
      </c>
      <c r="Q30" t="str">
        <f>_xlfn.CONCAT("- ", MAXA(B$6:B$77)," units ", IF(OR(C$5="", C$5="NA"), "", _xlfn.CONCAT("of ", B$5, " population group ")), "have a % PiN at of ", INDEX(A$6:A$77, MATCH(MAXA(B$6:B$77), B$6:B$77, 0))*100, "%")</f>
        <v>- 17 units of IDPs population group have a % PiN at of 20%</v>
      </c>
      <c r="Z30" s="172"/>
      <c r="AB30" t="str" cm="1">
        <f t="array" ref="AB30">_xlfn.CONCAT("- ", IF(IFERROR(MAXA(_xlfn._xlws.FILTER(I$6:I$77, H$6:H$77&gt;0)), 0) = 0, "", _xlfn.CONCAT(MAXA(_xlfn._xlws.FILTER(I$6:I$77, H$6:H$77&gt;0)), " units have ", INDEX(H$6:H$77, MATCH(MAXA(_xlfn._xlws.FILTER(I$6:I$77, H$6:H$77&gt;0)), I$6:I$77, 0))*100, "% PiN increase")), IF(OR(IFERROR(MAXA(_xlfn._xlws.FILTER(I$6:I$77, H$6:H$77&gt;0)), 0) = 0,IFERROR(MAXA(_xlfn._xlws.FILTER(I$6:I$77, H$6:H$77&lt;0)), 0) = 0), "", " and "), IF(IFERROR(MAXA(_xlfn._xlws.FILTER(I$6:I$77, H$6:H$77&lt;0)), 0)=0, "", _xlfn.CONCAT(MAXA(_xlfn._xlws.FILTER(I$6:I$77, H$6:H$77&lt;0)), " units have ", INDEX(H$6:H$77, MATCH(MAXA(_xlfn._xlws.FILTER(I$6:I$77, H$6:H$77&lt;0)), I$6:I$77, 0))*-100, "% PiN decrease")), " from ",  $Q$2, IF(OR(I$5="", I$5="NA"), "", _xlfn.CONCAT(" for the ", I$5," population group")))</f>
        <v>- 7 units have 30% PiN increase and 6 units have 10% PiN decrease from Education for the IDPs population group</v>
      </c>
    </row>
    <row r="31" spans="1:28" x14ac:dyDescent="0.55000000000000004">
      <c r="A31" s="95"/>
      <c r="B31" s="93" t="str" cm="1">
        <f t="array" ref="B31">IF($A31="", "", IF(SUM(IF(INDEX(_xlfn._xlws.FILTER(tblPiNAnalysis[[CCCM%]:[WASH%]], tblPiNAnalysis[Population Group]=B$5), 0, MATCH(_xlfn.CONCAT($Q$2, "%"), tblPiNAnalysis[[#Headers],[CCCM%]:[WASH%]], 0))=$A31, 1, 0))=0, "",SUM(IF(INDEX(_xlfn._xlws.FILTER(tblPiNAnalysis[[CCCM%]:[WASH%]], tblPiNAnalysis[Population Group]=B$5), 0, MATCH(_xlfn.CONCAT($Q$2, "%"), tblPiNAnalysis[[#Headers],[CCCM%]:[WASH%]], 0))=$A31, 1, 0))))</f>
        <v/>
      </c>
      <c r="C31" s="93" t="str" cm="1">
        <f t="array" ref="C31">IFERROR(IF(OR($A31="", C$5=""), "", IF(SUM(IF(INDEX(_xlfn._xlws.FILTER(tblPiNAnalysis[[CCCM%]:[WASH%]], tblPiNAnalysis[Population Group]=C$5), 0, MATCH(_xlfn.CONCAT($Q$2, "%"), tblPiNAnalysis[[#Headers],[CCCM%]:[WASH%]], 0))=$A31, 1, 0))=0, "",SUM(IF(INDEX(_xlfn._xlws.FILTER(tblPiNAnalysis[[CCCM%]:[WASH%]], tblPiNAnalysis[Population Group]=C$5), 0, MATCH(_xlfn.CONCAT($Q$2, "%"), tblPiNAnalysis[[#Headers],[CCCM%]:[WASH%]], 0))=$A31, 1, 0)))), "")</f>
        <v/>
      </c>
      <c r="D31" s="93" t="str" cm="1">
        <f t="array" ref="D31">IFERROR(IF(OR($A31="", D$5=""), "", IF(SUM(IF(INDEX(_xlfn._xlws.FILTER(tblPiNAnalysis[[CCCM%]:[WASH%]], tblPiNAnalysis[Population Group]=D$5), 0, MATCH(_xlfn.CONCAT($Q$2, "%"), tblPiNAnalysis[[#Headers],[CCCM%]:[WASH%]], 0))=$A31, 1, 0))=0, "",SUM(IF(INDEX(_xlfn._xlws.FILTER(tblPiNAnalysis[[CCCM%]:[WASH%]], tblPiNAnalysis[Population Group]=D$5), 0, MATCH(_xlfn.CONCAT($Q$2, "%"), tblPiNAnalysis[[#Headers],[CCCM%]:[WASH%]], 0))=$A31, 1, 0)))), "")</f>
        <v/>
      </c>
      <c r="E31" s="93" t="str" cm="1">
        <f t="array" ref="E31">IFERROR(IF(OR($A31="", E$5=""), "", IF(SUM(IF(INDEX(_xlfn._xlws.FILTER(tblPiNAnalysis[[CCCM%]:[WASH%]], tblPiNAnalysis[Population Group]=E$5), 0, MATCH(_xlfn.CONCAT($Q$2, "%"), tblPiNAnalysis[[#Headers],[CCCM%]:[WASH%]], 0))=$A31, 1, 0))=0, "",SUM(IF(INDEX(_xlfn._xlws.FILTER(tblPiNAnalysis[[CCCM%]:[WASH%]], tblPiNAnalysis[Population Group]=E$5), 0, MATCH(_xlfn.CONCAT($Q$2, "%"), tblPiNAnalysis[[#Headers],[CCCM%]:[WASH%]], 0))=$A31, 1, 0)))), "")</f>
        <v/>
      </c>
      <c r="F31" s="93" t="str" cm="1">
        <f t="array" ref="F31">IFERROR(IF(OR($A31="", F$5=""), "", IF(SUM(IF(INDEX(_xlfn._xlws.FILTER(tblPiNAnalysis[[CCCM%]:[WASH%]], tblPiNAnalysis[CCCM]=F$5), 0, MATCH(_xlfn.CONCAT($Q$2, "%"), tblPiNAnalysis[[#Headers],[CCCM%]:[WASH%]], 0))=$A31, 1, 0))=0, "",SUM(IF(INDEX(_xlfn._xlws.FILTER(tblPiNAnalysis[[CCCM%]:[WASH%]], tblPiNAnalysis[CCCM]=F$5), 0, MATCH(_xlfn.CONCAT($Q$2, "%"), tblPiNAnalysis[[#Headers],[CCCM%]:[WASH%]], 0))=$A31, 1, 0)))), "")</f>
        <v/>
      </c>
      <c r="H31" s="95">
        <v>1.5</v>
      </c>
      <c r="I31" s="93" cm="1">
        <f t="array" ref="I31">IF($H31="", "", IF($H31=2, SUM(IF(INDEX(_xlfn._xlws.FILTER(tblPiNHistorical[[CCCM]:[WASH]], tblPiNHistorical[Population Group]=I$5), 0, MATCH($Q$2, tblPiNHistorical[[#Headers],[CCCM]:[WASH]], 0))&gt;1.9, 1, 0)), IF(SUM(IF(INDEX(_xlfn._xlws.FILTER(tblPiNHistorical[[CCCM]:[WASH]], tblPiNHistorical[Population Group]=I$5), 0, MATCH($Q$2, tblPiNHistorical[[#Headers],[CCCM]:[WASH]], 0))=$H31, 1, 0))=0, "", SUM(IF(INDEX(_xlfn._xlws.FILTER(tblPiNHistorical[[CCCM]:[WASH]], tblPiNHistorical[Population Group]=I$5), 0, MATCH($Q$2, tblPiNHistorical[[#Headers],[CCCM]:[WASH]], 0))=$H31, 1, 0)))))</f>
        <v>3</v>
      </c>
      <c r="J31" s="93" t="str" cm="1">
        <f t="array" ref="J31">IFERROR(IF(OR($H31="", J30=""), "", IF($H31=2, SUM(IF(INDEX(_xlfn._xlws.FILTER(tblPiNHistorical[[CCCM]:[WASH]], tblPiNHistorical[Population Group]=J$5), 0, MATCH($Q$2, tblPiNHistorical[[#Headers],[CCCM]:[WASH]], 0))&gt;1.9, 1, 0)), IF(SUM(IF(INDEX(_xlfn._xlws.FILTER(tblPiNHistorical[[CCCM]:[WASH]], tblPiNHistorical[Population Group]=J$5), 0, MATCH($Q$2, tblPiNHistorical[[#Headers],[CCCM]:[WASH]], 0))=$H31, 1, 0))=0, "", SUM(IF(INDEX(_xlfn._xlws.FILTER(tblPiNHistorical[[CCCM]:[WASH]], tblPiNHistorical[Population Group]=J$5), 0, MATCH($Q$2, tblPiNHistorical[[#Headers],[CCCM]:[WASH]], 0))=$H31, 1, 0))))), "")</f>
        <v/>
      </c>
      <c r="K31" s="93" t="str" cm="1">
        <f t="array" ref="K31">IFERROR(IF(OR($H31="", K30=""), "", IF($H31=2, SUM(IF(INDEX(_xlfn._xlws.FILTER(tblPiNHistorical[[CCCM]:[WASH]], tblPiNHistorical[CCCM - old]=K$5), 0, MATCH($Q$2, tblPiNHistorical[[#Headers],[CCCM]:[WASH]], 0))&gt;1.9, 1, 0)), IF(SUM(IF(INDEX(_xlfn._xlws.FILTER(tblPiNHistorical[[CCCM]:[WASH]], tblPiNHistorical[CCCM - old]=K$5), 0, MATCH($Q$2, tblPiNHistorical[[#Headers],[CCCM]:[WASH]], 0))=$H31, 1, 0))=0, "", SUM(IF(INDEX(_xlfn._xlws.FILTER(tblPiNHistorical[[CCCM]:[WASH]], tblPiNHistorical[CCCM - old]=K$5), 0, MATCH($Q$2, tblPiNHistorical[[#Headers],[CCCM]:[WASH]], 0))=$H31, 1, 0))))), "")</f>
        <v/>
      </c>
      <c r="L31" s="93" t="str" cm="1">
        <f t="array" ref="L31">IFERROR(IF(OR($H31="", L30=""), "", IF($H31=2, SUM(IF(INDEX(_xlfn._xlws.FILTER(tblPiNHistorical[[CCCM]:[WASH]],#REF!= L$5), 0, MATCH($Q$2, tblPiNHistorical[[#Headers],[CCCM]:[WASH]], 0))&gt;1.9, 1, 0)), IF(SUM(IF(INDEX(_xlfn._xlws.FILTER(tblPiNHistorical[[CCCM]:[WASH]],#REF!= L$5), 0, MATCH($Q$2, tblPiNHistorical[[#Headers],[CCCM]:[WASH]], 0))=$H31, 1, 0))=0, "", SUM(IF(INDEX(_xlfn._xlws.FILTER(tblPiNHistorical[[CCCM]:[WASH]],#REF!= L$5), 0, MATCH($Q$2, tblPiNHistorical[[#Headers],[CCCM]:[WASH]], 0))=$H31, 1, 0))))), "")</f>
        <v/>
      </c>
      <c r="M31" s="93" t="str" cm="1">
        <f t="array" ref="M31">IFERROR(IF(OR($H31="", M30=""), "", IF($H31=2, SUM(IF(INDEX(_xlfn._xlws.FILTER(tblPiNHistorical[[CCCM]:[WASH]],#REF!= M$5), 0, MATCH($Q$2, tblPiNHistorical[[#Headers],[CCCM]:[WASH]], 0))&gt;1.9, 1, 0)), IF(SUM(IF(INDEX(_xlfn._xlws.FILTER(tblPiNHistorical[[CCCM]:[WASH]],#REF!= M$5), 0, MATCH($Q$2, tblPiNHistorical[[#Headers],[CCCM]:[WASH]], 0))=$H31, 1, 0))=0, "", SUM(IF(INDEX(_xlfn._xlws.FILTER(tblPiNHistorical[[CCCM]:[WASH]],#REF!= M$5), 0, MATCH($Q$2, tblPiNHistorical[[#Headers],[CCCM]:[WASH]], 0))=$H31, 1, 0))))), "")</f>
        <v/>
      </c>
      <c r="Q31" t="str">
        <f>IF(C$5 = "", "", _xlfn.CONCAT("- ", MAXA(C$6:C$77)," units of ", C$5, " population group have a % PiN at of ", INDEX(A$6:A$77, MATCH(MAXA(C$6:C$77), C$6:C$77, 0))*100, "%"))</f>
        <v>- 17 units of Residents population group have a % PiN at of 20%</v>
      </c>
      <c r="Z31" s="172"/>
      <c r="AB31" t="str" cm="1">
        <f t="array" ref="AB31">IF(J$5="", "", _xlfn.CONCAT("- ", IF(IFERROR(MAXA(_xlfn._xlws.FILTER(J$6:J$77, H$6:H$77&gt;0)), 0) = 0, "", _xlfn.CONCAT(MAXA(_xlfn._xlws.FILTER(J$6:J$77, H$6:H$77&gt;0)), " units have ", INDEX(H$6:H$77, MATCH(MAXA(_xlfn._xlws.FILTER(J$6:J$77, H$6:H$77&gt;0)), J$6:J$77, 0))*100, "% PiN increase")), IF(OR(IFERROR(MAXA(_xlfn._xlws.FILTER(J$6:J$77, H$6:H$77&gt;0)), 0) = 0,IFERROR(MAXA(_xlfn._xlws.FILTER(J$6:J$77, H$6:H$77&lt;0)), 0) = 0), "", " and "), IF(IFERROR(MAXA(_xlfn._xlws.FILTER(J$6:J$77, H$6:H$77&lt;0)), 0)=0, "", _xlfn.CONCAT(MAXA(_xlfn._xlws.FILTER(J$6:J$77, H$6:H$77&lt;0)), " units have ", INDEX(H$6:H$77, MATCH(MAXA(_xlfn._xlws.FILTER(J$6:J$77, H$6:H$77&lt;0)), J$6:J$77, 0))*-100, "% PiN decrease")), " from ",  $Q$2, IF(J$5="", "", _xlfn.CONCAT(" for the ", J$5," population group"))))</f>
        <v>-  from Education for the Residents population group</v>
      </c>
    </row>
    <row r="32" spans="1:28" x14ac:dyDescent="0.55000000000000004">
      <c r="A32" s="95"/>
      <c r="B32" s="93" t="str" cm="1">
        <f t="array" ref="B32">IF($A32="", "", IF(SUM(IF(INDEX(_xlfn._xlws.FILTER(tblPiNAnalysis[[CCCM%]:[WASH%]], tblPiNAnalysis[Population Group]=B$5), 0, MATCH(_xlfn.CONCAT($Q$2, "%"), tblPiNAnalysis[[#Headers],[CCCM%]:[WASH%]], 0))=$A32, 1, 0))=0, "",SUM(IF(INDEX(_xlfn._xlws.FILTER(tblPiNAnalysis[[CCCM%]:[WASH%]], tblPiNAnalysis[Population Group]=B$5), 0, MATCH(_xlfn.CONCAT($Q$2, "%"), tblPiNAnalysis[[#Headers],[CCCM%]:[WASH%]], 0))=$A32, 1, 0))))</f>
        <v/>
      </c>
      <c r="C32" s="93" t="str" cm="1">
        <f t="array" ref="C32">IFERROR(IF(OR($A32="", C$5=""), "", IF(SUM(IF(INDEX(_xlfn._xlws.FILTER(tblPiNAnalysis[[CCCM%]:[WASH%]], tblPiNAnalysis[Population Group]=C$5), 0, MATCH(_xlfn.CONCAT($Q$2, "%"), tblPiNAnalysis[[#Headers],[CCCM%]:[WASH%]], 0))=$A32, 1, 0))=0, "",SUM(IF(INDEX(_xlfn._xlws.FILTER(tblPiNAnalysis[[CCCM%]:[WASH%]], tblPiNAnalysis[Population Group]=C$5), 0, MATCH(_xlfn.CONCAT($Q$2, "%"), tblPiNAnalysis[[#Headers],[CCCM%]:[WASH%]], 0))=$A32, 1, 0)))), "")</f>
        <v/>
      </c>
      <c r="D32" s="93" t="str" cm="1">
        <f t="array" ref="D32">IFERROR(IF(OR($A32="", D$5=""), "", IF(SUM(IF(INDEX(_xlfn._xlws.FILTER(tblPiNAnalysis[[CCCM%]:[WASH%]], tblPiNAnalysis[Population Group]=D$5), 0, MATCH(_xlfn.CONCAT($Q$2, "%"), tblPiNAnalysis[[#Headers],[CCCM%]:[WASH%]], 0))=$A32, 1, 0))=0, "",SUM(IF(INDEX(_xlfn._xlws.FILTER(tblPiNAnalysis[[CCCM%]:[WASH%]], tblPiNAnalysis[Population Group]=D$5), 0, MATCH(_xlfn.CONCAT($Q$2, "%"), tblPiNAnalysis[[#Headers],[CCCM%]:[WASH%]], 0))=$A32, 1, 0)))), "")</f>
        <v/>
      </c>
      <c r="E32" s="93" t="str" cm="1">
        <f t="array" ref="E32">IFERROR(IF(OR($A32="", E$5=""), "", IF(SUM(IF(INDEX(_xlfn._xlws.FILTER(tblPiNAnalysis[[CCCM%]:[WASH%]], tblPiNAnalysis[Population Group]=E$5), 0, MATCH(_xlfn.CONCAT($Q$2, "%"), tblPiNAnalysis[[#Headers],[CCCM%]:[WASH%]], 0))=$A32, 1, 0))=0, "",SUM(IF(INDEX(_xlfn._xlws.FILTER(tblPiNAnalysis[[CCCM%]:[WASH%]], tblPiNAnalysis[Population Group]=E$5), 0, MATCH(_xlfn.CONCAT($Q$2, "%"), tblPiNAnalysis[[#Headers],[CCCM%]:[WASH%]], 0))=$A32, 1, 0)))), "")</f>
        <v/>
      </c>
      <c r="F32" s="93" t="str" cm="1">
        <f t="array" ref="F32">IFERROR(IF(OR($A32="", F$5=""), "", IF(SUM(IF(INDEX(_xlfn._xlws.FILTER(tblPiNAnalysis[[CCCM%]:[WASH%]], tblPiNAnalysis[CCCM]=F$5), 0, MATCH(_xlfn.CONCAT($Q$2, "%"), tblPiNAnalysis[[#Headers],[CCCM%]:[WASH%]], 0))=$A32, 1, 0))=0, "",SUM(IF(INDEX(_xlfn._xlws.FILTER(tblPiNAnalysis[[CCCM%]:[WASH%]], tblPiNAnalysis[CCCM]=F$5), 0, MATCH(_xlfn.CONCAT($Q$2, "%"), tblPiNAnalysis[[#Headers],[CCCM%]:[WASH%]], 0))=$A32, 1, 0)))), "")</f>
        <v/>
      </c>
      <c r="H32" s="95">
        <v>1.6</v>
      </c>
      <c r="I32" s="93" cm="1">
        <f t="array" ref="I32">IF($H32="", "", IF($H32=2, SUM(IF(INDEX(_xlfn._xlws.FILTER(tblPiNHistorical[[CCCM]:[WASH]], tblPiNHistorical[Population Group]=I$5), 0, MATCH($Q$2, tblPiNHistorical[[#Headers],[CCCM]:[WASH]], 0))&gt;1.9, 1, 0)), IF(SUM(IF(INDEX(_xlfn._xlws.FILTER(tblPiNHistorical[[CCCM]:[WASH]], tblPiNHistorical[Population Group]=I$5), 0, MATCH($Q$2, tblPiNHistorical[[#Headers],[CCCM]:[WASH]], 0))=$H32, 1, 0))=0, "", SUM(IF(INDEX(_xlfn._xlws.FILTER(tblPiNHistorical[[CCCM]:[WASH]], tblPiNHistorical[Population Group]=I$5), 0, MATCH($Q$2, tblPiNHistorical[[#Headers],[CCCM]:[WASH]], 0))=$H32, 1, 0)))))</f>
        <v>1</v>
      </c>
      <c r="J32" s="93" t="str" cm="1">
        <f t="array" ref="J32">IFERROR(IF(OR($H32="", J31=""), "", IF($H32=2, SUM(IF(INDEX(_xlfn._xlws.FILTER(tblPiNHistorical[[CCCM]:[WASH]], tblPiNHistorical[Population Group]=J$5), 0, MATCH($Q$2, tblPiNHistorical[[#Headers],[CCCM]:[WASH]], 0))&gt;1.9, 1, 0)), IF(SUM(IF(INDEX(_xlfn._xlws.FILTER(tblPiNHistorical[[CCCM]:[WASH]], tblPiNHistorical[Population Group]=J$5), 0, MATCH($Q$2, tblPiNHistorical[[#Headers],[CCCM]:[WASH]], 0))=$H32, 1, 0))=0, "", SUM(IF(INDEX(_xlfn._xlws.FILTER(tblPiNHistorical[[CCCM]:[WASH]], tblPiNHistorical[Population Group]=J$5), 0, MATCH($Q$2, tblPiNHistorical[[#Headers],[CCCM]:[WASH]], 0))=$H32, 1, 0))))), "")</f>
        <v/>
      </c>
      <c r="K32" s="93" t="str" cm="1">
        <f t="array" ref="K32">IFERROR(IF(OR($H32="", K31=""), "", IF($H32=2, SUM(IF(INDEX(_xlfn._xlws.FILTER(tblPiNHistorical[[CCCM]:[WASH]], tblPiNHistorical[CCCM - old]=K$5), 0, MATCH($Q$2, tblPiNHistorical[[#Headers],[CCCM]:[WASH]], 0))&gt;1.9, 1, 0)), IF(SUM(IF(INDEX(_xlfn._xlws.FILTER(tblPiNHistorical[[CCCM]:[WASH]], tblPiNHistorical[CCCM - old]=K$5), 0, MATCH($Q$2, tblPiNHistorical[[#Headers],[CCCM]:[WASH]], 0))=$H32, 1, 0))=0, "", SUM(IF(INDEX(_xlfn._xlws.FILTER(tblPiNHistorical[[CCCM]:[WASH]], tblPiNHistorical[CCCM - old]=K$5), 0, MATCH($Q$2, tblPiNHistorical[[#Headers],[CCCM]:[WASH]], 0))=$H32, 1, 0))))), "")</f>
        <v/>
      </c>
      <c r="L32" s="93" t="str" cm="1">
        <f t="array" ref="L32">IFERROR(IF(OR($H32="", L31=""), "", IF($H32=2, SUM(IF(INDEX(_xlfn._xlws.FILTER(tblPiNHistorical[[CCCM]:[WASH]],#REF!= L$5), 0, MATCH($Q$2, tblPiNHistorical[[#Headers],[CCCM]:[WASH]], 0))&gt;1.9, 1, 0)), IF(SUM(IF(INDEX(_xlfn._xlws.FILTER(tblPiNHistorical[[CCCM]:[WASH]],#REF!= L$5), 0, MATCH($Q$2, tblPiNHistorical[[#Headers],[CCCM]:[WASH]], 0))=$H32, 1, 0))=0, "", SUM(IF(INDEX(_xlfn._xlws.FILTER(tblPiNHistorical[[CCCM]:[WASH]],#REF!= L$5), 0, MATCH($Q$2, tblPiNHistorical[[#Headers],[CCCM]:[WASH]], 0))=$H32, 1, 0))))), "")</f>
        <v/>
      </c>
      <c r="M32" s="93" t="str" cm="1">
        <f t="array" ref="M32">IFERROR(IF(OR($H32="", M31=""), "", IF($H32=2, SUM(IF(INDEX(_xlfn._xlws.FILTER(tblPiNHistorical[[CCCM]:[WASH]],#REF!= M$5), 0, MATCH($Q$2, tblPiNHistorical[[#Headers],[CCCM]:[WASH]], 0))&gt;1.9, 1, 0)), IF(SUM(IF(INDEX(_xlfn._xlws.FILTER(tblPiNHistorical[[CCCM]:[WASH]],#REF!= M$5), 0, MATCH($Q$2, tblPiNHistorical[[#Headers],[CCCM]:[WASH]], 0))=$H32, 1, 0))=0, "", SUM(IF(INDEX(_xlfn._xlws.FILTER(tblPiNHistorical[[CCCM]:[WASH]],#REF!= M$5), 0, MATCH($Q$2, tblPiNHistorical[[#Headers],[CCCM]:[WASH]], 0))=$H32, 1, 0))))), "")</f>
        <v/>
      </c>
      <c r="Q32" t="str">
        <f>IF(D$5 = "", "", _xlfn.CONCAT("- ", MAXA(D$6:D$77)," units of ", D$5, " population group have a % PiN at of ", INDEX(A$6:A$77, MATCH(MAXA(D$6:D$77), D$6:D$77, 0))*100, "%"))</f>
        <v>- 19 units of Returnees population group have a % PiN at of 20%</v>
      </c>
      <c r="Z32" s="172"/>
      <c r="AB32" t="str" cm="1">
        <f t="array" ref="AB32">IF(K$5="", "", _xlfn.CONCAT("- ", IF(IFERROR(MAXA(_xlfn._xlws.FILTER(K$6:K$77, H$6:H$77&gt;0)), 0) = 0, "", _xlfn.CONCAT(MAXA(_xlfn._xlws.FILTER(K$6:K$77, H$6:H$77&gt;0)), " units have ", INDEX(H$6:H$77, MATCH(MAXA(_xlfn._xlws.FILTER(K$6:K$77, H$6:H$77&gt;0)), K$6:K$77, 0))*100, "% PiN increase")), IF(OR(IFERROR(MAXA(_xlfn._xlws.FILTER(K$6:K$77, H$6:H$77&gt;0)), 0) = 0,IFERROR(MAXA(_xlfn._xlws.FILTER(K$6:K$77, H$6:H$77&lt;0)), 0) = 0), "", " and "), IF(IFERROR(MAXA(_xlfn._xlws.FILTER(K$6:K$77, H$6:H$77&lt;0)), 0)=0, "", _xlfn.CONCAT(MAXA(_xlfn._xlws.FILTER(K$6:K$77, H$6:H$77&lt;0)), " units have ", INDEX(H$6:H$77, MATCH(MAXA(_xlfn._xlws.FILTER(K$6:K$77, H$6:H$77&lt;0)), K$6:K$77, 0))*-100, "% PiN decrease")), " from ",  $Q$2, IF(K$5="", "", _xlfn.CONCAT(" for the ", K$5," population group"))))</f>
        <v>-  from Education for the Returnees population group</v>
      </c>
    </row>
    <row r="33" spans="1:28" x14ac:dyDescent="0.55000000000000004">
      <c r="A33" s="95"/>
      <c r="B33" s="93" t="str" cm="1">
        <f t="array" ref="B33">IF($A33="", "", IF(SUM(IF(INDEX(_xlfn._xlws.FILTER(tblPiNAnalysis[[CCCM%]:[WASH%]], tblPiNAnalysis[Population Group]=B$5), 0, MATCH(_xlfn.CONCAT($Q$2, "%"), tblPiNAnalysis[[#Headers],[CCCM%]:[WASH%]], 0))=$A33, 1, 0))=0, "",SUM(IF(INDEX(_xlfn._xlws.FILTER(tblPiNAnalysis[[CCCM%]:[WASH%]], tblPiNAnalysis[Population Group]=B$5), 0, MATCH(_xlfn.CONCAT($Q$2, "%"), tblPiNAnalysis[[#Headers],[CCCM%]:[WASH%]], 0))=$A33, 1, 0))))</f>
        <v/>
      </c>
      <c r="C33" s="93" t="str" cm="1">
        <f t="array" ref="C33">IFERROR(IF(OR($A33="", C$5=""), "", IF(SUM(IF(INDEX(_xlfn._xlws.FILTER(tblPiNAnalysis[[CCCM%]:[WASH%]], tblPiNAnalysis[Population Group]=C$5), 0, MATCH(_xlfn.CONCAT($Q$2, "%"), tblPiNAnalysis[[#Headers],[CCCM%]:[WASH%]], 0))=$A33, 1, 0))=0, "",SUM(IF(INDEX(_xlfn._xlws.FILTER(tblPiNAnalysis[[CCCM%]:[WASH%]], tblPiNAnalysis[Population Group]=C$5), 0, MATCH(_xlfn.CONCAT($Q$2, "%"), tblPiNAnalysis[[#Headers],[CCCM%]:[WASH%]], 0))=$A33, 1, 0)))), "")</f>
        <v/>
      </c>
      <c r="D33" s="93" t="str" cm="1">
        <f t="array" ref="D33">IFERROR(IF(OR($A33="", D$5=""), "", IF(SUM(IF(INDEX(_xlfn._xlws.FILTER(tblPiNAnalysis[[CCCM%]:[WASH%]], tblPiNAnalysis[Population Group]=D$5), 0, MATCH(_xlfn.CONCAT($Q$2, "%"), tblPiNAnalysis[[#Headers],[CCCM%]:[WASH%]], 0))=$A33, 1, 0))=0, "",SUM(IF(INDEX(_xlfn._xlws.FILTER(tblPiNAnalysis[[CCCM%]:[WASH%]], tblPiNAnalysis[Population Group]=D$5), 0, MATCH(_xlfn.CONCAT($Q$2, "%"), tblPiNAnalysis[[#Headers],[CCCM%]:[WASH%]], 0))=$A33, 1, 0)))), "")</f>
        <v/>
      </c>
      <c r="E33" s="93" t="str" cm="1">
        <f t="array" ref="E33">IFERROR(IF(OR($A33="", E$5=""), "", IF(SUM(IF(INDEX(_xlfn._xlws.FILTER(tblPiNAnalysis[[CCCM%]:[WASH%]], tblPiNAnalysis[Population Group]=E$5), 0, MATCH(_xlfn.CONCAT($Q$2, "%"), tblPiNAnalysis[[#Headers],[CCCM%]:[WASH%]], 0))=$A33, 1, 0))=0, "",SUM(IF(INDEX(_xlfn._xlws.FILTER(tblPiNAnalysis[[CCCM%]:[WASH%]], tblPiNAnalysis[Population Group]=E$5), 0, MATCH(_xlfn.CONCAT($Q$2, "%"), tblPiNAnalysis[[#Headers],[CCCM%]:[WASH%]], 0))=$A33, 1, 0)))), "")</f>
        <v/>
      </c>
      <c r="F33" s="93" t="str" cm="1">
        <f t="array" ref="F33">IFERROR(IF(OR($A33="", F$5=""), "", IF(SUM(IF(INDEX(_xlfn._xlws.FILTER(tblPiNAnalysis[[CCCM%]:[WASH%]], tblPiNAnalysis[CCCM]=F$5), 0, MATCH(_xlfn.CONCAT($Q$2, "%"), tblPiNAnalysis[[#Headers],[CCCM%]:[WASH%]], 0))=$A33, 1, 0))=0, "",SUM(IF(INDEX(_xlfn._xlws.FILTER(tblPiNAnalysis[[CCCM%]:[WASH%]], tblPiNAnalysis[CCCM]=F$5), 0, MATCH(_xlfn.CONCAT($Q$2, "%"), tblPiNAnalysis[[#Headers],[CCCM%]:[WASH%]], 0))=$A33, 1, 0)))), "")</f>
        <v/>
      </c>
      <c r="H33" s="95">
        <v>1.7</v>
      </c>
      <c r="I33" s="93" t="str" cm="1">
        <f t="array" ref="I33">IF($H33="", "", IF($H33=2, SUM(IF(INDEX(_xlfn._xlws.FILTER(tblPiNHistorical[[CCCM]:[WASH]], tblPiNHistorical[Population Group]=I$5), 0, MATCH($Q$2, tblPiNHistorical[[#Headers],[CCCM]:[WASH]], 0))&gt;1.9, 1, 0)), IF(SUM(IF(INDEX(_xlfn._xlws.FILTER(tblPiNHistorical[[CCCM]:[WASH]], tblPiNHistorical[Population Group]=I$5), 0, MATCH($Q$2, tblPiNHistorical[[#Headers],[CCCM]:[WASH]], 0))=$H33, 1, 0))=0, "", SUM(IF(INDEX(_xlfn._xlws.FILTER(tblPiNHistorical[[CCCM]:[WASH]], tblPiNHistorical[Population Group]=I$5), 0, MATCH($Q$2, tblPiNHistorical[[#Headers],[CCCM]:[WASH]], 0))=$H33, 1, 0)))))</f>
        <v/>
      </c>
      <c r="J33" s="93" t="str" cm="1">
        <f t="array" ref="J33">IFERROR(IF(OR($H33="", J32=""), "", IF($H33=2, SUM(IF(INDEX(_xlfn._xlws.FILTER(tblPiNHistorical[[CCCM]:[WASH]], tblPiNHistorical[Population Group]=J$5), 0, MATCH($Q$2, tblPiNHistorical[[#Headers],[CCCM]:[WASH]], 0))&gt;1.9, 1, 0)), IF(SUM(IF(INDEX(_xlfn._xlws.FILTER(tblPiNHistorical[[CCCM]:[WASH]], tblPiNHistorical[Population Group]=J$5), 0, MATCH($Q$2, tblPiNHistorical[[#Headers],[CCCM]:[WASH]], 0))=$H33, 1, 0))=0, "", SUM(IF(INDEX(_xlfn._xlws.FILTER(tblPiNHistorical[[CCCM]:[WASH]], tblPiNHistorical[Population Group]=J$5), 0, MATCH($Q$2, tblPiNHistorical[[#Headers],[CCCM]:[WASH]], 0))=$H33, 1, 0))))), "")</f>
        <v/>
      </c>
      <c r="K33" s="93" t="str" cm="1">
        <f t="array" ref="K33">IFERROR(IF(OR($H33="", K32=""), "", IF($H33=2, SUM(IF(INDEX(_xlfn._xlws.FILTER(tblPiNHistorical[[CCCM]:[WASH]], tblPiNHistorical[CCCM - old]=K$5), 0, MATCH($Q$2, tblPiNHistorical[[#Headers],[CCCM]:[WASH]], 0))&gt;1.9, 1, 0)), IF(SUM(IF(INDEX(_xlfn._xlws.FILTER(tblPiNHistorical[[CCCM]:[WASH]], tblPiNHistorical[CCCM - old]=K$5), 0, MATCH($Q$2, tblPiNHistorical[[#Headers],[CCCM]:[WASH]], 0))=$H33, 1, 0))=0, "", SUM(IF(INDEX(_xlfn._xlws.FILTER(tblPiNHistorical[[CCCM]:[WASH]], tblPiNHistorical[CCCM - old]=K$5), 0, MATCH($Q$2, tblPiNHistorical[[#Headers],[CCCM]:[WASH]], 0))=$H33, 1, 0))))), "")</f>
        <v/>
      </c>
      <c r="L33" s="93" t="str" cm="1">
        <f t="array" ref="L33">IFERROR(IF(OR($H33="", L32=""), "", IF($H33=2, SUM(IF(INDEX(_xlfn._xlws.FILTER(tblPiNHistorical[[CCCM]:[WASH]],#REF!= L$5), 0, MATCH($Q$2, tblPiNHistorical[[#Headers],[CCCM]:[WASH]], 0))&gt;1.9, 1, 0)), IF(SUM(IF(INDEX(_xlfn._xlws.FILTER(tblPiNHistorical[[CCCM]:[WASH]],#REF!= L$5), 0, MATCH($Q$2, tblPiNHistorical[[#Headers],[CCCM]:[WASH]], 0))=$H33, 1, 0))=0, "", SUM(IF(INDEX(_xlfn._xlws.FILTER(tblPiNHistorical[[CCCM]:[WASH]],#REF!= L$5), 0, MATCH($Q$2, tblPiNHistorical[[#Headers],[CCCM]:[WASH]], 0))=$H33, 1, 0))))), "")</f>
        <v/>
      </c>
      <c r="M33" s="93" t="str" cm="1">
        <f t="array" ref="M33">IFERROR(IF(OR($H33="", M32=""), "", IF($H33=2, SUM(IF(INDEX(_xlfn._xlws.FILTER(tblPiNHistorical[[CCCM]:[WASH]],#REF!= M$5), 0, MATCH($Q$2, tblPiNHistorical[[#Headers],[CCCM]:[WASH]], 0))&gt;1.9, 1, 0)), IF(SUM(IF(INDEX(_xlfn._xlws.FILTER(tblPiNHistorical[[CCCM]:[WASH]],#REF!= M$5), 0, MATCH($Q$2, tblPiNHistorical[[#Headers],[CCCM]:[WASH]], 0))=$H33, 1, 0))=0, "", SUM(IF(INDEX(_xlfn._xlws.FILTER(tblPiNHistorical[[CCCM]:[WASH]],#REF!= M$5), 0, MATCH($Q$2, tblPiNHistorical[[#Headers],[CCCM]:[WASH]], 0))=$H33, 1, 0))))), "")</f>
        <v/>
      </c>
      <c r="Q33" t="str">
        <f>IF(E$5 = "", "", _xlfn.CONCAT("- ", MAXA(E$6:E$77)," units of ", E$5, " population group have a % PiN at of ", INDEX(A$6:A$77, MATCH(MAXA(E$6:E$77), E$6:E$77, 0))*100, "%"))</f>
        <v/>
      </c>
      <c r="Z33" s="172"/>
      <c r="AB33" t="str" cm="1">
        <f t="array" ref="AB33">IF(L$5="", "", _xlfn.CONCAT("- ", IF(IFERROR(MAXA(_xlfn._xlws.FILTER(L$6:L$77, H$6:H$77&gt;0)), 0) = 0, "", _xlfn.CONCAT(MAXA(_xlfn._xlws.FILTER(L$6:L$77, H$6:H$77&gt;0)), " units have ", INDEX(H$6:H$77, MATCH(MAXA(_xlfn._xlws.FILTER(L$6:L$77, H$6:H$77&gt;0)), L$6:L$77, 0))*100, "% PiN increase")), IF(OR(IFERROR(MAXA(_xlfn._xlws.FILTER(L$6:L$77, H$6:H$77&gt;0)), 0) = 0,IFERROR(MAXA(_xlfn._xlws.FILTER(L$6:L$77, H$6:H$77&lt;0)), 0) = 0), "", " and "), IF(IFERROR(MAXA(_xlfn._xlws.FILTER(L$6:L$77, H$6:H$77&lt;0)), 0)=0, "", _xlfn.CONCAT(MAXA(_xlfn._xlws.FILTER(L$6:L$77, H$6:H$77&lt;0)), " units have ", INDEX(H$6:H$77, MATCH(MAXA(_xlfn._xlws.FILTER(L$6:L$77, H$6:H$77&lt;0)), L$6:L$77, 0))*-100, "% PiN decrease")), " from ",  $Q$2, IF(L$5="", "", _xlfn.CONCAT(" for the ", L$5," population group"))))</f>
        <v/>
      </c>
    </row>
    <row r="34" spans="1:28" x14ac:dyDescent="0.55000000000000004">
      <c r="A34" s="95"/>
      <c r="B34" s="93" t="str" cm="1">
        <f t="array" ref="B34">IF($A34="", "", IF(SUM(IF(INDEX(_xlfn._xlws.FILTER(tblPiNAnalysis[[CCCM%]:[WASH%]], tblPiNAnalysis[Population Group]=B$5), 0, MATCH(_xlfn.CONCAT($Q$2, "%"), tblPiNAnalysis[[#Headers],[CCCM%]:[WASH%]], 0))=$A34, 1, 0))=0, "",SUM(IF(INDEX(_xlfn._xlws.FILTER(tblPiNAnalysis[[CCCM%]:[WASH%]], tblPiNAnalysis[Population Group]=B$5), 0, MATCH(_xlfn.CONCAT($Q$2, "%"), tblPiNAnalysis[[#Headers],[CCCM%]:[WASH%]], 0))=$A34, 1, 0))))</f>
        <v/>
      </c>
      <c r="C34" s="93" t="str" cm="1">
        <f t="array" ref="C34">IFERROR(IF(OR($A34="", C$5=""), "", IF(SUM(IF(INDEX(_xlfn._xlws.FILTER(tblPiNAnalysis[[CCCM%]:[WASH%]], tblPiNAnalysis[Population Group]=C$5), 0, MATCH(_xlfn.CONCAT($Q$2, "%"), tblPiNAnalysis[[#Headers],[CCCM%]:[WASH%]], 0))=$A34, 1, 0))=0, "",SUM(IF(INDEX(_xlfn._xlws.FILTER(tblPiNAnalysis[[CCCM%]:[WASH%]], tblPiNAnalysis[Population Group]=C$5), 0, MATCH(_xlfn.CONCAT($Q$2, "%"), tblPiNAnalysis[[#Headers],[CCCM%]:[WASH%]], 0))=$A34, 1, 0)))), "")</f>
        <v/>
      </c>
      <c r="D34" s="93" t="str" cm="1">
        <f t="array" ref="D34">IFERROR(IF(OR($A34="", D$5=""), "", IF(SUM(IF(INDEX(_xlfn._xlws.FILTER(tblPiNAnalysis[[CCCM%]:[WASH%]], tblPiNAnalysis[Population Group]=D$5), 0, MATCH(_xlfn.CONCAT($Q$2, "%"), tblPiNAnalysis[[#Headers],[CCCM%]:[WASH%]], 0))=$A34, 1, 0))=0, "",SUM(IF(INDEX(_xlfn._xlws.FILTER(tblPiNAnalysis[[CCCM%]:[WASH%]], tblPiNAnalysis[Population Group]=D$5), 0, MATCH(_xlfn.CONCAT($Q$2, "%"), tblPiNAnalysis[[#Headers],[CCCM%]:[WASH%]], 0))=$A34, 1, 0)))), "")</f>
        <v/>
      </c>
      <c r="E34" s="93" t="str" cm="1">
        <f t="array" ref="E34">IFERROR(IF(OR($A34="", E$5=""), "", IF(SUM(IF(INDEX(_xlfn._xlws.FILTER(tblPiNAnalysis[[CCCM%]:[WASH%]], tblPiNAnalysis[Population Group]=E$5), 0, MATCH(_xlfn.CONCAT($Q$2, "%"), tblPiNAnalysis[[#Headers],[CCCM%]:[WASH%]], 0))=$A34, 1, 0))=0, "",SUM(IF(INDEX(_xlfn._xlws.FILTER(tblPiNAnalysis[[CCCM%]:[WASH%]], tblPiNAnalysis[Population Group]=E$5), 0, MATCH(_xlfn.CONCAT($Q$2, "%"), tblPiNAnalysis[[#Headers],[CCCM%]:[WASH%]], 0))=$A34, 1, 0)))), "")</f>
        <v/>
      </c>
      <c r="F34" s="93" t="str" cm="1">
        <f t="array" ref="F34">IFERROR(IF(OR($A34="", F$5=""), "", IF(SUM(IF(INDEX(_xlfn._xlws.FILTER(tblPiNAnalysis[[CCCM%]:[WASH%]], tblPiNAnalysis[CCCM]=F$5), 0, MATCH(_xlfn.CONCAT($Q$2, "%"), tblPiNAnalysis[[#Headers],[CCCM%]:[WASH%]], 0))=$A34, 1, 0))=0, "",SUM(IF(INDEX(_xlfn._xlws.FILTER(tblPiNAnalysis[[CCCM%]:[WASH%]], tblPiNAnalysis[CCCM]=F$5), 0, MATCH(_xlfn.CONCAT($Q$2, "%"), tblPiNAnalysis[[#Headers],[CCCM%]:[WASH%]], 0))=$A34, 1, 0)))), "")</f>
        <v/>
      </c>
      <c r="H34" s="95">
        <v>1.8</v>
      </c>
      <c r="I34" s="93" cm="1">
        <f t="array" ref="I34">IF($H34="", "", IF($H34=2, SUM(IF(INDEX(_xlfn._xlws.FILTER(tblPiNHistorical[[CCCM]:[WASH]], tblPiNHistorical[Population Group]=I$5), 0, MATCH($Q$2, tblPiNHistorical[[#Headers],[CCCM]:[WASH]], 0))&gt;1.9, 1, 0)), IF(SUM(IF(INDEX(_xlfn._xlws.FILTER(tblPiNHistorical[[CCCM]:[WASH]], tblPiNHistorical[Population Group]=I$5), 0, MATCH($Q$2, tblPiNHistorical[[#Headers],[CCCM]:[WASH]], 0))=$H34, 1, 0))=0, "", SUM(IF(INDEX(_xlfn._xlws.FILTER(tblPiNHistorical[[CCCM]:[WASH]], tblPiNHistorical[Population Group]=I$5), 0, MATCH($Q$2, tblPiNHistorical[[#Headers],[CCCM]:[WASH]], 0))=$H34, 1, 0)))))</f>
        <v>1</v>
      </c>
      <c r="J34" s="93" t="str" cm="1">
        <f t="array" ref="J34">IFERROR(IF(OR($H34="", J33=""), "", IF($H34=2, SUM(IF(INDEX(_xlfn._xlws.FILTER(tblPiNHistorical[[CCCM]:[WASH]], tblPiNHistorical[Population Group]=J$5), 0, MATCH($Q$2, tblPiNHistorical[[#Headers],[CCCM]:[WASH]], 0))&gt;1.9, 1, 0)), IF(SUM(IF(INDEX(_xlfn._xlws.FILTER(tblPiNHistorical[[CCCM]:[WASH]], tblPiNHistorical[Population Group]=J$5), 0, MATCH($Q$2, tblPiNHistorical[[#Headers],[CCCM]:[WASH]], 0))=$H34, 1, 0))=0, "", SUM(IF(INDEX(_xlfn._xlws.FILTER(tblPiNHistorical[[CCCM]:[WASH]], tblPiNHistorical[Population Group]=J$5), 0, MATCH($Q$2, tblPiNHistorical[[#Headers],[CCCM]:[WASH]], 0))=$H34, 1, 0))))), "")</f>
        <v/>
      </c>
      <c r="K34" s="93" t="str" cm="1">
        <f t="array" ref="K34">IFERROR(IF(OR($H34="", K33=""), "", IF($H34=2, SUM(IF(INDEX(_xlfn._xlws.FILTER(tblPiNHistorical[[CCCM]:[WASH]], tblPiNHistorical[CCCM - old]=K$5), 0, MATCH($Q$2, tblPiNHistorical[[#Headers],[CCCM]:[WASH]], 0))&gt;1.9, 1, 0)), IF(SUM(IF(INDEX(_xlfn._xlws.FILTER(tblPiNHistorical[[CCCM]:[WASH]], tblPiNHistorical[CCCM - old]=K$5), 0, MATCH($Q$2, tblPiNHistorical[[#Headers],[CCCM]:[WASH]], 0))=$H34, 1, 0))=0, "", SUM(IF(INDEX(_xlfn._xlws.FILTER(tblPiNHistorical[[CCCM]:[WASH]], tblPiNHistorical[CCCM - old]=K$5), 0, MATCH($Q$2, tblPiNHistorical[[#Headers],[CCCM]:[WASH]], 0))=$H34, 1, 0))))), "")</f>
        <v/>
      </c>
      <c r="L34" s="93" t="str" cm="1">
        <f t="array" ref="L34">IFERROR(IF(OR($H34="", L33=""), "", IF($H34=2, SUM(IF(INDEX(_xlfn._xlws.FILTER(tblPiNHistorical[[CCCM]:[WASH]],#REF!= L$5), 0, MATCH($Q$2, tblPiNHistorical[[#Headers],[CCCM]:[WASH]], 0))&gt;1.9, 1, 0)), IF(SUM(IF(INDEX(_xlfn._xlws.FILTER(tblPiNHistorical[[CCCM]:[WASH]],#REF!= L$5), 0, MATCH($Q$2, tblPiNHistorical[[#Headers],[CCCM]:[WASH]], 0))=$H34, 1, 0))=0, "", SUM(IF(INDEX(_xlfn._xlws.FILTER(tblPiNHistorical[[CCCM]:[WASH]],#REF!= L$5), 0, MATCH($Q$2, tblPiNHistorical[[#Headers],[CCCM]:[WASH]], 0))=$H34, 1, 0))))), "")</f>
        <v/>
      </c>
      <c r="M34" s="93" t="str" cm="1">
        <f t="array" ref="M34">IFERROR(IF(OR($H34="", M33=""), "", IF($H34=2, SUM(IF(INDEX(_xlfn._xlws.FILTER(tblPiNHistorical[[CCCM]:[WASH]],#REF!= M$5), 0, MATCH($Q$2, tblPiNHistorical[[#Headers],[CCCM]:[WASH]], 0))&gt;1.9, 1, 0)), IF(SUM(IF(INDEX(_xlfn._xlws.FILTER(tblPiNHistorical[[CCCM]:[WASH]],#REF!= M$5), 0, MATCH($Q$2, tblPiNHistorical[[#Headers],[CCCM]:[WASH]], 0))=$H34, 1, 0))=0, "", SUM(IF(INDEX(_xlfn._xlws.FILTER(tblPiNHistorical[[CCCM]:[WASH]],#REF!= M$5), 0, MATCH($Q$2, tblPiNHistorical[[#Headers],[CCCM]:[WASH]], 0))=$H34, 1, 0))))), "")</f>
        <v/>
      </c>
      <c r="Q34" t="str">
        <f>IF(F$5 = "", "", _xlfn.CONCAT("- ", MAXA(F$6:F$77)," units of ", F$5, " population group have a % PiN at of ", INDEX(A$6:A$77, MATCH(MAXA(F$6:F$77), F$6:F$77, 0))*100, "%"))</f>
        <v/>
      </c>
      <c r="AB34" t="str" cm="1">
        <f t="array" ref="AB34">IF(M$5="", "", _xlfn.CONCAT("- ", IF(IFERROR(MAXA(_xlfn._xlws.FILTER(M$6:M$77, H$6:H$77&gt;0)), 0) = 0, "", _xlfn.CONCAT(MAXA(_xlfn._xlws.FILTER(M$6:M$77, H$6:H$77&gt;0)), " units have ", INDEX(H$6:H$77, MATCH(MAXA(_xlfn._xlws.FILTER(M$6:M$77, H$6:H$77&gt;0)), M$6:M$77, 0))*100, "% PiN increase")), IF(OR(IFERROR(MAXA(_xlfn._xlws.FILTER(M$6:M$77, H$6:H$77&gt;0)), 0) = 0,IFERROR(MAXA(_xlfn._xlws.FILTER(M$6:M$77, H$6:H$77&lt;0)), 0) = 0), "", " and "), IF(IFERROR(MAXA(_xlfn._xlws.FILTER(M$6:M$77, H$6:H$77&lt;0)), 0)=0, "", _xlfn.CONCAT(MAXA(_xlfn._xlws.FILTER(M$6:M$77, H$6:H$77&lt;0)), " units have ", INDEX(H$6:H$77, MATCH(MAXA(_xlfn._xlws.FILTER(M$6:M$77, H$6:H$77&lt;0)), M$6:M$77, 0))*-100, "% PiN decrease")), " from ",  $Q$2, IF(M$5="", "", _xlfn.CONCAT(" for the ", M$5," population group"))))</f>
        <v/>
      </c>
    </row>
    <row r="35" spans="1:28" x14ac:dyDescent="0.55000000000000004">
      <c r="A35" s="95"/>
      <c r="B35" s="93" t="str" cm="1">
        <f t="array" ref="B35">IF($A35="", "", IF(SUM(IF(INDEX(_xlfn._xlws.FILTER(tblPiNAnalysis[[CCCM%]:[WASH%]], tblPiNAnalysis[Population Group]=B$5), 0, MATCH(_xlfn.CONCAT($Q$2, "%"), tblPiNAnalysis[[#Headers],[CCCM%]:[WASH%]], 0))=$A35, 1, 0))=0, "",SUM(IF(INDEX(_xlfn._xlws.FILTER(tblPiNAnalysis[[CCCM%]:[WASH%]], tblPiNAnalysis[Population Group]=B$5), 0, MATCH(_xlfn.CONCAT($Q$2, "%"), tblPiNAnalysis[[#Headers],[CCCM%]:[WASH%]], 0))=$A35, 1, 0))))</f>
        <v/>
      </c>
      <c r="C35" s="93" t="str" cm="1">
        <f t="array" ref="C35">IFERROR(IF(OR($A35="", C$5=""), "", IF(SUM(IF(INDEX(_xlfn._xlws.FILTER(tblPiNAnalysis[[CCCM%]:[WASH%]], tblPiNAnalysis[Population Group]=C$5), 0, MATCH(_xlfn.CONCAT($Q$2, "%"), tblPiNAnalysis[[#Headers],[CCCM%]:[WASH%]], 0))=$A35, 1, 0))=0, "",SUM(IF(INDEX(_xlfn._xlws.FILTER(tblPiNAnalysis[[CCCM%]:[WASH%]], tblPiNAnalysis[Population Group]=C$5), 0, MATCH(_xlfn.CONCAT($Q$2, "%"), tblPiNAnalysis[[#Headers],[CCCM%]:[WASH%]], 0))=$A35, 1, 0)))), "")</f>
        <v/>
      </c>
      <c r="D35" s="93" t="str" cm="1">
        <f t="array" ref="D35">IFERROR(IF(OR($A35="", D$5=""), "", IF(SUM(IF(INDEX(_xlfn._xlws.FILTER(tblPiNAnalysis[[CCCM%]:[WASH%]], tblPiNAnalysis[Population Group]=D$5), 0, MATCH(_xlfn.CONCAT($Q$2, "%"), tblPiNAnalysis[[#Headers],[CCCM%]:[WASH%]], 0))=$A35, 1, 0))=0, "",SUM(IF(INDEX(_xlfn._xlws.FILTER(tblPiNAnalysis[[CCCM%]:[WASH%]], tblPiNAnalysis[Population Group]=D$5), 0, MATCH(_xlfn.CONCAT($Q$2, "%"), tblPiNAnalysis[[#Headers],[CCCM%]:[WASH%]], 0))=$A35, 1, 0)))), "")</f>
        <v/>
      </c>
      <c r="E35" s="93" t="str" cm="1">
        <f t="array" ref="E35">IFERROR(IF(OR($A35="", E$5=""), "", IF(SUM(IF(INDEX(_xlfn._xlws.FILTER(tblPiNAnalysis[[CCCM%]:[WASH%]], tblPiNAnalysis[Population Group]=E$5), 0, MATCH(_xlfn.CONCAT($Q$2, "%"), tblPiNAnalysis[[#Headers],[CCCM%]:[WASH%]], 0))=$A35, 1, 0))=0, "",SUM(IF(INDEX(_xlfn._xlws.FILTER(tblPiNAnalysis[[CCCM%]:[WASH%]], tblPiNAnalysis[Population Group]=E$5), 0, MATCH(_xlfn.CONCAT($Q$2, "%"), tblPiNAnalysis[[#Headers],[CCCM%]:[WASH%]], 0))=$A35, 1, 0)))), "")</f>
        <v/>
      </c>
      <c r="F35" s="93" t="str" cm="1">
        <f t="array" ref="F35">IFERROR(IF(OR($A35="", F$5=""), "", IF(SUM(IF(INDEX(_xlfn._xlws.FILTER(tblPiNAnalysis[[CCCM%]:[WASH%]], tblPiNAnalysis[CCCM]=F$5), 0, MATCH(_xlfn.CONCAT($Q$2, "%"), tblPiNAnalysis[[#Headers],[CCCM%]:[WASH%]], 0))=$A35, 1, 0))=0, "",SUM(IF(INDEX(_xlfn._xlws.FILTER(tblPiNAnalysis[[CCCM%]:[WASH%]], tblPiNAnalysis[CCCM]=F$5), 0, MATCH(_xlfn.CONCAT($Q$2, "%"), tblPiNAnalysis[[#Headers],[CCCM%]:[WASH%]], 0))=$A35, 1, 0)))), "")</f>
        <v/>
      </c>
      <c r="H35" s="95">
        <v>1.9</v>
      </c>
      <c r="I35" s="93" t="str" cm="1">
        <f t="array" ref="I35">IF($H35="", "", IF($H35=2, SUM(IF(INDEX(_xlfn._xlws.FILTER(tblPiNHistorical[[CCCM]:[WASH]], tblPiNHistorical[Population Group]=I$5), 0, MATCH($Q$2, tblPiNHistorical[[#Headers],[CCCM]:[WASH]], 0))&gt;1.9, 1, 0)), IF(SUM(IF(INDEX(_xlfn._xlws.FILTER(tblPiNHistorical[[CCCM]:[WASH]], tblPiNHistorical[Population Group]=I$5), 0, MATCH($Q$2, tblPiNHistorical[[#Headers],[CCCM]:[WASH]], 0))=$H35, 1, 0))=0, "", SUM(IF(INDEX(_xlfn._xlws.FILTER(tblPiNHistorical[[CCCM]:[WASH]], tblPiNHistorical[Population Group]=I$5), 0, MATCH($Q$2, tblPiNHistorical[[#Headers],[CCCM]:[WASH]], 0))=$H35, 1, 0)))))</f>
        <v/>
      </c>
      <c r="J35" s="93" t="str" cm="1">
        <f t="array" ref="J35">IFERROR(IF(OR($H35="", J34=""), "", IF($H35=2, SUM(IF(INDEX(_xlfn._xlws.FILTER(tblPiNHistorical[[CCCM]:[WASH]], tblPiNHistorical[Population Group]=J$5), 0, MATCH($Q$2, tblPiNHistorical[[#Headers],[CCCM]:[WASH]], 0))&gt;1.9, 1, 0)), IF(SUM(IF(INDEX(_xlfn._xlws.FILTER(tblPiNHistorical[[CCCM]:[WASH]], tblPiNHistorical[Population Group]=J$5), 0, MATCH($Q$2, tblPiNHistorical[[#Headers],[CCCM]:[WASH]], 0))=$H35, 1, 0))=0, "", SUM(IF(INDEX(_xlfn._xlws.FILTER(tblPiNHistorical[[CCCM]:[WASH]], tblPiNHistorical[Population Group]=J$5), 0, MATCH($Q$2, tblPiNHistorical[[#Headers],[CCCM]:[WASH]], 0))=$H35, 1, 0))))), "")</f>
        <v/>
      </c>
      <c r="K35" s="93" t="str" cm="1">
        <f t="array" ref="K35">IFERROR(IF(OR($H35="", K34=""), "", IF($H35=2, SUM(IF(INDEX(_xlfn._xlws.FILTER(tblPiNHistorical[[CCCM]:[WASH]], tblPiNHistorical[CCCM - old]=K$5), 0, MATCH($Q$2, tblPiNHistorical[[#Headers],[CCCM]:[WASH]], 0))&gt;1.9, 1, 0)), IF(SUM(IF(INDEX(_xlfn._xlws.FILTER(tblPiNHistorical[[CCCM]:[WASH]], tblPiNHistorical[CCCM - old]=K$5), 0, MATCH($Q$2, tblPiNHistorical[[#Headers],[CCCM]:[WASH]], 0))=$H35, 1, 0))=0, "", SUM(IF(INDEX(_xlfn._xlws.FILTER(tblPiNHistorical[[CCCM]:[WASH]], tblPiNHistorical[CCCM - old]=K$5), 0, MATCH($Q$2, tblPiNHistorical[[#Headers],[CCCM]:[WASH]], 0))=$H35, 1, 0))))), "")</f>
        <v/>
      </c>
      <c r="L35" s="93" t="str" cm="1">
        <f t="array" ref="L35">IFERROR(IF(OR($H35="", L34=""), "", IF($H35=2, SUM(IF(INDEX(_xlfn._xlws.FILTER(tblPiNHistorical[[CCCM]:[WASH]],#REF!= L$5), 0, MATCH($Q$2, tblPiNHistorical[[#Headers],[CCCM]:[WASH]], 0))&gt;1.9, 1, 0)), IF(SUM(IF(INDEX(_xlfn._xlws.FILTER(tblPiNHistorical[[CCCM]:[WASH]],#REF!= L$5), 0, MATCH($Q$2, tblPiNHistorical[[#Headers],[CCCM]:[WASH]], 0))=$H35, 1, 0))=0, "", SUM(IF(INDEX(_xlfn._xlws.FILTER(tblPiNHistorical[[CCCM]:[WASH]],#REF!= L$5), 0, MATCH($Q$2, tblPiNHistorical[[#Headers],[CCCM]:[WASH]], 0))=$H35, 1, 0))))), "")</f>
        <v/>
      </c>
      <c r="M35" s="93" t="str" cm="1">
        <f t="array" ref="M35">IFERROR(IF(OR($H35="", M34=""), "", IF($H35=2, SUM(IF(INDEX(_xlfn._xlws.FILTER(tblPiNHistorical[[CCCM]:[WASH]],#REF!= M$5), 0, MATCH($Q$2, tblPiNHistorical[[#Headers],[CCCM]:[WASH]], 0))&gt;1.9, 1, 0)), IF(SUM(IF(INDEX(_xlfn._xlws.FILTER(tblPiNHistorical[[CCCM]:[WASH]],#REF!= M$5), 0, MATCH($Q$2, tblPiNHistorical[[#Headers],[CCCM]:[WASH]], 0))=$H35, 1, 0))=0, "", SUM(IF(INDEX(_xlfn._xlws.FILTER(tblPiNHistorical[[CCCM]:[WASH]],#REF!= M$5), 0, MATCH($Q$2, tblPiNHistorical[[#Headers],[CCCM]:[WASH]], 0))=$H35, 1, 0))))), "")</f>
        <v/>
      </c>
    </row>
    <row r="36" spans="1:28" x14ac:dyDescent="0.55000000000000004">
      <c r="A36" s="95"/>
      <c r="B36" s="93" t="str" cm="1">
        <f t="array" ref="B36">IF($A36="", "", IF(SUM(IF(INDEX(_xlfn._xlws.FILTER(tblPiNAnalysis[[CCCM%]:[WASH%]], tblPiNAnalysis[Population Group]=B$5), 0, MATCH(_xlfn.CONCAT($Q$2, "%"), tblPiNAnalysis[[#Headers],[CCCM%]:[WASH%]], 0))=$A36, 1, 0))=0, "",SUM(IF(INDEX(_xlfn._xlws.FILTER(tblPiNAnalysis[[CCCM%]:[WASH%]], tblPiNAnalysis[Population Group]=B$5), 0, MATCH(_xlfn.CONCAT($Q$2, "%"), tblPiNAnalysis[[#Headers],[CCCM%]:[WASH%]], 0))=$A36, 1, 0))))</f>
        <v/>
      </c>
      <c r="C36" s="93" t="str" cm="1">
        <f t="array" ref="C36">IFERROR(IF(OR($A36="", C$5=""), "", IF(SUM(IF(INDEX(_xlfn._xlws.FILTER(tblPiNAnalysis[[CCCM%]:[WASH%]], tblPiNAnalysis[Population Group]=C$5), 0, MATCH(_xlfn.CONCAT($Q$2, "%"), tblPiNAnalysis[[#Headers],[CCCM%]:[WASH%]], 0))=$A36, 1, 0))=0, "",SUM(IF(INDEX(_xlfn._xlws.FILTER(tblPiNAnalysis[[CCCM%]:[WASH%]], tblPiNAnalysis[Population Group]=C$5), 0, MATCH(_xlfn.CONCAT($Q$2, "%"), tblPiNAnalysis[[#Headers],[CCCM%]:[WASH%]], 0))=$A36, 1, 0)))), "")</f>
        <v/>
      </c>
      <c r="D36" s="93" t="str" cm="1">
        <f t="array" ref="D36">IFERROR(IF(OR($A36="", D$5=""), "", IF(SUM(IF(INDEX(_xlfn._xlws.FILTER(tblPiNAnalysis[[CCCM%]:[WASH%]], tblPiNAnalysis[Population Group]=D$5), 0, MATCH(_xlfn.CONCAT($Q$2, "%"), tblPiNAnalysis[[#Headers],[CCCM%]:[WASH%]], 0))=$A36, 1, 0))=0, "",SUM(IF(INDEX(_xlfn._xlws.FILTER(tblPiNAnalysis[[CCCM%]:[WASH%]], tblPiNAnalysis[Population Group]=D$5), 0, MATCH(_xlfn.CONCAT($Q$2, "%"), tblPiNAnalysis[[#Headers],[CCCM%]:[WASH%]], 0))=$A36, 1, 0)))), "")</f>
        <v/>
      </c>
      <c r="E36" s="93" t="str" cm="1">
        <f t="array" ref="E36">IFERROR(IF(OR($A36="", E$5=""), "", IF(SUM(IF(INDEX(_xlfn._xlws.FILTER(tblPiNAnalysis[[CCCM%]:[WASH%]], tblPiNAnalysis[Population Group]=E$5), 0, MATCH(_xlfn.CONCAT($Q$2, "%"), tblPiNAnalysis[[#Headers],[CCCM%]:[WASH%]], 0))=$A36, 1, 0))=0, "",SUM(IF(INDEX(_xlfn._xlws.FILTER(tblPiNAnalysis[[CCCM%]:[WASH%]], tblPiNAnalysis[Population Group]=E$5), 0, MATCH(_xlfn.CONCAT($Q$2, "%"), tblPiNAnalysis[[#Headers],[CCCM%]:[WASH%]], 0))=$A36, 1, 0)))), "")</f>
        <v/>
      </c>
      <c r="F36" s="93" t="str" cm="1">
        <f t="array" ref="F36">IFERROR(IF(OR($A36="", F$5=""), "", IF(SUM(IF(INDEX(_xlfn._xlws.FILTER(tblPiNAnalysis[[CCCM%]:[WASH%]], tblPiNAnalysis[CCCM]=F$5), 0, MATCH(_xlfn.CONCAT($Q$2, "%"), tblPiNAnalysis[[#Headers],[CCCM%]:[WASH%]], 0))=$A36, 1, 0))=0, "",SUM(IF(INDEX(_xlfn._xlws.FILTER(tblPiNAnalysis[[CCCM%]:[WASH%]], tblPiNAnalysis[CCCM]=F$5), 0, MATCH(_xlfn.CONCAT($Q$2, "%"), tblPiNAnalysis[[#Headers],[CCCM%]:[WASH%]], 0))=$A36, 1, 0)))), "")</f>
        <v/>
      </c>
      <c r="H36" s="95"/>
      <c r="I36" s="93" t="str" cm="1">
        <f t="array" ref="I36">IF($H36="", "", IF($H36=2, SUM(IF(INDEX(_xlfn._xlws.FILTER(tblPiNHistorical[[CCCM]:[WASH]], tblPiNHistorical[Population Group]=I$5), 0, MATCH($Q$2, tblPiNHistorical[[#Headers],[CCCM]:[WASH]], 0))&gt;1.9, 1, 0)), IF(SUM(IF(INDEX(_xlfn._xlws.FILTER(tblPiNHistorical[[CCCM]:[WASH]], tblPiNHistorical[Population Group]=I$5), 0, MATCH($Q$2, tblPiNHistorical[[#Headers],[CCCM]:[WASH]], 0))=$H36, 1, 0))=0, "", SUM(IF(INDEX(_xlfn._xlws.FILTER(tblPiNHistorical[[CCCM]:[WASH]], tblPiNHistorical[Population Group]=I$5), 0, MATCH($Q$2, tblPiNHistorical[[#Headers],[CCCM]:[WASH]], 0))=$H36, 1, 0)))))</f>
        <v/>
      </c>
      <c r="J36" s="93" t="str" cm="1">
        <f t="array" ref="J36">IFERROR(IF(OR($H36="", J35=""), "", IF($H36=2, SUM(IF(INDEX(_xlfn._xlws.FILTER(tblPiNHistorical[[CCCM]:[WASH]], tblPiNHistorical[Population Group]=J$5), 0, MATCH($Q$2, tblPiNHistorical[[#Headers],[CCCM]:[WASH]], 0))&gt;1.9, 1, 0)), IF(SUM(IF(INDEX(_xlfn._xlws.FILTER(tblPiNHistorical[[CCCM]:[WASH]], tblPiNHistorical[Population Group]=J$5), 0, MATCH($Q$2, tblPiNHistorical[[#Headers],[CCCM]:[WASH]], 0))=$H36, 1, 0))=0, "", SUM(IF(INDEX(_xlfn._xlws.FILTER(tblPiNHistorical[[CCCM]:[WASH]], tblPiNHistorical[Population Group]=J$5), 0, MATCH($Q$2, tblPiNHistorical[[#Headers],[CCCM]:[WASH]], 0))=$H36, 1, 0))))), "")</f>
        <v/>
      </c>
      <c r="K36" s="93" t="str" cm="1">
        <f t="array" ref="K36">IFERROR(IF(OR($H36="", K35=""), "", IF($H36=2, SUM(IF(INDEX(_xlfn._xlws.FILTER(tblPiNHistorical[[CCCM]:[WASH]], tblPiNHistorical[CCCM - old]=K$5), 0, MATCH($Q$2, tblPiNHistorical[[#Headers],[CCCM]:[WASH]], 0))&gt;1.9, 1, 0)), IF(SUM(IF(INDEX(_xlfn._xlws.FILTER(tblPiNHistorical[[CCCM]:[WASH]], tblPiNHistorical[CCCM - old]=K$5), 0, MATCH($Q$2, tblPiNHistorical[[#Headers],[CCCM]:[WASH]], 0))=$H36, 1, 0))=0, "", SUM(IF(INDEX(_xlfn._xlws.FILTER(tblPiNHistorical[[CCCM]:[WASH]], tblPiNHistorical[CCCM - old]=K$5), 0, MATCH($Q$2, tblPiNHistorical[[#Headers],[CCCM]:[WASH]], 0))=$H36, 1, 0))))), "")</f>
        <v/>
      </c>
      <c r="L36" s="93" t="str" cm="1">
        <f t="array" ref="L36">IFERROR(IF(OR($H36="", L35=""), "", IF($H36=2, SUM(IF(INDEX(_xlfn._xlws.FILTER(tblPiNHistorical[[CCCM]:[WASH]],#REF!= L$5), 0, MATCH($Q$2, tblPiNHistorical[[#Headers],[CCCM]:[WASH]], 0))&gt;1.9, 1, 0)), IF(SUM(IF(INDEX(_xlfn._xlws.FILTER(tblPiNHistorical[[CCCM]:[WASH]],#REF!= L$5), 0, MATCH($Q$2, tblPiNHistorical[[#Headers],[CCCM]:[WASH]], 0))=$H36, 1, 0))=0, "", SUM(IF(INDEX(_xlfn._xlws.FILTER(tblPiNHistorical[[CCCM]:[WASH]],#REF!= L$5), 0, MATCH($Q$2, tblPiNHistorical[[#Headers],[CCCM]:[WASH]], 0))=$H36, 1, 0))))), "")</f>
        <v/>
      </c>
      <c r="M36" s="93" t="str" cm="1">
        <f t="array" ref="M36">IFERROR(IF(OR($H36="", M35=""), "", IF($H36=2, SUM(IF(INDEX(_xlfn._xlws.FILTER(tblPiNHistorical[[CCCM]:[WASH]],#REF!= M$5), 0, MATCH($Q$2, tblPiNHistorical[[#Headers],[CCCM]:[WASH]], 0))&gt;1.9, 1, 0)), IF(SUM(IF(INDEX(_xlfn._xlws.FILTER(tblPiNHistorical[[CCCM]:[WASH]],#REF!= M$5), 0, MATCH($Q$2, tblPiNHistorical[[#Headers],[CCCM]:[WASH]], 0))=$H36, 1, 0))=0, "", SUM(IF(INDEX(_xlfn._xlws.FILTER(tblPiNHistorical[[CCCM]:[WASH]],#REF!= M$5), 0, MATCH($Q$2, tblPiNHistorical[[#Headers],[CCCM]:[WASH]], 0))=$H36, 1, 0))))), "")</f>
        <v/>
      </c>
    </row>
    <row r="37" spans="1:28" x14ac:dyDescent="0.55000000000000004">
      <c r="A37" s="95"/>
      <c r="B37" s="93" t="str" cm="1">
        <f t="array" ref="B37">IF($A37="", "", IF(SUM(IF(INDEX(_xlfn._xlws.FILTER(tblPiNAnalysis[[CCCM%]:[WASH%]], tblPiNAnalysis[Population Group]=B$5), 0, MATCH(_xlfn.CONCAT($Q$2, "%"), tblPiNAnalysis[[#Headers],[CCCM%]:[WASH%]], 0))=$A37, 1, 0))=0, "",SUM(IF(INDEX(_xlfn._xlws.FILTER(tblPiNAnalysis[[CCCM%]:[WASH%]], tblPiNAnalysis[Population Group]=B$5), 0, MATCH(_xlfn.CONCAT($Q$2, "%"), tblPiNAnalysis[[#Headers],[CCCM%]:[WASH%]], 0))=$A37, 1, 0))))</f>
        <v/>
      </c>
      <c r="C37" s="93" t="str" cm="1">
        <f t="array" ref="C37">IFERROR(IF(OR($A37="", C$5=""), "", IF(SUM(IF(INDEX(_xlfn._xlws.FILTER(tblPiNAnalysis[[CCCM%]:[WASH%]], tblPiNAnalysis[Population Group]=C$5), 0, MATCH(_xlfn.CONCAT($Q$2, "%"), tblPiNAnalysis[[#Headers],[CCCM%]:[WASH%]], 0))=$A37, 1, 0))=0, "",SUM(IF(INDEX(_xlfn._xlws.FILTER(tblPiNAnalysis[[CCCM%]:[WASH%]], tblPiNAnalysis[Population Group]=C$5), 0, MATCH(_xlfn.CONCAT($Q$2, "%"), tblPiNAnalysis[[#Headers],[CCCM%]:[WASH%]], 0))=$A37, 1, 0)))), "")</f>
        <v/>
      </c>
      <c r="D37" s="93" t="str" cm="1">
        <f t="array" ref="D37">IFERROR(IF(OR($A37="", D$5=""), "", IF(SUM(IF(INDEX(_xlfn._xlws.FILTER(tblPiNAnalysis[[CCCM%]:[WASH%]], tblPiNAnalysis[Population Group]=D$5), 0, MATCH(_xlfn.CONCAT($Q$2, "%"), tblPiNAnalysis[[#Headers],[CCCM%]:[WASH%]], 0))=$A37, 1, 0))=0, "",SUM(IF(INDEX(_xlfn._xlws.FILTER(tblPiNAnalysis[[CCCM%]:[WASH%]], tblPiNAnalysis[Population Group]=D$5), 0, MATCH(_xlfn.CONCAT($Q$2, "%"), tblPiNAnalysis[[#Headers],[CCCM%]:[WASH%]], 0))=$A37, 1, 0)))), "")</f>
        <v/>
      </c>
      <c r="E37" s="93" t="str" cm="1">
        <f t="array" ref="E37">IFERROR(IF(OR($A37="", E$5=""), "", IF(SUM(IF(INDEX(_xlfn._xlws.FILTER(tblPiNAnalysis[[CCCM%]:[WASH%]], tblPiNAnalysis[Population Group]=E$5), 0, MATCH(_xlfn.CONCAT($Q$2, "%"), tblPiNAnalysis[[#Headers],[CCCM%]:[WASH%]], 0))=$A37, 1, 0))=0, "",SUM(IF(INDEX(_xlfn._xlws.FILTER(tblPiNAnalysis[[CCCM%]:[WASH%]], tblPiNAnalysis[Population Group]=E$5), 0, MATCH(_xlfn.CONCAT($Q$2, "%"), tblPiNAnalysis[[#Headers],[CCCM%]:[WASH%]], 0))=$A37, 1, 0)))), "")</f>
        <v/>
      </c>
      <c r="F37" s="93" t="str" cm="1">
        <f t="array" ref="F37">IFERROR(IF(OR($A37="", F$5=""), "", IF(SUM(IF(INDEX(_xlfn._xlws.FILTER(tblPiNAnalysis[[CCCM%]:[WASH%]], tblPiNAnalysis[CCCM]=F$5), 0, MATCH(_xlfn.CONCAT($Q$2, "%"), tblPiNAnalysis[[#Headers],[CCCM%]:[WASH%]], 0))=$A37, 1, 0))=0, "",SUM(IF(INDEX(_xlfn._xlws.FILTER(tblPiNAnalysis[[CCCM%]:[WASH%]], tblPiNAnalysis[CCCM]=F$5), 0, MATCH(_xlfn.CONCAT($Q$2, "%"), tblPiNAnalysis[[#Headers],[CCCM%]:[WASH%]], 0))=$A37, 1, 0)))), "")</f>
        <v/>
      </c>
      <c r="H37" s="95"/>
      <c r="I37" s="93" t="str" cm="1">
        <f t="array" ref="I37">IF($H37="", "", IF($H37=2, SUM(IF(INDEX(_xlfn._xlws.FILTER(tblPiNHistorical[[CCCM]:[WASH]], tblPiNHistorical[Population Group]=I$5), 0, MATCH($Q$2, tblPiNHistorical[[#Headers],[CCCM]:[WASH]], 0))&gt;1.9, 1, 0)), IF(SUM(IF(INDEX(_xlfn._xlws.FILTER(tblPiNHistorical[[CCCM]:[WASH]], tblPiNHistorical[Population Group]=I$5), 0, MATCH($Q$2, tblPiNHistorical[[#Headers],[CCCM]:[WASH]], 0))=$H37, 1, 0))=0, "", SUM(IF(INDEX(_xlfn._xlws.FILTER(tblPiNHistorical[[CCCM]:[WASH]], tblPiNHistorical[Population Group]=I$5), 0, MATCH($Q$2, tblPiNHistorical[[#Headers],[CCCM]:[WASH]], 0))=$H37, 1, 0)))))</f>
        <v/>
      </c>
      <c r="J37" s="93" t="str" cm="1">
        <f t="array" ref="J37">IFERROR(IF(OR($H37="", J36=""), "", IF($H37=2, SUM(IF(INDEX(_xlfn._xlws.FILTER(tblPiNHistorical[[CCCM]:[WASH]], tblPiNHistorical[Population Group]=J$5), 0, MATCH($Q$2, tblPiNHistorical[[#Headers],[CCCM]:[WASH]], 0))&gt;1.9, 1, 0)), IF(SUM(IF(INDEX(_xlfn._xlws.FILTER(tblPiNHistorical[[CCCM]:[WASH]], tblPiNHistorical[Population Group]=J$5), 0, MATCH($Q$2, tblPiNHistorical[[#Headers],[CCCM]:[WASH]], 0))=$H37, 1, 0))=0, "", SUM(IF(INDEX(_xlfn._xlws.FILTER(tblPiNHistorical[[CCCM]:[WASH]], tblPiNHistorical[Population Group]=J$5), 0, MATCH($Q$2, tblPiNHistorical[[#Headers],[CCCM]:[WASH]], 0))=$H37, 1, 0))))), "")</f>
        <v/>
      </c>
      <c r="K37" s="93" t="str" cm="1">
        <f t="array" ref="K37">IFERROR(IF(OR($H37="", K36=""), "", IF($H37=2, SUM(IF(INDEX(_xlfn._xlws.FILTER(tblPiNHistorical[[CCCM]:[WASH]], tblPiNHistorical[CCCM - old]=K$5), 0, MATCH($Q$2, tblPiNHistorical[[#Headers],[CCCM]:[WASH]], 0))&gt;1.9, 1, 0)), IF(SUM(IF(INDEX(_xlfn._xlws.FILTER(tblPiNHistorical[[CCCM]:[WASH]], tblPiNHistorical[CCCM - old]=K$5), 0, MATCH($Q$2, tblPiNHistorical[[#Headers],[CCCM]:[WASH]], 0))=$H37, 1, 0))=0, "", SUM(IF(INDEX(_xlfn._xlws.FILTER(tblPiNHistorical[[CCCM]:[WASH]], tblPiNHistorical[CCCM - old]=K$5), 0, MATCH($Q$2, tblPiNHistorical[[#Headers],[CCCM]:[WASH]], 0))=$H37, 1, 0))))), "")</f>
        <v/>
      </c>
      <c r="L37" s="93" t="str" cm="1">
        <f t="array" ref="L37">IFERROR(IF(OR($H37="", L36=""), "", IF($H37=2, SUM(IF(INDEX(_xlfn._xlws.FILTER(tblPiNHistorical[[CCCM]:[WASH]],#REF!= L$5), 0, MATCH($Q$2, tblPiNHistorical[[#Headers],[CCCM]:[WASH]], 0))&gt;1.9, 1, 0)), IF(SUM(IF(INDEX(_xlfn._xlws.FILTER(tblPiNHistorical[[CCCM]:[WASH]],#REF!= L$5), 0, MATCH($Q$2, tblPiNHistorical[[#Headers],[CCCM]:[WASH]], 0))=$H37, 1, 0))=0, "", SUM(IF(INDEX(_xlfn._xlws.FILTER(tblPiNHistorical[[CCCM]:[WASH]],#REF!= L$5), 0, MATCH($Q$2, tblPiNHistorical[[#Headers],[CCCM]:[WASH]], 0))=$H37, 1, 0))))), "")</f>
        <v/>
      </c>
      <c r="M37" s="93" t="str" cm="1">
        <f t="array" ref="M37">IFERROR(IF(OR($H37="", M36=""), "", IF($H37=2, SUM(IF(INDEX(_xlfn._xlws.FILTER(tblPiNHistorical[[CCCM]:[WASH]],#REF!= M$5), 0, MATCH($Q$2, tblPiNHistorical[[#Headers],[CCCM]:[WASH]], 0))&gt;1.9, 1, 0)), IF(SUM(IF(INDEX(_xlfn._xlws.FILTER(tblPiNHistorical[[CCCM]:[WASH]],#REF!= M$5), 0, MATCH($Q$2, tblPiNHistorical[[#Headers],[CCCM]:[WASH]], 0))=$H37, 1, 0))=0, "", SUM(IF(INDEX(_xlfn._xlws.FILTER(tblPiNHistorical[[CCCM]:[WASH]],#REF!= M$5), 0, MATCH($Q$2, tblPiNHistorical[[#Headers],[CCCM]:[WASH]], 0))=$H37, 1, 0))))), "")</f>
        <v/>
      </c>
    </row>
    <row r="38" spans="1:28" x14ac:dyDescent="0.55000000000000004">
      <c r="A38" s="95"/>
      <c r="B38" s="93" t="str" cm="1">
        <f t="array" ref="B38">IF($A38="", "", IF(SUM(IF(INDEX(_xlfn._xlws.FILTER(tblPiNAnalysis[[CCCM%]:[WASH%]], tblPiNAnalysis[Population Group]=B$5), 0, MATCH(_xlfn.CONCAT($Q$2, "%"), tblPiNAnalysis[[#Headers],[CCCM%]:[WASH%]], 0))=$A38, 1, 0))=0, "",SUM(IF(INDEX(_xlfn._xlws.FILTER(tblPiNAnalysis[[CCCM%]:[WASH%]], tblPiNAnalysis[Population Group]=B$5), 0, MATCH(_xlfn.CONCAT($Q$2, "%"), tblPiNAnalysis[[#Headers],[CCCM%]:[WASH%]], 0))=$A38, 1, 0))))</f>
        <v/>
      </c>
      <c r="C38" s="93" t="str" cm="1">
        <f t="array" ref="C38">IFERROR(IF(OR($A38="", C$5=""), "", IF(SUM(IF(INDEX(_xlfn._xlws.FILTER(tblPiNAnalysis[[CCCM%]:[WASH%]], tblPiNAnalysis[Population Group]=C$5), 0, MATCH(_xlfn.CONCAT($Q$2, "%"), tblPiNAnalysis[[#Headers],[CCCM%]:[WASH%]], 0))=$A38, 1, 0))=0, "",SUM(IF(INDEX(_xlfn._xlws.FILTER(tblPiNAnalysis[[CCCM%]:[WASH%]], tblPiNAnalysis[Population Group]=C$5), 0, MATCH(_xlfn.CONCAT($Q$2, "%"), tblPiNAnalysis[[#Headers],[CCCM%]:[WASH%]], 0))=$A38, 1, 0)))), "")</f>
        <v/>
      </c>
      <c r="D38" s="93" t="str" cm="1">
        <f t="array" ref="D38">IFERROR(IF(OR($A38="", D$5=""), "", IF(SUM(IF(INDEX(_xlfn._xlws.FILTER(tblPiNAnalysis[[CCCM%]:[WASH%]], tblPiNAnalysis[Population Group]=D$5), 0, MATCH(_xlfn.CONCAT($Q$2, "%"), tblPiNAnalysis[[#Headers],[CCCM%]:[WASH%]], 0))=$A38, 1, 0))=0, "",SUM(IF(INDEX(_xlfn._xlws.FILTER(tblPiNAnalysis[[CCCM%]:[WASH%]], tblPiNAnalysis[Population Group]=D$5), 0, MATCH(_xlfn.CONCAT($Q$2, "%"), tblPiNAnalysis[[#Headers],[CCCM%]:[WASH%]], 0))=$A38, 1, 0)))), "")</f>
        <v/>
      </c>
      <c r="E38" s="93" t="str" cm="1">
        <f t="array" ref="E38">IFERROR(IF(OR($A38="", E$5=""), "", IF(SUM(IF(INDEX(_xlfn._xlws.FILTER(tblPiNAnalysis[[CCCM%]:[WASH%]], tblPiNAnalysis[Population Group]=E$5), 0, MATCH(_xlfn.CONCAT($Q$2, "%"), tblPiNAnalysis[[#Headers],[CCCM%]:[WASH%]], 0))=$A38, 1, 0))=0, "",SUM(IF(INDEX(_xlfn._xlws.FILTER(tblPiNAnalysis[[CCCM%]:[WASH%]], tblPiNAnalysis[Population Group]=E$5), 0, MATCH(_xlfn.CONCAT($Q$2, "%"), tblPiNAnalysis[[#Headers],[CCCM%]:[WASH%]], 0))=$A38, 1, 0)))), "")</f>
        <v/>
      </c>
      <c r="F38" s="93" t="str" cm="1">
        <f t="array" ref="F38">IFERROR(IF(OR($A38="", F$5=""), "", IF(SUM(IF(INDEX(_xlfn._xlws.FILTER(tblPiNAnalysis[[CCCM%]:[WASH%]], tblPiNAnalysis[CCCM]=F$5), 0, MATCH(_xlfn.CONCAT($Q$2, "%"), tblPiNAnalysis[[#Headers],[CCCM%]:[WASH%]], 0))=$A38, 1, 0))=0, "",SUM(IF(INDEX(_xlfn._xlws.FILTER(tblPiNAnalysis[[CCCM%]:[WASH%]], tblPiNAnalysis[CCCM]=F$5), 0, MATCH(_xlfn.CONCAT($Q$2, "%"), tblPiNAnalysis[[#Headers],[CCCM%]:[WASH%]], 0))=$A38, 1, 0)))), "")</f>
        <v/>
      </c>
      <c r="H38" s="95"/>
      <c r="I38" s="93" t="str" cm="1">
        <f t="array" ref="I38">IF($H38="", "", IF($H38=2, SUM(IF(INDEX(_xlfn._xlws.FILTER(tblPiNHistorical[[CCCM]:[WASH]], tblPiNHistorical[Population Group]=I$5), 0, MATCH($Q$2, tblPiNHistorical[[#Headers],[CCCM]:[WASH]], 0))&gt;1.9, 1, 0)), IF(SUM(IF(INDEX(_xlfn._xlws.FILTER(tblPiNHistorical[[CCCM]:[WASH]], tblPiNHistorical[Population Group]=I$5), 0, MATCH($Q$2, tblPiNHistorical[[#Headers],[CCCM]:[WASH]], 0))=$H38, 1, 0))=0, "", SUM(IF(INDEX(_xlfn._xlws.FILTER(tblPiNHistorical[[CCCM]:[WASH]], tblPiNHistorical[Population Group]=I$5), 0, MATCH($Q$2, tblPiNHistorical[[#Headers],[CCCM]:[WASH]], 0))=$H38, 1, 0)))))</f>
        <v/>
      </c>
      <c r="J38" s="93" t="str" cm="1">
        <f t="array" ref="J38">IFERROR(IF(OR($H38="", J37=""), "", IF($H38=2, SUM(IF(INDEX(_xlfn._xlws.FILTER(tblPiNHistorical[[CCCM]:[WASH]], tblPiNHistorical[Population Group]=J$5), 0, MATCH($Q$2, tblPiNHistorical[[#Headers],[CCCM]:[WASH]], 0))&gt;1.9, 1, 0)), IF(SUM(IF(INDEX(_xlfn._xlws.FILTER(tblPiNHistorical[[CCCM]:[WASH]], tblPiNHistorical[Population Group]=J$5), 0, MATCH($Q$2, tblPiNHistorical[[#Headers],[CCCM]:[WASH]], 0))=$H38, 1, 0))=0, "", SUM(IF(INDEX(_xlfn._xlws.FILTER(tblPiNHistorical[[CCCM]:[WASH]], tblPiNHistorical[Population Group]=J$5), 0, MATCH($Q$2, tblPiNHistorical[[#Headers],[CCCM]:[WASH]], 0))=$H38, 1, 0))))), "")</f>
        <v/>
      </c>
      <c r="K38" s="93" t="str" cm="1">
        <f t="array" ref="K38">IFERROR(IF(OR($H38="", K37=""), "", IF($H38=2, SUM(IF(INDEX(_xlfn._xlws.FILTER(tblPiNHistorical[[CCCM]:[WASH]], tblPiNHistorical[CCCM - old]=K$5), 0, MATCH($Q$2, tblPiNHistorical[[#Headers],[CCCM]:[WASH]], 0))&gt;1.9, 1, 0)), IF(SUM(IF(INDEX(_xlfn._xlws.FILTER(tblPiNHistorical[[CCCM]:[WASH]], tblPiNHistorical[CCCM - old]=K$5), 0, MATCH($Q$2, tblPiNHistorical[[#Headers],[CCCM]:[WASH]], 0))=$H38, 1, 0))=0, "", SUM(IF(INDEX(_xlfn._xlws.FILTER(tblPiNHistorical[[CCCM]:[WASH]], tblPiNHistorical[CCCM - old]=K$5), 0, MATCH($Q$2, tblPiNHistorical[[#Headers],[CCCM]:[WASH]], 0))=$H38, 1, 0))))), "")</f>
        <v/>
      </c>
      <c r="L38" s="93" t="str" cm="1">
        <f t="array" ref="L38">IFERROR(IF(OR($H38="", L37=""), "", IF($H38=2, SUM(IF(INDEX(_xlfn._xlws.FILTER(tblPiNHistorical[[CCCM]:[WASH]],#REF!= L$5), 0, MATCH($Q$2, tblPiNHistorical[[#Headers],[CCCM]:[WASH]], 0))&gt;1.9, 1, 0)), IF(SUM(IF(INDEX(_xlfn._xlws.FILTER(tblPiNHistorical[[CCCM]:[WASH]],#REF!= L$5), 0, MATCH($Q$2, tblPiNHistorical[[#Headers],[CCCM]:[WASH]], 0))=$H38, 1, 0))=0, "", SUM(IF(INDEX(_xlfn._xlws.FILTER(tblPiNHistorical[[CCCM]:[WASH]],#REF!= L$5), 0, MATCH($Q$2, tblPiNHistorical[[#Headers],[CCCM]:[WASH]], 0))=$H38, 1, 0))))), "")</f>
        <v/>
      </c>
      <c r="M38" s="93" t="str" cm="1">
        <f t="array" ref="M38">IFERROR(IF(OR($H38="", M37=""), "", IF($H38=2, SUM(IF(INDEX(_xlfn._xlws.FILTER(tblPiNHistorical[[CCCM]:[WASH]],#REF!= M$5), 0, MATCH($Q$2, tblPiNHistorical[[#Headers],[CCCM]:[WASH]], 0))&gt;1.9, 1, 0)), IF(SUM(IF(INDEX(_xlfn._xlws.FILTER(tblPiNHistorical[[CCCM]:[WASH]],#REF!= M$5), 0, MATCH($Q$2, tblPiNHistorical[[#Headers],[CCCM]:[WASH]], 0))=$H38, 1, 0))=0, "", SUM(IF(INDEX(_xlfn._xlws.FILTER(tblPiNHistorical[[CCCM]:[WASH]],#REF!= M$5), 0, MATCH($Q$2, tblPiNHistorical[[#Headers],[CCCM]:[WASH]], 0))=$H38, 1, 0))))), "")</f>
        <v/>
      </c>
    </row>
    <row r="39" spans="1:28" x14ac:dyDescent="0.55000000000000004">
      <c r="A39" s="95"/>
      <c r="B39" s="93" t="str" cm="1">
        <f t="array" ref="B39">IF($A39="", "", IF(SUM(IF(INDEX(_xlfn._xlws.FILTER(tblPiNAnalysis[[CCCM%]:[WASH%]], tblPiNAnalysis[Population Group]=B$5), 0, MATCH(_xlfn.CONCAT($Q$2, "%"), tblPiNAnalysis[[#Headers],[CCCM%]:[WASH%]], 0))=$A39, 1, 0))=0, "",SUM(IF(INDEX(_xlfn._xlws.FILTER(tblPiNAnalysis[[CCCM%]:[WASH%]], tblPiNAnalysis[Population Group]=B$5), 0, MATCH(_xlfn.CONCAT($Q$2, "%"), tblPiNAnalysis[[#Headers],[CCCM%]:[WASH%]], 0))=$A39, 1, 0))))</f>
        <v/>
      </c>
      <c r="C39" s="93" t="str" cm="1">
        <f t="array" ref="C39">IFERROR(IF(OR($A39="", C$5=""), "", IF(SUM(IF(INDEX(_xlfn._xlws.FILTER(tblPiNAnalysis[[CCCM%]:[WASH%]], tblPiNAnalysis[Population Group]=C$5), 0, MATCH(_xlfn.CONCAT($Q$2, "%"), tblPiNAnalysis[[#Headers],[CCCM%]:[WASH%]], 0))=$A39, 1, 0))=0, "",SUM(IF(INDEX(_xlfn._xlws.FILTER(tblPiNAnalysis[[CCCM%]:[WASH%]], tblPiNAnalysis[Population Group]=C$5), 0, MATCH(_xlfn.CONCAT($Q$2, "%"), tblPiNAnalysis[[#Headers],[CCCM%]:[WASH%]], 0))=$A39, 1, 0)))), "")</f>
        <v/>
      </c>
      <c r="D39" s="93" t="str" cm="1">
        <f t="array" ref="D39">IFERROR(IF(OR($A39="", D$5=""), "", IF(SUM(IF(INDEX(_xlfn._xlws.FILTER(tblPiNAnalysis[[CCCM%]:[WASH%]], tblPiNAnalysis[Population Group]=D$5), 0, MATCH(_xlfn.CONCAT($Q$2, "%"), tblPiNAnalysis[[#Headers],[CCCM%]:[WASH%]], 0))=$A39, 1, 0))=0, "",SUM(IF(INDEX(_xlfn._xlws.FILTER(tblPiNAnalysis[[CCCM%]:[WASH%]], tblPiNAnalysis[Population Group]=D$5), 0, MATCH(_xlfn.CONCAT($Q$2, "%"), tblPiNAnalysis[[#Headers],[CCCM%]:[WASH%]], 0))=$A39, 1, 0)))), "")</f>
        <v/>
      </c>
      <c r="E39" s="93" t="str" cm="1">
        <f t="array" ref="E39">IFERROR(IF(OR($A39="", E$5=""), "", IF(SUM(IF(INDEX(_xlfn._xlws.FILTER(tblPiNAnalysis[[CCCM%]:[WASH%]], tblPiNAnalysis[Population Group]=E$5), 0, MATCH(_xlfn.CONCAT($Q$2, "%"), tblPiNAnalysis[[#Headers],[CCCM%]:[WASH%]], 0))=$A39, 1, 0))=0, "",SUM(IF(INDEX(_xlfn._xlws.FILTER(tblPiNAnalysis[[CCCM%]:[WASH%]], tblPiNAnalysis[Population Group]=E$5), 0, MATCH(_xlfn.CONCAT($Q$2, "%"), tblPiNAnalysis[[#Headers],[CCCM%]:[WASH%]], 0))=$A39, 1, 0)))), "")</f>
        <v/>
      </c>
      <c r="F39" s="93" t="str" cm="1">
        <f t="array" ref="F39">IFERROR(IF(OR($A39="", F$5=""), "", IF(SUM(IF(INDEX(_xlfn._xlws.FILTER(tblPiNAnalysis[[CCCM%]:[WASH%]], tblPiNAnalysis[CCCM]=F$5), 0, MATCH(_xlfn.CONCAT($Q$2, "%"), tblPiNAnalysis[[#Headers],[CCCM%]:[WASH%]], 0))=$A39, 1, 0))=0, "",SUM(IF(INDEX(_xlfn._xlws.FILTER(tblPiNAnalysis[[CCCM%]:[WASH%]], tblPiNAnalysis[CCCM]=F$5), 0, MATCH(_xlfn.CONCAT($Q$2, "%"), tblPiNAnalysis[[#Headers],[CCCM%]:[WASH%]], 0))=$A39, 1, 0)))), "")</f>
        <v/>
      </c>
      <c r="H39" s="95"/>
      <c r="I39" s="93" t="str" cm="1">
        <f t="array" ref="I39">IF($H39="", "", IF($H39=2, SUM(IF(INDEX(_xlfn._xlws.FILTER(tblPiNHistorical[[CCCM]:[WASH]], tblPiNHistorical[Population Group]=I$5), 0, MATCH($Q$2, tblPiNHistorical[[#Headers],[CCCM]:[WASH]], 0))&gt;1.9, 1, 0)), IF(SUM(IF(INDEX(_xlfn._xlws.FILTER(tblPiNHistorical[[CCCM]:[WASH]], tblPiNHistorical[Population Group]=I$5), 0, MATCH($Q$2, tblPiNHistorical[[#Headers],[CCCM]:[WASH]], 0))=$H39, 1, 0))=0, "", SUM(IF(INDEX(_xlfn._xlws.FILTER(tblPiNHistorical[[CCCM]:[WASH]], tblPiNHistorical[Population Group]=I$5), 0, MATCH($Q$2, tblPiNHistorical[[#Headers],[CCCM]:[WASH]], 0))=$H39, 1, 0)))))</f>
        <v/>
      </c>
      <c r="J39" s="93" t="str" cm="1">
        <f t="array" ref="J39">IFERROR(IF(OR($H39="", J38=""), "", IF($H39=2, SUM(IF(INDEX(_xlfn._xlws.FILTER(tblPiNHistorical[[CCCM]:[WASH]], tblPiNHistorical[Population Group]=J$5), 0, MATCH($Q$2, tblPiNHistorical[[#Headers],[CCCM]:[WASH]], 0))&gt;1.9, 1, 0)), IF(SUM(IF(INDEX(_xlfn._xlws.FILTER(tblPiNHistorical[[CCCM]:[WASH]], tblPiNHistorical[Population Group]=J$5), 0, MATCH($Q$2, tblPiNHistorical[[#Headers],[CCCM]:[WASH]], 0))=$H39, 1, 0))=0, "", SUM(IF(INDEX(_xlfn._xlws.FILTER(tblPiNHistorical[[CCCM]:[WASH]], tblPiNHistorical[Population Group]=J$5), 0, MATCH($Q$2, tblPiNHistorical[[#Headers],[CCCM]:[WASH]], 0))=$H39, 1, 0))))), "")</f>
        <v/>
      </c>
      <c r="K39" s="93" t="str" cm="1">
        <f t="array" ref="K39">IFERROR(IF(OR($H39="", K38=""), "", IF($H39=2, SUM(IF(INDEX(_xlfn._xlws.FILTER(tblPiNHistorical[[CCCM]:[WASH]], tblPiNHistorical[CCCM - old]=K$5), 0, MATCH($Q$2, tblPiNHistorical[[#Headers],[CCCM]:[WASH]], 0))&gt;1.9, 1, 0)), IF(SUM(IF(INDEX(_xlfn._xlws.FILTER(tblPiNHistorical[[CCCM]:[WASH]], tblPiNHistorical[CCCM - old]=K$5), 0, MATCH($Q$2, tblPiNHistorical[[#Headers],[CCCM]:[WASH]], 0))=$H39, 1, 0))=0, "", SUM(IF(INDEX(_xlfn._xlws.FILTER(tblPiNHistorical[[CCCM]:[WASH]], tblPiNHistorical[CCCM - old]=K$5), 0, MATCH($Q$2, tblPiNHistorical[[#Headers],[CCCM]:[WASH]], 0))=$H39, 1, 0))))), "")</f>
        <v/>
      </c>
      <c r="L39" s="93" t="str" cm="1">
        <f t="array" ref="L39">IFERROR(IF(OR($H39="", L38=""), "", IF($H39=2, SUM(IF(INDEX(_xlfn._xlws.FILTER(tblPiNHistorical[[CCCM]:[WASH]],#REF!= L$5), 0, MATCH($Q$2, tblPiNHistorical[[#Headers],[CCCM]:[WASH]], 0))&gt;1.9, 1, 0)), IF(SUM(IF(INDEX(_xlfn._xlws.FILTER(tblPiNHistorical[[CCCM]:[WASH]],#REF!= L$5), 0, MATCH($Q$2, tblPiNHistorical[[#Headers],[CCCM]:[WASH]], 0))=$H39, 1, 0))=0, "", SUM(IF(INDEX(_xlfn._xlws.FILTER(tblPiNHistorical[[CCCM]:[WASH]],#REF!= L$5), 0, MATCH($Q$2, tblPiNHistorical[[#Headers],[CCCM]:[WASH]], 0))=$H39, 1, 0))))), "")</f>
        <v/>
      </c>
      <c r="M39" s="93" t="str" cm="1">
        <f t="array" ref="M39">IFERROR(IF(OR($H39="", M38=""), "", IF($H39=2, SUM(IF(INDEX(_xlfn._xlws.FILTER(tblPiNHistorical[[CCCM]:[WASH]],#REF!= M$5), 0, MATCH($Q$2, tblPiNHistorical[[#Headers],[CCCM]:[WASH]], 0))&gt;1.9, 1, 0)), IF(SUM(IF(INDEX(_xlfn._xlws.FILTER(tblPiNHistorical[[CCCM]:[WASH]],#REF!= M$5), 0, MATCH($Q$2, tblPiNHistorical[[#Headers],[CCCM]:[WASH]], 0))=$H39, 1, 0))=0, "", SUM(IF(INDEX(_xlfn._xlws.FILTER(tblPiNHistorical[[CCCM]:[WASH]],#REF!= M$5), 0, MATCH($Q$2, tblPiNHistorical[[#Headers],[CCCM]:[WASH]], 0))=$H39, 1, 0))))), "")</f>
        <v/>
      </c>
    </row>
    <row r="40" spans="1:28" x14ac:dyDescent="0.55000000000000004">
      <c r="A40" s="95"/>
      <c r="B40" s="93" t="str" cm="1">
        <f t="array" ref="B40">IF($A40="", "", IF(SUM(IF(INDEX(_xlfn._xlws.FILTER(tblPiNAnalysis[[CCCM%]:[WASH%]], tblPiNAnalysis[Population Group]=B$5), 0, MATCH(_xlfn.CONCAT($Q$2, "%"), tblPiNAnalysis[[#Headers],[CCCM%]:[WASH%]], 0))=$A40, 1, 0))=0, "",SUM(IF(INDEX(_xlfn._xlws.FILTER(tblPiNAnalysis[[CCCM%]:[WASH%]], tblPiNAnalysis[Population Group]=B$5), 0, MATCH(_xlfn.CONCAT($Q$2, "%"), tblPiNAnalysis[[#Headers],[CCCM%]:[WASH%]], 0))=$A40, 1, 0))))</f>
        <v/>
      </c>
      <c r="C40" s="93" t="str" cm="1">
        <f t="array" ref="C40">IFERROR(IF(OR($A40="", C$5=""), "", IF(SUM(IF(INDEX(_xlfn._xlws.FILTER(tblPiNAnalysis[[CCCM%]:[WASH%]], tblPiNAnalysis[Population Group]=C$5), 0, MATCH(_xlfn.CONCAT($Q$2, "%"), tblPiNAnalysis[[#Headers],[CCCM%]:[WASH%]], 0))=$A40, 1, 0))=0, "",SUM(IF(INDEX(_xlfn._xlws.FILTER(tblPiNAnalysis[[CCCM%]:[WASH%]], tblPiNAnalysis[Population Group]=C$5), 0, MATCH(_xlfn.CONCAT($Q$2, "%"), tblPiNAnalysis[[#Headers],[CCCM%]:[WASH%]], 0))=$A40, 1, 0)))), "")</f>
        <v/>
      </c>
      <c r="D40" s="93" t="str" cm="1">
        <f t="array" ref="D40">IFERROR(IF(OR($A40="", D$5=""), "", IF(SUM(IF(INDEX(_xlfn._xlws.FILTER(tblPiNAnalysis[[CCCM%]:[WASH%]], tblPiNAnalysis[Population Group]=D$5), 0, MATCH(_xlfn.CONCAT($Q$2, "%"), tblPiNAnalysis[[#Headers],[CCCM%]:[WASH%]], 0))=$A40, 1, 0))=0, "",SUM(IF(INDEX(_xlfn._xlws.FILTER(tblPiNAnalysis[[CCCM%]:[WASH%]], tblPiNAnalysis[Population Group]=D$5), 0, MATCH(_xlfn.CONCAT($Q$2, "%"), tblPiNAnalysis[[#Headers],[CCCM%]:[WASH%]], 0))=$A40, 1, 0)))), "")</f>
        <v/>
      </c>
      <c r="E40" s="93" t="str" cm="1">
        <f t="array" ref="E40">IFERROR(IF(OR($A40="", E$5=""), "", IF(SUM(IF(INDEX(_xlfn._xlws.FILTER(tblPiNAnalysis[[CCCM%]:[WASH%]], tblPiNAnalysis[Population Group]=E$5), 0, MATCH(_xlfn.CONCAT($Q$2, "%"), tblPiNAnalysis[[#Headers],[CCCM%]:[WASH%]], 0))=$A40, 1, 0))=0, "",SUM(IF(INDEX(_xlfn._xlws.FILTER(tblPiNAnalysis[[CCCM%]:[WASH%]], tblPiNAnalysis[Population Group]=E$5), 0, MATCH(_xlfn.CONCAT($Q$2, "%"), tblPiNAnalysis[[#Headers],[CCCM%]:[WASH%]], 0))=$A40, 1, 0)))), "")</f>
        <v/>
      </c>
      <c r="F40" s="93" t="str" cm="1">
        <f t="array" ref="F40">IFERROR(IF(OR($A40="", F$5=""), "", IF(SUM(IF(INDEX(_xlfn._xlws.FILTER(tblPiNAnalysis[[CCCM%]:[WASH%]], tblPiNAnalysis[CCCM]=F$5), 0, MATCH(_xlfn.CONCAT($Q$2, "%"), tblPiNAnalysis[[#Headers],[CCCM%]:[WASH%]], 0))=$A40, 1, 0))=0, "",SUM(IF(INDEX(_xlfn._xlws.FILTER(tblPiNAnalysis[[CCCM%]:[WASH%]], tblPiNAnalysis[CCCM]=F$5), 0, MATCH(_xlfn.CONCAT($Q$2, "%"), tblPiNAnalysis[[#Headers],[CCCM%]:[WASH%]], 0))=$A40, 1, 0)))), "")</f>
        <v/>
      </c>
      <c r="H40" s="95"/>
      <c r="I40" s="93" t="str" cm="1">
        <f t="array" ref="I40">IF($H40="", "", IF($H40=2, SUM(IF(INDEX(_xlfn._xlws.FILTER(tblPiNHistorical[[CCCM]:[WASH]], tblPiNHistorical[Population Group]=I$5), 0, MATCH($Q$2, tblPiNHistorical[[#Headers],[CCCM]:[WASH]], 0))&gt;1.9, 1, 0)), IF(SUM(IF(INDEX(_xlfn._xlws.FILTER(tblPiNHistorical[[CCCM]:[WASH]], tblPiNHistorical[Population Group]=I$5), 0, MATCH($Q$2, tblPiNHistorical[[#Headers],[CCCM]:[WASH]], 0))=$H40, 1, 0))=0, "", SUM(IF(INDEX(_xlfn._xlws.FILTER(tblPiNHistorical[[CCCM]:[WASH]], tblPiNHistorical[Population Group]=I$5), 0, MATCH($Q$2, tblPiNHistorical[[#Headers],[CCCM]:[WASH]], 0))=$H40, 1, 0)))))</f>
        <v/>
      </c>
      <c r="J40" s="93" t="str" cm="1">
        <f t="array" ref="J40">IFERROR(IF(OR($H40="", J39=""), "", IF($H40=2, SUM(IF(INDEX(_xlfn._xlws.FILTER(tblPiNHistorical[[CCCM]:[WASH]], tblPiNHistorical[Population Group]=J$5), 0, MATCH($Q$2, tblPiNHistorical[[#Headers],[CCCM]:[WASH]], 0))&gt;1.9, 1, 0)), IF(SUM(IF(INDEX(_xlfn._xlws.FILTER(tblPiNHistorical[[CCCM]:[WASH]], tblPiNHistorical[Population Group]=J$5), 0, MATCH($Q$2, tblPiNHistorical[[#Headers],[CCCM]:[WASH]], 0))=$H40, 1, 0))=0, "", SUM(IF(INDEX(_xlfn._xlws.FILTER(tblPiNHistorical[[CCCM]:[WASH]], tblPiNHistorical[Population Group]=J$5), 0, MATCH($Q$2, tblPiNHistorical[[#Headers],[CCCM]:[WASH]], 0))=$H40, 1, 0))))), "")</f>
        <v/>
      </c>
      <c r="K40" s="93" t="str" cm="1">
        <f t="array" ref="K40">IFERROR(IF(OR($H40="", K39=""), "", IF($H40=2, SUM(IF(INDEX(_xlfn._xlws.FILTER(tblPiNHistorical[[CCCM]:[WASH]], tblPiNHistorical[CCCM - old]=K$5), 0, MATCH($Q$2, tblPiNHistorical[[#Headers],[CCCM]:[WASH]], 0))&gt;1.9, 1, 0)), IF(SUM(IF(INDEX(_xlfn._xlws.FILTER(tblPiNHistorical[[CCCM]:[WASH]], tblPiNHistorical[CCCM - old]=K$5), 0, MATCH($Q$2, tblPiNHistorical[[#Headers],[CCCM]:[WASH]], 0))=$H40, 1, 0))=0, "", SUM(IF(INDEX(_xlfn._xlws.FILTER(tblPiNHistorical[[CCCM]:[WASH]], tblPiNHistorical[CCCM - old]=K$5), 0, MATCH($Q$2, tblPiNHistorical[[#Headers],[CCCM]:[WASH]], 0))=$H40, 1, 0))))), "")</f>
        <v/>
      </c>
      <c r="L40" s="93" t="str" cm="1">
        <f t="array" ref="L40">IFERROR(IF(OR($H40="", L39=""), "", IF($H40=2, SUM(IF(INDEX(_xlfn._xlws.FILTER(tblPiNHistorical[[CCCM]:[WASH]],#REF!= L$5), 0, MATCH($Q$2, tblPiNHistorical[[#Headers],[CCCM]:[WASH]], 0))&gt;1.9, 1, 0)), IF(SUM(IF(INDEX(_xlfn._xlws.FILTER(tblPiNHistorical[[CCCM]:[WASH]],#REF!= L$5), 0, MATCH($Q$2, tblPiNHistorical[[#Headers],[CCCM]:[WASH]], 0))=$H40, 1, 0))=0, "", SUM(IF(INDEX(_xlfn._xlws.FILTER(tblPiNHistorical[[CCCM]:[WASH]],#REF!= L$5), 0, MATCH($Q$2, tblPiNHistorical[[#Headers],[CCCM]:[WASH]], 0))=$H40, 1, 0))))), "")</f>
        <v/>
      </c>
      <c r="M40" s="93" t="str" cm="1">
        <f t="array" ref="M40">IFERROR(IF(OR($H40="", M39=""), "", IF($H40=2, SUM(IF(INDEX(_xlfn._xlws.FILTER(tblPiNHistorical[[CCCM]:[WASH]],#REF!= M$5), 0, MATCH($Q$2, tblPiNHistorical[[#Headers],[CCCM]:[WASH]], 0))&gt;1.9, 1, 0)), IF(SUM(IF(INDEX(_xlfn._xlws.FILTER(tblPiNHistorical[[CCCM]:[WASH]],#REF!= M$5), 0, MATCH($Q$2, tblPiNHistorical[[#Headers],[CCCM]:[WASH]], 0))=$H40, 1, 0))=0, "", SUM(IF(INDEX(_xlfn._xlws.FILTER(tblPiNHistorical[[CCCM]:[WASH]],#REF!= M$5), 0, MATCH($Q$2, tblPiNHistorical[[#Headers],[CCCM]:[WASH]], 0))=$H40, 1, 0))))), "")</f>
        <v/>
      </c>
    </row>
    <row r="41" spans="1:28" x14ac:dyDescent="0.55000000000000004">
      <c r="A41" s="95"/>
      <c r="B41" s="93" t="str" cm="1">
        <f t="array" ref="B41">IF($A41="", "", IF(SUM(IF(INDEX(_xlfn._xlws.FILTER(tblPiNAnalysis[[CCCM%]:[WASH%]], tblPiNAnalysis[Population Group]=B$5), 0, MATCH(_xlfn.CONCAT($Q$2, "%"), tblPiNAnalysis[[#Headers],[CCCM%]:[WASH%]], 0))=$A41, 1, 0))=0, "",SUM(IF(INDEX(_xlfn._xlws.FILTER(tblPiNAnalysis[[CCCM%]:[WASH%]], tblPiNAnalysis[Population Group]=B$5), 0, MATCH(_xlfn.CONCAT($Q$2, "%"), tblPiNAnalysis[[#Headers],[CCCM%]:[WASH%]], 0))=$A41, 1, 0))))</f>
        <v/>
      </c>
      <c r="C41" s="93" t="str" cm="1">
        <f t="array" ref="C41">IFERROR(IF(OR($A41="", C$5=""), "", IF(SUM(IF(INDEX(_xlfn._xlws.FILTER(tblPiNAnalysis[[CCCM%]:[WASH%]], tblPiNAnalysis[Population Group]=C$5), 0, MATCH(_xlfn.CONCAT($Q$2, "%"), tblPiNAnalysis[[#Headers],[CCCM%]:[WASH%]], 0))=$A41, 1, 0))=0, "",SUM(IF(INDEX(_xlfn._xlws.FILTER(tblPiNAnalysis[[CCCM%]:[WASH%]], tblPiNAnalysis[Population Group]=C$5), 0, MATCH(_xlfn.CONCAT($Q$2, "%"), tblPiNAnalysis[[#Headers],[CCCM%]:[WASH%]], 0))=$A41, 1, 0)))), "")</f>
        <v/>
      </c>
      <c r="D41" s="93" t="str" cm="1">
        <f t="array" ref="D41">IFERROR(IF(OR($A41="", D$5=""), "", IF(SUM(IF(INDEX(_xlfn._xlws.FILTER(tblPiNAnalysis[[CCCM%]:[WASH%]], tblPiNAnalysis[Population Group]=D$5), 0, MATCH(_xlfn.CONCAT($Q$2, "%"), tblPiNAnalysis[[#Headers],[CCCM%]:[WASH%]], 0))=$A41, 1, 0))=0, "",SUM(IF(INDEX(_xlfn._xlws.FILTER(tblPiNAnalysis[[CCCM%]:[WASH%]], tblPiNAnalysis[Population Group]=D$5), 0, MATCH(_xlfn.CONCAT($Q$2, "%"), tblPiNAnalysis[[#Headers],[CCCM%]:[WASH%]], 0))=$A41, 1, 0)))), "")</f>
        <v/>
      </c>
      <c r="E41" s="93" t="str" cm="1">
        <f t="array" ref="E41">IFERROR(IF(OR($A41="", E$5=""), "", IF(SUM(IF(INDEX(_xlfn._xlws.FILTER(tblPiNAnalysis[[CCCM%]:[WASH%]], tblPiNAnalysis[Population Group]=E$5), 0, MATCH(_xlfn.CONCAT($Q$2, "%"), tblPiNAnalysis[[#Headers],[CCCM%]:[WASH%]], 0))=$A41, 1, 0))=0, "",SUM(IF(INDEX(_xlfn._xlws.FILTER(tblPiNAnalysis[[CCCM%]:[WASH%]], tblPiNAnalysis[Population Group]=E$5), 0, MATCH(_xlfn.CONCAT($Q$2, "%"), tblPiNAnalysis[[#Headers],[CCCM%]:[WASH%]], 0))=$A41, 1, 0)))), "")</f>
        <v/>
      </c>
      <c r="F41" s="93" t="str" cm="1">
        <f t="array" ref="F41">IFERROR(IF(OR($A41="", F$5=""), "", IF(SUM(IF(INDEX(_xlfn._xlws.FILTER(tblPiNAnalysis[[CCCM%]:[WASH%]], tblPiNAnalysis[CCCM]=F$5), 0, MATCH(_xlfn.CONCAT($Q$2, "%"), tblPiNAnalysis[[#Headers],[CCCM%]:[WASH%]], 0))=$A41, 1, 0))=0, "",SUM(IF(INDEX(_xlfn._xlws.FILTER(tblPiNAnalysis[[CCCM%]:[WASH%]], tblPiNAnalysis[CCCM]=F$5), 0, MATCH(_xlfn.CONCAT($Q$2, "%"), tblPiNAnalysis[[#Headers],[CCCM%]:[WASH%]], 0))=$A41, 1, 0)))), "")</f>
        <v/>
      </c>
      <c r="H41" s="95"/>
      <c r="I41" s="93" t="str" cm="1">
        <f t="array" ref="I41">IF($H41="", "", IF($H41=2, SUM(IF(INDEX(_xlfn._xlws.FILTER(tblPiNHistorical[[CCCM]:[WASH]], tblPiNHistorical[Population Group]=I$5), 0, MATCH($Q$2, tblPiNHistorical[[#Headers],[CCCM]:[WASH]], 0))&gt;1.9, 1, 0)), IF(SUM(IF(INDEX(_xlfn._xlws.FILTER(tblPiNHistorical[[CCCM]:[WASH]], tblPiNHistorical[Population Group]=I$5), 0, MATCH($Q$2, tblPiNHistorical[[#Headers],[CCCM]:[WASH]], 0))=$H41, 1, 0))=0, "", SUM(IF(INDEX(_xlfn._xlws.FILTER(tblPiNHistorical[[CCCM]:[WASH]], tblPiNHistorical[Population Group]=I$5), 0, MATCH($Q$2, tblPiNHistorical[[#Headers],[CCCM]:[WASH]], 0))=$H41, 1, 0)))))</f>
        <v/>
      </c>
      <c r="J41" s="93" t="str" cm="1">
        <f t="array" ref="J41">IFERROR(IF(OR($H41="", J40=""), "", IF($H41=2, SUM(IF(INDEX(_xlfn._xlws.FILTER(tblPiNHistorical[[CCCM]:[WASH]], tblPiNHistorical[Population Group]=J$5), 0, MATCH($Q$2, tblPiNHistorical[[#Headers],[CCCM]:[WASH]], 0))&gt;1.9, 1, 0)), IF(SUM(IF(INDEX(_xlfn._xlws.FILTER(tblPiNHistorical[[CCCM]:[WASH]], tblPiNHistorical[Population Group]=J$5), 0, MATCH($Q$2, tblPiNHistorical[[#Headers],[CCCM]:[WASH]], 0))=$H41, 1, 0))=0, "", SUM(IF(INDEX(_xlfn._xlws.FILTER(tblPiNHistorical[[CCCM]:[WASH]], tblPiNHistorical[Population Group]=J$5), 0, MATCH($Q$2, tblPiNHistorical[[#Headers],[CCCM]:[WASH]], 0))=$H41, 1, 0))))), "")</f>
        <v/>
      </c>
      <c r="K41" s="93" t="str" cm="1">
        <f t="array" ref="K41">IFERROR(IF(OR($H41="", K40=""), "", IF($H41=2, SUM(IF(INDEX(_xlfn._xlws.FILTER(tblPiNHistorical[[CCCM]:[WASH]], tblPiNHistorical[CCCM - old]=K$5), 0, MATCH($Q$2, tblPiNHistorical[[#Headers],[CCCM]:[WASH]], 0))&gt;1.9, 1, 0)), IF(SUM(IF(INDEX(_xlfn._xlws.FILTER(tblPiNHistorical[[CCCM]:[WASH]], tblPiNHistorical[CCCM - old]=K$5), 0, MATCH($Q$2, tblPiNHistorical[[#Headers],[CCCM]:[WASH]], 0))=$H41, 1, 0))=0, "", SUM(IF(INDEX(_xlfn._xlws.FILTER(tblPiNHistorical[[CCCM]:[WASH]], tblPiNHistorical[CCCM - old]=K$5), 0, MATCH($Q$2, tblPiNHistorical[[#Headers],[CCCM]:[WASH]], 0))=$H41, 1, 0))))), "")</f>
        <v/>
      </c>
      <c r="L41" s="93" t="str" cm="1">
        <f t="array" ref="L41">IFERROR(IF(OR($H41="", L40=""), "", IF($H41=2, SUM(IF(INDEX(_xlfn._xlws.FILTER(tblPiNHistorical[[CCCM]:[WASH]],#REF!= L$5), 0, MATCH($Q$2, tblPiNHistorical[[#Headers],[CCCM]:[WASH]], 0))&gt;1.9, 1, 0)), IF(SUM(IF(INDEX(_xlfn._xlws.FILTER(tblPiNHistorical[[CCCM]:[WASH]],#REF!= L$5), 0, MATCH($Q$2, tblPiNHistorical[[#Headers],[CCCM]:[WASH]], 0))=$H41, 1, 0))=0, "", SUM(IF(INDEX(_xlfn._xlws.FILTER(tblPiNHistorical[[CCCM]:[WASH]],#REF!= L$5), 0, MATCH($Q$2, tblPiNHistorical[[#Headers],[CCCM]:[WASH]], 0))=$H41, 1, 0))))), "")</f>
        <v/>
      </c>
      <c r="M41" s="93" t="str" cm="1">
        <f t="array" ref="M41">IFERROR(IF(OR($H41="", M40=""), "", IF($H41=2, SUM(IF(INDEX(_xlfn._xlws.FILTER(tblPiNHistorical[[CCCM]:[WASH]],#REF!= M$5), 0, MATCH($Q$2, tblPiNHistorical[[#Headers],[CCCM]:[WASH]], 0))&gt;1.9, 1, 0)), IF(SUM(IF(INDEX(_xlfn._xlws.FILTER(tblPiNHistorical[[CCCM]:[WASH]],#REF!= M$5), 0, MATCH($Q$2, tblPiNHistorical[[#Headers],[CCCM]:[WASH]], 0))=$H41, 1, 0))=0, "", SUM(IF(INDEX(_xlfn._xlws.FILTER(tblPiNHistorical[[CCCM]:[WASH]],#REF!= M$5), 0, MATCH($Q$2, tblPiNHistorical[[#Headers],[CCCM]:[WASH]], 0))=$H41, 1, 0))))), "")</f>
        <v/>
      </c>
    </row>
    <row r="42" spans="1:28" x14ac:dyDescent="0.55000000000000004">
      <c r="A42" s="95"/>
      <c r="B42" s="93" t="str" cm="1">
        <f t="array" ref="B42">IF($A42="", "", IF(SUM(IF(INDEX(_xlfn._xlws.FILTER(tblPiNAnalysis[[CCCM%]:[WASH%]], tblPiNAnalysis[Population Group]=B$5), 0, MATCH(_xlfn.CONCAT($Q$2, "%"), tblPiNAnalysis[[#Headers],[CCCM%]:[WASH%]], 0))=$A42, 1, 0))=0, "",SUM(IF(INDEX(_xlfn._xlws.FILTER(tblPiNAnalysis[[CCCM%]:[WASH%]], tblPiNAnalysis[Population Group]=B$5), 0, MATCH(_xlfn.CONCAT($Q$2, "%"), tblPiNAnalysis[[#Headers],[CCCM%]:[WASH%]], 0))=$A42, 1, 0))))</f>
        <v/>
      </c>
      <c r="C42" s="93" t="str" cm="1">
        <f t="array" ref="C42">IFERROR(IF(OR($A42="", C$5=""), "", IF(SUM(IF(INDEX(_xlfn._xlws.FILTER(tblPiNAnalysis[[CCCM%]:[WASH%]], tblPiNAnalysis[Population Group]=C$5), 0, MATCH(_xlfn.CONCAT($Q$2, "%"), tblPiNAnalysis[[#Headers],[CCCM%]:[WASH%]], 0))=$A42, 1, 0))=0, "",SUM(IF(INDEX(_xlfn._xlws.FILTER(tblPiNAnalysis[[CCCM%]:[WASH%]], tblPiNAnalysis[Population Group]=C$5), 0, MATCH(_xlfn.CONCAT($Q$2, "%"), tblPiNAnalysis[[#Headers],[CCCM%]:[WASH%]], 0))=$A42, 1, 0)))), "")</f>
        <v/>
      </c>
      <c r="D42" s="93" t="str" cm="1">
        <f t="array" ref="D42">IFERROR(IF(OR($A42="", D$5=""), "", IF(SUM(IF(INDEX(_xlfn._xlws.FILTER(tblPiNAnalysis[[CCCM%]:[WASH%]], tblPiNAnalysis[Population Group]=D$5), 0, MATCH(_xlfn.CONCAT($Q$2, "%"), tblPiNAnalysis[[#Headers],[CCCM%]:[WASH%]], 0))=$A42, 1, 0))=0, "",SUM(IF(INDEX(_xlfn._xlws.FILTER(tblPiNAnalysis[[CCCM%]:[WASH%]], tblPiNAnalysis[Population Group]=D$5), 0, MATCH(_xlfn.CONCAT($Q$2, "%"), tblPiNAnalysis[[#Headers],[CCCM%]:[WASH%]], 0))=$A42, 1, 0)))), "")</f>
        <v/>
      </c>
      <c r="E42" s="93" t="str" cm="1">
        <f t="array" ref="E42">IFERROR(IF(OR($A42="", E$5=""), "", IF(SUM(IF(INDEX(_xlfn._xlws.FILTER(tblPiNAnalysis[[CCCM%]:[WASH%]], tblPiNAnalysis[Population Group]=E$5), 0, MATCH(_xlfn.CONCAT($Q$2, "%"), tblPiNAnalysis[[#Headers],[CCCM%]:[WASH%]], 0))=$A42, 1, 0))=0, "",SUM(IF(INDEX(_xlfn._xlws.FILTER(tblPiNAnalysis[[CCCM%]:[WASH%]], tblPiNAnalysis[Population Group]=E$5), 0, MATCH(_xlfn.CONCAT($Q$2, "%"), tblPiNAnalysis[[#Headers],[CCCM%]:[WASH%]], 0))=$A42, 1, 0)))), "")</f>
        <v/>
      </c>
      <c r="F42" s="93" t="str" cm="1">
        <f t="array" ref="F42">IFERROR(IF(OR($A42="", F$5=""), "", IF(SUM(IF(INDEX(_xlfn._xlws.FILTER(tblPiNAnalysis[[CCCM%]:[WASH%]], tblPiNAnalysis[CCCM]=F$5), 0, MATCH(_xlfn.CONCAT($Q$2, "%"), tblPiNAnalysis[[#Headers],[CCCM%]:[WASH%]], 0))=$A42, 1, 0))=0, "",SUM(IF(INDEX(_xlfn._xlws.FILTER(tblPiNAnalysis[[CCCM%]:[WASH%]], tblPiNAnalysis[CCCM]=F$5), 0, MATCH(_xlfn.CONCAT($Q$2, "%"), tblPiNAnalysis[[#Headers],[CCCM%]:[WASH%]], 0))=$A42, 1, 0)))), "")</f>
        <v/>
      </c>
      <c r="H42" s="95"/>
      <c r="I42" s="93" t="str" cm="1">
        <f t="array" ref="I42">IF($H42="", "", IF($H42=2, SUM(IF(INDEX(_xlfn._xlws.FILTER(tblPiNHistorical[[CCCM]:[WASH]], tblPiNHistorical[Population Group]=I$5), 0, MATCH($Q$2, tblPiNHistorical[[#Headers],[CCCM]:[WASH]], 0))&gt;1.9, 1, 0)), IF(SUM(IF(INDEX(_xlfn._xlws.FILTER(tblPiNHistorical[[CCCM]:[WASH]], tblPiNHistorical[Population Group]=I$5), 0, MATCH($Q$2, tblPiNHistorical[[#Headers],[CCCM]:[WASH]], 0))=$H42, 1, 0))=0, "", SUM(IF(INDEX(_xlfn._xlws.FILTER(tblPiNHistorical[[CCCM]:[WASH]], tblPiNHistorical[Population Group]=I$5), 0, MATCH($Q$2, tblPiNHistorical[[#Headers],[CCCM]:[WASH]], 0))=$H42, 1, 0)))))</f>
        <v/>
      </c>
      <c r="J42" s="93" t="str" cm="1">
        <f t="array" ref="J42">IFERROR(IF(OR($H42="", J41=""), "", IF($H42=2, SUM(IF(INDEX(_xlfn._xlws.FILTER(tblPiNHistorical[[CCCM]:[WASH]], tblPiNHistorical[Population Group]=J$5), 0, MATCH($Q$2, tblPiNHistorical[[#Headers],[CCCM]:[WASH]], 0))&gt;1.9, 1, 0)), IF(SUM(IF(INDEX(_xlfn._xlws.FILTER(tblPiNHistorical[[CCCM]:[WASH]], tblPiNHistorical[Population Group]=J$5), 0, MATCH($Q$2, tblPiNHistorical[[#Headers],[CCCM]:[WASH]], 0))=$H42, 1, 0))=0, "", SUM(IF(INDEX(_xlfn._xlws.FILTER(tblPiNHistorical[[CCCM]:[WASH]], tblPiNHistorical[Population Group]=J$5), 0, MATCH($Q$2, tblPiNHistorical[[#Headers],[CCCM]:[WASH]], 0))=$H42, 1, 0))))), "")</f>
        <v/>
      </c>
      <c r="K42" s="93" t="str" cm="1">
        <f t="array" ref="K42">IFERROR(IF(OR($H42="", K41=""), "", IF($H42=2, SUM(IF(INDEX(_xlfn._xlws.FILTER(tblPiNHistorical[[CCCM]:[WASH]], tblPiNHistorical[CCCM - old]=K$5), 0, MATCH($Q$2, tblPiNHistorical[[#Headers],[CCCM]:[WASH]], 0))&gt;1.9, 1, 0)), IF(SUM(IF(INDEX(_xlfn._xlws.FILTER(tblPiNHistorical[[CCCM]:[WASH]], tblPiNHistorical[CCCM - old]=K$5), 0, MATCH($Q$2, tblPiNHistorical[[#Headers],[CCCM]:[WASH]], 0))=$H42, 1, 0))=0, "", SUM(IF(INDEX(_xlfn._xlws.FILTER(tblPiNHistorical[[CCCM]:[WASH]], tblPiNHistorical[CCCM - old]=K$5), 0, MATCH($Q$2, tblPiNHistorical[[#Headers],[CCCM]:[WASH]], 0))=$H42, 1, 0))))), "")</f>
        <v/>
      </c>
      <c r="L42" s="93" t="str" cm="1">
        <f t="array" ref="L42">IFERROR(IF(OR($H42="", L41=""), "", IF($H42=2, SUM(IF(INDEX(_xlfn._xlws.FILTER(tblPiNHistorical[[CCCM]:[WASH]],#REF!= L$5), 0, MATCH($Q$2, tblPiNHistorical[[#Headers],[CCCM]:[WASH]], 0))&gt;1.9, 1, 0)), IF(SUM(IF(INDEX(_xlfn._xlws.FILTER(tblPiNHistorical[[CCCM]:[WASH]],#REF!= L$5), 0, MATCH($Q$2, tblPiNHistorical[[#Headers],[CCCM]:[WASH]], 0))=$H42, 1, 0))=0, "", SUM(IF(INDEX(_xlfn._xlws.FILTER(tblPiNHistorical[[CCCM]:[WASH]],#REF!= L$5), 0, MATCH($Q$2, tblPiNHistorical[[#Headers],[CCCM]:[WASH]], 0))=$H42, 1, 0))))), "")</f>
        <v/>
      </c>
      <c r="M42" s="93" t="str" cm="1">
        <f t="array" ref="M42">IFERROR(IF(OR($H42="", M41=""), "", IF($H42=2, SUM(IF(INDEX(_xlfn._xlws.FILTER(tblPiNHistorical[[CCCM]:[WASH]],#REF!= M$5), 0, MATCH($Q$2, tblPiNHistorical[[#Headers],[CCCM]:[WASH]], 0))&gt;1.9, 1, 0)), IF(SUM(IF(INDEX(_xlfn._xlws.FILTER(tblPiNHistorical[[CCCM]:[WASH]],#REF!= M$5), 0, MATCH($Q$2, tblPiNHistorical[[#Headers],[CCCM]:[WASH]], 0))=$H42, 1, 0))=0, "", SUM(IF(INDEX(_xlfn._xlws.FILTER(tblPiNHistorical[[CCCM]:[WASH]],#REF!= M$5), 0, MATCH($Q$2, tblPiNHistorical[[#Headers],[CCCM]:[WASH]], 0))=$H42, 1, 0))))), "")</f>
        <v/>
      </c>
    </row>
    <row r="43" spans="1:28" x14ac:dyDescent="0.55000000000000004">
      <c r="A43" s="95"/>
      <c r="B43" s="93" t="str" cm="1">
        <f t="array" ref="B43">IF($A43="", "", IF(SUM(IF(INDEX(_xlfn._xlws.FILTER(tblPiNAnalysis[[CCCM%]:[WASH%]], tblPiNAnalysis[Population Group]=B$5), 0, MATCH(_xlfn.CONCAT($Q$2, "%"), tblPiNAnalysis[[#Headers],[CCCM%]:[WASH%]], 0))=$A43, 1, 0))=0, "",SUM(IF(INDEX(_xlfn._xlws.FILTER(tblPiNAnalysis[[CCCM%]:[WASH%]], tblPiNAnalysis[Population Group]=B$5), 0, MATCH(_xlfn.CONCAT($Q$2, "%"), tblPiNAnalysis[[#Headers],[CCCM%]:[WASH%]], 0))=$A43, 1, 0))))</f>
        <v/>
      </c>
      <c r="C43" s="93" t="str" cm="1">
        <f t="array" ref="C43">IFERROR(IF(OR($A43="", C$5=""), "", IF(SUM(IF(INDEX(_xlfn._xlws.FILTER(tblPiNAnalysis[[CCCM%]:[WASH%]], tblPiNAnalysis[Population Group]=C$5), 0, MATCH(_xlfn.CONCAT($Q$2, "%"), tblPiNAnalysis[[#Headers],[CCCM%]:[WASH%]], 0))=$A43, 1, 0))=0, "",SUM(IF(INDEX(_xlfn._xlws.FILTER(tblPiNAnalysis[[CCCM%]:[WASH%]], tblPiNAnalysis[Population Group]=C$5), 0, MATCH(_xlfn.CONCAT($Q$2, "%"), tblPiNAnalysis[[#Headers],[CCCM%]:[WASH%]], 0))=$A43, 1, 0)))), "")</f>
        <v/>
      </c>
      <c r="D43" s="93" t="str" cm="1">
        <f t="array" ref="D43">IFERROR(IF(OR($A43="", D$5=""), "", IF(SUM(IF(INDEX(_xlfn._xlws.FILTER(tblPiNAnalysis[[CCCM%]:[WASH%]], tblPiNAnalysis[Population Group]=D$5), 0, MATCH(_xlfn.CONCAT($Q$2, "%"), tblPiNAnalysis[[#Headers],[CCCM%]:[WASH%]], 0))=$A43, 1, 0))=0, "",SUM(IF(INDEX(_xlfn._xlws.FILTER(tblPiNAnalysis[[CCCM%]:[WASH%]], tblPiNAnalysis[Population Group]=D$5), 0, MATCH(_xlfn.CONCAT($Q$2, "%"), tblPiNAnalysis[[#Headers],[CCCM%]:[WASH%]], 0))=$A43, 1, 0)))), "")</f>
        <v/>
      </c>
      <c r="E43" s="93" t="str" cm="1">
        <f t="array" ref="E43">IFERROR(IF(OR($A43="", E$5=""), "", IF(SUM(IF(INDEX(_xlfn._xlws.FILTER(tblPiNAnalysis[[CCCM%]:[WASH%]], tblPiNAnalysis[Population Group]=E$5), 0, MATCH(_xlfn.CONCAT($Q$2, "%"), tblPiNAnalysis[[#Headers],[CCCM%]:[WASH%]], 0))=$A43, 1, 0))=0, "",SUM(IF(INDEX(_xlfn._xlws.FILTER(tblPiNAnalysis[[CCCM%]:[WASH%]], tblPiNAnalysis[Population Group]=E$5), 0, MATCH(_xlfn.CONCAT($Q$2, "%"), tblPiNAnalysis[[#Headers],[CCCM%]:[WASH%]], 0))=$A43, 1, 0)))), "")</f>
        <v/>
      </c>
      <c r="F43" s="93" t="str" cm="1">
        <f t="array" ref="F43">IFERROR(IF(OR($A43="", F$5=""), "", IF(SUM(IF(INDEX(_xlfn._xlws.FILTER(tblPiNAnalysis[[CCCM%]:[WASH%]], tblPiNAnalysis[CCCM]=F$5), 0, MATCH(_xlfn.CONCAT($Q$2, "%"), tblPiNAnalysis[[#Headers],[CCCM%]:[WASH%]], 0))=$A43, 1, 0))=0, "",SUM(IF(INDEX(_xlfn._xlws.FILTER(tblPiNAnalysis[[CCCM%]:[WASH%]], tblPiNAnalysis[CCCM]=F$5), 0, MATCH(_xlfn.CONCAT($Q$2, "%"), tblPiNAnalysis[[#Headers],[CCCM%]:[WASH%]], 0))=$A43, 1, 0)))), "")</f>
        <v/>
      </c>
      <c r="H43" s="95"/>
      <c r="I43" s="93" t="str" cm="1">
        <f t="array" ref="I43">IF($H43="", "", IF($H43=2, SUM(IF(INDEX(_xlfn._xlws.FILTER(tblPiNHistorical[[CCCM]:[WASH]], tblPiNHistorical[Population Group]=I$5), 0, MATCH($Q$2, tblPiNHistorical[[#Headers],[CCCM]:[WASH]], 0))&gt;1.9, 1, 0)), IF(SUM(IF(INDEX(_xlfn._xlws.FILTER(tblPiNHistorical[[CCCM]:[WASH]], tblPiNHistorical[Population Group]=I$5), 0, MATCH($Q$2, tblPiNHistorical[[#Headers],[CCCM]:[WASH]], 0))=$H43, 1, 0))=0, "", SUM(IF(INDEX(_xlfn._xlws.FILTER(tblPiNHistorical[[CCCM]:[WASH]], tblPiNHistorical[Population Group]=I$5), 0, MATCH($Q$2, tblPiNHistorical[[#Headers],[CCCM]:[WASH]], 0))=$H43, 1, 0)))))</f>
        <v/>
      </c>
      <c r="J43" s="93" t="str" cm="1">
        <f t="array" ref="J43">IFERROR(IF(OR($H43="", J42=""), "", IF($H43=2, SUM(IF(INDEX(_xlfn._xlws.FILTER(tblPiNHistorical[[CCCM]:[WASH]], tblPiNHistorical[Population Group]=J$5), 0, MATCH($Q$2, tblPiNHistorical[[#Headers],[CCCM]:[WASH]], 0))&gt;1.9, 1, 0)), IF(SUM(IF(INDEX(_xlfn._xlws.FILTER(tblPiNHistorical[[CCCM]:[WASH]], tblPiNHistorical[Population Group]=J$5), 0, MATCH($Q$2, tblPiNHistorical[[#Headers],[CCCM]:[WASH]], 0))=$H43, 1, 0))=0, "", SUM(IF(INDEX(_xlfn._xlws.FILTER(tblPiNHistorical[[CCCM]:[WASH]], tblPiNHistorical[Population Group]=J$5), 0, MATCH($Q$2, tblPiNHistorical[[#Headers],[CCCM]:[WASH]], 0))=$H43, 1, 0))))), "")</f>
        <v/>
      </c>
      <c r="K43" s="93" t="str" cm="1">
        <f t="array" ref="K43">IFERROR(IF(OR($H43="", K42=""), "", IF($H43=2, SUM(IF(INDEX(_xlfn._xlws.FILTER(tblPiNHistorical[[CCCM]:[WASH]], tblPiNHistorical[CCCM - old]=K$5), 0, MATCH($Q$2, tblPiNHistorical[[#Headers],[CCCM]:[WASH]], 0))&gt;1.9, 1, 0)), IF(SUM(IF(INDEX(_xlfn._xlws.FILTER(tblPiNHistorical[[CCCM]:[WASH]], tblPiNHistorical[CCCM - old]=K$5), 0, MATCH($Q$2, tblPiNHistorical[[#Headers],[CCCM]:[WASH]], 0))=$H43, 1, 0))=0, "", SUM(IF(INDEX(_xlfn._xlws.FILTER(tblPiNHistorical[[CCCM]:[WASH]], tblPiNHistorical[CCCM - old]=K$5), 0, MATCH($Q$2, tblPiNHistorical[[#Headers],[CCCM]:[WASH]], 0))=$H43, 1, 0))))), "")</f>
        <v/>
      </c>
      <c r="L43" s="93" t="str" cm="1">
        <f t="array" ref="L43">IFERROR(IF(OR($H43="", L42=""), "", IF($H43=2, SUM(IF(INDEX(_xlfn._xlws.FILTER(tblPiNHistorical[[CCCM]:[WASH]],#REF!= L$5), 0, MATCH($Q$2, tblPiNHistorical[[#Headers],[CCCM]:[WASH]], 0))&gt;1.9, 1, 0)), IF(SUM(IF(INDEX(_xlfn._xlws.FILTER(tblPiNHistorical[[CCCM]:[WASH]],#REF!= L$5), 0, MATCH($Q$2, tblPiNHistorical[[#Headers],[CCCM]:[WASH]], 0))=$H43, 1, 0))=0, "", SUM(IF(INDEX(_xlfn._xlws.FILTER(tblPiNHistorical[[CCCM]:[WASH]],#REF!= L$5), 0, MATCH($Q$2, tblPiNHistorical[[#Headers],[CCCM]:[WASH]], 0))=$H43, 1, 0))))), "")</f>
        <v/>
      </c>
      <c r="M43" s="93" t="str" cm="1">
        <f t="array" ref="M43">IFERROR(IF(OR($H43="", M42=""), "", IF($H43=2, SUM(IF(INDEX(_xlfn._xlws.FILTER(tblPiNHistorical[[CCCM]:[WASH]],#REF!= M$5), 0, MATCH($Q$2, tblPiNHistorical[[#Headers],[CCCM]:[WASH]], 0))&gt;1.9, 1, 0)), IF(SUM(IF(INDEX(_xlfn._xlws.FILTER(tblPiNHistorical[[CCCM]:[WASH]],#REF!= M$5), 0, MATCH($Q$2, tblPiNHistorical[[#Headers],[CCCM]:[WASH]], 0))=$H43, 1, 0))=0, "", SUM(IF(INDEX(_xlfn._xlws.FILTER(tblPiNHistorical[[CCCM]:[WASH]],#REF!= M$5), 0, MATCH($Q$2, tblPiNHistorical[[#Headers],[CCCM]:[WASH]], 0))=$H43, 1, 0))))), "")</f>
        <v/>
      </c>
    </row>
    <row r="44" spans="1:28" x14ac:dyDescent="0.55000000000000004">
      <c r="A44" s="95"/>
      <c r="B44" s="93" t="str" cm="1">
        <f t="array" ref="B44">IF($A44="", "", IF(SUM(IF(INDEX(_xlfn._xlws.FILTER(tblPiNAnalysis[[CCCM%]:[WASH%]], tblPiNAnalysis[Population Group]=B$5), 0, MATCH(_xlfn.CONCAT($Q$2, "%"), tblPiNAnalysis[[#Headers],[CCCM%]:[WASH%]], 0))=$A44, 1, 0))=0, "",SUM(IF(INDEX(_xlfn._xlws.FILTER(tblPiNAnalysis[[CCCM%]:[WASH%]], tblPiNAnalysis[Population Group]=B$5), 0, MATCH(_xlfn.CONCAT($Q$2, "%"), tblPiNAnalysis[[#Headers],[CCCM%]:[WASH%]], 0))=$A44, 1, 0))))</f>
        <v/>
      </c>
      <c r="C44" s="93" t="str" cm="1">
        <f t="array" ref="C44">IFERROR(IF(OR($A44="", C$5=""), "", IF(SUM(IF(INDEX(_xlfn._xlws.FILTER(tblPiNAnalysis[[CCCM%]:[WASH%]], tblPiNAnalysis[Population Group]=C$5), 0, MATCH(_xlfn.CONCAT($Q$2, "%"), tblPiNAnalysis[[#Headers],[CCCM%]:[WASH%]], 0))=$A44, 1, 0))=0, "",SUM(IF(INDEX(_xlfn._xlws.FILTER(tblPiNAnalysis[[CCCM%]:[WASH%]], tblPiNAnalysis[Population Group]=C$5), 0, MATCH(_xlfn.CONCAT($Q$2, "%"), tblPiNAnalysis[[#Headers],[CCCM%]:[WASH%]], 0))=$A44, 1, 0)))), "")</f>
        <v/>
      </c>
      <c r="D44" s="93" t="str" cm="1">
        <f t="array" ref="D44">IFERROR(IF(OR($A44="", D$5=""), "", IF(SUM(IF(INDEX(_xlfn._xlws.FILTER(tblPiNAnalysis[[CCCM%]:[WASH%]], tblPiNAnalysis[Population Group]=D$5), 0, MATCH(_xlfn.CONCAT($Q$2, "%"), tblPiNAnalysis[[#Headers],[CCCM%]:[WASH%]], 0))=$A44, 1, 0))=0, "",SUM(IF(INDEX(_xlfn._xlws.FILTER(tblPiNAnalysis[[CCCM%]:[WASH%]], tblPiNAnalysis[Population Group]=D$5), 0, MATCH(_xlfn.CONCAT($Q$2, "%"), tblPiNAnalysis[[#Headers],[CCCM%]:[WASH%]], 0))=$A44, 1, 0)))), "")</f>
        <v/>
      </c>
      <c r="E44" s="93" t="str" cm="1">
        <f t="array" ref="E44">IFERROR(IF(OR($A44="", E$5=""), "", IF(SUM(IF(INDEX(_xlfn._xlws.FILTER(tblPiNAnalysis[[CCCM%]:[WASH%]], tblPiNAnalysis[Population Group]=E$5), 0, MATCH(_xlfn.CONCAT($Q$2, "%"), tblPiNAnalysis[[#Headers],[CCCM%]:[WASH%]], 0))=$A44, 1, 0))=0, "",SUM(IF(INDEX(_xlfn._xlws.FILTER(tblPiNAnalysis[[CCCM%]:[WASH%]], tblPiNAnalysis[Population Group]=E$5), 0, MATCH(_xlfn.CONCAT($Q$2, "%"), tblPiNAnalysis[[#Headers],[CCCM%]:[WASH%]], 0))=$A44, 1, 0)))), "")</f>
        <v/>
      </c>
      <c r="F44" s="93" t="str" cm="1">
        <f t="array" ref="F44">IFERROR(IF(OR($A44="", F$5=""), "", IF(SUM(IF(INDEX(_xlfn._xlws.FILTER(tblPiNAnalysis[[CCCM%]:[WASH%]], tblPiNAnalysis[CCCM]=F$5), 0, MATCH(_xlfn.CONCAT($Q$2, "%"), tblPiNAnalysis[[#Headers],[CCCM%]:[WASH%]], 0))=$A44, 1, 0))=0, "",SUM(IF(INDEX(_xlfn._xlws.FILTER(tblPiNAnalysis[[CCCM%]:[WASH%]], tblPiNAnalysis[CCCM]=F$5), 0, MATCH(_xlfn.CONCAT($Q$2, "%"), tblPiNAnalysis[[#Headers],[CCCM%]:[WASH%]], 0))=$A44, 1, 0)))), "")</f>
        <v/>
      </c>
      <c r="H44" s="95"/>
      <c r="I44" s="93" t="str" cm="1">
        <f t="array" ref="I44">IF($H44="", "", IF($H44=2, SUM(IF(INDEX(_xlfn._xlws.FILTER(tblPiNHistorical[[CCCM]:[WASH]], tblPiNHistorical[Population Group]=I$5), 0, MATCH($Q$2, tblPiNHistorical[[#Headers],[CCCM]:[WASH]], 0))&gt;1.9, 1, 0)), IF(SUM(IF(INDEX(_xlfn._xlws.FILTER(tblPiNHistorical[[CCCM]:[WASH]], tblPiNHistorical[Population Group]=I$5), 0, MATCH($Q$2, tblPiNHistorical[[#Headers],[CCCM]:[WASH]], 0))=$H44, 1, 0))=0, "", SUM(IF(INDEX(_xlfn._xlws.FILTER(tblPiNHistorical[[CCCM]:[WASH]], tblPiNHistorical[Population Group]=I$5), 0, MATCH($Q$2, tblPiNHistorical[[#Headers],[CCCM]:[WASH]], 0))=$H44, 1, 0)))))</f>
        <v/>
      </c>
      <c r="J44" s="93" t="str" cm="1">
        <f t="array" ref="J44">IFERROR(IF(OR($H44="", J43=""), "", IF($H44=2, SUM(IF(INDEX(_xlfn._xlws.FILTER(tblPiNHistorical[[CCCM]:[WASH]], tblPiNHistorical[Population Group]=J$5), 0, MATCH($Q$2, tblPiNHistorical[[#Headers],[CCCM]:[WASH]], 0))&gt;1.9, 1, 0)), IF(SUM(IF(INDEX(_xlfn._xlws.FILTER(tblPiNHistorical[[CCCM]:[WASH]], tblPiNHistorical[Population Group]=J$5), 0, MATCH($Q$2, tblPiNHistorical[[#Headers],[CCCM]:[WASH]], 0))=$H44, 1, 0))=0, "", SUM(IF(INDEX(_xlfn._xlws.FILTER(tblPiNHistorical[[CCCM]:[WASH]], tblPiNHistorical[Population Group]=J$5), 0, MATCH($Q$2, tblPiNHistorical[[#Headers],[CCCM]:[WASH]], 0))=$H44, 1, 0))))), "")</f>
        <v/>
      </c>
      <c r="K44" s="93" t="str" cm="1">
        <f t="array" ref="K44">IFERROR(IF(OR($H44="", K43=""), "", IF($H44=2, SUM(IF(INDEX(_xlfn._xlws.FILTER(tblPiNHistorical[[CCCM]:[WASH]], tblPiNHistorical[CCCM - old]=K$5), 0, MATCH($Q$2, tblPiNHistorical[[#Headers],[CCCM]:[WASH]], 0))&gt;1.9, 1, 0)), IF(SUM(IF(INDEX(_xlfn._xlws.FILTER(tblPiNHistorical[[CCCM]:[WASH]], tblPiNHistorical[CCCM - old]=K$5), 0, MATCH($Q$2, tblPiNHistorical[[#Headers],[CCCM]:[WASH]], 0))=$H44, 1, 0))=0, "", SUM(IF(INDEX(_xlfn._xlws.FILTER(tblPiNHistorical[[CCCM]:[WASH]], tblPiNHistorical[CCCM - old]=K$5), 0, MATCH($Q$2, tblPiNHistorical[[#Headers],[CCCM]:[WASH]], 0))=$H44, 1, 0))))), "")</f>
        <v/>
      </c>
      <c r="L44" s="93" t="str" cm="1">
        <f t="array" ref="L44">IFERROR(IF(OR($H44="", L43=""), "", IF($H44=2, SUM(IF(INDEX(_xlfn._xlws.FILTER(tblPiNHistorical[[CCCM]:[WASH]],#REF!= L$5), 0, MATCH($Q$2, tblPiNHistorical[[#Headers],[CCCM]:[WASH]], 0))&gt;1.9, 1, 0)), IF(SUM(IF(INDEX(_xlfn._xlws.FILTER(tblPiNHistorical[[CCCM]:[WASH]],#REF!= L$5), 0, MATCH($Q$2, tblPiNHistorical[[#Headers],[CCCM]:[WASH]], 0))=$H44, 1, 0))=0, "", SUM(IF(INDEX(_xlfn._xlws.FILTER(tblPiNHistorical[[CCCM]:[WASH]],#REF!= L$5), 0, MATCH($Q$2, tblPiNHistorical[[#Headers],[CCCM]:[WASH]], 0))=$H44, 1, 0))))), "")</f>
        <v/>
      </c>
      <c r="M44" s="93" t="str" cm="1">
        <f t="array" ref="M44">IFERROR(IF(OR($H44="", M43=""), "", IF($H44=2, SUM(IF(INDEX(_xlfn._xlws.FILTER(tblPiNHistorical[[CCCM]:[WASH]],#REF!= M$5), 0, MATCH($Q$2, tblPiNHistorical[[#Headers],[CCCM]:[WASH]], 0))&gt;1.9, 1, 0)), IF(SUM(IF(INDEX(_xlfn._xlws.FILTER(tblPiNHistorical[[CCCM]:[WASH]],#REF!= M$5), 0, MATCH($Q$2, tblPiNHistorical[[#Headers],[CCCM]:[WASH]], 0))=$H44, 1, 0))=0, "", SUM(IF(INDEX(_xlfn._xlws.FILTER(tblPiNHistorical[[CCCM]:[WASH]],#REF!= M$5), 0, MATCH($Q$2, tblPiNHistorical[[#Headers],[CCCM]:[WASH]], 0))=$H44, 1, 0))))), "")</f>
        <v/>
      </c>
    </row>
    <row r="45" spans="1:28" x14ac:dyDescent="0.55000000000000004">
      <c r="A45" s="95"/>
      <c r="B45" s="93" t="str" cm="1">
        <f t="array" ref="B45">IF($A45="", "", IF(SUM(IF(INDEX(_xlfn._xlws.FILTER(tblPiNAnalysis[[CCCM%]:[WASH%]], tblPiNAnalysis[Population Group]=B$5), 0, MATCH(_xlfn.CONCAT($Q$2, "%"), tblPiNAnalysis[[#Headers],[CCCM%]:[WASH%]], 0))=$A45, 1, 0))=0, "",SUM(IF(INDEX(_xlfn._xlws.FILTER(tblPiNAnalysis[[CCCM%]:[WASH%]], tblPiNAnalysis[Population Group]=B$5), 0, MATCH(_xlfn.CONCAT($Q$2, "%"), tblPiNAnalysis[[#Headers],[CCCM%]:[WASH%]], 0))=$A45, 1, 0))))</f>
        <v/>
      </c>
      <c r="C45" s="93" t="str" cm="1">
        <f t="array" ref="C45">IFERROR(IF(OR($A45="", C$5=""), "", IF(SUM(IF(INDEX(_xlfn._xlws.FILTER(tblPiNAnalysis[[CCCM%]:[WASH%]], tblPiNAnalysis[Population Group]=C$5), 0, MATCH(_xlfn.CONCAT($Q$2, "%"), tblPiNAnalysis[[#Headers],[CCCM%]:[WASH%]], 0))=$A45, 1, 0))=0, "",SUM(IF(INDEX(_xlfn._xlws.FILTER(tblPiNAnalysis[[CCCM%]:[WASH%]], tblPiNAnalysis[Population Group]=C$5), 0, MATCH(_xlfn.CONCAT($Q$2, "%"), tblPiNAnalysis[[#Headers],[CCCM%]:[WASH%]], 0))=$A45, 1, 0)))), "")</f>
        <v/>
      </c>
      <c r="D45" s="93" t="str" cm="1">
        <f t="array" ref="D45">IFERROR(IF(OR($A45="", D$5=""), "", IF(SUM(IF(INDEX(_xlfn._xlws.FILTER(tblPiNAnalysis[[CCCM%]:[WASH%]], tblPiNAnalysis[Population Group]=D$5), 0, MATCH(_xlfn.CONCAT($Q$2, "%"), tblPiNAnalysis[[#Headers],[CCCM%]:[WASH%]], 0))=$A45, 1, 0))=0, "",SUM(IF(INDEX(_xlfn._xlws.FILTER(tblPiNAnalysis[[CCCM%]:[WASH%]], tblPiNAnalysis[Population Group]=D$5), 0, MATCH(_xlfn.CONCAT($Q$2, "%"), tblPiNAnalysis[[#Headers],[CCCM%]:[WASH%]], 0))=$A45, 1, 0)))), "")</f>
        <v/>
      </c>
      <c r="E45" s="93" t="str" cm="1">
        <f t="array" ref="E45">IFERROR(IF(OR($A45="", E$5=""), "", IF(SUM(IF(INDEX(_xlfn._xlws.FILTER(tblPiNAnalysis[[CCCM%]:[WASH%]], tblPiNAnalysis[Population Group]=E$5), 0, MATCH(_xlfn.CONCAT($Q$2, "%"), tblPiNAnalysis[[#Headers],[CCCM%]:[WASH%]], 0))=$A45, 1, 0))=0, "",SUM(IF(INDEX(_xlfn._xlws.FILTER(tblPiNAnalysis[[CCCM%]:[WASH%]], tblPiNAnalysis[Population Group]=E$5), 0, MATCH(_xlfn.CONCAT($Q$2, "%"), tblPiNAnalysis[[#Headers],[CCCM%]:[WASH%]], 0))=$A45, 1, 0)))), "")</f>
        <v/>
      </c>
      <c r="F45" s="93" t="str" cm="1">
        <f t="array" ref="F45">IFERROR(IF(OR($A45="", F$5=""), "", IF(SUM(IF(INDEX(_xlfn._xlws.FILTER(tblPiNAnalysis[[CCCM%]:[WASH%]], tblPiNAnalysis[CCCM]=F$5), 0, MATCH(_xlfn.CONCAT($Q$2, "%"), tblPiNAnalysis[[#Headers],[CCCM%]:[WASH%]], 0))=$A45, 1, 0))=0, "",SUM(IF(INDEX(_xlfn._xlws.FILTER(tblPiNAnalysis[[CCCM%]:[WASH%]], tblPiNAnalysis[CCCM]=F$5), 0, MATCH(_xlfn.CONCAT($Q$2, "%"), tblPiNAnalysis[[#Headers],[CCCM%]:[WASH%]], 0))=$A45, 1, 0)))), "")</f>
        <v/>
      </c>
      <c r="H45" s="95"/>
      <c r="I45" s="93" t="str" cm="1">
        <f t="array" ref="I45">IF($H45="", "", IF($H45=2, SUM(IF(INDEX(_xlfn._xlws.FILTER(tblPiNHistorical[[CCCM]:[WASH]], tblPiNHistorical[Population Group]=I$5), 0, MATCH($Q$2, tblPiNHistorical[[#Headers],[CCCM]:[WASH]], 0))&gt;1.9, 1, 0)), IF(SUM(IF(INDEX(_xlfn._xlws.FILTER(tblPiNHistorical[[CCCM]:[WASH]], tblPiNHistorical[Population Group]=I$5), 0, MATCH($Q$2, tblPiNHistorical[[#Headers],[CCCM]:[WASH]], 0))=$H45, 1, 0))=0, "", SUM(IF(INDEX(_xlfn._xlws.FILTER(tblPiNHistorical[[CCCM]:[WASH]], tblPiNHistorical[Population Group]=I$5), 0, MATCH($Q$2, tblPiNHistorical[[#Headers],[CCCM]:[WASH]], 0))=$H45, 1, 0)))))</f>
        <v/>
      </c>
      <c r="J45" s="93" t="str" cm="1">
        <f t="array" ref="J45">IFERROR(IF(OR($H45="", J44=""), "", IF($H45=2, SUM(IF(INDEX(_xlfn._xlws.FILTER(tblPiNHistorical[[CCCM]:[WASH]], tblPiNHistorical[Population Group]=J$5), 0, MATCH($Q$2, tblPiNHistorical[[#Headers],[CCCM]:[WASH]], 0))&gt;1.9, 1, 0)), IF(SUM(IF(INDEX(_xlfn._xlws.FILTER(tblPiNHistorical[[CCCM]:[WASH]], tblPiNHistorical[Population Group]=J$5), 0, MATCH($Q$2, tblPiNHistorical[[#Headers],[CCCM]:[WASH]], 0))=$H45, 1, 0))=0, "", SUM(IF(INDEX(_xlfn._xlws.FILTER(tblPiNHistorical[[CCCM]:[WASH]], tblPiNHistorical[Population Group]=J$5), 0, MATCH($Q$2, tblPiNHistorical[[#Headers],[CCCM]:[WASH]], 0))=$H45, 1, 0))))), "")</f>
        <v/>
      </c>
      <c r="K45" s="93" t="str" cm="1">
        <f t="array" ref="K45">IFERROR(IF(OR($H45="", K44=""), "", IF($H45=2, SUM(IF(INDEX(_xlfn._xlws.FILTER(tblPiNHistorical[[CCCM]:[WASH]], tblPiNHistorical[CCCM - old]=K$5), 0, MATCH($Q$2, tblPiNHistorical[[#Headers],[CCCM]:[WASH]], 0))&gt;1.9, 1, 0)), IF(SUM(IF(INDEX(_xlfn._xlws.FILTER(tblPiNHistorical[[CCCM]:[WASH]], tblPiNHistorical[CCCM - old]=K$5), 0, MATCH($Q$2, tblPiNHistorical[[#Headers],[CCCM]:[WASH]], 0))=$H45, 1, 0))=0, "", SUM(IF(INDEX(_xlfn._xlws.FILTER(tblPiNHistorical[[CCCM]:[WASH]], tblPiNHistorical[CCCM - old]=K$5), 0, MATCH($Q$2, tblPiNHistorical[[#Headers],[CCCM]:[WASH]], 0))=$H45, 1, 0))))), "")</f>
        <v/>
      </c>
      <c r="L45" s="93" t="str" cm="1">
        <f t="array" ref="L45">IFERROR(IF(OR($H45="", L44=""), "", IF($H45=2, SUM(IF(INDEX(_xlfn._xlws.FILTER(tblPiNHistorical[[CCCM]:[WASH]],#REF!= L$5), 0, MATCH($Q$2, tblPiNHistorical[[#Headers],[CCCM]:[WASH]], 0))&gt;1.9, 1, 0)), IF(SUM(IF(INDEX(_xlfn._xlws.FILTER(tblPiNHistorical[[CCCM]:[WASH]],#REF!= L$5), 0, MATCH($Q$2, tblPiNHistorical[[#Headers],[CCCM]:[WASH]], 0))=$H45, 1, 0))=0, "", SUM(IF(INDEX(_xlfn._xlws.FILTER(tblPiNHistorical[[CCCM]:[WASH]],#REF!= L$5), 0, MATCH($Q$2, tblPiNHistorical[[#Headers],[CCCM]:[WASH]], 0))=$H45, 1, 0))))), "")</f>
        <v/>
      </c>
      <c r="M45" s="93" t="str" cm="1">
        <f t="array" ref="M45">IFERROR(IF(OR($H45="", M44=""), "", IF($H45=2, SUM(IF(INDEX(_xlfn._xlws.FILTER(tblPiNHistorical[[CCCM]:[WASH]],#REF!= M$5), 0, MATCH($Q$2, tblPiNHistorical[[#Headers],[CCCM]:[WASH]], 0))&gt;1.9, 1, 0)), IF(SUM(IF(INDEX(_xlfn._xlws.FILTER(tblPiNHistorical[[CCCM]:[WASH]],#REF!= M$5), 0, MATCH($Q$2, tblPiNHistorical[[#Headers],[CCCM]:[WASH]], 0))=$H45, 1, 0))=0, "", SUM(IF(INDEX(_xlfn._xlws.FILTER(tblPiNHistorical[[CCCM]:[WASH]],#REF!= M$5), 0, MATCH($Q$2, tblPiNHistorical[[#Headers],[CCCM]:[WASH]], 0))=$H45, 1, 0))))), "")</f>
        <v/>
      </c>
    </row>
    <row r="46" spans="1:28" x14ac:dyDescent="0.55000000000000004">
      <c r="A46" s="95"/>
      <c r="B46" s="93" t="str" cm="1">
        <f t="array" ref="B46">IF($A46="", "", IF(SUM(IF(INDEX(_xlfn._xlws.FILTER(tblPiNAnalysis[[CCCM%]:[WASH%]], tblPiNAnalysis[Population Group]=B$5), 0, MATCH(_xlfn.CONCAT($Q$2, "%"), tblPiNAnalysis[[#Headers],[CCCM%]:[WASH%]], 0))=$A46, 1, 0))=0, "",SUM(IF(INDEX(_xlfn._xlws.FILTER(tblPiNAnalysis[[CCCM%]:[WASH%]], tblPiNAnalysis[Population Group]=B$5), 0, MATCH(_xlfn.CONCAT($Q$2, "%"), tblPiNAnalysis[[#Headers],[CCCM%]:[WASH%]], 0))=$A46, 1, 0))))</f>
        <v/>
      </c>
      <c r="C46" s="93" t="str" cm="1">
        <f t="array" ref="C46">IFERROR(IF(OR($A46="", C$5=""), "", IF(SUM(IF(INDEX(_xlfn._xlws.FILTER(tblPiNAnalysis[[CCCM%]:[WASH%]], tblPiNAnalysis[Population Group]=C$5), 0, MATCH(_xlfn.CONCAT($Q$2, "%"), tblPiNAnalysis[[#Headers],[CCCM%]:[WASH%]], 0))=$A46, 1, 0))=0, "",SUM(IF(INDEX(_xlfn._xlws.FILTER(tblPiNAnalysis[[CCCM%]:[WASH%]], tblPiNAnalysis[Population Group]=C$5), 0, MATCH(_xlfn.CONCAT($Q$2, "%"), tblPiNAnalysis[[#Headers],[CCCM%]:[WASH%]], 0))=$A46, 1, 0)))), "")</f>
        <v/>
      </c>
      <c r="D46" s="93" t="str" cm="1">
        <f t="array" ref="D46">IFERROR(IF(OR($A46="", D$5=""), "", IF(SUM(IF(INDEX(_xlfn._xlws.FILTER(tblPiNAnalysis[[CCCM%]:[WASH%]], tblPiNAnalysis[Population Group]=D$5), 0, MATCH(_xlfn.CONCAT($Q$2, "%"), tblPiNAnalysis[[#Headers],[CCCM%]:[WASH%]], 0))=$A46, 1, 0))=0, "",SUM(IF(INDEX(_xlfn._xlws.FILTER(tblPiNAnalysis[[CCCM%]:[WASH%]], tblPiNAnalysis[Population Group]=D$5), 0, MATCH(_xlfn.CONCAT($Q$2, "%"), tblPiNAnalysis[[#Headers],[CCCM%]:[WASH%]], 0))=$A46, 1, 0)))), "")</f>
        <v/>
      </c>
      <c r="E46" s="93" t="str" cm="1">
        <f t="array" ref="E46">IFERROR(IF(OR($A46="", E$5=""), "", IF(SUM(IF(INDEX(_xlfn._xlws.FILTER(tblPiNAnalysis[[CCCM%]:[WASH%]], tblPiNAnalysis[Population Group]=E$5), 0, MATCH(_xlfn.CONCAT($Q$2, "%"), tblPiNAnalysis[[#Headers],[CCCM%]:[WASH%]], 0))=$A46, 1, 0))=0, "",SUM(IF(INDEX(_xlfn._xlws.FILTER(tblPiNAnalysis[[CCCM%]:[WASH%]], tblPiNAnalysis[Population Group]=E$5), 0, MATCH(_xlfn.CONCAT($Q$2, "%"), tblPiNAnalysis[[#Headers],[CCCM%]:[WASH%]], 0))=$A46, 1, 0)))), "")</f>
        <v/>
      </c>
      <c r="F46" s="93" t="str" cm="1">
        <f t="array" ref="F46">IFERROR(IF(OR($A46="", F$5=""), "", IF(SUM(IF(INDEX(_xlfn._xlws.FILTER(tblPiNAnalysis[[CCCM%]:[WASH%]], tblPiNAnalysis[CCCM]=F$5), 0, MATCH(_xlfn.CONCAT($Q$2, "%"), tblPiNAnalysis[[#Headers],[CCCM%]:[WASH%]], 0))=$A46, 1, 0))=0, "",SUM(IF(INDEX(_xlfn._xlws.FILTER(tblPiNAnalysis[[CCCM%]:[WASH%]], tblPiNAnalysis[CCCM]=F$5), 0, MATCH(_xlfn.CONCAT($Q$2, "%"), tblPiNAnalysis[[#Headers],[CCCM%]:[WASH%]], 0))=$A46, 1, 0)))), "")</f>
        <v/>
      </c>
      <c r="H46" s="95"/>
      <c r="I46" s="93" t="str" cm="1">
        <f t="array" ref="I46">IF($H46="", "", IF($H46=2, SUM(IF(INDEX(_xlfn._xlws.FILTER(tblPiNHistorical[[CCCM]:[WASH]], tblPiNHistorical[Population Group]=I$5), 0, MATCH($Q$2, tblPiNHistorical[[#Headers],[CCCM]:[WASH]], 0))&gt;1.9, 1, 0)), IF(SUM(IF(INDEX(_xlfn._xlws.FILTER(tblPiNHistorical[[CCCM]:[WASH]], tblPiNHistorical[Population Group]=I$5), 0, MATCH($Q$2, tblPiNHistorical[[#Headers],[CCCM]:[WASH]], 0))=$H46, 1, 0))=0, "", SUM(IF(INDEX(_xlfn._xlws.FILTER(tblPiNHistorical[[CCCM]:[WASH]], tblPiNHistorical[Population Group]=I$5), 0, MATCH($Q$2, tblPiNHistorical[[#Headers],[CCCM]:[WASH]], 0))=$H46, 1, 0)))))</f>
        <v/>
      </c>
      <c r="J46" s="93" t="str" cm="1">
        <f t="array" ref="J46">IFERROR(IF(OR($H46="", J45=""), "", IF($H46=2, SUM(IF(INDEX(_xlfn._xlws.FILTER(tblPiNHistorical[[CCCM]:[WASH]], tblPiNHistorical[Population Group]=J$5), 0, MATCH($Q$2, tblPiNHistorical[[#Headers],[CCCM]:[WASH]], 0))&gt;1.9, 1, 0)), IF(SUM(IF(INDEX(_xlfn._xlws.FILTER(tblPiNHistorical[[CCCM]:[WASH]], tblPiNHistorical[Population Group]=J$5), 0, MATCH($Q$2, tblPiNHistorical[[#Headers],[CCCM]:[WASH]], 0))=$H46, 1, 0))=0, "", SUM(IF(INDEX(_xlfn._xlws.FILTER(tblPiNHistorical[[CCCM]:[WASH]], tblPiNHistorical[Population Group]=J$5), 0, MATCH($Q$2, tblPiNHistorical[[#Headers],[CCCM]:[WASH]], 0))=$H46, 1, 0))))), "")</f>
        <v/>
      </c>
      <c r="K46" s="93" t="str" cm="1">
        <f t="array" ref="K46">IFERROR(IF(OR($H46="", K45=""), "", IF($H46=2, SUM(IF(INDEX(_xlfn._xlws.FILTER(tblPiNHistorical[[CCCM]:[WASH]], tblPiNHistorical[CCCM - old]=K$5), 0, MATCH($Q$2, tblPiNHistorical[[#Headers],[CCCM]:[WASH]], 0))&gt;1.9, 1, 0)), IF(SUM(IF(INDEX(_xlfn._xlws.FILTER(tblPiNHistorical[[CCCM]:[WASH]], tblPiNHistorical[CCCM - old]=K$5), 0, MATCH($Q$2, tblPiNHistorical[[#Headers],[CCCM]:[WASH]], 0))=$H46, 1, 0))=0, "", SUM(IF(INDEX(_xlfn._xlws.FILTER(tblPiNHistorical[[CCCM]:[WASH]], tblPiNHistorical[CCCM - old]=K$5), 0, MATCH($Q$2, tblPiNHistorical[[#Headers],[CCCM]:[WASH]], 0))=$H46, 1, 0))))), "")</f>
        <v/>
      </c>
      <c r="L46" s="93" t="str" cm="1">
        <f t="array" ref="L46">IFERROR(IF(OR($H46="", L45=""), "", IF($H46=2, SUM(IF(INDEX(_xlfn._xlws.FILTER(tblPiNHistorical[[CCCM]:[WASH]],#REF!= L$5), 0, MATCH($Q$2, tblPiNHistorical[[#Headers],[CCCM]:[WASH]], 0))&gt;1.9, 1, 0)), IF(SUM(IF(INDEX(_xlfn._xlws.FILTER(tblPiNHistorical[[CCCM]:[WASH]],#REF!= L$5), 0, MATCH($Q$2, tblPiNHistorical[[#Headers],[CCCM]:[WASH]], 0))=$H46, 1, 0))=0, "", SUM(IF(INDEX(_xlfn._xlws.FILTER(tblPiNHistorical[[CCCM]:[WASH]],#REF!= L$5), 0, MATCH($Q$2, tblPiNHistorical[[#Headers],[CCCM]:[WASH]], 0))=$H46, 1, 0))))), "")</f>
        <v/>
      </c>
      <c r="M46" s="93" t="str" cm="1">
        <f t="array" ref="M46">IFERROR(IF(OR($H46="", M45=""), "", IF($H46=2, SUM(IF(INDEX(_xlfn._xlws.FILTER(tblPiNHistorical[[CCCM]:[WASH]],#REF!= M$5), 0, MATCH($Q$2, tblPiNHistorical[[#Headers],[CCCM]:[WASH]], 0))&gt;1.9, 1, 0)), IF(SUM(IF(INDEX(_xlfn._xlws.FILTER(tblPiNHistorical[[CCCM]:[WASH]],#REF!= M$5), 0, MATCH($Q$2, tblPiNHistorical[[#Headers],[CCCM]:[WASH]], 0))=$H46, 1, 0))=0, "", SUM(IF(INDEX(_xlfn._xlws.FILTER(tblPiNHistorical[[CCCM]:[WASH]],#REF!= M$5), 0, MATCH($Q$2, tblPiNHistorical[[#Headers],[CCCM]:[WASH]], 0))=$H46, 1, 0))))), "")</f>
        <v/>
      </c>
    </row>
    <row r="47" spans="1:28" x14ac:dyDescent="0.55000000000000004">
      <c r="A47" s="95"/>
      <c r="B47" s="93" t="str" cm="1">
        <f t="array" ref="B47">IF($A47="", "", IF(SUM(IF(INDEX(_xlfn._xlws.FILTER(tblPiNAnalysis[[CCCM%]:[WASH%]], tblPiNAnalysis[Population Group]=B$5), 0, MATCH(_xlfn.CONCAT($Q$2, "%"), tblPiNAnalysis[[#Headers],[CCCM%]:[WASH%]], 0))=$A47, 1, 0))=0, "",SUM(IF(INDEX(_xlfn._xlws.FILTER(tblPiNAnalysis[[CCCM%]:[WASH%]], tblPiNAnalysis[Population Group]=B$5), 0, MATCH(_xlfn.CONCAT($Q$2, "%"), tblPiNAnalysis[[#Headers],[CCCM%]:[WASH%]], 0))=$A47, 1, 0))))</f>
        <v/>
      </c>
      <c r="C47" s="93" t="str" cm="1">
        <f t="array" ref="C47">IFERROR(IF(OR($A47="", C$5=""), "", IF(SUM(IF(INDEX(_xlfn._xlws.FILTER(tblPiNAnalysis[[CCCM%]:[WASH%]], tblPiNAnalysis[Population Group]=C$5), 0, MATCH(_xlfn.CONCAT($Q$2, "%"), tblPiNAnalysis[[#Headers],[CCCM%]:[WASH%]], 0))=$A47, 1, 0))=0, "",SUM(IF(INDEX(_xlfn._xlws.FILTER(tblPiNAnalysis[[CCCM%]:[WASH%]], tblPiNAnalysis[Population Group]=C$5), 0, MATCH(_xlfn.CONCAT($Q$2, "%"), tblPiNAnalysis[[#Headers],[CCCM%]:[WASH%]], 0))=$A47, 1, 0)))), "")</f>
        <v/>
      </c>
      <c r="D47" s="93" t="str" cm="1">
        <f t="array" ref="D47">IFERROR(IF(OR($A47="", D$5=""), "", IF(SUM(IF(INDEX(_xlfn._xlws.FILTER(tblPiNAnalysis[[CCCM%]:[WASH%]], tblPiNAnalysis[Population Group]=D$5), 0, MATCH(_xlfn.CONCAT($Q$2, "%"), tblPiNAnalysis[[#Headers],[CCCM%]:[WASH%]], 0))=$A47, 1, 0))=0, "",SUM(IF(INDEX(_xlfn._xlws.FILTER(tblPiNAnalysis[[CCCM%]:[WASH%]], tblPiNAnalysis[Population Group]=D$5), 0, MATCH(_xlfn.CONCAT($Q$2, "%"), tblPiNAnalysis[[#Headers],[CCCM%]:[WASH%]], 0))=$A47, 1, 0)))), "")</f>
        <v/>
      </c>
      <c r="E47" s="93" t="str" cm="1">
        <f t="array" ref="E47">IFERROR(IF(OR($A47="", E$5=""), "", IF(SUM(IF(INDEX(_xlfn._xlws.FILTER(tblPiNAnalysis[[CCCM%]:[WASH%]], tblPiNAnalysis[Population Group]=E$5), 0, MATCH(_xlfn.CONCAT($Q$2, "%"), tblPiNAnalysis[[#Headers],[CCCM%]:[WASH%]], 0))=$A47, 1, 0))=0, "",SUM(IF(INDEX(_xlfn._xlws.FILTER(tblPiNAnalysis[[CCCM%]:[WASH%]], tblPiNAnalysis[Population Group]=E$5), 0, MATCH(_xlfn.CONCAT($Q$2, "%"), tblPiNAnalysis[[#Headers],[CCCM%]:[WASH%]], 0))=$A47, 1, 0)))), "")</f>
        <v/>
      </c>
      <c r="F47" s="93" t="str" cm="1">
        <f t="array" ref="F47">IFERROR(IF(OR($A47="", F$5=""), "", IF(SUM(IF(INDEX(_xlfn._xlws.FILTER(tblPiNAnalysis[[CCCM%]:[WASH%]], tblPiNAnalysis[CCCM]=F$5), 0, MATCH(_xlfn.CONCAT($Q$2, "%"), tblPiNAnalysis[[#Headers],[CCCM%]:[WASH%]], 0))=$A47, 1, 0))=0, "",SUM(IF(INDEX(_xlfn._xlws.FILTER(tblPiNAnalysis[[CCCM%]:[WASH%]], tblPiNAnalysis[CCCM]=F$5), 0, MATCH(_xlfn.CONCAT($Q$2, "%"), tblPiNAnalysis[[#Headers],[CCCM%]:[WASH%]], 0))=$A47, 1, 0)))), "")</f>
        <v/>
      </c>
      <c r="H47" s="95"/>
      <c r="I47" s="93" t="str" cm="1">
        <f t="array" ref="I47">IF($H47="", "", IF($H47=2, SUM(IF(INDEX(_xlfn._xlws.FILTER(tblPiNHistorical[[CCCM]:[WASH]], tblPiNHistorical[Population Group]=I$5), 0, MATCH($Q$2, tblPiNHistorical[[#Headers],[CCCM]:[WASH]], 0))&gt;1.9, 1, 0)), IF(SUM(IF(INDEX(_xlfn._xlws.FILTER(tblPiNHistorical[[CCCM]:[WASH]], tblPiNHistorical[Population Group]=I$5), 0, MATCH($Q$2, tblPiNHistorical[[#Headers],[CCCM]:[WASH]], 0))=$H47, 1, 0))=0, "", SUM(IF(INDEX(_xlfn._xlws.FILTER(tblPiNHistorical[[CCCM]:[WASH]], tblPiNHistorical[Population Group]=I$5), 0, MATCH($Q$2, tblPiNHistorical[[#Headers],[CCCM]:[WASH]], 0))=$H47, 1, 0)))))</f>
        <v/>
      </c>
      <c r="J47" s="93" t="str" cm="1">
        <f t="array" ref="J47">IFERROR(IF(OR($H47="", J46=""), "", IF($H47=2, SUM(IF(INDEX(_xlfn._xlws.FILTER(tblPiNHistorical[[CCCM]:[WASH]], tblPiNHistorical[Population Group]=J$5), 0, MATCH($Q$2, tblPiNHistorical[[#Headers],[CCCM]:[WASH]], 0))&gt;1.9, 1, 0)), IF(SUM(IF(INDEX(_xlfn._xlws.FILTER(tblPiNHistorical[[CCCM]:[WASH]], tblPiNHistorical[Population Group]=J$5), 0, MATCH($Q$2, tblPiNHistorical[[#Headers],[CCCM]:[WASH]], 0))=$H47, 1, 0))=0, "", SUM(IF(INDEX(_xlfn._xlws.FILTER(tblPiNHistorical[[CCCM]:[WASH]], tblPiNHistorical[Population Group]=J$5), 0, MATCH($Q$2, tblPiNHistorical[[#Headers],[CCCM]:[WASH]], 0))=$H47, 1, 0))))), "")</f>
        <v/>
      </c>
      <c r="K47" s="93" t="str" cm="1">
        <f t="array" ref="K47">IFERROR(IF(OR($H47="", K46=""), "", IF($H47=2, SUM(IF(INDEX(_xlfn._xlws.FILTER(tblPiNHistorical[[CCCM]:[WASH]], tblPiNHistorical[CCCM - old]=K$5), 0, MATCH($Q$2, tblPiNHistorical[[#Headers],[CCCM]:[WASH]], 0))&gt;1.9, 1, 0)), IF(SUM(IF(INDEX(_xlfn._xlws.FILTER(tblPiNHistorical[[CCCM]:[WASH]], tblPiNHistorical[CCCM - old]=K$5), 0, MATCH($Q$2, tblPiNHistorical[[#Headers],[CCCM]:[WASH]], 0))=$H47, 1, 0))=0, "", SUM(IF(INDEX(_xlfn._xlws.FILTER(tblPiNHistorical[[CCCM]:[WASH]], tblPiNHistorical[CCCM - old]=K$5), 0, MATCH($Q$2, tblPiNHistorical[[#Headers],[CCCM]:[WASH]], 0))=$H47, 1, 0))))), "")</f>
        <v/>
      </c>
      <c r="L47" s="93" t="str" cm="1">
        <f t="array" ref="L47">IFERROR(IF(OR($H47="", L46=""), "", IF($H47=2, SUM(IF(INDEX(_xlfn._xlws.FILTER(tblPiNHistorical[[CCCM]:[WASH]],#REF!= L$5), 0, MATCH($Q$2, tblPiNHistorical[[#Headers],[CCCM]:[WASH]], 0))&gt;1.9, 1, 0)), IF(SUM(IF(INDEX(_xlfn._xlws.FILTER(tblPiNHistorical[[CCCM]:[WASH]],#REF!= L$5), 0, MATCH($Q$2, tblPiNHistorical[[#Headers],[CCCM]:[WASH]], 0))=$H47, 1, 0))=0, "", SUM(IF(INDEX(_xlfn._xlws.FILTER(tblPiNHistorical[[CCCM]:[WASH]],#REF!= L$5), 0, MATCH($Q$2, tblPiNHistorical[[#Headers],[CCCM]:[WASH]], 0))=$H47, 1, 0))))), "")</f>
        <v/>
      </c>
      <c r="M47" s="93" t="str" cm="1">
        <f t="array" ref="M47">IFERROR(IF(OR($H47="", M46=""), "", IF($H47=2, SUM(IF(INDEX(_xlfn._xlws.FILTER(tblPiNHistorical[[CCCM]:[WASH]],#REF!= M$5), 0, MATCH($Q$2, tblPiNHistorical[[#Headers],[CCCM]:[WASH]], 0))&gt;1.9, 1, 0)), IF(SUM(IF(INDEX(_xlfn._xlws.FILTER(tblPiNHistorical[[CCCM]:[WASH]],#REF!= M$5), 0, MATCH($Q$2, tblPiNHistorical[[#Headers],[CCCM]:[WASH]], 0))=$H47, 1, 0))=0, "", SUM(IF(INDEX(_xlfn._xlws.FILTER(tblPiNHistorical[[CCCM]:[WASH]],#REF!= M$5), 0, MATCH($Q$2, tblPiNHistorical[[#Headers],[CCCM]:[WASH]], 0))=$H47, 1, 0))))), "")</f>
        <v/>
      </c>
    </row>
    <row r="48" spans="1:28" x14ac:dyDescent="0.55000000000000004">
      <c r="A48" s="95"/>
      <c r="B48" s="93" t="str" cm="1">
        <f t="array" ref="B48">IF($A48="", "", IF(SUM(IF(INDEX(_xlfn._xlws.FILTER(tblPiNAnalysis[[CCCM%]:[WASH%]], tblPiNAnalysis[Population Group]=B$5), 0, MATCH(_xlfn.CONCAT($Q$2, "%"), tblPiNAnalysis[[#Headers],[CCCM%]:[WASH%]], 0))=$A48, 1, 0))=0, "",SUM(IF(INDEX(_xlfn._xlws.FILTER(tblPiNAnalysis[[CCCM%]:[WASH%]], tblPiNAnalysis[Population Group]=B$5), 0, MATCH(_xlfn.CONCAT($Q$2, "%"), tblPiNAnalysis[[#Headers],[CCCM%]:[WASH%]], 0))=$A48, 1, 0))))</f>
        <v/>
      </c>
      <c r="C48" s="93" t="str" cm="1">
        <f t="array" ref="C48">IFERROR(IF(OR($A48="", C$5=""), "", IF(SUM(IF(INDEX(_xlfn._xlws.FILTER(tblPiNAnalysis[[CCCM%]:[WASH%]], tblPiNAnalysis[Population Group]=C$5), 0, MATCH(_xlfn.CONCAT($Q$2, "%"), tblPiNAnalysis[[#Headers],[CCCM%]:[WASH%]], 0))=$A48, 1, 0))=0, "",SUM(IF(INDEX(_xlfn._xlws.FILTER(tblPiNAnalysis[[CCCM%]:[WASH%]], tblPiNAnalysis[Population Group]=C$5), 0, MATCH(_xlfn.CONCAT($Q$2, "%"), tblPiNAnalysis[[#Headers],[CCCM%]:[WASH%]], 0))=$A48, 1, 0)))), "")</f>
        <v/>
      </c>
      <c r="D48" s="93" t="str" cm="1">
        <f t="array" ref="D48">IFERROR(IF(OR($A48="", D$5=""), "", IF(SUM(IF(INDEX(_xlfn._xlws.FILTER(tblPiNAnalysis[[CCCM%]:[WASH%]], tblPiNAnalysis[Population Group]=D$5), 0, MATCH(_xlfn.CONCAT($Q$2, "%"), tblPiNAnalysis[[#Headers],[CCCM%]:[WASH%]], 0))=$A48, 1, 0))=0, "",SUM(IF(INDEX(_xlfn._xlws.FILTER(tblPiNAnalysis[[CCCM%]:[WASH%]], tblPiNAnalysis[Population Group]=D$5), 0, MATCH(_xlfn.CONCAT($Q$2, "%"), tblPiNAnalysis[[#Headers],[CCCM%]:[WASH%]], 0))=$A48, 1, 0)))), "")</f>
        <v/>
      </c>
      <c r="E48" s="93" t="str" cm="1">
        <f t="array" ref="E48">IFERROR(IF(OR($A48="", E$5=""), "", IF(SUM(IF(INDEX(_xlfn._xlws.FILTER(tblPiNAnalysis[[CCCM%]:[WASH%]], tblPiNAnalysis[Population Group]=E$5), 0, MATCH(_xlfn.CONCAT($Q$2, "%"), tblPiNAnalysis[[#Headers],[CCCM%]:[WASH%]], 0))=$A48, 1, 0))=0, "",SUM(IF(INDEX(_xlfn._xlws.FILTER(tblPiNAnalysis[[CCCM%]:[WASH%]], tblPiNAnalysis[Population Group]=E$5), 0, MATCH(_xlfn.CONCAT($Q$2, "%"), tblPiNAnalysis[[#Headers],[CCCM%]:[WASH%]], 0))=$A48, 1, 0)))), "")</f>
        <v/>
      </c>
      <c r="F48" s="93" t="str" cm="1">
        <f t="array" ref="F48">IFERROR(IF(OR($A48="", F$5=""), "", IF(SUM(IF(INDEX(_xlfn._xlws.FILTER(tblPiNAnalysis[[CCCM%]:[WASH%]], tblPiNAnalysis[CCCM]=F$5), 0, MATCH(_xlfn.CONCAT($Q$2, "%"), tblPiNAnalysis[[#Headers],[CCCM%]:[WASH%]], 0))=$A48, 1, 0))=0, "",SUM(IF(INDEX(_xlfn._xlws.FILTER(tblPiNAnalysis[[CCCM%]:[WASH%]], tblPiNAnalysis[CCCM]=F$5), 0, MATCH(_xlfn.CONCAT($Q$2, "%"), tblPiNAnalysis[[#Headers],[CCCM%]:[WASH%]], 0))=$A48, 1, 0)))), "")</f>
        <v/>
      </c>
      <c r="H48" s="95"/>
      <c r="I48" s="93" t="str" cm="1">
        <f t="array" ref="I48">IF($H48="", "", IF($H48=2, SUM(IF(INDEX(_xlfn._xlws.FILTER(tblPiNHistorical[[CCCM]:[WASH]], tblPiNHistorical[Population Group]=I$5), 0, MATCH($Q$2, tblPiNHistorical[[#Headers],[CCCM]:[WASH]], 0))&gt;1.9, 1, 0)), IF(SUM(IF(INDEX(_xlfn._xlws.FILTER(tblPiNHistorical[[CCCM]:[WASH]], tblPiNHistorical[Population Group]=I$5), 0, MATCH($Q$2, tblPiNHistorical[[#Headers],[CCCM]:[WASH]], 0))=$H48, 1, 0))=0, "", SUM(IF(INDEX(_xlfn._xlws.FILTER(tblPiNHistorical[[CCCM]:[WASH]], tblPiNHistorical[Population Group]=I$5), 0, MATCH($Q$2, tblPiNHistorical[[#Headers],[CCCM]:[WASH]], 0))=$H48, 1, 0)))))</f>
        <v/>
      </c>
      <c r="J48" s="93" t="str" cm="1">
        <f t="array" ref="J48">IFERROR(IF(OR($H48="", J47=""), "", IF($H48=2, SUM(IF(INDEX(_xlfn._xlws.FILTER(tblPiNHistorical[[CCCM]:[WASH]], tblPiNHistorical[Population Group]=J$5), 0, MATCH($Q$2, tblPiNHistorical[[#Headers],[CCCM]:[WASH]], 0))&gt;1.9, 1, 0)), IF(SUM(IF(INDEX(_xlfn._xlws.FILTER(tblPiNHistorical[[CCCM]:[WASH]], tblPiNHistorical[Population Group]=J$5), 0, MATCH($Q$2, tblPiNHistorical[[#Headers],[CCCM]:[WASH]], 0))=$H48, 1, 0))=0, "", SUM(IF(INDEX(_xlfn._xlws.FILTER(tblPiNHistorical[[CCCM]:[WASH]], tblPiNHistorical[Population Group]=J$5), 0, MATCH($Q$2, tblPiNHistorical[[#Headers],[CCCM]:[WASH]], 0))=$H48, 1, 0))))), "")</f>
        <v/>
      </c>
      <c r="K48" s="93" t="str" cm="1">
        <f t="array" ref="K48">IFERROR(IF(OR($H48="", K47=""), "", IF($H48=2, SUM(IF(INDEX(_xlfn._xlws.FILTER(tblPiNHistorical[[CCCM]:[WASH]], tblPiNHistorical[CCCM - old]=K$5), 0, MATCH($Q$2, tblPiNHistorical[[#Headers],[CCCM]:[WASH]], 0))&gt;1.9, 1, 0)), IF(SUM(IF(INDEX(_xlfn._xlws.FILTER(tblPiNHistorical[[CCCM]:[WASH]], tblPiNHistorical[CCCM - old]=K$5), 0, MATCH($Q$2, tblPiNHistorical[[#Headers],[CCCM]:[WASH]], 0))=$H48, 1, 0))=0, "", SUM(IF(INDEX(_xlfn._xlws.FILTER(tblPiNHistorical[[CCCM]:[WASH]], tblPiNHistorical[CCCM - old]=K$5), 0, MATCH($Q$2, tblPiNHistorical[[#Headers],[CCCM]:[WASH]], 0))=$H48, 1, 0))))), "")</f>
        <v/>
      </c>
      <c r="L48" s="93" t="str" cm="1">
        <f t="array" ref="L48">IFERROR(IF(OR($H48="", L47=""), "", IF($H48=2, SUM(IF(INDEX(_xlfn._xlws.FILTER(tblPiNHistorical[[CCCM]:[WASH]],#REF!= L$5), 0, MATCH($Q$2, tblPiNHistorical[[#Headers],[CCCM]:[WASH]], 0))&gt;1.9, 1, 0)), IF(SUM(IF(INDEX(_xlfn._xlws.FILTER(tblPiNHistorical[[CCCM]:[WASH]],#REF!= L$5), 0, MATCH($Q$2, tblPiNHistorical[[#Headers],[CCCM]:[WASH]], 0))=$H48, 1, 0))=0, "", SUM(IF(INDEX(_xlfn._xlws.FILTER(tblPiNHistorical[[CCCM]:[WASH]],#REF!= L$5), 0, MATCH($Q$2, tblPiNHistorical[[#Headers],[CCCM]:[WASH]], 0))=$H48, 1, 0))))), "")</f>
        <v/>
      </c>
      <c r="M48" s="93" t="str" cm="1">
        <f t="array" ref="M48">IFERROR(IF(OR($H48="", M47=""), "", IF($H48=2, SUM(IF(INDEX(_xlfn._xlws.FILTER(tblPiNHistorical[[CCCM]:[WASH]],#REF!= M$5), 0, MATCH($Q$2, tblPiNHistorical[[#Headers],[CCCM]:[WASH]], 0))&gt;1.9, 1, 0)), IF(SUM(IF(INDEX(_xlfn._xlws.FILTER(tblPiNHistorical[[CCCM]:[WASH]],#REF!= M$5), 0, MATCH($Q$2, tblPiNHistorical[[#Headers],[CCCM]:[WASH]], 0))=$H48, 1, 0))=0, "", SUM(IF(INDEX(_xlfn._xlws.FILTER(tblPiNHistorical[[CCCM]:[WASH]],#REF!= M$5), 0, MATCH($Q$2, tblPiNHistorical[[#Headers],[CCCM]:[WASH]], 0))=$H48, 1, 0))))), "")</f>
        <v/>
      </c>
    </row>
    <row r="49" spans="1:13" x14ac:dyDescent="0.55000000000000004">
      <c r="A49" s="95"/>
      <c r="B49" s="93" t="str" cm="1">
        <f t="array" ref="B49">IF($A49="", "", IF(SUM(IF(INDEX(_xlfn._xlws.FILTER(tblPiNAnalysis[[CCCM%]:[WASH%]], tblPiNAnalysis[Population Group]=B$5), 0, MATCH(_xlfn.CONCAT($Q$2, "%"), tblPiNAnalysis[[#Headers],[CCCM%]:[WASH%]], 0))=$A49, 1, 0))=0, "",SUM(IF(INDEX(_xlfn._xlws.FILTER(tblPiNAnalysis[[CCCM%]:[WASH%]], tblPiNAnalysis[Population Group]=B$5), 0, MATCH(_xlfn.CONCAT($Q$2, "%"), tblPiNAnalysis[[#Headers],[CCCM%]:[WASH%]], 0))=$A49, 1, 0))))</f>
        <v/>
      </c>
      <c r="C49" s="93" t="str" cm="1">
        <f t="array" ref="C49">IFERROR(IF(OR($A49="", C$5=""), "", IF(SUM(IF(INDEX(_xlfn._xlws.FILTER(tblPiNAnalysis[[CCCM%]:[WASH%]], tblPiNAnalysis[Population Group]=C$5), 0, MATCH(_xlfn.CONCAT($Q$2, "%"), tblPiNAnalysis[[#Headers],[CCCM%]:[WASH%]], 0))=$A49, 1, 0))=0, "",SUM(IF(INDEX(_xlfn._xlws.FILTER(tblPiNAnalysis[[CCCM%]:[WASH%]], tblPiNAnalysis[Population Group]=C$5), 0, MATCH(_xlfn.CONCAT($Q$2, "%"), tblPiNAnalysis[[#Headers],[CCCM%]:[WASH%]], 0))=$A49, 1, 0)))), "")</f>
        <v/>
      </c>
      <c r="D49" s="93" t="str" cm="1">
        <f t="array" ref="D49">IFERROR(IF(OR($A49="", D$5=""), "", IF(SUM(IF(INDEX(_xlfn._xlws.FILTER(tblPiNAnalysis[[CCCM%]:[WASH%]], tblPiNAnalysis[Population Group]=D$5), 0, MATCH(_xlfn.CONCAT($Q$2, "%"), tblPiNAnalysis[[#Headers],[CCCM%]:[WASH%]], 0))=$A49, 1, 0))=0, "",SUM(IF(INDEX(_xlfn._xlws.FILTER(tblPiNAnalysis[[CCCM%]:[WASH%]], tblPiNAnalysis[Population Group]=D$5), 0, MATCH(_xlfn.CONCAT($Q$2, "%"), tblPiNAnalysis[[#Headers],[CCCM%]:[WASH%]], 0))=$A49, 1, 0)))), "")</f>
        <v/>
      </c>
      <c r="E49" s="93" t="str" cm="1">
        <f t="array" ref="E49">IFERROR(IF(OR($A49="", E$5=""), "", IF(SUM(IF(INDEX(_xlfn._xlws.FILTER(tblPiNAnalysis[[CCCM%]:[WASH%]], tblPiNAnalysis[Population Group]=E$5), 0, MATCH(_xlfn.CONCAT($Q$2, "%"), tblPiNAnalysis[[#Headers],[CCCM%]:[WASH%]], 0))=$A49, 1, 0))=0, "",SUM(IF(INDEX(_xlfn._xlws.FILTER(tblPiNAnalysis[[CCCM%]:[WASH%]], tblPiNAnalysis[Population Group]=E$5), 0, MATCH(_xlfn.CONCAT($Q$2, "%"), tblPiNAnalysis[[#Headers],[CCCM%]:[WASH%]], 0))=$A49, 1, 0)))), "")</f>
        <v/>
      </c>
      <c r="F49" s="93" t="str" cm="1">
        <f t="array" ref="F49">IFERROR(IF(OR($A49="", F$5=""), "", IF(SUM(IF(INDEX(_xlfn._xlws.FILTER(tblPiNAnalysis[[CCCM%]:[WASH%]], tblPiNAnalysis[CCCM]=F$5), 0, MATCH(_xlfn.CONCAT($Q$2, "%"), tblPiNAnalysis[[#Headers],[CCCM%]:[WASH%]], 0))=$A49, 1, 0))=0, "",SUM(IF(INDEX(_xlfn._xlws.FILTER(tblPiNAnalysis[[CCCM%]:[WASH%]], tblPiNAnalysis[CCCM]=F$5), 0, MATCH(_xlfn.CONCAT($Q$2, "%"), tblPiNAnalysis[[#Headers],[CCCM%]:[WASH%]], 0))=$A49, 1, 0)))), "")</f>
        <v/>
      </c>
      <c r="H49" s="95"/>
      <c r="I49" s="93" t="str" cm="1">
        <f t="array" ref="I49">IF($H49="", "", IF($H49=2, SUM(IF(INDEX(_xlfn._xlws.FILTER(tblPiNHistorical[[CCCM]:[WASH]], tblPiNHistorical[Population Group]=I$5), 0, MATCH($Q$2, tblPiNHistorical[[#Headers],[CCCM]:[WASH]], 0))&gt;1.9, 1, 0)), IF(SUM(IF(INDEX(_xlfn._xlws.FILTER(tblPiNHistorical[[CCCM]:[WASH]], tblPiNHistorical[Population Group]=I$5), 0, MATCH($Q$2, tblPiNHistorical[[#Headers],[CCCM]:[WASH]], 0))=$H49, 1, 0))=0, "", SUM(IF(INDEX(_xlfn._xlws.FILTER(tblPiNHistorical[[CCCM]:[WASH]], tblPiNHistorical[Population Group]=I$5), 0, MATCH($Q$2, tblPiNHistorical[[#Headers],[CCCM]:[WASH]], 0))=$H49, 1, 0)))))</f>
        <v/>
      </c>
      <c r="J49" s="93" t="str" cm="1">
        <f t="array" ref="J49">IFERROR(IF(OR($H49="", J48=""), "", IF($H49=2, SUM(IF(INDEX(_xlfn._xlws.FILTER(tblPiNHistorical[[CCCM]:[WASH]], tblPiNHistorical[Population Group]=J$5), 0, MATCH($Q$2, tblPiNHistorical[[#Headers],[CCCM]:[WASH]], 0))&gt;1.9, 1, 0)), IF(SUM(IF(INDEX(_xlfn._xlws.FILTER(tblPiNHistorical[[CCCM]:[WASH]], tblPiNHistorical[Population Group]=J$5), 0, MATCH($Q$2, tblPiNHistorical[[#Headers],[CCCM]:[WASH]], 0))=$H49, 1, 0))=0, "", SUM(IF(INDEX(_xlfn._xlws.FILTER(tblPiNHistorical[[CCCM]:[WASH]], tblPiNHistorical[Population Group]=J$5), 0, MATCH($Q$2, tblPiNHistorical[[#Headers],[CCCM]:[WASH]], 0))=$H49, 1, 0))))), "")</f>
        <v/>
      </c>
      <c r="K49" s="93" t="str" cm="1">
        <f t="array" ref="K49">IFERROR(IF(OR($H49="", K48=""), "", IF($H49=2, SUM(IF(INDEX(_xlfn._xlws.FILTER(tblPiNHistorical[[CCCM]:[WASH]], tblPiNHistorical[CCCM - old]=K$5), 0, MATCH($Q$2, tblPiNHistorical[[#Headers],[CCCM]:[WASH]], 0))&gt;1.9, 1, 0)), IF(SUM(IF(INDEX(_xlfn._xlws.FILTER(tblPiNHistorical[[CCCM]:[WASH]], tblPiNHistorical[CCCM - old]=K$5), 0, MATCH($Q$2, tblPiNHistorical[[#Headers],[CCCM]:[WASH]], 0))=$H49, 1, 0))=0, "", SUM(IF(INDEX(_xlfn._xlws.FILTER(tblPiNHistorical[[CCCM]:[WASH]], tblPiNHistorical[CCCM - old]=K$5), 0, MATCH($Q$2, tblPiNHistorical[[#Headers],[CCCM]:[WASH]], 0))=$H49, 1, 0))))), "")</f>
        <v/>
      </c>
      <c r="L49" s="93" t="str" cm="1">
        <f t="array" ref="L49">IFERROR(IF(OR($H49="", L48=""), "", IF($H49=2, SUM(IF(INDEX(_xlfn._xlws.FILTER(tblPiNHistorical[[CCCM]:[WASH]],#REF!= L$5), 0, MATCH($Q$2, tblPiNHistorical[[#Headers],[CCCM]:[WASH]], 0))&gt;1.9, 1, 0)), IF(SUM(IF(INDEX(_xlfn._xlws.FILTER(tblPiNHistorical[[CCCM]:[WASH]],#REF!= L$5), 0, MATCH($Q$2, tblPiNHistorical[[#Headers],[CCCM]:[WASH]], 0))=$H49, 1, 0))=0, "", SUM(IF(INDEX(_xlfn._xlws.FILTER(tblPiNHistorical[[CCCM]:[WASH]],#REF!= L$5), 0, MATCH($Q$2, tblPiNHistorical[[#Headers],[CCCM]:[WASH]], 0))=$H49, 1, 0))))), "")</f>
        <v/>
      </c>
      <c r="M49" s="93" t="str" cm="1">
        <f t="array" ref="M49">IFERROR(IF(OR($H49="", M48=""), "", IF($H49=2, SUM(IF(INDEX(_xlfn._xlws.FILTER(tblPiNHistorical[[CCCM]:[WASH]],#REF!= M$5), 0, MATCH($Q$2, tblPiNHistorical[[#Headers],[CCCM]:[WASH]], 0))&gt;1.9, 1, 0)), IF(SUM(IF(INDEX(_xlfn._xlws.FILTER(tblPiNHistorical[[CCCM]:[WASH]],#REF!= M$5), 0, MATCH($Q$2, tblPiNHistorical[[#Headers],[CCCM]:[WASH]], 0))=$H49, 1, 0))=0, "", SUM(IF(INDEX(_xlfn._xlws.FILTER(tblPiNHistorical[[CCCM]:[WASH]],#REF!= M$5), 0, MATCH($Q$2, tblPiNHistorical[[#Headers],[CCCM]:[WASH]], 0))=$H49, 1, 0))))), "")</f>
        <v/>
      </c>
    </row>
    <row r="50" spans="1:13" x14ac:dyDescent="0.55000000000000004">
      <c r="A50" s="95"/>
      <c r="B50" s="93" t="str" cm="1">
        <f t="array" ref="B50">IF($A50="", "", IF(SUM(IF(INDEX(_xlfn._xlws.FILTER(tblPiNAnalysis[[CCCM%]:[WASH%]], tblPiNAnalysis[Population Group]=B$5), 0, MATCH(_xlfn.CONCAT($Q$2, "%"), tblPiNAnalysis[[#Headers],[CCCM%]:[WASH%]], 0))=$A50, 1, 0))=0, "",SUM(IF(INDEX(_xlfn._xlws.FILTER(tblPiNAnalysis[[CCCM%]:[WASH%]], tblPiNAnalysis[Population Group]=B$5), 0, MATCH(_xlfn.CONCAT($Q$2, "%"), tblPiNAnalysis[[#Headers],[CCCM%]:[WASH%]], 0))=$A50, 1, 0))))</f>
        <v/>
      </c>
      <c r="C50" s="93" t="str" cm="1">
        <f t="array" ref="C50">IFERROR(IF(OR($A50="", C$5=""), "", IF(SUM(IF(INDEX(_xlfn._xlws.FILTER(tblPiNAnalysis[[CCCM%]:[WASH%]], tblPiNAnalysis[Population Group]=C$5), 0, MATCH(_xlfn.CONCAT($Q$2, "%"), tblPiNAnalysis[[#Headers],[CCCM%]:[WASH%]], 0))=$A50, 1, 0))=0, "",SUM(IF(INDEX(_xlfn._xlws.FILTER(tblPiNAnalysis[[CCCM%]:[WASH%]], tblPiNAnalysis[Population Group]=C$5), 0, MATCH(_xlfn.CONCAT($Q$2, "%"), tblPiNAnalysis[[#Headers],[CCCM%]:[WASH%]], 0))=$A50, 1, 0)))), "")</f>
        <v/>
      </c>
      <c r="D50" s="93" t="str" cm="1">
        <f t="array" ref="D50">IFERROR(IF(OR($A50="", D$5=""), "", IF(SUM(IF(INDEX(_xlfn._xlws.FILTER(tblPiNAnalysis[[CCCM%]:[WASH%]], tblPiNAnalysis[Population Group]=D$5), 0, MATCH(_xlfn.CONCAT($Q$2, "%"), tblPiNAnalysis[[#Headers],[CCCM%]:[WASH%]], 0))=$A50, 1, 0))=0, "",SUM(IF(INDEX(_xlfn._xlws.FILTER(tblPiNAnalysis[[CCCM%]:[WASH%]], tblPiNAnalysis[Population Group]=D$5), 0, MATCH(_xlfn.CONCAT($Q$2, "%"), tblPiNAnalysis[[#Headers],[CCCM%]:[WASH%]], 0))=$A50, 1, 0)))), "")</f>
        <v/>
      </c>
      <c r="E50" s="93" t="str" cm="1">
        <f t="array" ref="E50">IFERROR(IF(OR($A50="", E$5=""), "", IF(SUM(IF(INDEX(_xlfn._xlws.FILTER(tblPiNAnalysis[[CCCM%]:[WASH%]], tblPiNAnalysis[Population Group]=E$5), 0, MATCH(_xlfn.CONCAT($Q$2, "%"), tblPiNAnalysis[[#Headers],[CCCM%]:[WASH%]], 0))=$A50, 1, 0))=0, "",SUM(IF(INDEX(_xlfn._xlws.FILTER(tblPiNAnalysis[[CCCM%]:[WASH%]], tblPiNAnalysis[Population Group]=E$5), 0, MATCH(_xlfn.CONCAT($Q$2, "%"), tblPiNAnalysis[[#Headers],[CCCM%]:[WASH%]], 0))=$A50, 1, 0)))), "")</f>
        <v/>
      </c>
      <c r="F50" s="93" t="str" cm="1">
        <f t="array" ref="F50">IFERROR(IF(OR($A50="", F$5=""), "", IF(SUM(IF(INDEX(_xlfn._xlws.FILTER(tblPiNAnalysis[[CCCM%]:[WASH%]], tblPiNAnalysis[CCCM]=F$5), 0, MATCH(_xlfn.CONCAT($Q$2, "%"), tblPiNAnalysis[[#Headers],[CCCM%]:[WASH%]], 0))=$A50, 1, 0))=0, "",SUM(IF(INDEX(_xlfn._xlws.FILTER(tblPiNAnalysis[[CCCM%]:[WASH%]], tblPiNAnalysis[CCCM]=F$5), 0, MATCH(_xlfn.CONCAT($Q$2, "%"), tblPiNAnalysis[[#Headers],[CCCM%]:[WASH%]], 0))=$A50, 1, 0)))), "")</f>
        <v/>
      </c>
      <c r="H50" s="95"/>
      <c r="I50" s="93" t="str" cm="1">
        <f t="array" ref="I50">IF($H50="", "", IF($H50=2, SUM(IF(INDEX(_xlfn._xlws.FILTER(tblPiNHistorical[[CCCM]:[WASH]], tblPiNHistorical[Population Group]=I$5), 0, MATCH($Q$2, tblPiNHistorical[[#Headers],[CCCM]:[WASH]], 0))&gt;1.9, 1, 0)), IF(SUM(IF(INDEX(_xlfn._xlws.FILTER(tblPiNHistorical[[CCCM]:[WASH]], tblPiNHistorical[Population Group]=I$5), 0, MATCH($Q$2, tblPiNHistorical[[#Headers],[CCCM]:[WASH]], 0))=$H50, 1, 0))=0, "", SUM(IF(INDEX(_xlfn._xlws.FILTER(tblPiNHistorical[[CCCM]:[WASH]], tblPiNHistorical[Population Group]=I$5), 0, MATCH($Q$2, tblPiNHistorical[[#Headers],[CCCM]:[WASH]], 0))=$H50, 1, 0)))))</f>
        <v/>
      </c>
      <c r="J50" s="93" t="str" cm="1">
        <f t="array" ref="J50">IFERROR(IF(OR($H50="", J49=""), "", IF($H50=2, SUM(IF(INDEX(_xlfn._xlws.FILTER(tblPiNHistorical[[CCCM]:[WASH]], tblPiNHistorical[Population Group]=J$5), 0, MATCH($Q$2, tblPiNHistorical[[#Headers],[CCCM]:[WASH]], 0))&gt;1.9, 1, 0)), IF(SUM(IF(INDEX(_xlfn._xlws.FILTER(tblPiNHistorical[[CCCM]:[WASH]], tblPiNHistorical[Population Group]=J$5), 0, MATCH($Q$2, tblPiNHistorical[[#Headers],[CCCM]:[WASH]], 0))=$H50, 1, 0))=0, "", SUM(IF(INDEX(_xlfn._xlws.FILTER(tblPiNHistorical[[CCCM]:[WASH]], tblPiNHistorical[Population Group]=J$5), 0, MATCH($Q$2, tblPiNHistorical[[#Headers],[CCCM]:[WASH]], 0))=$H50, 1, 0))))), "")</f>
        <v/>
      </c>
      <c r="K50" s="93" t="str" cm="1">
        <f t="array" ref="K50">IFERROR(IF(OR($H50="", K49=""), "", IF($H50=2, SUM(IF(INDEX(_xlfn._xlws.FILTER(tblPiNHistorical[[CCCM]:[WASH]], tblPiNHistorical[CCCM - old]=K$5), 0, MATCH($Q$2, tblPiNHistorical[[#Headers],[CCCM]:[WASH]], 0))&gt;1.9, 1, 0)), IF(SUM(IF(INDEX(_xlfn._xlws.FILTER(tblPiNHistorical[[CCCM]:[WASH]], tblPiNHistorical[CCCM - old]=K$5), 0, MATCH($Q$2, tblPiNHistorical[[#Headers],[CCCM]:[WASH]], 0))=$H50, 1, 0))=0, "", SUM(IF(INDEX(_xlfn._xlws.FILTER(tblPiNHistorical[[CCCM]:[WASH]], tblPiNHistorical[CCCM - old]=K$5), 0, MATCH($Q$2, tblPiNHistorical[[#Headers],[CCCM]:[WASH]], 0))=$H50, 1, 0))))), "")</f>
        <v/>
      </c>
      <c r="L50" s="93" t="str" cm="1">
        <f t="array" ref="L50">IFERROR(IF(OR($H50="", L49=""), "", IF($H50=2, SUM(IF(INDEX(_xlfn._xlws.FILTER(tblPiNHistorical[[CCCM]:[WASH]],#REF!= L$5), 0, MATCH($Q$2, tblPiNHistorical[[#Headers],[CCCM]:[WASH]], 0))&gt;1.9, 1, 0)), IF(SUM(IF(INDEX(_xlfn._xlws.FILTER(tblPiNHistorical[[CCCM]:[WASH]],#REF!= L$5), 0, MATCH($Q$2, tblPiNHistorical[[#Headers],[CCCM]:[WASH]], 0))=$H50, 1, 0))=0, "", SUM(IF(INDEX(_xlfn._xlws.FILTER(tblPiNHistorical[[CCCM]:[WASH]],#REF!= L$5), 0, MATCH($Q$2, tblPiNHistorical[[#Headers],[CCCM]:[WASH]], 0))=$H50, 1, 0))))), "")</f>
        <v/>
      </c>
      <c r="M50" s="93" t="str" cm="1">
        <f t="array" ref="M50">IFERROR(IF(OR($H50="", M49=""), "", IF($H50=2, SUM(IF(INDEX(_xlfn._xlws.FILTER(tblPiNHistorical[[CCCM]:[WASH]],#REF!= M$5), 0, MATCH($Q$2, tblPiNHistorical[[#Headers],[CCCM]:[WASH]], 0))&gt;1.9, 1, 0)), IF(SUM(IF(INDEX(_xlfn._xlws.FILTER(tblPiNHistorical[[CCCM]:[WASH]],#REF!= M$5), 0, MATCH($Q$2, tblPiNHistorical[[#Headers],[CCCM]:[WASH]], 0))=$H50, 1, 0))=0, "", SUM(IF(INDEX(_xlfn._xlws.FILTER(tblPiNHistorical[[CCCM]:[WASH]],#REF!= M$5), 0, MATCH($Q$2, tblPiNHistorical[[#Headers],[CCCM]:[WASH]], 0))=$H50, 1, 0))))), "")</f>
        <v/>
      </c>
    </row>
    <row r="51" spans="1:13" x14ac:dyDescent="0.55000000000000004">
      <c r="A51" s="95"/>
      <c r="B51" s="93" t="str" cm="1">
        <f t="array" ref="B51">IF($A51="", "", IF(SUM(IF(INDEX(_xlfn._xlws.FILTER(tblPiNAnalysis[[CCCM%]:[WASH%]], tblPiNAnalysis[Population Group]=B$5), 0, MATCH(_xlfn.CONCAT($Q$2, "%"), tblPiNAnalysis[[#Headers],[CCCM%]:[WASH%]], 0))=$A51, 1, 0))=0, "",SUM(IF(INDEX(_xlfn._xlws.FILTER(tblPiNAnalysis[[CCCM%]:[WASH%]], tblPiNAnalysis[Population Group]=B$5), 0, MATCH(_xlfn.CONCAT($Q$2, "%"), tblPiNAnalysis[[#Headers],[CCCM%]:[WASH%]], 0))=$A51, 1, 0))))</f>
        <v/>
      </c>
      <c r="C51" s="93" t="str" cm="1">
        <f t="array" ref="C51">IFERROR(IF(OR($A51="", C$5=""), "", IF(SUM(IF(INDEX(_xlfn._xlws.FILTER(tblPiNAnalysis[[CCCM%]:[WASH%]], tblPiNAnalysis[Population Group]=C$5), 0, MATCH(_xlfn.CONCAT($Q$2, "%"), tblPiNAnalysis[[#Headers],[CCCM%]:[WASH%]], 0))=$A51, 1, 0))=0, "",SUM(IF(INDEX(_xlfn._xlws.FILTER(tblPiNAnalysis[[CCCM%]:[WASH%]], tblPiNAnalysis[Population Group]=C$5), 0, MATCH(_xlfn.CONCAT($Q$2, "%"), tblPiNAnalysis[[#Headers],[CCCM%]:[WASH%]], 0))=$A51, 1, 0)))), "")</f>
        <v/>
      </c>
      <c r="D51" s="93" t="str" cm="1">
        <f t="array" ref="D51">IFERROR(IF(OR($A51="", D$5=""), "", IF(SUM(IF(INDEX(_xlfn._xlws.FILTER(tblPiNAnalysis[[CCCM%]:[WASH%]], tblPiNAnalysis[Population Group]=D$5), 0, MATCH(_xlfn.CONCAT($Q$2, "%"), tblPiNAnalysis[[#Headers],[CCCM%]:[WASH%]], 0))=$A51, 1, 0))=0, "",SUM(IF(INDEX(_xlfn._xlws.FILTER(tblPiNAnalysis[[CCCM%]:[WASH%]], tblPiNAnalysis[Population Group]=D$5), 0, MATCH(_xlfn.CONCAT($Q$2, "%"), tblPiNAnalysis[[#Headers],[CCCM%]:[WASH%]], 0))=$A51, 1, 0)))), "")</f>
        <v/>
      </c>
      <c r="E51" s="93" t="str" cm="1">
        <f t="array" ref="E51">IFERROR(IF(OR($A51="", E$5=""), "", IF(SUM(IF(INDEX(_xlfn._xlws.FILTER(tblPiNAnalysis[[CCCM%]:[WASH%]], tblPiNAnalysis[Population Group]=E$5), 0, MATCH(_xlfn.CONCAT($Q$2, "%"), tblPiNAnalysis[[#Headers],[CCCM%]:[WASH%]], 0))=$A51, 1, 0))=0, "",SUM(IF(INDEX(_xlfn._xlws.FILTER(tblPiNAnalysis[[CCCM%]:[WASH%]], tblPiNAnalysis[Population Group]=E$5), 0, MATCH(_xlfn.CONCAT($Q$2, "%"), tblPiNAnalysis[[#Headers],[CCCM%]:[WASH%]], 0))=$A51, 1, 0)))), "")</f>
        <v/>
      </c>
      <c r="F51" s="93" t="str" cm="1">
        <f t="array" ref="F51">IFERROR(IF(OR($A51="", F$5=""), "", IF(SUM(IF(INDEX(_xlfn._xlws.FILTER(tblPiNAnalysis[[CCCM%]:[WASH%]], tblPiNAnalysis[CCCM]=F$5), 0, MATCH(_xlfn.CONCAT($Q$2, "%"), tblPiNAnalysis[[#Headers],[CCCM%]:[WASH%]], 0))=$A51, 1, 0))=0, "",SUM(IF(INDEX(_xlfn._xlws.FILTER(tblPiNAnalysis[[CCCM%]:[WASH%]], tblPiNAnalysis[CCCM]=F$5), 0, MATCH(_xlfn.CONCAT($Q$2, "%"), tblPiNAnalysis[[#Headers],[CCCM%]:[WASH%]], 0))=$A51, 1, 0)))), "")</f>
        <v/>
      </c>
      <c r="H51" s="95"/>
      <c r="I51" s="93" t="str" cm="1">
        <f t="array" ref="I51">IF($H51="", "", IF($H51=2, SUM(IF(INDEX(_xlfn._xlws.FILTER(tblPiNHistorical[[CCCM]:[WASH]], tblPiNHistorical[Population Group]=I$5), 0, MATCH($Q$2, tblPiNHistorical[[#Headers],[CCCM]:[WASH]], 0))&gt;1.9, 1, 0)), IF(SUM(IF(INDEX(_xlfn._xlws.FILTER(tblPiNHistorical[[CCCM]:[WASH]], tblPiNHistorical[Population Group]=I$5), 0, MATCH($Q$2, tblPiNHistorical[[#Headers],[CCCM]:[WASH]], 0))=$H51, 1, 0))=0, "", SUM(IF(INDEX(_xlfn._xlws.FILTER(tblPiNHistorical[[CCCM]:[WASH]], tblPiNHistorical[Population Group]=I$5), 0, MATCH($Q$2, tblPiNHistorical[[#Headers],[CCCM]:[WASH]], 0))=$H51, 1, 0)))))</f>
        <v/>
      </c>
      <c r="J51" s="93" t="str" cm="1">
        <f t="array" ref="J51">IFERROR(IF(OR($H51="", J50=""), "", IF($H51=2, SUM(IF(INDEX(_xlfn._xlws.FILTER(tblPiNHistorical[[CCCM]:[WASH]], tblPiNHistorical[Population Group]=J$5), 0, MATCH($Q$2, tblPiNHistorical[[#Headers],[CCCM]:[WASH]], 0))&gt;1.9, 1, 0)), IF(SUM(IF(INDEX(_xlfn._xlws.FILTER(tblPiNHistorical[[CCCM]:[WASH]], tblPiNHistorical[Population Group]=J$5), 0, MATCH($Q$2, tblPiNHistorical[[#Headers],[CCCM]:[WASH]], 0))=$H51, 1, 0))=0, "", SUM(IF(INDEX(_xlfn._xlws.FILTER(tblPiNHistorical[[CCCM]:[WASH]], tblPiNHistorical[Population Group]=J$5), 0, MATCH($Q$2, tblPiNHistorical[[#Headers],[CCCM]:[WASH]], 0))=$H51, 1, 0))))), "")</f>
        <v/>
      </c>
      <c r="K51" s="93" t="str" cm="1">
        <f t="array" ref="K51">IFERROR(IF(OR($H51="", K50=""), "", IF($H51=2, SUM(IF(INDEX(_xlfn._xlws.FILTER(tblPiNHistorical[[CCCM]:[WASH]], tblPiNHistorical[CCCM - old]=K$5), 0, MATCH($Q$2, tblPiNHistorical[[#Headers],[CCCM]:[WASH]], 0))&gt;1.9, 1, 0)), IF(SUM(IF(INDEX(_xlfn._xlws.FILTER(tblPiNHistorical[[CCCM]:[WASH]], tblPiNHistorical[CCCM - old]=K$5), 0, MATCH($Q$2, tblPiNHistorical[[#Headers],[CCCM]:[WASH]], 0))=$H51, 1, 0))=0, "", SUM(IF(INDEX(_xlfn._xlws.FILTER(tblPiNHistorical[[CCCM]:[WASH]], tblPiNHistorical[CCCM - old]=K$5), 0, MATCH($Q$2, tblPiNHistorical[[#Headers],[CCCM]:[WASH]], 0))=$H51, 1, 0))))), "")</f>
        <v/>
      </c>
      <c r="L51" s="93" t="str" cm="1">
        <f t="array" ref="L51">IFERROR(IF(OR($H51="", L50=""), "", IF($H51=2, SUM(IF(INDEX(_xlfn._xlws.FILTER(tblPiNHistorical[[CCCM]:[WASH]],#REF!= L$5), 0, MATCH($Q$2, tblPiNHistorical[[#Headers],[CCCM]:[WASH]], 0))&gt;1.9, 1, 0)), IF(SUM(IF(INDEX(_xlfn._xlws.FILTER(tblPiNHistorical[[CCCM]:[WASH]],#REF!= L$5), 0, MATCH($Q$2, tblPiNHistorical[[#Headers],[CCCM]:[WASH]], 0))=$H51, 1, 0))=0, "", SUM(IF(INDEX(_xlfn._xlws.FILTER(tblPiNHistorical[[CCCM]:[WASH]],#REF!= L$5), 0, MATCH($Q$2, tblPiNHistorical[[#Headers],[CCCM]:[WASH]], 0))=$H51, 1, 0))))), "")</f>
        <v/>
      </c>
      <c r="M51" s="93" t="str" cm="1">
        <f t="array" ref="M51">IFERROR(IF(OR($H51="", M50=""), "", IF($H51=2, SUM(IF(INDEX(_xlfn._xlws.FILTER(tblPiNHistorical[[CCCM]:[WASH]],#REF!= M$5), 0, MATCH($Q$2, tblPiNHistorical[[#Headers],[CCCM]:[WASH]], 0))&gt;1.9, 1, 0)), IF(SUM(IF(INDEX(_xlfn._xlws.FILTER(tblPiNHistorical[[CCCM]:[WASH]],#REF!= M$5), 0, MATCH($Q$2, tblPiNHistorical[[#Headers],[CCCM]:[WASH]], 0))=$H51, 1, 0))=0, "", SUM(IF(INDEX(_xlfn._xlws.FILTER(tblPiNHistorical[[CCCM]:[WASH]],#REF!= M$5), 0, MATCH($Q$2, tblPiNHistorical[[#Headers],[CCCM]:[WASH]], 0))=$H51, 1, 0))))), "")</f>
        <v/>
      </c>
    </row>
    <row r="52" spans="1:13" x14ac:dyDescent="0.55000000000000004">
      <c r="A52" s="95"/>
      <c r="B52" s="93" t="str" cm="1">
        <f t="array" ref="B52">IF($A52="", "", IF(SUM(IF(INDEX(_xlfn._xlws.FILTER(tblPiNAnalysis[[CCCM%]:[WASH%]], tblPiNAnalysis[Population Group]=B$5), 0, MATCH(_xlfn.CONCAT($Q$2, "%"), tblPiNAnalysis[[#Headers],[CCCM%]:[WASH%]], 0))=$A52, 1, 0))=0, "",SUM(IF(INDEX(_xlfn._xlws.FILTER(tblPiNAnalysis[[CCCM%]:[WASH%]], tblPiNAnalysis[Population Group]=B$5), 0, MATCH(_xlfn.CONCAT($Q$2, "%"), tblPiNAnalysis[[#Headers],[CCCM%]:[WASH%]], 0))=$A52, 1, 0))))</f>
        <v/>
      </c>
      <c r="C52" s="93" t="str" cm="1">
        <f t="array" ref="C52">IFERROR(IF(OR($A52="", C$5=""), "", IF(SUM(IF(INDEX(_xlfn._xlws.FILTER(tblPiNAnalysis[[CCCM%]:[WASH%]], tblPiNAnalysis[Population Group]=C$5), 0, MATCH(_xlfn.CONCAT($Q$2, "%"), tblPiNAnalysis[[#Headers],[CCCM%]:[WASH%]], 0))=$A52, 1, 0))=0, "",SUM(IF(INDEX(_xlfn._xlws.FILTER(tblPiNAnalysis[[CCCM%]:[WASH%]], tblPiNAnalysis[Population Group]=C$5), 0, MATCH(_xlfn.CONCAT($Q$2, "%"), tblPiNAnalysis[[#Headers],[CCCM%]:[WASH%]], 0))=$A52, 1, 0)))), "")</f>
        <v/>
      </c>
      <c r="D52" s="93" t="str" cm="1">
        <f t="array" ref="D52">IFERROR(IF(OR($A52="", D$5=""), "", IF(SUM(IF(INDEX(_xlfn._xlws.FILTER(tblPiNAnalysis[[CCCM%]:[WASH%]], tblPiNAnalysis[Population Group]=D$5), 0, MATCH(_xlfn.CONCAT($Q$2, "%"), tblPiNAnalysis[[#Headers],[CCCM%]:[WASH%]], 0))=$A52, 1, 0))=0, "",SUM(IF(INDEX(_xlfn._xlws.FILTER(tblPiNAnalysis[[CCCM%]:[WASH%]], tblPiNAnalysis[Population Group]=D$5), 0, MATCH(_xlfn.CONCAT($Q$2, "%"), tblPiNAnalysis[[#Headers],[CCCM%]:[WASH%]], 0))=$A52, 1, 0)))), "")</f>
        <v/>
      </c>
      <c r="E52" s="93" t="str" cm="1">
        <f t="array" ref="E52">IFERROR(IF(OR($A52="", E$5=""), "", IF(SUM(IF(INDEX(_xlfn._xlws.FILTER(tblPiNAnalysis[[CCCM%]:[WASH%]], tblPiNAnalysis[Population Group]=E$5), 0, MATCH(_xlfn.CONCAT($Q$2, "%"), tblPiNAnalysis[[#Headers],[CCCM%]:[WASH%]], 0))=$A52, 1, 0))=0, "",SUM(IF(INDEX(_xlfn._xlws.FILTER(tblPiNAnalysis[[CCCM%]:[WASH%]], tblPiNAnalysis[Population Group]=E$5), 0, MATCH(_xlfn.CONCAT($Q$2, "%"), tblPiNAnalysis[[#Headers],[CCCM%]:[WASH%]], 0))=$A52, 1, 0)))), "")</f>
        <v/>
      </c>
      <c r="F52" s="93" t="str" cm="1">
        <f t="array" ref="F52">IFERROR(IF(OR($A52="", F$5=""), "", IF(SUM(IF(INDEX(_xlfn._xlws.FILTER(tblPiNAnalysis[[CCCM%]:[WASH%]], tblPiNAnalysis[CCCM]=F$5), 0, MATCH(_xlfn.CONCAT($Q$2, "%"), tblPiNAnalysis[[#Headers],[CCCM%]:[WASH%]], 0))=$A52, 1, 0))=0, "",SUM(IF(INDEX(_xlfn._xlws.FILTER(tblPiNAnalysis[[CCCM%]:[WASH%]], tblPiNAnalysis[CCCM]=F$5), 0, MATCH(_xlfn.CONCAT($Q$2, "%"), tblPiNAnalysis[[#Headers],[CCCM%]:[WASH%]], 0))=$A52, 1, 0)))), "")</f>
        <v/>
      </c>
      <c r="H52" s="95"/>
      <c r="I52" s="93" t="str" cm="1">
        <f t="array" ref="I52">IF($H52="", "", IF($H52=2, SUM(IF(INDEX(_xlfn._xlws.FILTER(tblPiNHistorical[[CCCM]:[WASH]], tblPiNHistorical[Population Group]=I$5), 0, MATCH($Q$2, tblPiNHistorical[[#Headers],[CCCM]:[WASH]], 0))&gt;1.9, 1, 0)), IF(SUM(IF(INDEX(_xlfn._xlws.FILTER(tblPiNHistorical[[CCCM]:[WASH]], tblPiNHistorical[Population Group]=I$5), 0, MATCH($Q$2, tblPiNHistorical[[#Headers],[CCCM]:[WASH]], 0))=$H52, 1, 0))=0, "", SUM(IF(INDEX(_xlfn._xlws.FILTER(tblPiNHistorical[[CCCM]:[WASH]], tblPiNHistorical[Population Group]=I$5), 0, MATCH($Q$2, tblPiNHistorical[[#Headers],[CCCM]:[WASH]], 0))=$H52, 1, 0)))))</f>
        <v/>
      </c>
      <c r="J52" s="93" t="str" cm="1">
        <f t="array" ref="J52">IFERROR(IF(OR($H52="", J51=""), "", IF($H52=2, SUM(IF(INDEX(_xlfn._xlws.FILTER(tblPiNHistorical[[CCCM]:[WASH]], tblPiNHistorical[Population Group]=J$5), 0, MATCH($Q$2, tblPiNHistorical[[#Headers],[CCCM]:[WASH]], 0))&gt;1.9, 1, 0)), IF(SUM(IF(INDEX(_xlfn._xlws.FILTER(tblPiNHistorical[[CCCM]:[WASH]], tblPiNHistorical[Population Group]=J$5), 0, MATCH($Q$2, tblPiNHistorical[[#Headers],[CCCM]:[WASH]], 0))=$H52, 1, 0))=0, "", SUM(IF(INDEX(_xlfn._xlws.FILTER(tblPiNHistorical[[CCCM]:[WASH]], tblPiNHistorical[Population Group]=J$5), 0, MATCH($Q$2, tblPiNHistorical[[#Headers],[CCCM]:[WASH]], 0))=$H52, 1, 0))))), "")</f>
        <v/>
      </c>
      <c r="K52" s="93" t="str" cm="1">
        <f t="array" ref="K52">IFERROR(IF(OR($H52="", K51=""), "", IF($H52=2, SUM(IF(INDEX(_xlfn._xlws.FILTER(tblPiNHistorical[[CCCM]:[WASH]], tblPiNHistorical[CCCM - old]=K$5), 0, MATCH($Q$2, tblPiNHistorical[[#Headers],[CCCM]:[WASH]], 0))&gt;1.9, 1, 0)), IF(SUM(IF(INDEX(_xlfn._xlws.FILTER(tblPiNHistorical[[CCCM]:[WASH]], tblPiNHistorical[CCCM - old]=K$5), 0, MATCH($Q$2, tblPiNHistorical[[#Headers],[CCCM]:[WASH]], 0))=$H52, 1, 0))=0, "", SUM(IF(INDEX(_xlfn._xlws.FILTER(tblPiNHistorical[[CCCM]:[WASH]], tblPiNHistorical[CCCM - old]=K$5), 0, MATCH($Q$2, tblPiNHistorical[[#Headers],[CCCM]:[WASH]], 0))=$H52, 1, 0))))), "")</f>
        <v/>
      </c>
      <c r="L52" s="93" t="str" cm="1">
        <f t="array" ref="L52">IFERROR(IF(OR($H52="", L51=""), "", IF($H52=2, SUM(IF(INDEX(_xlfn._xlws.FILTER(tblPiNHistorical[[CCCM]:[WASH]],#REF!= L$5), 0, MATCH($Q$2, tblPiNHistorical[[#Headers],[CCCM]:[WASH]], 0))&gt;1.9, 1, 0)), IF(SUM(IF(INDEX(_xlfn._xlws.FILTER(tblPiNHistorical[[CCCM]:[WASH]],#REF!= L$5), 0, MATCH($Q$2, tblPiNHistorical[[#Headers],[CCCM]:[WASH]], 0))=$H52, 1, 0))=0, "", SUM(IF(INDEX(_xlfn._xlws.FILTER(tblPiNHistorical[[CCCM]:[WASH]],#REF!= L$5), 0, MATCH($Q$2, tblPiNHistorical[[#Headers],[CCCM]:[WASH]], 0))=$H52, 1, 0))))), "")</f>
        <v/>
      </c>
      <c r="M52" s="93" t="str" cm="1">
        <f t="array" ref="M52">IFERROR(IF(OR($H52="", M51=""), "", IF($H52=2, SUM(IF(INDEX(_xlfn._xlws.FILTER(tblPiNHistorical[[CCCM]:[WASH]],#REF!= M$5), 0, MATCH($Q$2, tblPiNHistorical[[#Headers],[CCCM]:[WASH]], 0))&gt;1.9, 1, 0)), IF(SUM(IF(INDEX(_xlfn._xlws.FILTER(tblPiNHistorical[[CCCM]:[WASH]],#REF!= M$5), 0, MATCH($Q$2, tblPiNHistorical[[#Headers],[CCCM]:[WASH]], 0))=$H52, 1, 0))=0, "", SUM(IF(INDEX(_xlfn._xlws.FILTER(tblPiNHistorical[[CCCM]:[WASH]],#REF!= M$5), 0, MATCH($Q$2, tblPiNHistorical[[#Headers],[CCCM]:[WASH]], 0))=$H52, 1, 0))))), "")</f>
        <v/>
      </c>
    </row>
    <row r="53" spans="1:13" x14ac:dyDescent="0.55000000000000004">
      <c r="A53" s="95"/>
      <c r="B53" s="93" t="str" cm="1">
        <f t="array" ref="B53">IF($A53="", "", IF(SUM(IF(INDEX(_xlfn._xlws.FILTER(tblPiNAnalysis[[CCCM%]:[WASH%]], tblPiNAnalysis[Population Group]=B$5), 0, MATCH(_xlfn.CONCAT($Q$2, "%"), tblPiNAnalysis[[#Headers],[CCCM%]:[WASH%]], 0))=$A53, 1, 0))=0, "",SUM(IF(INDEX(_xlfn._xlws.FILTER(tblPiNAnalysis[[CCCM%]:[WASH%]], tblPiNAnalysis[Population Group]=B$5), 0, MATCH(_xlfn.CONCAT($Q$2, "%"), tblPiNAnalysis[[#Headers],[CCCM%]:[WASH%]], 0))=$A53, 1, 0))))</f>
        <v/>
      </c>
      <c r="C53" s="93" t="str" cm="1">
        <f t="array" ref="C53">IFERROR(IF(OR($A53="", C$5=""), "", IF(SUM(IF(INDEX(_xlfn._xlws.FILTER(tblPiNAnalysis[[CCCM%]:[WASH%]], tblPiNAnalysis[Population Group]=C$5), 0, MATCH(_xlfn.CONCAT($Q$2, "%"), tblPiNAnalysis[[#Headers],[CCCM%]:[WASH%]], 0))=$A53, 1, 0))=0, "",SUM(IF(INDEX(_xlfn._xlws.FILTER(tblPiNAnalysis[[CCCM%]:[WASH%]], tblPiNAnalysis[Population Group]=C$5), 0, MATCH(_xlfn.CONCAT($Q$2, "%"), tblPiNAnalysis[[#Headers],[CCCM%]:[WASH%]], 0))=$A53, 1, 0)))), "")</f>
        <v/>
      </c>
      <c r="D53" s="93" t="str" cm="1">
        <f t="array" ref="D53">IFERROR(IF(OR($A53="", D$5=""), "", IF(SUM(IF(INDEX(_xlfn._xlws.FILTER(tblPiNAnalysis[[CCCM%]:[WASH%]], tblPiNAnalysis[Population Group]=D$5), 0, MATCH(_xlfn.CONCAT($Q$2, "%"), tblPiNAnalysis[[#Headers],[CCCM%]:[WASH%]], 0))=$A53, 1, 0))=0, "",SUM(IF(INDEX(_xlfn._xlws.FILTER(tblPiNAnalysis[[CCCM%]:[WASH%]], tblPiNAnalysis[Population Group]=D$5), 0, MATCH(_xlfn.CONCAT($Q$2, "%"), tblPiNAnalysis[[#Headers],[CCCM%]:[WASH%]], 0))=$A53, 1, 0)))), "")</f>
        <v/>
      </c>
      <c r="E53" s="93" t="str" cm="1">
        <f t="array" ref="E53">IFERROR(IF(OR($A53="", E$5=""), "", IF(SUM(IF(INDEX(_xlfn._xlws.FILTER(tblPiNAnalysis[[CCCM%]:[WASH%]], tblPiNAnalysis[Population Group]=E$5), 0, MATCH(_xlfn.CONCAT($Q$2, "%"), tblPiNAnalysis[[#Headers],[CCCM%]:[WASH%]], 0))=$A53, 1, 0))=0, "",SUM(IF(INDEX(_xlfn._xlws.FILTER(tblPiNAnalysis[[CCCM%]:[WASH%]], tblPiNAnalysis[Population Group]=E$5), 0, MATCH(_xlfn.CONCAT($Q$2, "%"), tblPiNAnalysis[[#Headers],[CCCM%]:[WASH%]], 0))=$A53, 1, 0)))), "")</f>
        <v/>
      </c>
      <c r="F53" s="93" t="str" cm="1">
        <f t="array" ref="F53">IFERROR(IF(OR($A53="", F$5=""), "", IF(SUM(IF(INDEX(_xlfn._xlws.FILTER(tblPiNAnalysis[[CCCM%]:[WASH%]], tblPiNAnalysis[CCCM]=F$5), 0, MATCH(_xlfn.CONCAT($Q$2, "%"), tblPiNAnalysis[[#Headers],[CCCM%]:[WASH%]], 0))=$A53, 1, 0))=0, "",SUM(IF(INDEX(_xlfn._xlws.FILTER(tblPiNAnalysis[[CCCM%]:[WASH%]], tblPiNAnalysis[CCCM]=F$5), 0, MATCH(_xlfn.CONCAT($Q$2, "%"), tblPiNAnalysis[[#Headers],[CCCM%]:[WASH%]], 0))=$A53, 1, 0)))), "")</f>
        <v/>
      </c>
      <c r="H53" s="95"/>
      <c r="I53" s="93" t="str" cm="1">
        <f t="array" ref="I53">IF($H53="", "", IF($H53=2, SUM(IF(INDEX(_xlfn._xlws.FILTER(tblPiNHistorical[[CCCM]:[WASH]], tblPiNHistorical[Population Group]=I$5), 0, MATCH($Q$2, tblPiNHistorical[[#Headers],[CCCM]:[WASH]], 0))&gt;1.9, 1, 0)), IF(SUM(IF(INDEX(_xlfn._xlws.FILTER(tblPiNHistorical[[CCCM]:[WASH]], tblPiNHistorical[Population Group]=I$5), 0, MATCH($Q$2, tblPiNHistorical[[#Headers],[CCCM]:[WASH]], 0))=$H53, 1, 0))=0, "", SUM(IF(INDEX(_xlfn._xlws.FILTER(tblPiNHistorical[[CCCM]:[WASH]], tblPiNHistorical[Population Group]=I$5), 0, MATCH($Q$2, tblPiNHistorical[[#Headers],[CCCM]:[WASH]], 0))=$H53, 1, 0)))))</f>
        <v/>
      </c>
      <c r="J53" s="93" t="str" cm="1">
        <f t="array" ref="J53">IFERROR(IF(OR($H53="", J52=""), "", IF($H53=2, SUM(IF(INDEX(_xlfn._xlws.FILTER(tblPiNHistorical[[CCCM]:[WASH]], tblPiNHistorical[Population Group]=J$5), 0, MATCH($Q$2, tblPiNHistorical[[#Headers],[CCCM]:[WASH]], 0))&gt;1.9, 1, 0)), IF(SUM(IF(INDEX(_xlfn._xlws.FILTER(tblPiNHistorical[[CCCM]:[WASH]], tblPiNHistorical[Population Group]=J$5), 0, MATCH($Q$2, tblPiNHistorical[[#Headers],[CCCM]:[WASH]], 0))=$H53, 1, 0))=0, "", SUM(IF(INDEX(_xlfn._xlws.FILTER(tblPiNHistorical[[CCCM]:[WASH]], tblPiNHistorical[Population Group]=J$5), 0, MATCH($Q$2, tblPiNHistorical[[#Headers],[CCCM]:[WASH]], 0))=$H53, 1, 0))))), "")</f>
        <v/>
      </c>
      <c r="K53" s="93" t="str" cm="1">
        <f t="array" ref="K53">IFERROR(IF(OR($H53="", K52=""), "", IF($H53=2, SUM(IF(INDEX(_xlfn._xlws.FILTER(tblPiNHistorical[[CCCM]:[WASH]], tblPiNHistorical[CCCM - old]=K$5), 0, MATCH($Q$2, tblPiNHistorical[[#Headers],[CCCM]:[WASH]], 0))&gt;1.9, 1, 0)), IF(SUM(IF(INDEX(_xlfn._xlws.FILTER(tblPiNHistorical[[CCCM]:[WASH]], tblPiNHistorical[CCCM - old]=K$5), 0, MATCH($Q$2, tblPiNHistorical[[#Headers],[CCCM]:[WASH]], 0))=$H53, 1, 0))=0, "", SUM(IF(INDEX(_xlfn._xlws.FILTER(tblPiNHistorical[[CCCM]:[WASH]], tblPiNHistorical[CCCM - old]=K$5), 0, MATCH($Q$2, tblPiNHistorical[[#Headers],[CCCM]:[WASH]], 0))=$H53, 1, 0))))), "")</f>
        <v/>
      </c>
      <c r="L53" s="93" t="str" cm="1">
        <f t="array" ref="L53">IFERROR(IF(OR($H53="", L52=""), "", IF($H53=2, SUM(IF(INDEX(_xlfn._xlws.FILTER(tblPiNHistorical[[CCCM]:[WASH]],#REF!= L$5), 0, MATCH($Q$2, tblPiNHistorical[[#Headers],[CCCM]:[WASH]], 0))&gt;1.9, 1, 0)), IF(SUM(IF(INDEX(_xlfn._xlws.FILTER(tblPiNHistorical[[CCCM]:[WASH]],#REF!= L$5), 0, MATCH($Q$2, tblPiNHistorical[[#Headers],[CCCM]:[WASH]], 0))=$H53, 1, 0))=0, "", SUM(IF(INDEX(_xlfn._xlws.FILTER(tblPiNHistorical[[CCCM]:[WASH]],#REF!= L$5), 0, MATCH($Q$2, tblPiNHistorical[[#Headers],[CCCM]:[WASH]], 0))=$H53, 1, 0))))), "")</f>
        <v/>
      </c>
      <c r="M53" s="93" t="str" cm="1">
        <f t="array" ref="M53">IFERROR(IF(OR($H53="", M52=""), "", IF($H53=2, SUM(IF(INDEX(_xlfn._xlws.FILTER(tblPiNHistorical[[CCCM]:[WASH]],#REF!= M$5), 0, MATCH($Q$2, tblPiNHistorical[[#Headers],[CCCM]:[WASH]], 0))&gt;1.9, 1, 0)), IF(SUM(IF(INDEX(_xlfn._xlws.FILTER(tblPiNHistorical[[CCCM]:[WASH]],#REF!= M$5), 0, MATCH($Q$2, tblPiNHistorical[[#Headers],[CCCM]:[WASH]], 0))=$H53, 1, 0))=0, "", SUM(IF(INDEX(_xlfn._xlws.FILTER(tblPiNHistorical[[CCCM]:[WASH]],#REF!= M$5), 0, MATCH($Q$2, tblPiNHistorical[[#Headers],[CCCM]:[WASH]], 0))=$H53, 1, 0))))), "")</f>
        <v/>
      </c>
    </row>
    <row r="54" spans="1:13" x14ac:dyDescent="0.55000000000000004">
      <c r="A54" s="95"/>
      <c r="B54" s="93" t="str" cm="1">
        <f t="array" ref="B54">IF($A54="", "", IF(SUM(IF(INDEX(_xlfn._xlws.FILTER(tblPiNAnalysis[[CCCM%]:[WASH%]], tblPiNAnalysis[Population Group]=B$5), 0, MATCH(_xlfn.CONCAT($Q$2, "%"), tblPiNAnalysis[[#Headers],[CCCM%]:[WASH%]], 0))=$A54, 1, 0))=0, "",SUM(IF(INDEX(_xlfn._xlws.FILTER(tblPiNAnalysis[[CCCM%]:[WASH%]], tblPiNAnalysis[Population Group]=B$5), 0, MATCH(_xlfn.CONCAT($Q$2, "%"), tblPiNAnalysis[[#Headers],[CCCM%]:[WASH%]], 0))=$A54, 1, 0))))</f>
        <v/>
      </c>
      <c r="C54" s="93" t="str" cm="1">
        <f t="array" ref="C54">IFERROR(IF(OR($A54="", C$5=""), "", IF(SUM(IF(INDEX(_xlfn._xlws.FILTER(tblPiNAnalysis[[CCCM%]:[WASH%]], tblPiNAnalysis[Population Group]=C$5), 0, MATCH(_xlfn.CONCAT($Q$2, "%"), tblPiNAnalysis[[#Headers],[CCCM%]:[WASH%]], 0))=$A54, 1, 0))=0, "",SUM(IF(INDEX(_xlfn._xlws.FILTER(tblPiNAnalysis[[CCCM%]:[WASH%]], tblPiNAnalysis[Population Group]=C$5), 0, MATCH(_xlfn.CONCAT($Q$2, "%"), tblPiNAnalysis[[#Headers],[CCCM%]:[WASH%]], 0))=$A54, 1, 0)))), "")</f>
        <v/>
      </c>
      <c r="D54" s="93" t="str" cm="1">
        <f t="array" ref="D54">IFERROR(IF(OR($A54="", D$5=""), "", IF(SUM(IF(INDEX(_xlfn._xlws.FILTER(tblPiNAnalysis[[CCCM%]:[WASH%]], tblPiNAnalysis[Population Group]=D$5), 0, MATCH(_xlfn.CONCAT($Q$2, "%"), tblPiNAnalysis[[#Headers],[CCCM%]:[WASH%]], 0))=$A54, 1, 0))=0, "",SUM(IF(INDEX(_xlfn._xlws.FILTER(tblPiNAnalysis[[CCCM%]:[WASH%]], tblPiNAnalysis[Population Group]=D$5), 0, MATCH(_xlfn.CONCAT($Q$2, "%"), tblPiNAnalysis[[#Headers],[CCCM%]:[WASH%]], 0))=$A54, 1, 0)))), "")</f>
        <v/>
      </c>
      <c r="E54" s="93" t="str" cm="1">
        <f t="array" ref="E54">IFERROR(IF(OR($A54="", E$5=""), "", IF(SUM(IF(INDEX(_xlfn._xlws.FILTER(tblPiNAnalysis[[CCCM%]:[WASH%]], tblPiNAnalysis[Population Group]=E$5), 0, MATCH(_xlfn.CONCAT($Q$2, "%"), tblPiNAnalysis[[#Headers],[CCCM%]:[WASH%]], 0))=$A54, 1, 0))=0, "",SUM(IF(INDEX(_xlfn._xlws.FILTER(tblPiNAnalysis[[CCCM%]:[WASH%]], tblPiNAnalysis[Population Group]=E$5), 0, MATCH(_xlfn.CONCAT($Q$2, "%"), tblPiNAnalysis[[#Headers],[CCCM%]:[WASH%]], 0))=$A54, 1, 0)))), "")</f>
        <v/>
      </c>
      <c r="F54" s="93" t="str" cm="1">
        <f t="array" ref="F54">IFERROR(IF(OR($A54="", F$5=""), "", IF(SUM(IF(INDEX(_xlfn._xlws.FILTER(tblPiNAnalysis[[CCCM%]:[WASH%]], tblPiNAnalysis[CCCM]=F$5), 0, MATCH(_xlfn.CONCAT($Q$2, "%"), tblPiNAnalysis[[#Headers],[CCCM%]:[WASH%]], 0))=$A54, 1, 0))=0, "",SUM(IF(INDEX(_xlfn._xlws.FILTER(tblPiNAnalysis[[CCCM%]:[WASH%]], tblPiNAnalysis[CCCM]=F$5), 0, MATCH(_xlfn.CONCAT($Q$2, "%"), tblPiNAnalysis[[#Headers],[CCCM%]:[WASH%]], 0))=$A54, 1, 0)))), "")</f>
        <v/>
      </c>
      <c r="H54" s="95"/>
      <c r="I54" s="93" t="str" cm="1">
        <f t="array" ref="I54">IF($H54="", "", IF($H54=2, SUM(IF(INDEX(_xlfn._xlws.FILTER(tblPiNHistorical[[CCCM]:[WASH]], tblPiNHistorical[Population Group]=I$5), 0, MATCH($Q$2, tblPiNHistorical[[#Headers],[CCCM]:[WASH]], 0))&gt;1.9, 1, 0)), IF(SUM(IF(INDEX(_xlfn._xlws.FILTER(tblPiNHistorical[[CCCM]:[WASH]], tblPiNHistorical[Population Group]=I$5), 0, MATCH($Q$2, tblPiNHistorical[[#Headers],[CCCM]:[WASH]], 0))=$H54, 1, 0))=0, "", SUM(IF(INDEX(_xlfn._xlws.FILTER(tblPiNHistorical[[CCCM]:[WASH]], tblPiNHistorical[Population Group]=I$5), 0, MATCH($Q$2, tblPiNHistorical[[#Headers],[CCCM]:[WASH]], 0))=$H54, 1, 0)))))</f>
        <v/>
      </c>
      <c r="J54" s="93" t="str" cm="1">
        <f t="array" ref="J54">IFERROR(IF(OR($H54="", J53=""), "", IF($H54=2, SUM(IF(INDEX(_xlfn._xlws.FILTER(tblPiNHistorical[[CCCM]:[WASH]], tblPiNHistorical[Population Group]=J$5), 0, MATCH($Q$2, tblPiNHistorical[[#Headers],[CCCM]:[WASH]], 0))&gt;1.9, 1, 0)), IF(SUM(IF(INDEX(_xlfn._xlws.FILTER(tblPiNHistorical[[CCCM]:[WASH]], tblPiNHistorical[Population Group]=J$5), 0, MATCH($Q$2, tblPiNHistorical[[#Headers],[CCCM]:[WASH]], 0))=$H54, 1, 0))=0, "", SUM(IF(INDEX(_xlfn._xlws.FILTER(tblPiNHistorical[[CCCM]:[WASH]], tblPiNHistorical[Population Group]=J$5), 0, MATCH($Q$2, tblPiNHistorical[[#Headers],[CCCM]:[WASH]], 0))=$H54, 1, 0))))), "")</f>
        <v/>
      </c>
      <c r="K54" s="93" t="str" cm="1">
        <f t="array" ref="K54">IFERROR(IF(OR($H54="", K53=""), "", IF($H54=2, SUM(IF(INDEX(_xlfn._xlws.FILTER(tblPiNHistorical[[CCCM]:[WASH]], tblPiNHistorical[CCCM - old]=K$5), 0, MATCH($Q$2, tblPiNHistorical[[#Headers],[CCCM]:[WASH]], 0))&gt;1.9, 1, 0)), IF(SUM(IF(INDEX(_xlfn._xlws.FILTER(tblPiNHistorical[[CCCM]:[WASH]], tblPiNHistorical[CCCM - old]=K$5), 0, MATCH($Q$2, tblPiNHistorical[[#Headers],[CCCM]:[WASH]], 0))=$H54, 1, 0))=0, "", SUM(IF(INDEX(_xlfn._xlws.FILTER(tblPiNHistorical[[CCCM]:[WASH]], tblPiNHistorical[CCCM - old]=K$5), 0, MATCH($Q$2, tblPiNHistorical[[#Headers],[CCCM]:[WASH]], 0))=$H54, 1, 0))))), "")</f>
        <v/>
      </c>
      <c r="L54" s="93" t="str" cm="1">
        <f t="array" ref="L54">IFERROR(IF(OR($H54="", L53=""), "", IF($H54=2, SUM(IF(INDEX(_xlfn._xlws.FILTER(tblPiNHistorical[[CCCM]:[WASH]],#REF!= L$5), 0, MATCH($Q$2, tblPiNHistorical[[#Headers],[CCCM]:[WASH]], 0))&gt;1.9, 1, 0)), IF(SUM(IF(INDEX(_xlfn._xlws.FILTER(tblPiNHistorical[[CCCM]:[WASH]],#REF!= L$5), 0, MATCH($Q$2, tblPiNHistorical[[#Headers],[CCCM]:[WASH]], 0))=$H54, 1, 0))=0, "", SUM(IF(INDEX(_xlfn._xlws.FILTER(tblPiNHistorical[[CCCM]:[WASH]],#REF!= L$5), 0, MATCH($Q$2, tblPiNHistorical[[#Headers],[CCCM]:[WASH]], 0))=$H54, 1, 0))))), "")</f>
        <v/>
      </c>
      <c r="M54" s="93" t="str" cm="1">
        <f t="array" ref="M54">IFERROR(IF(OR($H54="", M53=""), "", IF($H54=2, SUM(IF(INDEX(_xlfn._xlws.FILTER(tblPiNHistorical[[CCCM]:[WASH]],#REF!= M$5), 0, MATCH($Q$2, tblPiNHistorical[[#Headers],[CCCM]:[WASH]], 0))&gt;1.9, 1, 0)), IF(SUM(IF(INDEX(_xlfn._xlws.FILTER(tblPiNHistorical[[CCCM]:[WASH]],#REF!= M$5), 0, MATCH($Q$2, tblPiNHistorical[[#Headers],[CCCM]:[WASH]], 0))=$H54, 1, 0))=0, "", SUM(IF(INDEX(_xlfn._xlws.FILTER(tblPiNHistorical[[CCCM]:[WASH]],#REF!= M$5), 0, MATCH($Q$2, tblPiNHistorical[[#Headers],[CCCM]:[WASH]], 0))=$H54, 1, 0))))), "")</f>
        <v/>
      </c>
    </row>
    <row r="55" spans="1:13" x14ac:dyDescent="0.55000000000000004">
      <c r="A55" s="95"/>
      <c r="B55" s="93" t="str" cm="1">
        <f t="array" ref="B55">IF($A55="", "", IF(SUM(IF(INDEX(_xlfn._xlws.FILTER(tblPiNAnalysis[[CCCM%]:[WASH%]], tblPiNAnalysis[Population Group]=B$5), 0, MATCH(_xlfn.CONCAT($Q$2, "%"), tblPiNAnalysis[[#Headers],[CCCM%]:[WASH%]], 0))=$A55, 1, 0))=0, "",SUM(IF(INDEX(_xlfn._xlws.FILTER(tblPiNAnalysis[[CCCM%]:[WASH%]], tblPiNAnalysis[Population Group]=B$5), 0, MATCH(_xlfn.CONCAT($Q$2, "%"), tblPiNAnalysis[[#Headers],[CCCM%]:[WASH%]], 0))=$A55, 1, 0))))</f>
        <v/>
      </c>
      <c r="C55" s="93" t="str" cm="1">
        <f t="array" ref="C55">IFERROR(IF(OR($A55="", C$5=""), "", IF(SUM(IF(INDEX(_xlfn._xlws.FILTER(tblPiNAnalysis[[CCCM%]:[WASH%]], tblPiNAnalysis[Population Group]=C$5), 0, MATCH(_xlfn.CONCAT($Q$2, "%"), tblPiNAnalysis[[#Headers],[CCCM%]:[WASH%]], 0))=$A55, 1, 0))=0, "",SUM(IF(INDEX(_xlfn._xlws.FILTER(tblPiNAnalysis[[CCCM%]:[WASH%]], tblPiNAnalysis[Population Group]=C$5), 0, MATCH(_xlfn.CONCAT($Q$2, "%"), tblPiNAnalysis[[#Headers],[CCCM%]:[WASH%]], 0))=$A55, 1, 0)))), "")</f>
        <v/>
      </c>
      <c r="D55" s="93" t="str" cm="1">
        <f t="array" ref="D55">IFERROR(IF(OR($A55="", D$5=""), "", IF(SUM(IF(INDEX(_xlfn._xlws.FILTER(tblPiNAnalysis[[CCCM%]:[WASH%]], tblPiNAnalysis[Population Group]=D$5), 0, MATCH(_xlfn.CONCAT($Q$2, "%"), tblPiNAnalysis[[#Headers],[CCCM%]:[WASH%]], 0))=$A55, 1, 0))=0, "",SUM(IF(INDEX(_xlfn._xlws.FILTER(tblPiNAnalysis[[CCCM%]:[WASH%]], tblPiNAnalysis[Population Group]=D$5), 0, MATCH(_xlfn.CONCAT($Q$2, "%"), tblPiNAnalysis[[#Headers],[CCCM%]:[WASH%]], 0))=$A55, 1, 0)))), "")</f>
        <v/>
      </c>
      <c r="E55" s="93" t="str" cm="1">
        <f t="array" ref="E55">IFERROR(IF(OR($A55="", E$5=""), "", IF(SUM(IF(INDEX(_xlfn._xlws.FILTER(tblPiNAnalysis[[CCCM%]:[WASH%]], tblPiNAnalysis[Population Group]=E$5), 0, MATCH(_xlfn.CONCAT($Q$2, "%"), tblPiNAnalysis[[#Headers],[CCCM%]:[WASH%]], 0))=$A55, 1, 0))=0, "",SUM(IF(INDEX(_xlfn._xlws.FILTER(tblPiNAnalysis[[CCCM%]:[WASH%]], tblPiNAnalysis[Population Group]=E$5), 0, MATCH(_xlfn.CONCAT($Q$2, "%"), tblPiNAnalysis[[#Headers],[CCCM%]:[WASH%]], 0))=$A55, 1, 0)))), "")</f>
        <v/>
      </c>
      <c r="F55" s="93" t="str" cm="1">
        <f t="array" ref="F55">IFERROR(IF(OR($A55="", F$5=""), "", IF(SUM(IF(INDEX(_xlfn._xlws.FILTER(tblPiNAnalysis[[CCCM%]:[WASH%]], tblPiNAnalysis[CCCM]=F$5), 0, MATCH(_xlfn.CONCAT($Q$2, "%"), tblPiNAnalysis[[#Headers],[CCCM%]:[WASH%]], 0))=$A55, 1, 0))=0, "",SUM(IF(INDEX(_xlfn._xlws.FILTER(tblPiNAnalysis[[CCCM%]:[WASH%]], tblPiNAnalysis[CCCM]=F$5), 0, MATCH(_xlfn.CONCAT($Q$2, "%"), tblPiNAnalysis[[#Headers],[CCCM%]:[WASH%]], 0))=$A55, 1, 0)))), "")</f>
        <v/>
      </c>
      <c r="H55" s="95"/>
      <c r="I55" s="93" t="str" cm="1">
        <f t="array" ref="I55">IF($H55="", "", IF($H55=2, SUM(IF(INDEX(_xlfn._xlws.FILTER(tblPiNHistorical[[CCCM]:[WASH]], tblPiNHistorical[Population Group]=I$5), 0, MATCH($Q$2, tblPiNHistorical[[#Headers],[CCCM]:[WASH]], 0))&gt;1.9, 1, 0)), IF(SUM(IF(INDEX(_xlfn._xlws.FILTER(tblPiNHistorical[[CCCM]:[WASH]], tblPiNHistorical[Population Group]=I$5), 0, MATCH($Q$2, tblPiNHistorical[[#Headers],[CCCM]:[WASH]], 0))=$H55, 1, 0))=0, "", SUM(IF(INDEX(_xlfn._xlws.FILTER(tblPiNHistorical[[CCCM]:[WASH]], tblPiNHistorical[Population Group]=I$5), 0, MATCH($Q$2, tblPiNHistorical[[#Headers],[CCCM]:[WASH]], 0))=$H55, 1, 0)))))</f>
        <v/>
      </c>
      <c r="J55" s="93" t="str" cm="1">
        <f t="array" ref="J55">IFERROR(IF(OR($H55="", J54=""), "", IF($H55=2, SUM(IF(INDEX(_xlfn._xlws.FILTER(tblPiNHistorical[[CCCM]:[WASH]], tblPiNHistorical[Population Group]=J$5), 0, MATCH($Q$2, tblPiNHistorical[[#Headers],[CCCM]:[WASH]], 0))&gt;1.9, 1, 0)), IF(SUM(IF(INDEX(_xlfn._xlws.FILTER(tblPiNHistorical[[CCCM]:[WASH]], tblPiNHistorical[Population Group]=J$5), 0, MATCH($Q$2, tblPiNHistorical[[#Headers],[CCCM]:[WASH]], 0))=$H55, 1, 0))=0, "", SUM(IF(INDEX(_xlfn._xlws.FILTER(tblPiNHistorical[[CCCM]:[WASH]], tblPiNHistorical[Population Group]=J$5), 0, MATCH($Q$2, tblPiNHistorical[[#Headers],[CCCM]:[WASH]], 0))=$H55, 1, 0))))), "")</f>
        <v/>
      </c>
      <c r="K55" s="93" t="str" cm="1">
        <f t="array" ref="K55">IFERROR(IF(OR($H55="", K54=""), "", IF($H55=2, SUM(IF(INDEX(_xlfn._xlws.FILTER(tblPiNHistorical[[CCCM]:[WASH]], tblPiNHistorical[CCCM - old]=K$5), 0, MATCH($Q$2, tblPiNHistorical[[#Headers],[CCCM]:[WASH]], 0))&gt;1.9, 1, 0)), IF(SUM(IF(INDEX(_xlfn._xlws.FILTER(tblPiNHistorical[[CCCM]:[WASH]], tblPiNHistorical[CCCM - old]=K$5), 0, MATCH($Q$2, tblPiNHistorical[[#Headers],[CCCM]:[WASH]], 0))=$H55, 1, 0))=0, "", SUM(IF(INDEX(_xlfn._xlws.FILTER(tblPiNHistorical[[CCCM]:[WASH]], tblPiNHistorical[CCCM - old]=K$5), 0, MATCH($Q$2, tblPiNHistorical[[#Headers],[CCCM]:[WASH]], 0))=$H55, 1, 0))))), "")</f>
        <v/>
      </c>
      <c r="L55" s="93" t="str" cm="1">
        <f t="array" ref="L55">IFERROR(IF(OR($H55="", L54=""), "", IF($H55=2, SUM(IF(INDEX(_xlfn._xlws.FILTER(tblPiNHistorical[[CCCM]:[WASH]],#REF!= L$5), 0, MATCH($Q$2, tblPiNHistorical[[#Headers],[CCCM]:[WASH]], 0))&gt;1.9, 1, 0)), IF(SUM(IF(INDEX(_xlfn._xlws.FILTER(tblPiNHistorical[[CCCM]:[WASH]],#REF!= L$5), 0, MATCH($Q$2, tblPiNHistorical[[#Headers],[CCCM]:[WASH]], 0))=$H55, 1, 0))=0, "", SUM(IF(INDEX(_xlfn._xlws.FILTER(tblPiNHistorical[[CCCM]:[WASH]],#REF!= L$5), 0, MATCH($Q$2, tblPiNHistorical[[#Headers],[CCCM]:[WASH]], 0))=$H55, 1, 0))))), "")</f>
        <v/>
      </c>
      <c r="M55" s="93" t="str" cm="1">
        <f t="array" ref="M55">IFERROR(IF(OR($H55="", M54=""), "", IF($H55=2, SUM(IF(INDEX(_xlfn._xlws.FILTER(tblPiNHistorical[[CCCM]:[WASH]],#REF!= M$5), 0, MATCH($Q$2, tblPiNHistorical[[#Headers],[CCCM]:[WASH]], 0))&gt;1.9, 1, 0)), IF(SUM(IF(INDEX(_xlfn._xlws.FILTER(tblPiNHistorical[[CCCM]:[WASH]],#REF!= M$5), 0, MATCH($Q$2, tblPiNHistorical[[#Headers],[CCCM]:[WASH]], 0))=$H55, 1, 0))=0, "", SUM(IF(INDEX(_xlfn._xlws.FILTER(tblPiNHistorical[[CCCM]:[WASH]],#REF!= M$5), 0, MATCH($Q$2, tblPiNHistorical[[#Headers],[CCCM]:[WASH]], 0))=$H55, 1, 0))))), "")</f>
        <v/>
      </c>
    </row>
    <row r="56" spans="1:13" x14ac:dyDescent="0.55000000000000004">
      <c r="A56" s="95"/>
      <c r="B56" s="93" t="str" cm="1">
        <f t="array" ref="B56">IF($A56="", "", IF(SUM(IF(INDEX(_xlfn._xlws.FILTER(tblPiNAnalysis[[CCCM%]:[WASH%]], tblPiNAnalysis[Population Group]=B$5), 0, MATCH(_xlfn.CONCAT($Q$2, "%"), tblPiNAnalysis[[#Headers],[CCCM%]:[WASH%]], 0))=$A56, 1, 0))=0, "",SUM(IF(INDEX(_xlfn._xlws.FILTER(tblPiNAnalysis[[CCCM%]:[WASH%]], tblPiNAnalysis[Population Group]=B$5), 0, MATCH(_xlfn.CONCAT($Q$2, "%"), tblPiNAnalysis[[#Headers],[CCCM%]:[WASH%]], 0))=$A56, 1, 0))))</f>
        <v/>
      </c>
      <c r="C56" s="93" t="str" cm="1">
        <f t="array" ref="C56">IFERROR(IF(OR($A56="", C$5=""), "", IF(SUM(IF(INDEX(_xlfn._xlws.FILTER(tblPiNAnalysis[[CCCM%]:[WASH%]], tblPiNAnalysis[Population Group]=C$5), 0, MATCH(_xlfn.CONCAT($Q$2, "%"), tblPiNAnalysis[[#Headers],[CCCM%]:[WASH%]], 0))=$A56, 1, 0))=0, "",SUM(IF(INDEX(_xlfn._xlws.FILTER(tblPiNAnalysis[[CCCM%]:[WASH%]], tblPiNAnalysis[Population Group]=C$5), 0, MATCH(_xlfn.CONCAT($Q$2, "%"), tblPiNAnalysis[[#Headers],[CCCM%]:[WASH%]], 0))=$A56, 1, 0)))), "")</f>
        <v/>
      </c>
      <c r="D56" s="93" t="str" cm="1">
        <f t="array" ref="D56">IFERROR(IF(OR($A56="", D$5=""), "", IF(SUM(IF(INDEX(_xlfn._xlws.FILTER(tblPiNAnalysis[[CCCM%]:[WASH%]], tblPiNAnalysis[Population Group]=D$5), 0, MATCH(_xlfn.CONCAT($Q$2, "%"), tblPiNAnalysis[[#Headers],[CCCM%]:[WASH%]], 0))=$A56, 1, 0))=0, "",SUM(IF(INDEX(_xlfn._xlws.FILTER(tblPiNAnalysis[[CCCM%]:[WASH%]], tblPiNAnalysis[Population Group]=D$5), 0, MATCH(_xlfn.CONCAT($Q$2, "%"), tblPiNAnalysis[[#Headers],[CCCM%]:[WASH%]], 0))=$A56, 1, 0)))), "")</f>
        <v/>
      </c>
      <c r="E56" s="93" t="str" cm="1">
        <f t="array" ref="E56">IFERROR(IF(OR($A56="", E$5=""), "", IF(SUM(IF(INDEX(_xlfn._xlws.FILTER(tblPiNAnalysis[[CCCM%]:[WASH%]], tblPiNAnalysis[Population Group]=E$5), 0, MATCH(_xlfn.CONCAT($Q$2, "%"), tblPiNAnalysis[[#Headers],[CCCM%]:[WASH%]], 0))=$A56, 1, 0))=0, "",SUM(IF(INDEX(_xlfn._xlws.FILTER(tblPiNAnalysis[[CCCM%]:[WASH%]], tblPiNAnalysis[Population Group]=E$5), 0, MATCH(_xlfn.CONCAT($Q$2, "%"), tblPiNAnalysis[[#Headers],[CCCM%]:[WASH%]], 0))=$A56, 1, 0)))), "")</f>
        <v/>
      </c>
      <c r="F56" s="93" t="str" cm="1">
        <f t="array" ref="F56">IFERROR(IF(OR($A56="", F$5=""), "", IF(SUM(IF(INDEX(_xlfn._xlws.FILTER(tblPiNAnalysis[[CCCM%]:[WASH%]], tblPiNAnalysis[CCCM]=F$5), 0, MATCH(_xlfn.CONCAT($Q$2, "%"), tblPiNAnalysis[[#Headers],[CCCM%]:[WASH%]], 0))=$A56, 1, 0))=0, "",SUM(IF(INDEX(_xlfn._xlws.FILTER(tblPiNAnalysis[[CCCM%]:[WASH%]], tblPiNAnalysis[CCCM]=F$5), 0, MATCH(_xlfn.CONCAT($Q$2, "%"), tblPiNAnalysis[[#Headers],[CCCM%]:[WASH%]], 0))=$A56, 1, 0)))), "")</f>
        <v/>
      </c>
      <c r="H56" s="95"/>
      <c r="I56" s="93" t="str" cm="1">
        <f t="array" ref="I56">IF($H56="", "", IF($H56=2, SUM(IF(INDEX(_xlfn._xlws.FILTER(tblPiNHistorical[[CCCM]:[WASH]], tblPiNHistorical[Population Group]=I$5), 0, MATCH($Q$2, tblPiNHistorical[[#Headers],[CCCM]:[WASH]], 0))&gt;1.9, 1, 0)), IF(SUM(IF(INDEX(_xlfn._xlws.FILTER(tblPiNHistorical[[CCCM]:[WASH]], tblPiNHistorical[Population Group]=I$5), 0, MATCH($Q$2, tblPiNHistorical[[#Headers],[CCCM]:[WASH]], 0))=$H56, 1, 0))=0, "", SUM(IF(INDEX(_xlfn._xlws.FILTER(tblPiNHistorical[[CCCM]:[WASH]], tblPiNHistorical[Population Group]=I$5), 0, MATCH($Q$2, tblPiNHistorical[[#Headers],[CCCM]:[WASH]], 0))=$H56, 1, 0)))))</f>
        <v/>
      </c>
      <c r="J56" s="93" t="str" cm="1">
        <f t="array" ref="J56">IFERROR(IF(OR($H56="", J55=""), "", IF($H56=2, SUM(IF(INDEX(_xlfn._xlws.FILTER(tblPiNHistorical[[CCCM]:[WASH]], tblPiNHistorical[Population Group]=J$5), 0, MATCH($Q$2, tblPiNHistorical[[#Headers],[CCCM]:[WASH]], 0))&gt;1.9, 1, 0)), IF(SUM(IF(INDEX(_xlfn._xlws.FILTER(tblPiNHistorical[[CCCM]:[WASH]], tblPiNHistorical[Population Group]=J$5), 0, MATCH($Q$2, tblPiNHistorical[[#Headers],[CCCM]:[WASH]], 0))=$H56, 1, 0))=0, "", SUM(IF(INDEX(_xlfn._xlws.FILTER(tblPiNHistorical[[CCCM]:[WASH]], tblPiNHistorical[Population Group]=J$5), 0, MATCH($Q$2, tblPiNHistorical[[#Headers],[CCCM]:[WASH]], 0))=$H56, 1, 0))))), "")</f>
        <v/>
      </c>
      <c r="K56" s="93" t="str" cm="1">
        <f t="array" ref="K56">IFERROR(IF(OR($H56="", K55=""), "", IF($H56=2, SUM(IF(INDEX(_xlfn._xlws.FILTER(tblPiNHistorical[[CCCM]:[WASH]], tblPiNHistorical[CCCM - old]=K$5), 0, MATCH($Q$2, tblPiNHistorical[[#Headers],[CCCM]:[WASH]], 0))&gt;1.9, 1, 0)), IF(SUM(IF(INDEX(_xlfn._xlws.FILTER(tblPiNHistorical[[CCCM]:[WASH]], tblPiNHistorical[CCCM - old]=K$5), 0, MATCH($Q$2, tblPiNHistorical[[#Headers],[CCCM]:[WASH]], 0))=$H56, 1, 0))=0, "", SUM(IF(INDEX(_xlfn._xlws.FILTER(tblPiNHistorical[[CCCM]:[WASH]], tblPiNHistorical[CCCM - old]=K$5), 0, MATCH($Q$2, tblPiNHistorical[[#Headers],[CCCM]:[WASH]], 0))=$H56, 1, 0))))), "")</f>
        <v/>
      </c>
      <c r="L56" s="93" t="str" cm="1">
        <f t="array" ref="L56">IFERROR(IF(OR($H56="", L55=""), "", IF($H56=2, SUM(IF(INDEX(_xlfn._xlws.FILTER(tblPiNHistorical[[CCCM]:[WASH]],#REF!= L$5), 0, MATCH($Q$2, tblPiNHistorical[[#Headers],[CCCM]:[WASH]], 0))&gt;1.9, 1, 0)), IF(SUM(IF(INDEX(_xlfn._xlws.FILTER(tblPiNHistorical[[CCCM]:[WASH]],#REF!= L$5), 0, MATCH($Q$2, tblPiNHistorical[[#Headers],[CCCM]:[WASH]], 0))=$H56, 1, 0))=0, "", SUM(IF(INDEX(_xlfn._xlws.FILTER(tblPiNHistorical[[CCCM]:[WASH]],#REF!= L$5), 0, MATCH($Q$2, tblPiNHistorical[[#Headers],[CCCM]:[WASH]], 0))=$H56, 1, 0))))), "")</f>
        <v/>
      </c>
      <c r="M56" s="93" t="str" cm="1">
        <f t="array" ref="M56">IFERROR(IF(OR($H56="", M55=""), "", IF($H56=2, SUM(IF(INDEX(_xlfn._xlws.FILTER(tblPiNHistorical[[CCCM]:[WASH]],#REF!= M$5), 0, MATCH($Q$2, tblPiNHistorical[[#Headers],[CCCM]:[WASH]], 0))&gt;1.9, 1, 0)), IF(SUM(IF(INDEX(_xlfn._xlws.FILTER(tblPiNHistorical[[CCCM]:[WASH]],#REF!= M$5), 0, MATCH($Q$2, tblPiNHistorical[[#Headers],[CCCM]:[WASH]], 0))=$H56, 1, 0))=0, "", SUM(IF(INDEX(_xlfn._xlws.FILTER(tblPiNHistorical[[CCCM]:[WASH]],#REF!= M$5), 0, MATCH($Q$2, tblPiNHistorical[[#Headers],[CCCM]:[WASH]], 0))=$H56, 1, 0))))), "")</f>
        <v/>
      </c>
    </row>
    <row r="57" spans="1:13" x14ac:dyDescent="0.55000000000000004">
      <c r="A57" s="95"/>
      <c r="B57" s="93" t="str" cm="1">
        <f t="array" ref="B57">IF($A57="", "", IF(SUM(IF(INDEX(_xlfn._xlws.FILTER(tblPiNAnalysis[[CCCM%]:[WASH%]], tblPiNAnalysis[Population Group]=B$5), 0, MATCH(_xlfn.CONCAT($Q$2, "%"), tblPiNAnalysis[[#Headers],[CCCM%]:[WASH%]], 0))=$A57, 1, 0))=0, "",SUM(IF(INDEX(_xlfn._xlws.FILTER(tblPiNAnalysis[[CCCM%]:[WASH%]], tblPiNAnalysis[Population Group]=B$5), 0, MATCH(_xlfn.CONCAT($Q$2, "%"), tblPiNAnalysis[[#Headers],[CCCM%]:[WASH%]], 0))=$A57, 1, 0))))</f>
        <v/>
      </c>
      <c r="C57" s="93" t="str" cm="1">
        <f t="array" ref="C57">IFERROR(IF(OR($A57="", C$5=""), "", IF(SUM(IF(INDEX(_xlfn._xlws.FILTER(tblPiNAnalysis[[CCCM%]:[WASH%]], tblPiNAnalysis[Population Group]=C$5), 0, MATCH(_xlfn.CONCAT($Q$2, "%"), tblPiNAnalysis[[#Headers],[CCCM%]:[WASH%]], 0))=$A57, 1, 0))=0, "",SUM(IF(INDEX(_xlfn._xlws.FILTER(tblPiNAnalysis[[CCCM%]:[WASH%]], tblPiNAnalysis[Population Group]=C$5), 0, MATCH(_xlfn.CONCAT($Q$2, "%"), tblPiNAnalysis[[#Headers],[CCCM%]:[WASH%]], 0))=$A57, 1, 0)))), "")</f>
        <v/>
      </c>
      <c r="D57" s="93" t="str" cm="1">
        <f t="array" ref="D57">IFERROR(IF(OR($A57="", D$5=""), "", IF(SUM(IF(INDEX(_xlfn._xlws.FILTER(tblPiNAnalysis[[CCCM%]:[WASH%]], tblPiNAnalysis[Population Group]=D$5), 0, MATCH(_xlfn.CONCAT($Q$2, "%"), tblPiNAnalysis[[#Headers],[CCCM%]:[WASH%]], 0))=$A57, 1, 0))=0, "",SUM(IF(INDEX(_xlfn._xlws.FILTER(tblPiNAnalysis[[CCCM%]:[WASH%]], tblPiNAnalysis[Population Group]=D$5), 0, MATCH(_xlfn.CONCAT($Q$2, "%"), tblPiNAnalysis[[#Headers],[CCCM%]:[WASH%]], 0))=$A57, 1, 0)))), "")</f>
        <v/>
      </c>
      <c r="E57" s="93" t="str" cm="1">
        <f t="array" ref="E57">IFERROR(IF(OR($A57="", E$5=""), "", IF(SUM(IF(INDEX(_xlfn._xlws.FILTER(tblPiNAnalysis[[CCCM%]:[WASH%]], tblPiNAnalysis[Population Group]=E$5), 0, MATCH(_xlfn.CONCAT($Q$2, "%"), tblPiNAnalysis[[#Headers],[CCCM%]:[WASH%]], 0))=$A57, 1, 0))=0, "",SUM(IF(INDEX(_xlfn._xlws.FILTER(tblPiNAnalysis[[CCCM%]:[WASH%]], tblPiNAnalysis[Population Group]=E$5), 0, MATCH(_xlfn.CONCAT($Q$2, "%"), tblPiNAnalysis[[#Headers],[CCCM%]:[WASH%]], 0))=$A57, 1, 0)))), "")</f>
        <v/>
      </c>
      <c r="F57" s="93" t="str" cm="1">
        <f t="array" ref="F57">IFERROR(IF(OR($A57="", F$5=""), "", IF(SUM(IF(INDEX(_xlfn._xlws.FILTER(tblPiNAnalysis[[CCCM%]:[WASH%]], tblPiNAnalysis[CCCM]=F$5), 0, MATCH(_xlfn.CONCAT($Q$2, "%"), tblPiNAnalysis[[#Headers],[CCCM%]:[WASH%]], 0))=$A57, 1, 0))=0, "",SUM(IF(INDEX(_xlfn._xlws.FILTER(tblPiNAnalysis[[CCCM%]:[WASH%]], tblPiNAnalysis[CCCM]=F$5), 0, MATCH(_xlfn.CONCAT($Q$2, "%"), tblPiNAnalysis[[#Headers],[CCCM%]:[WASH%]], 0))=$A57, 1, 0)))), "")</f>
        <v/>
      </c>
      <c r="H57" s="95"/>
      <c r="I57" s="93" t="str" cm="1">
        <f t="array" ref="I57">IF($H57="", "", IF($H57=2, SUM(IF(INDEX(_xlfn._xlws.FILTER(tblPiNHistorical[[CCCM]:[WASH]], tblPiNHistorical[Population Group]=I$5), 0, MATCH($Q$2, tblPiNHistorical[[#Headers],[CCCM]:[WASH]], 0))&gt;1.9, 1, 0)), IF(SUM(IF(INDEX(_xlfn._xlws.FILTER(tblPiNHistorical[[CCCM]:[WASH]], tblPiNHistorical[Population Group]=I$5), 0, MATCH($Q$2, tblPiNHistorical[[#Headers],[CCCM]:[WASH]], 0))=$H57, 1, 0))=0, "", SUM(IF(INDEX(_xlfn._xlws.FILTER(tblPiNHistorical[[CCCM]:[WASH]], tblPiNHistorical[Population Group]=I$5), 0, MATCH($Q$2, tblPiNHistorical[[#Headers],[CCCM]:[WASH]], 0))=$H57, 1, 0)))))</f>
        <v/>
      </c>
      <c r="J57" s="93" t="str" cm="1">
        <f t="array" ref="J57">IFERROR(IF(OR($H57="", J56=""), "", IF($H57=2, SUM(IF(INDEX(_xlfn._xlws.FILTER(tblPiNHistorical[[CCCM]:[WASH]], tblPiNHistorical[Population Group]=J$5), 0, MATCH($Q$2, tblPiNHistorical[[#Headers],[CCCM]:[WASH]], 0))&gt;1.9, 1, 0)), IF(SUM(IF(INDEX(_xlfn._xlws.FILTER(tblPiNHistorical[[CCCM]:[WASH]], tblPiNHistorical[Population Group]=J$5), 0, MATCH($Q$2, tblPiNHistorical[[#Headers],[CCCM]:[WASH]], 0))=$H57, 1, 0))=0, "", SUM(IF(INDEX(_xlfn._xlws.FILTER(tblPiNHistorical[[CCCM]:[WASH]], tblPiNHistorical[Population Group]=J$5), 0, MATCH($Q$2, tblPiNHistorical[[#Headers],[CCCM]:[WASH]], 0))=$H57, 1, 0))))), "")</f>
        <v/>
      </c>
      <c r="K57" s="93" t="str" cm="1">
        <f t="array" ref="K57">IFERROR(IF(OR($H57="", K56=""), "", IF($H57=2, SUM(IF(INDEX(_xlfn._xlws.FILTER(tblPiNHistorical[[CCCM]:[WASH]], tblPiNHistorical[CCCM - old]=K$5), 0, MATCH($Q$2, tblPiNHistorical[[#Headers],[CCCM]:[WASH]], 0))&gt;1.9, 1, 0)), IF(SUM(IF(INDEX(_xlfn._xlws.FILTER(tblPiNHistorical[[CCCM]:[WASH]], tblPiNHistorical[CCCM - old]=K$5), 0, MATCH($Q$2, tblPiNHistorical[[#Headers],[CCCM]:[WASH]], 0))=$H57, 1, 0))=0, "", SUM(IF(INDEX(_xlfn._xlws.FILTER(tblPiNHistorical[[CCCM]:[WASH]], tblPiNHistorical[CCCM - old]=K$5), 0, MATCH($Q$2, tblPiNHistorical[[#Headers],[CCCM]:[WASH]], 0))=$H57, 1, 0))))), "")</f>
        <v/>
      </c>
      <c r="L57" s="93" t="str" cm="1">
        <f t="array" ref="L57">IFERROR(IF(OR($H57="", L56=""), "", IF($H57=2, SUM(IF(INDEX(_xlfn._xlws.FILTER(tblPiNHistorical[[CCCM]:[WASH]],#REF!= L$5), 0, MATCH($Q$2, tblPiNHistorical[[#Headers],[CCCM]:[WASH]], 0))&gt;1.9, 1, 0)), IF(SUM(IF(INDEX(_xlfn._xlws.FILTER(tblPiNHistorical[[CCCM]:[WASH]],#REF!= L$5), 0, MATCH($Q$2, tblPiNHistorical[[#Headers],[CCCM]:[WASH]], 0))=$H57, 1, 0))=0, "", SUM(IF(INDEX(_xlfn._xlws.FILTER(tblPiNHistorical[[CCCM]:[WASH]],#REF!= L$5), 0, MATCH($Q$2, tblPiNHistorical[[#Headers],[CCCM]:[WASH]], 0))=$H57, 1, 0))))), "")</f>
        <v/>
      </c>
      <c r="M57" s="93" t="str" cm="1">
        <f t="array" ref="M57">IFERROR(IF(OR($H57="", M56=""), "", IF($H57=2, SUM(IF(INDEX(_xlfn._xlws.FILTER(tblPiNHistorical[[CCCM]:[WASH]],#REF!= M$5), 0, MATCH($Q$2, tblPiNHistorical[[#Headers],[CCCM]:[WASH]], 0))&gt;1.9, 1, 0)), IF(SUM(IF(INDEX(_xlfn._xlws.FILTER(tblPiNHistorical[[CCCM]:[WASH]],#REF!= M$5), 0, MATCH($Q$2, tblPiNHistorical[[#Headers],[CCCM]:[WASH]], 0))=$H57, 1, 0))=0, "", SUM(IF(INDEX(_xlfn._xlws.FILTER(tblPiNHistorical[[CCCM]:[WASH]],#REF!= M$5), 0, MATCH($Q$2, tblPiNHistorical[[#Headers],[CCCM]:[WASH]], 0))=$H57, 1, 0))))), "")</f>
        <v/>
      </c>
    </row>
    <row r="58" spans="1:13" x14ac:dyDescent="0.55000000000000004">
      <c r="A58" s="95"/>
      <c r="B58" s="93" t="str" cm="1">
        <f t="array" ref="B58">IF($A58="", "", IF(SUM(IF(INDEX(_xlfn._xlws.FILTER(tblPiNAnalysis[[CCCM%]:[WASH%]], tblPiNAnalysis[Population Group]=B$5), 0, MATCH(_xlfn.CONCAT($Q$2, "%"), tblPiNAnalysis[[#Headers],[CCCM%]:[WASH%]], 0))=$A58, 1, 0))=0, "",SUM(IF(INDEX(_xlfn._xlws.FILTER(tblPiNAnalysis[[CCCM%]:[WASH%]], tblPiNAnalysis[Population Group]=B$5), 0, MATCH(_xlfn.CONCAT($Q$2, "%"), tblPiNAnalysis[[#Headers],[CCCM%]:[WASH%]], 0))=$A58, 1, 0))))</f>
        <v/>
      </c>
      <c r="C58" s="93" t="str" cm="1">
        <f t="array" ref="C58">IFERROR(IF(OR($A58="", C$5=""), "", IF(SUM(IF(INDEX(_xlfn._xlws.FILTER(tblPiNAnalysis[[CCCM%]:[WASH%]], tblPiNAnalysis[Population Group]=C$5), 0, MATCH(_xlfn.CONCAT($Q$2, "%"), tblPiNAnalysis[[#Headers],[CCCM%]:[WASH%]], 0))=$A58, 1, 0))=0, "",SUM(IF(INDEX(_xlfn._xlws.FILTER(tblPiNAnalysis[[CCCM%]:[WASH%]], tblPiNAnalysis[Population Group]=C$5), 0, MATCH(_xlfn.CONCAT($Q$2, "%"), tblPiNAnalysis[[#Headers],[CCCM%]:[WASH%]], 0))=$A58, 1, 0)))), "")</f>
        <v/>
      </c>
      <c r="D58" s="93" t="str" cm="1">
        <f t="array" ref="D58">IFERROR(IF(OR($A58="", D$5=""), "", IF(SUM(IF(INDEX(_xlfn._xlws.FILTER(tblPiNAnalysis[[CCCM%]:[WASH%]], tblPiNAnalysis[Population Group]=D$5), 0, MATCH(_xlfn.CONCAT($Q$2, "%"), tblPiNAnalysis[[#Headers],[CCCM%]:[WASH%]], 0))=$A58, 1, 0))=0, "",SUM(IF(INDEX(_xlfn._xlws.FILTER(tblPiNAnalysis[[CCCM%]:[WASH%]], tblPiNAnalysis[Population Group]=D$5), 0, MATCH(_xlfn.CONCAT($Q$2, "%"), tblPiNAnalysis[[#Headers],[CCCM%]:[WASH%]], 0))=$A58, 1, 0)))), "")</f>
        <v/>
      </c>
      <c r="E58" s="93" t="str" cm="1">
        <f t="array" ref="E58">IFERROR(IF(OR($A58="", E$5=""), "", IF(SUM(IF(INDEX(_xlfn._xlws.FILTER(tblPiNAnalysis[[CCCM%]:[WASH%]], tblPiNAnalysis[Population Group]=E$5), 0, MATCH(_xlfn.CONCAT($Q$2, "%"), tblPiNAnalysis[[#Headers],[CCCM%]:[WASH%]], 0))=$A58, 1, 0))=0, "",SUM(IF(INDEX(_xlfn._xlws.FILTER(tblPiNAnalysis[[CCCM%]:[WASH%]], tblPiNAnalysis[Population Group]=E$5), 0, MATCH(_xlfn.CONCAT($Q$2, "%"), tblPiNAnalysis[[#Headers],[CCCM%]:[WASH%]], 0))=$A58, 1, 0)))), "")</f>
        <v/>
      </c>
      <c r="F58" s="93" t="str" cm="1">
        <f t="array" ref="F58">IFERROR(IF(OR($A58="", F$5=""), "", IF(SUM(IF(INDEX(_xlfn._xlws.FILTER(tblPiNAnalysis[[CCCM%]:[WASH%]], tblPiNAnalysis[CCCM]=F$5), 0, MATCH(_xlfn.CONCAT($Q$2, "%"), tblPiNAnalysis[[#Headers],[CCCM%]:[WASH%]], 0))=$A58, 1, 0))=0, "",SUM(IF(INDEX(_xlfn._xlws.FILTER(tblPiNAnalysis[[CCCM%]:[WASH%]], tblPiNAnalysis[CCCM]=F$5), 0, MATCH(_xlfn.CONCAT($Q$2, "%"), tblPiNAnalysis[[#Headers],[CCCM%]:[WASH%]], 0))=$A58, 1, 0)))), "")</f>
        <v/>
      </c>
      <c r="H58" s="95"/>
      <c r="I58" s="93" t="str" cm="1">
        <f t="array" ref="I58">IF($H58="", "", IF($H58=2, SUM(IF(INDEX(_xlfn._xlws.FILTER(tblPiNHistorical[[CCCM]:[WASH]], tblPiNHistorical[Population Group]=I$5), 0, MATCH($Q$2, tblPiNHistorical[[#Headers],[CCCM]:[WASH]], 0))&gt;1.9, 1, 0)), IF(SUM(IF(INDEX(_xlfn._xlws.FILTER(tblPiNHistorical[[CCCM]:[WASH]], tblPiNHistorical[Population Group]=I$5), 0, MATCH($Q$2, tblPiNHistorical[[#Headers],[CCCM]:[WASH]], 0))=$H58, 1, 0))=0, "", SUM(IF(INDEX(_xlfn._xlws.FILTER(tblPiNHistorical[[CCCM]:[WASH]], tblPiNHistorical[Population Group]=I$5), 0, MATCH($Q$2, tblPiNHistorical[[#Headers],[CCCM]:[WASH]], 0))=$H58, 1, 0)))))</f>
        <v/>
      </c>
      <c r="J58" s="93" t="str" cm="1">
        <f t="array" ref="J58">IFERROR(IF(OR($H58="", J57=""), "", IF($H58=2, SUM(IF(INDEX(_xlfn._xlws.FILTER(tblPiNHistorical[[CCCM]:[WASH]], tblPiNHistorical[Population Group]=J$5), 0, MATCH($Q$2, tblPiNHistorical[[#Headers],[CCCM]:[WASH]], 0))&gt;1.9, 1, 0)), IF(SUM(IF(INDEX(_xlfn._xlws.FILTER(tblPiNHistorical[[CCCM]:[WASH]], tblPiNHistorical[Population Group]=J$5), 0, MATCH($Q$2, tblPiNHistorical[[#Headers],[CCCM]:[WASH]], 0))=$H58, 1, 0))=0, "", SUM(IF(INDEX(_xlfn._xlws.FILTER(tblPiNHistorical[[CCCM]:[WASH]], tblPiNHistorical[Population Group]=J$5), 0, MATCH($Q$2, tblPiNHistorical[[#Headers],[CCCM]:[WASH]], 0))=$H58, 1, 0))))), "")</f>
        <v/>
      </c>
      <c r="K58" s="93" t="str" cm="1">
        <f t="array" ref="K58">IFERROR(IF(OR($H58="", K57=""), "", IF($H58=2, SUM(IF(INDEX(_xlfn._xlws.FILTER(tblPiNHistorical[[CCCM]:[WASH]], tblPiNHistorical[CCCM - old]=K$5), 0, MATCH($Q$2, tblPiNHistorical[[#Headers],[CCCM]:[WASH]], 0))&gt;1.9, 1, 0)), IF(SUM(IF(INDEX(_xlfn._xlws.FILTER(tblPiNHistorical[[CCCM]:[WASH]], tblPiNHistorical[CCCM - old]=K$5), 0, MATCH($Q$2, tblPiNHistorical[[#Headers],[CCCM]:[WASH]], 0))=$H58, 1, 0))=0, "", SUM(IF(INDEX(_xlfn._xlws.FILTER(tblPiNHistorical[[CCCM]:[WASH]], tblPiNHistorical[CCCM - old]=K$5), 0, MATCH($Q$2, tblPiNHistorical[[#Headers],[CCCM]:[WASH]], 0))=$H58, 1, 0))))), "")</f>
        <v/>
      </c>
      <c r="L58" s="93" t="str" cm="1">
        <f t="array" ref="L58">IFERROR(IF(OR($H58="", L57=""), "", IF($H58=2, SUM(IF(INDEX(_xlfn._xlws.FILTER(tblPiNHistorical[[CCCM]:[WASH]],#REF!= L$5), 0, MATCH($Q$2, tblPiNHistorical[[#Headers],[CCCM]:[WASH]], 0))&gt;1.9, 1, 0)), IF(SUM(IF(INDEX(_xlfn._xlws.FILTER(tblPiNHistorical[[CCCM]:[WASH]],#REF!= L$5), 0, MATCH($Q$2, tblPiNHistorical[[#Headers],[CCCM]:[WASH]], 0))=$H58, 1, 0))=0, "", SUM(IF(INDEX(_xlfn._xlws.FILTER(tblPiNHistorical[[CCCM]:[WASH]],#REF!= L$5), 0, MATCH($Q$2, tblPiNHistorical[[#Headers],[CCCM]:[WASH]], 0))=$H58, 1, 0))))), "")</f>
        <v/>
      </c>
      <c r="M58" s="93" t="str" cm="1">
        <f t="array" ref="M58">IFERROR(IF(OR($H58="", M57=""), "", IF($H58=2, SUM(IF(INDEX(_xlfn._xlws.FILTER(tblPiNHistorical[[CCCM]:[WASH]],#REF!= M$5), 0, MATCH($Q$2, tblPiNHistorical[[#Headers],[CCCM]:[WASH]], 0))&gt;1.9, 1, 0)), IF(SUM(IF(INDEX(_xlfn._xlws.FILTER(tblPiNHistorical[[CCCM]:[WASH]],#REF!= M$5), 0, MATCH($Q$2, tblPiNHistorical[[#Headers],[CCCM]:[WASH]], 0))=$H58, 1, 0))=0, "", SUM(IF(INDEX(_xlfn._xlws.FILTER(tblPiNHistorical[[CCCM]:[WASH]],#REF!= M$5), 0, MATCH($Q$2, tblPiNHistorical[[#Headers],[CCCM]:[WASH]], 0))=$H58, 1, 0))))), "")</f>
        <v/>
      </c>
    </row>
    <row r="59" spans="1:13" x14ac:dyDescent="0.55000000000000004">
      <c r="A59" s="95"/>
      <c r="B59" s="93" t="str" cm="1">
        <f t="array" ref="B59">IF($A59="", "", IF(SUM(IF(INDEX(_xlfn._xlws.FILTER(tblPiNAnalysis[[CCCM%]:[WASH%]], tblPiNAnalysis[Population Group]=B$5), 0, MATCH(_xlfn.CONCAT($Q$2, "%"), tblPiNAnalysis[[#Headers],[CCCM%]:[WASH%]], 0))=$A59, 1, 0))=0, "",SUM(IF(INDEX(_xlfn._xlws.FILTER(tblPiNAnalysis[[CCCM%]:[WASH%]], tblPiNAnalysis[Population Group]=B$5), 0, MATCH(_xlfn.CONCAT($Q$2, "%"), tblPiNAnalysis[[#Headers],[CCCM%]:[WASH%]], 0))=$A59, 1, 0))))</f>
        <v/>
      </c>
      <c r="C59" s="93" t="str" cm="1">
        <f t="array" ref="C59">IFERROR(IF(OR($A59="", C$5=""), "", IF(SUM(IF(INDEX(_xlfn._xlws.FILTER(tblPiNAnalysis[[CCCM%]:[WASH%]], tblPiNAnalysis[Population Group]=C$5), 0, MATCH(_xlfn.CONCAT($Q$2, "%"), tblPiNAnalysis[[#Headers],[CCCM%]:[WASH%]], 0))=$A59, 1, 0))=0, "",SUM(IF(INDEX(_xlfn._xlws.FILTER(tblPiNAnalysis[[CCCM%]:[WASH%]], tblPiNAnalysis[Population Group]=C$5), 0, MATCH(_xlfn.CONCAT($Q$2, "%"), tblPiNAnalysis[[#Headers],[CCCM%]:[WASH%]], 0))=$A59, 1, 0)))), "")</f>
        <v/>
      </c>
      <c r="D59" s="93" t="str" cm="1">
        <f t="array" ref="D59">IFERROR(IF(OR($A59="", D$5=""), "", IF(SUM(IF(INDEX(_xlfn._xlws.FILTER(tblPiNAnalysis[[CCCM%]:[WASH%]], tblPiNAnalysis[Population Group]=D$5), 0, MATCH(_xlfn.CONCAT($Q$2, "%"), tblPiNAnalysis[[#Headers],[CCCM%]:[WASH%]], 0))=$A59, 1, 0))=0, "",SUM(IF(INDEX(_xlfn._xlws.FILTER(tblPiNAnalysis[[CCCM%]:[WASH%]], tblPiNAnalysis[Population Group]=D$5), 0, MATCH(_xlfn.CONCAT($Q$2, "%"), tblPiNAnalysis[[#Headers],[CCCM%]:[WASH%]], 0))=$A59, 1, 0)))), "")</f>
        <v/>
      </c>
      <c r="E59" s="93" t="str" cm="1">
        <f t="array" ref="E59">IFERROR(IF(OR($A59="", E$5=""), "", IF(SUM(IF(INDEX(_xlfn._xlws.FILTER(tblPiNAnalysis[[CCCM%]:[WASH%]], tblPiNAnalysis[Population Group]=E$5), 0, MATCH(_xlfn.CONCAT($Q$2, "%"), tblPiNAnalysis[[#Headers],[CCCM%]:[WASH%]], 0))=$A59, 1, 0))=0, "",SUM(IF(INDEX(_xlfn._xlws.FILTER(tblPiNAnalysis[[CCCM%]:[WASH%]], tblPiNAnalysis[Population Group]=E$5), 0, MATCH(_xlfn.CONCAT($Q$2, "%"), tblPiNAnalysis[[#Headers],[CCCM%]:[WASH%]], 0))=$A59, 1, 0)))), "")</f>
        <v/>
      </c>
      <c r="F59" s="93" t="str" cm="1">
        <f t="array" ref="F59">IFERROR(IF(OR($A59="", F$5=""), "", IF(SUM(IF(INDEX(_xlfn._xlws.FILTER(tblPiNAnalysis[[CCCM%]:[WASH%]], tblPiNAnalysis[CCCM]=F$5), 0, MATCH(_xlfn.CONCAT($Q$2, "%"), tblPiNAnalysis[[#Headers],[CCCM%]:[WASH%]], 0))=$A59, 1, 0))=0, "",SUM(IF(INDEX(_xlfn._xlws.FILTER(tblPiNAnalysis[[CCCM%]:[WASH%]], tblPiNAnalysis[CCCM]=F$5), 0, MATCH(_xlfn.CONCAT($Q$2, "%"), tblPiNAnalysis[[#Headers],[CCCM%]:[WASH%]], 0))=$A59, 1, 0)))), "")</f>
        <v/>
      </c>
      <c r="H59" s="95"/>
      <c r="I59" s="93" t="str" cm="1">
        <f t="array" ref="I59">IF($H59="", "", IF($H59=2, SUM(IF(INDEX(_xlfn._xlws.FILTER(tblPiNHistorical[[CCCM]:[WASH]], tblPiNHistorical[Population Group]=I$5), 0, MATCH($Q$2, tblPiNHistorical[[#Headers],[CCCM]:[WASH]], 0))&gt;1.9, 1, 0)), IF(SUM(IF(INDEX(_xlfn._xlws.FILTER(tblPiNHistorical[[CCCM]:[WASH]], tblPiNHistorical[Population Group]=I$5), 0, MATCH($Q$2, tblPiNHistorical[[#Headers],[CCCM]:[WASH]], 0))=$H59, 1, 0))=0, "", SUM(IF(INDEX(_xlfn._xlws.FILTER(tblPiNHistorical[[CCCM]:[WASH]], tblPiNHistorical[Population Group]=I$5), 0, MATCH($Q$2, tblPiNHistorical[[#Headers],[CCCM]:[WASH]], 0))=$H59, 1, 0)))))</f>
        <v/>
      </c>
      <c r="J59" s="93" t="str" cm="1">
        <f t="array" ref="J59">IFERROR(IF(OR($H59="", J58=""), "", IF($H59=2, SUM(IF(INDEX(_xlfn._xlws.FILTER(tblPiNHistorical[[CCCM]:[WASH]], tblPiNHistorical[Population Group]=J$5), 0, MATCH($Q$2, tblPiNHistorical[[#Headers],[CCCM]:[WASH]], 0))&gt;1.9, 1, 0)), IF(SUM(IF(INDEX(_xlfn._xlws.FILTER(tblPiNHistorical[[CCCM]:[WASH]], tblPiNHistorical[Population Group]=J$5), 0, MATCH($Q$2, tblPiNHistorical[[#Headers],[CCCM]:[WASH]], 0))=$H59, 1, 0))=0, "", SUM(IF(INDEX(_xlfn._xlws.FILTER(tblPiNHistorical[[CCCM]:[WASH]], tblPiNHistorical[Population Group]=J$5), 0, MATCH($Q$2, tblPiNHistorical[[#Headers],[CCCM]:[WASH]], 0))=$H59, 1, 0))))), "")</f>
        <v/>
      </c>
      <c r="K59" s="93" t="str" cm="1">
        <f t="array" ref="K59">IFERROR(IF(OR($H59="", K58=""), "", IF($H59=2, SUM(IF(INDEX(_xlfn._xlws.FILTER(tblPiNHistorical[[CCCM]:[WASH]], tblPiNHistorical[CCCM - old]=K$5), 0, MATCH($Q$2, tblPiNHistorical[[#Headers],[CCCM]:[WASH]], 0))&gt;1.9, 1, 0)), IF(SUM(IF(INDEX(_xlfn._xlws.FILTER(tblPiNHistorical[[CCCM]:[WASH]], tblPiNHistorical[CCCM - old]=K$5), 0, MATCH($Q$2, tblPiNHistorical[[#Headers],[CCCM]:[WASH]], 0))=$H59, 1, 0))=0, "", SUM(IF(INDEX(_xlfn._xlws.FILTER(tblPiNHistorical[[CCCM]:[WASH]], tblPiNHistorical[CCCM - old]=K$5), 0, MATCH($Q$2, tblPiNHistorical[[#Headers],[CCCM]:[WASH]], 0))=$H59, 1, 0))))), "")</f>
        <v/>
      </c>
      <c r="L59" s="93" t="str" cm="1">
        <f t="array" ref="L59">IFERROR(IF(OR($H59="", L58=""), "", IF($H59=2, SUM(IF(INDEX(_xlfn._xlws.FILTER(tblPiNHistorical[[CCCM]:[WASH]],#REF!= L$5), 0, MATCH($Q$2, tblPiNHistorical[[#Headers],[CCCM]:[WASH]], 0))&gt;1.9, 1, 0)), IF(SUM(IF(INDEX(_xlfn._xlws.FILTER(tblPiNHistorical[[CCCM]:[WASH]],#REF!= L$5), 0, MATCH($Q$2, tblPiNHistorical[[#Headers],[CCCM]:[WASH]], 0))=$H59, 1, 0))=0, "", SUM(IF(INDEX(_xlfn._xlws.FILTER(tblPiNHistorical[[CCCM]:[WASH]],#REF!= L$5), 0, MATCH($Q$2, tblPiNHistorical[[#Headers],[CCCM]:[WASH]], 0))=$H59, 1, 0))))), "")</f>
        <v/>
      </c>
      <c r="M59" s="93" t="str" cm="1">
        <f t="array" ref="M59">IFERROR(IF(OR($H59="", M58=""), "", IF($H59=2, SUM(IF(INDEX(_xlfn._xlws.FILTER(tblPiNHistorical[[CCCM]:[WASH]],#REF!= M$5), 0, MATCH($Q$2, tblPiNHistorical[[#Headers],[CCCM]:[WASH]], 0))&gt;1.9, 1, 0)), IF(SUM(IF(INDEX(_xlfn._xlws.FILTER(tblPiNHistorical[[CCCM]:[WASH]],#REF!= M$5), 0, MATCH($Q$2, tblPiNHistorical[[#Headers],[CCCM]:[WASH]], 0))=$H59, 1, 0))=0, "", SUM(IF(INDEX(_xlfn._xlws.FILTER(tblPiNHistorical[[CCCM]:[WASH]],#REF!= M$5), 0, MATCH($Q$2, tblPiNHistorical[[#Headers],[CCCM]:[WASH]], 0))=$H59, 1, 0))))), "")</f>
        <v/>
      </c>
    </row>
    <row r="60" spans="1:13" x14ac:dyDescent="0.55000000000000004">
      <c r="A60" s="95"/>
      <c r="B60" s="93" t="str" cm="1">
        <f t="array" ref="B60">IF($A60="", "", IF(SUM(IF(INDEX(_xlfn._xlws.FILTER(tblPiNAnalysis[[CCCM%]:[WASH%]], tblPiNAnalysis[Population Group]=B$5), 0, MATCH(_xlfn.CONCAT($Q$2, "%"), tblPiNAnalysis[[#Headers],[CCCM%]:[WASH%]], 0))=$A60, 1, 0))=0, "",SUM(IF(INDEX(_xlfn._xlws.FILTER(tblPiNAnalysis[[CCCM%]:[WASH%]], tblPiNAnalysis[Population Group]=B$5), 0, MATCH(_xlfn.CONCAT($Q$2, "%"), tblPiNAnalysis[[#Headers],[CCCM%]:[WASH%]], 0))=$A60, 1, 0))))</f>
        <v/>
      </c>
      <c r="C60" s="93" t="str" cm="1">
        <f t="array" ref="C60">IFERROR(IF(OR($A60="", C$5=""), "", IF(SUM(IF(INDEX(_xlfn._xlws.FILTER(tblPiNAnalysis[[CCCM%]:[WASH%]], tblPiNAnalysis[Population Group]=C$5), 0, MATCH(_xlfn.CONCAT($Q$2, "%"), tblPiNAnalysis[[#Headers],[CCCM%]:[WASH%]], 0))=$A60, 1, 0))=0, "",SUM(IF(INDEX(_xlfn._xlws.FILTER(tblPiNAnalysis[[CCCM%]:[WASH%]], tblPiNAnalysis[Population Group]=C$5), 0, MATCH(_xlfn.CONCAT($Q$2, "%"), tblPiNAnalysis[[#Headers],[CCCM%]:[WASH%]], 0))=$A60, 1, 0)))), "")</f>
        <v/>
      </c>
      <c r="D60" s="93" t="str" cm="1">
        <f t="array" ref="D60">IFERROR(IF(OR($A60="", D$5=""), "", IF(SUM(IF(INDEX(_xlfn._xlws.FILTER(tblPiNAnalysis[[CCCM%]:[WASH%]], tblPiNAnalysis[Population Group]=D$5), 0, MATCH(_xlfn.CONCAT($Q$2, "%"), tblPiNAnalysis[[#Headers],[CCCM%]:[WASH%]], 0))=$A60, 1, 0))=0, "",SUM(IF(INDEX(_xlfn._xlws.FILTER(tblPiNAnalysis[[CCCM%]:[WASH%]], tblPiNAnalysis[Population Group]=D$5), 0, MATCH(_xlfn.CONCAT($Q$2, "%"), tblPiNAnalysis[[#Headers],[CCCM%]:[WASH%]], 0))=$A60, 1, 0)))), "")</f>
        <v/>
      </c>
      <c r="E60" s="93" t="str" cm="1">
        <f t="array" ref="E60">IFERROR(IF(OR($A60="", E$5=""), "", IF(SUM(IF(INDEX(_xlfn._xlws.FILTER(tblPiNAnalysis[[CCCM%]:[WASH%]], tblPiNAnalysis[Population Group]=E$5), 0, MATCH(_xlfn.CONCAT($Q$2, "%"), tblPiNAnalysis[[#Headers],[CCCM%]:[WASH%]], 0))=$A60, 1, 0))=0, "",SUM(IF(INDEX(_xlfn._xlws.FILTER(tblPiNAnalysis[[CCCM%]:[WASH%]], tblPiNAnalysis[Population Group]=E$5), 0, MATCH(_xlfn.CONCAT($Q$2, "%"), tblPiNAnalysis[[#Headers],[CCCM%]:[WASH%]], 0))=$A60, 1, 0)))), "")</f>
        <v/>
      </c>
      <c r="F60" s="93" t="str" cm="1">
        <f t="array" ref="F60">IFERROR(IF(OR($A60="", F$5=""), "", IF(SUM(IF(INDEX(_xlfn._xlws.FILTER(tblPiNAnalysis[[CCCM%]:[WASH%]], tblPiNAnalysis[CCCM]=F$5), 0, MATCH(_xlfn.CONCAT($Q$2, "%"), tblPiNAnalysis[[#Headers],[CCCM%]:[WASH%]], 0))=$A60, 1, 0))=0, "",SUM(IF(INDEX(_xlfn._xlws.FILTER(tblPiNAnalysis[[CCCM%]:[WASH%]], tblPiNAnalysis[CCCM]=F$5), 0, MATCH(_xlfn.CONCAT($Q$2, "%"), tblPiNAnalysis[[#Headers],[CCCM%]:[WASH%]], 0))=$A60, 1, 0)))), "")</f>
        <v/>
      </c>
      <c r="H60" s="95"/>
      <c r="I60" s="93" t="str" cm="1">
        <f t="array" ref="I60">IF($H60="", "", IF($H60=2, SUM(IF(INDEX(_xlfn._xlws.FILTER(tblPiNHistorical[[CCCM]:[WASH]], tblPiNHistorical[Population Group]=I$5), 0, MATCH($Q$2, tblPiNHistorical[[#Headers],[CCCM]:[WASH]], 0))&gt;1.9, 1, 0)), IF(SUM(IF(INDEX(_xlfn._xlws.FILTER(tblPiNHistorical[[CCCM]:[WASH]], tblPiNHistorical[Population Group]=I$5), 0, MATCH($Q$2, tblPiNHistorical[[#Headers],[CCCM]:[WASH]], 0))=$H60, 1, 0))=0, "", SUM(IF(INDEX(_xlfn._xlws.FILTER(tblPiNHistorical[[CCCM]:[WASH]], tblPiNHistorical[Population Group]=I$5), 0, MATCH($Q$2, tblPiNHistorical[[#Headers],[CCCM]:[WASH]], 0))=$H60, 1, 0)))))</f>
        <v/>
      </c>
      <c r="J60" s="93" t="str" cm="1">
        <f t="array" ref="J60">IFERROR(IF(OR($H60="", J59=""), "", IF($H60=2, SUM(IF(INDEX(_xlfn._xlws.FILTER(tblPiNHistorical[[CCCM]:[WASH]], tblPiNHistorical[Population Group]=J$5), 0, MATCH($Q$2, tblPiNHistorical[[#Headers],[CCCM]:[WASH]], 0))&gt;1.9, 1, 0)), IF(SUM(IF(INDEX(_xlfn._xlws.FILTER(tblPiNHistorical[[CCCM]:[WASH]], tblPiNHistorical[Population Group]=J$5), 0, MATCH($Q$2, tblPiNHistorical[[#Headers],[CCCM]:[WASH]], 0))=$H60, 1, 0))=0, "", SUM(IF(INDEX(_xlfn._xlws.FILTER(tblPiNHistorical[[CCCM]:[WASH]], tblPiNHistorical[Population Group]=J$5), 0, MATCH($Q$2, tblPiNHistorical[[#Headers],[CCCM]:[WASH]], 0))=$H60, 1, 0))))), "")</f>
        <v/>
      </c>
      <c r="K60" s="93" t="str" cm="1">
        <f t="array" ref="K60">IFERROR(IF(OR($H60="", K59=""), "", IF($H60=2, SUM(IF(INDEX(_xlfn._xlws.FILTER(tblPiNHistorical[[CCCM]:[WASH]], tblPiNHistorical[CCCM - old]=K$5), 0, MATCH($Q$2, tblPiNHistorical[[#Headers],[CCCM]:[WASH]], 0))&gt;1.9, 1, 0)), IF(SUM(IF(INDEX(_xlfn._xlws.FILTER(tblPiNHistorical[[CCCM]:[WASH]], tblPiNHistorical[CCCM - old]=K$5), 0, MATCH($Q$2, tblPiNHistorical[[#Headers],[CCCM]:[WASH]], 0))=$H60, 1, 0))=0, "", SUM(IF(INDEX(_xlfn._xlws.FILTER(tblPiNHistorical[[CCCM]:[WASH]], tblPiNHistorical[CCCM - old]=K$5), 0, MATCH($Q$2, tblPiNHistorical[[#Headers],[CCCM]:[WASH]], 0))=$H60, 1, 0))))), "")</f>
        <v/>
      </c>
      <c r="L60" s="93" t="str" cm="1">
        <f t="array" ref="L60">IFERROR(IF(OR($H60="", L59=""), "", IF($H60=2, SUM(IF(INDEX(_xlfn._xlws.FILTER(tblPiNHistorical[[CCCM]:[WASH]],#REF!= L$5), 0, MATCH($Q$2, tblPiNHistorical[[#Headers],[CCCM]:[WASH]], 0))&gt;1.9, 1, 0)), IF(SUM(IF(INDEX(_xlfn._xlws.FILTER(tblPiNHistorical[[CCCM]:[WASH]],#REF!= L$5), 0, MATCH($Q$2, tblPiNHistorical[[#Headers],[CCCM]:[WASH]], 0))=$H60, 1, 0))=0, "", SUM(IF(INDEX(_xlfn._xlws.FILTER(tblPiNHistorical[[CCCM]:[WASH]],#REF!= L$5), 0, MATCH($Q$2, tblPiNHistorical[[#Headers],[CCCM]:[WASH]], 0))=$H60, 1, 0))))), "")</f>
        <v/>
      </c>
      <c r="M60" s="93" t="str" cm="1">
        <f t="array" ref="M60">IFERROR(IF(OR($H60="", M59=""), "", IF($H60=2, SUM(IF(INDEX(_xlfn._xlws.FILTER(tblPiNHistorical[[CCCM]:[WASH]],#REF!= M$5), 0, MATCH($Q$2, tblPiNHistorical[[#Headers],[CCCM]:[WASH]], 0))&gt;1.9, 1, 0)), IF(SUM(IF(INDEX(_xlfn._xlws.FILTER(tblPiNHistorical[[CCCM]:[WASH]],#REF!= M$5), 0, MATCH($Q$2, tblPiNHistorical[[#Headers],[CCCM]:[WASH]], 0))=$H60, 1, 0))=0, "", SUM(IF(INDEX(_xlfn._xlws.FILTER(tblPiNHistorical[[CCCM]:[WASH]],#REF!= M$5), 0, MATCH($Q$2, tblPiNHistorical[[#Headers],[CCCM]:[WASH]], 0))=$H60, 1, 0))))), "")</f>
        <v/>
      </c>
    </row>
    <row r="61" spans="1:13" x14ac:dyDescent="0.55000000000000004">
      <c r="A61" s="95"/>
      <c r="B61" s="93" t="str" cm="1">
        <f t="array" ref="B61">IF($A61="", "", IF(SUM(IF(INDEX(_xlfn._xlws.FILTER(tblPiNAnalysis[[CCCM%]:[WASH%]], tblPiNAnalysis[Population Group]=B$5), 0, MATCH(_xlfn.CONCAT($Q$2, "%"), tblPiNAnalysis[[#Headers],[CCCM%]:[WASH%]], 0))=$A61, 1, 0))=0, "",SUM(IF(INDEX(_xlfn._xlws.FILTER(tblPiNAnalysis[[CCCM%]:[WASH%]], tblPiNAnalysis[Population Group]=B$5), 0, MATCH(_xlfn.CONCAT($Q$2, "%"), tblPiNAnalysis[[#Headers],[CCCM%]:[WASH%]], 0))=$A61, 1, 0))))</f>
        <v/>
      </c>
      <c r="C61" s="93" t="str" cm="1">
        <f t="array" ref="C61">IFERROR(IF(OR($A61="", C$5=""), "", IF(SUM(IF(INDEX(_xlfn._xlws.FILTER(tblPiNAnalysis[[CCCM%]:[WASH%]], tblPiNAnalysis[Population Group]=C$5), 0, MATCH(_xlfn.CONCAT($Q$2, "%"), tblPiNAnalysis[[#Headers],[CCCM%]:[WASH%]], 0))=$A61, 1, 0))=0, "",SUM(IF(INDEX(_xlfn._xlws.FILTER(tblPiNAnalysis[[CCCM%]:[WASH%]], tblPiNAnalysis[Population Group]=C$5), 0, MATCH(_xlfn.CONCAT($Q$2, "%"), tblPiNAnalysis[[#Headers],[CCCM%]:[WASH%]], 0))=$A61, 1, 0)))), "")</f>
        <v/>
      </c>
      <c r="D61" s="93" t="str" cm="1">
        <f t="array" ref="D61">IFERROR(IF(OR($A61="", D$5=""), "", IF(SUM(IF(INDEX(_xlfn._xlws.FILTER(tblPiNAnalysis[[CCCM%]:[WASH%]], tblPiNAnalysis[Population Group]=D$5), 0, MATCH(_xlfn.CONCAT($Q$2, "%"), tblPiNAnalysis[[#Headers],[CCCM%]:[WASH%]], 0))=$A61, 1, 0))=0, "",SUM(IF(INDEX(_xlfn._xlws.FILTER(tblPiNAnalysis[[CCCM%]:[WASH%]], tblPiNAnalysis[Population Group]=D$5), 0, MATCH(_xlfn.CONCAT($Q$2, "%"), tblPiNAnalysis[[#Headers],[CCCM%]:[WASH%]], 0))=$A61, 1, 0)))), "")</f>
        <v/>
      </c>
      <c r="E61" s="93" t="str" cm="1">
        <f t="array" ref="E61">IFERROR(IF(OR($A61="", E$5=""), "", IF(SUM(IF(INDEX(_xlfn._xlws.FILTER(tblPiNAnalysis[[CCCM%]:[WASH%]], tblPiNAnalysis[Population Group]=E$5), 0, MATCH(_xlfn.CONCAT($Q$2, "%"), tblPiNAnalysis[[#Headers],[CCCM%]:[WASH%]], 0))=$A61, 1, 0))=0, "",SUM(IF(INDEX(_xlfn._xlws.FILTER(tblPiNAnalysis[[CCCM%]:[WASH%]], tblPiNAnalysis[Population Group]=E$5), 0, MATCH(_xlfn.CONCAT($Q$2, "%"), tblPiNAnalysis[[#Headers],[CCCM%]:[WASH%]], 0))=$A61, 1, 0)))), "")</f>
        <v/>
      </c>
      <c r="F61" s="93" t="str" cm="1">
        <f t="array" ref="F61">IFERROR(IF(OR($A61="", F$5=""), "", IF(SUM(IF(INDEX(_xlfn._xlws.FILTER(tblPiNAnalysis[[CCCM%]:[WASH%]], tblPiNAnalysis[CCCM]=F$5), 0, MATCH(_xlfn.CONCAT($Q$2, "%"), tblPiNAnalysis[[#Headers],[CCCM%]:[WASH%]], 0))=$A61, 1, 0))=0, "",SUM(IF(INDEX(_xlfn._xlws.FILTER(tblPiNAnalysis[[CCCM%]:[WASH%]], tblPiNAnalysis[CCCM]=F$5), 0, MATCH(_xlfn.CONCAT($Q$2, "%"), tblPiNAnalysis[[#Headers],[CCCM%]:[WASH%]], 0))=$A61, 1, 0)))), "")</f>
        <v/>
      </c>
      <c r="H61" s="95"/>
      <c r="I61" s="93" t="str" cm="1">
        <f t="array" ref="I61">IF($H61="", "", IF($H61=2, SUM(IF(INDEX(_xlfn._xlws.FILTER(tblPiNHistorical[[CCCM]:[WASH]], tblPiNHistorical[Population Group]=I$5), 0, MATCH($Q$2, tblPiNHistorical[[#Headers],[CCCM]:[WASH]], 0))&gt;1.9, 1, 0)), IF(SUM(IF(INDEX(_xlfn._xlws.FILTER(tblPiNHistorical[[CCCM]:[WASH]], tblPiNHistorical[Population Group]=I$5), 0, MATCH($Q$2, tblPiNHistorical[[#Headers],[CCCM]:[WASH]], 0))=$H61, 1, 0))=0, "", SUM(IF(INDEX(_xlfn._xlws.FILTER(tblPiNHistorical[[CCCM]:[WASH]], tblPiNHistorical[Population Group]=I$5), 0, MATCH($Q$2, tblPiNHistorical[[#Headers],[CCCM]:[WASH]], 0))=$H61, 1, 0)))))</f>
        <v/>
      </c>
      <c r="J61" s="93" t="str" cm="1">
        <f t="array" ref="J61">IFERROR(IF(OR($H61="", J60=""), "", IF($H61=2, SUM(IF(INDEX(_xlfn._xlws.FILTER(tblPiNHistorical[[CCCM]:[WASH]], tblPiNHistorical[Population Group]=J$5), 0, MATCH($Q$2, tblPiNHistorical[[#Headers],[CCCM]:[WASH]], 0))&gt;1.9, 1, 0)), IF(SUM(IF(INDEX(_xlfn._xlws.FILTER(tblPiNHistorical[[CCCM]:[WASH]], tblPiNHistorical[Population Group]=J$5), 0, MATCH($Q$2, tblPiNHistorical[[#Headers],[CCCM]:[WASH]], 0))=$H61, 1, 0))=0, "", SUM(IF(INDEX(_xlfn._xlws.FILTER(tblPiNHistorical[[CCCM]:[WASH]], tblPiNHistorical[Population Group]=J$5), 0, MATCH($Q$2, tblPiNHistorical[[#Headers],[CCCM]:[WASH]], 0))=$H61, 1, 0))))), "")</f>
        <v/>
      </c>
      <c r="K61" s="93" t="str" cm="1">
        <f t="array" ref="K61">IFERROR(IF(OR($H61="", K60=""), "", IF($H61=2, SUM(IF(INDEX(_xlfn._xlws.FILTER(tblPiNHistorical[[CCCM]:[WASH]], tblPiNHistorical[CCCM - old]=K$5), 0, MATCH($Q$2, tblPiNHistorical[[#Headers],[CCCM]:[WASH]], 0))&gt;1.9, 1, 0)), IF(SUM(IF(INDEX(_xlfn._xlws.FILTER(tblPiNHistorical[[CCCM]:[WASH]], tblPiNHistorical[CCCM - old]=K$5), 0, MATCH($Q$2, tblPiNHistorical[[#Headers],[CCCM]:[WASH]], 0))=$H61, 1, 0))=0, "", SUM(IF(INDEX(_xlfn._xlws.FILTER(tblPiNHistorical[[CCCM]:[WASH]], tblPiNHistorical[CCCM - old]=K$5), 0, MATCH($Q$2, tblPiNHistorical[[#Headers],[CCCM]:[WASH]], 0))=$H61, 1, 0))))), "")</f>
        <v/>
      </c>
      <c r="L61" s="93" t="str" cm="1">
        <f t="array" ref="L61">IFERROR(IF(OR($H61="", L60=""), "", IF($H61=2, SUM(IF(INDEX(_xlfn._xlws.FILTER(tblPiNHistorical[[CCCM]:[WASH]],#REF!= L$5), 0, MATCH($Q$2, tblPiNHistorical[[#Headers],[CCCM]:[WASH]], 0))&gt;1.9, 1, 0)), IF(SUM(IF(INDEX(_xlfn._xlws.FILTER(tblPiNHistorical[[CCCM]:[WASH]],#REF!= L$5), 0, MATCH($Q$2, tblPiNHistorical[[#Headers],[CCCM]:[WASH]], 0))=$H61, 1, 0))=0, "", SUM(IF(INDEX(_xlfn._xlws.FILTER(tblPiNHistorical[[CCCM]:[WASH]],#REF!= L$5), 0, MATCH($Q$2, tblPiNHistorical[[#Headers],[CCCM]:[WASH]], 0))=$H61, 1, 0))))), "")</f>
        <v/>
      </c>
      <c r="M61" s="93" t="str" cm="1">
        <f t="array" ref="M61">IFERROR(IF(OR($H61="", M60=""), "", IF($H61=2, SUM(IF(INDEX(_xlfn._xlws.FILTER(tblPiNHistorical[[CCCM]:[WASH]],#REF!= M$5), 0, MATCH($Q$2, tblPiNHistorical[[#Headers],[CCCM]:[WASH]], 0))&gt;1.9, 1, 0)), IF(SUM(IF(INDEX(_xlfn._xlws.FILTER(tblPiNHistorical[[CCCM]:[WASH]],#REF!= M$5), 0, MATCH($Q$2, tblPiNHistorical[[#Headers],[CCCM]:[WASH]], 0))=$H61, 1, 0))=0, "", SUM(IF(INDEX(_xlfn._xlws.FILTER(tblPiNHistorical[[CCCM]:[WASH]],#REF!= M$5), 0, MATCH($Q$2, tblPiNHistorical[[#Headers],[CCCM]:[WASH]], 0))=$H61, 1, 0))))), "")</f>
        <v/>
      </c>
    </row>
    <row r="62" spans="1:13" x14ac:dyDescent="0.55000000000000004">
      <c r="A62" s="95"/>
      <c r="B62" s="93" t="str" cm="1">
        <f t="array" ref="B62">IF($A62="", "", IF(SUM(IF(INDEX(_xlfn._xlws.FILTER(tblPiNAnalysis[[CCCM%]:[WASH%]], tblPiNAnalysis[Population Group]=B$5), 0, MATCH(_xlfn.CONCAT($Q$2, "%"), tblPiNAnalysis[[#Headers],[CCCM%]:[WASH%]], 0))=$A62, 1, 0))=0, "",SUM(IF(INDEX(_xlfn._xlws.FILTER(tblPiNAnalysis[[CCCM%]:[WASH%]], tblPiNAnalysis[Population Group]=B$5), 0, MATCH(_xlfn.CONCAT($Q$2, "%"), tblPiNAnalysis[[#Headers],[CCCM%]:[WASH%]], 0))=$A62, 1, 0))))</f>
        <v/>
      </c>
      <c r="C62" s="93" t="str" cm="1">
        <f t="array" ref="C62">IFERROR(IF(OR($A62="", C$5=""), "", IF(SUM(IF(INDEX(_xlfn._xlws.FILTER(tblPiNAnalysis[[CCCM%]:[WASH%]], tblPiNAnalysis[Population Group]=C$5), 0, MATCH(_xlfn.CONCAT($Q$2, "%"), tblPiNAnalysis[[#Headers],[CCCM%]:[WASH%]], 0))=$A62, 1, 0))=0, "",SUM(IF(INDEX(_xlfn._xlws.FILTER(tblPiNAnalysis[[CCCM%]:[WASH%]], tblPiNAnalysis[Population Group]=C$5), 0, MATCH(_xlfn.CONCAT($Q$2, "%"), tblPiNAnalysis[[#Headers],[CCCM%]:[WASH%]], 0))=$A62, 1, 0)))), "")</f>
        <v/>
      </c>
      <c r="D62" s="93" t="str" cm="1">
        <f t="array" ref="D62">IFERROR(IF(OR($A62="", D$5=""), "", IF(SUM(IF(INDEX(_xlfn._xlws.FILTER(tblPiNAnalysis[[CCCM%]:[WASH%]], tblPiNAnalysis[Population Group]=D$5), 0, MATCH(_xlfn.CONCAT($Q$2, "%"), tblPiNAnalysis[[#Headers],[CCCM%]:[WASH%]], 0))=$A62, 1, 0))=0, "",SUM(IF(INDEX(_xlfn._xlws.FILTER(tblPiNAnalysis[[CCCM%]:[WASH%]], tblPiNAnalysis[Population Group]=D$5), 0, MATCH(_xlfn.CONCAT($Q$2, "%"), tblPiNAnalysis[[#Headers],[CCCM%]:[WASH%]], 0))=$A62, 1, 0)))), "")</f>
        <v/>
      </c>
      <c r="E62" s="93" t="str" cm="1">
        <f t="array" ref="E62">IFERROR(IF(OR($A62="", E$5=""), "", IF(SUM(IF(INDEX(_xlfn._xlws.FILTER(tblPiNAnalysis[[CCCM%]:[WASH%]], tblPiNAnalysis[Population Group]=E$5), 0, MATCH(_xlfn.CONCAT($Q$2, "%"), tblPiNAnalysis[[#Headers],[CCCM%]:[WASH%]], 0))=$A62, 1, 0))=0, "",SUM(IF(INDEX(_xlfn._xlws.FILTER(tblPiNAnalysis[[CCCM%]:[WASH%]], tblPiNAnalysis[Population Group]=E$5), 0, MATCH(_xlfn.CONCAT($Q$2, "%"), tblPiNAnalysis[[#Headers],[CCCM%]:[WASH%]], 0))=$A62, 1, 0)))), "")</f>
        <v/>
      </c>
      <c r="F62" s="93" t="str" cm="1">
        <f t="array" ref="F62">IFERROR(IF(OR($A62="", F$5=""), "", IF(SUM(IF(INDEX(_xlfn._xlws.FILTER(tblPiNAnalysis[[CCCM%]:[WASH%]], tblPiNAnalysis[CCCM]=F$5), 0, MATCH(_xlfn.CONCAT($Q$2, "%"), tblPiNAnalysis[[#Headers],[CCCM%]:[WASH%]], 0))=$A62, 1, 0))=0, "",SUM(IF(INDEX(_xlfn._xlws.FILTER(tblPiNAnalysis[[CCCM%]:[WASH%]], tblPiNAnalysis[CCCM]=F$5), 0, MATCH(_xlfn.CONCAT($Q$2, "%"), tblPiNAnalysis[[#Headers],[CCCM%]:[WASH%]], 0))=$A62, 1, 0)))), "")</f>
        <v/>
      </c>
      <c r="H62" s="95"/>
      <c r="I62" s="93" t="str" cm="1">
        <f t="array" ref="I62">IF($H62="", "", IF($H62=2, SUM(IF(INDEX(_xlfn._xlws.FILTER(tblPiNHistorical[[CCCM]:[WASH]], tblPiNHistorical[Population Group]=I$5), 0, MATCH($Q$2, tblPiNHistorical[[#Headers],[CCCM]:[WASH]], 0))&gt;1.9, 1, 0)), IF(SUM(IF(INDEX(_xlfn._xlws.FILTER(tblPiNHistorical[[CCCM]:[WASH]], tblPiNHistorical[Population Group]=I$5), 0, MATCH($Q$2, tblPiNHistorical[[#Headers],[CCCM]:[WASH]], 0))=$H62, 1, 0))=0, "", SUM(IF(INDEX(_xlfn._xlws.FILTER(tblPiNHistorical[[CCCM]:[WASH]], tblPiNHistorical[Population Group]=I$5), 0, MATCH($Q$2, tblPiNHistorical[[#Headers],[CCCM]:[WASH]], 0))=$H62, 1, 0)))))</f>
        <v/>
      </c>
      <c r="J62" s="93" t="str" cm="1">
        <f t="array" ref="J62">IFERROR(IF(OR($H62="", J61=""), "", IF($H62=2, SUM(IF(INDEX(_xlfn._xlws.FILTER(tblPiNHistorical[[CCCM]:[WASH]], tblPiNHistorical[Population Group]=J$5), 0, MATCH($Q$2, tblPiNHistorical[[#Headers],[CCCM]:[WASH]], 0))&gt;1.9, 1, 0)), IF(SUM(IF(INDEX(_xlfn._xlws.FILTER(tblPiNHistorical[[CCCM]:[WASH]], tblPiNHistorical[Population Group]=J$5), 0, MATCH($Q$2, tblPiNHistorical[[#Headers],[CCCM]:[WASH]], 0))=$H62, 1, 0))=0, "", SUM(IF(INDEX(_xlfn._xlws.FILTER(tblPiNHistorical[[CCCM]:[WASH]], tblPiNHistorical[Population Group]=J$5), 0, MATCH($Q$2, tblPiNHistorical[[#Headers],[CCCM]:[WASH]], 0))=$H62, 1, 0))))), "")</f>
        <v/>
      </c>
      <c r="K62" s="93" t="str" cm="1">
        <f t="array" ref="K62">IFERROR(IF(OR($H62="", K61=""), "", IF($H62=2, SUM(IF(INDEX(_xlfn._xlws.FILTER(tblPiNHistorical[[CCCM]:[WASH]], tblPiNHistorical[CCCM - old]=K$5), 0, MATCH($Q$2, tblPiNHistorical[[#Headers],[CCCM]:[WASH]], 0))&gt;1.9, 1, 0)), IF(SUM(IF(INDEX(_xlfn._xlws.FILTER(tblPiNHistorical[[CCCM]:[WASH]], tblPiNHistorical[CCCM - old]=K$5), 0, MATCH($Q$2, tblPiNHistorical[[#Headers],[CCCM]:[WASH]], 0))=$H62, 1, 0))=0, "", SUM(IF(INDEX(_xlfn._xlws.FILTER(tblPiNHistorical[[CCCM]:[WASH]], tblPiNHistorical[CCCM - old]=K$5), 0, MATCH($Q$2, tblPiNHistorical[[#Headers],[CCCM]:[WASH]], 0))=$H62, 1, 0))))), "")</f>
        <v/>
      </c>
      <c r="L62" s="93" t="str" cm="1">
        <f t="array" ref="L62">IFERROR(IF(OR($H62="", L61=""), "", IF($H62=2, SUM(IF(INDEX(_xlfn._xlws.FILTER(tblPiNHistorical[[CCCM]:[WASH]],#REF!= L$5), 0, MATCH($Q$2, tblPiNHistorical[[#Headers],[CCCM]:[WASH]], 0))&gt;1.9, 1, 0)), IF(SUM(IF(INDEX(_xlfn._xlws.FILTER(tblPiNHistorical[[CCCM]:[WASH]],#REF!= L$5), 0, MATCH($Q$2, tblPiNHistorical[[#Headers],[CCCM]:[WASH]], 0))=$H62, 1, 0))=0, "", SUM(IF(INDEX(_xlfn._xlws.FILTER(tblPiNHistorical[[CCCM]:[WASH]],#REF!= L$5), 0, MATCH($Q$2, tblPiNHistorical[[#Headers],[CCCM]:[WASH]], 0))=$H62, 1, 0))))), "")</f>
        <v/>
      </c>
      <c r="M62" s="93" t="str" cm="1">
        <f t="array" ref="M62">IFERROR(IF(OR($H62="", M61=""), "", IF($H62=2, SUM(IF(INDEX(_xlfn._xlws.FILTER(tblPiNHistorical[[CCCM]:[WASH]],#REF!= M$5), 0, MATCH($Q$2, tblPiNHistorical[[#Headers],[CCCM]:[WASH]], 0))&gt;1.9, 1, 0)), IF(SUM(IF(INDEX(_xlfn._xlws.FILTER(tblPiNHistorical[[CCCM]:[WASH]],#REF!= M$5), 0, MATCH($Q$2, tblPiNHistorical[[#Headers],[CCCM]:[WASH]], 0))=$H62, 1, 0))=0, "", SUM(IF(INDEX(_xlfn._xlws.FILTER(tblPiNHistorical[[CCCM]:[WASH]],#REF!= M$5), 0, MATCH($Q$2, tblPiNHistorical[[#Headers],[CCCM]:[WASH]], 0))=$H62, 1, 0))))), "")</f>
        <v/>
      </c>
    </row>
    <row r="63" spans="1:13" x14ac:dyDescent="0.55000000000000004">
      <c r="A63" s="95"/>
      <c r="B63" s="93" t="str" cm="1">
        <f t="array" ref="B63">IF($A63="", "", IF(SUM(IF(INDEX(_xlfn._xlws.FILTER(tblPiNAnalysis[[CCCM%]:[WASH%]], tblPiNAnalysis[Population Group]=B$5), 0, MATCH(_xlfn.CONCAT($Q$2, "%"), tblPiNAnalysis[[#Headers],[CCCM%]:[WASH%]], 0))=$A63, 1, 0))=0, "",SUM(IF(INDEX(_xlfn._xlws.FILTER(tblPiNAnalysis[[CCCM%]:[WASH%]], tblPiNAnalysis[Population Group]=B$5), 0, MATCH(_xlfn.CONCAT($Q$2, "%"), tblPiNAnalysis[[#Headers],[CCCM%]:[WASH%]], 0))=$A63, 1, 0))))</f>
        <v/>
      </c>
      <c r="C63" s="93" t="str" cm="1">
        <f t="array" ref="C63">IFERROR(IF(OR($A63="", C$5=""), "", IF(SUM(IF(INDEX(_xlfn._xlws.FILTER(tblPiNAnalysis[[CCCM%]:[WASH%]], tblPiNAnalysis[Population Group]=C$5), 0, MATCH(_xlfn.CONCAT($Q$2, "%"), tblPiNAnalysis[[#Headers],[CCCM%]:[WASH%]], 0))=$A63, 1, 0))=0, "",SUM(IF(INDEX(_xlfn._xlws.FILTER(tblPiNAnalysis[[CCCM%]:[WASH%]], tblPiNAnalysis[Population Group]=C$5), 0, MATCH(_xlfn.CONCAT($Q$2, "%"), tblPiNAnalysis[[#Headers],[CCCM%]:[WASH%]], 0))=$A63, 1, 0)))), "")</f>
        <v/>
      </c>
      <c r="D63" s="93" t="str" cm="1">
        <f t="array" ref="D63">IFERROR(IF(OR($A63="", D$5=""), "", IF(SUM(IF(INDEX(_xlfn._xlws.FILTER(tblPiNAnalysis[[CCCM%]:[WASH%]], tblPiNAnalysis[Population Group]=D$5), 0, MATCH(_xlfn.CONCAT($Q$2, "%"), tblPiNAnalysis[[#Headers],[CCCM%]:[WASH%]], 0))=$A63, 1, 0))=0, "",SUM(IF(INDEX(_xlfn._xlws.FILTER(tblPiNAnalysis[[CCCM%]:[WASH%]], tblPiNAnalysis[Population Group]=D$5), 0, MATCH(_xlfn.CONCAT($Q$2, "%"), tblPiNAnalysis[[#Headers],[CCCM%]:[WASH%]], 0))=$A63, 1, 0)))), "")</f>
        <v/>
      </c>
      <c r="E63" s="93" t="str" cm="1">
        <f t="array" ref="E63">IFERROR(IF(OR($A63="", E$5=""), "", IF(SUM(IF(INDEX(_xlfn._xlws.FILTER(tblPiNAnalysis[[CCCM%]:[WASH%]], tblPiNAnalysis[Population Group]=E$5), 0, MATCH(_xlfn.CONCAT($Q$2, "%"), tblPiNAnalysis[[#Headers],[CCCM%]:[WASH%]], 0))=$A63, 1, 0))=0, "",SUM(IF(INDEX(_xlfn._xlws.FILTER(tblPiNAnalysis[[CCCM%]:[WASH%]], tblPiNAnalysis[Population Group]=E$5), 0, MATCH(_xlfn.CONCAT($Q$2, "%"), tblPiNAnalysis[[#Headers],[CCCM%]:[WASH%]], 0))=$A63, 1, 0)))), "")</f>
        <v/>
      </c>
      <c r="F63" s="93" t="str" cm="1">
        <f t="array" ref="F63">IFERROR(IF(OR($A63="", F$5=""), "", IF(SUM(IF(INDEX(_xlfn._xlws.FILTER(tblPiNAnalysis[[CCCM%]:[WASH%]], tblPiNAnalysis[CCCM]=F$5), 0, MATCH(_xlfn.CONCAT($Q$2, "%"), tblPiNAnalysis[[#Headers],[CCCM%]:[WASH%]], 0))=$A63, 1, 0))=0, "",SUM(IF(INDEX(_xlfn._xlws.FILTER(tblPiNAnalysis[[CCCM%]:[WASH%]], tblPiNAnalysis[CCCM]=F$5), 0, MATCH(_xlfn.CONCAT($Q$2, "%"), tblPiNAnalysis[[#Headers],[CCCM%]:[WASH%]], 0))=$A63, 1, 0)))), "")</f>
        <v/>
      </c>
      <c r="H63" s="95"/>
      <c r="I63" s="93" t="str" cm="1">
        <f t="array" ref="I63">IF($H63="", "", IF($H63=2, SUM(IF(INDEX(_xlfn._xlws.FILTER(tblPiNHistorical[[CCCM]:[WASH]], tblPiNHistorical[Population Group]=I$5), 0, MATCH($Q$2, tblPiNHistorical[[#Headers],[CCCM]:[WASH]], 0))&gt;1.9, 1, 0)), IF(SUM(IF(INDEX(_xlfn._xlws.FILTER(tblPiNHistorical[[CCCM]:[WASH]], tblPiNHistorical[Population Group]=I$5), 0, MATCH($Q$2, tblPiNHistorical[[#Headers],[CCCM]:[WASH]], 0))=$H63, 1, 0))=0, "", SUM(IF(INDEX(_xlfn._xlws.FILTER(tblPiNHistorical[[CCCM]:[WASH]], tblPiNHistorical[Population Group]=I$5), 0, MATCH($Q$2, tblPiNHistorical[[#Headers],[CCCM]:[WASH]], 0))=$H63, 1, 0)))))</f>
        <v/>
      </c>
      <c r="J63" s="93" t="str" cm="1">
        <f t="array" ref="J63">IFERROR(IF(OR($H63="", J62=""), "", IF($H63=2, SUM(IF(INDEX(_xlfn._xlws.FILTER(tblPiNHistorical[[CCCM]:[WASH]], tblPiNHistorical[Population Group]=J$5), 0, MATCH($Q$2, tblPiNHistorical[[#Headers],[CCCM]:[WASH]], 0))&gt;1.9, 1, 0)), IF(SUM(IF(INDEX(_xlfn._xlws.FILTER(tblPiNHistorical[[CCCM]:[WASH]], tblPiNHistorical[Population Group]=J$5), 0, MATCH($Q$2, tblPiNHistorical[[#Headers],[CCCM]:[WASH]], 0))=$H63, 1, 0))=0, "", SUM(IF(INDEX(_xlfn._xlws.FILTER(tblPiNHistorical[[CCCM]:[WASH]], tblPiNHistorical[Population Group]=J$5), 0, MATCH($Q$2, tblPiNHistorical[[#Headers],[CCCM]:[WASH]], 0))=$H63, 1, 0))))), "")</f>
        <v/>
      </c>
      <c r="K63" s="93" t="str" cm="1">
        <f t="array" ref="K63">IFERROR(IF(OR($H63="", K62=""), "", IF($H63=2, SUM(IF(INDEX(_xlfn._xlws.FILTER(tblPiNHistorical[[CCCM]:[WASH]], tblPiNHistorical[CCCM - old]=K$5), 0, MATCH($Q$2, tblPiNHistorical[[#Headers],[CCCM]:[WASH]], 0))&gt;1.9, 1, 0)), IF(SUM(IF(INDEX(_xlfn._xlws.FILTER(tblPiNHistorical[[CCCM]:[WASH]], tblPiNHistorical[CCCM - old]=K$5), 0, MATCH($Q$2, tblPiNHistorical[[#Headers],[CCCM]:[WASH]], 0))=$H63, 1, 0))=0, "", SUM(IF(INDEX(_xlfn._xlws.FILTER(tblPiNHistorical[[CCCM]:[WASH]], tblPiNHistorical[CCCM - old]=K$5), 0, MATCH($Q$2, tblPiNHistorical[[#Headers],[CCCM]:[WASH]], 0))=$H63, 1, 0))))), "")</f>
        <v/>
      </c>
      <c r="L63" s="93" t="str" cm="1">
        <f t="array" ref="L63">IFERROR(IF(OR($H63="", L62=""), "", IF($H63=2, SUM(IF(INDEX(_xlfn._xlws.FILTER(tblPiNHistorical[[CCCM]:[WASH]],#REF!= L$5), 0, MATCH($Q$2, tblPiNHistorical[[#Headers],[CCCM]:[WASH]], 0))&gt;1.9, 1, 0)), IF(SUM(IF(INDEX(_xlfn._xlws.FILTER(tblPiNHistorical[[CCCM]:[WASH]],#REF!= L$5), 0, MATCH($Q$2, tblPiNHistorical[[#Headers],[CCCM]:[WASH]], 0))=$H63, 1, 0))=0, "", SUM(IF(INDEX(_xlfn._xlws.FILTER(tblPiNHistorical[[CCCM]:[WASH]],#REF!= L$5), 0, MATCH($Q$2, tblPiNHistorical[[#Headers],[CCCM]:[WASH]], 0))=$H63, 1, 0))))), "")</f>
        <v/>
      </c>
      <c r="M63" s="93" t="str" cm="1">
        <f t="array" ref="M63">IFERROR(IF(OR($H63="", M62=""), "", IF($H63=2, SUM(IF(INDEX(_xlfn._xlws.FILTER(tblPiNHistorical[[CCCM]:[WASH]],#REF!= M$5), 0, MATCH($Q$2, tblPiNHistorical[[#Headers],[CCCM]:[WASH]], 0))&gt;1.9, 1, 0)), IF(SUM(IF(INDEX(_xlfn._xlws.FILTER(tblPiNHistorical[[CCCM]:[WASH]],#REF!= M$5), 0, MATCH($Q$2, tblPiNHistorical[[#Headers],[CCCM]:[WASH]], 0))=$H63, 1, 0))=0, "", SUM(IF(INDEX(_xlfn._xlws.FILTER(tblPiNHistorical[[CCCM]:[WASH]],#REF!= M$5), 0, MATCH($Q$2, tblPiNHistorical[[#Headers],[CCCM]:[WASH]], 0))=$H63, 1, 0))))), "")</f>
        <v/>
      </c>
    </row>
    <row r="64" spans="1:13" x14ac:dyDescent="0.55000000000000004">
      <c r="A64" s="95"/>
      <c r="B64" s="93" t="str" cm="1">
        <f t="array" ref="B64">IF($A64="", "", IF(SUM(IF(INDEX(_xlfn._xlws.FILTER(tblPiNAnalysis[[CCCM%]:[WASH%]], tblPiNAnalysis[Population Group]=B$5), 0, MATCH(_xlfn.CONCAT($Q$2, "%"), tblPiNAnalysis[[#Headers],[CCCM%]:[WASH%]], 0))=$A64, 1, 0))=0, "",SUM(IF(INDEX(_xlfn._xlws.FILTER(tblPiNAnalysis[[CCCM%]:[WASH%]], tblPiNAnalysis[Population Group]=B$5), 0, MATCH(_xlfn.CONCAT($Q$2, "%"), tblPiNAnalysis[[#Headers],[CCCM%]:[WASH%]], 0))=$A64, 1, 0))))</f>
        <v/>
      </c>
      <c r="C64" s="93" t="str" cm="1">
        <f t="array" ref="C64">IFERROR(IF(OR($A64="", C$5=""), "", IF(SUM(IF(INDEX(_xlfn._xlws.FILTER(tblPiNAnalysis[[CCCM%]:[WASH%]], tblPiNAnalysis[Population Group]=C$5), 0, MATCH(_xlfn.CONCAT($Q$2, "%"), tblPiNAnalysis[[#Headers],[CCCM%]:[WASH%]], 0))=$A64, 1, 0))=0, "",SUM(IF(INDEX(_xlfn._xlws.FILTER(tblPiNAnalysis[[CCCM%]:[WASH%]], tblPiNAnalysis[Population Group]=C$5), 0, MATCH(_xlfn.CONCAT($Q$2, "%"), tblPiNAnalysis[[#Headers],[CCCM%]:[WASH%]], 0))=$A64, 1, 0)))), "")</f>
        <v/>
      </c>
      <c r="D64" s="93" t="str" cm="1">
        <f t="array" ref="D64">IFERROR(IF(OR($A64="", D$5=""), "", IF(SUM(IF(INDEX(_xlfn._xlws.FILTER(tblPiNAnalysis[[CCCM%]:[WASH%]], tblPiNAnalysis[Population Group]=D$5), 0, MATCH(_xlfn.CONCAT($Q$2, "%"), tblPiNAnalysis[[#Headers],[CCCM%]:[WASH%]], 0))=$A64, 1, 0))=0, "",SUM(IF(INDEX(_xlfn._xlws.FILTER(tblPiNAnalysis[[CCCM%]:[WASH%]], tblPiNAnalysis[Population Group]=D$5), 0, MATCH(_xlfn.CONCAT($Q$2, "%"), tblPiNAnalysis[[#Headers],[CCCM%]:[WASH%]], 0))=$A64, 1, 0)))), "")</f>
        <v/>
      </c>
      <c r="E64" s="93" t="str" cm="1">
        <f t="array" ref="E64">IFERROR(IF(OR($A64="", E$5=""), "", IF(SUM(IF(INDEX(_xlfn._xlws.FILTER(tblPiNAnalysis[[CCCM%]:[WASH%]], tblPiNAnalysis[Population Group]=E$5), 0, MATCH(_xlfn.CONCAT($Q$2, "%"), tblPiNAnalysis[[#Headers],[CCCM%]:[WASH%]], 0))=$A64, 1, 0))=0, "",SUM(IF(INDEX(_xlfn._xlws.FILTER(tblPiNAnalysis[[CCCM%]:[WASH%]], tblPiNAnalysis[Population Group]=E$5), 0, MATCH(_xlfn.CONCAT($Q$2, "%"), tblPiNAnalysis[[#Headers],[CCCM%]:[WASH%]], 0))=$A64, 1, 0)))), "")</f>
        <v/>
      </c>
      <c r="F64" s="93" t="str" cm="1">
        <f t="array" ref="F64">IFERROR(IF(OR($A64="", F$5=""), "", IF(SUM(IF(INDEX(_xlfn._xlws.FILTER(tblPiNAnalysis[[CCCM%]:[WASH%]], tblPiNAnalysis[CCCM]=F$5), 0, MATCH(_xlfn.CONCAT($Q$2, "%"), tblPiNAnalysis[[#Headers],[CCCM%]:[WASH%]], 0))=$A64, 1, 0))=0, "",SUM(IF(INDEX(_xlfn._xlws.FILTER(tblPiNAnalysis[[CCCM%]:[WASH%]], tblPiNAnalysis[CCCM]=F$5), 0, MATCH(_xlfn.CONCAT($Q$2, "%"), tblPiNAnalysis[[#Headers],[CCCM%]:[WASH%]], 0))=$A64, 1, 0)))), "")</f>
        <v/>
      </c>
      <c r="H64" s="95"/>
      <c r="I64" s="93" t="str" cm="1">
        <f t="array" ref="I64">IF($H64="", "", IF($H64=2, SUM(IF(INDEX(_xlfn._xlws.FILTER(tblPiNHistorical[[CCCM]:[WASH]], tblPiNHistorical[Population Group]=I$5), 0, MATCH($Q$2, tblPiNHistorical[[#Headers],[CCCM]:[WASH]], 0))&gt;1.9, 1, 0)), IF(SUM(IF(INDEX(_xlfn._xlws.FILTER(tblPiNHistorical[[CCCM]:[WASH]], tblPiNHistorical[Population Group]=I$5), 0, MATCH($Q$2, tblPiNHistorical[[#Headers],[CCCM]:[WASH]], 0))=$H64, 1, 0))=0, "", SUM(IF(INDEX(_xlfn._xlws.FILTER(tblPiNHistorical[[CCCM]:[WASH]], tblPiNHistorical[Population Group]=I$5), 0, MATCH($Q$2, tblPiNHistorical[[#Headers],[CCCM]:[WASH]], 0))=$H64, 1, 0)))))</f>
        <v/>
      </c>
      <c r="J64" s="93" t="str" cm="1">
        <f t="array" ref="J64">IFERROR(IF(OR($H64="", J63=""), "", IF($H64=2, SUM(IF(INDEX(_xlfn._xlws.FILTER(tblPiNHistorical[[CCCM]:[WASH]], tblPiNHistorical[Population Group]=J$5), 0, MATCH($Q$2, tblPiNHistorical[[#Headers],[CCCM]:[WASH]], 0))&gt;1.9, 1, 0)), IF(SUM(IF(INDEX(_xlfn._xlws.FILTER(tblPiNHistorical[[CCCM]:[WASH]], tblPiNHistorical[Population Group]=J$5), 0, MATCH($Q$2, tblPiNHistorical[[#Headers],[CCCM]:[WASH]], 0))=$H64, 1, 0))=0, "", SUM(IF(INDEX(_xlfn._xlws.FILTER(tblPiNHistorical[[CCCM]:[WASH]], tblPiNHistorical[Population Group]=J$5), 0, MATCH($Q$2, tblPiNHistorical[[#Headers],[CCCM]:[WASH]], 0))=$H64, 1, 0))))), "")</f>
        <v/>
      </c>
      <c r="K64" s="93" t="str" cm="1">
        <f t="array" ref="K64">IFERROR(IF(OR($H64="", K63=""), "", IF($H64=2, SUM(IF(INDEX(_xlfn._xlws.FILTER(tblPiNHistorical[[CCCM]:[WASH]], tblPiNHistorical[CCCM - old]=K$5), 0, MATCH($Q$2, tblPiNHistorical[[#Headers],[CCCM]:[WASH]], 0))&gt;1.9, 1, 0)), IF(SUM(IF(INDEX(_xlfn._xlws.FILTER(tblPiNHistorical[[CCCM]:[WASH]], tblPiNHistorical[CCCM - old]=K$5), 0, MATCH($Q$2, tblPiNHistorical[[#Headers],[CCCM]:[WASH]], 0))=$H64, 1, 0))=0, "", SUM(IF(INDEX(_xlfn._xlws.FILTER(tblPiNHistorical[[CCCM]:[WASH]], tblPiNHistorical[CCCM - old]=K$5), 0, MATCH($Q$2, tblPiNHistorical[[#Headers],[CCCM]:[WASH]], 0))=$H64, 1, 0))))), "")</f>
        <v/>
      </c>
      <c r="L64" s="93" t="str" cm="1">
        <f t="array" ref="L64">IFERROR(IF(OR($H64="", L63=""), "", IF($H64=2, SUM(IF(INDEX(_xlfn._xlws.FILTER(tblPiNHistorical[[CCCM]:[WASH]],#REF!= L$5), 0, MATCH($Q$2, tblPiNHistorical[[#Headers],[CCCM]:[WASH]], 0))&gt;1.9, 1, 0)), IF(SUM(IF(INDEX(_xlfn._xlws.FILTER(tblPiNHistorical[[CCCM]:[WASH]],#REF!= L$5), 0, MATCH($Q$2, tblPiNHistorical[[#Headers],[CCCM]:[WASH]], 0))=$H64, 1, 0))=0, "", SUM(IF(INDEX(_xlfn._xlws.FILTER(tblPiNHistorical[[CCCM]:[WASH]],#REF!= L$5), 0, MATCH($Q$2, tblPiNHistorical[[#Headers],[CCCM]:[WASH]], 0))=$H64, 1, 0))))), "")</f>
        <v/>
      </c>
      <c r="M64" s="93" t="str" cm="1">
        <f t="array" ref="M64">IFERROR(IF(OR($H64="", M63=""), "", IF($H64=2, SUM(IF(INDEX(_xlfn._xlws.FILTER(tblPiNHistorical[[CCCM]:[WASH]],#REF!= M$5), 0, MATCH($Q$2, tblPiNHistorical[[#Headers],[CCCM]:[WASH]], 0))&gt;1.9, 1, 0)), IF(SUM(IF(INDEX(_xlfn._xlws.FILTER(tblPiNHistorical[[CCCM]:[WASH]],#REF!= M$5), 0, MATCH($Q$2, tblPiNHistorical[[#Headers],[CCCM]:[WASH]], 0))=$H64, 1, 0))=0, "", SUM(IF(INDEX(_xlfn._xlws.FILTER(tblPiNHistorical[[CCCM]:[WASH]],#REF!= M$5), 0, MATCH($Q$2, tblPiNHistorical[[#Headers],[CCCM]:[WASH]], 0))=$H64, 1, 0))))), "")</f>
        <v/>
      </c>
    </row>
    <row r="65" spans="1:13" x14ac:dyDescent="0.55000000000000004">
      <c r="A65" s="95"/>
      <c r="B65" s="93" t="str" cm="1">
        <f t="array" ref="B65">IF($A65="", "", IF(SUM(IF(INDEX(_xlfn._xlws.FILTER(tblPiNAnalysis[[CCCM%]:[WASH%]], tblPiNAnalysis[Population Group]=B$5), 0, MATCH(_xlfn.CONCAT($Q$2, "%"), tblPiNAnalysis[[#Headers],[CCCM%]:[WASH%]], 0))=$A65, 1, 0))=0, "",SUM(IF(INDEX(_xlfn._xlws.FILTER(tblPiNAnalysis[[CCCM%]:[WASH%]], tblPiNAnalysis[Population Group]=B$5), 0, MATCH(_xlfn.CONCAT($Q$2, "%"), tblPiNAnalysis[[#Headers],[CCCM%]:[WASH%]], 0))=$A65, 1, 0))))</f>
        <v/>
      </c>
      <c r="C65" s="93" t="str" cm="1">
        <f t="array" ref="C65">IFERROR(IF(OR($A65="", C$5=""), "", IF(SUM(IF(INDEX(_xlfn._xlws.FILTER(tblPiNAnalysis[[CCCM%]:[WASH%]], tblPiNAnalysis[Population Group]=C$5), 0, MATCH(_xlfn.CONCAT($Q$2, "%"), tblPiNAnalysis[[#Headers],[CCCM%]:[WASH%]], 0))=$A65, 1, 0))=0, "",SUM(IF(INDEX(_xlfn._xlws.FILTER(tblPiNAnalysis[[CCCM%]:[WASH%]], tblPiNAnalysis[Population Group]=C$5), 0, MATCH(_xlfn.CONCAT($Q$2, "%"), tblPiNAnalysis[[#Headers],[CCCM%]:[WASH%]], 0))=$A65, 1, 0)))), "")</f>
        <v/>
      </c>
      <c r="D65" s="93" t="str" cm="1">
        <f t="array" ref="D65">IFERROR(IF(OR($A65="", D$5=""), "", IF(SUM(IF(INDEX(_xlfn._xlws.FILTER(tblPiNAnalysis[[CCCM%]:[WASH%]], tblPiNAnalysis[Population Group]=D$5), 0, MATCH(_xlfn.CONCAT($Q$2, "%"), tblPiNAnalysis[[#Headers],[CCCM%]:[WASH%]], 0))=$A65, 1, 0))=0, "",SUM(IF(INDEX(_xlfn._xlws.FILTER(tblPiNAnalysis[[CCCM%]:[WASH%]], tblPiNAnalysis[Population Group]=D$5), 0, MATCH(_xlfn.CONCAT($Q$2, "%"), tblPiNAnalysis[[#Headers],[CCCM%]:[WASH%]], 0))=$A65, 1, 0)))), "")</f>
        <v/>
      </c>
      <c r="E65" s="93" t="str" cm="1">
        <f t="array" ref="E65">IFERROR(IF(OR($A65="", E$5=""), "", IF(SUM(IF(INDEX(_xlfn._xlws.FILTER(tblPiNAnalysis[[CCCM%]:[WASH%]], tblPiNAnalysis[Population Group]=E$5), 0, MATCH(_xlfn.CONCAT($Q$2, "%"), tblPiNAnalysis[[#Headers],[CCCM%]:[WASH%]], 0))=$A65, 1, 0))=0, "",SUM(IF(INDEX(_xlfn._xlws.FILTER(tblPiNAnalysis[[CCCM%]:[WASH%]], tblPiNAnalysis[Population Group]=E$5), 0, MATCH(_xlfn.CONCAT($Q$2, "%"), tblPiNAnalysis[[#Headers],[CCCM%]:[WASH%]], 0))=$A65, 1, 0)))), "")</f>
        <v/>
      </c>
      <c r="F65" s="93" t="str" cm="1">
        <f t="array" ref="F65">IFERROR(IF(OR($A65="", F$5=""), "", IF(SUM(IF(INDEX(_xlfn._xlws.FILTER(tblPiNAnalysis[[CCCM%]:[WASH%]], tblPiNAnalysis[CCCM]=F$5), 0, MATCH(_xlfn.CONCAT($Q$2, "%"), tblPiNAnalysis[[#Headers],[CCCM%]:[WASH%]], 0))=$A65, 1, 0))=0, "",SUM(IF(INDEX(_xlfn._xlws.FILTER(tblPiNAnalysis[[CCCM%]:[WASH%]], tblPiNAnalysis[CCCM]=F$5), 0, MATCH(_xlfn.CONCAT($Q$2, "%"), tblPiNAnalysis[[#Headers],[CCCM%]:[WASH%]], 0))=$A65, 1, 0)))), "")</f>
        <v/>
      </c>
      <c r="H65" s="95"/>
      <c r="I65" s="93" t="str" cm="1">
        <f t="array" ref="I65">IF($H65="", "", IF($H65=2, SUM(IF(INDEX(_xlfn._xlws.FILTER(tblPiNHistorical[[CCCM]:[WASH]], tblPiNHistorical[Population Group]=I$5), 0, MATCH($Q$2, tblPiNHistorical[[#Headers],[CCCM]:[WASH]], 0))&gt;1.9, 1, 0)), IF(SUM(IF(INDEX(_xlfn._xlws.FILTER(tblPiNHistorical[[CCCM]:[WASH]], tblPiNHistorical[Population Group]=I$5), 0, MATCH($Q$2, tblPiNHistorical[[#Headers],[CCCM]:[WASH]], 0))=$H65, 1, 0))=0, "", SUM(IF(INDEX(_xlfn._xlws.FILTER(tblPiNHistorical[[CCCM]:[WASH]], tblPiNHistorical[Population Group]=I$5), 0, MATCH($Q$2, tblPiNHistorical[[#Headers],[CCCM]:[WASH]], 0))=$H65, 1, 0)))))</f>
        <v/>
      </c>
      <c r="J65" s="93" t="str" cm="1">
        <f t="array" ref="J65">IFERROR(IF(OR($H65="", J64=""), "", IF($H65=2, SUM(IF(INDEX(_xlfn._xlws.FILTER(tblPiNHistorical[[CCCM]:[WASH]], tblPiNHistorical[Population Group]=J$5), 0, MATCH($Q$2, tblPiNHistorical[[#Headers],[CCCM]:[WASH]], 0))&gt;1.9, 1, 0)), IF(SUM(IF(INDEX(_xlfn._xlws.FILTER(tblPiNHistorical[[CCCM]:[WASH]], tblPiNHistorical[Population Group]=J$5), 0, MATCH($Q$2, tblPiNHistorical[[#Headers],[CCCM]:[WASH]], 0))=$H65, 1, 0))=0, "", SUM(IF(INDEX(_xlfn._xlws.FILTER(tblPiNHistorical[[CCCM]:[WASH]], tblPiNHistorical[Population Group]=J$5), 0, MATCH($Q$2, tblPiNHistorical[[#Headers],[CCCM]:[WASH]], 0))=$H65, 1, 0))))), "")</f>
        <v/>
      </c>
      <c r="K65" s="93" t="str" cm="1">
        <f t="array" ref="K65">IFERROR(IF(OR($H65="", K64=""), "", IF($H65=2, SUM(IF(INDEX(_xlfn._xlws.FILTER(tblPiNHistorical[[CCCM]:[WASH]], tblPiNHistorical[CCCM - old]=K$5), 0, MATCH($Q$2, tblPiNHistorical[[#Headers],[CCCM]:[WASH]], 0))&gt;1.9, 1, 0)), IF(SUM(IF(INDEX(_xlfn._xlws.FILTER(tblPiNHistorical[[CCCM]:[WASH]], tblPiNHistorical[CCCM - old]=K$5), 0, MATCH($Q$2, tblPiNHistorical[[#Headers],[CCCM]:[WASH]], 0))=$H65, 1, 0))=0, "", SUM(IF(INDEX(_xlfn._xlws.FILTER(tblPiNHistorical[[CCCM]:[WASH]], tblPiNHistorical[CCCM - old]=K$5), 0, MATCH($Q$2, tblPiNHistorical[[#Headers],[CCCM]:[WASH]], 0))=$H65, 1, 0))))), "")</f>
        <v/>
      </c>
      <c r="L65" s="93" t="str" cm="1">
        <f t="array" ref="L65">IFERROR(IF(OR($H65="", L64=""), "", IF($H65=2, SUM(IF(INDEX(_xlfn._xlws.FILTER(tblPiNHistorical[[CCCM]:[WASH]],#REF!= L$5), 0, MATCH($Q$2, tblPiNHistorical[[#Headers],[CCCM]:[WASH]], 0))&gt;1.9, 1, 0)), IF(SUM(IF(INDEX(_xlfn._xlws.FILTER(tblPiNHistorical[[CCCM]:[WASH]],#REF!= L$5), 0, MATCH($Q$2, tblPiNHistorical[[#Headers],[CCCM]:[WASH]], 0))=$H65, 1, 0))=0, "", SUM(IF(INDEX(_xlfn._xlws.FILTER(tblPiNHistorical[[CCCM]:[WASH]],#REF!= L$5), 0, MATCH($Q$2, tblPiNHistorical[[#Headers],[CCCM]:[WASH]], 0))=$H65, 1, 0))))), "")</f>
        <v/>
      </c>
      <c r="M65" s="93" t="str" cm="1">
        <f t="array" ref="M65">IFERROR(IF(OR($H65="", M64=""), "", IF($H65=2, SUM(IF(INDEX(_xlfn._xlws.FILTER(tblPiNHistorical[[CCCM]:[WASH]],#REF!= M$5), 0, MATCH($Q$2, tblPiNHistorical[[#Headers],[CCCM]:[WASH]], 0))&gt;1.9, 1, 0)), IF(SUM(IF(INDEX(_xlfn._xlws.FILTER(tblPiNHistorical[[CCCM]:[WASH]],#REF!= M$5), 0, MATCH($Q$2, tblPiNHistorical[[#Headers],[CCCM]:[WASH]], 0))=$H65, 1, 0))=0, "", SUM(IF(INDEX(_xlfn._xlws.FILTER(tblPiNHistorical[[CCCM]:[WASH]],#REF!= M$5), 0, MATCH($Q$2, tblPiNHistorical[[#Headers],[CCCM]:[WASH]], 0))=$H65, 1, 0))))), "")</f>
        <v/>
      </c>
    </row>
    <row r="66" spans="1:13" x14ac:dyDescent="0.55000000000000004">
      <c r="A66" s="95"/>
      <c r="B66" s="93" t="str" cm="1">
        <f t="array" ref="B66">IF($A66="", "", IF(SUM(IF(INDEX(_xlfn._xlws.FILTER(tblPiNAnalysis[[CCCM%]:[WASH%]], tblPiNAnalysis[Population Group]=B$5), 0, MATCH(_xlfn.CONCAT($Q$2, "%"), tblPiNAnalysis[[#Headers],[CCCM%]:[WASH%]], 0))=$A66, 1, 0))=0, "",SUM(IF(INDEX(_xlfn._xlws.FILTER(tblPiNAnalysis[[CCCM%]:[WASH%]], tblPiNAnalysis[Population Group]=B$5), 0, MATCH(_xlfn.CONCAT($Q$2, "%"), tblPiNAnalysis[[#Headers],[CCCM%]:[WASH%]], 0))=$A66, 1, 0))))</f>
        <v/>
      </c>
      <c r="C66" s="93" t="str" cm="1">
        <f t="array" ref="C66">IFERROR(IF(OR($A66="", C$5=""), "", IF(SUM(IF(INDEX(_xlfn._xlws.FILTER(tblPiNAnalysis[[CCCM%]:[WASH%]], tblPiNAnalysis[Population Group]=C$5), 0, MATCH(_xlfn.CONCAT($Q$2, "%"), tblPiNAnalysis[[#Headers],[CCCM%]:[WASH%]], 0))=$A66, 1, 0))=0, "",SUM(IF(INDEX(_xlfn._xlws.FILTER(tblPiNAnalysis[[CCCM%]:[WASH%]], tblPiNAnalysis[Population Group]=C$5), 0, MATCH(_xlfn.CONCAT($Q$2, "%"), tblPiNAnalysis[[#Headers],[CCCM%]:[WASH%]], 0))=$A66, 1, 0)))), "")</f>
        <v/>
      </c>
      <c r="D66" s="93" t="str" cm="1">
        <f t="array" ref="D66">IFERROR(IF(OR($A66="", D$5=""), "", IF(SUM(IF(INDEX(_xlfn._xlws.FILTER(tblPiNAnalysis[[CCCM%]:[WASH%]], tblPiNAnalysis[Population Group]=D$5), 0, MATCH(_xlfn.CONCAT($Q$2, "%"), tblPiNAnalysis[[#Headers],[CCCM%]:[WASH%]], 0))=$A66, 1, 0))=0, "",SUM(IF(INDEX(_xlfn._xlws.FILTER(tblPiNAnalysis[[CCCM%]:[WASH%]], tblPiNAnalysis[Population Group]=D$5), 0, MATCH(_xlfn.CONCAT($Q$2, "%"), tblPiNAnalysis[[#Headers],[CCCM%]:[WASH%]], 0))=$A66, 1, 0)))), "")</f>
        <v/>
      </c>
      <c r="E66" s="93" t="str" cm="1">
        <f t="array" ref="E66">IFERROR(IF(OR($A66="", E$5=""), "", IF(SUM(IF(INDEX(_xlfn._xlws.FILTER(tblPiNAnalysis[[CCCM%]:[WASH%]], tblPiNAnalysis[Population Group]=E$5), 0, MATCH(_xlfn.CONCAT($Q$2, "%"), tblPiNAnalysis[[#Headers],[CCCM%]:[WASH%]], 0))=$A66, 1, 0))=0, "",SUM(IF(INDEX(_xlfn._xlws.FILTER(tblPiNAnalysis[[CCCM%]:[WASH%]], tblPiNAnalysis[Population Group]=E$5), 0, MATCH(_xlfn.CONCAT($Q$2, "%"), tblPiNAnalysis[[#Headers],[CCCM%]:[WASH%]], 0))=$A66, 1, 0)))), "")</f>
        <v/>
      </c>
      <c r="F66" s="93" t="str" cm="1">
        <f t="array" ref="F66">IFERROR(IF(OR($A66="", F$5=""), "", IF(SUM(IF(INDEX(_xlfn._xlws.FILTER(tblPiNAnalysis[[CCCM%]:[WASH%]], tblPiNAnalysis[CCCM]=F$5), 0, MATCH(_xlfn.CONCAT($Q$2, "%"), tblPiNAnalysis[[#Headers],[CCCM%]:[WASH%]], 0))=$A66, 1, 0))=0, "",SUM(IF(INDEX(_xlfn._xlws.FILTER(tblPiNAnalysis[[CCCM%]:[WASH%]], tblPiNAnalysis[CCCM]=F$5), 0, MATCH(_xlfn.CONCAT($Q$2, "%"), tblPiNAnalysis[[#Headers],[CCCM%]:[WASH%]], 0))=$A66, 1, 0)))), "")</f>
        <v/>
      </c>
      <c r="H66" s="95"/>
      <c r="I66" s="93" t="str" cm="1">
        <f t="array" ref="I66">IF($H66="", "", IF($H66=2, SUM(IF(INDEX(_xlfn._xlws.FILTER(tblPiNHistorical[[CCCM]:[WASH]], tblPiNHistorical[Population Group]=I$5), 0, MATCH($Q$2, tblPiNHistorical[[#Headers],[CCCM]:[WASH]], 0))&gt;1.9, 1, 0)), IF(SUM(IF(INDEX(_xlfn._xlws.FILTER(tblPiNHistorical[[CCCM]:[WASH]], tblPiNHistorical[Population Group]=I$5), 0, MATCH($Q$2, tblPiNHistorical[[#Headers],[CCCM]:[WASH]], 0))=$H66, 1, 0))=0, "", SUM(IF(INDEX(_xlfn._xlws.FILTER(tblPiNHistorical[[CCCM]:[WASH]], tblPiNHistorical[Population Group]=I$5), 0, MATCH($Q$2, tblPiNHistorical[[#Headers],[CCCM]:[WASH]], 0))=$H66, 1, 0)))))</f>
        <v/>
      </c>
      <c r="J66" s="93" t="str" cm="1">
        <f t="array" ref="J66">IFERROR(IF(OR($H66="", J65=""), "", IF($H66=2, SUM(IF(INDEX(_xlfn._xlws.FILTER(tblPiNHistorical[[CCCM]:[WASH]], tblPiNHistorical[Population Group]=J$5), 0, MATCH($Q$2, tblPiNHistorical[[#Headers],[CCCM]:[WASH]], 0))&gt;1.9, 1, 0)), IF(SUM(IF(INDEX(_xlfn._xlws.FILTER(tblPiNHistorical[[CCCM]:[WASH]], tblPiNHistorical[Population Group]=J$5), 0, MATCH($Q$2, tblPiNHistorical[[#Headers],[CCCM]:[WASH]], 0))=$H66, 1, 0))=0, "", SUM(IF(INDEX(_xlfn._xlws.FILTER(tblPiNHistorical[[CCCM]:[WASH]], tblPiNHistorical[Population Group]=J$5), 0, MATCH($Q$2, tblPiNHistorical[[#Headers],[CCCM]:[WASH]], 0))=$H66, 1, 0))))), "")</f>
        <v/>
      </c>
      <c r="K66" s="93" t="str" cm="1">
        <f t="array" ref="K66">IFERROR(IF(OR($H66="", K65=""), "", IF($H66=2, SUM(IF(INDEX(_xlfn._xlws.FILTER(tblPiNHistorical[[CCCM]:[WASH]], tblPiNHistorical[CCCM - old]=K$5), 0, MATCH($Q$2, tblPiNHistorical[[#Headers],[CCCM]:[WASH]], 0))&gt;1.9, 1, 0)), IF(SUM(IF(INDEX(_xlfn._xlws.FILTER(tblPiNHistorical[[CCCM]:[WASH]], tblPiNHistorical[CCCM - old]=K$5), 0, MATCH($Q$2, tblPiNHistorical[[#Headers],[CCCM]:[WASH]], 0))=$H66, 1, 0))=0, "", SUM(IF(INDEX(_xlfn._xlws.FILTER(tblPiNHistorical[[CCCM]:[WASH]], tblPiNHistorical[CCCM - old]=K$5), 0, MATCH($Q$2, tblPiNHistorical[[#Headers],[CCCM]:[WASH]], 0))=$H66, 1, 0))))), "")</f>
        <v/>
      </c>
      <c r="L66" s="93" t="str" cm="1">
        <f t="array" ref="L66">IFERROR(IF(OR($H66="", L65=""), "", IF($H66=2, SUM(IF(INDEX(_xlfn._xlws.FILTER(tblPiNHistorical[[CCCM]:[WASH]],#REF!= L$5), 0, MATCH($Q$2, tblPiNHistorical[[#Headers],[CCCM]:[WASH]], 0))&gt;1.9, 1, 0)), IF(SUM(IF(INDEX(_xlfn._xlws.FILTER(tblPiNHistorical[[CCCM]:[WASH]],#REF!= L$5), 0, MATCH($Q$2, tblPiNHistorical[[#Headers],[CCCM]:[WASH]], 0))=$H66, 1, 0))=0, "", SUM(IF(INDEX(_xlfn._xlws.FILTER(tblPiNHistorical[[CCCM]:[WASH]],#REF!= L$5), 0, MATCH($Q$2, tblPiNHistorical[[#Headers],[CCCM]:[WASH]], 0))=$H66, 1, 0))))), "")</f>
        <v/>
      </c>
      <c r="M66" s="93" t="str" cm="1">
        <f t="array" ref="M66">IFERROR(IF(OR($H66="", M65=""), "", IF($H66=2, SUM(IF(INDEX(_xlfn._xlws.FILTER(tblPiNHistorical[[CCCM]:[WASH]],#REF!= M$5), 0, MATCH($Q$2, tblPiNHistorical[[#Headers],[CCCM]:[WASH]], 0))&gt;1.9, 1, 0)), IF(SUM(IF(INDEX(_xlfn._xlws.FILTER(tblPiNHistorical[[CCCM]:[WASH]],#REF!= M$5), 0, MATCH($Q$2, tblPiNHistorical[[#Headers],[CCCM]:[WASH]], 0))=$H66, 1, 0))=0, "", SUM(IF(INDEX(_xlfn._xlws.FILTER(tblPiNHistorical[[CCCM]:[WASH]],#REF!= M$5), 0, MATCH($Q$2, tblPiNHistorical[[#Headers],[CCCM]:[WASH]], 0))=$H66, 1, 0))))), "")</f>
        <v/>
      </c>
    </row>
    <row r="67" spans="1:13" x14ac:dyDescent="0.55000000000000004">
      <c r="A67" s="95"/>
      <c r="B67" s="93" t="str" cm="1">
        <f t="array" ref="B67">IF($A67="", "", IF(SUM(IF(INDEX(_xlfn._xlws.FILTER(tblPiNAnalysis[[CCCM%]:[WASH%]], tblPiNAnalysis[Population Group]=B$5), 0, MATCH(_xlfn.CONCAT($Q$2, "%"), tblPiNAnalysis[[#Headers],[CCCM%]:[WASH%]], 0))=$A67, 1, 0))=0, "",SUM(IF(INDEX(_xlfn._xlws.FILTER(tblPiNAnalysis[[CCCM%]:[WASH%]], tblPiNAnalysis[Population Group]=B$5), 0, MATCH(_xlfn.CONCAT($Q$2, "%"), tblPiNAnalysis[[#Headers],[CCCM%]:[WASH%]], 0))=$A67, 1, 0))))</f>
        <v/>
      </c>
      <c r="C67" s="93" t="str" cm="1">
        <f t="array" ref="C67">IFERROR(IF(OR($A67="", C$5=""), "", IF(SUM(IF(INDEX(_xlfn._xlws.FILTER(tblPiNAnalysis[[CCCM%]:[WASH%]], tblPiNAnalysis[Population Group]=C$5), 0, MATCH(_xlfn.CONCAT($Q$2, "%"), tblPiNAnalysis[[#Headers],[CCCM%]:[WASH%]], 0))=$A67, 1, 0))=0, "",SUM(IF(INDEX(_xlfn._xlws.FILTER(tblPiNAnalysis[[CCCM%]:[WASH%]], tblPiNAnalysis[Population Group]=C$5), 0, MATCH(_xlfn.CONCAT($Q$2, "%"), tblPiNAnalysis[[#Headers],[CCCM%]:[WASH%]], 0))=$A67, 1, 0)))), "")</f>
        <v/>
      </c>
      <c r="D67" s="93" t="str" cm="1">
        <f t="array" ref="D67">IFERROR(IF(OR($A67="", D$5=""), "", IF(SUM(IF(INDEX(_xlfn._xlws.FILTER(tblPiNAnalysis[[CCCM%]:[WASH%]], tblPiNAnalysis[Population Group]=D$5), 0, MATCH(_xlfn.CONCAT($Q$2, "%"), tblPiNAnalysis[[#Headers],[CCCM%]:[WASH%]], 0))=$A67, 1, 0))=0, "",SUM(IF(INDEX(_xlfn._xlws.FILTER(tblPiNAnalysis[[CCCM%]:[WASH%]], tblPiNAnalysis[Population Group]=D$5), 0, MATCH(_xlfn.CONCAT($Q$2, "%"), tblPiNAnalysis[[#Headers],[CCCM%]:[WASH%]], 0))=$A67, 1, 0)))), "")</f>
        <v/>
      </c>
      <c r="E67" s="93" t="str" cm="1">
        <f t="array" ref="E67">IFERROR(IF(OR($A67="", E$5=""), "", IF(SUM(IF(INDEX(_xlfn._xlws.FILTER(tblPiNAnalysis[[CCCM%]:[WASH%]], tblPiNAnalysis[Population Group]=E$5), 0, MATCH(_xlfn.CONCAT($Q$2, "%"), tblPiNAnalysis[[#Headers],[CCCM%]:[WASH%]], 0))=$A67, 1, 0))=0, "",SUM(IF(INDEX(_xlfn._xlws.FILTER(tblPiNAnalysis[[CCCM%]:[WASH%]], tblPiNAnalysis[Population Group]=E$5), 0, MATCH(_xlfn.CONCAT($Q$2, "%"), tblPiNAnalysis[[#Headers],[CCCM%]:[WASH%]], 0))=$A67, 1, 0)))), "")</f>
        <v/>
      </c>
      <c r="F67" s="93" t="str" cm="1">
        <f t="array" ref="F67">IFERROR(IF(OR($A67="", F$5=""), "", IF(SUM(IF(INDEX(_xlfn._xlws.FILTER(tblPiNAnalysis[[CCCM%]:[WASH%]], tblPiNAnalysis[CCCM]=F$5), 0, MATCH(_xlfn.CONCAT($Q$2, "%"), tblPiNAnalysis[[#Headers],[CCCM%]:[WASH%]], 0))=$A67, 1, 0))=0, "",SUM(IF(INDEX(_xlfn._xlws.FILTER(tblPiNAnalysis[[CCCM%]:[WASH%]], tblPiNAnalysis[CCCM]=F$5), 0, MATCH(_xlfn.CONCAT($Q$2, "%"), tblPiNAnalysis[[#Headers],[CCCM%]:[WASH%]], 0))=$A67, 1, 0)))), "")</f>
        <v/>
      </c>
      <c r="H67" s="95"/>
      <c r="I67" s="93" t="str" cm="1">
        <f t="array" ref="I67">IF($H67="", "", IF($H67=2, SUM(IF(INDEX(_xlfn._xlws.FILTER(tblPiNHistorical[[CCCM]:[WASH]], tblPiNHistorical[Population Group]=I$5), 0, MATCH($Q$2, tblPiNHistorical[[#Headers],[CCCM]:[WASH]], 0))&gt;1.9, 1, 0)), IF(SUM(IF(INDEX(_xlfn._xlws.FILTER(tblPiNHistorical[[CCCM]:[WASH]], tblPiNHistorical[Population Group]=I$5), 0, MATCH($Q$2, tblPiNHistorical[[#Headers],[CCCM]:[WASH]], 0))=$H67, 1, 0))=0, "", SUM(IF(INDEX(_xlfn._xlws.FILTER(tblPiNHistorical[[CCCM]:[WASH]], tblPiNHistorical[Population Group]=I$5), 0, MATCH($Q$2, tblPiNHistorical[[#Headers],[CCCM]:[WASH]], 0))=$H67, 1, 0)))))</f>
        <v/>
      </c>
      <c r="J67" s="93" t="str" cm="1">
        <f t="array" ref="J67">IFERROR(IF(OR($H67="", J66=""), "", IF($H67=2, SUM(IF(INDEX(_xlfn._xlws.FILTER(tblPiNHistorical[[CCCM]:[WASH]], tblPiNHistorical[Population Group]=J$5), 0, MATCH($Q$2, tblPiNHistorical[[#Headers],[CCCM]:[WASH]], 0))&gt;1.9, 1, 0)), IF(SUM(IF(INDEX(_xlfn._xlws.FILTER(tblPiNHistorical[[CCCM]:[WASH]], tblPiNHistorical[Population Group]=J$5), 0, MATCH($Q$2, tblPiNHistorical[[#Headers],[CCCM]:[WASH]], 0))=$H67, 1, 0))=0, "", SUM(IF(INDEX(_xlfn._xlws.FILTER(tblPiNHistorical[[CCCM]:[WASH]], tblPiNHistorical[Population Group]=J$5), 0, MATCH($Q$2, tblPiNHistorical[[#Headers],[CCCM]:[WASH]], 0))=$H67, 1, 0))))), "")</f>
        <v/>
      </c>
      <c r="K67" s="93" t="str" cm="1">
        <f t="array" ref="K67">IFERROR(IF(OR($H67="", K66=""), "", IF($H67=2, SUM(IF(INDEX(_xlfn._xlws.FILTER(tblPiNHistorical[[CCCM]:[WASH]], tblPiNHistorical[CCCM - old]=K$5), 0, MATCH($Q$2, tblPiNHistorical[[#Headers],[CCCM]:[WASH]], 0))&gt;1.9, 1, 0)), IF(SUM(IF(INDEX(_xlfn._xlws.FILTER(tblPiNHistorical[[CCCM]:[WASH]], tblPiNHistorical[CCCM - old]=K$5), 0, MATCH($Q$2, tblPiNHistorical[[#Headers],[CCCM]:[WASH]], 0))=$H67, 1, 0))=0, "", SUM(IF(INDEX(_xlfn._xlws.FILTER(tblPiNHistorical[[CCCM]:[WASH]], tblPiNHistorical[CCCM - old]=K$5), 0, MATCH($Q$2, tblPiNHistorical[[#Headers],[CCCM]:[WASH]], 0))=$H67, 1, 0))))), "")</f>
        <v/>
      </c>
      <c r="L67" s="93" t="str" cm="1">
        <f t="array" ref="L67">IFERROR(IF(OR($H67="", L66=""), "", IF($H67=2, SUM(IF(INDEX(_xlfn._xlws.FILTER(tblPiNHistorical[[CCCM]:[WASH]],#REF!= L$5), 0, MATCH($Q$2, tblPiNHistorical[[#Headers],[CCCM]:[WASH]], 0))&gt;1.9, 1, 0)), IF(SUM(IF(INDEX(_xlfn._xlws.FILTER(tblPiNHistorical[[CCCM]:[WASH]],#REF!= L$5), 0, MATCH($Q$2, tblPiNHistorical[[#Headers],[CCCM]:[WASH]], 0))=$H67, 1, 0))=0, "", SUM(IF(INDEX(_xlfn._xlws.FILTER(tblPiNHistorical[[CCCM]:[WASH]],#REF!= L$5), 0, MATCH($Q$2, tblPiNHistorical[[#Headers],[CCCM]:[WASH]], 0))=$H67, 1, 0))))), "")</f>
        <v/>
      </c>
      <c r="M67" s="93" t="str" cm="1">
        <f t="array" ref="M67">IFERROR(IF(OR($H67="", M66=""), "", IF($H67=2, SUM(IF(INDEX(_xlfn._xlws.FILTER(tblPiNHistorical[[CCCM]:[WASH]],#REF!= M$5), 0, MATCH($Q$2, tblPiNHistorical[[#Headers],[CCCM]:[WASH]], 0))&gt;1.9, 1, 0)), IF(SUM(IF(INDEX(_xlfn._xlws.FILTER(tblPiNHistorical[[CCCM]:[WASH]],#REF!= M$5), 0, MATCH($Q$2, tblPiNHistorical[[#Headers],[CCCM]:[WASH]], 0))=$H67, 1, 0))=0, "", SUM(IF(INDEX(_xlfn._xlws.FILTER(tblPiNHistorical[[CCCM]:[WASH]],#REF!= M$5), 0, MATCH($Q$2, tblPiNHistorical[[#Headers],[CCCM]:[WASH]], 0))=$H67, 1, 0))))), "")</f>
        <v/>
      </c>
    </row>
    <row r="68" spans="1:13" x14ac:dyDescent="0.55000000000000004">
      <c r="A68" s="95"/>
      <c r="B68" s="93" t="str" cm="1">
        <f t="array" ref="B68">IF($A68="", "", IF(SUM(IF(INDEX(_xlfn._xlws.FILTER(tblPiNAnalysis[[CCCM%]:[WASH%]], tblPiNAnalysis[Population Group]=B$5), 0, MATCH(_xlfn.CONCAT($Q$2, "%"), tblPiNAnalysis[[#Headers],[CCCM%]:[WASH%]], 0))=$A68, 1, 0))=0, "",SUM(IF(INDEX(_xlfn._xlws.FILTER(tblPiNAnalysis[[CCCM%]:[WASH%]], tblPiNAnalysis[Population Group]=B$5), 0, MATCH(_xlfn.CONCAT($Q$2, "%"), tblPiNAnalysis[[#Headers],[CCCM%]:[WASH%]], 0))=$A68, 1, 0))))</f>
        <v/>
      </c>
      <c r="C68" s="93" t="str" cm="1">
        <f t="array" ref="C68">IFERROR(IF(OR($A68="", C$5=""), "", IF(SUM(IF(INDEX(_xlfn._xlws.FILTER(tblPiNAnalysis[[CCCM%]:[WASH%]], tblPiNAnalysis[Population Group]=C$5), 0, MATCH(_xlfn.CONCAT($Q$2, "%"), tblPiNAnalysis[[#Headers],[CCCM%]:[WASH%]], 0))=$A68, 1, 0))=0, "",SUM(IF(INDEX(_xlfn._xlws.FILTER(tblPiNAnalysis[[CCCM%]:[WASH%]], tblPiNAnalysis[Population Group]=C$5), 0, MATCH(_xlfn.CONCAT($Q$2, "%"), tblPiNAnalysis[[#Headers],[CCCM%]:[WASH%]], 0))=$A68, 1, 0)))), "")</f>
        <v/>
      </c>
      <c r="D68" s="93" t="str" cm="1">
        <f t="array" ref="D68">IFERROR(IF(OR($A68="", D$5=""), "", IF(SUM(IF(INDEX(_xlfn._xlws.FILTER(tblPiNAnalysis[[CCCM%]:[WASH%]], tblPiNAnalysis[Population Group]=D$5), 0, MATCH(_xlfn.CONCAT($Q$2, "%"), tblPiNAnalysis[[#Headers],[CCCM%]:[WASH%]], 0))=$A68, 1, 0))=0, "",SUM(IF(INDEX(_xlfn._xlws.FILTER(tblPiNAnalysis[[CCCM%]:[WASH%]], tblPiNAnalysis[Population Group]=D$5), 0, MATCH(_xlfn.CONCAT($Q$2, "%"), tblPiNAnalysis[[#Headers],[CCCM%]:[WASH%]], 0))=$A68, 1, 0)))), "")</f>
        <v/>
      </c>
      <c r="E68" s="93" t="str" cm="1">
        <f t="array" ref="E68">IFERROR(IF(OR($A68="", E$5=""), "", IF(SUM(IF(INDEX(_xlfn._xlws.FILTER(tblPiNAnalysis[[CCCM%]:[WASH%]], tblPiNAnalysis[Population Group]=E$5), 0, MATCH(_xlfn.CONCAT($Q$2, "%"), tblPiNAnalysis[[#Headers],[CCCM%]:[WASH%]], 0))=$A68, 1, 0))=0, "",SUM(IF(INDEX(_xlfn._xlws.FILTER(tblPiNAnalysis[[CCCM%]:[WASH%]], tblPiNAnalysis[Population Group]=E$5), 0, MATCH(_xlfn.CONCAT($Q$2, "%"), tblPiNAnalysis[[#Headers],[CCCM%]:[WASH%]], 0))=$A68, 1, 0)))), "")</f>
        <v/>
      </c>
      <c r="F68" s="93" t="str" cm="1">
        <f t="array" ref="F68">IFERROR(IF(OR($A68="", F$5=""), "", IF(SUM(IF(INDEX(_xlfn._xlws.FILTER(tblPiNAnalysis[[CCCM%]:[WASH%]], tblPiNAnalysis[CCCM]=F$5), 0, MATCH(_xlfn.CONCAT($Q$2, "%"), tblPiNAnalysis[[#Headers],[CCCM%]:[WASH%]], 0))=$A68, 1, 0))=0, "",SUM(IF(INDEX(_xlfn._xlws.FILTER(tblPiNAnalysis[[CCCM%]:[WASH%]], tblPiNAnalysis[CCCM]=F$5), 0, MATCH(_xlfn.CONCAT($Q$2, "%"), tblPiNAnalysis[[#Headers],[CCCM%]:[WASH%]], 0))=$A68, 1, 0)))), "")</f>
        <v/>
      </c>
      <c r="H68" s="95"/>
      <c r="I68" s="93" t="str" cm="1">
        <f t="array" ref="I68">IF($H68="", "", IF($H68=2, SUM(IF(INDEX(_xlfn._xlws.FILTER(tblPiNHistorical[[CCCM]:[WASH]], tblPiNHistorical[Population Group]=I$5), 0, MATCH($Q$2, tblPiNHistorical[[#Headers],[CCCM]:[WASH]], 0))&gt;1.9, 1, 0)), IF(SUM(IF(INDEX(_xlfn._xlws.FILTER(tblPiNHistorical[[CCCM]:[WASH]], tblPiNHistorical[Population Group]=I$5), 0, MATCH($Q$2, tblPiNHistorical[[#Headers],[CCCM]:[WASH]], 0))=$H68, 1, 0))=0, "", SUM(IF(INDEX(_xlfn._xlws.FILTER(tblPiNHistorical[[CCCM]:[WASH]], tblPiNHistorical[Population Group]=I$5), 0, MATCH($Q$2, tblPiNHistorical[[#Headers],[CCCM]:[WASH]], 0))=$H68, 1, 0)))))</f>
        <v/>
      </c>
      <c r="J68" s="93" t="str" cm="1">
        <f t="array" ref="J68">IFERROR(IF(OR($H68="", J67=""), "", IF($H68=2, SUM(IF(INDEX(_xlfn._xlws.FILTER(tblPiNHistorical[[CCCM]:[WASH]], tblPiNHistorical[Population Group]=J$5), 0, MATCH($Q$2, tblPiNHistorical[[#Headers],[CCCM]:[WASH]], 0))&gt;1.9, 1, 0)), IF(SUM(IF(INDEX(_xlfn._xlws.FILTER(tblPiNHistorical[[CCCM]:[WASH]], tblPiNHistorical[Population Group]=J$5), 0, MATCH($Q$2, tblPiNHistorical[[#Headers],[CCCM]:[WASH]], 0))=$H68, 1, 0))=0, "", SUM(IF(INDEX(_xlfn._xlws.FILTER(tblPiNHistorical[[CCCM]:[WASH]], tblPiNHistorical[Population Group]=J$5), 0, MATCH($Q$2, tblPiNHistorical[[#Headers],[CCCM]:[WASH]], 0))=$H68, 1, 0))))), "")</f>
        <v/>
      </c>
      <c r="K68" s="93" t="str" cm="1">
        <f t="array" ref="K68">IFERROR(IF(OR($H68="", K67=""), "", IF($H68=2, SUM(IF(INDEX(_xlfn._xlws.FILTER(tblPiNHistorical[[CCCM]:[WASH]], tblPiNHistorical[CCCM - old]=K$5), 0, MATCH($Q$2, tblPiNHistorical[[#Headers],[CCCM]:[WASH]], 0))&gt;1.9, 1, 0)), IF(SUM(IF(INDEX(_xlfn._xlws.FILTER(tblPiNHistorical[[CCCM]:[WASH]], tblPiNHistorical[CCCM - old]=K$5), 0, MATCH($Q$2, tblPiNHistorical[[#Headers],[CCCM]:[WASH]], 0))=$H68, 1, 0))=0, "", SUM(IF(INDEX(_xlfn._xlws.FILTER(tblPiNHistorical[[CCCM]:[WASH]], tblPiNHistorical[CCCM - old]=K$5), 0, MATCH($Q$2, tblPiNHistorical[[#Headers],[CCCM]:[WASH]], 0))=$H68, 1, 0))))), "")</f>
        <v/>
      </c>
      <c r="L68" s="93" t="str" cm="1">
        <f t="array" ref="L68">IFERROR(IF(OR($H68="", L67=""), "", IF($H68=2, SUM(IF(INDEX(_xlfn._xlws.FILTER(tblPiNHistorical[[CCCM]:[WASH]],#REF!= L$5), 0, MATCH($Q$2, tblPiNHistorical[[#Headers],[CCCM]:[WASH]], 0))&gt;1.9, 1, 0)), IF(SUM(IF(INDEX(_xlfn._xlws.FILTER(tblPiNHistorical[[CCCM]:[WASH]],#REF!= L$5), 0, MATCH($Q$2, tblPiNHistorical[[#Headers],[CCCM]:[WASH]], 0))=$H68, 1, 0))=0, "", SUM(IF(INDEX(_xlfn._xlws.FILTER(tblPiNHistorical[[CCCM]:[WASH]],#REF!= L$5), 0, MATCH($Q$2, tblPiNHistorical[[#Headers],[CCCM]:[WASH]], 0))=$H68, 1, 0))))), "")</f>
        <v/>
      </c>
      <c r="M68" s="93" t="str" cm="1">
        <f t="array" ref="M68">IFERROR(IF(OR($H68="", M67=""), "", IF($H68=2, SUM(IF(INDEX(_xlfn._xlws.FILTER(tblPiNHistorical[[CCCM]:[WASH]],#REF!= M$5), 0, MATCH($Q$2, tblPiNHistorical[[#Headers],[CCCM]:[WASH]], 0))&gt;1.9, 1, 0)), IF(SUM(IF(INDEX(_xlfn._xlws.FILTER(tblPiNHistorical[[CCCM]:[WASH]],#REF!= M$5), 0, MATCH($Q$2, tblPiNHistorical[[#Headers],[CCCM]:[WASH]], 0))=$H68, 1, 0))=0, "", SUM(IF(INDEX(_xlfn._xlws.FILTER(tblPiNHistorical[[CCCM]:[WASH]],#REF!= M$5), 0, MATCH($Q$2, tblPiNHistorical[[#Headers],[CCCM]:[WASH]], 0))=$H68, 1, 0))))), "")</f>
        <v/>
      </c>
    </row>
    <row r="69" spans="1:13" x14ac:dyDescent="0.55000000000000004">
      <c r="A69" s="95"/>
      <c r="B69" s="93" t="str" cm="1">
        <f t="array" ref="B69">IF($A69="", "", IF(SUM(IF(INDEX(_xlfn._xlws.FILTER(tblPiNAnalysis[[CCCM%]:[WASH%]], tblPiNAnalysis[Population Group]=B$5), 0, MATCH(_xlfn.CONCAT($Q$2, "%"), tblPiNAnalysis[[#Headers],[CCCM%]:[WASH%]], 0))=$A69, 1, 0))=0, "",SUM(IF(INDEX(_xlfn._xlws.FILTER(tblPiNAnalysis[[CCCM%]:[WASH%]], tblPiNAnalysis[Population Group]=B$5), 0, MATCH(_xlfn.CONCAT($Q$2, "%"), tblPiNAnalysis[[#Headers],[CCCM%]:[WASH%]], 0))=$A69, 1, 0))))</f>
        <v/>
      </c>
      <c r="C69" s="93" t="str" cm="1">
        <f t="array" ref="C69">IFERROR(IF(OR($A69="", C$5=""), "", IF(SUM(IF(INDEX(_xlfn._xlws.FILTER(tblPiNAnalysis[[CCCM%]:[WASH%]], tblPiNAnalysis[Population Group]=C$5), 0, MATCH(_xlfn.CONCAT($Q$2, "%"), tblPiNAnalysis[[#Headers],[CCCM%]:[WASH%]], 0))=$A69, 1, 0))=0, "",SUM(IF(INDEX(_xlfn._xlws.FILTER(tblPiNAnalysis[[CCCM%]:[WASH%]], tblPiNAnalysis[Population Group]=C$5), 0, MATCH(_xlfn.CONCAT($Q$2, "%"), tblPiNAnalysis[[#Headers],[CCCM%]:[WASH%]], 0))=$A69, 1, 0)))), "")</f>
        <v/>
      </c>
      <c r="D69" s="93" t="str" cm="1">
        <f t="array" ref="D69">IFERROR(IF(OR($A69="", D$5=""), "", IF(SUM(IF(INDEX(_xlfn._xlws.FILTER(tblPiNAnalysis[[CCCM%]:[WASH%]], tblPiNAnalysis[Population Group]=D$5), 0, MATCH(_xlfn.CONCAT($Q$2, "%"), tblPiNAnalysis[[#Headers],[CCCM%]:[WASH%]], 0))=$A69, 1, 0))=0, "",SUM(IF(INDEX(_xlfn._xlws.FILTER(tblPiNAnalysis[[CCCM%]:[WASH%]], tblPiNAnalysis[Population Group]=D$5), 0, MATCH(_xlfn.CONCAT($Q$2, "%"), tblPiNAnalysis[[#Headers],[CCCM%]:[WASH%]], 0))=$A69, 1, 0)))), "")</f>
        <v/>
      </c>
      <c r="E69" s="93" t="str" cm="1">
        <f t="array" ref="E69">IFERROR(IF(OR($A69="", E$5=""), "", IF(SUM(IF(INDEX(_xlfn._xlws.FILTER(tblPiNAnalysis[[CCCM%]:[WASH%]], tblPiNAnalysis[Population Group]=E$5), 0, MATCH(_xlfn.CONCAT($Q$2, "%"), tblPiNAnalysis[[#Headers],[CCCM%]:[WASH%]], 0))=$A69, 1, 0))=0, "",SUM(IF(INDEX(_xlfn._xlws.FILTER(tblPiNAnalysis[[CCCM%]:[WASH%]], tblPiNAnalysis[Population Group]=E$5), 0, MATCH(_xlfn.CONCAT($Q$2, "%"), tblPiNAnalysis[[#Headers],[CCCM%]:[WASH%]], 0))=$A69, 1, 0)))), "")</f>
        <v/>
      </c>
      <c r="F69" s="93" t="str" cm="1">
        <f t="array" ref="F69">IFERROR(IF(OR($A69="", F$5=""), "", IF(SUM(IF(INDEX(_xlfn._xlws.FILTER(tblPiNAnalysis[[CCCM%]:[WASH%]], tblPiNAnalysis[CCCM]=F$5), 0, MATCH(_xlfn.CONCAT($Q$2, "%"), tblPiNAnalysis[[#Headers],[CCCM%]:[WASH%]], 0))=$A69, 1, 0))=0, "",SUM(IF(INDEX(_xlfn._xlws.FILTER(tblPiNAnalysis[[CCCM%]:[WASH%]], tblPiNAnalysis[CCCM]=F$5), 0, MATCH(_xlfn.CONCAT($Q$2, "%"), tblPiNAnalysis[[#Headers],[CCCM%]:[WASH%]], 0))=$A69, 1, 0)))), "")</f>
        <v/>
      </c>
      <c r="H69" s="95"/>
      <c r="I69" s="93" t="str" cm="1">
        <f t="array" ref="I69">IF($H69="", "", IF($H69=2, SUM(IF(INDEX(_xlfn._xlws.FILTER(tblPiNHistorical[[CCCM]:[WASH]], tblPiNHistorical[Population Group]=I$5), 0, MATCH($Q$2, tblPiNHistorical[[#Headers],[CCCM]:[WASH]], 0))&gt;1.9, 1, 0)), IF(SUM(IF(INDEX(_xlfn._xlws.FILTER(tblPiNHistorical[[CCCM]:[WASH]], tblPiNHistorical[Population Group]=I$5), 0, MATCH($Q$2, tblPiNHistorical[[#Headers],[CCCM]:[WASH]], 0))=$H69, 1, 0))=0, "", SUM(IF(INDEX(_xlfn._xlws.FILTER(tblPiNHistorical[[CCCM]:[WASH]], tblPiNHistorical[Population Group]=I$5), 0, MATCH($Q$2, tblPiNHistorical[[#Headers],[CCCM]:[WASH]], 0))=$H69, 1, 0)))))</f>
        <v/>
      </c>
      <c r="J69" s="93" t="str" cm="1">
        <f t="array" ref="J69">IFERROR(IF(OR($H69="", J68=""), "", IF($H69=2, SUM(IF(INDEX(_xlfn._xlws.FILTER(tblPiNHistorical[[CCCM]:[WASH]], tblPiNHistorical[Population Group]=J$5), 0, MATCH($Q$2, tblPiNHistorical[[#Headers],[CCCM]:[WASH]], 0))&gt;1.9, 1, 0)), IF(SUM(IF(INDEX(_xlfn._xlws.FILTER(tblPiNHistorical[[CCCM]:[WASH]], tblPiNHistorical[Population Group]=J$5), 0, MATCH($Q$2, tblPiNHistorical[[#Headers],[CCCM]:[WASH]], 0))=$H69, 1, 0))=0, "", SUM(IF(INDEX(_xlfn._xlws.FILTER(tblPiNHistorical[[CCCM]:[WASH]], tblPiNHistorical[Population Group]=J$5), 0, MATCH($Q$2, tblPiNHistorical[[#Headers],[CCCM]:[WASH]], 0))=$H69, 1, 0))))), "")</f>
        <v/>
      </c>
      <c r="K69" s="93" t="str" cm="1">
        <f t="array" ref="K69">IFERROR(IF(OR($H69="", K68=""), "", IF($H69=2, SUM(IF(INDEX(_xlfn._xlws.FILTER(tblPiNHistorical[[CCCM]:[WASH]], tblPiNHistorical[CCCM - old]=K$5), 0, MATCH($Q$2, tblPiNHistorical[[#Headers],[CCCM]:[WASH]], 0))&gt;1.9, 1, 0)), IF(SUM(IF(INDEX(_xlfn._xlws.FILTER(tblPiNHistorical[[CCCM]:[WASH]], tblPiNHistorical[CCCM - old]=K$5), 0, MATCH($Q$2, tblPiNHistorical[[#Headers],[CCCM]:[WASH]], 0))=$H69, 1, 0))=0, "", SUM(IF(INDEX(_xlfn._xlws.FILTER(tblPiNHistorical[[CCCM]:[WASH]], tblPiNHistorical[CCCM - old]=K$5), 0, MATCH($Q$2, tblPiNHistorical[[#Headers],[CCCM]:[WASH]], 0))=$H69, 1, 0))))), "")</f>
        <v/>
      </c>
      <c r="L69" s="93" t="str" cm="1">
        <f t="array" ref="L69">IFERROR(IF(OR($H69="", L68=""), "", IF($H69=2, SUM(IF(INDEX(_xlfn._xlws.FILTER(tblPiNHistorical[[CCCM]:[WASH]],#REF!= L$5), 0, MATCH($Q$2, tblPiNHistorical[[#Headers],[CCCM]:[WASH]], 0))&gt;1.9, 1, 0)), IF(SUM(IF(INDEX(_xlfn._xlws.FILTER(tblPiNHistorical[[CCCM]:[WASH]],#REF!= L$5), 0, MATCH($Q$2, tblPiNHistorical[[#Headers],[CCCM]:[WASH]], 0))=$H69, 1, 0))=0, "", SUM(IF(INDEX(_xlfn._xlws.FILTER(tblPiNHistorical[[CCCM]:[WASH]],#REF!= L$5), 0, MATCH($Q$2, tblPiNHistorical[[#Headers],[CCCM]:[WASH]], 0))=$H69, 1, 0))))), "")</f>
        <v/>
      </c>
      <c r="M69" s="93" t="str" cm="1">
        <f t="array" ref="M69">IFERROR(IF(OR($H69="", M68=""), "", IF($H69=2, SUM(IF(INDEX(_xlfn._xlws.FILTER(tblPiNHistorical[[CCCM]:[WASH]],#REF!= M$5), 0, MATCH($Q$2, tblPiNHistorical[[#Headers],[CCCM]:[WASH]], 0))&gt;1.9, 1, 0)), IF(SUM(IF(INDEX(_xlfn._xlws.FILTER(tblPiNHistorical[[CCCM]:[WASH]],#REF!= M$5), 0, MATCH($Q$2, tblPiNHistorical[[#Headers],[CCCM]:[WASH]], 0))=$H69, 1, 0))=0, "", SUM(IF(INDEX(_xlfn._xlws.FILTER(tblPiNHistorical[[CCCM]:[WASH]],#REF!= M$5), 0, MATCH($Q$2, tblPiNHistorical[[#Headers],[CCCM]:[WASH]], 0))=$H69, 1, 0))))), "")</f>
        <v/>
      </c>
    </row>
    <row r="70" spans="1:13" x14ac:dyDescent="0.55000000000000004">
      <c r="A70" s="95"/>
      <c r="B70" s="93" t="str" cm="1">
        <f t="array" ref="B70">IF($A70="", "", IF(SUM(IF(INDEX(_xlfn._xlws.FILTER(tblPiNAnalysis[[CCCM%]:[WASH%]], tblPiNAnalysis[Population Group]=B$5), 0, MATCH(_xlfn.CONCAT($Q$2, "%"), tblPiNAnalysis[[#Headers],[CCCM%]:[WASH%]], 0))=$A70, 1, 0))=0, "",SUM(IF(INDEX(_xlfn._xlws.FILTER(tblPiNAnalysis[[CCCM%]:[WASH%]], tblPiNAnalysis[Population Group]=B$5), 0, MATCH(_xlfn.CONCAT($Q$2, "%"), tblPiNAnalysis[[#Headers],[CCCM%]:[WASH%]], 0))=$A70, 1, 0))))</f>
        <v/>
      </c>
      <c r="C70" s="93" t="str" cm="1">
        <f t="array" ref="C70">IFERROR(IF(OR($A70="", C$5=""), "", IF(SUM(IF(INDEX(_xlfn._xlws.FILTER(tblPiNAnalysis[[CCCM%]:[WASH%]], tblPiNAnalysis[Population Group]=C$5), 0, MATCH(_xlfn.CONCAT($Q$2, "%"), tblPiNAnalysis[[#Headers],[CCCM%]:[WASH%]], 0))=$A70, 1, 0))=0, "",SUM(IF(INDEX(_xlfn._xlws.FILTER(tblPiNAnalysis[[CCCM%]:[WASH%]], tblPiNAnalysis[Population Group]=C$5), 0, MATCH(_xlfn.CONCAT($Q$2, "%"), tblPiNAnalysis[[#Headers],[CCCM%]:[WASH%]], 0))=$A70, 1, 0)))), "")</f>
        <v/>
      </c>
      <c r="D70" s="93" t="str" cm="1">
        <f t="array" ref="D70">IFERROR(IF(OR($A70="", D$5=""), "", IF(SUM(IF(INDEX(_xlfn._xlws.FILTER(tblPiNAnalysis[[CCCM%]:[WASH%]], tblPiNAnalysis[Population Group]=D$5), 0, MATCH(_xlfn.CONCAT($Q$2, "%"), tblPiNAnalysis[[#Headers],[CCCM%]:[WASH%]], 0))=$A70, 1, 0))=0, "",SUM(IF(INDEX(_xlfn._xlws.FILTER(tblPiNAnalysis[[CCCM%]:[WASH%]], tblPiNAnalysis[Population Group]=D$5), 0, MATCH(_xlfn.CONCAT($Q$2, "%"), tblPiNAnalysis[[#Headers],[CCCM%]:[WASH%]], 0))=$A70, 1, 0)))), "")</f>
        <v/>
      </c>
      <c r="E70" s="93" t="str" cm="1">
        <f t="array" ref="E70">IFERROR(IF(OR($A70="", E$5=""), "", IF(SUM(IF(INDEX(_xlfn._xlws.FILTER(tblPiNAnalysis[[CCCM%]:[WASH%]], tblPiNAnalysis[Population Group]=E$5), 0, MATCH(_xlfn.CONCAT($Q$2, "%"), tblPiNAnalysis[[#Headers],[CCCM%]:[WASH%]], 0))=$A70, 1, 0))=0, "",SUM(IF(INDEX(_xlfn._xlws.FILTER(tblPiNAnalysis[[CCCM%]:[WASH%]], tblPiNAnalysis[Population Group]=E$5), 0, MATCH(_xlfn.CONCAT($Q$2, "%"), tblPiNAnalysis[[#Headers],[CCCM%]:[WASH%]], 0))=$A70, 1, 0)))), "")</f>
        <v/>
      </c>
      <c r="F70" s="93" t="str" cm="1">
        <f t="array" ref="F70">IFERROR(IF(OR($A70="", F$5=""), "", IF(SUM(IF(INDEX(_xlfn._xlws.FILTER(tblPiNAnalysis[[CCCM%]:[WASH%]], tblPiNAnalysis[CCCM]=F$5), 0, MATCH(_xlfn.CONCAT($Q$2, "%"), tblPiNAnalysis[[#Headers],[CCCM%]:[WASH%]], 0))=$A70, 1, 0))=0, "",SUM(IF(INDEX(_xlfn._xlws.FILTER(tblPiNAnalysis[[CCCM%]:[WASH%]], tblPiNAnalysis[CCCM]=F$5), 0, MATCH(_xlfn.CONCAT($Q$2, "%"), tblPiNAnalysis[[#Headers],[CCCM%]:[WASH%]], 0))=$A70, 1, 0)))), "")</f>
        <v/>
      </c>
      <c r="H70" s="95"/>
      <c r="I70" s="93" t="str" cm="1">
        <f t="array" ref="I70">IF($H70="", "", IF($H70=2, SUM(IF(INDEX(_xlfn._xlws.FILTER(tblPiNHistorical[[CCCM]:[WASH]], tblPiNHistorical[Population Group]=I$5), 0, MATCH($Q$2, tblPiNHistorical[[#Headers],[CCCM]:[WASH]], 0))&gt;1.9, 1, 0)), IF(SUM(IF(INDEX(_xlfn._xlws.FILTER(tblPiNHistorical[[CCCM]:[WASH]], tblPiNHistorical[Population Group]=I$5), 0, MATCH($Q$2, tblPiNHistorical[[#Headers],[CCCM]:[WASH]], 0))=$H70, 1, 0))=0, "", SUM(IF(INDEX(_xlfn._xlws.FILTER(tblPiNHistorical[[CCCM]:[WASH]], tblPiNHistorical[Population Group]=I$5), 0, MATCH($Q$2, tblPiNHistorical[[#Headers],[CCCM]:[WASH]], 0))=$H70, 1, 0)))))</f>
        <v/>
      </c>
      <c r="J70" s="93" t="str" cm="1">
        <f t="array" ref="J70">IFERROR(IF(OR($H70="", J69=""), "", IF($H70=2, SUM(IF(INDEX(_xlfn._xlws.FILTER(tblPiNHistorical[[CCCM]:[WASH]], tblPiNHistorical[Population Group]=J$5), 0, MATCH($Q$2, tblPiNHistorical[[#Headers],[CCCM]:[WASH]], 0))&gt;1.9, 1, 0)), IF(SUM(IF(INDEX(_xlfn._xlws.FILTER(tblPiNHistorical[[CCCM]:[WASH]], tblPiNHistorical[Population Group]=J$5), 0, MATCH($Q$2, tblPiNHistorical[[#Headers],[CCCM]:[WASH]], 0))=$H70, 1, 0))=0, "", SUM(IF(INDEX(_xlfn._xlws.FILTER(tblPiNHistorical[[CCCM]:[WASH]], tblPiNHistorical[Population Group]=J$5), 0, MATCH($Q$2, tblPiNHistorical[[#Headers],[CCCM]:[WASH]], 0))=$H70, 1, 0))))), "")</f>
        <v/>
      </c>
      <c r="K70" s="93" t="str" cm="1">
        <f t="array" ref="K70">IFERROR(IF(OR($H70="", K69=""), "", IF($H70=2, SUM(IF(INDEX(_xlfn._xlws.FILTER(tblPiNHistorical[[CCCM]:[WASH]], tblPiNHistorical[CCCM - old]=K$5), 0, MATCH($Q$2, tblPiNHistorical[[#Headers],[CCCM]:[WASH]], 0))&gt;1.9, 1, 0)), IF(SUM(IF(INDEX(_xlfn._xlws.FILTER(tblPiNHistorical[[CCCM]:[WASH]], tblPiNHistorical[CCCM - old]=K$5), 0, MATCH($Q$2, tblPiNHistorical[[#Headers],[CCCM]:[WASH]], 0))=$H70, 1, 0))=0, "", SUM(IF(INDEX(_xlfn._xlws.FILTER(tblPiNHistorical[[CCCM]:[WASH]], tblPiNHistorical[CCCM - old]=K$5), 0, MATCH($Q$2, tblPiNHistorical[[#Headers],[CCCM]:[WASH]], 0))=$H70, 1, 0))))), "")</f>
        <v/>
      </c>
      <c r="L70" s="93" t="str" cm="1">
        <f t="array" ref="L70">IFERROR(IF(OR($H70="", L69=""), "", IF($H70=2, SUM(IF(INDEX(_xlfn._xlws.FILTER(tblPiNHistorical[[CCCM]:[WASH]],#REF!= L$5), 0, MATCH($Q$2, tblPiNHistorical[[#Headers],[CCCM]:[WASH]], 0))&gt;1.9, 1, 0)), IF(SUM(IF(INDEX(_xlfn._xlws.FILTER(tblPiNHistorical[[CCCM]:[WASH]],#REF!= L$5), 0, MATCH($Q$2, tblPiNHistorical[[#Headers],[CCCM]:[WASH]], 0))=$H70, 1, 0))=0, "", SUM(IF(INDEX(_xlfn._xlws.FILTER(tblPiNHistorical[[CCCM]:[WASH]],#REF!= L$5), 0, MATCH($Q$2, tblPiNHistorical[[#Headers],[CCCM]:[WASH]], 0))=$H70, 1, 0))))), "")</f>
        <v/>
      </c>
      <c r="M70" s="93" t="str" cm="1">
        <f t="array" ref="M70">IFERROR(IF(OR($H70="", M69=""), "", IF($H70=2, SUM(IF(INDEX(_xlfn._xlws.FILTER(tblPiNHistorical[[CCCM]:[WASH]],#REF!= M$5), 0, MATCH($Q$2, tblPiNHistorical[[#Headers],[CCCM]:[WASH]], 0))&gt;1.9, 1, 0)), IF(SUM(IF(INDEX(_xlfn._xlws.FILTER(tblPiNHistorical[[CCCM]:[WASH]],#REF!= M$5), 0, MATCH($Q$2, tblPiNHistorical[[#Headers],[CCCM]:[WASH]], 0))=$H70, 1, 0))=0, "", SUM(IF(INDEX(_xlfn._xlws.FILTER(tblPiNHistorical[[CCCM]:[WASH]],#REF!= M$5), 0, MATCH($Q$2, tblPiNHistorical[[#Headers],[CCCM]:[WASH]], 0))=$H70, 1, 0))))), "")</f>
        <v/>
      </c>
    </row>
    <row r="71" spans="1:13" x14ac:dyDescent="0.55000000000000004">
      <c r="A71" s="95"/>
      <c r="B71" s="93" t="str" cm="1">
        <f t="array" ref="B71">IF($A71="", "", IF(SUM(IF(INDEX(_xlfn._xlws.FILTER(tblPiNAnalysis[[CCCM%]:[WASH%]], tblPiNAnalysis[Population Group]=B$5), 0, MATCH(_xlfn.CONCAT($Q$2, "%"), tblPiNAnalysis[[#Headers],[CCCM%]:[WASH%]], 0))=$A71, 1, 0))=0, "",SUM(IF(INDEX(_xlfn._xlws.FILTER(tblPiNAnalysis[[CCCM%]:[WASH%]], tblPiNAnalysis[Population Group]=B$5), 0, MATCH(_xlfn.CONCAT($Q$2, "%"), tblPiNAnalysis[[#Headers],[CCCM%]:[WASH%]], 0))=$A71, 1, 0))))</f>
        <v/>
      </c>
      <c r="C71" s="93" t="str" cm="1">
        <f t="array" ref="C71">IFERROR(IF(OR($A71="", C$5=""), "", IF(SUM(IF(INDEX(_xlfn._xlws.FILTER(tblPiNAnalysis[[CCCM%]:[WASH%]], tblPiNAnalysis[Population Group]=C$5), 0, MATCH(_xlfn.CONCAT($Q$2, "%"), tblPiNAnalysis[[#Headers],[CCCM%]:[WASH%]], 0))=$A71, 1, 0))=0, "",SUM(IF(INDEX(_xlfn._xlws.FILTER(tblPiNAnalysis[[CCCM%]:[WASH%]], tblPiNAnalysis[Population Group]=C$5), 0, MATCH(_xlfn.CONCAT($Q$2, "%"), tblPiNAnalysis[[#Headers],[CCCM%]:[WASH%]], 0))=$A71, 1, 0)))), "")</f>
        <v/>
      </c>
      <c r="D71" s="93" t="str" cm="1">
        <f t="array" ref="D71">IFERROR(IF(OR($A71="", D$5=""), "", IF(SUM(IF(INDEX(_xlfn._xlws.FILTER(tblPiNAnalysis[[CCCM%]:[WASH%]], tblPiNAnalysis[Population Group]=D$5), 0, MATCH(_xlfn.CONCAT($Q$2, "%"), tblPiNAnalysis[[#Headers],[CCCM%]:[WASH%]], 0))=$A71, 1, 0))=0, "",SUM(IF(INDEX(_xlfn._xlws.FILTER(tblPiNAnalysis[[CCCM%]:[WASH%]], tblPiNAnalysis[Population Group]=D$5), 0, MATCH(_xlfn.CONCAT($Q$2, "%"), tblPiNAnalysis[[#Headers],[CCCM%]:[WASH%]], 0))=$A71, 1, 0)))), "")</f>
        <v/>
      </c>
      <c r="E71" s="93" t="str" cm="1">
        <f t="array" ref="E71">IFERROR(IF(OR($A71="", E$5=""), "", IF(SUM(IF(INDEX(_xlfn._xlws.FILTER(tblPiNAnalysis[[CCCM%]:[WASH%]], tblPiNAnalysis[Population Group]=E$5), 0, MATCH(_xlfn.CONCAT($Q$2, "%"), tblPiNAnalysis[[#Headers],[CCCM%]:[WASH%]], 0))=$A71, 1, 0))=0, "",SUM(IF(INDEX(_xlfn._xlws.FILTER(tblPiNAnalysis[[CCCM%]:[WASH%]], tblPiNAnalysis[Population Group]=E$5), 0, MATCH(_xlfn.CONCAT($Q$2, "%"), tblPiNAnalysis[[#Headers],[CCCM%]:[WASH%]], 0))=$A71, 1, 0)))), "")</f>
        <v/>
      </c>
      <c r="F71" s="93" t="str" cm="1">
        <f t="array" ref="F71">IFERROR(IF(OR($A71="", F$5=""), "", IF(SUM(IF(INDEX(_xlfn._xlws.FILTER(tblPiNAnalysis[[CCCM%]:[WASH%]], tblPiNAnalysis[CCCM]=F$5), 0, MATCH(_xlfn.CONCAT($Q$2, "%"), tblPiNAnalysis[[#Headers],[CCCM%]:[WASH%]], 0))=$A71, 1, 0))=0, "",SUM(IF(INDEX(_xlfn._xlws.FILTER(tblPiNAnalysis[[CCCM%]:[WASH%]], tblPiNAnalysis[CCCM]=F$5), 0, MATCH(_xlfn.CONCAT($Q$2, "%"), tblPiNAnalysis[[#Headers],[CCCM%]:[WASH%]], 0))=$A71, 1, 0)))), "")</f>
        <v/>
      </c>
      <c r="H71" s="95"/>
      <c r="I71" s="93" t="str" cm="1">
        <f t="array" ref="I71">IF($H71="", "", IF($H71=2, SUM(IF(INDEX(_xlfn._xlws.FILTER(tblPiNHistorical[[CCCM]:[WASH]], tblPiNHistorical[Population Group]=I$5), 0, MATCH($Q$2, tblPiNHistorical[[#Headers],[CCCM]:[WASH]], 0))&gt;1.9, 1, 0)), IF(SUM(IF(INDEX(_xlfn._xlws.FILTER(tblPiNHistorical[[CCCM]:[WASH]], tblPiNHistorical[Population Group]=I$5), 0, MATCH($Q$2, tblPiNHistorical[[#Headers],[CCCM]:[WASH]], 0))=$H71, 1, 0))=0, "", SUM(IF(INDEX(_xlfn._xlws.FILTER(tblPiNHistorical[[CCCM]:[WASH]], tblPiNHistorical[Population Group]=I$5), 0, MATCH($Q$2, tblPiNHistorical[[#Headers],[CCCM]:[WASH]], 0))=$H71, 1, 0)))))</f>
        <v/>
      </c>
      <c r="J71" s="93" t="str" cm="1">
        <f t="array" ref="J71">IFERROR(IF(OR($H71="", J70=""), "", IF($H71=2, SUM(IF(INDEX(_xlfn._xlws.FILTER(tblPiNHistorical[[CCCM]:[WASH]], tblPiNHistorical[Population Group]=J$5), 0, MATCH($Q$2, tblPiNHistorical[[#Headers],[CCCM]:[WASH]], 0))&gt;1.9, 1, 0)), IF(SUM(IF(INDEX(_xlfn._xlws.FILTER(tblPiNHistorical[[CCCM]:[WASH]], tblPiNHistorical[Population Group]=J$5), 0, MATCH($Q$2, tblPiNHistorical[[#Headers],[CCCM]:[WASH]], 0))=$H71, 1, 0))=0, "", SUM(IF(INDEX(_xlfn._xlws.FILTER(tblPiNHistorical[[CCCM]:[WASH]], tblPiNHistorical[Population Group]=J$5), 0, MATCH($Q$2, tblPiNHistorical[[#Headers],[CCCM]:[WASH]], 0))=$H71, 1, 0))))), "")</f>
        <v/>
      </c>
      <c r="K71" s="93" t="str" cm="1">
        <f t="array" ref="K71">IFERROR(IF(OR($H71="", K70=""), "", IF($H71=2, SUM(IF(INDEX(_xlfn._xlws.FILTER(tblPiNHistorical[[CCCM]:[WASH]], tblPiNHistorical[CCCM - old]=K$5), 0, MATCH($Q$2, tblPiNHistorical[[#Headers],[CCCM]:[WASH]], 0))&gt;1.9, 1, 0)), IF(SUM(IF(INDEX(_xlfn._xlws.FILTER(tblPiNHistorical[[CCCM]:[WASH]], tblPiNHistorical[CCCM - old]=K$5), 0, MATCH($Q$2, tblPiNHistorical[[#Headers],[CCCM]:[WASH]], 0))=$H71, 1, 0))=0, "", SUM(IF(INDEX(_xlfn._xlws.FILTER(tblPiNHistorical[[CCCM]:[WASH]], tblPiNHistorical[CCCM - old]=K$5), 0, MATCH($Q$2, tblPiNHistorical[[#Headers],[CCCM]:[WASH]], 0))=$H71, 1, 0))))), "")</f>
        <v/>
      </c>
      <c r="L71" s="93" t="str" cm="1">
        <f t="array" ref="L71">IFERROR(IF(OR($H71="", L70=""), "", IF($H71=2, SUM(IF(INDEX(_xlfn._xlws.FILTER(tblPiNHistorical[[CCCM]:[WASH]],#REF!= L$5), 0, MATCH($Q$2, tblPiNHistorical[[#Headers],[CCCM]:[WASH]], 0))&gt;1.9, 1, 0)), IF(SUM(IF(INDEX(_xlfn._xlws.FILTER(tblPiNHistorical[[CCCM]:[WASH]],#REF!= L$5), 0, MATCH($Q$2, tblPiNHistorical[[#Headers],[CCCM]:[WASH]], 0))=$H71, 1, 0))=0, "", SUM(IF(INDEX(_xlfn._xlws.FILTER(tblPiNHistorical[[CCCM]:[WASH]],#REF!= L$5), 0, MATCH($Q$2, tblPiNHistorical[[#Headers],[CCCM]:[WASH]], 0))=$H71, 1, 0))))), "")</f>
        <v/>
      </c>
      <c r="M71" s="93" t="str" cm="1">
        <f t="array" ref="M71">IFERROR(IF(OR($H71="", M70=""), "", IF($H71=2, SUM(IF(INDEX(_xlfn._xlws.FILTER(tblPiNHistorical[[CCCM]:[WASH]],#REF!= M$5), 0, MATCH($Q$2, tblPiNHistorical[[#Headers],[CCCM]:[WASH]], 0))&gt;1.9, 1, 0)), IF(SUM(IF(INDEX(_xlfn._xlws.FILTER(tblPiNHistorical[[CCCM]:[WASH]],#REF!= M$5), 0, MATCH($Q$2, tblPiNHistorical[[#Headers],[CCCM]:[WASH]], 0))=$H71, 1, 0))=0, "", SUM(IF(INDEX(_xlfn._xlws.FILTER(tblPiNHistorical[[CCCM]:[WASH]],#REF!= M$5), 0, MATCH($Q$2, tblPiNHistorical[[#Headers],[CCCM]:[WASH]], 0))=$H71, 1, 0))))), "")</f>
        <v/>
      </c>
    </row>
    <row r="72" spans="1:13" x14ac:dyDescent="0.55000000000000004">
      <c r="A72" s="95"/>
      <c r="B72" s="93" t="str" cm="1">
        <f t="array" ref="B72">IF($A72="", "", IF(SUM(IF(INDEX(_xlfn._xlws.FILTER(tblPiNAnalysis[[CCCM%]:[WASH%]], tblPiNAnalysis[Population Group]=B$5), 0, MATCH(_xlfn.CONCAT($Q$2, "%"), tblPiNAnalysis[[#Headers],[CCCM%]:[WASH%]], 0))=$A72, 1, 0))=0, "",SUM(IF(INDEX(_xlfn._xlws.FILTER(tblPiNAnalysis[[CCCM%]:[WASH%]], tblPiNAnalysis[Population Group]=B$5), 0, MATCH(_xlfn.CONCAT($Q$2, "%"), tblPiNAnalysis[[#Headers],[CCCM%]:[WASH%]], 0))=$A72, 1, 0))))</f>
        <v/>
      </c>
      <c r="C72" s="93" t="str" cm="1">
        <f t="array" ref="C72">IFERROR(IF(OR($A72="", C$5=""), "", IF(SUM(IF(INDEX(_xlfn._xlws.FILTER(tblPiNAnalysis[[CCCM%]:[WASH%]], tblPiNAnalysis[Population Group]=C$5), 0, MATCH(_xlfn.CONCAT($Q$2, "%"), tblPiNAnalysis[[#Headers],[CCCM%]:[WASH%]], 0))=$A72, 1, 0))=0, "",SUM(IF(INDEX(_xlfn._xlws.FILTER(tblPiNAnalysis[[CCCM%]:[WASH%]], tblPiNAnalysis[Population Group]=C$5), 0, MATCH(_xlfn.CONCAT($Q$2, "%"), tblPiNAnalysis[[#Headers],[CCCM%]:[WASH%]], 0))=$A72, 1, 0)))), "")</f>
        <v/>
      </c>
      <c r="D72" s="93" t="str" cm="1">
        <f t="array" ref="D72">IFERROR(IF(OR($A72="", D$5=""), "", IF(SUM(IF(INDEX(_xlfn._xlws.FILTER(tblPiNAnalysis[[CCCM%]:[WASH%]], tblPiNAnalysis[Population Group]=D$5), 0, MATCH(_xlfn.CONCAT($Q$2, "%"), tblPiNAnalysis[[#Headers],[CCCM%]:[WASH%]], 0))=$A72, 1, 0))=0, "",SUM(IF(INDEX(_xlfn._xlws.FILTER(tblPiNAnalysis[[CCCM%]:[WASH%]], tblPiNAnalysis[Population Group]=D$5), 0, MATCH(_xlfn.CONCAT($Q$2, "%"), tblPiNAnalysis[[#Headers],[CCCM%]:[WASH%]], 0))=$A72, 1, 0)))), "")</f>
        <v/>
      </c>
      <c r="E72" s="93" t="str" cm="1">
        <f t="array" ref="E72">IFERROR(IF(OR($A72="", E$5=""), "", IF(SUM(IF(INDEX(_xlfn._xlws.FILTER(tblPiNAnalysis[[CCCM%]:[WASH%]], tblPiNAnalysis[Population Group]=E$5), 0, MATCH(_xlfn.CONCAT($Q$2, "%"), tblPiNAnalysis[[#Headers],[CCCM%]:[WASH%]], 0))=$A72, 1, 0))=0, "",SUM(IF(INDEX(_xlfn._xlws.FILTER(tblPiNAnalysis[[CCCM%]:[WASH%]], tblPiNAnalysis[Population Group]=E$5), 0, MATCH(_xlfn.CONCAT($Q$2, "%"), tblPiNAnalysis[[#Headers],[CCCM%]:[WASH%]], 0))=$A72, 1, 0)))), "")</f>
        <v/>
      </c>
      <c r="F72" s="93" t="str" cm="1">
        <f t="array" ref="F72">IFERROR(IF(OR($A72="", F$5=""), "", IF(SUM(IF(INDEX(_xlfn._xlws.FILTER(tblPiNAnalysis[[CCCM%]:[WASH%]], tblPiNAnalysis[CCCM]=F$5), 0, MATCH(_xlfn.CONCAT($Q$2, "%"), tblPiNAnalysis[[#Headers],[CCCM%]:[WASH%]], 0))=$A72, 1, 0))=0, "",SUM(IF(INDEX(_xlfn._xlws.FILTER(tblPiNAnalysis[[CCCM%]:[WASH%]], tblPiNAnalysis[CCCM]=F$5), 0, MATCH(_xlfn.CONCAT($Q$2, "%"), tblPiNAnalysis[[#Headers],[CCCM%]:[WASH%]], 0))=$A72, 1, 0)))), "")</f>
        <v/>
      </c>
      <c r="H72" s="95"/>
      <c r="I72" s="93" t="str" cm="1">
        <f t="array" ref="I72">IF($H72="", "", IF($H72=2, SUM(IF(INDEX(_xlfn._xlws.FILTER(tblPiNHistorical[[CCCM]:[WASH]], tblPiNHistorical[Population Group]=I$5), 0, MATCH($Q$2, tblPiNHistorical[[#Headers],[CCCM]:[WASH]], 0))&gt;1.9, 1, 0)), IF(SUM(IF(INDEX(_xlfn._xlws.FILTER(tblPiNHistorical[[CCCM]:[WASH]], tblPiNHistorical[Population Group]=I$5), 0, MATCH($Q$2, tblPiNHistorical[[#Headers],[CCCM]:[WASH]], 0))=$H72, 1, 0))=0, "", SUM(IF(INDEX(_xlfn._xlws.FILTER(tblPiNHistorical[[CCCM]:[WASH]], tblPiNHistorical[Population Group]=I$5), 0, MATCH($Q$2, tblPiNHistorical[[#Headers],[CCCM]:[WASH]], 0))=$H72, 1, 0)))))</f>
        <v/>
      </c>
      <c r="J72" s="93" t="str" cm="1">
        <f t="array" ref="J72">IFERROR(IF(OR($H72="", J71=""), "", IF($H72=2, SUM(IF(INDEX(_xlfn._xlws.FILTER(tblPiNHistorical[[CCCM]:[WASH]], tblPiNHistorical[Population Group]=J$5), 0, MATCH($Q$2, tblPiNHistorical[[#Headers],[CCCM]:[WASH]], 0))&gt;1.9, 1, 0)), IF(SUM(IF(INDEX(_xlfn._xlws.FILTER(tblPiNHistorical[[CCCM]:[WASH]], tblPiNHistorical[Population Group]=J$5), 0, MATCH($Q$2, tblPiNHistorical[[#Headers],[CCCM]:[WASH]], 0))=$H72, 1, 0))=0, "", SUM(IF(INDEX(_xlfn._xlws.FILTER(tblPiNHistorical[[CCCM]:[WASH]], tblPiNHistorical[Population Group]=J$5), 0, MATCH($Q$2, tblPiNHistorical[[#Headers],[CCCM]:[WASH]], 0))=$H72, 1, 0))))), "")</f>
        <v/>
      </c>
      <c r="K72" s="93" t="str" cm="1">
        <f t="array" ref="K72">IFERROR(IF(OR($H72="", K71=""), "", IF($H72=2, SUM(IF(INDEX(_xlfn._xlws.FILTER(tblPiNHistorical[[CCCM]:[WASH]], tblPiNHistorical[CCCM - old]=K$5), 0, MATCH($Q$2, tblPiNHistorical[[#Headers],[CCCM]:[WASH]], 0))&gt;1.9, 1, 0)), IF(SUM(IF(INDEX(_xlfn._xlws.FILTER(tblPiNHistorical[[CCCM]:[WASH]], tblPiNHistorical[CCCM - old]=K$5), 0, MATCH($Q$2, tblPiNHistorical[[#Headers],[CCCM]:[WASH]], 0))=$H72, 1, 0))=0, "", SUM(IF(INDEX(_xlfn._xlws.FILTER(tblPiNHistorical[[CCCM]:[WASH]], tblPiNHistorical[CCCM - old]=K$5), 0, MATCH($Q$2, tblPiNHistorical[[#Headers],[CCCM]:[WASH]], 0))=$H72, 1, 0))))), "")</f>
        <v/>
      </c>
      <c r="L72" s="93" t="str" cm="1">
        <f t="array" ref="L72">IFERROR(IF(OR($H72="", L71=""), "", IF($H72=2, SUM(IF(INDEX(_xlfn._xlws.FILTER(tblPiNHistorical[[CCCM]:[WASH]],#REF!= L$5), 0, MATCH($Q$2, tblPiNHistorical[[#Headers],[CCCM]:[WASH]], 0))&gt;1.9, 1, 0)), IF(SUM(IF(INDEX(_xlfn._xlws.FILTER(tblPiNHistorical[[CCCM]:[WASH]],#REF!= L$5), 0, MATCH($Q$2, tblPiNHistorical[[#Headers],[CCCM]:[WASH]], 0))=$H72, 1, 0))=0, "", SUM(IF(INDEX(_xlfn._xlws.FILTER(tblPiNHistorical[[CCCM]:[WASH]],#REF!= L$5), 0, MATCH($Q$2, tblPiNHistorical[[#Headers],[CCCM]:[WASH]], 0))=$H72, 1, 0))))), "")</f>
        <v/>
      </c>
      <c r="M72" s="93" t="str" cm="1">
        <f t="array" ref="M72">IFERROR(IF(OR($H72="", M71=""), "", IF($H72=2, SUM(IF(INDEX(_xlfn._xlws.FILTER(tblPiNHistorical[[CCCM]:[WASH]],#REF!= M$5), 0, MATCH($Q$2, tblPiNHistorical[[#Headers],[CCCM]:[WASH]], 0))&gt;1.9, 1, 0)), IF(SUM(IF(INDEX(_xlfn._xlws.FILTER(tblPiNHistorical[[CCCM]:[WASH]],#REF!= M$5), 0, MATCH($Q$2, tblPiNHistorical[[#Headers],[CCCM]:[WASH]], 0))=$H72, 1, 0))=0, "", SUM(IF(INDEX(_xlfn._xlws.FILTER(tblPiNHistorical[[CCCM]:[WASH]],#REF!= M$5), 0, MATCH($Q$2, tblPiNHistorical[[#Headers],[CCCM]:[WASH]], 0))=$H72, 1, 0))))), "")</f>
        <v/>
      </c>
    </row>
    <row r="73" spans="1:13" x14ac:dyDescent="0.55000000000000004">
      <c r="A73" s="95"/>
      <c r="B73" s="93" t="str" cm="1">
        <f t="array" ref="B73">IF($A73="", "", IF(SUM(IF(INDEX(_xlfn._xlws.FILTER(tblPiNAnalysis[[CCCM%]:[WASH%]], tblPiNAnalysis[Population Group]=B$5), 0, MATCH(_xlfn.CONCAT($Q$2, "%"), tblPiNAnalysis[[#Headers],[CCCM%]:[WASH%]], 0))=$A73, 1, 0))=0, "",SUM(IF(INDEX(_xlfn._xlws.FILTER(tblPiNAnalysis[[CCCM%]:[WASH%]], tblPiNAnalysis[Population Group]=B$5), 0, MATCH(_xlfn.CONCAT($Q$2, "%"), tblPiNAnalysis[[#Headers],[CCCM%]:[WASH%]], 0))=$A73, 1, 0))))</f>
        <v/>
      </c>
      <c r="C73" s="93" t="str" cm="1">
        <f t="array" ref="C73">IFERROR(IF(OR($A73="", C$5=""), "", IF(SUM(IF(INDEX(_xlfn._xlws.FILTER(tblPiNAnalysis[[CCCM%]:[WASH%]], tblPiNAnalysis[Population Group]=C$5), 0, MATCH(_xlfn.CONCAT($Q$2, "%"), tblPiNAnalysis[[#Headers],[CCCM%]:[WASH%]], 0))=$A73, 1, 0))=0, "",SUM(IF(INDEX(_xlfn._xlws.FILTER(tblPiNAnalysis[[CCCM%]:[WASH%]], tblPiNAnalysis[Population Group]=C$5), 0, MATCH(_xlfn.CONCAT($Q$2, "%"), tblPiNAnalysis[[#Headers],[CCCM%]:[WASH%]], 0))=$A73, 1, 0)))), "")</f>
        <v/>
      </c>
      <c r="D73" s="93" t="str" cm="1">
        <f t="array" ref="D73">IFERROR(IF(OR($A73="", D$5=""), "", IF(SUM(IF(INDEX(_xlfn._xlws.FILTER(tblPiNAnalysis[[CCCM%]:[WASH%]], tblPiNAnalysis[Population Group]=D$5), 0, MATCH(_xlfn.CONCAT($Q$2, "%"), tblPiNAnalysis[[#Headers],[CCCM%]:[WASH%]], 0))=$A73, 1, 0))=0, "",SUM(IF(INDEX(_xlfn._xlws.FILTER(tblPiNAnalysis[[CCCM%]:[WASH%]], tblPiNAnalysis[Population Group]=D$5), 0, MATCH(_xlfn.CONCAT($Q$2, "%"), tblPiNAnalysis[[#Headers],[CCCM%]:[WASH%]], 0))=$A73, 1, 0)))), "")</f>
        <v/>
      </c>
      <c r="E73" s="93" t="str" cm="1">
        <f t="array" ref="E73">IFERROR(IF(OR($A73="", E$5=""), "", IF(SUM(IF(INDEX(_xlfn._xlws.FILTER(tblPiNAnalysis[[CCCM%]:[WASH%]], tblPiNAnalysis[Population Group]=E$5), 0, MATCH(_xlfn.CONCAT($Q$2, "%"), tblPiNAnalysis[[#Headers],[CCCM%]:[WASH%]], 0))=$A73, 1, 0))=0, "",SUM(IF(INDEX(_xlfn._xlws.FILTER(tblPiNAnalysis[[CCCM%]:[WASH%]], tblPiNAnalysis[Population Group]=E$5), 0, MATCH(_xlfn.CONCAT($Q$2, "%"), tblPiNAnalysis[[#Headers],[CCCM%]:[WASH%]], 0))=$A73, 1, 0)))), "")</f>
        <v/>
      </c>
      <c r="F73" s="93" t="str" cm="1">
        <f t="array" ref="F73">IFERROR(IF(OR($A73="", F$5=""), "", IF(SUM(IF(INDEX(_xlfn._xlws.FILTER(tblPiNAnalysis[[CCCM%]:[WASH%]], tblPiNAnalysis[CCCM]=F$5), 0, MATCH(_xlfn.CONCAT($Q$2, "%"), tblPiNAnalysis[[#Headers],[CCCM%]:[WASH%]], 0))=$A73, 1, 0))=0, "",SUM(IF(INDEX(_xlfn._xlws.FILTER(tblPiNAnalysis[[CCCM%]:[WASH%]], tblPiNAnalysis[CCCM]=F$5), 0, MATCH(_xlfn.CONCAT($Q$2, "%"), tblPiNAnalysis[[#Headers],[CCCM%]:[WASH%]], 0))=$A73, 1, 0)))), "")</f>
        <v/>
      </c>
      <c r="H73" s="95"/>
      <c r="I73" s="93" t="str" cm="1">
        <f t="array" ref="I73">IF($H73="", "", IF($H73=2, SUM(IF(INDEX(_xlfn._xlws.FILTER(tblPiNHistorical[[CCCM]:[WASH]], tblPiNHistorical[Population Group]=I$5), 0, MATCH($Q$2, tblPiNHistorical[[#Headers],[CCCM]:[WASH]], 0))&gt;1.9, 1, 0)), IF(SUM(IF(INDEX(_xlfn._xlws.FILTER(tblPiNHistorical[[CCCM]:[WASH]], tblPiNHistorical[Population Group]=I$5), 0, MATCH($Q$2, tblPiNHistorical[[#Headers],[CCCM]:[WASH]], 0))=$H73, 1, 0))=0, "", SUM(IF(INDEX(_xlfn._xlws.FILTER(tblPiNHistorical[[CCCM]:[WASH]], tblPiNHistorical[Population Group]=I$5), 0, MATCH($Q$2, tblPiNHistorical[[#Headers],[CCCM]:[WASH]], 0))=$H73, 1, 0)))))</f>
        <v/>
      </c>
      <c r="J73" s="93" t="str" cm="1">
        <f t="array" ref="J73">IFERROR(IF(OR($H73="", J72=""), "", IF($H73=2, SUM(IF(INDEX(_xlfn._xlws.FILTER(tblPiNHistorical[[CCCM]:[WASH]], tblPiNHistorical[Population Group]=J$5), 0, MATCH($Q$2, tblPiNHistorical[[#Headers],[CCCM]:[WASH]], 0))&gt;1.9, 1, 0)), IF(SUM(IF(INDEX(_xlfn._xlws.FILTER(tblPiNHistorical[[CCCM]:[WASH]], tblPiNHistorical[Population Group]=J$5), 0, MATCH($Q$2, tblPiNHistorical[[#Headers],[CCCM]:[WASH]], 0))=$H73, 1, 0))=0, "", SUM(IF(INDEX(_xlfn._xlws.FILTER(tblPiNHistorical[[CCCM]:[WASH]], tblPiNHistorical[Population Group]=J$5), 0, MATCH($Q$2, tblPiNHistorical[[#Headers],[CCCM]:[WASH]], 0))=$H73, 1, 0))))), "")</f>
        <v/>
      </c>
      <c r="K73" s="93" t="str" cm="1">
        <f t="array" ref="K73">IFERROR(IF(OR($H73="", K72=""), "", IF($H73=2, SUM(IF(INDEX(_xlfn._xlws.FILTER(tblPiNHistorical[[CCCM]:[WASH]], tblPiNHistorical[CCCM - old]=K$5), 0, MATCH($Q$2, tblPiNHistorical[[#Headers],[CCCM]:[WASH]], 0))&gt;1.9, 1, 0)), IF(SUM(IF(INDEX(_xlfn._xlws.FILTER(tblPiNHistorical[[CCCM]:[WASH]], tblPiNHistorical[CCCM - old]=K$5), 0, MATCH($Q$2, tblPiNHistorical[[#Headers],[CCCM]:[WASH]], 0))=$H73, 1, 0))=0, "", SUM(IF(INDEX(_xlfn._xlws.FILTER(tblPiNHistorical[[CCCM]:[WASH]], tblPiNHistorical[CCCM - old]=K$5), 0, MATCH($Q$2, tblPiNHistorical[[#Headers],[CCCM]:[WASH]], 0))=$H73, 1, 0))))), "")</f>
        <v/>
      </c>
      <c r="L73" s="93" t="str" cm="1">
        <f t="array" ref="L73">IFERROR(IF(OR($H73="", L72=""), "", IF($H73=2, SUM(IF(INDEX(_xlfn._xlws.FILTER(tblPiNHistorical[[CCCM]:[WASH]],#REF!= L$5), 0, MATCH($Q$2, tblPiNHistorical[[#Headers],[CCCM]:[WASH]], 0))&gt;1.9, 1, 0)), IF(SUM(IF(INDEX(_xlfn._xlws.FILTER(tblPiNHistorical[[CCCM]:[WASH]],#REF!= L$5), 0, MATCH($Q$2, tblPiNHistorical[[#Headers],[CCCM]:[WASH]], 0))=$H73, 1, 0))=0, "", SUM(IF(INDEX(_xlfn._xlws.FILTER(tblPiNHistorical[[CCCM]:[WASH]],#REF!= L$5), 0, MATCH($Q$2, tblPiNHistorical[[#Headers],[CCCM]:[WASH]], 0))=$H73, 1, 0))))), "")</f>
        <v/>
      </c>
      <c r="M73" s="93" t="str" cm="1">
        <f t="array" ref="M73">IFERROR(IF(OR($H73="", M72=""), "", IF($H73=2, SUM(IF(INDEX(_xlfn._xlws.FILTER(tblPiNHistorical[[CCCM]:[WASH]],#REF!= M$5), 0, MATCH($Q$2, tblPiNHistorical[[#Headers],[CCCM]:[WASH]], 0))&gt;1.9, 1, 0)), IF(SUM(IF(INDEX(_xlfn._xlws.FILTER(tblPiNHistorical[[CCCM]:[WASH]],#REF!= M$5), 0, MATCH($Q$2, tblPiNHistorical[[#Headers],[CCCM]:[WASH]], 0))=$H73, 1, 0))=0, "", SUM(IF(INDEX(_xlfn._xlws.FILTER(tblPiNHistorical[[CCCM]:[WASH]],#REF!= M$5), 0, MATCH($Q$2, tblPiNHistorical[[#Headers],[CCCM]:[WASH]], 0))=$H73, 1, 0))))), "")</f>
        <v/>
      </c>
    </row>
    <row r="74" spans="1:13" x14ac:dyDescent="0.55000000000000004">
      <c r="A74" s="95"/>
      <c r="B74" s="93" t="str" cm="1">
        <f t="array" ref="B74">IF($A74="", "", IF(SUM(IF(INDEX(_xlfn._xlws.FILTER(tblPiNAnalysis[[CCCM%]:[WASH%]], tblPiNAnalysis[Population Group]=B$5), 0, MATCH(_xlfn.CONCAT($Q$2, "%"), tblPiNAnalysis[[#Headers],[CCCM%]:[WASH%]], 0))=$A74, 1, 0))=0, "",SUM(IF(INDEX(_xlfn._xlws.FILTER(tblPiNAnalysis[[CCCM%]:[WASH%]], tblPiNAnalysis[Population Group]=B$5), 0, MATCH(_xlfn.CONCAT($Q$2, "%"), tblPiNAnalysis[[#Headers],[CCCM%]:[WASH%]], 0))=$A74, 1, 0))))</f>
        <v/>
      </c>
      <c r="C74" s="93" t="str" cm="1">
        <f t="array" ref="C74">IFERROR(IF(OR($A74="", C$5=""), "", IF(SUM(IF(INDEX(_xlfn._xlws.FILTER(tblPiNAnalysis[[CCCM%]:[WASH%]], tblPiNAnalysis[Population Group]=C$5), 0, MATCH(_xlfn.CONCAT($Q$2, "%"), tblPiNAnalysis[[#Headers],[CCCM%]:[WASH%]], 0))=$A74, 1, 0))=0, "",SUM(IF(INDEX(_xlfn._xlws.FILTER(tblPiNAnalysis[[CCCM%]:[WASH%]], tblPiNAnalysis[Population Group]=C$5), 0, MATCH(_xlfn.CONCAT($Q$2, "%"), tblPiNAnalysis[[#Headers],[CCCM%]:[WASH%]], 0))=$A74, 1, 0)))), "")</f>
        <v/>
      </c>
      <c r="D74" s="93" t="str" cm="1">
        <f t="array" ref="D74">IFERROR(IF(OR($A74="", D$5=""), "", IF(SUM(IF(INDEX(_xlfn._xlws.FILTER(tblPiNAnalysis[[CCCM%]:[WASH%]], tblPiNAnalysis[Population Group]=D$5), 0, MATCH(_xlfn.CONCAT($Q$2, "%"), tblPiNAnalysis[[#Headers],[CCCM%]:[WASH%]], 0))=$A74, 1, 0))=0, "",SUM(IF(INDEX(_xlfn._xlws.FILTER(tblPiNAnalysis[[CCCM%]:[WASH%]], tblPiNAnalysis[Population Group]=D$5), 0, MATCH(_xlfn.CONCAT($Q$2, "%"), tblPiNAnalysis[[#Headers],[CCCM%]:[WASH%]], 0))=$A74, 1, 0)))), "")</f>
        <v/>
      </c>
      <c r="E74" s="93" t="str" cm="1">
        <f t="array" ref="E74">IFERROR(IF(OR($A74="", E$5=""), "", IF(SUM(IF(INDEX(_xlfn._xlws.FILTER(tblPiNAnalysis[[CCCM%]:[WASH%]], tblPiNAnalysis[Population Group]=E$5), 0, MATCH(_xlfn.CONCAT($Q$2, "%"), tblPiNAnalysis[[#Headers],[CCCM%]:[WASH%]], 0))=$A74, 1, 0))=0, "",SUM(IF(INDEX(_xlfn._xlws.FILTER(tblPiNAnalysis[[CCCM%]:[WASH%]], tblPiNAnalysis[Population Group]=E$5), 0, MATCH(_xlfn.CONCAT($Q$2, "%"), tblPiNAnalysis[[#Headers],[CCCM%]:[WASH%]], 0))=$A74, 1, 0)))), "")</f>
        <v/>
      </c>
      <c r="F74" s="93" t="str" cm="1">
        <f t="array" ref="F74">IFERROR(IF(OR($A74="", F$5=""), "", IF(SUM(IF(INDEX(_xlfn._xlws.FILTER(tblPiNAnalysis[[CCCM%]:[WASH%]], tblPiNAnalysis[CCCM]=F$5), 0, MATCH(_xlfn.CONCAT($Q$2, "%"), tblPiNAnalysis[[#Headers],[CCCM%]:[WASH%]], 0))=$A74, 1, 0))=0, "",SUM(IF(INDEX(_xlfn._xlws.FILTER(tblPiNAnalysis[[CCCM%]:[WASH%]], tblPiNAnalysis[CCCM]=F$5), 0, MATCH(_xlfn.CONCAT($Q$2, "%"), tblPiNAnalysis[[#Headers],[CCCM%]:[WASH%]], 0))=$A74, 1, 0)))), "")</f>
        <v/>
      </c>
      <c r="H74" s="95"/>
      <c r="I74" s="93" t="str" cm="1">
        <f t="array" ref="I74">IF($H74="", "", IF($H74=2, SUM(IF(INDEX(_xlfn._xlws.FILTER(tblPiNHistorical[[CCCM]:[WASH]], tblPiNHistorical[Population Group]=I$5), 0, MATCH($Q$2, tblPiNHistorical[[#Headers],[CCCM]:[WASH]], 0))&gt;1.9, 1, 0)), IF(SUM(IF(INDEX(_xlfn._xlws.FILTER(tblPiNHistorical[[CCCM]:[WASH]], tblPiNHistorical[Population Group]=I$5), 0, MATCH($Q$2, tblPiNHistorical[[#Headers],[CCCM]:[WASH]], 0))=$H74, 1, 0))=0, "", SUM(IF(INDEX(_xlfn._xlws.FILTER(tblPiNHistorical[[CCCM]:[WASH]], tblPiNHistorical[Population Group]=I$5), 0, MATCH($Q$2, tblPiNHistorical[[#Headers],[CCCM]:[WASH]], 0))=$H74, 1, 0)))))</f>
        <v/>
      </c>
      <c r="J74" s="93" t="str" cm="1">
        <f t="array" ref="J74">IFERROR(IF(OR($H74="", J73=""), "", IF($H74=2, SUM(IF(INDEX(_xlfn._xlws.FILTER(tblPiNHistorical[[CCCM]:[WASH]], tblPiNHistorical[Population Group]=J$5), 0, MATCH($Q$2, tblPiNHistorical[[#Headers],[CCCM]:[WASH]], 0))&gt;1.9, 1, 0)), IF(SUM(IF(INDEX(_xlfn._xlws.FILTER(tblPiNHistorical[[CCCM]:[WASH]], tblPiNHistorical[Population Group]=J$5), 0, MATCH($Q$2, tblPiNHistorical[[#Headers],[CCCM]:[WASH]], 0))=$H74, 1, 0))=0, "", SUM(IF(INDEX(_xlfn._xlws.FILTER(tblPiNHistorical[[CCCM]:[WASH]], tblPiNHistorical[Population Group]=J$5), 0, MATCH($Q$2, tblPiNHistorical[[#Headers],[CCCM]:[WASH]], 0))=$H74, 1, 0))))), "")</f>
        <v/>
      </c>
      <c r="K74" s="93" t="str" cm="1">
        <f t="array" ref="K74">IFERROR(IF(OR($H74="", K73=""), "", IF($H74=2, SUM(IF(INDEX(_xlfn._xlws.FILTER(tblPiNHistorical[[CCCM]:[WASH]], tblPiNHistorical[CCCM - old]=K$5), 0, MATCH($Q$2, tblPiNHistorical[[#Headers],[CCCM]:[WASH]], 0))&gt;1.9, 1, 0)), IF(SUM(IF(INDEX(_xlfn._xlws.FILTER(tblPiNHistorical[[CCCM]:[WASH]], tblPiNHistorical[CCCM - old]=K$5), 0, MATCH($Q$2, tblPiNHistorical[[#Headers],[CCCM]:[WASH]], 0))=$H74, 1, 0))=0, "", SUM(IF(INDEX(_xlfn._xlws.FILTER(tblPiNHistorical[[CCCM]:[WASH]], tblPiNHistorical[CCCM - old]=K$5), 0, MATCH($Q$2, tblPiNHistorical[[#Headers],[CCCM]:[WASH]], 0))=$H74, 1, 0))))), "")</f>
        <v/>
      </c>
      <c r="L74" s="93" t="str" cm="1">
        <f t="array" ref="L74">IFERROR(IF(OR($H74="", L73=""), "", IF($H74=2, SUM(IF(INDEX(_xlfn._xlws.FILTER(tblPiNHistorical[[CCCM]:[WASH]],#REF!= L$5), 0, MATCH($Q$2, tblPiNHistorical[[#Headers],[CCCM]:[WASH]], 0))&gt;1.9, 1, 0)), IF(SUM(IF(INDEX(_xlfn._xlws.FILTER(tblPiNHistorical[[CCCM]:[WASH]],#REF!= L$5), 0, MATCH($Q$2, tblPiNHistorical[[#Headers],[CCCM]:[WASH]], 0))=$H74, 1, 0))=0, "", SUM(IF(INDEX(_xlfn._xlws.FILTER(tblPiNHistorical[[CCCM]:[WASH]],#REF!= L$5), 0, MATCH($Q$2, tblPiNHistorical[[#Headers],[CCCM]:[WASH]], 0))=$H74, 1, 0))))), "")</f>
        <v/>
      </c>
      <c r="M74" s="93" t="str" cm="1">
        <f t="array" ref="M74">IFERROR(IF(OR($H74="", M73=""), "", IF($H74=2, SUM(IF(INDEX(_xlfn._xlws.FILTER(tblPiNHistorical[[CCCM]:[WASH]],#REF!= M$5), 0, MATCH($Q$2, tblPiNHistorical[[#Headers],[CCCM]:[WASH]], 0))&gt;1.9, 1, 0)), IF(SUM(IF(INDEX(_xlfn._xlws.FILTER(tblPiNHistorical[[CCCM]:[WASH]],#REF!= M$5), 0, MATCH($Q$2, tblPiNHistorical[[#Headers],[CCCM]:[WASH]], 0))=$H74, 1, 0))=0, "", SUM(IF(INDEX(_xlfn._xlws.FILTER(tblPiNHistorical[[CCCM]:[WASH]],#REF!= M$5), 0, MATCH($Q$2, tblPiNHistorical[[#Headers],[CCCM]:[WASH]], 0))=$H74, 1, 0))))), "")</f>
        <v/>
      </c>
    </row>
    <row r="75" spans="1:13" x14ac:dyDescent="0.55000000000000004">
      <c r="A75" s="95"/>
      <c r="B75" s="93" t="str" cm="1">
        <f t="array" ref="B75">IF($A75="", "", IF(SUM(IF(INDEX(_xlfn._xlws.FILTER(tblPiNAnalysis[[CCCM%]:[WASH%]], tblPiNAnalysis[Population Group]=B$5), 0, MATCH(_xlfn.CONCAT($Q$2, "%"), tblPiNAnalysis[[#Headers],[CCCM%]:[WASH%]], 0))=$A75, 1, 0))=0, "",SUM(IF(INDEX(_xlfn._xlws.FILTER(tblPiNAnalysis[[CCCM%]:[WASH%]], tblPiNAnalysis[Population Group]=B$5), 0, MATCH(_xlfn.CONCAT($Q$2, "%"), tblPiNAnalysis[[#Headers],[CCCM%]:[WASH%]], 0))=$A75, 1, 0))))</f>
        <v/>
      </c>
      <c r="C75" s="93" t="str" cm="1">
        <f t="array" ref="C75">IFERROR(IF(OR($A75="", C$5=""), "", IF(SUM(IF(INDEX(_xlfn._xlws.FILTER(tblPiNAnalysis[[CCCM%]:[WASH%]], tblPiNAnalysis[Population Group]=C$5), 0, MATCH(_xlfn.CONCAT($Q$2, "%"), tblPiNAnalysis[[#Headers],[CCCM%]:[WASH%]], 0))=$A75, 1, 0))=0, "",SUM(IF(INDEX(_xlfn._xlws.FILTER(tblPiNAnalysis[[CCCM%]:[WASH%]], tblPiNAnalysis[Population Group]=C$5), 0, MATCH(_xlfn.CONCAT($Q$2, "%"), tblPiNAnalysis[[#Headers],[CCCM%]:[WASH%]], 0))=$A75, 1, 0)))), "")</f>
        <v/>
      </c>
      <c r="D75" s="93" t="str" cm="1">
        <f t="array" ref="D75">IFERROR(IF(OR($A75="", D$5=""), "", IF(SUM(IF(INDEX(_xlfn._xlws.FILTER(tblPiNAnalysis[[CCCM%]:[WASH%]], tblPiNAnalysis[Population Group]=D$5), 0, MATCH(_xlfn.CONCAT($Q$2, "%"), tblPiNAnalysis[[#Headers],[CCCM%]:[WASH%]], 0))=$A75, 1, 0))=0, "",SUM(IF(INDEX(_xlfn._xlws.FILTER(tblPiNAnalysis[[CCCM%]:[WASH%]], tblPiNAnalysis[Population Group]=D$5), 0, MATCH(_xlfn.CONCAT($Q$2, "%"), tblPiNAnalysis[[#Headers],[CCCM%]:[WASH%]], 0))=$A75, 1, 0)))), "")</f>
        <v/>
      </c>
      <c r="E75" s="93" t="str" cm="1">
        <f t="array" ref="E75">IFERROR(IF(OR($A75="", E$5=""), "", IF(SUM(IF(INDEX(_xlfn._xlws.FILTER(tblPiNAnalysis[[CCCM%]:[WASH%]], tblPiNAnalysis[Population Group]=E$5), 0, MATCH(_xlfn.CONCAT($Q$2, "%"), tblPiNAnalysis[[#Headers],[CCCM%]:[WASH%]], 0))=$A75, 1, 0))=0, "",SUM(IF(INDEX(_xlfn._xlws.FILTER(tblPiNAnalysis[[CCCM%]:[WASH%]], tblPiNAnalysis[Population Group]=E$5), 0, MATCH(_xlfn.CONCAT($Q$2, "%"), tblPiNAnalysis[[#Headers],[CCCM%]:[WASH%]], 0))=$A75, 1, 0)))), "")</f>
        <v/>
      </c>
      <c r="F75" s="93" t="str" cm="1">
        <f t="array" ref="F75">IFERROR(IF(OR($A75="", F$5=""), "", IF(SUM(IF(INDEX(_xlfn._xlws.FILTER(tblPiNAnalysis[[CCCM%]:[WASH%]], tblPiNAnalysis[CCCM]=F$5), 0, MATCH(_xlfn.CONCAT($Q$2, "%"), tblPiNAnalysis[[#Headers],[CCCM%]:[WASH%]], 0))=$A75, 1, 0))=0, "",SUM(IF(INDEX(_xlfn._xlws.FILTER(tblPiNAnalysis[[CCCM%]:[WASH%]], tblPiNAnalysis[CCCM]=F$5), 0, MATCH(_xlfn.CONCAT($Q$2, "%"), tblPiNAnalysis[[#Headers],[CCCM%]:[WASH%]], 0))=$A75, 1, 0)))), "")</f>
        <v/>
      </c>
      <c r="H75" s="95"/>
      <c r="I75" s="93" t="str" cm="1">
        <f t="array" ref="I75">IF($H75="", "", IF($H75=2, SUM(IF(INDEX(_xlfn._xlws.FILTER(tblPiNHistorical[[CCCM]:[WASH]], tblPiNHistorical[Population Group]=I$5), 0, MATCH($Q$2, tblPiNHistorical[[#Headers],[CCCM]:[WASH]], 0))&gt;1.9, 1, 0)), IF(SUM(IF(INDEX(_xlfn._xlws.FILTER(tblPiNHistorical[[CCCM]:[WASH]], tblPiNHistorical[Population Group]=I$5), 0, MATCH($Q$2, tblPiNHistorical[[#Headers],[CCCM]:[WASH]], 0))=$H75, 1, 0))=0, "", SUM(IF(INDEX(_xlfn._xlws.FILTER(tblPiNHistorical[[CCCM]:[WASH]], tblPiNHistorical[Population Group]=I$5), 0, MATCH($Q$2, tblPiNHistorical[[#Headers],[CCCM]:[WASH]], 0))=$H75, 1, 0)))))</f>
        <v/>
      </c>
      <c r="J75" s="93" t="str" cm="1">
        <f t="array" ref="J75">IFERROR(IF(OR($H75="", J74=""), "", IF($H75=2, SUM(IF(INDEX(_xlfn._xlws.FILTER(tblPiNHistorical[[CCCM]:[WASH]], tblPiNHistorical[Population Group]=J$5), 0, MATCH($Q$2, tblPiNHistorical[[#Headers],[CCCM]:[WASH]], 0))&gt;1.9, 1, 0)), IF(SUM(IF(INDEX(_xlfn._xlws.FILTER(tblPiNHistorical[[CCCM]:[WASH]], tblPiNHistorical[Population Group]=J$5), 0, MATCH($Q$2, tblPiNHistorical[[#Headers],[CCCM]:[WASH]], 0))=$H75, 1, 0))=0, "", SUM(IF(INDEX(_xlfn._xlws.FILTER(tblPiNHistorical[[CCCM]:[WASH]], tblPiNHistorical[Population Group]=J$5), 0, MATCH($Q$2, tblPiNHistorical[[#Headers],[CCCM]:[WASH]], 0))=$H75, 1, 0))))), "")</f>
        <v/>
      </c>
      <c r="K75" s="93" t="str" cm="1">
        <f t="array" ref="K75">IFERROR(IF(OR($H75="", K74=""), "", IF($H75=2, SUM(IF(INDEX(_xlfn._xlws.FILTER(tblPiNHistorical[[CCCM]:[WASH]], tblPiNHistorical[CCCM - old]=K$5), 0, MATCH($Q$2, tblPiNHistorical[[#Headers],[CCCM]:[WASH]], 0))&gt;1.9, 1, 0)), IF(SUM(IF(INDEX(_xlfn._xlws.FILTER(tblPiNHistorical[[CCCM]:[WASH]], tblPiNHistorical[CCCM - old]=K$5), 0, MATCH($Q$2, tblPiNHistorical[[#Headers],[CCCM]:[WASH]], 0))=$H75, 1, 0))=0, "", SUM(IF(INDEX(_xlfn._xlws.FILTER(tblPiNHistorical[[CCCM]:[WASH]], tblPiNHistorical[CCCM - old]=K$5), 0, MATCH($Q$2, tblPiNHistorical[[#Headers],[CCCM]:[WASH]], 0))=$H75, 1, 0))))), "")</f>
        <v/>
      </c>
      <c r="L75" s="93" t="str" cm="1">
        <f t="array" ref="L75">IFERROR(IF(OR($H75="", L74=""), "", IF($H75=2, SUM(IF(INDEX(_xlfn._xlws.FILTER(tblPiNHistorical[[CCCM]:[WASH]],#REF!= L$5), 0, MATCH($Q$2, tblPiNHistorical[[#Headers],[CCCM]:[WASH]], 0))&gt;1.9, 1, 0)), IF(SUM(IF(INDEX(_xlfn._xlws.FILTER(tblPiNHistorical[[CCCM]:[WASH]],#REF!= L$5), 0, MATCH($Q$2, tblPiNHistorical[[#Headers],[CCCM]:[WASH]], 0))=$H75, 1, 0))=0, "", SUM(IF(INDEX(_xlfn._xlws.FILTER(tblPiNHistorical[[CCCM]:[WASH]],#REF!= L$5), 0, MATCH($Q$2, tblPiNHistorical[[#Headers],[CCCM]:[WASH]], 0))=$H75, 1, 0))))), "")</f>
        <v/>
      </c>
      <c r="M75" s="93" t="str" cm="1">
        <f t="array" ref="M75">IFERROR(IF(OR($H75="", M74=""), "", IF($H75=2, SUM(IF(INDEX(_xlfn._xlws.FILTER(tblPiNHistorical[[CCCM]:[WASH]],#REF!= M$5), 0, MATCH($Q$2, tblPiNHistorical[[#Headers],[CCCM]:[WASH]], 0))&gt;1.9, 1, 0)), IF(SUM(IF(INDEX(_xlfn._xlws.FILTER(tblPiNHistorical[[CCCM]:[WASH]],#REF!= M$5), 0, MATCH($Q$2, tblPiNHistorical[[#Headers],[CCCM]:[WASH]], 0))=$H75, 1, 0))=0, "", SUM(IF(INDEX(_xlfn._xlws.FILTER(tblPiNHistorical[[CCCM]:[WASH]],#REF!= M$5), 0, MATCH($Q$2, tblPiNHistorical[[#Headers],[CCCM]:[WASH]], 0))=$H75, 1, 0))))), "")</f>
        <v/>
      </c>
    </row>
    <row r="76" spans="1:13" x14ac:dyDescent="0.55000000000000004">
      <c r="A76" s="95"/>
      <c r="B76" s="93" t="str" cm="1">
        <f t="array" ref="B76">IF($A76="", "", IF(SUM(IF(INDEX(_xlfn._xlws.FILTER(tblPiNAnalysis[[CCCM%]:[WASH%]], tblPiNAnalysis[Population Group]=B$5), 0, MATCH(_xlfn.CONCAT($Q$2, "%"), tblPiNAnalysis[[#Headers],[CCCM%]:[WASH%]], 0))=$A76, 1, 0))=0, "",SUM(IF(INDEX(_xlfn._xlws.FILTER(tblPiNAnalysis[[CCCM%]:[WASH%]], tblPiNAnalysis[Population Group]=B$5), 0, MATCH(_xlfn.CONCAT($Q$2, "%"), tblPiNAnalysis[[#Headers],[CCCM%]:[WASH%]], 0))=$A76, 1, 0))))</f>
        <v/>
      </c>
      <c r="C76" s="93" t="str" cm="1">
        <f t="array" ref="C76">IFERROR(IF(OR($A76="", C$5=""), "", IF(SUM(IF(INDEX(_xlfn._xlws.FILTER(tblPiNAnalysis[[CCCM%]:[WASH%]], tblPiNAnalysis[Population Group]=C$5), 0, MATCH(_xlfn.CONCAT($Q$2, "%"), tblPiNAnalysis[[#Headers],[CCCM%]:[WASH%]], 0))=$A76, 1, 0))=0, "",SUM(IF(INDEX(_xlfn._xlws.FILTER(tblPiNAnalysis[[CCCM%]:[WASH%]], tblPiNAnalysis[Population Group]=C$5), 0, MATCH(_xlfn.CONCAT($Q$2, "%"), tblPiNAnalysis[[#Headers],[CCCM%]:[WASH%]], 0))=$A76, 1, 0)))), "")</f>
        <v/>
      </c>
      <c r="D76" s="93" t="str" cm="1">
        <f t="array" ref="D76">IFERROR(IF(OR($A76="", D$5=""), "", IF(SUM(IF(INDEX(_xlfn._xlws.FILTER(tblPiNAnalysis[[CCCM%]:[WASH%]], tblPiNAnalysis[Population Group]=D$5), 0, MATCH(_xlfn.CONCAT($Q$2, "%"), tblPiNAnalysis[[#Headers],[CCCM%]:[WASH%]], 0))=$A76, 1, 0))=0, "",SUM(IF(INDEX(_xlfn._xlws.FILTER(tblPiNAnalysis[[CCCM%]:[WASH%]], tblPiNAnalysis[Population Group]=D$5), 0, MATCH(_xlfn.CONCAT($Q$2, "%"), tblPiNAnalysis[[#Headers],[CCCM%]:[WASH%]], 0))=$A76, 1, 0)))), "")</f>
        <v/>
      </c>
      <c r="E76" s="93" t="str" cm="1">
        <f t="array" ref="E76">IFERROR(IF(OR($A76="", E$5=""), "", IF(SUM(IF(INDEX(_xlfn._xlws.FILTER(tblPiNAnalysis[[CCCM%]:[WASH%]], tblPiNAnalysis[Population Group]=E$5), 0, MATCH(_xlfn.CONCAT($Q$2, "%"), tblPiNAnalysis[[#Headers],[CCCM%]:[WASH%]], 0))=$A76, 1, 0))=0, "",SUM(IF(INDEX(_xlfn._xlws.FILTER(tblPiNAnalysis[[CCCM%]:[WASH%]], tblPiNAnalysis[Population Group]=E$5), 0, MATCH(_xlfn.CONCAT($Q$2, "%"), tblPiNAnalysis[[#Headers],[CCCM%]:[WASH%]], 0))=$A76, 1, 0)))), "")</f>
        <v/>
      </c>
      <c r="F76" s="93" t="str" cm="1">
        <f t="array" ref="F76">IFERROR(IF(OR($A76="", F$5=""), "", IF(SUM(IF(INDEX(_xlfn._xlws.FILTER(tblPiNAnalysis[[CCCM%]:[WASH%]], tblPiNAnalysis[CCCM]=F$5), 0, MATCH(_xlfn.CONCAT($Q$2, "%"), tblPiNAnalysis[[#Headers],[CCCM%]:[WASH%]], 0))=$A76, 1, 0))=0, "",SUM(IF(INDEX(_xlfn._xlws.FILTER(tblPiNAnalysis[[CCCM%]:[WASH%]], tblPiNAnalysis[CCCM]=F$5), 0, MATCH(_xlfn.CONCAT($Q$2, "%"), tblPiNAnalysis[[#Headers],[CCCM%]:[WASH%]], 0))=$A76, 1, 0)))), "")</f>
        <v/>
      </c>
      <c r="H76" s="95"/>
      <c r="I76" s="93" t="str" cm="1">
        <f t="array" ref="I76">IF($H76="", "", IF($H76=2, SUM(IF(INDEX(_xlfn._xlws.FILTER(tblPiNHistorical[[CCCM]:[WASH]], tblPiNHistorical[Population Group]=I$5), 0, MATCH($Q$2, tblPiNHistorical[[#Headers],[CCCM]:[WASH]], 0))&gt;1.9, 1, 0)), IF(SUM(IF(INDEX(_xlfn._xlws.FILTER(tblPiNHistorical[[CCCM]:[WASH]], tblPiNHistorical[Population Group]=I$5), 0, MATCH($Q$2, tblPiNHistorical[[#Headers],[CCCM]:[WASH]], 0))=$H76, 1, 0))=0, "", SUM(IF(INDEX(_xlfn._xlws.FILTER(tblPiNHistorical[[CCCM]:[WASH]], tblPiNHistorical[Population Group]=I$5), 0, MATCH($Q$2, tblPiNHistorical[[#Headers],[CCCM]:[WASH]], 0))=$H76, 1, 0)))))</f>
        <v/>
      </c>
      <c r="J76" s="93" t="str" cm="1">
        <f t="array" ref="J76">IFERROR(IF(OR($H76="", J75=""), "", IF($H76=2, SUM(IF(INDEX(_xlfn._xlws.FILTER(tblPiNHistorical[[CCCM]:[WASH]], tblPiNHistorical[Population Group]=J$5), 0, MATCH($Q$2, tblPiNHistorical[[#Headers],[CCCM]:[WASH]], 0))&gt;1.9, 1, 0)), IF(SUM(IF(INDEX(_xlfn._xlws.FILTER(tblPiNHistorical[[CCCM]:[WASH]], tblPiNHistorical[Population Group]=J$5), 0, MATCH($Q$2, tblPiNHistorical[[#Headers],[CCCM]:[WASH]], 0))=$H76, 1, 0))=0, "", SUM(IF(INDEX(_xlfn._xlws.FILTER(tblPiNHistorical[[CCCM]:[WASH]], tblPiNHistorical[Population Group]=J$5), 0, MATCH($Q$2, tblPiNHistorical[[#Headers],[CCCM]:[WASH]], 0))=$H76, 1, 0))))), "")</f>
        <v/>
      </c>
      <c r="K76" s="93" t="str" cm="1">
        <f t="array" ref="K76">IFERROR(IF(OR($H76="", K75=""), "", IF($H76=2, SUM(IF(INDEX(_xlfn._xlws.FILTER(tblPiNHistorical[[CCCM]:[WASH]], tblPiNHistorical[CCCM - old]=K$5), 0, MATCH($Q$2, tblPiNHistorical[[#Headers],[CCCM]:[WASH]], 0))&gt;1.9, 1, 0)), IF(SUM(IF(INDEX(_xlfn._xlws.FILTER(tblPiNHistorical[[CCCM]:[WASH]], tblPiNHistorical[CCCM - old]=K$5), 0, MATCH($Q$2, tblPiNHistorical[[#Headers],[CCCM]:[WASH]], 0))=$H76, 1, 0))=0, "", SUM(IF(INDEX(_xlfn._xlws.FILTER(tblPiNHistorical[[CCCM]:[WASH]], tblPiNHistorical[CCCM - old]=K$5), 0, MATCH($Q$2, tblPiNHistorical[[#Headers],[CCCM]:[WASH]], 0))=$H76, 1, 0))))), "")</f>
        <v/>
      </c>
      <c r="L76" s="93" t="str" cm="1">
        <f t="array" ref="L76">IFERROR(IF(OR($H76="", L75=""), "", IF($H76=2, SUM(IF(INDEX(_xlfn._xlws.FILTER(tblPiNHistorical[[CCCM]:[WASH]],#REF!= L$5), 0, MATCH($Q$2, tblPiNHistorical[[#Headers],[CCCM]:[WASH]], 0))&gt;1.9, 1, 0)), IF(SUM(IF(INDEX(_xlfn._xlws.FILTER(tblPiNHistorical[[CCCM]:[WASH]],#REF!= L$5), 0, MATCH($Q$2, tblPiNHistorical[[#Headers],[CCCM]:[WASH]], 0))=$H76, 1, 0))=0, "", SUM(IF(INDEX(_xlfn._xlws.FILTER(tblPiNHistorical[[CCCM]:[WASH]],#REF!= L$5), 0, MATCH($Q$2, tblPiNHistorical[[#Headers],[CCCM]:[WASH]], 0))=$H76, 1, 0))))), "")</f>
        <v/>
      </c>
      <c r="M76" s="93" t="str" cm="1">
        <f t="array" ref="M76">IFERROR(IF(OR($H76="", M75=""), "", IF($H76=2, SUM(IF(INDEX(_xlfn._xlws.FILTER(tblPiNHistorical[[CCCM]:[WASH]],#REF!= M$5), 0, MATCH($Q$2, tblPiNHistorical[[#Headers],[CCCM]:[WASH]], 0))&gt;1.9, 1, 0)), IF(SUM(IF(INDEX(_xlfn._xlws.FILTER(tblPiNHistorical[[CCCM]:[WASH]],#REF!= M$5), 0, MATCH($Q$2, tblPiNHistorical[[#Headers],[CCCM]:[WASH]], 0))=$H76, 1, 0))=0, "", SUM(IF(INDEX(_xlfn._xlws.FILTER(tblPiNHistorical[[CCCM]:[WASH]],#REF!= M$5), 0, MATCH($Q$2, tblPiNHistorical[[#Headers],[CCCM]:[WASH]], 0))=$H76, 1, 0))))), "")</f>
        <v/>
      </c>
    </row>
    <row r="77" spans="1:13" x14ac:dyDescent="0.55000000000000004">
      <c r="A77" s="95"/>
      <c r="B77" s="93" t="str" cm="1">
        <f t="array" ref="B77">IF($A77="", "", IF(SUM(IF(INDEX(_xlfn._xlws.FILTER(tblPiNAnalysis[[CCCM%]:[WASH%]], tblPiNAnalysis[Population Group]=B$5), 0, MATCH(_xlfn.CONCAT($Q$2, "%"), tblPiNAnalysis[[#Headers],[CCCM%]:[WASH%]], 0))=$A77, 1, 0))=0, "",SUM(IF(INDEX(_xlfn._xlws.FILTER(tblPiNAnalysis[[CCCM%]:[WASH%]], tblPiNAnalysis[Population Group]=B$5), 0, MATCH(_xlfn.CONCAT($Q$2, "%"), tblPiNAnalysis[[#Headers],[CCCM%]:[WASH%]], 0))=$A77, 1, 0))))</f>
        <v/>
      </c>
      <c r="C77" s="93" t="str" cm="1">
        <f t="array" ref="C77">IFERROR(IF(OR($A77="", C$5=""), "", IF(SUM(IF(INDEX(_xlfn._xlws.FILTER(tblPiNAnalysis[[CCCM%]:[WASH%]], tblPiNAnalysis[Population Group]=C$5), 0, MATCH(_xlfn.CONCAT($Q$2, "%"), tblPiNAnalysis[[#Headers],[CCCM%]:[WASH%]], 0))=$A77, 1, 0))=0, "",SUM(IF(INDEX(_xlfn._xlws.FILTER(tblPiNAnalysis[[CCCM%]:[WASH%]], tblPiNAnalysis[Population Group]=C$5), 0, MATCH(_xlfn.CONCAT($Q$2, "%"), tblPiNAnalysis[[#Headers],[CCCM%]:[WASH%]], 0))=$A77, 1, 0)))), "")</f>
        <v/>
      </c>
      <c r="D77" s="93" t="str" cm="1">
        <f t="array" ref="D77">IFERROR(IF(OR($A77="", D$5=""), "", IF(SUM(IF(INDEX(_xlfn._xlws.FILTER(tblPiNAnalysis[[CCCM%]:[WASH%]], tblPiNAnalysis[Population Group]=D$5), 0, MATCH(_xlfn.CONCAT($Q$2, "%"), tblPiNAnalysis[[#Headers],[CCCM%]:[WASH%]], 0))=$A77, 1, 0))=0, "",SUM(IF(INDEX(_xlfn._xlws.FILTER(tblPiNAnalysis[[CCCM%]:[WASH%]], tblPiNAnalysis[Population Group]=D$5), 0, MATCH(_xlfn.CONCAT($Q$2, "%"), tblPiNAnalysis[[#Headers],[CCCM%]:[WASH%]], 0))=$A77, 1, 0)))), "")</f>
        <v/>
      </c>
      <c r="E77" s="93" t="str" cm="1">
        <f t="array" ref="E77">IFERROR(IF(OR($A77="", E$5=""), "", IF(SUM(IF(INDEX(_xlfn._xlws.FILTER(tblPiNAnalysis[[CCCM%]:[WASH%]], tblPiNAnalysis[Population Group]=E$5), 0, MATCH(_xlfn.CONCAT($Q$2, "%"), tblPiNAnalysis[[#Headers],[CCCM%]:[WASH%]], 0))=$A77, 1, 0))=0, "",SUM(IF(INDEX(_xlfn._xlws.FILTER(tblPiNAnalysis[[CCCM%]:[WASH%]], tblPiNAnalysis[Population Group]=E$5), 0, MATCH(_xlfn.CONCAT($Q$2, "%"), tblPiNAnalysis[[#Headers],[CCCM%]:[WASH%]], 0))=$A77, 1, 0)))), "")</f>
        <v/>
      </c>
      <c r="F77" s="93" t="str" cm="1">
        <f t="array" ref="F77">IFERROR(IF(OR($A77="", F$5=""), "", IF(SUM(IF(INDEX(_xlfn._xlws.FILTER(tblPiNAnalysis[[CCCM%]:[WASH%]], tblPiNAnalysis[CCCM]=F$5), 0, MATCH(_xlfn.CONCAT($Q$2, "%"), tblPiNAnalysis[[#Headers],[CCCM%]:[WASH%]], 0))=$A77, 1, 0))=0, "",SUM(IF(INDEX(_xlfn._xlws.FILTER(tblPiNAnalysis[[CCCM%]:[WASH%]], tblPiNAnalysis[CCCM]=F$5), 0, MATCH(_xlfn.CONCAT($Q$2, "%"), tblPiNAnalysis[[#Headers],[CCCM%]:[WASH%]], 0))=$A77, 1, 0)))), "")</f>
        <v/>
      </c>
      <c r="H77" s="95"/>
      <c r="I77" s="93" t="str" cm="1">
        <f t="array" ref="I77">IF($H77="", "", IF($H77=2, SUM(IF(INDEX(_xlfn._xlws.FILTER(tblPiNHistorical[[CCCM]:[WASH]], tblPiNHistorical[Population Group]=I$5), 0, MATCH($Q$2, tblPiNHistorical[[#Headers],[CCCM]:[WASH]], 0))&gt;1.9, 1, 0)), IF(SUM(IF(INDEX(_xlfn._xlws.FILTER(tblPiNHistorical[[CCCM]:[WASH]], tblPiNHistorical[Population Group]=I$5), 0, MATCH($Q$2, tblPiNHistorical[[#Headers],[CCCM]:[WASH]], 0))=$H77, 1, 0))=0, "", SUM(IF(INDEX(_xlfn._xlws.FILTER(tblPiNHistorical[[CCCM]:[WASH]], tblPiNHistorical[Population Group]=I$5), 0, MATCH($Q$2, tblPiNHistorical[[#Headers],[CCCM]:[WASH]], 0))=$H77, 1, 0)))))</f>
        <v/>
      </c>
      <c r="J77" s="93" t="str" cm="1">
        <f t="array" ref="J77">IFERROR(IF(OR($H77="", J76=""), "", IF($H77=2, SUM(IF(INDEX(_xlfn._xlws.FILTER(tblPiNHistorical[[CCCM]:[WASH]], tblPiNHistorical[Population Group]=J$5), 0, MATCH($Q$2, tblPiNHistorical[[#Headers],[CCCM]:[WASH]], 0))&gt;1.9, 1, 0)), IF(SUM(IF(INDEX(_xlfn._xlws.FILTER(tblPiNHistorical[[CCCM]:[WASH]], tblPiNHistorical[Population Group]=J$5), 0, MATCH($Q$2, tblPiNHistorical[[#Headers],[CCCM]:[WASH]], 0))=$H77, 1, 0))=0, "", SUM(IF(INDEX(_xlfn._xlws.FILTER(tblPiNHistorical[[CCCM]:[WASH]], tblPiNHistorical[Population Group]=J$5), 0, MATCH($Q$2, tblPiNHistorical[[#Headers],[CCCM]:[WASH]], 0))=$H77, 1, 0))))), "")</f>
        <v/>
      </c>
      <c r="K77" s="93" t="str" cm="1">
        <f t="array" ref="K77">IFERROR(IF(OR($H77="", K76=""), "", IF($H77=2, SUM(IF(INDEX(_xlfn._xlws.FILTER(tblPiNHistorical[[CCCM]:[WASH]], tblPiNHistorical[CCCM - old]=K$5), 0, MATCH($Q$2, tblPiNHistorical[[#Headers],[CCCM]:[WASH]], 0))&gt;1.9, 1, 0)), IF(SUM(IF(INDEX(_xlfn._xlws.FILTER(tblPiNHistorical[[CCCM]:[WASH]], tblPiNHistorical[CCCM - old]=K$5), 0, MATCH($Q$2, tblPiNHistorical[[#Headers],[CCCM]:[WASH]], 0))=$H77, 1, 0))=0, "", SUM(IF(INDEX(_xlfn._xlws.FILTER(tblPiNHistorical[[CCCM]:[WASH]], tblPiNHistorical[CCCM - old]=K$5), 0, MATCH($Q$2, tblPiNHistorical[[#Headers],[CCCM]:[WASH]], 0))=$H77, 1, 0))))), "")</f>
        <v/>
      </c>
      <c r="L77" s="93" t="str" cm="1">
        <f t="array" ref="L77">IFERROR(IF(OR($H77="", L76=""), "", IF($H77=2, SUM(IF(INDEX(_xlfn._xlws.FILTER(tblPiNHistorical[[CCCM]:[WASH]],#REF!= L$5), 0, MATCH($Q$2, tblPiNHistorical[[#Headers],[CCCM]:[WASH]], 0))&gt;1.9, 1, 0)), IF(SUM(IF(INDEX(_xlfn._xlws.FILTER(tblPiNHistorical[[CCCM]:[WASH]],#REF!= L$5), 0, MATCH($Q$2, tblPiNHistorical[[#Headers],[CCCM]:[WASH]], 0))=$H77, 1, 0))=0, "", SUM(IF(INDEX(_xlfn._xlws.FILTER(tblPiNHistorical[[CCCM]:[WASH]],#REF!= L$5), 0, MATCH($Q$2, tblPiNHistorical[[#Headers],[CCCM]:[WASH]], 0))=$H77, 1, 0))))), "")</f>
        <v/>
      </c>
      <c r="M77" s="93" t="str" cm="1">
        <f t="array" ref="M77">IFERROR(IF(OR($H77="", M76=""), "", IF($H77=2, SUM(IF(INDEX(_xlfn._xlws.FILTER(tblPiNHistorical[[CCCM]:[WASH]],#REF!= M$5), 0, MATCH($Q$2, tblPiNHistorical[[#Headers],[CCCM]:[WASH]], 0))&gt;1.9, 1, 0)), IF(SUM(IF(INDEX(_xlfn._xlws.FILTER(tblPiNHistorical[[CCCM]:[WASH]],#REF!= M$5), 0, MATCH($Q$2, tblPiNHistorical[[#Headers],[CCCM]:[WASH]], 0))=$H77, 1, 0))=0, "", SUM(IF(INDEX(_xlfn._xlws.FILTER(tblPiNHistorical[[CCCM]:[WASH]],#REF!= M$5), 0, MATCH($Q$2, tblPiNHistorical[[#Headers],[CCCM]:[WASH]], 0))=$H77, 1, 0))))), "")</f>
        <v/>
      </c>
    </row>
  </sheetData>
  <phoneticPr fontId="9"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5442E1F-AE97-4557-AD07-F891F74C6A87}">
          <x14:formula1>
            <xm:f>'WS - 3.1 Overall PiN'!$K$3:$R$3</xm:f>
          </x14:formula1>
          <xm:sqref>Q2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3003-12C3-4852-B30E-5B980E3C4427}">
  <sheetPr codeName="Sheet7">
    <tabColor rgb="FFBDD7EE"/>
  </sheetPr>
  <dimension ref="A1:BA82"/>
  <sheetViews>
    <sheetView showGridLines="0" tabSelected="1" zoomScale="130" zoomScaleNormal="130" workbookViewId="0">
      <pane ySplit="3" topLeftCell="A24" activePane="bottomLeft" state="frozen"/>
      <selection activeCell="B1" sqref="B1"/>
      <selection pane="bottomLeft" activeCell="I89" sqref="I89"/>
    </sheetView>
  </sheetViews>
  <sheetFormatPr defaultColWidth="8.578125" defaultRowHeight="14.5" customHeight="1" x14ac:dyDescent="0.55000000000000004"/>
  <cols>
    <col min="1" max="1" width="10" style="68" customWidth="1"/>
    <col min="2" max="2" width="21.83984375" style="14" customWidth="1"/>
    <col min="3" max="3" width="11.41796875" style="14" customWidth="1"/>
    <col min="4" max="4" width="21.41796875" style="14" customWidth="1"/>
    <col min="5" max="5" width="10" style="14" bestFit="1" customWidth="1"/>
    <col min="6" max="6" width="7.83984375" style="14" hidden="1" customWidth="1"/>
    <col min="7" max="7" width="10" style="14" hidden="1" customWidth="1"/>
    <col min="8" max="8" width="8.83984375" style="14" hidden="1" customWidth="1"/>
    <col min="9" max="9" width="14.68359375" style="15" customWidth="1"/>
    <col min="10" max="10" width="12.83984375" style="15" hidden="1" customWidth="1"/>
    <col min="11" max="11" width="10.578125" style="22" customWidth="1"/>
    <col min="12" max="12" width="9.578125" style="15" bestFit="1" customWidth="1"/>
    <col min="13" max="13" width="8.41796875" style="15" bestFit="1" customWidth="1"/>
    <col min="14" max="14" width="8.15625" style="15" customWidth="1"/>
    <col min="15" max="15" width="6.41796875" style="15" bestFit="1" customWidth="1"/>
    <col min="16" max="16" width="11.41796875" bestFit="1" customWidth="1"/>
    <col min="17" max="17" width="7.15625" bestFit="1" customWidth="1"/>
    <col min="18" max="18" width="6.41796875" bestFit="1" customWidth="1"/>
    <col min="19" max="19" width="13.26171875" bestFit="1" customWidth="1"/>
    <col min="20" max="20" width="12" style="15" bestFit="1" customWidth="1"/>
    <col min="21" max="21" width="10" style="15" bestFit="1" customWidth="1"/>
    <col min="22" max="22" width="4.26171875" style="15" bestFit="1" customWidth="1"/>
    <col min="23" max="27" width="3.15625" style="15" customWidth="1"/>
    <col min="28" max="28" width="20.26171875" style="15" bestFit="1" customWidth="1"/>
    <col min="29" max="29" width="8.578125" style="15" bestFit="1" customWidth="1"/>
    <col min="30" max="30" width="11.26171875" style="15" bestFit="1" customWidth="1"/>
    <col min="31" max="31" width="10" style="15" bestFit="1" customWidth="1"/>
    <col min="32" max="32" width="9.83984375" bestFit="1" customWidth="1"/>
    <col min="33" max="33" width="14.83984375" customWidth="1"/>
    <col min="34" max="34" width="15.15625" style="16" bestFit="1" customWidth="1"/>
    <col min="35" max="35" width="7.578125" style="15" bestFit="1" customWidth="1"/>
    <col min="36" max="36" width="18.578125" style="15" bestFit="1" customWidth="1"/>
    <col min="37" max="37" width="11.15625" style="15" bestFit="1" customWidth="1"/>
    <col min="38" max="38" width="22.26171875" style="15" customWidth="1"/>
    <col min="39" max="39" width="17" style="15" bestFit="1" customWidth="1"/>
    <col min="40" max="40" width="24.15625" bestFit="1" customWidth="1"/>
    <col min="41" max="41" width="28" bestFit="1" customWidth="1"/>
    <col min="42" max="42" width="28.41796875" bestFit="1" customWidth="1"/>
    <col min="43" max="43" width="11.26171875" bestFit="1" customWidth="1"/>
    <col min="44" max="44" width="18.578125" style="22" bestFit="1" customWidth="1"/>
    <col min="45" max="45" width="24.68359375" bestFit="1" customWidth="1"/>
    <col min="46" max="46" width="20" style="88" bestFit="1" customWidth="1"/>
    <col min="47" max="47" width="9.578125" style="22" customWidth="1"/>
    <col min="48" max="48" width="12.41796875" customWidth="1"/>
    <col min="49" max="49" width="13.15625" style="433" customWidth="1"/>
    <col min="50" max="50" width="19" style="88" hidden="1" customWidth="1"/>
    <col min="51" max="51" width="22.83984375" style="88" customWidth="1"/>
    <col min="52" max="53" width="19" style="122" customWidth="1"/>
    <col min="54" max="56" width="25.83984375" customWidth="1"/>
    <col min="57" max="57" width="38.578125" customWidth="1"/>
    <col min="58" max="58" width="57.26171875" customWidth="1"/>
    <col min="59" max="59" width="25.41796875" customWidth="1"/>
    <col min="60" max="60" width="27.26171875" customWidth="1"/>
    <col min="61" max="61" width="22.15625" customWidth="1"/>
    <col min="62" max="62" width="16" customWidth="1"/>
    <col min="63" max="63" width="11.15625" customWidth="1"/>
    <col min="64" max="64" width="12.578125" customWidth="1"/>
    <col min="65" max="65" width="20" bestFit="1" customWidth="1"/>
    <col min="66" max="66" width="46.15625" customWidth="1"/>
  </cols>
  <sheetData>
    <row r="1" spans="1:53" ht="14.5" customHeight="1" thickBot="1" x14ac:dyDescent="0.6">
      <c r="A1" s="139"/>
      <c r="B1" s="807"/>
      <c r="C1" s="807"/>
      <c r="D1" s="807"/>
      <c r="E1" s="807"/>
      <c r="F1" s="807"/>
      <c r="G1" s="807"/>
      <c r="H1" s="807"/>
      <c r="I1" s="807"/>
      <c r="J1" s="807"/>
      <c r="K1" s="818" t="s">
        <v>166</v>
      </c>
      <c r="L1" s="818"/>
      <c r="M1" s="818"/>
      <c r="N1" s="818"/>
      <c r="O1" s="818"/>
      <c r="P1" s="818"/>
      <c r="Q1" s="818"/>
      <c r="R1" s="818"/>
      <c r="S1" s="818"/>
      <c r="T1" s="818"/>
      <c r="U1" s="818"/>
      <c r="V1" s="818"/>
      <c r="W1" s="818"/>
      <c r="X1" s="818"/>
      <c r="Y1" s="818"/>
      <c r="Z1" s="818"/>
      <c r="AA1" s="818"/>
      <c r="AB1" s="818"/>
      <c r="AC1" s="824" t="s">
        <v>167</v>
      </c>
      <c r="AD1" s="824"/>
      <c r="AE1" s="824"/>
      <c r="AF1" s="824"/>
      <c r="AG1" s="301"/>
      <c r="AH1" s="24"/>
      <c r="AI1" s="21"/>
      <c r="AJ1" s="20"/>
      <c r="AK1" s="21"/>
      <c r="AL1" s="17"/>
      <c r="AM1" s="825"/>
      <c r="AN1" s="825"/>
      <c r="AO1" s="137"/>
      <c r="AP1" s="137"/>
      <c r="AQ1" s="138"/>
      <c r="AR1" s="138"/>
      <c r="AS1" s="138"/>
      <c r="AT1" s="305"/>
      <c r="AU1" s="21"/>
      <c r="AV1" s="21"/>
      <c r="AW1" s="431"/>
      <c r="AX1"/>
      <c r="AY1"/>
      <c r="AZ1"/>
      <c r="BA1"/>
    </row>
    <row r="2" spans="1:53" ht="24.6" customHeight="1" thickTop="1" thickBot="1" x14ac:dyDescent="0.6">
      <c r="A2" s="118"/>
      <c r="B2" s="828" t="s">
        <v>61</v>
      </c>
      <c r="C2" s="829"/>
      <c r="D2" s="829"/>
      <c r="E2" s="829"/>
      <c r="F2" s="829"/>
      <c r="G2" s="829"/>
      <c r="H2" s="312"/>
      <c r="I2" s="810" t="s">
        <v>62</v>
      </c>
      <c r="J2" s="811"/>
      <c r="K2" s="123"/>
      <c r="L2" s="124"/>
      <c r="M2" s="124"/>
      <c r="N2" s="123"/>
      <c r="O2" s="123"/>
      <c r="P2" s="124"/>
      <c r="Q2" s="124"/>
      <c r="R2" s="123"/>
      <c r="S2" s="124"/>
      <c r="T2" s="124"/>
      <c r="U2" s="123"/>
      <c r="V2" s="123"/>
      <c r="W2" s="812" t="s">
        <v>168</v>
      </c>
      <c r="X2" s="813"/>
      <c r="Y2" s="813"/>
      <c r="Z2" s="813"/>
      <c r="AA2" s="814"/>
      <c r="AB2" s="126"/>
      <c r="AC2" s="819" t="s">
        <v>169</v>
      </c>
      <c r="AD2" s="820"/>
      <c r="AE2" s="821"/>
      <c r="AF2" s="830" t="s">
        <v>170</v>
      </c>
      <c r="AG2" s="831"/>
      <c r="AH2" s="815" t="s">
        <v>171</v>
      </c>
      <c r="AI2" s="816"/>
      <c r="AJ2" s="816"/>
      <c r="AK2" s="816"/>
      <c r="AL2" s="817"/>
      <c r="AM2" s="822" t="s">
        <v>172</v>
      </c>
      <c r="AN2" s="823"/>
      <c r="AO2" s="826" t="s">
        <v>173</v>
      </c>
      <c r="AP2" s="827"/>
      <c r="AQ2" s="832" t="s">
        <v>47</v>
      </c>
      <c r="AR2" s="833"/>
      <c r="AS2" s="834"/>
      <c r="AT2" s="304" t="str">
        <f>_xlfn.CONCAT("# of units flagged: ",COUNTIF(AT6:AT7,"&gt;=1"))</f>
        <v># of units flagged: 0</v>
      </c>
      <c r="AU2" s="808" t="s">
        <v>174</v>
      </c>
      <c r="AV2" s="809"/>
      <c r="AW2" s="431"/>
      <c r="AX2"/>
      <c r="AY2"/>
      <c r="AZ2"/>
      <c r="BA2"/>
    </row>
    <row r="3" spans="1:53" ht="71.099999999999994" thickTop="1" thickBot="1" x14ac:dyDescent="0.6">
      <c r="A3" s="146" t="s">
        <v>74</v>
      </c>
      <c r="B3" s="47" t="s">
        <v>75</v>
      </c>
      <c r="C3" s="48" t="s">
        <v>76</v>
      </c>
      <c r="D3" s="48" t="s">
        <v>77</v>
      </c>
      <c r="E3" s="48" t="s">
        <v>78</v>
      </c>
      <c r="F3" s="48" t="s">
        <v>79</v>
      </c>
      <c r="G3" s="198" t="s">
        <v>80</v>
      </c>
      <c r="H3" s="48" t="s">
        <v>228</v>
      </c>
      <c r="I3" s="199" t="s">
        <v>431</v>
      </c>
      <c r="J3" s="49" t="s">
        <v>82</v>
      </c>
      <c r="K3" s="119" t="s">
        <v>83</v>
      </c>
      <c r="L3" s="120" t="s">
        <v>56</v>
      </c>
      <c r="M3" s="120" t="s">
        <v>84</v>
      </c>
      <c r="N3" s="120" t="s">
        <v>85</v>
      </c>
      <c r="O3" s="120" t="s">
        <v>86</v>
      </c>
      <c r="P3" s="120" t="s">
        <v>87</v>
      </c>
      <c r="Q3" s="120" t="s">
        <v>88</v>
      </c>
      <c r="R3" s="121" t="s">
        <v>89</v>
      </c>
      <c r="S3" s="147" t="s">
        <v>175</v>
      </c>
      <c r="T3" s="147" t="s">
        <v>176</v>
      </c>
      <c r="U3" s="147" t="s">
        <v>92</v>
      </c>
      <c r="V3" s="148" t="s">
        <v>93</v>
      </c>
      <c r="W3" s="120" t="s">
        <v>177</v>
      </c>
      <c r="X3" s="120" t="s">
        <v>178</v>
      </c>
      <c r="Y3" s="120" t="s">
        <v>179</v>
      </c>
      <c r="Z3" s="120" t="s">
        <v>180</v>
      </c>
      <c r="AA3" s="121" t="s">
        <v>181</v>
      </c>
      <c r="AB3" s="127" t="s">
        <v>182</v>
      </c>
      <c r="AC3" s="211" t="s">
        <v>183</v>
      </c>
      <c r="AD3" s="212" t="s">
        <v>184</v>
      </c>
      <c r="AE3" s="213" t="s">
        <v>185</v>
      </c>
      <c r="AF3" s="125" t="s">
        <v>186</v>
      </c>
      <c r="AG3" s="302" t="s">
        <v>187</v>
      </c>
      <c r="AH3" s="200" t="s">
        <v>188</v>
      </c>
      <c r="AI3" s="201" t="s">
        <v>189</v>
      </c>
      <c r="AJ3" s="202" t="s">
        <v>190</v>
      </c>
      <c r="AK3" s="201" t="s">
        <v>191</v>
      </c>
      <c r="AL3" s="203" t="s">
        <v>192</v>
      </c>
      <c r="AM3" s="204" t="s">
        <v>232</v>
      </c>
      <c r="AN3" s="205" t="s">
        <v>231</v>
      </c>
      <c r="AO3" s="207" t="s">
        <v>193</v>
      </c>
      <c r="AP3" s="208" t="s">
        <v>194</v>
      </c>
      <c r="AQ3" s="206" t="s">
        <v>47</v>
      </c>
      <c r="AR3" s="206" t="s">
        <v>195</v>
      </c>
      <c r="AS3" s="206" t="s">
        <v>129</v>
      </c>
      <c r="AT3" s="299" t="s">
        <v>130</v>
      </c>
      <c r="AU3" s="209" t="s">
        <v>196</v>
      </c>
      <c r="AV3" s="210" t="s">
        <v>133</v>
      </c>
      <c r="AW3" s="430" t="s">
        <v>475</v>
      </c>
      <c r="AX3"/>
      <c r="AY3"/>
      <c r="AZ3"/>
      <c r="BA3"/>
    </row>
    <row r="4" spans="1:53" ht="13.5" hidden="1" customHeight="1" thickTop="1" x14ac:dyDescent="0.55000000000000004">
      <c r="A4" s="67"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SS0001</v>
      </c>
      <c r="B4" s="40" t="s">
        <v>233</v>
      </c>
      <c r="C4" s="34" t="s">
        <v>234</v>
      </c>
      <c r="D4" s="34" t="s">
        <v>233</v>
      </c>
      <c r="E4" s="34" t="s">
        <v>235</v>
      </c>
      <c r="F4" s="34"/>
      <c r="G4" s="34"/>
      <c r="H4" s="34"/>
      <c r="I4" s="97">
        <v>155846.19649239231</v>
      </c>
      <c r="J4" s="41"/>
      <c r="K4" s="757">
        <v>3</v>
      </c>
      <c r="L4" s="758">
        <v>4</v>
      </c>
      <c r="M4" s="758">
        <v>5</v>
      </c>
      <c r="N4" s="758">
        <v>4</v>
      </c>
      <c r="O4" s="758">
        <v>3.6666666666666665</v>
      </c>
      <c r="P4" s="758">
        <v>4</v>
      </c>
      <c r="Q4" s="759">
        <v>4</v>
      </c>
      <c r="R4" s="760">
        <v>3</v>
      </c>
      <c r="S4" s="33"/>
      <c r="T4" s="33"/>
      <c r="U4" s="33"/>
      <c r="V4" s="33"/>
      <c r="W4" s="43" t="str">
        <f>IF(COUNTIF(tblSeverityAnalysis[[#This Row],[CCCM]:[WASH]], 1)=0, "", COUNTIF(tblSeverityAnalysis[[#This Row],[CCCM]:[WASH]], 1))</f>
        <v/>
      </c>
      <c r="X4" s="31" t="str">
        <f>IF(COUNTIF(tblSeverityAnalysis[[#This Row],[CCCM]:[WASH]], 2)=0, "", COUNTIF(tblSeverityAnalysis[[#This Row],[CCCM]:[WASH]], 2))</f>
        <v/>
      </c>
      <c r="Y4" s="31">
        <f>IF(COUNTIF(tblSeverityAnalysis[[#This Row],[CCCM]:[WASH]], 3)=0, "", COUNTIF(tblSeverityAnalysis[[#This Row],[CCCM]:[WASH]], 3))</f>
        <v>2</v>
      </c>
      <c r="Z4" s="31">
        <f>IF(COUNTIF(tblSeverityAnalysis[[#This Row],[CCCM]:[WASH]], 4)=0, "", COUNTIF(tblSeverityAnalysis[[#This Row],[CCCM]:[WASH]], 4))</f>
        <v>4</v>
      </c>
      <c r="AA4" s="111">
        <f>IF(COUNTIF(tblSeverityAnalysis[[#This Row],[CCCM]:[WASH]], 5)=0, "", COUNTIF(tblSeverityAnalysis[[#This Row],[CCCM]:[WASH]], 5))</f>
        <v>1</v>
      </c>
      <c r="AB4" s="61" cm="1">
        <f t="array" ref="AB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4" s="82"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 s="33" t="str">
        <f>IFERROR(IF(INDEX(tblSeverityReference[Malnutrition Severity],MATCH(tblSeverityAnalysis[[#This Row],[ID]], tblSeverityReference[ID], 0))= "", "",INDEX(tblSeverityReference[Malnutrition Severity],MATCH(tblSeverityAnalysis[[#This Row],[ID]], tblSeverityReference[ID], 0)) ), "")</f>
        <v/>
      </c>
      <c r="AE4" s="42" t="str">
        <f>IFERROR(IF(INDEX(tblSeverityReference[Epidemic Severity],MATCH(tblSeverityAnalysis[[#This Row],[ID]], tblSeverityReference[ID], 0))= "", "",INDEX(tblSeverityReference[Epidemic Severity],MATCH(tblSeverityAnalysis[[#This Row],[ID]], tblSeverityReference[ID], 0)) ), "")</f>
        <v/>
      </c>
      <c r="AF4" s="85" t="str">
        <f>IFERROR(IF(INDEX(tblSeverityReference[Coping Strategy Severity],MATCH(tblSeverityAnalysis[[#This Row],[ID]], tblSeverityReference[ID], 0))= "", "",INDEX(tblSeverityReference[Coping Strategy Severity],MATCH(tblSeverityAnalysis[[#This Row],[ID]], tblSeverityReference[ID], 0)) ), "")</f>
        <v/>
      </c>
      <c r="AG4" s="85">
        <v>4</v>
      </c>
      <c r="AH4" s="83">
        <f>IFERROR(AVERAGE(tblSeverityAnalysis[[#This Row],[CCCM]:[WASH]]), "")</f>
        <v>3.8333333333333335</v>
      </c>
      <c r="AI4" s="27">
        <f>IF(SUM(tblSeverityAnalysis[[#This Row],[CCCM]:[WASH]])=0, "", MAX(tblSeverityAnalysis[[#This Row],[CCCM]:[WASH]]))</f>
        <v>5</v>
      </c>
      <c r="AJ4" s="96" t="str" cm="1">
        <f t="array" ref="AJ4">IFERROR(IF(tblSeverityAnalysis[[#This Row],[Highest Severity]]="", "", _xlfn.TEXTJOIN(CHAR(10), TRUE, IF(tblSeverityAnalysis[[#This Row],[CCCM]:[WASH]]=tblSeverityAnalysis[[#This Row],[Highest Severity]], tblSeverityAnalysis[[#Headers],[CCCM]:[WASH]], ""), "")), "")</f>
        <v>Nutrition</v>
      </c>
      <c r="AK4" s="27" cm="1">
        <f t="array" ref="AK4">IFERROR(MAX(_xlfn._xlws.FILTER(tblSeverityAnalysis[[#This Row],[CCCM]:[WASH]], tblSeverityAnalysis[[#This Row],[CCCM]:[WASH]]&lt;tblSeverityAnalysis[[#This Row],[Highest Severity]])), "")</f>
        <v>4</v>
      </c>
      <c r="AL4" s="36" t="str" cm="1">
        <f t="array" ref="AL4">IFERROR(IF(tblSeverityAnalysis[[#This Row],[2nd Highest Severity]]="", "", _xlfn.TEXTJOIN(CHAR(10), TRUE, IF(tblSeverityAnalysis[[#This Row],[CCCM]:[WASH]]=tblSeverityAnalysis[[#This Row],[2nd Highest Severity]], tblSeverityAnalysis[[#Headers],[CCCM]:[WASH]], ""), "")), "")</f>
        <v>Education
Food Security
Overarching Protection
Shelter</v>
      </c>
      <c r="AM4" s="135" t="str">
        <f>IFERROR(IF(AND(tblSeverityAnalysis[[#This Row],[5]] &lt;&gt; "", tblSeverityAnalysis[[#This Row],[5]]&gt;=sectors_sev_5), "Flagged", ""), "")</f>
        <v>Flagged</v>
      </c>
      <c r="AN4" s="136" t="str">
        <f>IFERROR(IF(AND(tblSeverityAnalysis[[#This Row],[Preliminary Intersectoral Severity based on overlap of sectoral deprivations]]=4, SUM(tblSeverityAnalysis[[#This Row],[ 4 ]:[5]])&gt;=sectors_sev_4), "Flagged", ""), "")</f>
        <v>Flagged</v>
      </c>
      <c r="AO4" s="222" t="str" cm="1">
        <f t="array" ref="AO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 s="30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 s="96"/>
      <c r="AR4" s="96"/>
      <c r="AS4" s="96"/>
      <c r="AT4" s="298">
        <f>COUNTIF(tblSeverityAnalysis[[#This Row],[1 sector in severity phase 5 '[modify the threshold']]:[Manual Flag]], "Flagged")</f>
        <v>2</v>
      </c>
      <c r="AU4" s="44">
        <f>tblSeverityAnalysis[[#This Row],[Preliminary Intersectoral Severity based on overlap of sectoral deprivations]]</f>
        <v>4</v>
      </c>
      <c r="AV4" s="63">
        <v>4</v>
      </c>
      <c r="AW4" s="432">
        <v>1</v>
      </c>
      <c r="AX4"/>
      <c r="AY4"/>
      <c r="AZ4" t="b">
        <f>tblSeverityAnalysis[[#This Row],[Preliminary Intersectoral Severity based on overlap of sectoral deprivations]]=tblSeverityAnalysis[[#This Row],[Final Severity]]</f>
        <v>1</v>
      </c>
      <c r="BA4"/>
    </row>
    <row r="5" spans="1:53" ht="14.5" hidden="1" customHeight="1" x14ac:dyDescent="0.55000000000000004">
      <c r="A5" s="67"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SS0101</v>
      </c>
      <c r="B5" s="40" t="s">
        <v>236</v>
      </c>
      <c r="C5" s="34" t="s">
        <v>237</v>
      </c>
      <c r="D5" s="34" t="s">
        <v>238</v>
      </c>
      <c r="E5" s="34" t="s">
        <v>239</v>
      </c>
      <c r="F5" s="34"/>
      <c r="G5" s="34"/>
      <c r="H5" s="34"/>
      <c r="I5" s="97">
        <v>555151.51781459432</v>
      </c>
      <c r="J5" s="41"/>
      <c r="K5" s="757">
        <v>4</v>
      </c>
      <c r="L5" s="758">
        <v>4</v>
      </c>
      <c r="M5" s="758">
        <v>4</v>
      </c>
      <c r="N5" s="758">
        <v>3</v>
      </c>
      <c r="O5" s="758">
        <v>3</v>
      </c>
      <c r="P5" s="758">
        <v>4</v>
      </c>
      <c r="Q5" s="759">
        <v>3</v>
      </c>
      <c r="R5" s="760">
        <v>3</v>
      </c>
      <c r="S5" s="33"/>
      <c r="T5" s="33"/>
      <c r="U5" s="33"/>
      <c r="V5" s="33"/>
      <c r="W5" s="43" t="str">
        <f>IF(COUNTIF(tblSeverityAnalysis[[#This Row],[CCCM]:[WASH]], 1)=0, "", COUNTIF(tblSeverityAnalysis[[#This Row],[CCCM]:[WASH]], 1))</f>
        <v/>
      </c>
      <c r="X5" s="31" t="str">
        <f>IF(COUNTIF(tblSeverityAnalysis[[#This Row],[CCCM]:[WASH]], 2)=0, "", COUNTIF(tblSeverityAnalysis[[#This Row],[CCCM]:[WASH]], 2))</f>
        <v/>
      </c>
      <c r="Y5" s="31">
        <f>IF(COUNTIF(tblSeverityAnalysis[[#This Row],[CCCM]:[WASH]], 3)=0, "", COUNTIF(tblSeverityAnalysis[[#This Row],[CCCM]:[WASH]], 3))</f>
        <v>4</v>
      </c>
      <c r="Z5" s="31">
        <f>IF(COUNTIF(tblSeverityAnalysis[[#This Row],[CCCM]:[WASH]], 4)=0, "", COUNTIF(tblSeverityAnalysis[[#This Row],[CCCM]:[WASH]], 4))</f>
        <v>4</v>
      </c>
      <c r="AA5" s="111" t="str">
        <f>IF(COUNTIF(tblSeverityAnalysis[[#This Row],[CCCM]:[WASH]], 5)=0, "", COUNTIF(tblSeverityAnalysis[[#This Row],[CCCM]:[WASH]], 5))</f>
        <v/>
      </c>
      <c r="AB5" s="61" cm="1">
        <f t="array" ref="AB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 s="82"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 s="33" t="str">
        <f>IFERROR(IF(INDEX(tblSeverityReference[Malnutrition Severity],MATCH(tblSeverityAnalysis[[#This Row],[ID]], tblSeverityReference[ID], 0))= "", "",INDEX(tblSeverityReference[Malnutrition Severity],MATCH(tblSeverityAnalysis[[#This Row],[ID]], tblSeverityReference[ID], 0)) ), "")</f>
        <v/>
      </c>
      <c r="AE5" s="42" t="str">
        <f>IFERROR(IF(INDEX(tblSeverityReference[Epidemic Severity],MATCH(tblSeverityAnalysis[[#This Row],[ID]], tblSeverityReference[ID], 0))= "", "",INDEX(tblSeverityReference[Epidemic Severity],MATCH(tblSeverityAnalysis[[#This Row],[ID]], tblSeverityReference[ID], 0)) ), "")</f>
        <v/>
      </c>
      <c r="AF5" s="85" t="str">
        <f>IFERROR(IF(INDEX(tblSeverityReference[Coping Strategy Severity],MATCH(tblSeverityAnalysis[[#This Row],[ID]], tblSeverityReference[ID], 0))= "", "",INDEX(tblSeverityReference[Coping Strategy Severity],MATCH(tblSeverityAnalysis[[#This Row],[ID]], tblSeverityReference[ID], 0)) ), "")</f>
        <v/>
      </c>
      <c r="AG5" s="85">
        <v>3</v>
      </c>
      <c r="AH5" s="83">
        <f>IFERROR(AVERAGE(tblSeverityAnalysis[[#This Row],[CCCM]:[WASH]]), "")</f>
        <v>3.5</v>
      </c>
      <c r="AI5" s="27">
        <f>IF(SUM(tblSeverityAnalysis[[#This Row],[CCCM]:[WASH]])=0, "", MAX(tblSeverityAnalysis[[#This Row],[CCCM]:[WASH]]))</f>
        <v>4</v>
      </c>
      <c r="AJ5" s="96" t="str" cm="1">
        <f t="array" ref="AJ5">IFERROR(IF(tblSeverityAnalysis[[#This Row],[Highest Severity]]="", "", _xlfn.TEXTJOIN(CHAR(10), TRUE, IF(tblSeverityAnalysis[[#This Row],[CCCM]:[WASH]]=tblSeverityAnalysis[[#This Row],[Highest Severity]], tblSeverityAnalysis[[#Headers],[CCCM]:[WASH]], ""), "")), "")</f>
        <v>CCCM
Education
Nutrition
Overarching Protection</v>
      </c>
      <c r="AK5" s="27" cm="1">
        <f t="array" ref="AK5">IFERROR(MAX(_xlfn._xlws.FILTER(tblSeverityAnalysis[[#This Row],[CCCM]:[WASH]], tblSeverityAnalysis[[#This Row],[CCCM]:[WASH]]&lt;tblSeverityAnalysis[[#This Row],[Highest Severity]])), "")</f>
        <v>3</v>
      </c>
      <c r="AL5" s="36" t="str" cm="1">
        <f t="array" ref="AL5">IFERROR(IF(tblSeverityAnalysis[[#This Row],[2nd Highest Severity]]="", "", _xlfn.TEXTJOIN(CHAR(10), TRUE, IF(tblSeverityAnalysis[[#This Row],[CCCM]:[WASH]]=tblSeverityAnalysis[[#This Row],[2nd Highest Severity]], tblSeverityAnalysis[[#Headers],[CCCM]:[WASH]], ""), "")), "")</f>
        <v>Food Security
Health
Shelter
WASH</v>
      </c>
      <c r="AM5" s="135" t="str">
        <f>IFERROR(IF(AND(tblSeverityAnalysis[[#This Row],[5]] &lt;&gt; "", tblSeverityAnalysis[[#This Row],[5]]&gt;=sectors_sev_5), "Flagged", ""), "")</f>
        <v/>
      </c>
      <c r="AN5" s="136" t="str">
        <f>IFERROR(IF(AND(tblSeverityAnalysis[[#This Row],[Preliminary Intersectoral Severity based on overlap of sectoral deprivations]]=4, SUM(tblSeverityAnalysis[[#This Row],[ 4 ]:[5]])&gt;=sectors_sev_4), "Flagged", ""), "")</f>
        <v/>
      </c>
      <c r="AO5" s="222" t="str" cm="1">
        <f t="array" ref="AO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 s="30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 s="96"/>
      <c r="AR5" s="96"/>
      <c r="AS5" s="96"/>
      <c r="AT5" s="298">
        <f>COUNTIF(tblSeverityAnalysis[[#This Row],[1 sector in severity phase 5 '[modify the threshold']]:[Manual Flag]], "Flagged")</f>
        <v>0</v>
      </c>
      <c r="AU5" s="532">
        <v>3</v>
      </c>
      <c r="AV5" s="63">
        <v>3</v>
      </c>
      <c r="AW5" s="432">
        <v>4</v>
      </c>
      <c r="AX5"/>
      <c r="AY5"/>
      <c r="AZ5" t="b">
        <f>tblSeverityAnalysis[[#This Row],[Preliminary Intersectoral Severity based on overlap of sectoral deprivations]]=tblSeverityAnalysis[[#This Row],[Final Severity]]</f>
        <v>0</v>
      </c>
      <c r="BA5" t="s">
        <v>538</v>
      </c>
    </row>
    <row r="6" spans="1:53" s="244" customFormat="1" ht="14.5" hidden="1" customHeight="1" x14ac:dyDescent="0.55000000000000004">
      <c r="A6" s="223"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SS0102</v>
      </c>
      <c r="B6" s="224" t="s">
        <v>236</v>
      </c>
      <c r="C6" s="225" t="s">
        <v>237</v>
      </c>
      <c r="D6" s="225" t="s">
        <v>240</v>
      </c>
      <c r="E6" s="225" t="s">
        <v>241</v>
      </c>
      <c r="F6" s="225"/>
      <c r="G6" s="225"/>
      <c r="H6" s="225"/>
      <c r="I6" s="226">
        <v>196880.33677793134</v>
      </c>
      <c r="J6" s="227"/>
      <c r="K6" s="757">
        <v>2</v>
      </c>
      <c r="L6" s="761">
        <v>4</v>
      </c>
      <c r="M6" s="761">
        <v>4</v>
      </c>
      <c r="N6" s="761">
        <v>3</v>
      </c>
      <c r="O6" s="761">
        <v>3.6666666666666665</v>
      </c>
      <c r="P6" s="761">
        <v>4</v>
      </c>
      <c r="Q6" s="759">
        <v>4</v>
      </c>
      <c r="R6" s="762">
        <v>3</v>
      </c>
      <c r="S6" s="219"/>
      <c r="T6" s="219"/>
      <c r="U6" s="219"/>
      <c r="V6" s="219"/>
      <c r="W6" s="231" t="str">
        <f>IF(COUNTIF(tblSeverityAnalysis[[#This Row],[CCCM]:[WASH]], 1)=0, "", COUNTIF(tblSeverityAnalysis[[#This Row],[CCCM]:[WASH]], 1))</f>
        <v/>
      </c>
      <c r="X6" s="232">
        <f>IF(COUNTIF(tblSeverityAnalysis[[#This Row],[CCCM]:[WASH]], 2)=0, "", COUNTIF(tblSeverityAnalysis[[#This Row],[CCCM]:[WASH]], 2))</f>
        <v>1</v>
      </c>
      <c r="Y6" s="232">
        <f>IF(COUNTIF(tblSeverityAnalysis[[#This Row],[CCCM]:[WASH]], 3)=0, "", COUNTIF(tblSeverityAnalysis[[#This Row],[CCCM]:[WASH]], 3))</f>
        <v>2</v>
      </c>
      <c r="Z6" s="232">
        <f>IF(COUNTIF(tblSeverityAnalysis[[#This Row],[CCCM]:[WASH]], 4)=0, "", COUNTIF(tblSeverityAnalysis[[#This Row],[CCCM]:[WASH]], 4))</f>
        <v>4</v>
      </c>
      <c r="AA6" s="233" t="str">
        <f>IF(COUNTIF(tblSeverityAnalysis[[#This Row],[CCCM]:[WASH]], 5)=0, "", COUNTIF(tblSeverityAnalysis[[#This Row],[CCCM]:[WASH]], 5))</f>
        <v/>
      </c>
      <c r="AB6" s="234" cm="1">
        <f t="array" ref="AB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 s="235"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 s="219" t="str">
        <f>IFERROR(IF(INDEX(tblSeverityReference[Malnutrition Severity],MATCH(tblSeverityAnalysis[[#This Row],[ID]], tblSeverityReference[ID], 0))= "", "",INDEX(tblSeverityReference[Malnutrition Severity],MATCH(tblSeverityAnalysis[[#This Row],[ID]], tblSeverityReference[ID], 0)) ), "")</f>
        <v/>
      </c>
      <c r="AE6" s="230" t="str">
        <f>IFERROR(IF(INDEX(tblSeverityReference[Epidemic Severity],MATCH(tblSeverityAnalysis[[#This Row],[ID]], tblSeverityReference[ID], 0))= "", "",INDEX(tblSeverityReference[Epidemic Severity],MATCH(tblSeverityAnalysis[[#This Row],[ID]], tblSeverityReference[ID], 0)) ), "")</f>
        <v/>
      </c>
      <c r="AF6" s="236" t="str">
        <f>IFERROR(IF(INDEX(tblSeverityReference[Coping Strategy Severity],MATCH(tblSeverityAnalysis[[#This Row],[ID]], tblSeverityReference[ID], 0))= "", "",INDEX(tblSeverityReference[Coping Strategy Severity],MATCH(tblSeverityAnalysis[[#This Row],[ID]], tblSeverityReference[ID], 0)) ), "")</f>
        <v/>
      </c>
      <c r="AG6" s="236">
        <v>4</v>
      </c>
      <c r="AH6" s="237">
        <f>IFERROR(AVERAGE(tblSeverityAnalysis[[#This Row],[CCCM]:[WASH]]), "")</f>
        <v>3.4583333333333335</v>
      </c>
      <c r="AI6" s="238">
        <f>IF(SUM(tblSeverityAnalysis[[#This Row],[CCCM]:[WASH]])=0, "", MAX(tblSeverityAnalysis[[#This Row],[CCCM]:[WASH]]))</f>
        <v>4</v>
      </c>
      <c r="AJ6" s="239" t="str" cm="1">
        <f t="array" ref="AJ6">IFERROR(IF(tblSeverityAnalysis[[#This Row],[Highest Severity]]="", "", _xlfn.TEXTJOIN(CHAR(10), TRUE, IF(tblSeverityAnalysis[[#This Row],[CCCM]:[WASH]]=tblSeverityAnalysis[[#This Row],[Highest Severity]], tblSeverityAnalysis[[#Headers],[CCCM]:[WASH]], ""), "")), "")</f>
        <v>Education
Nutrition
Overarching Protection
Shelter</v>
      </c>
      <c r="AK6" s="238" cm="1">
        <f t="array" ref="AK6">IFERROR(MAX(_xlfn._xlws.FILTER(tblSeverityAnalysis[[#This Row],[CCCM]:[WASH]], tblSeverityAnalysis[[#This Row],[CCCM]:[WASH]]&lt;tblSeverityAnalysis[[#This Row],[Highest Severity]])), "")</f>
        <v>3.6666666666666665</v>
      </c>
      <c r="AL6" s="240" t="str" cm="1">
        <f t="array" ref="AL6">IFERROR(IF(tblSeverityAnalysis[[#This Row],[2nd Highest Severity]]="", "", _xlfn.TEXTJOIN(CHAR(10), TRUE, IF(tblSeverityAnalysis[[#This Row],[CCCM]:[WASH]]=tblSeverityAnalysis[[#This Row],[2nd Highest Severity]], tblSeverityAnalysis[[#Headers],[CCCM]:[WASH]], ""), "")), "")</f>
        <v>Health</v>
      </c>
      <c r="AM6" s="241" t="str">
        <f>IFERROR(IF(AND(tblSeverityAnalysis[[#This Row],[5]] &lt;&gt; "", tblSeverityAnalysis[[#This Row],[5]]&gt;=sectors_sev_5), "Flagged", ""), "")</f>
        <v/>
      </c>
      <c r="AN6" s="242" t="str">
        <f>IFERROR(IF(AND(tblSeverityAnalysis[[#This Row],[Preliminary Intersectoral Severity based on overlap of sectoral deprivations]]=4, SUM(tblSeverityAnalysis[[#This Row],[ 4 ]:[5]])&gt;=sectors_sev_4), "Flagged", ""), "")</f>
        <v/>
      </c>
      <c r="AO6" s="242" t="str" cm="1">
        <f t="array" ref="AO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 s="307"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 s="239"/>
      <c r="AR6" s="239"/>
      <c r="AS6" s="239"/>
      <c r="AT6" s="298">
        <f>COUNTIF(tblSeverityAnalysis[[#This Row],[1 sector in severity phase 5 '[modify the threshold']]:[Manual Flag]], "Flagged")</f>
        <v>0</v>
      </c>
      <c r="AU6" s="532">
        <v>3</v>
      </c>
      <c r="AV6" s="63">
        <v>3</v>
      </c>
      <c r="AW6" s="432">
        <v>5</v>
      </c>
      <c r="AZ6" t="b">
        <f>tblSeverityAnalysis[[#This Row],[Preliminary Intersectoral Severity based on overlap of sectoral deprivations]]=tblSeverityAnalysis[[#This Row],[Final Severity]]</f>
        <v>0</v>
      </c>
      <c r="BA6" t="s">
        <v>538</v>
      </c>
    </row>
    <row r="7" spans="1:53" s="244" customFormat="1" ht="14.5" hidden="1" customHeight="1" x14ac:dyDescent="0.55000000000000004">
      <c r="A7" s="223"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SS0103</v>
      </c>
      <c r="B7" s="224" t="s">
        <v>236</v>
      </c>
      <c r="C7" s="225" t="s">
        <v>237</v>
      </c>
      <c r="D7" s="225" t="s">
        <v>242</v>
      </c>
      <c r="E7" s="225" t="s">
        <v>243</v>
      </c>
      <c r="F7" s="225"/>
      <c r="G7" s="225"/>
      <c r="H7" s="225"/>
      <c r="I7" s="226">
        <v>95926.658303605655</v>
      </c>
      <c r="J7" s="227"/>
      <c r="K7" s="757">
        <v>2</v>
      </c>
      <c r="L7" s="761">
        <v>3</v>
      </c>
      <c r="M7" s="761">
        <v>4</v>
      </c>
      <c r="N7" s="761">
        <v>3</v>
      </c>
      <c r="O7" s="761">
        <v>3.6666666666666665</v>
      </c>
      <c r="P7" s="761">
        <v>4</v>
      </c>
      <c r="Q7" s="759">
        <v>2</v>
      </c>
      <c r="R7" s="762">
        <v>3</v>
      </c>
      <c r="S7" s="219"/>
      <c r="T7" s="219"/>
      <c r="U7" s="219"/>
      <c r="V7" s="219"/>
      <c r="W7" s="231" t="str">
        <f>IF(COUNTIF(tblSeverityAnalysis[[#This Row],[CCCM]:[WASH]], 1)=0, "", COUNTIF(tblSeverityAnalysis[[#This Row],[CCCM]:[WASH]], 1))</f>
        <v/>
      </c>
      <c r="X7" s="232">
        <f>IF(COUNTIF(tblSeverityAnalysis[[#This Row],[CCCM]:[WASH]], 2)=0, "", COUNTIF(tblSeverityAnalysis[[#This Row],[CCCM]:[WASH]], 2))</f>
        <v>2</v>
      </c>
      <c r="Y7" s="232">
        <f>IF(COUNTIF(tblSeverityAnalysis[[#This Row],[CCCM]:[WASH]], 3)=0, "", COUNTIF(tblSeverityAnalysis[[#This Row],[CCCM]:[WASH]], 3))</f>
        <v>3</v>
      </c>
      <c r="Z7" s="232">
        <f>IF(COUNTIF(tblSeverityAnalysis[[#This Row],[CCCM]:[WASH]], 4)=0, "", COUNTIF(tblSeverityAnalysis[[#This Row],[CCCM]:[WASH]], 4))</f>
        <v>2</v>
      </c>
      <c r="AA7" s="233" t="str">
        <f>IF(COUNTIF(tblSeverityAnalysis[[#This Row],[CCCM]:[WASH]], 5)=0, "", COUNTIF(tblSeverityAnalysis[[#This Row],[CCCM]:[WASH]], 5))</f>
        <v/>
      </c>
      <c r="AB7" s="234" cm="1">
        <f t="array" ref="AB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 s="235"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 s="219" t="str">
        <f>IFERROR(IF(INDEX(tblSeverityReference[Malnutrition Severity],MATCH(tblSeverityAnalysis[[#This Row],[ID]], tblSeverityReference[ID], 0))= "", "",INDEX(tblSeverityReference[Malnutrition Severity],MATCH(tblSeverityAnalysis[[#This Row],[ID]], tblSeverityReference[ID], 0)) ), "")</f>
        <v/>
      </c>
      <c r="AE7" s="230" t="str">
        <f>IFERROR(IF(INDEX(tblSeverityReference[Epidemic Severity],MATCH(tblSeverityAnalysis[[#This Row],[ID]], tblSeverityReference[ID], 0))= "", "",INDEX(tblSeverityReference[Epidemic Severity],MATCH(tblSeverityAnalysis[[#This Row],[ID]], tblSeverityReference[ID], 0)) ), "")</f>
        <v/>
      </c>
      <c r="AF7" s="236" t="str">
        <f>IFERROR(IF(INDEX(tblSeverityReference[Coping Strategy Severity],MATCH(tblSeverityAnalysis[[#This Row],[ID]], tblSeverityReference[ID], 0))= "", "",INDEX(tblSeverityReference[Coping Strategy Severity],MATCH(tblSeverityAnalysis[[#This Row],[ID]], tblSeverityReference[ID], 0)) ), "")</f>
        <v/>
      </c>
      <c r="AG7" s="236">
        <v>3</v>
      </c>
      <c r="AH7" s="237">
        <f>IFERROR(AVERAGE(tblSeverityAnalysis[[#This Row],[CCCM]:[WASH]]), "")</f>
        <v>3.083333333333333</v>
      </c>
      <c r="AI7" s="238">
        <f>IF(SUM(tblSeverityAnalysis[[#This Row],[CCCM]:[WASH]])=0, "", MAX(tblSeverityAnalysis[[#This Row],[CCCM]:[WASH]]))</f>
        <v>4</v>
      </c>
      <c r="AJ7" s="239" t="str" cm="1">
        <f t="array" ref="AJ7">IFERROR(IF(tblSeverityAnalysis[[#This Row],[Highest Severity]]="", "", _xlfn.TEXTJOIN(CHAR(10), TRUE, IF(tblSeverityAnalysis[[#This Row],[CCCM]:[WASH]]=tblSeverityAnalysis[[#This Row],[Highest Severity]], tblSeverityAnalysis[[#Headers],[CCCM]:[WASH]], ""), "")), "")</f>
        <v>Nutrition
Overarching Protection</v>
      </c>
      <c r="AK7" s="238" cm="1">
        <f t="array" ref="AK7">IFERROR(MAX(_xlfn._xlws.FILTER(tblSeverityAnalysis[[#This Row],[CCCM]:[WASH]], tblSeverityAnalysis[[#This Row],[CCCM]:[WASH]]&lt;tblSeverityAnalysis[[#This Row],[Highest Severity]])), "")</f>
        <v>3.6666666666666665</v>
      </c>
      <c r="AL7" s="240" t="str" cm="1">
        <f t="array" ref="AL7">IFERROR(IF(tblSeverityAnalysis[[#This Row],[2nd Highest Severity]]="", "", _xlfn.TEXTJOIN(CHAR(10), TRUE, IF(tblSeverityAnalysis[[#This Row],[CCCM]:[WASH]]=tblSeverityAnalysis[[#This Row],[2nd Highest Severity]], tblSeverityAnalysis[[#Headers],[CCCM]:[WASH]], ""), "")), "")</f>
        <v>Health</v>
      </c>
      <c r="AM7" s="241" t="str">
        <f>IFERROR(IF(AND(tblSeverityAnalysis[[#This Row],[5]] &lt;&gt; "", tblSeverityAnalysis[[#This Row],[5]]&gt;=sectors_sev_5), "Flagged", ""), "")</f>
        <v/>
      </c>
      <c r="AN7" s="242" t="str">
        <f>IFERROR(IF(AND(tblSeverityAnalysis[[#This Row],[Preliminary Intersectoral Severity based on overlap of sectoral deprivations]]=4, SUM(tblSeverityAnalysis[[#This Row],[ 4 ]:[5]])&gt;=sectors_sev_4), "Flagged", ""), "")</f>
        <v/>
      </c>
      <c r="AO7" s="242" t="str" cm="1">
        <f t="array" ref="AO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 s="307"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 s="239"/>
      <c r="AR7" s="239"/>
      <c r="AS7" s="239"/>
      <c r="AT7" s="298">
        <f>COUNTIF(tblSeverityAnalysis[[#This Row],[1 sector in severity phase 5 '[modify the threshold']]:[Manual Flag]], "Flagged")</f>
        <v>0</v>
      </c>
      <c r="AU7" s="243">
        <f>tblSeverityAnalysis[[#This Row],[Preliminary Intersectoral Severity based on overlap of sectoral deprivations]]</f>
        <v>3</v>
      </c>
      <c r="AV7" s="63">
        <v>3</v>
      </c>
      <c r="AW7" s="432">
        <v>5</v>
      </c>
      <c r="AZ7" t="b">
        <f>tblSeverityAnalysis[[#This Row],[Preliminary Intersectoral Severity based on overlap of sectoral deprivations]]=tblSeverityAnalysis[[#This Row],[Final Severity]]</f>
        <v>1</v>
      </c>
    </row>
    <row r="8" spans="1:53" ht="14.5" hidden="1" customHeight="1" x14ac:dyDescent="0.55000000000000004">
      <c r="A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SS0104</v>
      </c>
      <c r="B8" s="40" t="s">
        <v>236</v>
      </c>
      <c r="C8" s="345" t="s">
        <v>237</v>
      </c>
      <c r="D8" s="345" t="s">
        <v>244</v>
      </c>
      <c r="E8" s="34" t="s">
        <v>245</v>
      </c>
      <c r="F8" s="34"/>
      <c r="G8" s="34"/>
      <c r="H8" s="20"/>
      <c r="I8" s="97">
        <v>99844.087870752803</v>
      </c>
      <c r="J8" s="97"/>
      <c r="K8" s="757">
        <v>3</v>
      </c>
      <c r="L8" s="763">
        <v>4</v>
      </c>
      <c r="M8" s="763">
        <v>2</v>
      </c>
      <c r="N8" s="763">
        <v>3</v>
      </c>
      <c r="O8" s="763">
        <v>3.3333333333333335</v>
      </c>
      <c r="P8" s="763">
        <v>4</v>
      </c>
      <c r="Q8" s="759">
        <v>3</v>
      </c>
      <c r="R8" s="763">
        <v>4</v>
      </c>
      <c r="S8" s="319"/>
      <c r="T8" s="319"/>
      <c r="U8" s="319"/>
      <c r="V8" s="319"/>
      <c r="W8" s="346" t="str">
        <f>IF(COUNTIF(tblSeverityAnalysis[[#This Row],[CCCM]:[WASH]], 1)=0, "", COUNTIF(tblSeverityAnalysis[[#This Row],[CCCM]:[WASH]], 1))</f>
        <v/>
      </c>
      <c r="X8" s="347">
        <f>IF(COUNTIF(tblSeverityAnalysis[[#This Row],[CCCM]:[WASH]], 2)=0, "", COUNTIF(tblSeverityAnalysis[[#This Row],[CCCM]:[WASH]], 2))</f>
        <v>1</v>
      </c>
      <c r="Y8" s="347">
        <f>IF(COUNTIF(tblSeverityAnalysis[[#This Row],[CCCM]:[WASH]], 3)=0, "", COUNTIF(tblSeverityAnalysis[[#This Row],[CCCM]:[WASH]], 3))</f>
        <v>3</v>
      </c>
      <c r="Z8" s="347">
        <f>IF(COUNTIF(tblSeverityAnalysis[[#This Row],[CCCM]:[WASH]], 4)=0, "", COUNTIF(tblSeverityAnalysis[[#This Row],[CCCM]:[WASH]], 4))</f>
        <v>3</v>
      </c>
      <c r="AA8" s="348" t="str">
        <f>IF(COUNTIF(tblSeverityAnalysis[[#This Row],[CCCM]:[WASH]], 5)=0, "", COUNTIF(tblSeverityAnalysis[[#This Row],[CCCM]:[WASH]], 5))</f>
        <v/>
      </c>
      <c r="AB8" s="61" cm="1">
        <f t="array" ref="AB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 s="42" t="str">
        <f>IFERROR(IF(INDEX(tblSeverityReference[Malnutrition Severity],MATCH(tblSeverityAnalysis[[#This Row],[ID]], tblSeverityReference[ID], 0))= "", "",INDEX(tblSeverityReference[Malnutrition Severity],MATCH(tblSeverityAnalysis[[#This Row],[ID]], tblSeverityReference[ID], 0)) ), "")</f>
        <v/>
      </c>
      <c r="AE8" s="319" t="str">
        <f>IFERROR(IF(INDEX(tblSeverityReference[Epidemic Severity],MATCH(tblSeverityAnalysis[[#This Row],[ID]], tblSeverityReference[ID], 0))= "", "",INDEX(tblSeverityReference[Epidemic Severity],MATCH(tblSeverityAnalysis[[#This Row],[ID]], tblSeverityReference[ID], 0)) ), "")</f>
        <v/>
      </c>
      <c r="AF8" s="319" t="str">
        <f>IFERROR(IF(INDEX(tblSeverityReference[Coping Strategy Severity],MATCH(tblSeverityAnalysis[[#This Row],[ID]], tblSeverityReference[ID], 0))= "", "",INDEX(tblSeverityReference[Coping Strategy Severity],MATCH(tblSeverityAnalysis[[#This Row],[ID]], tblSeverityReference[ID], 0)) ), "")</f>
        <v/>
      </c>
      <c r="AG8" s="110">
        <v>3</v>
      </c>
      <c r="AH8" s="83">
        <f>IFERROR(AVERAGE(tblSeverityAnalysis[[#This Row],[CCCM]:[WASH]]), "")</f>
        <v>3.291666666666667</v>
      </c>
      <c r="AI8" s="27">
        <f>IF(SUM(tblSeverityAnalysis[[#This Row],[CCCM]:[WASH]])=0, "", MAX(tblSeverityAnalysis[[#This Row],[CCCM]:[WASH]]))</f>
        <v>4</v>
      </c>
      <c r="AJ8" s="349" t="str" cm="1">
        <f t="array" ref="AJ8">IFERROR(IF(tblSeverityAnalysis[[#This Row],[Highest Severity]]="", "", _xlfn.TEXTJOIN(CHAR(10), TRUE, IF(tblSeverityAnalysis[[#This Row],[CCCM]:[WASH]]=tblSeverityAnalysis[[#This Row],[Highest Severity]], tblSeverityAnalysis[[#Headers],[CCCM]:[WASH]], ""), "")), "")</f>
        <v>Education
Overarching Protection
WASH</v>
      </c>
      <c r="AK8" s="27" cm="1">
        <f t="array" ref="AK8">IFERROR(MAX(_xlfn._xlws.FILTER(tblSeverityAnalysis[[#This Row],[CCCM]:[WASH]], tblSeverityAnalysis[[#This Row],[CCCM]:[WASH]]&lt;tblSeverityAnalysis[[#This Row],[Highest Severity]])), "")</f>
        <v>3.3333333333333335</v>
      </c>
      <c r="AL8" s="329" t="str" cm="1">
        <f t="array" ref="AL8">IFERROR(IF(tblSeverityAnalysis[[#This Row],[2nd Highest Severity]]="", "", _xlfn.TEXTJOIN(CHAR(10), TRUE, IF(tblSeverityAnalysis[[#This Row],[CCCM]:[WASH]]=tblSeverityAnalysis[[#This Row],[2nd Highest Severity]], tblSeverityAnalysis[[#Headers],[CCCM]:[WASH]], ""), "")), "")</f>
        <v>Health</v>
      </c>
      <c r="AM8" s="135" t="str">
        <f>IFERROR(IF(AND(tblSeverityAnalysis[[#This Row],[5]] &lt;&gt; "", tblSeverityAnalysis[[#This Row],[5]]&gt;=sectors_sev_5), "Flagged", ""), "")</f>
        <v/>
      </c>
      <c r="AN8" s="136" t="str">
        <f>IFERROR(IF(AND(tblSeverityAnalysis[[#This Row],[Preliminary Intersectoral Severity based on overlap of sectoral deprivations]]=4, SUM(tblSeverityAnalysis[[#This Row],[ 4 ]:[5]])&gt;=sectors_sev_4), "Flagged", ""), "")</f>
        <v/>
      </c>
      <c r="AO8" s="136" t="str" cm="1">
        <f t="array" ref="AO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 s="351"/>
      <c r="AR8" s="352"/>
      <c r="AS8" s="351"/>
      <c r="AT8" s="353">
        <f>COUNTIF(tblSeverityAnalysis[[#This Row],[1 sector in severity phase 5 '[modify the threshold']]:[Manual Flag]], "Flagged")</f>
        <v>0</v>
      </c>
      <c r="AU8" s="354">
        <f>tblSeverityAnalysis[[#This Row],[Preliminary Intersectoral Severity based on overlap of sectoral deprivations]]</f>
        <v>3</v>
      </c>
      <c r="AV8" s="63">
        <v>3</v>
      </c>
      <c r="AW8" s="432">
        <v>5</v>
      </c>
      <c r="AZ8" t="b">
        <f>tblSeverityAnalysis[[#This Row],[Preliminary Intersectoral Severity based on overlap of sectoral deprivations]]=tblSeverityAnalysis[[#This Row],[Final Severity]]</f>
        <v>1</v>
      </c>
    </row>
    <row r="9" spans="1:53" ht="14.5" hidden="1" customHeight="1" x14ac:dyDescent="0.55000000000000004">
      <c r="A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SS0105</v>
      </c>
      <c r="B9" s="40" t="s">
        <v>236</v>
      </c>
      <c r="C9" s="335" t="s">
        <v>237</v>
      </c>
      <c r="D9" s="335" t="s">
        <v>246</v>
      </c>
      <c r="E9" s="34" t="s">
        <v>247</v>
      </c>
      <c r="F9" s="34"/>
      <c r="G9" s="34"/>
      <c r="I9" s="97">
        <v>213275.11197046985</v>
      </c>
      <c r="J9" s="97"/>
      <c r="K9" s="757">
        <v>2</v>
      </c>
      <c r="L9" s="763">
        <v>3</v>
      </c>
      <c r="M9" s="763">
        <v>3</v>
      </c>
      <c r="N9" s="763">
        <v>3</v>
      </c>
      <c r="O9" s="763">
        <v>3.3333333333333335</v>
      </c>
      <c r="P9" s="763">
        <v>4</v>
      </c>
      <c r="Q9" s="759">
        <v>2</v>
      </c>
      <c r="R9" s="763">
        <v>3</v>
      </c>
      <c r="S9" s="319"/>
      <c r="T9" s="319"/>
      <c r="U9" s="319"/>
      <c r="V9" s="319"/>
      <c r="W9" s="346" t="str">
        <f>IF(COUNTIF(tblSeverityAnalysis[[#This Row],[CCCM]:[WASH]], 1)=0, "", COUNTIF(tblSeverityAnalysis[[#This Row],[CCCM]:[WASH]], 1))</f>
        <v/>
      </c>
      <c r="X9" s="347">
        <f>IF(COUNTIF(tblSeverityAnalysis[[#This Row],[CCCM]:[WASH]], 2)=0, "", COUNTIF(tblSeverityAnalysis[[#This Row],[CCCM]:[WASH]], 2))</f>
        <v>2</v>
      </c>
      <c r="Y9" s="347">
        <f>IF(COUNTIF(tblSeverityAnalysis[[#This Row],[CCCM]:[WASH]], 3)=0, "", COUNTIF(tblSeverityAnalysis[[#This Row],[CCCM]:[WASH]], 3))</f>
        <v>4</v>
      </c>
      <c r="Z9" s="347">
        <f>IF(COUNTIF(tblSeverityAnalysis[[#This Row],[CCCM]:[WASH]], 4)=0, "", COUNTIF(tblSeverityAnalysis[[#This Row],[CCCM]:[WASH]], 4))</f>
        <v>1</v>
      </c>
      <c r="AA9" s="348" t="str">
        <f>IF(COUNTIF(tblSeverityAnalysis[[#This Row],[CCCM]:[WASH]], 5)=0, "", COUNTIF(tblSeverityAnalysis[[#This Row],[CCCM]:[WASH]], 5))</f>
        <v/>
      </c>
      <c r="AB9" s="61" cm="1">
        <f t="array" ref="AB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9" s="42" t="str">
        <f>IFERROR(IF(INDEX(tblSeverityReference[Malnutrition Severity],MATCH(tblSeverityAnalysis[[#This Row],[ID]], tblSeverityReference[ID], 0))= "", "",INDEX(tblSeverityReference[Malnutrition Severity],MATCH(tblSeverityAnalysis[[#This Row],[ID]], tblSeverityReference[ID], 0)) ), "")</f>
        <v/>
      </c>
      <c r="AE9" s="319" t="str">
        <f>IFERROR(IF(INDEX(tblSeverityReference[Epidemic Severity],MATCH(tblSeverityAnalysis[[#This Row],[ID]], tblSeverityReference[ID], 0))= "", "",INDEX(tblSeverityReference[Epidemic Severity],MATCH(tblSeverityAnalysis[[#This Row],[ID]], tblSeverityReference[ID], 0)) ), "")</f>
        <v/>
      </c>
      <c r="AF9" s="319" t="str">
        <f>IFERROR(IF(INDEX(tblSeverityReference[Coping Strategy Severity],MATCH(tblSeverityAnalysis[[#This Row],[ID]], tblSeverityReference[ID], 0))= "", "",INDEX(tblSeverityReference[Coping Strategy Severity],MATCH(tblSeverityAnalysis[[#This Row],[ID]], tblSeverityReference[ID], 0)) ), "")</f>
        <v/>
      </c>
      <c r="AG9" s="110">
        <v>3</v>
      </c>
      <c r="AH9" s="83">
        <f>IFERROR(AVERAGE(tblSeverityAnalysis[[#This Row],[CCCM]:[WASH]]), "")</f>
        <v>2.916666666666667</v>
      </c>
      <c r="AI9" s="27">
        <f>IF(SUM(tblSeverityAnalysis[[#This Row],[CCCM]:[WASH]])=0, "", MAX(tblSeverityAnalysis[[#This Row],[CCCM]:[WASH]]))</f>
        <v>4</v>
      </c>
      <c r="AJ9" s="349" t="str" cm="1">
        <f t="array" ref="AJ9">IFERROR(IF(tblSeverityAnalysis[[#This Row],[Highest Severity]]="", "", _xlfn.TEXTJOIN(CHAR(10), TRUE, IF(tblSeverityAnalysis[[#This Row],[CCCM]:[WASH]]=tblSeverityAnalysis[[#This Row],[Highest Severity]], tblSeverityAnalysis[[#Headers],[CCCM]:[WASH]], ""), "")), "")</f>
        <v>Overarching Protection</v>
      </c>
      <c r="AK9" s="27" cm="1">
        <f t="array" ref="AK9">IFERROR(MAX(_xlfn._xlws.FILTER(tblSeverityAnalysis[[#This Row],[CCCM]:[WASH]], tblSeverityAnalysis[[#This Row],[CCCM]:[WASH]]&lt;tblSeverityAnalysis[[#This Row],[Highest Severity]])), "")</f>
        <v>3.3333333333333335</v>
      </c>
      <c r="AL9" s="329" t="str" cm="1">
        <f t="array" ref="AL9">IFERROR(IF(tblSeverityAnalysis[[#This Row],[2nd Highest Severity]]="", "", _xlfn.TEXTJOIN(CHAR(10), TRUE, IF(tblSeverityAnalysis[[#This Row],[CCCM]:[WASH]]=tblSeverityAnalysis[[#This Row],[2nd Highest Severity]], tblSeverityAnalysis[[#Headers],[CCCM]:[WASH]], ""), "")), "")</f>
        <v>Health</v>
      </c>
      <c r="AM9" s="135" t="str">
        <f>IFERROR(IF(AND(tblSeverityAnalysis[[#This Row],[5]] &lt;&gt; "", tblSeverityAnalysis[[#This Row],[5]]&gt;=sectors_sev_5), "Flagged", ""), "")</f>
        <v/>
      </c>
      <c r="AN9" s="136" t="str">
        <f>IFERROR(IF(AND(tblSeverityAnalysis[[#This Row],[Preliminary Intersectoral Severity based on overlap of sectoral deprivations]]=4, SUM(tblSeverityAnalysis[[#This Row],[ 4 ]:[5]])&gt;=sectors_sev_4), "Flagged", ""), "")</f>
        <v/>
      </c>
      <c r="AO9" s="136" t="str" cm="1">
        <f t="array" ref="AO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 s="351"/>
      <c r="AR9" s="352"/>
      <c r="AS9" s="351"/>
      <c r="AT9" s="353">
        <f>COUNTIF(tblSeverityAnalysis[[#This Row],[1 sector in severity phase 5 '[modify the threshold']]:[Manual Flag]], "Flagged")</f>
        <v>0</v>
      </c>
      <c r="AU9" s="354">
        <f>tblSeverityAnalysis[[#This Row],[Preliminary Intersectoral Severity based on overlap of sectoral deprivations]]</f>
        <v>3</v>
      </c>
      <c r="AV9" s="63">
        <v>3</v>
      </c>
      <c r="AW9" s="432">
        <v>4</v>
      </c>
      <c r="AZ9" t="b">
        <f>tblSeverityAnalysis[[#This Row],[Preliminary Intersectoral Severity based on overlap of sectoral deprivations]]=tblSeverityAnalysis[[#This Row],[Final Severity]]</f>
        <v>1</v>
      </c>
    </row>
    <row r="10" spans="1:53" ht="14.5" hidden="1" customHeight="1" x14ac:dyDescent="0.55000000000000004">
      <c r="A1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SS0106</v>
      </c>
      <c r="B10" s="40" t="s">
        <v>236</v>
      </c>
      <c r="C10" s="335" t="s">
        <v>237</v>
      </c>
      <c r="D10" s="335" t="s">
        <v>248</v>
      </c>
      <c r="E10" s="34" t="s">
        <v>249</v>
      </c>
      <c r="F10" s="34"/>
      <c r="G10" s="34"/>
      <c r="I10" s="97">
        <v>262484.98973370733</v>
      </c>
      <c r="J10" s="97"/>
      <c r="K10" s="757">
        <v>3</v>
      </c>
      <c r="L10" s="763">
        <v>4</v>
      </c>
      <c r="M10" s="763">
        <v>3</v>
      </c>
      <c r="N10" s="763">
        <v>3</v>
      </c>
      <c r="O10" s="763">
        <v>3.3333333333333335</v>
      </c>
      <c r="P10" s="763">
        <v>4</v>
      </c>
      <c r="Q10" s="759">
        <v>2</v>
      </c>
      <c r="R10" s="763">
        <v>3</v>
      </c>
      <c r="S10" s="319"/>
      <c r="T10" s="319"/>
      <c r="U10" s="319"/>
      <c r="V10" s="319"/>
      <c r="W10" s="346" t="str">
        <f>IF(COUNTIF(tblSeverityAnalysis[[#This Row],[CCCM]:[WASH]], 1)=0, "", COUNTIF(tblSeverityAnalysis[[#This Row],[CCCM]:[WASH]], 1))</f>
        <v/>
      </c>
      <c r="X10" s="347">
        <f>IF(COUNTIF(tblSeverityAnalysis[[#This Row],[CCCM]:[WASH]], 2)=0, "", COUNTIF(tblSeverityAnalysis[[#This Row],[CCCM]:[WASH]], 2))</f>
        <v>1</v>
      </c>
      <c r="Y10" s="347">
        <f>IF(COUNTIF(tblSeverityAnalysis[[#This Row],[CCCM]:[WASH]], 3)=0, "", COUNTIF(tblSeverityAnalysis[[#This Row],[CCCM]:[WASH]], 3))</f>
        <v>4</v>
      </c>
      <c r="Z10" s="347">
        <f>IF(COUNTIF(tblSeverityAnalysis[[#This Row],[CCCM]:[WASH]], 4)=0, "", COUNTIF(tblSeverityAnalysis[[#This Row],[CCCM]:[WASH]], 4))</f>
        <v>2</v>
      </c>
      <c r="AA10" s="348" t="str">
        <f>IF(COUNTIF(tblSeverityAnalysis[[#This Row],[CCCM]:[WASH]], 5)=0, "", COUNTIF(tblSeverityAnalysis[[#This Row],[CCCM]:[WASH]], 5))</f>
        <v/>
      </c>
      <c r="AB10" s="61" cm="1">
        <f t="array" ref="AB1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0" s="42" t="str">
        <f>IFERROR(IF(INDEX(tblSeverityReference[Malnutrition Severity],MATCH(tblSeverityAnalysis[[#This Row],[ID]], tblSeverityReference[ID], 0))= "", "",INDEX(tblSeverityReference[Malnutrition Severity],MATCH(tblSeverityAnalysis[[#This Row],[ID]], tblSeverityReference[ID], 0)) ), "")</f>
        <v/>
      </c>
      <c r="AE10" s="319" t="str">
        <f>IFERROR(IF(INDEX(tblSeverityReference[Epidemic Severity],MATCH(tblSeverityAnalysis[[#This Row],[ID]], tblSeverityReference[ID], 0))= "", "",INDEX(tblSeverityReference[Epidemic Severity],MATCH(tblSeverityAnalysis[[#This Row],[ID]], tblSeverityReference[ID], 0)) ), "")</f>
        <v/>
      </c>
      <c r="AF10" s="319" t="str">
        <f>IFERROR(IF(INDEX(tblSeverityReference[Coping Strategy Severity],MATCH(tblSeverityAnalysis[[#This Row],[ID]], tblSeverityReference[ID], 0))= "", "",INDEX(tblSeverityReference[Coping Strategy Severity],MATCH(tblSeverityAnalysis[[#This Row],[ID]], tblSeverityReference[ID], 0)) ), "")</f>
        <v/>
      </c>
      <c r="AG10" s="110">
        <v>3</v>
      </c>
      <c r="AH10" s="83">
        <f>IFERROR(AVERAGE(tblSeverityAnalysis[[#This Row],[CCCM]:[WASH]]), "")</f>
        <v>3.1666666666666665</v>
      </c>
      <c r="AI10" s="27">
        <f>IF(SUM(tblSeverityAnalysis[[#This Row],[CCCM]:[WASH]])=0, "", MAX(tblSeverityAnalysis[[#This Row],[CCCM]:[WASH]]))</f>
        <v>4</v>
      </c>
      <c r="AJ10" s="349" t="str" cm="1">
        <f t="array" ref="AJ10">IFERROR(IF(tblSeverityAnalysis[[#This Row],[Highest Severity]]="", "", _xlfn.TEXTJOIN(CHAR(10), TRUE, IF(tblSeverityAnalysis[[#This Row],[CCCM]:[WASH]]=tblSeverityAnalysis[[#This Row],[Highest Severity]], tblSeverityAnalysis[[#Headers],[CCCM]:[WASH]], ""), "")), "")</f>
        <v>Education
Overarching Protection</v>
      </c>
      <c r="AK10" s="27" cm="1">
        <f t="array" ref="AK10">IFERROR(MAX(_xlfn._xlws.FILTER(tblSeverityAnalysis[[#This Row],[CCCM]:[WASH]], tblSeverityAnalysis[[#This Row],[CCCM]:[WASH]]&lt;tblSeverityAnalysis[[#This Row],[Highest Severity]])), "")</f>
        <v>3.3333333333333335</v>
      </c>
      <c r="AL10" s="329" t="str" cm="1">
        <f t="array" ref="AL10">IFERROR(IF(tblSeverityAnalysis[[#This Row],[2nd Highest Severity]]="", "", _xlfn.TEXTJOIN(CHAR(10), TRUE, IF(tblSeverityAnalysis[[#This Row],[CCCM]:[WASH]]=tblSeverityAnalysis[[#This Row],[2nd Highest Severity]], tblSeverityAnalysis[[#Headers],[CCCM]:[WASH]], ""), "")), "")</f>
        <v>Health</v>
      </c>
      <c r="AM10" s="135" t="str">
        <f>IFERROR(IF(AND(tblSeverityAnalysis[[#This Row],[5]] &lt;&gt; "", tblSeverityAnalysis[[#This Row],[5]]&gt;=sectors_sev_5), "Flagged", ""), "")</f>
        <v/>
      </c>
      <c r="AN10" s="136" t="str">
        <f>IFERROR(IF(AND(tblSeverityAnalysis[[#This Row],[Preliminary Intersectoral Severity based on overlap of sectoral deprivations]]=4, SUM(tblSeverityAnalysis[[#This Row],[ 4 ]:[5]])&gt;=sectors_sev_4), "Flagged", ""), "")</f>
        <v/>
      </c>
      <c r="AO10" s="136" t="str" cm="1">
        <f t="array" ref="AO1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 s="351"/>
      <c r="AR10" s="352"/>
      <c r="AS10" s="351"/>
      <c r="AT10" s="353">
        <f>COUNTIF(tblSeverityAnalysis[[#This Row],[1 sector in severity phase 5 '[modify the threshold']]:[Manual Flag]], "Flagged")</f>
        <v>0</v>
      </c>
      <c r="AU10" s="354">
        <f>tblSeverityAnalysis[[#This Row],[Preliminary Intersectoral Severity based on overlap of sectoral deprivations]]</f>
        <v>3</v>
      </c>
      <c r="AV10" s="63">
        <v>3</v>
      </c>
      <c r="AW10" s="432">
        <v>5</v>
      </c>
      <c r="AZ10" t="b">
        <f>tblSeverityAnalysis[[#This Row],[Preliminary Intersectoral Severity based on overlap of sectoral deprivations]]=tblSeverityAnalysis[[#This Row],[Final Severity]]</f>
        <v>1</v>
      </c>
    </row>
    <row r="11" spans="1:53" ht="14.5" hidden="1" customHeight="1" x14ac:dyDescent="0.55000000000000004">
      <c r="A1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SS0201</v>
      </c>
      <c r="B11" s="40" t="s">
        <v>250</v>
      </c>
      <c r="C11" s="335" t="s">
        <v>251</v>
      </c>
      <c r="D11" s="335" t="s">
        <v>252</v>
      </c>
      <c r="E11" s="34" t="s">
        <v>253</v>
      </c>
      <c r="F11" s="34"/>
      <c r="G11" s="34"/>
      <c r="I11" s="97">
        <v>87673.926580343876</v>
      </c>
      <c r="J11" s="97"/>
      <c r="K11" s="757">
        <v>2</v>
      </c>
      <c r="L11" s="763">
        <v>3</v>
      </c>
      <c r="M11" s="763">
        <v>4</v>
      </c>
      <c r="N11" s="763">
        <v>3</v>
      </c>
      <c r="O11" s="763">
        <v>3.3333333333333335</v>
      </c>
      <c r="P11" s="763">
        <v>3</v>
      </c>
      <c r="Q11" s="759">
        <v>2</v>
      </c>
      <c r="R11" s="763">
        <v>4</v>
      </c>
      <c r="S11" s="319"/>
      <c r="T11" s="319"/>
      <c r="U11" s="319"/>
      <c r="V11" s="319"/>
      <c r="W11" s="346" t="str">
        <f>IF(COUNTIF(tblSeverityAnalysis[[#This Row],[CCCM]:[WASH]], 1)=0, "", COUNTIF(tblSeverityAnalysis[[#This Row],[CCCM]:[WASH]], 1))</f>
        <v/>
      </c>
      <c r="X11" s="347">
        <f>IF(COUNTIF(tblSeverityAnalysis[[#This Row],[CCCM]:[WASH]], 2)=0, "", COUNTIF(tblSeverityAnalysis[[#This Row],[CCCM]:[WASH]], 2))</f>
        <v>2</v>
      </c>
      <c r="Y11" s="347">
        <f>IF(COUNTIF(tblSeverityAnalysis[[#This Row],[CCCM]:[WASH]], 3)=0, "", COUNTIF(tblSeverityAnalysis[[#This Row],[CCCM]:[WASH]], 3))</f>
        <v>3</v>
      </c>
      <c r="Z11" s="347">
        <f>IF(COUNTIF(tblSeverityAnalysis[[#This Row],[CCCM]:[WASH]], 4)=0, "", COUNTIF(tblSeverityAnalysis[[#This Row],[CCCM]:[WASH]], 4))</f>
        <v>2</v>
      </c>
      <c r="AA11" s="348" t="str">
        <f>IF(COUNTIF(tblSeverityAnalysis[[#This Row],[CCCM]:[WASH]], 5)=0, "", COUNTIF(tblSeverityAnalysis[[#This Row],[CCCM]:[WASH]], 5))</f>
        <v/>
      </c>
      <c r="AB11" s="61" cm="1">
        <f t="array" ref="AB1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1" s="42" t="str">
        <f>IFERROR(IF(INDEX(tblSeverityReference[Malnutrition Severity],MATCH(tblSeverityAnalysis[[#This Row],[ID]], tblSeverityReference[ID], 0))= "", "",INDEX(tblSeverityReference[Malnutrition Severity],MATCH(tblSeverityAnalysis[[#This Row],[ID]], tblSeverityReference[ID], 0)) ), "")</f>
        <v/>
      </c>
      <c r="AE11" s="319" t="str">
        <f>IFERROR(IF(INDEX(tblSeverityReference[Epidemic Severity],MATCH(tblSeverityAnalysis[[#This Row],[ID]], tblSeverityReference[ID], 0))= "", "",INDEX(tblSeverityReference[Epidemic Severity],MATCH(tblSeverityAnalysis[[#This Row],[ID]], tblSeverityReference[ID], 0)) ), "")</f>
        <v/>
      </c>
      <c r="AF11" s="319" t="str">
        <f>IFERROR(IF(INDEX(tblSeverityReference[Coping Strategy Severity],MATCH(tblSeverityAnalysis[[#This Row],[ID]], tblSeverityReference[ID], 0))= "", "",INDEX(tblSeverityReference[Coping Strategy Severity],MATCH(tblSeverityAnalysis[[#This Row],[ID]], tblSeverityReference[ID], 0)) ), "")</f>
        <v/>
      </c>
      <c r="AG11" s="110">
        <v>3</v>
      </c>
      <c r="AH11" s="83">
        <f>IFERROR(AVERAGE(tblSeverityAnalysis[[#This Row],[CCCM]:[WASH]]), "")</f>
        <v>3.041666666666667</v>
      </c>
      <c r="AI11" s="27">
        <f>IF(SUM(tblSeverityAnalysis[[#This Row],[CCCM]:[WASH]])=0, "", MAX(tblSeverityAnalysis[[#This Row],[CCCM]:[WASH]]))</f>
        <v>4</v>
      </c>
      <c r="AJ11" s="349" t="str" cm="1">
        <f t="array" ref="AJ11">IFERROR(IF(tblSeverityAnalysis[[#This Row],[Highest Severity]]="", "", _xlfn.TEXTJOIN(CHAR(10), TRUE, IF(tblSeverityAnalysis[[#This Row],[CCCM]:[WASH]]=tblSeverityAnalysis[[#This Row],[Highest Severity]], tblSeverityAnalysis[[#Headers],[CCCM]:[WASH]], ""), "")), "")</f>
        <v>Nutrition
WASH</v>
      </c>
      <c r="AK11" s="27" cm="1">
        <f t="array" ref="AK11">IFERROR(MAX(_xlfn._xlws.FILTER(tblSeverityAnalysis[[#This Row],[CCCM]:[WASH]], tblSeverityAnalysis[[#This Row],[CCCM]:[WASH]]&lt;tblSeverityAnalysis[[#This Row],[Highest Severity]])), "")</f>
        <v>3.3333333333333335</v>
      </c>
      <c r="AL11" s="329" t="str" cm="1">
        <f t="array" ref="AL11">IFERROR(IF(tblSeverityAnalysis[[#This Row],[2nd Highest Severity]]="", "", _xlfn.TEXTJOIN(CHAR(10), TRUE, IF(tblSeverityAnalysis[[#This Row],[CCCM]:[WASH]]=tblSeverityAnalysis[[#This Row],[2nd Highest Severity]], tblSeverityAnalysis[[#Headers],[CCCM]:[WASH]], ""), "")), "")</f>
        <v>Health</v>
      </c>
      <c r="AM11" s="135" t="str">
        <f>IFERROR(IF(AND(tblSeverityAnalysis[[#This Row],[5]] &lt;&gt; "", tblSeverityAnalysis[[#This Row],[5]]&gt;=sectors_sev_5), "Flagged", ""), "")</f>
        <v/>
      </c>
      <c r="AN11" s="136" t="str">
        <f>IFERROR(IF(AND(tblSeverityAnalysis[[#This Row],[Preliminary Intersectoral Severity based on overlap of sectoral deprivations]]=4, SUM(tblSeverityAnalysis[[#This Row],[ 4 ]:[5]])&gt;=sectors_sev_4), "Flagged", ""), "")</f>
        <v/>
      </c>
      <c r="AO11" s="136" t="str" cm="1">
        <f t="array" ref="AO1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 s="351"/>
      <c r="AR11" s="352"/>
      <c r="AS11" s="351"/>
      <c r="AT11" s="353">
        <f>COUNTIF(tblSeverityAnalysis[[#This Row],[1 sector in severity phase 5 '[modify the threshold']]:[Manual Flag]], "Flagged")</f>
        <v>0</v>
      </c>
      <c r="AU11" s="354">
        <f>tblSeverityAnalysis[[#This Row],[Preliminary Intersectoral Severity based on overlap of sectoral deprivations]]</f>
        <v>3</v>
      </c>
      <c r="AV11" s="63">
        <v>3</v>
      </c>
      <c r="AW11" s="432">
        <v>4</v>
      </c>
      <c r="AZ11" t="b">
        <f>tblSeverityAnalysis[[#This Row],[Preliminary Intersectoral Severity based on overlap of sectoral deprivations]]=tblSeverityAnalysis[[#This Row],[Final Severity]]</f>
        <v>1</v>
      </c>
    </row>
    <row r="12" spans="1:53" ht="14.5" hidden="1" customHeight="1" x14ac:dyDescent="0.55000000000000004">
      <c r="A1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SS0202</v>
      </c>
      <c r="B12" s="40" t="s">
        <v>250</v>
      </c>
      <c r="C12" s="335" t="s">
        <v>251</v>
      </c>
      <c r="D12" s="335" t="s">
        <v>254</v>
      </c>
      <c r="E12" s="34" t="s">
        <v>255</v>
      </c>
      <c r="F12" s="34"/>
      <c r="G12" s="34"/>
      <c r="I12" s="97">
        <v>89077.980354967542</v>
      </c>
      <c r="J12" s="97"/>
      <c r="K12" s="757">
        <v>2</v>
      </c>
      <c r="L12" s="763">
        <v>3</v>
      </c>
      <c r="M12" s="763">
        <v>3</v>
      </c>
      <c r="N12" s="763">
        <v>3</v>
      </c>
      <c r="O12" s="763">
        <v>4</v>
      </c>
      <c r="P12" s="763">
        <v>4</v>
      </c>
      <c r="Q12" s="759">
        <v>2</v>
      </c>
      <c r="R12" s="763">
        <v>3</v>
      </c>
      <c r="S12" s="319"/>
      <c r="T12" s="319"/>
      <c r="U12" s="319"/>
      <c r="V12" s="319"/>
      <c r="W12" s="346" t="str">
        <f>IF(COUNTIF(tblSeverityAnalysis[[#This Row],[CCCM]:[WASH]], 1)=0, "", COUNTIF(tblSeverityAnalysis[[#This Row],[CCCM]:[WASH]], 1))</f>
        <v/>
      </c>
      <c r="X12" s="347">
        <f>IF(COUNTIF(tblSeverityAnalysis[[#This Row],[CCCM]:[WASH]], 2)=0, "", COUNTIF(tblSeverityAnalysis[[#This Row],[CCCM]:[WASH]], 2))</f>
        <v>2</v>
      </c>
      <c r="Y12" s="347">
        <f>IF(COUNTIF(tblSeverityAnalysis[[#This Row],[CCCM]:[WASH]], 3)=0, "", COUNTIF(tblSeverityAnalysis[[#This Row],[CCCM]:[WASH]], 3))</f>
        <v>4</v>
      </c>
      <c r="Z12" s="347">
        <f>IF(COUNTIF(tblSeverityAnalysis[[#This Row],[CCCM]:[WASH]], 4)=0, "", COUNTIF(tblSeverityAnalysis[[#This Row],[CCCM]:[WASH]], 4))</f>
        <v>2</v>
      </c>
      <c r="AA12" s="348" t="str">
        <f>IF(COUNTIF(tblSeverityAnalysis[[#This Row],[CCCM]:[WASH]], 5)=0, "", COUNTIF(tblSeverityAnalysis[[#This Row],[CCCM]:[WASH]], 5))</f>
        <v/>
      </c>
      <c r="AB12" s="61" cm="1">
        <f t="array" ref="AB1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2" s="42" t="str">
        <f>IFERROR(IF(INDEX(tblSeverityReference[Malnutrition Severity],MATCH(tblSeverityAnalysis[[#This Row],[ID]], tblSeverityReference[ID], 0))= "", "",INDEX(tblSeverityReference[Malnutrition Severity],MATCH(tblSeverityAnalysis[[#This Row],[ID]], tblSeverityReference[ID], 0)) ), "")</f>
        <v/>
      </c>
      <c r="AE12" s="319" t="str">
        <f>IFERROR(IF(INDEX(tblSeverityReference[Epidemic Severity],MATCH(tblSeverityAnalysis[[#This Row],[ID]], tblSeverityReference[ID], 0))= "", "",INDEX(tblSeverityReference[Epidemic Severity],MATCH(tblSeverityAnalysis[[#This Row],[ID]], tblSeverityReference[ID], 0)) ), "")</f>
        <v/>
      </c>
      <c r="AF12" s="319" t="str">
        <f>IFERROR(IF(INDEX(tblSeverityReference[Coping Strategy Severity],MATCH(tblSeverityAnalysis[[#This Row],[ID]], tblSeverityReference[ID], 0))= "", "",INDEX(tblSeverityReference[Coping Strategy Severity],MATCH(tblSeverityAnalysis[[#This Row],[ID]], tblSeverityReference[ID], 0)) ), "")</f>
        <v/>
      </c>
      <c r="AG12" s="110">
        <v>3</v>
      </c>
      <c r="AH12" s="83">
        <f>IFERROR(AVERAGE(tblSeverityAnalysis[[#This Row],[CCCM]:[WASH]]), "")</f>
        <v>3</v>
      </c>
      <c r="AI12" s="27">
        <f>IF(SUM(tblSeverityAnalysis[[#This Row],[CCCM]:[WASH]])=0, "", MAX(tblSeverityAnalysis[[#This Row],[CCCM]:[WASH]]))</f>
        <v>4</v>
      </c>
      <c r="AJ12" s="349" t="str" cm="1">
        <f t="array" ref="AJ12">IFERROR(IF(tblSeverityAnalysis[[#This Row],[Highest Severity]]="", "", _xlfn.TEXTJOIN(CHAR(10), TRUE, IF(tblSeverityAnalysis[[#This Row],[CCCM]:[WASH]]=tblSeverityAnalysis[[#This Row],[Highest Severity]], tblSeverityAnalysis[[#Headers],[CCCM]:[WASH]], ""), "")), "")</f>
        <v>Health
Overarching Protection</v>
      </c>
      <c r="AK12" s="27" cm="1">
        <f t="array" ref="AK12">IFERROR(MAX(_xlfn._xlws.FILTER(tblSeverityAnalysis[[#This Row],[CCCM]:[WASH]], tblSeverityAnalysis[[#This Row],[CCCM]:[WASH]]&lt;tblSeverityAnalysis[[#This Row],[Highest Severity]])), "")</f>
        <v>3</v>
      </c>
      <c r="AL12" s="329" t="str" cm="1">
        <f t="array" ref="AL12">IFERROR(IF(tblSeverityAnalysis[[#This Row],[2nd Highest Severity]]="", "", _xlfn.TEXTJOIN(CHAR(10), TRUE, IF(tblSeverityAnalysis[[#This Row],[CCCM]:[WASH]]=tblSeverityAnalysis[[#This Row],[2nd Highest Severity]], tblSeverityAnalysis[[#Headers],[CCCM]:[WASH]], ""), "")), "")</f>
        <v>Education
Nutrition
Food Security
WASH</v>
      </c>
      <c r="AM12" s="135" t="str">
        <f>IFERROR(IF(AND(tblSeverityAnalysis[[#This Row],[5]] &lt;&gt; "", tblSeverityAnalysis[[#This Row],[5]]&gt;=sectors_sev_5), "Flagged", ""), "")</f>
        <v/>
      </c>
      <c r="AN12" s="136" t="str">
        <f>IFERROR(IF(AND(tblSeverityAnalysis[[#This Row],[Preliminary Intersectoral Severity based on overlap of sectoral deprivations]]=4, SUM(tblSeverityAnalysis[[#This Row],[ 4 ]:[5]])&gt;=sectors_sev_4), "Flagged", ""), "")</f>
        <v/>
      </c>
      <c r="AO12" s="136" t="str" cm="1">
        <f t="array" ref="AO1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 s="351"/>
      <c r="AR12" s="352"/>
      <c r="AS12" s="351"/>
      <c r="AT12" s="353">
        <f>COUNTIF(tblSeverityAnalysis[[#This Row],[1 sector in severity phase 5 '[modify the threshold']]:[Manual Flag]], "Flagged")</f>
        <v>0</v>
      </c>
      <c r="AU12" s="354">
        <f>tblSeverityAnalysis[[#This Row],[Preliminary Intersectoral Severity based on overlap of sectoral deprivations]]</f>
        <v>3</v>
      </c>
      <c r="AV12" s="63">
        <v>3</v>
      </c>
      <c r="AW12" s="432">
        <v>4</v>
      </c>
      <c r="AZ12" t="b">
        <f>tblSeverityAnalysis[[#This Row],[Preliminary Intersectoral Severity based on overlap of sectoral deprivations]]=tblSeverityAnalysis[[#This Row],[Final Severity]]</f>
        <v>1</v>
      </c>
    </row>
    <row r="13" spans="1:53" ht="14.5" hidden="1" customHeight="1" x14ac:dyDescent="0.55000000000000004">
      <c r="A1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SS0203</v>
      </c>
      <c r="B13" s="40" t="s">
        <v>250</v>
      </c>
      <c r="C13" s="335" t="s">
        <v>251</v>
      </c>
      <c r="D13" s="335" t="s">
        <v>256</v>
      </c>
      <c r="E13" s="34" t="s">
        <v>257</v>
      </c>
      <c r="F13" s="34"/>
      <c r="G13" s="34"/>
      <c r="I13" s="97">
        <v>141627.66934125734</v>
      </c>
      <c r="J13" s="97"/>
      <c r="K13" s="757">
        <v>2</v>
      </c>
      <c r="L13" s="763">
        <v>3</v>
      </c>
      <c r="M13" s="763">
        <v>3</v>
      </c>
      <c r="N13" s="763">
        <v>4</v>
      </c>
      <c r="O13" s="763">
        <v>3.3333333333333335</v>
      </c>
      <c r="P13" s="763">
        <v>3</v>
      </c>
      <c r="Q13" s="759">
        <v>3</v>
      </c>
      <c r="R13" s="763">
        <v>4</v>
      </c>
      <c r="S13" s="319"/>
      <c r="T13" s="319"/>
      <c r="U13" s="319"/>
      <c r="V13" s="319"/>
      <c r="W13" s="346" t="str">
        <f>IF(COUNTIF(tblSeverityAnalysis[[#This Row],[CCCM]:[WASH]], 1)=0, "", COUNTIF(tblSeverityAnalysis[[#This Row],[CCCM]:[WASH]], 1))</f>
        <v/>
      </c>
      <c r="X13" s="347">
        <f>IF(COUNTIF(tblSeverityAnalysis[[#This Row],[CCCM]:[WASH]], 2)=0, "", COUNTIF(tblSeverityAnalysis[[#This Row],[CCCM]:[WASH]], 2))</f>
        <v>1</v>
      </c>
      <c r="Y13" s="347">
        <f>IF(COUNTIF(tblSeverityAnalysis[[#This Row],[CCCM]:[WASH]], 3)=0, "", COUNTIF(tblSeverityAnalysis[[#This Row],[CCCM]:[WASH]], 3))</f>
        <v>4</v>
      </c>
      <c r="Z13" s="347">
        <f>IF(COUNTIF(tblSeverityAnalysis[[#This Row],[CCCM]:[WASH]], 4)=0, "", COUNTIF(tblSeverityAnalysis[[#This Row],[CCCM]:[WASH]], 4))</f>
        <v>2</v>
      </c>
      <c r="AA13" s="348" t="str">
        <f>IF(COUNTIF(tblSeverityAnalysis[[#This Row],[CCCM]:[WASH]], 5)=0, "", COUNTIF(tblSeverityAnalysis[[#This Row],[CCCM]:[WASH]], 5))</f>
        <v/>
      </c>
      <c r="AB13" s="61" cm="1">
        <f t="array" ref="AB1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3" s="42" t="str">
        <f>IFERROR(IF(INDEX(tblSeverityReference[Malnutrition Severity],MATCH(tblSeverityAnalysis[[#This Row],[ID]], tblSeverityReference[ID], 0))= "", "",INDEX(tblSeverityReference[Malnutrition Severity],MATCH(tblSeverityAnalysis[[#This Row],[ID]], tblSeverityReference[ID], 0)) ), "")</f>
        <v/>
      </c>
      <c r="AE13" s="319" t="str">
        <f>IFERROR(IF(INDEX(tblSeverityReference[Epidemic Severity],MATCH(tblSeverityAnalysis[[#This Row],[ID]], tblSeverityReference[ID], 0))= "", "",INDEX(tblSeverityReference[Epidemic Severity],MATCH(tblSeverityAnalysis[[#This Row],[ID]], tblSeverityReference[ID], 0)) ), "")</f>
        <v/>
      </c>
      <c r="AF13" s="319" t="str">
        <f>IFERROR(IF(INDEX(tblSeverityReference[Coping Strategy Severity],MATCH(tblSeverityAnalysis[[#This Row],[ID]], tblSeverityReference[ID], 0))= "", "",INDEX(tblSeverityReference[Coping Strategy Severity],MATCH(tblSeverityAnalysis[[#This Row],[ID]], tblSeverityReference[ID], 0)) ), "")</f>
        <v/>
      </c>
      <c r="AG13" s="110">
        <v>3</v>
      </c>
      <c r="AH13" s="83">
        <f>IFERROR(AVERAGE(tblSeverityAnalysis[[#This Row],[CCCM]:[WASH]]), "")</f>
        <v>3.166666666666667</v>
      </c>
      <c r="AI13" s="27">
        <f>IF(SUM(tblSeverityAnalysis[[#This Row],[CCCM]:[WASH]])=0, "", MAX(tblSeverityAnalysis[[#This Row],[CCCM]:[WASH]]))</f>
        <v>4</v>
      </c>
      <c r="AJ13" s="349" t="str" cm="1">
        <f t="array" ref="AJ13">IFERROR(IF(tblSeverityAnalysis[[#This Row],[Highest Severity]]="", "", _xlfn.TEXTJOIN(CHAR(10), TRUE, IF(tblSeverityAnalysis[[#This Row],[CCCM]:[WASH]]=tblSeverityAnalysis[[#This Row],[Highest Severity]], tblSeverityAnalysis[[#Headers],[CCCM]:[WASH]], ""), "")), "")</f>
        <v>Food Security
WASH</v>
      </c>
      <c r="AK13" s="27" cm="1">
        <f t="array" ref="AK13">IFERROR(MAX(_xlfn._xlws.FILTER(tblSeverityAnalysis[[#This Row],[CCCM]:[WASH]], tblSeverityAnalysis[[#This Row],[CCCM]:[WASH]]&lt;tblSeverityAnalysis[[#This Row],[Highest Severity]])), "")</f>
        <v>3.3333333333333335</v>
      </c>
      <c r="AL13" s="329" t="str" cm="1">
        <f t="array" ref="AL13">IFERROR(IF(tblSeverityAnalysis[[#This Row],[2nd Highest Severity]]="", "", _xlfn.TEXTJOIN(CHAR(10), TRUE, IF(tblSeverityAnalysis[[#This Row],[CCCM]:[WASH]]=tblSeverityAnalysis[[#This Row],[2nd Highest Severity]], tblSeverityAnalysis[[#Headers],[CCCM]:[WASH]], ""), "")), "")</f>
        <v>Health</v>
      </c>
      <c r="AM13" s="135" t="str">
        <f>IFERROR(IF(AND(tblSeverityAnalysis[[#This Row],[5]] &lt;&gt; "", tblSeverityAnalysis[[#This Row],[5]]&gt;=sectors_sev_5), "Flagged", ""), "")</f>
        <v/>
      </c>
      <c r="AN13" s="136" t="str">
        <f>IFERROR(IF(AND(tblSeverityAnalysis[[#This Row],[Preliminary Intersectoral Severity based on overlap of sectoral deprivations]]=4, SUM(tblSeverityAnalysis[[#This Row],[ 4 ]:[5]])&gt;=sectors_sev_4), "Flagged", ""), "")</f>
        <v/>
      </c>
      <c r="AO13" s="136" t="str" cm="1">
        <f t="array" ref="AO1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 s="351"/>
      <c r="AR13" s="352"/>
      <c r="AS13" s="351"/>
      <c r="AT13" s="353">
        <f>COUNTIF(tblSeverityAnalysis[[#This Row],[1 sector in severity phase 5 '[modify the threshold']]:[Manual Flag]], "Flagged")</f>
        <v>0</v>
      </c>
      <c r="AU13" s="354">
        <f>tblSeverityAnalysis[[#This Row],[Preliminary Intersectoral Severity based on overlap of sectoral deprivations]]</f>
        <v>3</v>
      </c>
      <c r="AV13" s="63">
        <v>3</v>
      </c>
      <c r="AW13" s="432">
        <v>2</v>
      </c>
      <c r="AZ13" t="b">
        <f>tblSeverityAnalysis[[#This Row],[Preliminary Intersectoral Severity based on overlap of sectoral deprivations]]=tblSeverityAnalysis[[#This Row],[Final Severity]]</f>
        <v>1</v>
      </c>
    </row>
    <row r="14" spans="1:53" ht="14.5" hidden="1" customHeight="1" x14ac:dyDescent="0.55000000000000004">
      <c r="A1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SS0204</v>
      </c>
      <c r="B14" s="40" t="s">
        <v>250</v>
      </c>
      <c r="C14" s="335" t="s">
        <v>251</v>
      </c>
      <c r="D14" s="335" t="s">
        <v>258</v>
      </c>
      <c r="E14" s="34" t="s">
        <v>259</v>
      </c>
      <c r="F14" s="34"/>
      <c r="G14" s="34"/>
      <c r="I14" s="97">
        <v>129510.44608421659</v>
      </c>
      <c r="J14" s="97"/>
      <c r="K14" s="757">
        <v>2</v>
      </c>
      <c r="L14" s="763">
        <v>3</v>
      </c>
      <c r="M14" s="763">
        <v>4</v>
      </c>
      <c r="N14" s="763">
        <v>4</v>
      </c>
      <c r="O14" s="763">
        <v>3</v>
      </c>
      <c r="P14" s="763">
        <v>3</v>
      </c>
      <c r="Q14" s="759">
        <v>3</v>
      </c>
      <c r="R14" s="763">
        <v>4</v>
      </c>
      <c r="S14" s="319"/>
      <c r="T14" s="319"/>
      <c r="U14" s="319"/>
      <c r="V14" s="319"/>
      <c r="W14" s="346" t="str">
        <f>IF(COUNTIF(tblSeverityAnalysis[[#This Row],[CCCM]:[WASH]], 1)=0, "", COUNTIF(tblSeverityAnalysis[[#This Row],[CCCM]:[WASH]], 1))</f>
        <v/>
      </c>
      <c r="X14" s="347">
        <f>IF(COUNTIF(tblSeverityAnalysis[[#This Row],[CCCM]:[WASH]], 2)=0, "", COUNTIF(tblSeverityAnalysis[[#This Row],[CCCM]:[WASH]], 2))</f>
        <v>1</v>
      </c>
      <c r="Y14" s="347">
        <f>IF(COUNTIF(tblSeverityAnalysis[[#This Row],[CCCM]:[WASH]], 3)=0, "", COUNTIF(tblSeverityAnalysis[[#This Row],[CCCM]:[WASH]], 3))</f>
        <v>4</v>
      </c>
      <c r="Z14" s="347">
        <f>IF(COUNTIF(tblSeverityAnalysis[[#This Row],[CCCM]:[WASH]], 4)=0, "", COUNTIF(tblSeverityAnalysis[[#This Row],[CCCM]:[WASH]], 4))</f>
        <v>3</v>
      </c>
      <c r="AA14" s="348" t="str">
        <f>IF(COUNTIF(tblSeverityAnalysis[[#This Row],[CCCM]:[WASH]], 5)=0, "", COUNTIF(tblSeverityAnalysis[[#This Row],[CCCM]:[WASH]], 5))</f>
        <v/>
      </c>
      <c r="AB14" s="61" cm="1">
        <f t="array" ref="AB1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 s="42" t="str">
        <f>IFERROR(IF(INDEX(tblSeverityReference[Malnutrition Severity],MATCH(tblSeverityAnalysis[[#This Row],[ID]], tblSeverityReference[ID], 0))= "", "",INDEX(tblSeverityReference[Malnutrition Severity],MATCH(tblSeverityAnalysis[[#This Row],[ID]], tblSeverityReference[ID], 0)) ), "")</f>
        <v/>
      </c>
      <c r="AE14" s="319" t="str">
        <f>IFERROR(IF(INDEX(tblSeverityReference[Epidemic Severity],MATCH(tblSeverityAnalysis[[#This Row],[ID]], tblSeverityReference[ID], 0))= "", "",INDEX(tblSeverityReference[Epidemic Severity],MATCH(tblSeverityAnalysis[[#This Row],[ID]], tblSeverityReference[ID], 0)) ), "")</f>
        <v/>
      </c>
      <c r="AF14" s="319" t="str">
        <f>IFERROR(IF(INDEX(tblSeverityReference[Coping Strategy Severity],MATCH(tblSeverityAnalysis[[#This Row],[ID]], tblSeverityReference[ID], 0))= "", "",INDEX(tblSeverityReference[Coping Strategy Severity],MATCH(tblSeverityAnalysis[[#This Row],[ID]], tblSeverityReference[ID], 0)) ), "")</f>
        <v/>
      </c>
      <c r="AG14" s="110">
        <v>3</v>
      </c>
      <c r="AH14" s="83">
        <f>IFERROR(AVERAGE(tblSeverityAnalysis[[#This Row],[CCCM]:[WASH]]), "")</f>
        <v>3.25</v>
      </c>
      <c r="AI14" s="27">
        <f>IF(SUM(tblSeverityAnalysis[[#This Row],[CCCM]:[WASH]])=0, "", MAX(tblSeverityAnalysis[[#This Row],[CCCM]:[WASH]]))</f>
        <v>4</v>
      </c>
      <c r="AJ14" s="349" t="str" cm="1">
        <f t="array" ref="AJ14">IFERROR(IF(tblSeverityAnalysis[[#This Row],[Highest Severity]]="", "", _xlfn.TEXTJOIN(CHAR(10), TRUE, IF(tblSeverityAnalysis[[#This Row],[CCCM]:[WASH]]=tblSeverityAnalysis[[#This Row],[Highest Severity]], tblSeverityAnalysis[[#Headers],[CCCM]:[WASH]], ""), "")), "")</f>
        <v>Nutrition
Food Security
WASH</v>
      </c>
      <c r="AK14" s="27" cm="1">
        <f t="array" ref="AK14">IFERROR(MAX(_xlfn._xlws.FILTER(tblSeverityAnalysis[[#This Row],[CCCM]:[WASH]], tblSeverityAnalysis[[#This Row],[CCCM]:[WASH]]&lt;tblSeverityAnalysis[[#This Row],[Highest Severity]])), "")</f>
        <v>3</v>
      </c>
      <c r="AL14" s="329" t="str" cm="1">
        <f t="array" ref="AL14">IFERROR(IF(tblSeverityAnalysis[[#This Row],[2nd Highest Severity]]="", "", _xlfn.TEXTJOIN(CHAR(10), TRUE, IF(tblSeverityAnalysis[[#This Row],[CCCM]:[WASH]]=tblSeverityAnalysis[[#This Row],[2nd Highest Severity]], tblSeverityAnalysis[[#Headers],[CCCM]:[WASH]], ""), "")), "")</f>
        <v>Education
Health
Overarching Protection
Shelter</v>
      </c>
      <c r="AM14" s="135" t="str">
        <f>IFERROR(IF(AND(tblSeverityAnalysis[[#This Row],[5]] &lt;&gt; "", tblSeverityAnalysis[[#This Row],[5]]&gt;=sectors_sev_5), "Flagged", ""), "")</f>
        <v/>
      </c>
      <c r="AN14" s="136" t="str">
        <f>IFERROR(IF(AND(tblSeverityAnalysis[[#This Row],[Preliminary Intersectoral Severity based on overlap of sectoral deprivations]]=4, SUM(tblSeverityAnalysis[[#This Row],[ 4 ]:[5]])&gt;=sectors_sev_4), "Flagged", ""), "")</f>
        <v/>
      </c>
      <c r="AO14" s="136" t="str" cm="1">
        <f t="array" ref="AO1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 s="351"/>
      <c r="AR14" s="352"/>
      <c r="AS14" s="351"/>
      <c r="AT14" s="353">
        <f>COUNTIF(tblSeverityAnalysis[[#This Row],[1 sector in severity phase 5 '[modify the threshold']]:[Manual Flag]], "Flagged")</f>
        <v>0</v>
      </c>
      <c r="AU14" s="354">
        <f>tblSeverityAnalysis[[#This Row],[Preliminary Intersectoral Severity based on overlap of sectoral deprivations]]</f>
        <v>3</v>
      </c>
      <c r="AV14" s="63">
        <v>3</v>
      </c>
      <c r="AW14" s="432">
        <v>3</v>
      </c>
      <c r="AZ14" t="b">
        <f>tblSeverityAnalysis[[#This Row],[Preliminary Intersectoral Severity based on overlap of sectoral deprivations]]=tblSeverityAnalysis[[#This Row],[Final Severity]]</f>
        <v>1</v>
      </c>
    </row>
    <row r="15" spans="1:53" ht="14.5" hidden="1" customHeight="1" x14ac:dyDescent="0.55000000000000004">
      <c r="A1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SS0205</v>
      </c>
      <c r="B15" s="40" t="s">
        <v>250</v>
      </c>
      <c r="C15" s="335" t="s">
        <v>251</v>
      </c>
      <c r="D15" s="335" t="s">
        <v>260</v>
      </c>
      <c r="E15" s="34" t="s">
        <v>261</v>
      </c>
      <c r="F15" s="34"/>
      <c r="G15" s="34"/>
      <c r="I15" s="97">
        <v>93290.448686891978</v>
      </c>
      <c r="J15" s="97"/>
      <c r="K15" s="757">
        <v>2</v>
      </c>
      <c r="L15" s="763">
        <v>3</v>
      </c>
      <c r="M15" s="763">
        <v>4</v>
      </c>
      <c r="N15" s="763">
        <v>3</v>
      </c>
      <c r="O15" s="763">
        <v>4</v>
      </c>
      <c r="P15" s="763">
        <v>3</v>
      </c>
      <c r="Q15" s="759">
        <v>2</v>
      </c>
      <c r="R15" s="763">
        <v>5</v>
      </c>
      <c r="S15" s="319"/>
      <c r="T15" s="319"/>
      <c r="U15" s="319"/>
      <c r="V15" s="319"/>
      <c r="W15" s="346" t="str">
        <f>IF(COUNTIF(tblSeverityAnalysis[[#This Row],[CCCM]:[WASH]], 1)=0, "", COUNTIF(tblSeverityAnalysis[[#This Row],[CCCM]:[WASH]], 1))</f>
        <v/>
      </c>
      <c r="X15" s="347">
        <f>IF(COUNTIF(tblSeverityAnalysis[[#This Row],[CCCM]:[WASH]], 2)=0, "", COUNTIF(tblSeverityAnalysis[[#This Row],[CCCM]:[WASH]], 2))</f>
        <v>2</v>
      </c>
      <c r="Y15" s="347">
        <f>IF(COUNTIF(tblSeverityAnalysis[[#This Row],[CCCM]:[WASH]], 3)=0, "", COUNTIF(tblSeverityAnalysis[[#This Row],[CCCM]:[WASH]], 3))</f>
        <v>3</v>
      </c>
      <c r="Z15" s="347">
        <f>IF(COUNTIF(tblSeverityAnalysis[[#This Row],[CCCM]:[WASH]], 4)=0, "", COUNTIF(tblSeverityAnalysis[[#This Row],[CCCM]:[WASH]], 4))</f>
        <v>2</v>
      </c>
      <c r="AA15" s="348">
        <f>IF(COUNTIF(tblSeverityAnalysis[[#This Row],[CCCM]:[WASH]], 5)=0, "", COUNTIF(tblSeverityAnalysis[[#This Row],[CCCM]:[WASH]], 5))</f>
        <v>1</v>
      </c>
      <c r="AB15" s="61" cm="1">
        <f t="array" ref="AB1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5" s="42" t="str">
        <f>IFERROR(IF(INDEX(tblSeverityReference[Malnutrition Severity],MATCH(tblSeverityAnalysis[[#This Row],[ID]], tblSeverityReference[ID], 0))= "", "",INDEX(tblSeverityReference[Malnutrition Severity],MATCH(tblSeverityAnalysis[[#This Row],[ID]], tblSeverityReference[ID], 0)) ), "")</f>
        <v/>
      </c>
      <c r="AE15" s="319" t="str">
        <f>IFERROR(IF(INDEX(tblSeverityReference[Epidemic Severity],MATCH(tblSeverityAnalysis[[#This Row],[ID]], tblSeverityReference[ID], 0))= "", "",INDEX(tblSeverityReference[Epidemic Severity],MATCH(tblSeverityAnalysis[[#This Row],[ID]], tblSeverityReference[ID], 0)) ), "")</f>
        <v/>
      </c>
      <c r="AF15" s="319" t="str">
        <f>IFERROR(IF(INDEX(tblSeverityReference[Coping Strategy Severity],MATCH(tblSeverityAnalysis[[#This Row],[ID]], tblSeverityReference[ID], 0))= "", "",INDEX(tblSeverityReference[Coping Strategy Severity],MATCH(tblSeverityAnalysis[[#This Row],[ID]], tblSeverityReference[ID], 0)) ), "")</f>
        <v/>
      </c>
      <c r="AG15" s="110">
        <v>3</v>
      </c>
      <c r="AH15" s="83">
        <f>IFERROR(AVERAGE(tblSeverityAnalysis[[#This Row],[CCCM]:[WASH]]), "")</f>
        <v>3.25</v>
      </c>
      <c r="AI15" s="27">
        <f>IF(SUM(tblSeverityAnalysis[[#This Row],[CCCM]:[WASH]])=0, "", MAX(tblSeverityAnalysis[[#This Row],[CCCM]:[WASH]]))</f>
        <v>5</v>
      </c>
      <c r="AJ15" s="349" t="str" cm="1">
        <f t="array" ref="AJ15">IFERROR(IF(tblSeverityAnalysis[[#This Row],[Highest Severity]]="", "", _xlfn.TEXTJOIN(CHAR(10), TRUE, IF(tblSeverityAnalysis[[#This Row],[CCCM]:[WASH]]=tblSeverityAnalysis[[#This Row],[Highest Severity]], tblSeverityAnalysis[[#Headers],[CCCM]:[WASH]], ""), "")), "")</f>
        <v>WASH</v>
      </c>
      <c r="AK15" s="27" cm="1">
        <f t="array" ref="AK15">IFERROR(MAX(_xlfn._xlws.FILTER(tblSeverityAnalysis[[#This Row],[CCCM]:[WASH]], tblSeverityAnalysis[[#This Row],[CCCM]:[WASH]]&lt;tblSeverityAnalysis[[#This Row],[Highest Severity]])), "")</f>
        <v>4</v>
      </c>
      <c r="AL15" s="329" t="str" cm="1">
        <f t="array" ref="AL15">IFERROR(IF(tblSeverityAnalysis[[#This Row],[2nd Highest Severity]]="", "", _xlfn.TEXTJOIN(CHAR(10), TRUE, IF(tblSeverityAnalysis[[#This Row],[CCCM]:[WASH]]=tblSeverityAnalysis[[#This Row],[2nd Highest Severity]], tblSeverityAnalysis[[#Headers],[CCCM]:[WASH]], ""), "")), "")</f>
        <v>Nutrition
Health</v>
      </c>
      <c r="AM15" s="135" t="str">
        <f>IFERROR(IF(AND(tblSeverityAnalysis[[#This Row],[5]] &lt;&gt; "", tblSeverityAnalysis[[#This Row],[5]]&gt;=sectors_sev_5), "Flagged", ""), "")</f>
        <v>Flagged</v>
      </c>
      <c r="AN15" s="136" t="str">
        <f>IFERROR(IF(AND(tblSeverityAnalysis[[#This Row],[Preliminary Intersectoral Severity based on overlap of sectoral deprivations]]=4, SUM(tblSeverityAnalysis[[#This Row],[ 4 ]:[5]])&gt;=sectors_sev_4), "Flagged", ""), "")</f>
        <v/>
      </c>
      <c r="AO15" s="136" t="str" cm="1">
        <f t="array" ref="AO1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5" s="351"/>
      <c r="AR15" s="352"/>
      <c r="AS15" s="351"/>
      <c r="AT15" s="353">
        <f>COUNTIF(tblSeverityAnalysis[[#This Row],[1 sector in severity phase 5 '[modify the threshold']]:[Manual Flag]], "Flagged")</f>
        <v>1</v>
      </c>
      <c r="AU15" s="354">
        <f>tblSeverityAnalysis[[#This Row],[Preliminary Intersectoral Severity based on overlap of sectoral deprivations]]</f>
        <v>3</v>
      </c>
      <c r="AV15" s="63">
        <v>3</v>
      </c>
      <c r="AW15" s="432">
        <v>3</v>
      </c>
      <c r="AZ15" t="b">
        <f>tblSeverityAnalysis[[#This Row],[Preliminary Intersectoral Severity based on overlap of sectoral deprivations]]=tblSeverityAnalysis[[#This Row],[Final Severity]]</f>
        <v>1</v>
      </c>
    </row>
    <row r="16" spans="1:53" ht="14.5" hidden="1" customHeight="1" x14ac:dyDescent="0.55000000000000004">
      <c r="A1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SS0206</v>
      </c>
      <c r="B16" s="40" t="s">
        <v>250</v>
      </c>
      <c r="C16" s="335" t="s">
        <v>251</v>
      </c>
      <c r="D16" s="335" t="s">
        <v>262</v>
      </c>
      <c r="E16" s="34" t="s">
        <v>263</v>
      </c>
      <c r="F16" s="34"/>
      <c r="G16" s="34"/>
      <c r="I16" s="97">
        <v>134019.86560901388</v>
      </c>
      <c r="J16" s="97"/>
      <c r="K16" s="757">
        <v>3</v>
      </c>
      <c r="L16" s="763">
        <v>2</v>
      </c>
      <c r="M16" s="763">
        <v>3</v>
      </c>
      <c r="N16" s="763">
        <v>4</v>
      </c>
      <c r="O16" s="763">
        <v>3.3333333333333335</v>
      </c>
      <c r="P16" s="763">
        <v>3</v>
      </c>
      <c r="Q16" s="759">
        <v>2</v>
      </c>
      <c r="R16" s="763">
        <v>3</v>
      </c>
      <c r="S16" s="319"/>
      <c r="T16" s="319"/>
      <c r="U16" s="319"/>
      <c r="V16" s="319"/>
      <c r="W16" s="346" t="str">
        <f>IF(COUNTIF(tblSeverityAnalysis[[#This Row],[CCCM]:[WASH]], 1)=0, "", COUNTIF(tblSeverityAnalysis[[#This Row],[CCCM]:[WASH]], 1))</f>
        <v/>
      </c>
      <c r="X16" s="347">
        <f>IF(COUNTIF(tblSeverityAnalysis[[#This Row],[CCCM]:[WASH]], 2)=0, "", COUNTIF(tblSeverityAnalysis[[#This Row],[CCCM]:[WASH]], 2))</f>
        <v>2</v>
      </c>
      <c r="Y16" s="347">
        <f>IF(COUNTIF(tblSeverityAnalysis[[#This Row],[CCCM]:[WASH]], 3)=0, "", COUNTIF(tblSeverityAnalysis[[#This Row],[CCCM]:[WASH]], 3))</f>
        <v>4</v>
      </c>
      <c r="Z16" s="347">
        <f>IF(COUNTIF(tblSeverityAnalysis[[#This Row],[CCCM]:[WASH]], 4)=0, "", COUNTIF(tblSeverityAnalysis[[#This Row],[CCCM]:[WASH]], 4))</f>
        <v>1</v>
      </c>
      <c r="AA16" s="348" t="str">
        <f>IF(COUNTIF(tblSeverityAnalysis[[#This Row],[CCCM]:[WASH]], 5)=0, "", COUNTIF(tblSeverityAnalysis[[#This Row],[CCCM]:[WASH]], 5))</f>
        <v/>
      </c>
      <c r="AB16" s="61" cm="1">
        <f t="array" ref="AB1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6" s="42" t="str">
        <f>IFERROR(IF(INDEX(tblSeverityReference[Malnutrition Severity],MATCH(tblSeverityAnalysis[[#This Row],[ID]], tblSeverityReference[ID], 0))= "", "",INDEX(tblSeverityReference[Malnutrition Severity],MATCH(tblSeverityAnalysis[[#This Row],[ID]], tblSeverityReference[ID], 0)) ), "")</f>
        <v/>
      </c>
      <c r="AE16" s="319" t="str">
        <f>IFERROR(IF(INDEX(tblSeverityReference[Epidemic Severity],MATCH(tblSeverityAnalysis[[#This Row],[ID]], tblSeverityReference[ID], 0))= "", "",INDEX(tblSeverityReference[Epidemic Severity],MATCH(tblSeverityAnalysis[[#This Row],[ID]], tblSeverityReference[ID], 0)) ), "")</f>
        <v/>
      </c>
      <c r="AF16" s="319" t="str">
        <f>IFERROR(IF(INDEX(tblSeverityReference[Coping Strategy Severity],MATCH(tblSeverityAnalysis[[#This Row],[ID]], tblSeverityReference[ID], 0))= "", "",INDEX(tblSeverityReference[Coping Strategy Severity],MATCH(tblSeverityAnalysis[[#This Row],[ID]], tblSeverityReference[ID], 0)) ), "")</f>
        <v/>
      </c>
      <c r="AG16" s="110">
        <v>3</v>
      </c>
      <c r="AH16" s="83">
        <f>IFERROR(AVERAGE(tblSeverityAnalysis[[#This Row],[CCCM]:[WASH]]), "")</f>
        <v>2.916666666666667</v>
      </c>
      <c r="AI16" s="27">
        <f>IF(SUM(tblSeverityAnalysis[[#This Row],[CCCM]:[WASH]])=0, "", MAX(tblSeverityAnalysis[[#This Row],[CCCM]:[WASH]]))</f>
        <v>4</v>
      </c>
      <c r="AJ16" s="349" t="str" cm="1">
        <f t="array" ref="AJ16">IFERROR(IF(tblSeverityAnalysis[[#This Row],[Highest Severity]]="", "", _xlfn.TEXTJOIN(CHAR(10), TRUE, IF(tblSeverityAnalysis[[#This Row],[CCCM]:[WASH]]=tblSeverityAnalysis[[#This Row],[Highest Severity]], tblSeverityAnalysis[[#Headers],[CCCM]:[WASH]], ""), "")), "")</f>
        <v>Food Security</v>
      </c>
      <c r="AK16" s="27" cm="1">
        <f t="array" ref="AK16">IFERROR(MAX(_xlfn._xlws.FILTER(tblSeverityAnalysis[[#This Row],[CCCM]:[WASH]], tblSeverityAnalysis[[#This Row],[CCCM]:[WASH]]&lt;tblSeverityAnalysis[[#This Row],[Highest Severity]])), "")</f>
        <v>3.3333333333333335</v>
      </c>
      <c r="AL16" s="329" t="str" cm="1">
        <f t="array" ref="AL16">IFERROR(IF(tblSeverityAnalysis[[#This Row],[2nd Highest Severity]]="", "", _xlfn.TEXTJOIN(CHAR(10), TRUE, IF(tblSeverityAnalysis[[#This Row],[CCCM]:[WASH]]=tblSeverityAnalysis[[#This Row],[2nd Highest Severity]], tblSeverityAnalysis[[#Headers],[CCCM]:[WASH]], ""), "")), "")</f>
        <v>Health</v>
      </c>
      <c r="AM16" s="135" t="str">
        <f>IFERROR(IF(AND(tblSeverityAnalysis[[#This Row],[5]] &lt;&gt; "", tblSeverityAnalysis[[#This Row],[5]]&gt;=sectors_sev_5), "Flagged", ""), "")</f>
        <v/>
      </c>
      <c r="AN16" s="136" t="str">
        <f>IFERROR(IF(AND(tblSeverityAnalysis[[#This Row],[Preliminary Intersectoral Severity based on overlap of sectoral deprivations]]=4, SUM(tblSeverityAnalysis[[#This Row],[ 4 ]:[5]])&gt;=sectors_sev_4), "Flagged", ""), "")</f>
        <v/>
      </c>
      <c r="AO16" s="136" t="str" cm="1">
        <f t="array" ref="AO1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6" s="351"/>
      <c r="AR16" s="352"/>
      <c r="AS16" s="351"/>
      <c r="AT16" s="353">
        <f>COUNTIF(tblSeverityAnalysis[[#This Row],[1 sector in severity phase 5 '[modify the threshold']]:[Manual Flag]], "Flagged")</f>
        <v>0</v>
      </c>
      <c r="AU16" s="354">
        <f>tblSeverityAnalysis[[#This Row],[Preliminary Intersectoral Severity based on overlap of sectoral deprivations]]</f>
        <v>3</v>
      </c>
      <c r="AV16" s="63">
        <v>3</v>
      </c>
      <c r="AW16" s="432">
        <v>3</v>
      </c>
      <c r="AZ16" t="b">
        <f>tblSeverityAnalysis[[#This Row],[Preliminary Intersectoral Severity based on overlap of sectoral deprivations]]=tblSeverityAnalysis[[#This Row],[Final Severity]]</f>
        <v>1</v>
      </c>
    </row>
    <row r="17" spans="1:52" ht="14.5" hidden="1" customHeight="1" x14ac:dyDescent="0.55000000000000004">
      <c r="A1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SS0207</v>
      </c>
      <c r="B17" s="40" t="s">
        <v>250</v>
      </c>
      <c r="C17" s="335" t="s">
        <v>251</v>
      </c>
      <c r="D17" s="335" t="s">
        <v>264</v>
      </c>
      <c r="E17" s="34" t="s">
        <v>265</v>
      </c>
      <c r="F17" s="34"/>
      <c r="G17" s="34"/>
      <c r="I17" s="97">
        <v>233437.0199847357</v>
      </c>
      <c r="J17" s="97"/>
      <c r="K17" s="757">
        <v>2</v>
      </c>
      <c r="L17" s="763">
        <v>3</v>
      </c>
      <c r="M17" s="763">
        <v>2</v>
      </c>
      <c r="N17" s="763">
        <v>3</v>
      </c>
      <c r="O17" s="763">
        <v>3.3333333333333335</v>
      </c>
      <c r="P17" s="763">
        <v>4</v>
      </c>
      <c r="Q17" s="759">
        <v>2</v>
      </c>
      <c r="R17" s="763">
        <v>3</v>
      </c>
      <c r="S17" s="319"/>
      <c r="T17" s="319"/>
      <c r="U17" s="319"/>
      <c r="V17" s="319"/>
      <c r="W17" s="346" t="str">
        <f>IF(COUNTIF(tblSeverityAnalysis[[#This Row],[CCCM]:[WASH]], 1)=0, "", COUNTIF(tblSeverityAnalysis[[#This Row],[CCCM]:[WASH]], 1))</f>
        <v/>
      </c>
      <c r="X17" s="347">
        <f>IF(COUNTIF(tblSeverityAnalysis[[#This Row],[CCCM]:[WASH]], 2)=0, "", COUNTIF(tblSeverityAnalysis[[#This Row],[CCCM]:[WASH]], 2))</f>
        <v>3</v>
      </c>
      <c r="Y17" s="347">
        <f>IF(COUNTIF(tblSeverityAnalysis[[#This Row],[CCCM]:[WASH]], 3)=0, "", COUNTIF(tblSeverityAnalysis[[#This Row],[CCCM]:[WASH]], 3))</f>
        <v>3</v>
      </c>
      <c r="Z17" s="347">
        <f>IF(COUNTIF(tblSeverityAnalysis[[#This Row],[CCCM]:[WASH]], 4)=0, "", COUNTIF(tblSeverityAnalysis[[#This Row],[CCCM]:[WASH]], 4))</f>
        <v>1</v>
      </c>
      <c r="AA17" s="348" t="str">
        <f>IF(COUNTIF(tblSeverityAnalysis[[#This Row],[CCCM]:[WASH]], 5)=0, "", COUNTIF(tblSeverityAnalysis[[#This Row],[CCCM]:[WASH]], 5))</f>
        <v/>
      </c>
      <c r="AB17" s="61" cm="1">
        <f t="array" ref="AB1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7" s="42" t="str">
        <f>IFERROR(IF(INDEX(tblSeverityReference[Malnutrition Severity],MATCH(tblSeverityAnalysis[[#This Row],[ID]], tblSeverityReference[ID], 0))= "", "",INDEX(tblSeverityReference[Malnutrition Severity],MATCH(tblSeverityAnalysis[[#This Row],[ID]], tblSeverityReference[ID], 0)) ), "")</f>
        <v/>
      </c>
      <c r="AE17" s="319" t="str">
        <f>IFERROR(IF(INDEX(tblSeverityReference[Epidemic Severity],MATCH(tblSeverityAnalysis[[#This Row],[ID]], tblSeverityReference[ID], 0))= "", "",INDEX(tblSeverityReference[Epidemic Severity],MATCH(tblSeverityAnalysis[[#This Row],[ID]], tblSeverityReference[ID], 0)) ), "")</f>
        <v/>
      </c>
      <c r="AF17" s="319" t="str">
        <f>IFERROR(IF(INDEX(tblSeverityReference[Coping Strategy Severity],MATCH(tblSeverityAnalysis[[#This Row],[ID]], tblSeverityReference[ID], 0))= "", "",INDEX(tblSeverityReference[Coping Strategy Severity],MATCH(tblSeverityAnalysis[[#This Row],[ID]], tblSeverityReference[ID], 0)) ), "")</f>
        <v/>
      </c>
      <c r="AG17" s="110">
        <v>3</v>
      </c>
      <c r="AH17" s="83">
        <f>IFERROR(AVERAGE(tblSeverityAnalysis[[#This Row],[CCCM]:[WASH]]), "")</f>
        <v>2.791666666666667</v>
      </c>
      <c r="AI17" s="27">
        <f>IF(SUM(tblSeverityAnalysis[[#This Row],[CCCM]:[WASH]])=0, "", MAX(tblSeverityAnalysis[[#This Row],[CCCM]:[WASH]]))</f>
        <v>4</v>
      </c>
      <c r="AJ17" s="349" t="str" cm="1">
        <f t="array" ref="AJ17">IFERROR(IF(tblSeverityAnalysis[[#This Row],[Highest Severity]]="", "", _xlfn.TEXTJOIN(CHAR(10), TRUE, IF(tblSeverityAnalysis[[#This Row],[CCCM]:[WASH]]=tblSeverityAnalysis[[#This Row],[Highest Severity]], tblSeverityAnalysis[[#Headers],[CCCM]:[WASH]], ""), "")), "")</f>
        <v>Overarching Protection</v>
      </c>
      <c r="AK17" s="27" cm="1">
        <f t="array" ref="AK17">IFERROR(MAX(_xlfn._xlws.FILTER(tblSeverityAnalysis[[#This Row],[CCCM]:[WASH]], tblSeverityAnalysis[[#This Row],[CCCM]:[WASH]]&lt;tblSeverityAnalysis[[#This Row],[Highest Severity]])), "")</f>
        <v>3.3333333333333335</v>
      </c>
      <c r="AL17" s="329" t="str" cm="1">
        <f t="array" ref="AL17">IFERROR(IF(tblSeverityAnalysis[[#This Row],[2nd Highest Severity]]="", "", _xlfn.TEXTJOIN(CHAR(10), TRUE, IF(tblSeverityAnalysis[[#This Row],[CCCM]:[WASH]]=tblSeverityAnalysis[[#This Row],[2nd Highest Severity]], tblSeverityAnalysis[[#Headers],[CCCM]:[WASH]], ""), "")), "")</f>
        <v>Health</v>
      </c>
      <c r="AM17" s="135" t="str">
        <f>IFERROR(IF(AND(tblSeverityAnalysis[[#This Row],[5]] &lt;&gt; "", tblSeverityAnalysis[[#This Row],[5]]&gt;=sectors_sev_5), "Flagged", ""), "")</f>
        <v/>
      </c>
      <c r="AN17" s="136" t="str">
        <f>IFERROR(IF(AND(tblSeverityAnalysis[[#This Row],[Preliminary Intersectoral Severity based on overlap of sectoral deprivations]]=4, SUM(tblSeverityAnalysis[[#This Row],[ 4 ]:[5]])&gt;=sectors_sev_4), "Flagged", ""), "")</f>
        <v/>
      </c>
      <c r="AO17" s="136" t="str" cm="1">
        <f t="array" ref="AO1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7" s="351"/>
      <c r="AR17" s="352"/>
      <c r="AS17" s="351"/>
      <c r="AT17" s="353">
        <f>COUNTIF(tblSeverityAnalysis[[#This Row],[1 sector in severity phase 5 '[modify the threshold']]:[Manual Flag]], "Flagged")</f>
        <v>0</v>
      </c>
      <c r="AU17" s="354">
        <f>tblSeverityAnalysis[[#This Row],[Preliminary Intersectoral Severity based on overlap of sectoral deprivations]]</f>
        <v>3</v>
      </c>
      <c r="AV17" s="63">
        <v>3</v>
      </c>
      <c r="AW17" s="432">
        <v>4</v>
      </c>
      <c r="AZ17" t="b">
        <f>tblSeverityAnalysis[[#This Row],[Preliminary Intersectoral Severity based on overlap of sectoral deprivations]]=tblSeverityAnalysis[[#This Row],[Final Severity]]</f>
        <v>1</v>
      </c>
    </row>
    <row r="18" spans="1:52" ht="14.5" hidden="1" customHeight="1" x14ac:dyDescent="0.55000000000000004">
      <c r="A1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SS0208</v>
      </c>
      <c r="B18" s="40" t="s">
        <v>250</v>
      </c>
      <c r="C18" s="335" t="s">
        <v>251</v>
      </c>
      <c r="D18" s="335" t="s">
        <v>266</v>
      </c>
      <c r="E18" s="34" t="s">
        <v>267</v>
      </c>
      <c r="F18" s="34"/>
      <c r="G18" s="34"/>
      <c r="I18" s="97">
        <v>59185.494175968524</v>
      </c>
      <c r="J18" s="97"/>
      <c r="K18" s="757">
        <v>2</v>
      </c>
      <c r="L18" s="763">
        <v>3</v>
      </c>
      <c r="M18" s="763">
        <v>3</v>
      </c>
      <c r="N18" s="763">
        <v>3</v>
      </c>
      <c r="O18" s="763">
        <v>3.6666666666666665</v>
      </c>
      <c r="P18" s="763">
        <v>4</v>
      </c>
      <c r="Q18" s="759">
        <v>2</v>
      </c>
      <c r="R18" s="763">
        <v>3</v>
      </c>
      <c r="S18" s="319"/>
      <c r="T18" s="319"/>
      <c r="U18" s="319"/>
      <c r="V18" s="319"/>
      <c r="W18" s="346" t="str">
        <f>IF(COUNTIF(tblSeverityAnalysis[[#This Row],[CCCM]:[WASH]], 1)=0, "", COUNTIF(tblSeverityAnalysis[[#This Row],[CCCM]:[WASH]], 1))</f>
        <v/>
      </c>
      <c r="X18" s="347">
        <f>IF(COUNTIF(tblSeverityAnalysis[[#This Row],[CCCM]:[WASH]], 2)=0, "", COUNTIF(tblSeverityAnalysis[[#This Row],[CCCM]:[WASH]], 2))</f>
        <v>2</v>
      </c>
      <c r="Y18" s="347">
        <f>IF(COUNTIF(tblSeverityAnalysis[[#This Row],[CCCM]:[WASH]], 3)=0, "", COUNTIF(tblSeverityAnalysis[[#This Row],[CCCM]:[WASH]], 3))</f>
        <v>4</v>
      </c>
      <c r="Z18" s="347">
        <f>IF(COUNTIF(tblSeverityAnalysis[[#This Row],[CCCM]:[WASH]], 4)=0, "", COUNTIF(tblSeverityAnalysis[[#This Row],[CCCM]:[WASH]], 4))</f>
        <v>1</v>
      </c>
      <c r="AA18" s="348" t="str">
        <f>IF(COUNTIF(tblSeverityAnalysis[[#This Row],[CCCM]:[WASH]], 5)=0, "", COUNTIF(tblSeverityAnalysis[[#This Row],[CCCM]:[WASH]], 5))</f>
        <v/>
      </c>
      <c r="AB18" s="61" cm="1">
        <f t="array" ref="AB1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8" s="42" t="str">
        <f>IFERROR(IF(INDEX(tblSeverityReference[Malnutrition Severity],MATCH(tblSeverityAnalysis[[#This Row],[ID]], tblSeverityReference[ID], 0))= "", "",INDEX(tblSeverityReference[Malnutrition Severity],MATCH(tblSeverityAnalysis[[#This Row],[ID]], tblSeverityReference[ID], 0)) ), "")</f>
        <v/>
      </c>
      <c r="AE18" s="319" t="str">
        <f>IFERROR(IF(INDEX(tblSeverityReference[Epidemic Severity],MATCH(tblSeverityAnalysis[[#This Row],[ID]], tblSeverityReference[ID], 0))= "", "",INDEX(tblSeverityReference[Epidemic Severity],MATCH(tblSeverityAnalysis[[#This Row],[ID]], tblSeverityReference[ID], 0)) ), "")</f>
        <v/>
      </c>
      <c r="AF18" s="319" t="str">
        <f>IFERROR(IF(INDEX(tblSeverityReference[Coping Strategy Severity],MATCH(tblSeverityAnalysis[[#This Row],[ID]], tblSeverityReference[ID], 0))= "", "",INDEX(tblSeverityReference[Coping Strategy Severity],MATCH(tblSeverityAnalysis[[#This Row],[ID]], tblSeverityReference[ID], 0)) ), "")</f>
        <v/>
      </c>
      <c r="AG18" s="110">
        <v>3</v>
      </c>
      <c r="AH18" s="83">
        <f>IFERROR(AVERAGE(tblSeverityAnalysis[[#This Row],[CCCM]:[WASH]]), "")</f>
        <v>2.958333333333333</v>
      </c>
      <c r="AI18" s="27">
        <f>IF(SUM(tblSeverityAnalysis[[#This Row],[CCCM]:[WASH]])=0, "", MAX(tblSeverityAnalysis[[#This Row],[CCCM]:[WASH]]))</f>
        <v>4</v>
      </c>
      <c r="AJ18" s="349" t="str" cm="1">
        <f t="array" ref="AJ18">IFERROR(IF(tblSeverityAnalysis[[#This Row],[Highest Severity]]="", "", _xlfn.TEXTJOIN(CHAR(10), TRUE, IF(tblSeverityAnalysis[[#This Row],[CCCM]:[WASH]]=tblSeverityAnalysis[[#This Row],[Highest Severity]], tblSeverityAnalysis[[#Headers],[CCCM]:[WASH]], ""), "")), "")</f>
        <v>Overarching Protection</v>
      </c>
      <c r="AK18" s="27" cm="1">
        <f t="array" ref="AK18">IFERROR(MAX(_xlfn._xlws.FILTER(tblSeverityAnalysis[[#This Row],[CCCM]:[WASH]], tblSeverityAnalysis[[#This Row],[CCCM]:[WASH]]&lt;tblSeverityAnalysis[[#This Row],[Highest Severity]])), "")</f>
        <v>3.6666666666666665</v>
      </c>
      <c r="AL18" s="329" t="str" cm="1">
        <f t="array" ref="AL18">IFERROR(IF(tblSeverityAnalysis[[#This Row],[2nd Highest Severity]]="", "", _xlfn.TEXTJOIN(CHAR(10), TRUE, IF(tblSeverityAnalysis[[#This Row],[CCCM]:[WASH]]=tblSeverityAnalysis[[#This Row],[2nd Highest Severity]], tblSeverityAnalysis[[#Headers],[CCCM]:[WASH]], ""), "")), "")</f>
        <v>Health</v>
      </c>
      <c r="AM18" s="135" t="str">
        <f>IFERROR(IF(AND(tblSeverityAnalysis[[#This Row],[5]] &lt;&gt; "", tblSeverityAnalysis[[#This Row],[5]]&gt;=sectors_sev_5), "Flagged", ""), "")</f>
        <v/>
      </c>
      <c r="AN18" s="136" t="str">
        <f>IFERROR(IF(AND(tblSeverityAnalysis[[#This Row],[Preliminary Intersectoral Severity based on overlap of sectoral deprivations]]=4, SUM(tblSeverityAnalysis[[#This Row],[ 4 ]:[5]])&gt;=sectors_sev_4), "Flagged", ""), "")</f>
        <v/>
      </c>
      <c r="AO18" s="136" t="str" cm="1">
        <f t="array" ref="AO1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8" s="351"/>
      <c r="AR18" s="352"/>
      <c r="AS18" s="351"/>
      <c r="AT18" s="353">
        <f>COUNTIF(tblSeverityAnalysis[[#This Row],[1 sector in severity phase 5 '[modify the threshold']]:[Manual Flag]], "Flagged")</f>
        <v>0</v>
      </c>
      <c r="AU18" s="354">
        <f>tblSeverityAnalysis[[#This Row],[Preliminary Intersectoral Severity based on overlap of sectoral deprivations]]</f>
        <v>3</v>
      </c>
      <c r="AV18" s="63">
        <v>3</v>
      </c>
      <c r="AW18" s="432">
        <v>4</v>
      </c>
      <c r="AZ18" t="b">
        <f>tblSeverityAnalysis[[#This Row],[Preliminary Intersectoral Severity based on overlap of sectoral deprivations]]=tblSeverityAnalysis[[#This Row],[Final Severity]]</f>
        <v>1</v>
      </c>
    </row>
    <row r="19" spans="1:52" ht="14.5" hidden="1" customHeight="1" x14ac:dyDescent="0.55000000000000004">
      <c r="A1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SS0301</v>
      </c>
      <c r="B19" s="40" t="s">
        <v>268</v>
      </c>
      <c r="C19" s="335" t="s">
        <v>269</v>
      </c>
      <c r="D19" s="335" t="s">
        <v>270</v>
      </c>
      <c r="E19" s="34" t="s">
        <v>271</v>
      </c>
      <c r="F19" s="34"/>
      <c r="G19" s="34"/>
      <c r="I19" s="97">
        <v>199399.71051189478</v>
      </c>
      <c r="J19" s="97"/>
      <c r="K19" s="757">
        <v>4</v>
      </c>
      <c r="L19" s="763">
        <v>3</v>
      </c>
      <c r="M19" s="763">
        <v>4</v>
      </c>
      <c r="N19" s="763">
        <v>4</v>
      </c>
      <c r="O19" s="763">
        <v>4</v>
      </c>
      <c r="P19" s="763">
        <v>4</v>
      </c>
      <c r="Q19" s="759">
        <v>4</v>
      </c>
      <c r="R19" s="763">
        <v>3</v>
      </c>
      <c r="S19" s="319"/>
      <c r="T19" s="319"/>
      <c r="U19" s="319"/>
      <c r="V19" s="319"/>
      <c r="W19" s="346" t="str">
        <f>IF(COUNTIF(tblSeverityAnalysis[[#This Row],[CCCM]:[WASH]], 1)=0, "", COUNTIF(tblSeverityAnalysis[[#This Row],[CCCM]:[WASH]], 1))</f>
        <v/>
      </c>
      <c r="X19" s="347" t="str">
        <f>IF(COUNTIF(tblSeverityAnalysis[[#This Row],[CCCM]:[WASH]], 2)=0, "", COUNTIF(tblSeverityAnalysis[[#This Row],[CCCM]:[WASH]], 2))</f>
        <v/>
      </c>
      <c r="Y19" s="347">
        <f>IF(COUNTIF(tblSeverityAnalysis[[#This Row],[CCCM]:[WASH]], 3)=0, "", COUNTIF(tblSeverityAnalysis[[#This Row],[CCCM]:[WASH]], 3))</f>
        <v>2</v>
      </c>
      <c r="Z19" s="347">
        <f>IF(COUNTIF(tblSeverityAnalysis[[#This Row],[CCCM]:[WASH]], 4)=0, "", COUNTIF(tblSeverityAnalysis[[#This Row],[CCCM]:[WASH]], 4))</f>
        <v>6</v>
      </c>
      <c r="AA19" s="348" t="str">
        <f>IF(COUNTIF(tblSeverityAnalysis[[#This Row],[CCCM]:[WASH]], 5)=0, "", COUNTIF(tblSeverityAnalysis[[#This Row],[CCCM]:[WASH]], 5))</f>
        <v/>
      </c>
      <c r="AB19" s="61" cm="1">
        <f t="array" ref="AB1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1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9" s="42" t="str">
        <f>IFERROR(IF(INDEX(tblSeverityReference[Malnutrition Severity],MATCH(tblSeverityAnalysis[[#This Row],[ID]], tblSeverityReference[ID], 0))= "", "",INDEX(tblSeverityReference[Malnutrition Severity],MATCH(tblSeverityAnalysis[[#This Row],[ID]], tblSeverityReference[ID], 0)) ), "")</f>
        <v/>
      </c>
      <c r="AE19" s="319" t="str">
        <f>IFERROR(IF(INDEX(tblSeverityReference[Epidemic Severity],MATCH(tblSeverityAnalysis[[#This Row],[ID]], tblSeverityReference[ID], 0))= "", "",INDEX(tblSeverityReference[Epidemic Severity],MATCH(tblSeverityAnalysis[[#This Row],[ID]], tblSeverityReference[ID], 0)) ), "")</f>
        <v/>
      </c>
      <c r="AF19" s="319" t="str">
        <f>IFERROR(IF(INDEX(tblSeverityReference[Coping Strategy Severity],MATCH(tblSeverityAnalysis[[#This Row],[ID]], tblSeverityReference[ID], 0))= "", "",INDEX(tblSeverityReference[Coping Strategy Severity],MATCH(tblSeverityAnalysis[[#This Row],[ID]], tblSeverityReference[ID], 0)) ), "")</f>
        <v/>
      </c>
      <c r="AG19" s="110">
        <v>4</v>
      </c>
      <c r="AH19" s="83">
        <f>IFERROR(AVERAGE(tblSeverityAnalysis[[#This Row],[CCCM]:[WASH]]), "")</f>
        <v>3.75</v>
      </c>
      <c r="AI19" s="27">
        <f>IF(SUM(tblSeverityAnalysis[[#This Row],[CCCM]:[WASH]])=0, "", MAX(tblSeverityAnalysis[[#This Row],[CCCM]:[WASH]]))</f>
        <v>4</v>
      </c>
      <c r="AJ19" s="349" t="str" cm="1">
        <f t="array" ref="AJ19">IFERROR(IF(tblSeverityAnalysis[[#This Row],[Highest Severity]]="", "", _xlfn.TEXTJOIN(CHAR(10), TRUE, IF(tblSeverityAnalysis[[#This Row],[CCCM]:[WASH]]=tblSeverityAnalysis[[#This Row],[Highest Severity]], tblSeverityAnalysis[[#Headers],[CCCM]:[WASH]], ""), "")), "")</f>
        <v>CCCM
Nutrition
Food Security
Health
Overarching Protection
Shelter</v>
      </c>
      <c r="AK19" s="27" cm="1">
        <f t="array" ref="AK19">IFERROR(MAX(_xlfn._xlws.FILTER(tblSeverityAnalysis[[#This Row],[CCCM]:[WASH]], tblSeverityAnalysis[[#This Row],[CCCM]:[WASH]]&lt;tblSeverityAnalysis[[#This Row],[Highest Severity]])), "")</f>
        <v>3</v>
      </c>
      <c r="AL19" s="329" t="str" cm="1">
        <f t="array" ref="AL19">IFERROR(IF(tblSeverityAnalysis[[#This Row],[2nd Highest Severity]]="", "", _xlfn.TEXTJOIN(CHAR(10), TRUE, IF(tblSeverityAnalysis[[#This Row],[CCCM]:[WASH]]=tblSeverityAnalysis[[#This Row],[2nd Highest Severity]], tblSeverityAnalysis[[#Headers],[CCCM]:[WASH]], ""), "")), "")</f>
        <v>Education
WASH</v>
      </c>
      <c r="AM19" s="135" t="str">
        <f>IFERROR(IF(AND(tblSeverityAnalysis[[#This Row],[5]] &lt;&gt; "", tblSeverityAnalysis[[#This Row],[5]]&gt;=sectors_sev_5), "Flagged", ""), "")</f>
        <v/>
      </c>
      <c r="AN19" s="136" t="str">
        <f>IFERROR(IF(AND(tblSeverityAnalysis[[#This Row],[Preliminary Intersectoral Severity based on overlap of sectoral deprivations]]=4, SUM(tblSeverityAnalysis[[#This Row],[ 4 ]:[5]])&gt;=sectors_sev_4), "Flagged", ""), "")</f>
        <v>Flagged</v>
      </c>
      <c r="AO19" s="136" t="str" cm="1">
        <f t="array" ref="AO1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9" s="351"/>
      <c r="AR19" s="352"/>
      <c r="AS19" s="351"/>
      <c r="AT19" s="353">
        <f>COUNTIF(tblSeverityAnalysis[[#This Row],[1 sector in severity phase 5 '[modify the threshold']]:[Manual Flag]], "Flagged")</f>
        <v>1</v>
      </c>
      <c r="AU19" s="354">
        <f>tblSeverityAnalysis[[#This Row],[Preliminary Intersectoral Severity based on overlap of sectoral deprivations]]</f>
        <v>4</v>
      </c>
      <c r="AV19" s="63">
        <v>4</v>
      </c>
      <c r="AW19" s="432">
        <v>1</v>
      </c>
      <c r="AZ19" t="b">
        <f>tblSeverityAnalysis[[#This Row],[Preliminary Intersectoral Severity based on overlap of sectoral deprivations]]=tblSeverityAnalysis[[#This Row],[Final Severity]]</f>
        <v>1</v>
      </c>
    </row>
    <row r="20" spans="1:52" ht="14.5" hidden="1" customHeight="1" x14ac:dyDescent="0.55000000000000004">
      <c r="A2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SS0302</v>
      </c>
      <c r="B20" s="40" t="s">
        <v>268</v>
      </c>
      <c r="C20" s="335" t="s">
        <v>269</v>
      </c>
      <c r="D20" s="335" t="s">
        <v>272</v>
      </c>
      <c r="E20" s="34" t="s">
        <v>273</v>
      </c>
      <c r="F20" s="34"/>
      <c r="G20" s="34"/>
      <c r="I20" s="97">
        <v>168045.96882477493</v>
      </c>
      <c r="J20" s="97"/>
      <c r="K20" s="757">
        <v>2</v>
      </c>
      <c r="L20" s="763">
        <v>3</v>
      </c>
      <c r="M20" s="763">
        <v>4</v>
      </c>
      <c r="N20" s="763">
        <v>4</v>
      </c>
      <c r="O20" s="763">
        <v>3.6666666666666665</v>
      </c>
      <c r="P20" s="763">
        <v>4</v>
      </c>
      <c r="Q20" s="759">
        <v>3</v>
      </c>
      <c r="R20" s="763">
        <v>5</v>
      </c>
      <c r="S20" s="319"/>
      <c r="T20" s="319"/>
      <c r="U20" s="319"/>
      <c r="V20" s="319"/>
      <c r="W20" s="346" t="str">
        <f>IF(COUNTIF(tblSeverityAnalysis[[#This Row],[CCCM]:[WASH]], 1)=0, "", COUNTIF(tblSeverityAnalysis[[#This Row],[CCCM]:[WASH]], 1))</f>
        <v/>
      </c>
      <c r="X20" s="347">
        <f>IF(COUNTIF(tblSeverityAnalysis[[#This Row],[CCCM]:[WASH]], 2)=0, "", COUNTIF(tblSeverityAnalysis[[#This Row],[CCCM]:[WASH]], 2))</f>
        <v>1</v>
      </c>
      <c r="Y20" s="347">
        <f>IF(COUNTIF(tblSeverityAnalysis[[#This Row],[CCCM]:[WASH]], 3)=0, "", COUNTIF(tblSeverityAnalysis[[#This Row],[CCCM]:[WASH]], 3))</f>
        <v>2</v>
      </c>
      <c r="Z20" s="347">
        <f>IF(COUNTIF(tblSeverityAnalysis[[#This Row],[CCCM]:[WASH]], 4)=0, "", COUNTIF(tblSeverityAnalysis[[#This Row],[CCCM]:[WASH]], 4))</f>
        <v>3</v>
      </c>
      <c r="AA20" s="348">
        <f>IF(COUNTIF(tblSeverityAnalysis[[#This Row],[CCCM]:[WASH]], 5)=0, "", COUNTIF(tblSeverityAnalysis[[#This Row],[CCCM]:[WASH]], 5))</f>
        <v>1</v>
      </c>
      <c r="AB20" s="61" cm="1">
        <f t="array" ref="AB2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0" s="42" t="str">
        <f>IFERROR(IF(INDEX(tblSeverityReference[Malnutrition Severity],MATCH(tblSeverityAnalysis[[#This Row],[ID]], tblSeverityReference[ID], 0))= "", "",INDEX(tblSeverityReference[Malnutrition Severity],MATCH(tblSeverityAnalysis[[#This Row],[ID]], tblSeverityReference[ID], 0)) ), "")</f>
        <v/>
      </c>
      <c r="AE20" s="319" t="str">
        <f>IFERROR(IF(INDEX(tblSeverityReference[Epidemic Severity],MATCH(tblSeverityAnalysis[[#This Row],[ID]], tblSeverityReference[ID], 0))= "", "",INDEX(tblSeverityReference[Epidemic Severity],MATCH(tblSeverityAnalysis[[#This Row],[ID]], tblSeverityReference[ID], 0)) ), "")</f>
        <v/>
      </c>
      <c r="AF20" s="319" t="str">
        <f>IFERROR(IF(INDEX(tblSeverityReference[Coping Strategy Severity],MATCH(tblSeverityAnalysis[[#This Row],[ID]], tblSeverityReference[ID], 0))= "", "",INDEX(tblSeverityReference[Coping Strategy Severity],MATCH(tblSeverityAnalysis[[#This Row],[ID]], tblSeverityReference[ID], 0)) ), "")</f>
        <v/>
      </c>
      <c r="AG20" s="110">
        <v>4</v>
      </c>
      <c r="AH20" s="83">
        <f>IFERROR(AVERAGE(tblSeverityAnalysis[[#This Row],[CCCM]:[WASH]]), "")</f>
        <v>3.5833333333333335</v>
      </c>
      <c r="AI20" s="27">
        <f>IF(SUM(tblSeverityAnalysis[[#This Row],[CCCM]:[WASH]])=0, "", MAX(tblSeverityAnalysis[[#This Row],[CCCM]:[WASH]]))</f>
        <v>5</v>
      </c>
      <c r="AJ20" s="349" t="str" cm="1">
        <f t="array" ref="AJ20">IFERROR(IF(tblSeverityAnalysis[[#This Row],[Highest Severity]]="", "", _xlfn.TEXTJOIN(CHAR(10), TRUE, IF(tblSeverityAnalysis[[#This Row],[CCCM]:[WASH]]=tblSeverityAnalysis[[#This Row],[Highest Severity]], tblSeverityAnalysis[[#Headers],[CCCM]:[WASH]], ""), "")), "")</f>
        <v>WASH</v>
      </c>
      <c r="AK20" s="27" cm="1">
        <f t="array" ref="AK20">IFERROR(MAX(_xlfn._xlws.FILTER(tblSeverityAnalysis[[#This Row],[CCCM]:[WASH]], tblSeverityAnalysis[[#This Row],[CCCM]:[WASH]]&lt;tblSeverityAnalysis[[#This Row],[Highest Severity]])), "")</f>
        <v>4</v>
      </c>
      <c r="AL20" s="329" t="str" cm="1">
        <f t="array" ref="AL20">IFERROR(IF(tblSeverityAnalysis[[#This Row],[2nd Highest Severity]]="", "", _xlfn.TEXTJOIN(CHAR(10), TRUE, IF(tblSeverityAnalysis[[#This Row],[CCCM]:[WASH]]=tblSeverityAnalysis[[#This Row],[2nd Highest Severity]], tblSeverityAnalysis[[#Headers],[CCCM]:[WASH]], ""), "")), "")</f>
        <v>Nutrition
Food Security
Overarching Protection</v>
      </c>
      <c r="AM20" s="135" t="str">
        <f>IFERROR(IF(AND(tblSeverityAnalysis[[#This Row],[5]] &lt;&gt; "", tblSeverityAnalysis[[#This Row],[5]]&gt;=sectors_sev_5), "Flagged", ""), "")</f>
        <v>Flagged</v>
      </c>
      <c r="AN20" s="136" t="str">
        <f>IFERROR(IF(AND(tblSeverityAnalysis[[#This Row],[Preliminary Intersectoral Severity based on overlap of sectoral deprivations]]=4, SUM(tblSeverityAnalysis[[#This Row],[ 4 ]:[5]])&gt;=sectors_sev_4), "Flagged", ""), "")</f>
        <v/>
      </c>
      <c r="AO20" s="136" t="str" cm="1">
        <f t="array" ref="AO2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0" s="351"/>
      <c r="AR20" s="352"/>
      <c r="AS20" s="351"/>
      <c r="AT20" s="353">
        <f>COUNTIF(tblSeverityAnalysis[[#This Row],[1 sector in severity phase 5 '[modify the threshold']]:[Manual Flag]], "Flagged")</f>
        <v>1</v>
      </c>
      <c r="AU20" s="354">
        <f>tblSeverityAnalysis[[#This Row],[Preliminary Intersectoral Severity based on overlap of sectoral deprivations]]</f>
        <v>4</v>
      </c>
      <c r="AV20" s="63">
        <v>4</v>
      </c>
      <c r="AW20" s="432">
        <v>2</v>
      </c>
      <c r="AZ20" t="b">
        <f>tblSeverityAnalysis[[#This Row],[Preliminary Intersectoral Severity based on overlap of sectoral deprivations]]=tblSeverityAnalysis[[#This Row],[Final Severity]]</f>
        <v>1</v>
      </c>
    </row>
    <row r="21" spans="1:52" ht="14.5" hidden="1" customHeight="1" x14ac:dyDescent="0.55000000000000004">
      <c r="A2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SS0303</v>
      </c>
      <c r="B21" s="40" t="s">
        <v>268</v>
      </c>
      <c r="C21" s="335" t="s">
        <v>269</v>
      </c>
      <c r="D21" s="335" t="s">
        <v>274</v>
      </c>
      <c r="E21" s="34" t="s">
        <v>275</v>
      </c>
      <c r="F21" s="34"/>
      <c r="G21" s="34"/>
      <c r="I21" s="97">
        <v>304381.95195617067</v>
      </c>
      <c r="J21" s="97"/>
      <c r="K21" s="757">
        <v>3</v>
      </c>
      <c r="L21" s="763">
        <v>3</v>
      </c>
      <c r="M21" s="763">
        <v>4</v>
      </c>
      <c r="N21" s="763">
        <v>3</v>
      </c>
      <c r="O21" s="763">
        <v>3.6666666666666665</v>
      </c>
      <c r="P21" s="763">
        <v>3</v>
      </c>
      <c r="Q21" s="759">
        <v>3</v>
      </c>
      <c r="R21" s="763">
        <v>3</v>
      </c>
      <c r="S21" s="319"/>
      <c r="T21" s="319"/>
      <c r="U21" s="319"/>
      <c r="V21" s="319"/>
      <c r="W21" s="346" t="str">
        <f>IF(COUNTIF(tblSeverityAnalysis[[#This Row],[CCCM]:[WASH]], 1)=0, "", COUNTIF(tblSeverityAnalysis[[#This Row],[CCCM]:[WASH]], 1))</f>
        <v/>
      </c>
      <c r="X21" s="347" t="str">
        <f>IF(COUNTIF(tblSeverityAnalysis[[#This Row],[CCCM]:[WASH]], 2)=0, "", COUNTIF(tblSeverityAnalysis[[#This Row],[CCCM]:[WASH]], 2))</f>
        <v/>
      </c>
      <c r="Y21" s="347">
        <f>IF(COUNTIF(tblSeverityAnalysis[[#This Row],[CCCM]:[WASH]], 3)=0, "", COUNTIF(tblSeverityAnalysis[[#This Row],[CCCM]:[WASH]], 3))</f>
        <v>6</v>
      </c>
      <c r="Z21" s="347">
        <f>IF(COUNTIF(tblSeverityAnalysis[[#This Row],[CCCM]:[WASH]], 4)=0, "", COUNTIF(tblSeverityAnalysis[[#This Row],[CCCM]:[WASH]], 4))</f>
        <v>1</v>
      </c>
      <c r="AA21" s="348" t="str">
        <f>IF(COUNTIF(tblSeverityAnalysis[[#This Row],[CCCM]:[WASH]], 5)=0, "", COUNTIF(tblSeverityAnalysis[[#This Row],[CCCM]:[WASH]], 5))</f>
        <v/>
      </c>
      <c r="AB21" s="61" cm="1">
        <f t="array" ref="AB2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1" s="42" t="str">
        <f>IFERROR(IF(INDEX(tblSeverityReference[Malnutrition Severity],MATCH(tblSeverityAnalysis[[#This Row],[ID]], tblSeverityReference[ID], 0))= "", "",INDEX(tblSeverityReference[Malnutrition Severity],MATCH(tblSeverityAnalysis[[#This Row],[ID]], tblSeverityReference[ID], 0)) ), "")</f>
        <v/>
      </c>
      <c r="AE21" s="319" t="str">
        <f>IFERROR(IF(INDEX(tblSeverityReference[Epidemic Severity],MATCH(tblSeverityAnalysis[[#This Row],[ID]], tblSeverityReference[ID], 0))= "", "",INDEX(tblSeverityReference[Epidemic Severity],MATCH(tblSeverityAnalysis[[#This Row],[ID]], tblSeverityReference[ID], 0)) ), "")</f>
        <v/>
      </c>
      <c r="AF21" s="319" t="str">
        <f>IFERROR(IF(INDEX(tblSeverityReference[Coping Strategy Severity],MATCH(tblSeverityAnalysis[[#This Row],[ID]], tblSeverityReference[ID], 0))= "", "",INDEX(tblSeverityReference[Coping Strategy Severity],MATCH(tblSeverityAnalysis[[#This Row],[ID]], tblSeverityReference[ID], 0)) ), "")</f>
        <v/>
      </c>
      <c r="AG21" s="110">
        <v>3</v>
      </c>
      <c r="AH21" s="83">
        <f>IFERROR(AVERAGE(tblSeverityAnalysis[[#This Row],[CCCM]:[WASH]]), "")</f>
        <v>3.2083333333333335</v>
      </c>
      <c r="AI21" s="27">
        <f>IF(SUM(tblSeverityAnalysis[[#This Row],[CCCM]:[WASH]])=0, "", MAX(tblSeverityAnalysis[[#This Row],[CCCM]:[WASH]]))</f>
        <v>4</v>
      </c>
      <c r="AJ21" s="349" t="str" cm="1">
        <f t="array" ref="AJ21">IFERROR(IF(tblSeverityAnalysis[[#This Row],[Highest Severity]]="", "", _xlfn.TEXTJOIN(CHAR(10), TRUE, IF(tblSeverityAnalysis[[#This Row],[CCCM]:[WASH]]=tblSeverityAnalysis[[#This Row],[Highest Severity]], tblSeverityAnalysis[[#Headers],[CCCM]:[WASH]], ""), "")), "")</f>
        <v>Nutrition</v>
      </c>
      <c r="AK21" s="27" cm="1">
        <f t="array" ref="AK21">IFERROR(MAX(_xlfn._xlws.FILTER(tblSeverityAnalysis[[#This Row],[CCCM]:[WASH]], tblSeverityAnalysis[[#This Row],[CCCM]:[WASH]]&lt;tblSeverityAnalysis[[#This Row],[Highest Severity]])), "")</f>
        <v>3.6666666666666665</v>
      </c>
      <c r="AL21" s="329" t="str" cm="1">
        <f t="array" ref="AL21">IFERROR(IF(tblSeverityAnalysis[[#This Row],[2nd Highest Severity]]="", "", _xlfn.TEXTJOIN(CHAR(10), TRUE, IF(tblSeverityAnalysis[[#This Row],[CCCM]:[WASH]]=tblSeverityAnalysis[[#This Row],[2nd Highest Severity]], tblSeverityAnalysis[[#Headers],[CCCM]:[WASH]], ""), "")), "")</f>
        <v>Health</v>
      </c>
      <c r="AM21" s="135" t="str">
        <f>IFERROR(IF(AND(tblSeverityAnalysis[[#This Row],[5]] &lt;&gt; "", tblSeverityAnalysis[[#This Row],[5]]&gt;=sectors_sev_5), "Flagged", ""), "")</f>
        <v/>
      </c>
      <c r="AN21" s="136" t="str">
        <f>IFERROR(IF(AND(tblSeverityAnalysis[[#This Row],[Preliminary Intersectoral Severity based on overlap of sectoral deprivations]]=4, SUM(tblSeverityAnalysis[[#This Row],[ 4 ]:[5]])&gt;=sectors_sev_4), "Flagged", ""), "")</f>
        <v/>
      </c>
      <c r="AO21" s="136" t="str" cm="1">
        <f t="array" ref="AO2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1" s="351"/>
      <c r="AR21" s="352"/>
      <c r="AS21" s="351"/>
      <c r="AT21" s="353">
        <f>COUNTIF(tblSeverityAnalysis[[#This Row],[1 sector in severity phase 5 '[modify the threshold']]:[Manual Flag]], "Flagged")</f>
        <v>0</v>
      </c>
      <c r="AU21" s="354">
        <f>tblSeverityAnalysis[[#This Row],[Preliminary Intersectoral Severity based on overlap of sectoral deprivations]]</f>
        <v>3</v>
      </c>
      <c r="AV21" s="63">
        <v>3</v>
      </c>
      <c r="AW21" s="432">
        <v>4</v>
      </c>
      <c r="AZ21" t="b">
        <f>tblSeverityAnalysis[[#This Row],[Preliminary Intersectoral Severity based on overlap of sectoral deprivations]]=tblSeverityAnalysis[[#This Row],[Final Severity]]</f>
        <v>1</v>
      </c>
    </row>
    <row r="22" spans="1:52" ht="61.8" hidden="1" thickTop="1" x14ac:dyDescent="0.55000000000000004">
      <c r="A2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SS0304</v>
      </c>
      <c r="B22" s="40" t="s">
        <v>268</v>
      </c>
      <c r="C22" s="335" t="s">
        <v>269</v>
      </c>
      <c r="D22" s="335" t="s">
        <v>276</v>
      </c>
      <c r="E22" s="34" t="s">
        <v>277</v>
      </c>
      <c r="F22" s="34"/>
      <c r="G22" s="34"/>
      <c r="I22" s="97">
        <v>103008.46687551064</v>
      </c>
      <c r="J22" s="97"/>
      <c r="K22" s="757">
        <v>3</v>
      </c>
      <c r="L22" s="763">
        <v>4</v>
      </c>
      <c r="M22" s="763">
        <v>4</v>
      </c>
      <c r="N22" s="763">
        <v>4</v>
      </c>
      <c r="O22" s="763">
        <v>4</v>
      </c>
      <c r="P22" s="763">
        <v>4</v>
      </c>
      <c r="Q22" s="759">
        <v>3</v>
      </c>
      <c r="R22" s="763">
        <v>5</v>
      </c>
      <c r="S22" s="319"/>
      <c r="T22" s="319"/>
      <c r="U22" s="319"/>
      <c r="V22" s="319"/>
      <c r="W22" s="346" t="str">
        <f>IF(COUNTIF(tblSeverityAnalysis[[#This Row],[CCCM]:[WASH]], 1)=0, "", COUNTIF(tblSeverityAnalysis[[#This Row],[CCCM]:[WASH]], 1))</f>
        <v/>
      </c>
      <c r="X22" s="347" t="str">
        <f>IF(COUNTIF(tblSeverityAnalysis[[#This Row],[CCCM]:[WASH]], 2)=0, "", COUNTIF(tblSeverityAnalysis[[#This Row],[CCCM]:[WASH]], 2))</f>
        <v/>
      </c>
      <c r="Y22" s="347">
        <f>IF(COUNTIF(tblSeverityAnalysis[[#This Row],[CCCM]:[WASH]], 3)=0, "", COUNTIF(tblSeverityAnalysis[[#This Row],[CCCM]:[WASH]], 3))</f>
        <v>2</v>
      </c>
      <c r="Z22" s="347">
        <f>IF(COUNTIF(tblSeverityAnalysis[[#This Row],[CCCM]:[WASH]], 4)=0, "", COUNTIF(tblSeverityAnalysis[[#This Row],[CCCM]:[WASH]], 4))</f>
        <v>5</v>
      </c>
      <c r="AA22" s="348">
        <f>IF(COUNTIF(tblSeverityAnalysis[[#This Row],[CCCM]:[WASH]], 5)=0, "", COUNTIF(tblSeverityAnalysis[[#This Row],[CCCM]:[WASH]], 5))</f>
        <v>1</v>
      </c>
      <c r="AB22" s="61" cm="1">
        <f t="array" ref="AB2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2" s="42" t="str">
        <f>IFERROR(IF(INDEX(tblSeverityReference[Malnutrition Severity],MATCH(tblSeverityAnalysis[[#This Row],[ID]], tblSeverityReference[ID], 0))= "", "",INDEX(tblSeverityReference[Malnutrition Severity],MATCH(tblSeverityAnalysis[[#This Row],[ID]], tblSeverityReference[ID], 0)) ), "")</f>
        <v/>
      </c>
      <c r="AE22" s="319" t="str">
        <f>IFERROR(IF(INDEX(tblSeverityReference[Epidemic Severity],MATCH(tblSeverityAnalysis[[#This Row],[ID]], tblSeverityReference[ID], 0))= "", "",INDEX(tblSeverityReference[Epidemic Severity],MATCH(tblSeverityAnalysis[[#This Row],[ID]], tblSeverityReference[ID], 0)) ), "")</f>
        <v/>
      </c>
      <c r="AF22" s="319" t="str">
        <f>IFERROR(IF(INDEX(tblSeverityReference[Coping Strategy Severity],MATCH(tblSeverityAnalysis[[#This Row],[ID]], tblSeverityReference[ID], 0))= "", "",INDEX(tblSeverityReference[Coping Strategy Severity],MATCH(tblSeverityAnalysis[[#This Row],[ID]], tblSeverityReference[ID], 0)) ), "")</f>
        <v/>
      </c>
      <c r="AG22" s="110">
        <v>4</v>
      </c>
      <c r="AH22" s="83">
        <f>IFERROR(AVERAGE(tblSeverityAnalysis[[#This Row],[CCCM]:[WASH]]), "")</f>
        <v>3.875</v>
      </c>
      <c r="AI22" s="27">
        <f>IF(SUM(tblSeverityAnalysis[[#This Row],[CCCM]:[WASH]])=0, "", MAX(tblSeverityAnalysis[[#This Row],[CCCM]:[WASH]]))</f>
        <v>5</v>
      </c>
      <c r="AJ22" s="349" t="str" cm="1">
        <f t="array" ref="AJ22">IFERROR(IF(tblSeverityAnalysis[[#This Row],[Highest Severity]]="", "", _xlfn.TEXTJOIN(CHAR(10), TRUE, IF(tblSeverityAnalysis[[#This Row],[CCCM]:[WASH]]=tblSeverityAnalysis[[#This Row],[Highest Severity]], tblSeverityAnalysis[[#Headers],[CCCM]:[WASH]], ""), "")), "")</f>
        <v>WASH</v>
      </c>
      <c r="AK22" s="27" cm="1">
        <f t="array" ref="AK22">IFERROR(MAX(_xlfn._xlws.FILTER(tblSeverityAnalysis[[#This Row],[CCCM]:[WASH]], tblSeverityAnalysis[[#This Row],[CCCM]:[WASH]]&lt;tblSeverityAnalysis[[#This Row],[Highest Severity]])), "")</f>
        <v>4</v>
      </c>
      <c r="AL22" s="329" t="str" cm="1">
        <f t="array" ref="AL22">IFERROR(IF(tblSeverityAnalysis[[#This Row],[2nd Highest Severity]]="", "", _xlfn.TEXTJOIN(CHAR(10), TRUE, IF(tblSeverityAnalysis[[#This Row],[CCCM]:[WASH]]=tblSeverityAnalysis[[#This Row],[2nd Highest Severity]], tblSeverityAnalysis[[#Headers],[CCCM]:[WASH]], ""), "")), "")</f>
        <v>Education
Nutrition
Food Security
Health
Overarching Protection</v>
      </c>
      <c r="AM22" s="135" t="str">
        <f>IFERROR(IF(AND(tblSeverityAnalysis[[#This Row],[5]] &lt;&gt; "", tblSeverityAnalysis[[#This Row],[5]]&gt;=sectors_sev_5), "Flagged", ""), "")</f>
        <v>Flagged</v>
      </c>
      <c r="AN22" s="136" t="str">
        <f>IFERROR(IF(AND(tblSeverityAnalysis[[#This Row],[Preliminary Intersectoral Severity based on overlap of sectoral deprivations]]=4, SUM(tblSeverityAnalysis[[#This Row],[ 4 ]:[5]])&gt;=sectors_sev_4), "Flagged", ""), "")</f>
        <v>Flagged</v>
      </c>
      <c r="AO22" s="136" t="str" cm="1">
        <f t="array" ref="AO2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2" s="351"/>
      <c r="AR22" s="352"/>
      <c r="AS22" s="351"/>
      <c r="AT22" s="353">
        <f>COUNTIF(tblSeverityAnalysis[[#This Row],[1 sector in severity phase 5 '[modify the threshold']]:[Manual Flag]], "Flagged")</f>
        <v>2</v>
      </c>
      <c r="AU22" s="354">
        <f>tblSeverityAnalysis[[#This Row],[Preliminary Intersectoral Severity based on overlap of sectoral deprivations]]</f>
        <v>4</v>
      </c>
      <c r="AV22" s="63">
        <v>4</v>
      </c>
      <c r="AW22" s="432">
        <v>1</v>
      </c>
      <c r="AZ22" t="b">
        <f>tblSeverityAnalysis[[#This Row],[Preliminary Intersectoral Severity based on overlap of sectoral deprivations]]=tblSeverityAnalysis[[#This Row],[Final Severity]]</f>
        <v>1</v>
      </c>
    </row>
    <row r="23" spans="1:52" ht="14.5" hidden="1" customHeight="1" x14ac:dyDescent="0.55000000000000004">
      <c r="A2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SS0305</v>
      </c>
      <c r="B23" s="40" t="s">
        <v>268</v>
      </c>
      <c r="C23" s="335" t="s">
        <v>269</v>
      </c>
      <c r="D23" s="335" t="s">
        <v>278</v>
      </c>
      <c r="E23" s="34" t="s">
        <v>279</v>
      </c>
      <c r="F23" s="34"/>
      <c r="G23" s="34"/>
      <c r="I23" s="97">
        <v>182232.30458893918</v>
      </c>
      <c r="J23" s="97"/>
      <c r="K23" s="757">
        <v>2</v>
      </c>
      <c r="L23" s="763">
        <v>3</v>
      </c>
      <c r="M23" s="763">
        <v>5</v>
      </c>
      <c r="N23" s="763">
        <v>4</v>
      </c>
      <c r="O23" s="763">
        <v>4</v>
      </c>
      <c r="P23" s="763">
        <v>4</v>
      </c>
      <c r="Q23" s="759">
        <v>3</v>
      </c>
      <c r="R23" s="763">
        <v>3</v>
      </c>
      <c r="S23" s="319"/>
      <c r="T23" s="319"/>
      <c r="U23" s="319"/>
      <c r="V23" s="319"/>
      <c r="W23" s="346" t="str">
        <f>IF(COUNTIF(tblSeverityAnalysis[[#This Row],[CCCM]:[WASH]], 1)=0, "", COUNTIF(tblSeverityAnalysis[[#This Row],[CCCM]:[WASH]], 1))</f>
        <v/>
      </c>
      <c r="X23" s="347">
        <f>IF(COUNTIF(tblSeverityAnalysis[[#This Row],[CCCM]:[WASH]], 2)=0, "", COUNTIF(tblSeverityAnalysis[[#This Row],[CCCM]:[WASH]], 2))</f>
        <v>1</v>
      </c>
      <c r="Y23" s="347">
        <f>IF(COUNTIF(tblSeverityAnalysis[[#This Row],[CCCM]:[WASH]], 3)=0, "", COUNTIF(tblSeverityAnalysis[[#This Row],[CCCM]:[WASH]], 3))</f>
        <v>3</v>
      </c>
      <c r="Z23" s="347">
        <f>IF(COUNTIF(tblSeverityAnalysis[[#This Row],[CCCM]:[WASH]], 4)=0, "", COUNTIF(tblSeverityAnalysis[[#This Row],[CCCM]:[WASH]], 4))</f>
        <v>3</v>
      </c>
      <c r="AA23" s="348">
        <f>IF(COUNTIF(tblSeverityAnalysis[[#This Row],[CCCM]:[WASH]], 5)=0, "", COUNTIF(tblSeverityAnalysis[[#This Row],[CCCM]:[WASH]], 5))</f>
        <v>1</v>
      </c>
      <c r="AB23" s="61" cm="1">
        <f t="array" ref="AB2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3" s="42" t="str">
        <f>IFERROR(IF(INDEX(tblSeverityReference[Malnutrition Severity],MATCH(tblSeverityAnalysis[[#This Row],[ID]], tblSeverityReference[ID], 0))= "", "",INDEX(tblSeverityReference[Malnutrition Severity],MATCH(tblSeverityAnalysis[[#This Row],[ID]], tblSeverityReference[ID], 0)) ), "")</f>
        <v/>
      </c>
      <c r="AE23" s="319" t="str">
        <f>IFERROR(IF(INDEX(tblSeverityReference[Epidemic Severity],MATCH(tblSeverityAnalysis[[#This Row],[ID]], tblSeverityReference[ID], 0))= "", "",INDEX(tblSeverityReference[Epidemic Severity],MATCH(tblSeverityAnalysis[[#This Row],[ID]], tblSeverityReference[ID], 0)) ), "")</f>
        <v/>
      </c>
      <c r="AF23" s="319" t="str">
        <f>IFERROR(IF(INDEX(tblSeverityReference[Coping Strategy Severity],MATCH(tblSeverityAnalysis[[#This Row],[ID]], tblSeverityReference[ID], 0))= "", "",INDEX(tblSeverityReference[Coping Strategy Severity],MATCH(tblSeverityAnalysis[[#This Row],[ID]], tblSeverityReference[ID], 0)) ), "")</f>
        <v/>
      </c>
      <c r="AG23" s="110">
        <v>4</v>
      </c>
      <c r="AH23" s="83">
        <f>IFERROR(AVERAGE(tblSeverityAnalysis[[#This Row],[CCCM]:[WASH]]), "")</f>
        <v>3.5</v>
      </c>
      <c r="AI23" s="27">
        <f>IF(SUM(tblSeverityAnalysis[[#This Row],[CCCM]:[WASH]])=0, "", MAX(tblSeverityAnalysis[[#This Row],[CCCM]:[WASH]]))</f>
        <v>5</v>
      </c>
      <c r="AJ23" s="349" t="str" cm="1">
        <f t="array" ref="AJ23">IFERROR(IF(tblSeverityAnalysis[[#This Row],[Highest Severity]]="", "", _xlfn.TEXTJOIN(CHAR(10), TRUE, IF(tblSeverityAnalysis[[#This Row],[CCCM]:[WASH]]=tblSeverityAnalysis[[#This Row],[Highest Severity]], tblSeverityAnalysis[[#Headers],[CCCM]:[WASH]], ""), "")), "")</f>
        <v>Nutrition</v>
      </c>
      <c r="AK23" s="27" cm="1">
        <f t="array" ref="AK23">IFERROR(MAX(_xlfn._xlws.FILTER(tblSeverityAnalysis[[#This Row],[CCCM]:[WASH]], tblSeverityAnalysis[[#This Row],[CCCM]:[WASH]]&lt;tblSeverityAnalysis[[#This Row],[Highest Severity]])), "")</f>
        <v>4</v>
      </c>
      <c r="AL23" s="329" t="str" cm="1">
        <f t="array" ref="AL23">IFERROR(IF(tblSeverityAnalysis[[#This Row],[2nd Highest Severity]]="", "", _xlfn.TEXTJOIN(CHAR(10), TRUE, IF(tblSeverityAnalysis[[#This Row],[CCCM]:[WASH]]=tblSeverityAnalysis[[#This Row],[2nd Highest Severity]], tblSeverityAnalysis[[#Headers],[CCCM]:[WASH]], ""), "")), "")</f>
        <v>Food Security
Health
Overarching Protection</v>
      </c>
      <c r="AM23" s="135" t="str">
        <f>IFERROR(IF(AND(tblSeverityAnalysis[[#This Row],[5]] &lt;&gt; "", tblSeverityAnalysis[[#This Row],[5]]&gt;=sectors_sev_5), "Flagged", ""), "")</f>
        <v>Flagged</v>
      </c>
      <c r="AN23" s="136" t="str">
        <f>IFERROR(IF(AND(tblSeverityAnalysis[[#This Row],[Preliminary Intersectoral Severity based on overlap of sectoral deprivations]]=4, SUM(tblSeverityAnalysis[[#This Row],[ 4 ]:[5]])&gt;=sectors_sev_4), "Flagged", ""), "")</f>
        <v/>
      </c>
      <c r="AO23" s="136" t="str" cm="1">
        <f t="array" ref="AO2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3" s="351"/>
      <c r="AR23" s="352"/>
      <c r="AS23" s="351"/>
      <c r="AT23" s="353">
        <f>COUNTIF(tblSeverityAnalysis[[#This Row],[1 sector in severity phase 5 '[modify the threshold']]:[Manual Flag]], "Flagged")</f>
        <v>1</v>
      </c>
      <c r="AU23" s="354">
        <f>tblSeverityAnalysis[[#This Row],[Preliminary Intersectoral Severity based on overlap of sectoral deprivations]]</f>
        <v>4</v>
      </c>
      <c r="AV23" s="63">
        <v>4</v>
      </c>
      <c r="AW23" s="432">
        <v>2</v>
      </c>
      <c r="AZ23" t="b">
        <f>tblSeverityAnalysis[[#This Row],[Preliminary Intersectoral Severity based on overlap of sectoral deprivations]]=tblSeverityAnalysis[[#This Row],[Final Severity]]</f>
        <v>1</v>
      </c>
    </row>
    <row r="24" spans="1:52" ht="49.5" thickTop="1" x14ac:dyDescent="0.55000000000000004">
      <c r="A2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SS0306</v>
      </c>
      <c r="B24" s="40" t="s">
        <v>268</v>
      </c>
      <c r="C24" s="335" t="s">
        <v>269</v>
      </c>
      <c r="D24" s="335" t="s">
        <v>280</v>
      </c>
      <c r="E24" s="34" t="s">
        <v>281</v>
      </c>
      <c r="F24" s="34"/>
      <c r="G24" s="34"/>
      <c r="I24" s="97">
        <v>209740.80610886961</v>
      </c>
      <c r="J24" s="97"/>
      <c r="K24" s="757">
        <v>5</v>
      </c>
      <c r="L24" s="763">
        <v>5</v>
      </c>
      <c r="M24" s="763">
        <v>4</v>
      </c>
      <c r="N24" s="763">
        <v>4</v>
      </c>
      <c r="O24" s="763">
        <v>4</v>
      </c>
      <c r="P24" s="763">
        <v>4</v>
      </c>
      <c r="Q24" s="759">
        <v>5</v>
      </c>
      <c r="R24" s="763">
        <v>5</v>
      </c>
      <c r="S24" s="319"/>
      <c r="T24" s="319"/>
      <c r="U24" s="319"/>
      <c r="V24" s="319"/>
      <c r="W24" s="346" t="str">
        <f>IF(COUNTIF(tblSeverityAnalysis[[#This Row],[CCCM]:[WASH]], 1)=0, "", COUNTIF(tblSeverityAnalysis[[#This Row],[CCCM]:[WASH]], 1))</f>
        <v/>
      </c>
      <c r="X24" s="347" t="str">
        <f>IF(COUNTIF(tblSeverityAnalysis[[#This Row],[CCCM]:[WASH]], 2)=0, "", COUNTIF(tblSeverityAnalysis[[#This Row],[CCCM]:[WASH]], 2))</f>
        <v/>
      </c>
      <c r="Y24" s="347" t="str">
        <f>IF(COUNTIF(tblSeverityAnalysis[[#This Row],[CCCM]:[WASH]], 3)=0, "", COUNTIF(tblSeverityAnalysis[[#This Row],[CCCM]:[WASH]], 3))</f>
        <v/>
      </c>
      <c r="Z24" s="347">
        <f>IF(COUNTIF(tblSeverityAnalysis[[#This Row],[CCCM]:[WASH]], 4)=0, "", COUNTIF(tblSeverityAnalysis[[#This Row],[CCCM]:[WASH]], 4))</f>
        <v>4</v>
      </c>
      <c r="AA24" s="348">
        <f>IF(COUNTIF(tblSeverityAnalysis[[#This Row],[CCCM]:[WASH]], 5)=0, "", COUNTIF(tblSeverityAnalysis[[#This Row],[CCCM]:[WASH]], 5))</f>
        <v>4</v>
      </c>
      <c r="AB24" s="61" cm="1">
        <f t="array" ref="AB2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2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4" s="42" t="str">
        <f>IFERROR(IF(INDEX(tblSeverityReference[Malnutrition Severity],MATCH(tblSeverityAnalysis[[#This Row],[ID]], tblSeverityReference[ID], 0))= "", "",INDEX(tblSeverityReference[Malnutrition Severity],MATCH(tblSeverityAnalysis[[#This Row],[ID]], tblSeverityReference[ID], 0)) ), "")</f>
        <v/>
      </c>
      <c r="AE24" s="319" t="str">
        <f>IFERROR(IF(INDEX(tblSeverityReference[Epidemic Severity],MATCH(tblSeverityAnalysis[[#This Row],[ID]], tblSeverityReference[ID], 0))= "", "",INDEX(tblSeverityReference[Epidemic Severity],MATCH(tblSeverityAnalysis[[#This Row],[ID]], tblSeverityReference[ID], 0)) ), "")</f>
        <v/>
      </c>
      <c r="AF24" s="319" t="str">
        <f>IFERROR(IF(INDEX(tblSeverityReference[Coping Strategy Severity],MATCH(tblSeverityAnalysis[[#This Row],[ID]], tblSeverityReference[ID], 0))= "", "",INDEX(tblSeverityReference[Coping Strategy Severity],MATCH(tblSeverityAnalysis[[#This Row],[ID]], tblSeverityReference[ID], 0)) ), "")</f>
        <v/>
      </c>
      <c r="AG24" s="110">
        <v>5</v>
      </c>
      <c r="AH24" s="83">
        <f>IFERROR(AVERAGE(tblSeverityAnalysis[[#This Row],[CCCM]:[WASH]]), "")</f>
        <v>4.5</v>
      </c>
      <c r="AI24" s="27">
        <f>IF(SUM(tblSeverityAnalysis[[#This Row],[CCCM]:[WASH]])=0, "", MAX(tblSeverityAnalysis[[#This Row],[CCCM]:[WASH]]))</f>
        <v>5</v>
      </c>
      <c r="AJ24" s="349" t="str" cm="1">
        <f t="array" ref="AJ24">IFERROR(IF(tblSeverityAnalysis[[#This Row],[Highest Severity]]="", "", _xlfn.TEXTJOIN(CHAR(10), TRUE, IF(tblSeverityAnalysis[[#This Row],[CCCM]:[WASH]]=tblSeverityAnalysis[[#This Row],[Highest Severity]], tblSeverityAnalysis[[#Headers],[CCCM]:[WASH]], ""), "")), "")</f>
        <v>CCCM
Education
Shelter
WASH</v>
      </c>
      <c r="AK24" s="27" cm="1">
        <f t="array" ref="AK24">IFERROR(MAX(_xlfn._xlws.FILTER(tblSeverityAnalysis[[#This Row],[CCCM]:[WASH]], tblSeverityAnalysis[[#This Row],[CCCM]:[WASH]]&lt;tblSeverityAnalysis[[#This Row],[Highest Severity]])), "")</f>
        <v>4</v>
      </c>
      <c r="AL24" s="329" t="str" cm="1">
        <f t="array" ref="AL24">IFERROR(IF(tblSeverityAnalysis[[#This Row],[2nd Highest Severity]]="", "", _xlfn.TEXTJOIN(CHAR(10), TRUE, IF(tblSeverityAnalysis[[#This Row],[CCCM]:[WASH]]=tblSeverityAnalysis[[#This Row],[2nd Highest Severity]], tblSeverityAnalysis[[#Headers],[CCCM]:[WASH]], ""), "")), "")</f>
        <v>Nutrition
Food Security
Health
Overarching Protection</v>
      </c>
      <c r="AM24" s="135" t="str">
        <f>IFERROR(IF(AND(tblSeverityAnalysis[[#This Row],[5]] &lt;&gt; "", tblSeverityAnalysis[[#This Row],[5]]&gt;=sectors_sev_5), "Flagged", ""), "")</f>
        <v>Flagged</v>
      </c>
      <c r="AN24" s="136" t="str">
        <f>IFERROR(IF(AND(tblSeverityAnalysis[[#This Row],[Preliminary Intersectoral Severity based on overlap of sectoral deprivations]]=4, SUM(tblSeverityAnalysis[[#This Row],[ 4 ]:[5]])&gt;=sectors_sev_4), "Flagged", ""), "")</f>
        <v/>
      </c>
      <c r="AO24" s="136" t="str" cm="1">
        <f t="array" ref="AO2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4" s="351"/>
      <c r="AR24" s="352"/>
      <c r="AS24" s="351"/>
      <c r="AT24" s="353">
        <f>COUNTIF(tblSeverityAnalysis[[#This Row],[1 sector in severity phase 5 '[modify the threshold']]:[Manual Flag]], "Flagged")</f>
        <v>1</v>
      </c>
      <c r="AU24" s="354">
        <f>tblSeverityAnalysis[[#This Row],[Preliminary Intersectoral Severity based on overlap of sectoral deprivations]]</f>
        <v>5</v>
      </c>
      <c r="AV24" s="63">
        <v>5</v>
      </c>
      <c r="AW24" s="432">
        <v>1</v>
      </c>
      <c r="AZ24" t="b">
        <f>tblSeverityAnalysis[[#This Row],[Preliminary Intersectoral Severity based on overlap of sectoral deprivations]]=tblSeverityAnalysis[[#This Row],[Final Severity]]</f>
        <v>1</v>
      </c>
    </row>
    <row r="25" spans="1:52" ht="14.5" hidden="1" customHeight="1" x14ac:dyDescent="0.55000000000000004">
      <c r="A2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SS0307</v>
      </c>
      <c r="B25" s="40" t="s">
        <v>268</v>
      </c>
      <c r="C25" s="335" t="s">
        <v>269</v>
      </c>
      <c r="D25" s="335" t="s">
        <v>282</v>
      </c>
      <c r="E25" s="34" t="s">
        <v>283</v>
      </c>
      <c r="F25" s="34"/>
      <c r="G25" s="34"/>
      <c r="I25" s="97">
        <v>131306.54687204078</v>
      </c>
      <c r="J25" s="97"/>
      <c r="K25" s="400">
        <v>3</v>
      </c>
      <c r="L25" s="319">
        <v>3</v>
      </c>
      <c r="M25" s="319">
        <v>3</v>
      </c>
      <c r="N25" s="319">
        <v>4</v>
      </c>
      <c r="O25" s="319">
        <v>4</v>
      </c>
      <c r="P25" s="319">
        <v>3</v>
      </c>
      <c r="Q25" s="35">
        <v>3</v>
      </c>
      <c r="R25" s="319">
        <v>4</v>
      </c>
      <c r="S25" s="319"/>
      <c r="T25" s="319"/>
      <c r="U25" s="319"/>
      <c r="V25" s="319"/>
      <c r="W25" s="346" t="str">
        <f>IF(COUNTIF(tblSeverityAnalysis[[#This Row],[CCCM]:[WASH]], 1)=0, "", COUNTIF(tblSeverityAnalysis[[#This Row],[CCCM]:[WASH]], 1))</f>
        <v/>
      </c>
      <c r="X25" s="347" t="str">
        <f>IF(COUNTIF(tblSeverityAnalysis[[#This Row],[CCCM]:[WASH]], 2)=0, "", COUNTIF(tblSeverityAnalysis[[#This Row],[CCCM]:[WASH]], 2))</f>
        <v/>
      </c>
      <c r="Y25" s="347">
        <f>IF(COUNTIF(tblSeverityAnalysis[[#This Row],[CCCM]:[WASH]], 3)=0, "", COUNTIF(tblSeverityAnalysis[[#This Row],[CCCM]:[WASH]], 3))</f>
        <v>5</v>
      </c>
      <c r="Z25" s="347">
        <f>IF(COUNTIF(tblSeverityAnalysis[[#This Row],[CCCM]:[WASH]], 4)=0, "", COUNTIF(tblSeverityAnalysis[[#This Row],[CCCM]:[WASH]], 4))</f>
        <v>3</v>
      </c>
      <c r="AA25" s="348" t="str">
        <f>IF(COUNTIF(tblSeverityAnalysis[[#This Row],[CCCM]:[WASH]], 5)=0, "", COUNTIF(tblSeverityAnalysis[[#This Row],[CCCM]:[WASH]], 5))</f>
        <v/>
      </c>
      <c r="AB25" s="61" cm="1">
        <f t="array" ref="AB2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5" s="42" t="str">
        <f>IFERROR(IF(INDEX(tblSeverityReference[Malnutrition Severity],MATCH(tblSeverityAnalysis[[#This Row],[ID]], tblSeverityReference[ID], 0))= "", "",INDEX(tblSeverityReference[Malnutrition Severity],MATCH(tblSeverityAnalysis[[#This Row],[ID]], tblSeverityReference[ID], 0)) ), "")</f>
        <v/>
      </c>
      <c r="AE25" s="319" t="str">
        <f>IFERROR(IF(INDEX(tblSeverityReference[Epidemic Severity],MATCH(tblSeverityAnalysis[[#This Row],[ID]], tblSeverityReference[ID], 0))= "", "",INDEX(tblSeverityReference[Epidemic Severity],MATCH(tblSeverityAnalysis[[#This Row],[ID]], tblSeverityReference[ID], 0)) ), "")</f>
        <v/>
      </c>
      <c r="AF25" s="319" t="str">
        <f>IFERROR(IF(INDEX(tblSeverityReference[Coping Strategy Severity],MATCH(tblSeverityAnalysis[[#This Row],[ID]], tblSeverityReference[ID], 0))= "", "",INDEX(tblSeverityReference[Coping Strategy Severity],MATCH(tblSeverityAnalysis[[#This Row],[ID]], tblSeverityReference[ID], 0)) ), "")</f>
        <v/>
      </c>
      <c r="AG25" s="110">
        <v>3</v>
      </c>
      <c r="AH25" s="83">
        <f>IFERROR(AVERAGE(tblSeverityAnalysis[[#This Row],[CCCM]:[WASH]]), "")</f>
        <v>3.375</v>
      </c>
      <c r="AI25" s="27">
        <f>IF(SUM(tblSeverityAnalysis[[#This Row],[CCCM]:[WASH]])=0, "", MAX(tblSeverityAnalysis[[#This Row],[CCCM]:[WASH]]))</f>
        <v>4</v>
      </c>
      <c r="AJ25" s="349" t="str" cm="1">
        <f t="array" ref="AJ25">IFERROR(IF(tblSeverityAnalysis[[#This Row],[Highest Severity]]="", "", _xlfn.TEXTJOIN(CHAR(10), TRUE, IF(tblSeverityAnalysis[[#This Row],[CCCM]:[WASH]]=tblSeverityAnalysis[[#This Row],[Highest Severity]], tblSeverityAnalysis[[#Headers],[CCCM]:[WASH]], ""), "")), "")</f>
        <v>Food Security
Health
WASH</v>
      </c>
      <c r="AK25" s="27" cm="1">
        <f t="array" ref="AK25">IFERROR(MAX(_xlfn._xlws.FILTER(tblSeverityAnalysis[[#This Row],[CCCM]:[WASH]], tblSeverityAnalysis[[#This Row],[CCCM]:[WASH]]&lt;tblSeverityAnalysis[[#This Row],[Highest Severity]])), "")</f>
        <v>3</v>
      </c>
      <c r="AL25" s="329" t="str" cm="1">
        <f t="array" ref="AL25">IFERROR(IF(tblSeverityAnalysis[[#This Row],[2nd Highest Severity]]="", "", _xlfn.TEXTJOIN(CHAR(10), TRUE, IF(tblSeverityAnalysis[[#This Row],[CCCM]:[WASH]]=tblSeverityAnalysis[[#This Row],[2nd Highest Severity]], tblSeverityAnalysis[[#Headers],[CCCM]:[WASH]], ""), "")), "")</f>
        <v>CCCM
Education
Nutrition
Overarching Protection
Shelter</v>
      </c>
      <c r="AM25" s="135" t="str">
        <f>IFERROR(IF(AND(tblSeverityAnalysis[[#This Row],[5]] &lt;&gt; "", tblSeverityAnalysis[[#This Row],[5]]&gt;=sectors_sev_5), "Flagged", ""), "")</f>
        <v/>
      </c>
      <c r="AN25" s="136" t="str">
        <f>IFERROR(IF(AND(tblSeverityAnalysis[[#This Row],[Preliminary Intersectoral Severity based on overlap of sectoral deprivations]]=4, SUM(tblSeverityAnalysis[[#This Row],[ 4 ]:[5]])&gt;=sectors_sev_4), "Flagged", ""), "")</f>
        <v/>
      </c>
      <c r="AO25" s="136" t="str" cm="1">
        <f t="array" ref="AO2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5" s="351"/>
      <c r="AR25" s="352"/>
      <c r="AS25" s="351"/>
      <c r="AT25" s="353">
        <f>COUNTIF(tblSeverityAnalysis[[#This Row],[1 sector in severity phase 5 '[modify the threshold']]:[Manual Flag]], "Flagged")</f>
        <v>0</v>
      </c>
      <c r="AU25" s="354">
        <f>tblSeverityAnalysis[[#This Row],[Preliminary Intersectoral Severity based on overlap of sectoral deprivations]]</f>
        <v>3</v>
      </c>
      <c r="AV25" s="63">
        <v>3</v>
      </c>
      <c r="AW25" s="432">
        <v>2</v>
      </c>
      <c r="AZ25" t="b">
        <f>tblSeverityAnalysis[[#This Row],[Preliminary Intersectoral Severity based on overlap of sectoral deprivations]]=tblSeverityAnalysis[[#This Row],[Final Severity]]</f>
        <v>1</v>
      </c>
    </row>
    <row r="26" spans="1:52" ht="14.5" hidden="1" customHeight="1" x14ac:dyDescent="0.55000000000000004">
      <c r="A2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SS0308</v>
      </c>
      <c r="B26" s="40" t="s">
        <v>268</v>
      </c>
      <c r="C26" s="335" t="s">
        <v>269</v>
      </c>
      <c r="D26" s="335" t="s">
        <v>284</v>
      </c>
      <c r="E26" s="34" t="s">
        <v>285</v>
      </c>
      <c r="F26" s="34"/>
      <c r="G26" s="34"/>
      <c r="I26" s="97">
        <v>197163.28953397274</v>
      </c>
      <c r="J26" s="97"/>
      <c r="K26" s="400">
        <v>4</v>
      </c>
      <c r="L26" s="319">
        <v>4</v>
      </c>
      <c r="M26" s="319">
        <v>4</v>
      </c>
      <c r="N26" s="319">
        <v>4</v>
      </c>
      <c r="O26" s="319">
        <v>3.6666666666666665</v>
      </c>
      <c r="P26" s="319">
        <v>4</v>
      </c>
      <c r="Q26" s="35">
        <v>4</v>
      </c>
      <c r="R26" s="319">
        <v>4</v>
      </c>
      <c r="S26" s="319"/>
      <c r="T26" s="319"/>
      <c r="U26" s="319"/>
      <c r="V26" s="319"/>
      <c r="W26" s="346" t="str">
        <f>IF(COUNTIF(tblSeverityAnalysis[[#This Row],[CCCM]:[WASH]], 1)=0, "", COUNTIF(tblSeverityAnalysis[[#This Row],[CCCM]:[WASH]], 1))</f>
        <v/>
      </c>
      <c r="X26" s="347" t="str">
        <f>IF(COUNTIF(tblSeverityAnalysis[[#This Row],[CCCM]:[WASH]], 2)=0, "", COUNTIF(tblSeverityAnalysis[[#This Row],[CCCM]:[WASH]], 2))</f>
        <v/>
      </c>
      <c r="Y26" s="347" t="str">
        <f>IF(COUNTIF(tblSeverityAnalysis[[#This Row],[CCCM]:[WASH]], 3)=0, "", COUNTIF(tblSeverityAnalysis[[#This Row],[CCCM]:[WASH]], 3))</f>
        <v/>
      </c>
      <c r="Z26" s="347">
        <f>IF(COUNTIF(tblSeverityAnalysis[[#This Row],[CCCM]:[WASH]], 4)=0, "", COUNTIF(tblSeverityAnalysis[[#This Row],[CCCM]:[WASH]], 4))</f>
        <v>7</v>
      </c>
      <c r="AA26" s="348" t="str">
        <f>IF(COUNTIF(tblSeverityAnalysis[[#This Row],[CCCM]:[WASH]], 5)=0, "", COUNTIF(tblSeverityAnalysis[[#This Row],[CCCM]:[WASH]], 5))</f>
        <v/>
      </c>
      <c r="AB26" s="61" cm="1">
        <f t="array" ref="AB2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6" s="42" t="str">
        <f>IFERROR(IF(INDEX(tblSeverityReference[Malnutrition Severity],MATCH(tblSeverityAnalysis[[#This Row],[ID]], tblSeverityReference[ID], 0))= "", "",INDEX(tblSeverityReference[Malnutrition Severity],MATCH(tblSeverityAnalysis[[#This Row],[ID]], tblSeverityReference[ID], 0)) ), "")</f>
        <v/>
      </c>
      <c r="AE26" s="319" t="str">
        <f>IFERROR(IF(INDEX(tblSeverityReference[Epidemic Severity],MATCH(tblSeverityAnalysis[[#This Row],[ID]], tblSeverityReference[ID], 0))= "", "",INDEX(tblSeverityReference[Epidemic Severity],MATCH(tblSeverityAnalysis[[#This Row],[ID]], tblSeverityReference[ID], 0)) ), "")</f>
        <v/>
      </c>
      <c r="AF26" s="319" t="str">
        <f>IFERROR(IF(INDEX(tblSeverityReference[Coping Strategy Severity],MATCH(tblSeverityAnalysis[[#This Row],[ID]], tblSeverityReference[ID], 0))= "", "",INDEX(tblSeverityReference[Coping Strategy Severity],MATCH(tblSeverityAnalysis[[#This Row],[ID]], tblSeverityReference[ID], 0)) ), "")</f>
        <v/>
      </c>
      <c r="AG26" s="110">
        <v>4</v>
      </c>
      <c r="AH26" s="83">
        <f>IFERROR(AVERAGE(tblSeverityAnalysis[[#This Row],[CCCM]:[WASH]]), "")</f>
        <v>3.9583333333333335</v>
      </c>
      <c r="AI26" s="27">
        <f>IF(SUM(tblSeverityAnalysis[[#This Row],[CCCM]:[WASH]])=0, "", MAX(tblSeverityAnalysis[[#This Row],[CCCM]:[WASH]]))</f>
        <v>4</v>
      </c>
      <c r="AJ26" s="349" t="str" cm="1">
        <f t="array" ref="AJ26">IFERROR(IF(tblSeverityAnalysis[[#This Row],[Highest Severity]]="", "", _xlfn.TEXTJOIN(CHAR(10), TRUE, IF(tblSeverityAnalysis[[#This Row],[CCCM]:[WASH]]=tblSeverityAnalysis[[#This Row],[Highest Severity]], tblSeverityAnalysis[[#Headers],[CCCM]:[WASH]], ""), "")), "")</f>
        <v>CCCM
Education
Nutrition
Food Security
Overarching Protection
Shelter
WASH</v>
      </c>
      <c r="AK26" s="27" cm="1">
        <f t="array" ref="AK26">IFERROR(MAX(_xlfn._xlws.FILTER(tblSeverityAnalysis[[#This Row],[CCCM]:[WASH]], tblSeverityAnalysis[[#This Row],[CCCM]:[WASH]]&lt;tblSeverityAnalysis[[#This Row],[Highest Severity]])), "")</f>
        <v>3.6666666666666665</v>
      </c>
      <c r="AL26" s="329" t="str" cm="1">
        <f t="array" ref="AL26">IFERROR(IF(tblSeverityAnalysis[[#This Row],[2nd Highest Severity]]="", "", _xlfn.TEXTJOIN(CHAR(10), TRUE, IF(tblSeverityAnalysis[[#This Row],[CCCM]:[WASH]]=tblSeverityAnalysis[[#This Row],[2nd Highest Severity]], tblSeverityAnalysis[[#Headers],[CCCM]:[WASH]], ""), "")), "")</f>
        <v>Health</v>
      </c>
      <c r="AM26" s="135" t="str">
        <f>IFERROR(IF(AND(tblSeverityAnalysis[[#This Row],[5]] &lt;&gt; "", tblSeverityAnalysis[[#This Row],[5]]&gt;=sectors_sev_5), "Flagged", ""), "")</f>
        <v/>
      </c>
      <c r="AN26" s="136" t="str">
        <f>IFERROR(IF(AND(tblSeverityAnalysis[[#This Row],[Preliminary Intersectoral Severity based on overlap of sectoral deprivations]]=4, SUM(tblSeverityAnalysis[[#This Row],[ 4 ]:[5]])&gt;=sectors_sev_4), "Flagged", ""), "")</f>
        <v>Flagged</v>
      </c>
      <c r="AO26" s="136" t="str" cm="1">
        <f t="array" ref="AO2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6" s="351"/>
      <c r="AR26" s="352"/>
      <c r="AS26" s="351"/>
      <c r="AT26" s="353">
        <f>COUNTIF(tblSeverityAnalysis[[#This Row],[1 sector in severity phase 5 '[modify the threshold']]:[Manual Flag]], "Flagged")</f>
        <v>1</v>
      </c>
      <c r="AU26" s="354">
        <f>tblSeverityAnalysis[[#This Row],[Preliminary Intersectoral Severity based on overlap of sectoral deprivations]]</f>
        <v>4</v>
      </c>
      <c r="AV26" s="63">
        <v>4</v>
      </c>
      <c r="AW26" s="432">
        <v>1</v>
      </c>
      <c r="AZ26" t="b">
        <f>tblSeverityAnalysis[[#This Row],[Preliminary Intersectoral Severity based on overlap of sectoral deprivations]]=tblSeverityAnalysis[[#This Row],[Final Severity]]</f>
        <v>1</v>
      </c>
    </row>
    <row r="27" spans="1:52" ht="14.5" hidden="1" customHeight="1" x14ac:dyDescent="0.55000000000000004">
      <c r="A2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SS0309</v>
      </c>
      <c r="B27" s="40" t="s">
        <v>268</v>
      </c>
      <c r="C27" s="335" t="s">
        <v>269</v>
      </c>
      <c r="D27" s="335" t="s">
        <v>286</v>
      </c>
      <c r="E27" s="34" t="s">
        <v>287</v>
      </c>
      <c r="F27" s="34"/>
      <c r="G27" s="34"/>
      <c r="I27" s="97">
        <v>69056.632803131433</v>
      </c>
      <c r="J27" s="97"/>
      <c r="K27" s="400">
        <v>2</v>
      </c>
      <c r="L27" s="319">
        <v>3</v>
      </c>
      <c r="M27" s="319">
        <v>2</v>
      </c>
      <c r="N27" s="319">
        <v>3</v>
      </c>
      <c r="O27" s="319">
        <v>3.6666666666666665</v>
      </c>
      <c r="P27" s="319">
        <v>4</v>
      </c>
      <c r="Q27" s="35">
        <v>3</v>
      </c>
      <c r="R27" s="319">
        <v>2</v>
      </c>
      <c r="S27" s="319"/>
      <c r="T27" s="319"/>
      <c r="U27" s="319"/>
      <c r="V27" s="319"/>
      <c r="W27" s="346" t="str">
        <f>IF(COUNTIF(tblSeverityAnalysis[[#This Row],[CCCM]:[WASH]], 1)=0, "", COUNTIF(tblSeverityAnalysis[[#This Row],[CCCM]:[WASH]], 1))</f>
        <v/>
      </c>
      <c r="X27" s="347">
        <f>IF(COUNTIF(tblSeverityAnalysis[[#This Row],[CCCM]:[WASH]], 2)=0, "", COUNTIF(tblSeverityAnalysis[[#This Row],[CCCM]:[WASH]], 2))</f>
        <v>3</v>
      </c>
      <c r="Y27" s="347">
        <f>IF(COUNTIF(tblSeverityAnalysis[[#This Row],[CCCM]:[WASH]], 3)=0, "", COUNTIF(tblSeverityAnalysis[[#This Row],[CCCM]:[WASH]], 3))</f>
        <v>3</v>
      </c>
      <c r="Z27" s="347">
        <f>IF(COUNTIF(tblSeverityAnalysis[[#This Row],[CCCM]:[WASH]], 4)=0, "", COUNTIF(tblSeverityAnalysis[[#This Row],[CCCM]:[WASH]], 4))</f>
        <v>1</v>
      </c>
      <c r="AA27" s="348" t="str">
        <f>IF(COUNTIF(tblSeverityAnalysis[[#This Row],[CCCM]:[WASH]], 5)=0, "", COUNTIF(tblSeverityAnalysis[[#This Row],[CCCM]:[WASH]], 5))</f>
        <v/>
      </c>
      <c r="AB27" s="61" cm="1">
        <f t="array" ref="AB2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7" s="42" t="str">
        <f>IFERROR(IF(INDEX(tblSeverityReference[Malnutrition Severity],MATCH(tblSeverityAnalysis[[#This Row],[ID]], tblSeverityReference[ID], 0))= "", "",INDEX(tblSeverityReference[Malnutrition Severity],MATCH(tblSeverityAnalysis[[#This Row],[ID]], tblSeverityReference[ID], 0)) ), "")</f>
        <v/>
      </c>
      <c r="AE27" s="319" t="str">
        <f>IFERROR(IF(INDEX(tblSeverityReference[Epidemic Severity],MATCH(tblSeverityAnalysis[[#This Row],[ID]], tblSeverityReference[ID], 0))= "", "",INDEX(tblSeverityReference[Epidemic Severity],MATCH(tblSeverityAnalysis[[#This Row],[ID]], tblSeverityReference[ID], 0)) ), "")</f>
        <v/>
      </c>
      <c r="AF27" s="319" t="str">
        <f>IFERROR(IF(INDEX(tblSeverityReference[Coping Strategy Severity],MATCH(tblSeverityAnalysis[[#This Row],[ID]], tblSeverityReference[ID], 0))= "", "",INDEX(tblSeverityReference[Coping Strategy Severity],MATCH(tblSeverityAnalysis[[#This Row],[ID]], tblSeverityReference[ID], 0)) ), "")</f>
        <v/>
      </c>
      <c r="AG27" s="110">
        <v>4</v>
      </c>
      <c r="AH27" s="83">
        <f>IFERROR(AVERAGE(tblSeverityAnalysis[[#This Row],[CCCM]:[WASH]]), "")</f>
        <v>2.833333333333333</v>
      </c>
      <c r="AI27" s="27">
        <f>IF(SUM(tblSeverityAnalysis[[#This Row],[CCCM]:[WASH]])=0, "", MAX(tblSeverityAnalysis[[#This Row],[CCCM]:[WASH]]))</f>
        <v>4</v>
      </c>
      <c r="AJ27" s="349" t="str" cm="1">
        <f t="array" ref="AJ27">IFERROR(IF(tblSeverityAnalysis[[#This Row],[Highest Severity]]="", "", _xlfn.TEXTJOIN(CHAR(10), TRUE, IF(tblSeverityAnalysis[[#This Row],[CCCM]:[WASH]]=tblSeverityAnalysis[[#This Row],[Highest Severity]], tblSeverityAnalysis[[#Headers],[CCCM]:[WASH]], ""), "")), "")</f>
        <v>Overarching Protection</v>
      </c>
      <c r="AK27" s="27" cm="1">
        <f t="array" ref="AK27">IFERROR(MAX(_xlfn._xlws.FILTER(tblSeverityAnalysis[[#This Row],[CCCM]:[WASH]], tblSeverityAnalysis[[#This Row],[CCCM]:[WASH]]&lt;tblSeverityAnalysis[[#This Row],[Highest Severity]])), "")</f>
        <v>3.6666666666666665</v>
      </c>
      <c r="AL27" s="329" t="str" cm="1">
        <f t="array" ref="AL27">IFERROR(IF(tblSeverityAnalysis[[#This Row],[2nd Highest Severity]]="", "", _xlfn.TEXTJOIN(CHAR(10), TRUE, IF(tblSeverityAnalysis[[#This Row],[CCCM]:[WASH]]=tblSeverityAnalysis[[#This Row],[2nd Highest Severity]], tblSeverityAnalysis[[#Headers],[CCCM]:[WASH]], ""), "")), "")</f>
        <v>Health</v>
      </c>
      <c r="AM27" s="135" t="str">
        <f>IFERROR(IF(AND(tblSeverityAnalysis[[#This Row],[5]] &lt;&gt; "", tblSeverityAnalysis[[#This Row],[5]]&gt;=sectors_sev_5), "Flagged", ""), "")</f>
        <v/>
      </c>
      <c r="AN27" s="136" t="str">
        <f>IFERROR(IF(AND(tblSeverityAnalysis[[#This Row],[Preliminary Intersectoral Severity based on overlap of sectoral deprivations]]=4, SUM(tblSeverityAnalysis[[#This Row],[ 4 ]:[5]])&gt;=sectors_sev_4), "Flagged", ""), "")</f>
        <v/>
      </c>
      <c r="AO27" s="136" t="str" cm="1">
        <f t="array" ref="AO2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7" s="351"/>
      <c r="AR27" s="352"/>
      <c r="AS27" s="351"/>
      <c r="AT27" s="353">
        <f>COUNTIF(tblSeverityAnalysis[[#This Row],[1 sector in severity phase 5 '[modify the threshold']]:[Manual Flag]], "Flagged")</f>
        <v>0</v>
      </c>
      <c r="AU27" s="354">
        <f>tblSeverityAnalysis[[#This Row],[Preliminary Intersectoral Severity based on overlap of sectoral deprivations]]</f>
        <v>3</v>
      </c>
      <c r="AV27" s="63">
        <v>3</v>
      </c>
      <c r="AW27" s="432">
        <v>3</v>
      </c>
      <c r="AZ27" t="b">
        <f>tblSeverityAnalysis[[#This Row],[Preliminary Intersectoral Severity based on overlap of sectoral deprivations]]=tblSeverityAnalysis[[#This Row],[Final Severity]]</f>
        <v>1</v>
      </c>
    </row>
    <row r="28" spans="1:52" ht="14.5" hidden="1" customHeight="1" x14ac:dyDescent="0.55000000000000004">
      <c r="A2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SS0310</v>
      </c>
      <c r="B28" s="40" t="s">
        <v>268</v>
      </c>
      <c r="C28" s="335" t="s">
        <v>269</v>
      </c>
      <c r="D28" s="335" t="s">
        <v>288</v>
      </c>
      <c r="E28" s="34" t="s">
        <v>289</v>
      </c>
      <c r="F28" s="34"/>
      <c r="G28" s="34"/>
      <c r="I28" s="97">
        <v>108577.02636816021</v>
      </c>
      <c r="J28" s="97"/>
      <c r="K28" s="400">
        <v>2</v>
      </c>
      <c r="L28" s="319">
        <v>4</v>
      </c>
      <c r="M28" s="319">
        <v>3</v>
      </c>
      <c r="N28" s="319">
        <v>4</v>
      </c>
      <c r="O28" s="319">
        <v>4</v>
      </c>
      <c r="P28" s="319">
        <v>4</v>
      </c>
      <c r="Q28" s="35">
        <v>3</v>
      </c>
      <c r="R28" s="319">
        <v>4</v>
      </c>
      <c r="S28" s="319"/>
      <c r="T28" s="319"/>
      <c r="U28" s="319"/>
      <c r="V28" s="319"/>
      <c r="W28" s="346" t="str">
        <f>IF(COUNTIF(tblSeverityAnalysis[[#This Row],[CCCM]:[WASH]], 1)=0, "", COUNTIF(tblSeverityAnalysis[[#This Row],[CCCM]:[WASH]], 1))</f>
        <v/>
      </c>
      <c r="X28" s="347">
        <f>IF(COUNTIF(tblSeverityAnalysis[[#This Row],[CCCM]:[WASH]], 2)=0, "", COUNTIF(tblSeverityAnalysis[[#This Row],[CCCM]:[WASH]], 2))</f>
        <v>1</v>
      </c>
      <c r="Y28" s="347">
        <f>IF(COUNTIF(tblSeverityAnalysis[[#This Row],[CCCM]:[WASH]], 3)=0, "", COUNTIF(tblSeverityAnalysis[[#This Row],[CCCM]:[WASH]], 3))</f>
        <v>2</v>
      </c>
      <c r="Z28" s="347">
        <f>IF(COUNTIF(tblSeverityAnalysis[[#This Row],[CCCM]:[WASH]], 4)=0, "", COUNTIF(tblSeverityAnalysis[[#This Row],[CCCM]:[WASH]], 4))</f>
        <v>5</v>
      </c>
      <c r="AA28" s="348" t="str">
        <f>IF(COUNTIF(tblSeverityAnalysis[[#This Row],[CCCM]:[WASH]], 5)=0, "", COUNTIF(tblSeverityAnalysis[[#This Row],[CCCM]:[WASH]], 5))</f>
        <v/>
      </c>
      <c r="AB28" s="61" cm="1">
        <f t="array" ref="AB2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8" s="42" t="str">
        <f>IFERROR(IF(INDEX(tblSeverityReference[Malnutrition Severity],MATCH(tblSeverityAnalysis[[#This Row],[ID]], tblSeverityReference[ID], 0))= "", "",INDEX(tblSeverityReference[Malnutrition Severity],MATCH(tblSeverityAnalysis[[#This Row],[ID]], tblSeverityReference[ID], 0)) ), "")</f>
        <v/>
      </c>
      <c r="AE28" s="319" t="str">
        <f>IFERROR(IF(INDEX(tblSeverityReference[Epidemic Severity],MATCH(tblSeverityAnalysis[[#This Row],[ID]], tblSeverityReference[ID], 0))= "", "",INDEX(tblSeverityReference[Epidemic Severity],MATCH(tblSeverityAnalysis[[#This Row],[ID]], tblSeverityReference[ID], 0)) ), "")</f>
        <v/>
      </c>
      <c r="AF28" s="319" t="str">
        <f>IFERROR(IF(INDEX(tblSeverityReference[Coping Strategy Severity],MATCH(tblSeverityAnalysis[[#This Row],[ID]], tblSeverityReference[ID], 0))= "", "",INDEX(tblSeverityReference[Coping Strategy Severity],MATCH(tblSeverityAnalysis[[#This Row],[ID]], tblSeverityReference[ID], 0)) ), "")</f>
        <v/>
      </c>
      <c r="AG28" s="110">
        <v>4</v>
      </c>
      <c r="AH28" s="83">
        <f>IFERROR(AVERAGE(tblSeverityAnalysis[[#This Row],[CCCM]:[WASH]]), "")</f>
        <v>3.5</v>
      </c>
      <c r="AI28" s="27">
        <f>IF(SUM(tblSeverityAnalysis[[#This Row],[CCCM]:[WASH]])=0, "", MAX(tblSeverityAnalysis[[#This Row],[CCCM]:[WASH]]))</f>
        <v>4</v>
      </c>
      <c r="AJ28" s="349" t="str" cm="1">
        <f t="array" ref="AJ28">IFERROR(IF(tblSeverityAnalysis[[#This Row],[Highest Severity]]="", "", _xlfn.TEXTJOIN(CHAR(10), TRUE, IF(tblSeverityAnalysis[[#This Row],[CCCM]:[WASH]]=tblSeverityAnalysis[[#This Row],[Highest Severity]], tblSeverityAnalysis[[#Headers],[CCCM]:[WASH]], ""), "")), "")</f>
        <v>Education
Food Security
Health
Overarching Protection
WASH</v>
      </c>
      <c r="AK28" s="27" cm="1">
        <f t="array" ref="AK28">IFERROR(MAX(_xlfn._xlws.FILTER(tblSeverityAnalysis[[#This Row],[CCCM]:[WASH]], tblSeverityAnalysis[[#This Row],[CCCM]:[WASH]]&lt;tblSeverityAnalysis[[#This Row],[Highest Severity]])), "")</f>
        <v>3</v>
      </c>
      <c r="AL28" s="329" t="str" cm="1">
        <f t="array" ref="AL28">IFERROR(IF(tblSeverityAnalysis[[#This Row],[2nd Highest Severity]]="", "", _xlfn.TEXTJOIN(CHAR(10), TRUE, IF(tblSeverityAnalysis[[#This Row],[CCCM]:[WASH]]=tblSeverityAnalysis[[#This Row],[2nd Highest Severity]], tblSeverityAnalysis[[#Headers],[CCCM]:[WASH]], ""), "")), "")</f>
        <v>Nutrition
Shelter</v>
      </c>
      <c r="AM28" s="135" t="str">
        <f>IFERROR(IF(AND(tblSeverityAnalysis[[#This Row],[5]] &lt;&gt; "", tblSeverityAnalysis[[#This Row],[5]]&gt;=sectors_sev_5), "Flagged", ""), "")</f>
        <v/>
      </c>
      <c r="AN28" s="136" t="str">
        <f>IFERROR(IF(AND(tblSeverityAnalysis[[#This Row],[Preliminary Intersectoral Severity based on overlap of sectoral deprivations]]=4, SUM(tblSeverityAnalysis[[#This Row],[ 4 ]:[5]])&gt;=sectors_sev_4), "Flagged", ""), "")</f>
        <v>Flagged</v>
      </c>
      <c r="AO28" s="136" t="str" cm="1">
        <f t="array" ref="AO2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8" s="351"/>
      <c r="AR28" s="352"/>
      <c r="AS28" s="351"/>
      <c r="AT28" s="353">
        <f>COUNTIF(tblSeverityAnalysis[[#This Row],[1 sector in severity phase 5 '[modify the threshold']]:[Manual Flag]], "Flagged")</f>
        <v>1</v>
      </c>
      <c r="AU28" s="354">
        <f>tblSeverityAnalysis[[#This Row],[Preliminary Intersectoral Severity based on overlap of sectoral deprivations]]</f>
        <v>4</v>
      </c>
      <c r="AV28" s="63">
        <v>4</v>
      </c>
      <c r="AW28" s="432">
        <v>2</v>
      </c>
      <c r="AZ28" t="b">
        <f>tblSeverityAnalysis[[#This Row],[Preliminary Intersectoral Severity based on overlap of sectoral deprivations]]=tblSeverityAnalysis[[#This Row],[Final Severity]]</f>
        <v>1</v>
      </c>
    </row>
    <row r="29" spans="1:52" ht="14.5" hidden="1" customHeight="1" x14ac:dyDescent="0.55000000000000004">
      <c r="A2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SS0311</v>
      </c>
      <c r="B29" s="40" t="s">
        <v>268</v>
      </c>
      <c r="C29" s="335" t="s">
        <v>269</v>
      </c>
      <c r="D29" s="335" t="s">
        <v>290</v>
      </c>
      <c r="E29" s="34" t="s">
        <v>291</v>
      </c>
      <c r="F29" s="34"/>
      <c r="G29" s="34"/>
      <c r="I29" s="97">
        <v>166178.16656845721</v>
      </c>
      <c r="J29" s="97"/>
      <c r="K29" s="400">
        <v>3</v>
      </c>
      <c r="L29" s="319">
        <v>3</v>
      </c>
      <c r="M29" s="319">
        <v>4</v>
      </c>
      <c r="N29" s="319">
        <v>4</v>
      </c>
      <c r="O29" s="319">
        <v>3.3333333333333335</v>
      </c>
      <c r="P29" s="319">
        <v>4</v>
      </c>
      <c r="Q29" s="35">
        <v>3</v>
      </c>
      <c r="R29" s="319">
        <v>4</v>
      </c>
      <c r="S29" s="319"/>
      <c r="T29" s="319"/>
      <c r="U29" s="319"/>
      <c r="V29" s="319"/>
      <c r="W29" s="346" t="str">
        <f>IF(COUNTIF(tblSeverityAnalysis[[#This Row],[CCCM]:[WASH]], 1)=0, "", COUNTIF(tblSeverityAnalysis[[#This Row],[CCCM]:[WASH]], 1))</f>
        <v/>
      </c>
      <c r="X29" s="347" t="str">
        <f>IF(COUNTIF(tblSeverityAnalysis[[#This Row],[CCCM]:[WASH]], 2)=0, "", COUNTIF(tblSeverityAnalysis[[#This Row],[CCCM]:[WASH]], 2))</f>
        <v/>
      </c>
      <c r="Y29" s="347">
        <f>IF(COUNTIF(tblSeverityAnalysis[[#This Row],[CCCM]:[WASH]], 3)=0, "", COUNTIF(tblSeverityAnalysis[[#This Row],[CCCM]:[WASH]], 3))</f>
        <v>3</v>
      </c>
      <c r="Z29" s="347">
        <f>IF(COUNTIF(tblSeverityAnalysis[[#This Row],[CCCM]:[WASH]], 4)=0, "", COUNTIF(tblSeverityAnalysis[[#This Row],[CCCM]:[WASH]], 4))</f>
        <v>4</v>
      </c>
      <c r="AA29" s="348" t="str">
        <f>IF(COUNTIF(tblSeverityAnalysis[[#This Row],[CCCM]:[WASH]], 5)=0, "", COUNTIF(tblSeverityAnalysis[[#This Row],[CCCM]:[WASH]], 5))</f>
        <v/>
      </c>
      <c r="AB29" s="61" cm="1">
        <f t="array" ref="AB2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2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29" s="42" t="str">
        <f>IFERROR(IF(INDEX(tblSeverityReference[Malnutrition Severity],MATCH(tblSeverityAnalysis[[#This Row],[ID]], tblSeverityReference[ID], 0))= "", "",INDEX(tblSeverityReference[Malnutrition Severity],MATCH(tblSeverityAnalysis[[#This Row],[ID]], tblSeverityReference[ID], 0)) ), "")</f>
        <v/>
      </c>
      <c r="AE29" s="319" t="str">
        <f>IFERROR(IF(INDEX(tblSeverityReference[Epidemic Severity],MATCH(tblSeverityAnalysis[[#This Row],[ID]], tblSeverityReference[ID], 0))= "", "",INDEX(tblSeverityReference[Epidemic Severity],MATCH(tblSeverityAnalysis[[#This Row],[ID]], tblSeverityReference[ID], 0)) ), "")</f>
        <v/>
      </c>
      <c r="AF29" s="319" t="str">
        <f>IFERROR(IF(INDEX(tblSeverityReference[Coping Strategy Severity],MATCH(tblSeverityAnalysis[[#This Row],[ID]], tblSeverityReference[ID], 0))= "", "",INDEX(tblSeverityReference[Coping Strategy Severity],MATCH(tblSeverityAnalysis[[#This Row],[ID]], tblSeverityReference[ID], 0)) ), "")</f>
        <v/>
      </c>
      <c r="AG29" s="110">
        <v>4</v>
      </c>
      <c r="AH29" s="83">
        <f>IFERROR(AVERAGE(tblSeverityAnalysis[[#This Row],[CCCM]:[WASH]]), "")</f>
        <v>3.5416666666666665</v>
      </c>
      <c r="AI29" s="27">
        <f>IF(SUM(tblSeverityAnalysis[[#This Row],[CCCM]:[WASH]])=0, "", MAX(tblSeverityAnalysis[[#This Row],[CCCM]:[WASH]]))</f>
        <v>4</v>
      </c>
      <c r="AJ29" s="349" t="str" cm="1">
        <f t="array" ref="AJ29">IFERROR(IF(tblSeverityAnalysis[[#This Row],[Highest Severity]]="", "", _xlfn.TEXTJOIN(CHAR(10), TRUE, IF(tblSeverityAnalysis[[#This Row],[CCCM]:[WASH]]=tblSeverityAnalysis[[#This Row],[Highest Severity]], tblSeverityAnalysis[[#Headers],[CCCM]:[WASH]], ""), "")), "")</f>
        <v>Nutrition
Food Security
Overarching Protection
WASH</v>
      </c>
      <c r="AK29" s="27" cm="1">
        <f t="array" ref="AK29">IFERROR(MAX(_xlfn._xlws.FILTER(tblSeverityAnalysis[[#This Row],[CCCM]:[WASH]], tblSeverityAnalysis[[#This Row],[CCCM]:[WASH]]&lt;tblSeverityAnalysis[[#This Row],[Highest Severity]])), "")</f>
        <v>3.3333333333333335</v>
      </c>
      <c r="AL29" s="329" t="str" cm="1">
        <f t="array" ref="AL29">IFERROR(IF(tblSeverityAnalysis[[#This Row],[2nd Highest Severity]]="", "", _xlfn.TEXTJOIN(CHAR(10), TRUE, IF(tblSeverityAnalysis[[#This Row],[CCCM]:[WASH]]=tblSeverityAnalysis[[#This Row],[2nd Highest Severity]], tblSeverityAnalysis[[#Headers],[CCCM]:[WASH]], ""), "")), "")</f>
        <v>Health</v>
      </c>
      <c r="AM29" s="135" t="str">
        <f>IFERROR(IF(AND(tblSeverityAnalysis[[#This Row],[5]] &lt;&gt; "", tblSeverityAnalysis[[#This Row],[5]]&gt;=sectors_sev_5), "Flagged", ""), "")</f>
        <v/>
      </c>
      <c r="AN29" s="136" t="str">
        <f>IFERROR(IF(AND(tblSeverityAnalysis[[#This Row],[Preliminary Intersectoral Severity based on overlap of sectoral deprivations]]=4, SUM(tblSeverityAnalysis[[#This Row],[ 4 ]:[5]])&gt;=sectors_sev_4), "Flagged", ""), "")</f>
        <v/>
      </c>
      <c r="AO29" s="136" t="str" cm="1">
        <f t="array" ref="AO2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9" s="351"/>
      <c r="AR29" s="352"/>
      <c r="AS29" s="351"/>
      <c r="AT29" s="353">
        <f>COUNTIF(tblSeverityAnalysis[[#This Row],[1 sector in severity phase 5 '[modify the threshold']]:[Manual Flag]], "Flagged")</f>
        <v>0</v>
      </c>
      <c r="AU29" s="354">
        <f>tblSeverityAnalysis[[#This Row],[Preliminary Intersectoral Severity based on overlap of sectoral deprivations]]</f>
        <v>4</v>
      </c>
      <c r="AV29" s="63">
        <v>4</v>
      </c>
      <c r="AW29" s="432">
        <v>2</v>
      </c>
      <c r="AZ29" t="b">
        <f>tblSeverityAnalysis[[#This Row],[Preliminary Intersectoral Severity based on overlap of sectoral deprivations]]=tblSeverityAnalysis[[#This Row],[Final Severity]]</f>
        <v>1</v>
      </c>
    </row>
    <row r="30" spans="1:52" ht="14.5" hidden="1" customHeight="1" x14ac:dyDescent="0.55000000000000004">
      <c r="A3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SS0401</v>
      </c>
      <c r="B30" s="40" t="s">
        <v>292</v>
      </c>
      <c r="C30" s="335" t="s">
        <v>293</v>
      </c>
      <c r="D30" s="335" t="s">
        <v>294</v>
      </c>
      <c r="E30" s="34" t="s">
        <v>295</v>
      </c>
      <c r="F30" s="34"/>
      <c r="G30" s="34"/>
      <c r="I30" s="97">
        <v>125659.24291156935</v>
      </c>
      <c r="J30" s="97"/>
      <c r="K30" s="400">
        <v>3</v>
      </c>
      <c r="L30" s="319">
        <v>3</v>
      </c>
      <c r="M30" s="319">
        <v>4</v>
      </c>
      <c r="N30" s="319">
        <v>4</v>
      </c>
      <c r="O30" s="319">
        <v>3.3333333333333335</v>
      </c>
      <c r="P30" s="319">
        <v>3</v>
      </c>
      <c r="Q30" s="35">
        <v>3</v>
      </c>
      <c r="R30" s="319">
        <v>4</v>
      </c>
      <c r="S30" s="319"/>
      <c r="T30" s="319"/>
      <c r="U30" s="319"/>
      <c r="V30" s="319"/>
      <c r="W30" s="346" t="str">
        <f>IF(COUNTIF(tblSeverityAnalysis[[#This Row],[CCCM]:[WASH]], 1)=0, "", COUNTIF(tblSeverityAnalysis[[#This Row],[CCCM]:[WASH]], 1))</f>
        <v/>
      </c>
      <c r="X30" s="347" t="str">
        <f>IF(COUNTIF(tblSeverityAnalysis[[#This Row],[CCCM]:[WASH]], 2)=0, "", COUNTIF(tblSeverityAnalysis[[#This Row],[CCCM]:[WASH]], 2))</f>
        <v/>
      </c>
      <c r="Y30" s="347">
        <f>IF(COUNTIF(tblSeverityAnalysis[[#This Row],[CCCM]:[WASH]], 3)=0, "", COUNTIF(tblSeverityAnalysis[[#This Row],[CCCM]:[WASH]], 3))</f>
        <v>4</v>
      </c>
      <c r="Z30" s="347">
        <f>IF(COUNTIF(tblSeverityAnalysis[[#This Row],[CCCM]:[WASH]], 4)=0, "", COUNTIF(tblSeverityAnalysis[[#This Row],[CCCM]:[WASH]], 4))</f>
        <v>3</v>
      </c>
      <c r="AA30" s="348" t="str">
        <f>IF(COUNTIF(tblSeverityAnalysis[[#This Row],[CCCM]:[WASH]], 5)=0, "", COUNTIF(tblSeverityAnalysis[[#This Row],[CCCM]:[WASH]], 5))</f>
        <v/>
      </c>
      <c r="AB30" s="61" cm="1">
        <f t="array" ref="AB3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0" s="42" t="str">
        <f>IFERROR(IF(INDEX(tblSeverityReference[Malnutrition Severity],MATCH(tblSeverityAnalysis[[#This Row],[ID]], tblSeverityReference[ID], 0))= "", "",INDEX(tblSeverityReference[Malnutrition Severity],MATCH(tblSeverityAnalysis[[#This Row],[ID]], tblSeverityReference[ID], 0)) ), "")</f>
        <v/>
      </c>
      <c r="AE30" s="319" t="str">
        <f>IFERROR(IF(INDEX(tblSeverityReference[Epidemic Severity],MATCH(tblSeverityAnalysis[[#This Row],[ID]], tblSeverityReference[ID], 0))= "", "",INDEX(tblSeverityReference[Epidemic Severity],MATCH(tblSeverityAnalysis[[#This Row],[ID]], tblSeverityReference[ID], 0)) ), "")</f>
        <v/>
      </c>
      <c r="AF30" s="319" t="str">
        <f>IFERROR(IF(INDEX(tblSeverityReference[Coping Strategy Severity],MATCH(tblSeverityAnalysis[[#This Row],[ID]], tblSeverityReference[ID], 0))= "", "",INDEX(tblSeverityReference[Coping Strategy Severity],MATCH(tblSeverityAnalysis[[#This Row],[ID]], tblSeverityReference[ID], 0)) ), "")</f>
        <v/>
      </c>
      <c r="AG30" s="110">
        <v>3</v>
      </c>
      <c r="AH30" s="83">
        <f>IFERROR(AVERAGE(tblSeverityAnalysis[[#This Row],[CCCM]:[WASH]]), "")</f>
        <v>3.4166666666666665</v>
      </c>
      <c r="AI30" s="27">
        <f>IF(SUM(tblSeverityAnalysis[[#This Row],[CCCM]:[WASH]])=0, "", MAX(tblSeverityAnalysis[[#This Row],[CCCM]:[WASH]]))</f>
        <v>4</v>
      </c>
      <c r="AJ30" s="349" t="str" cm="1">
        <f t="array" ref="AJ30">IFERROR(IF(tblSeverityAnalysis[[#This Row],[Highest Severity]]="", "", _xlfn.TEXTJOIN(CHAR(10), TRUE, IF(tblSeverityAnalysis[[#This Row],[CCCM]:[WASH]]=tblSeverityAnalysis[[#This Row],[Highest Severity]], tblSeverityAnalysis[[#Headers],[CCCM]:[WASH]], ""), "")), "")</f>
        <v>Nutrition
Food Security
WASH</v>
      </c>
      <c r="AK30" s="27" cm="1">
        <f t="array" ref="AK30">IFERROR(MAX(_xlfn._xlws.FILTER(tblSeverityAnalysis[[#This Row],[CCCM]:[WASH]], tblSeverityAnalysis[[#This Row],[CCCM]:[WASH]]&lt;tblSeverityAnalysis[[#This Row],[Highest Severity]])), "")</f>
        <v>3.3333333333333335</v>
      </c>
      <c r="AL30" s="329" t="str" cm="1">
        <f t="array" ref="AL30">IFERROR(IF(tblSeverityAnalysis[[#This Row],[2nd Highest Severity]]="", "", _xlfn.TEXTJOIN(CHAR(10), TRUE, IF(tblSeverityAnalysis[[#This Row],[CCCM]:[WASH]]=tblSeverityAnalysis[[#This Row],[2nd Highest Severity]], tblSeverityAnalysis[[#Headers],[CCCM]:[WASH]], ""), "")), "")</f>
        <v>Health</v>
      </c>
      <c r="AM30" s="135" t="str">
        <f>IFERROR(IF(AND(tblSeverityAnalysis[[#This Row],[5]] &lt;&gt; "", tblSeverityAnalysis[[#This Row],[5]]&gt;=sectors_sev_5), "Flagged", ""), "")</f>
        <v/>
      </c>
      <c r="AN30" s="136" t="str">
        <f>IFERROR(IF(AND(tblSeverityAnalysis[[#This Row],[Preliminary Intersectoral Severity based on overlap of sectoral deprivations]]=4, SUM(tblSeverityAnalysis[[#This Row],[ 4 ]:[5]])&gt;=sectors_sev_4), "Flagged", ""), "")</f>
        <v/>
      </c>
      <c r="AO30" s="136" t="str" cm="1">
        <f t="array" ref="AO3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0" s="351"/>
      <c r="AR30" s="352"/>
      <c r="AS30" s="351"/>
      <c r="AT30" s="353">
        <f>COUNTIF(tblSeverityAnalysis[[#This Row],[1 sector in severity phase 5 '[modify the threshold']]:[Manual Flag]], "Flagged")</f>
        <v>0</v>
      </c>
      <c r="AU30" s="354">
        <f>tblSeverityAnalysis[[#This Row],[Preliminary Intersectoral Severity based on overlap of sectoral deprivations]]</f>
        <v>3</v>
      </c>
      <c r="AV30" s="63">
        <v>3</v>
      </c>
      <c r="AW30" s="432">
        <v>3</v>
      </c>
      <c r="AZ30" t="b">
        <f>tblSeverityAnalysis[[#This Row],[Preliminary Intersectoral Severity based on overlap of sectoral deprivations]]=tblSeverityAnalysis[[#This Row],[Final Severity]]</f>
        <v>1</v>
      </c>
    </row>
    <row r="31" spans="1:52" ht="14.5" hidden="1" customHeight="1" x14ac:dyDescent="0.55000000000000004">
      <c r="A3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SS0402</v>
      </c>
      <c r="B31" s="40" t="s">
        <v>292</v>
      </c>
      <c r="C31" s="335" t="s">
        <v>293</v>
      </c>
      <c r="D31" s="335" t="s">
        <v>296</v>
      </c>
      <c r="E31" s="34" t="s">
        <v>297</v>
      </c>
      <c r="F31" s="34"/>
      <c r="G31" s="34"/>
      <c r="I31" s="97">
        <v>150484.72384896225</v>
      </c>
      <c r="J31" s="97"/>
      <c r="K31" s="400">
        <v>2</v>
      </c>
      <c r="L31" s="319">
        <v>3</v>
      </c>
      <c r="M31" s="319">
        <v>2</v>
      </c>
      <c r="N31" s="319">
        <v>3</v>
      </c>
      <c r="O31" s="319">
        <v>3</v>
      </c>
      <c r="P31" s="319">
        <v>3</v>
      </c>
      <c r="Q31" s="35">
        <v>2</v>
      </c>
      <c r="R31" s="319">
        <v>3</v>
      </c>
      <c r="S31" s="319"/>
      <c r="T31" s="319"/>
      <c r="U31" s="319"/>
      <c r="V31" s="319"/>
      <c r="W31" s="346" t="str">
        <f>IF(COUNTIF(tblSeverityAnalysis[[#This Row],[CCCM]:[WASH]], 1)=0, "", COUNTIF(tblSeverityAnalysis[[#This Row],[CCCM]:[WASH]], 1))</f>
        <v/>
      </c>
      <c r="X31" s="347">
        <f>IF(COUNTIF(tblSeverityAnalysis[[#This Row],[CCCM]:[WASH]], 2)=0, "", COUNTIF(tblSeverityAnalysis[[#This Row],[CCCM]:[WASH]], 2))</f>
        <v>3</v>
      </c>
      <c r="Y31" s="347">
        <f>IF(COUNTIF(tblSeverityAnalysis[[#This Row],[CCCM]:[WASH]], 3)=0, "", COUNTIF(tblSeverityAnalysis[[#This Row],[CCCM]:[WASH]], 3))</f>
        <v>5</v>
      </c>
      <c r="Z31" s="347" t="str">
        <f>IF(COUNTIF(tblSeverityAnalysis[[#This Row],[CCCM]:[WASH]], 4)=0, "", COUNTIF(tblSeverityAnalysis[[#This Row],[CCCM]:[WASH]], 4))</f>
        <v/>
      </c>
      <c r="AA31" s="348" t="str">
        <f>IF(COUNTIF(tblSeverityAnalysis[[#This Row],[CCCM]:[WASH]], 5)=0, "", COUNTIF(tblSeverityAnalysis[[#This Row],[CCCM]:[WASH]], 5))</f>
        <v/>
      </c>
      <c r="AB31" s="61" cm="1">
        <f t="array" ref="AB3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1" s="42" t="str">
        <f>IFERROR(IF(INDEX(tblSeverityReference[Malnutrition Severity],MATCH(tblSeverityAnalysis[[#This Row],[ID]], tblSeverityReference[ID], 0))= "", "",INDEX(tblSeverityReference[Malnutrition Severity],MATCH(tblSeverityAnalysis[[#This Row],[ID]], tblSeverityReference[ID], 0)) ), "")</f>
        <v/>
      </c>
      <c r="AE31" s="319" t="str">
        <f>IFERROR(IF(INDEX(tblSeverityReference[Epidemic Severity],MATCH(tblSeverityAnalysis[[#This Row],[ID]], tblSeverityReference[ID], 0))= "", "",INDEX(tblSeverityReference[Epidemic Severity],MATCH(tblSeverityAnalysis[[#This Row],[ID]], tblSeverityReference[ID], 0)) ), "")</f>
        <v/>
      </c>
      <c r="AF31" s="319" t="str">
        <f>IFERROR(IF(INDEX(tblSeverityReference[Coping Strategy Severity],MATCH(tblSeverityAnalysis[[#This Row],[ID]], tblSeverityReference[ID], 0))= "", "",INDEX(tblSeverityReference[Coping Strategy Severity],MATCH(tblSeverityAnalysis[[#This Row],[ID]], tblSeverityReference[ID], 0)) ), "")</f>
        <v/>
      </c>
      <c r="AG31" s="110">
        <v>3</v>
      </c>
      <c r="AH31" s="83">
        <f>IFERROR(AVERAGE(tblSeverityAnalysis[[#This Row],[CCCM]:[WASH]]), "")</f>
        <v>2.625</v>
      </c>
      <c r="AI31" s="27">
        <f>IF(SUM(tblSeverityAnalysis[[#This Row],[CCCM]:[WASH]])=0, "", MAX(tblSeverityAnalysis[[#This Row],[CCCM]:[WASH]]))</f>
        <v>3</v>
      </c>
      <c r="AJ31" s="349" t="str" cm="1">
        <f t="array" ref="AJ31">IFERROR(IF(tblSeverityAnalysis[[#This Row],[Highest Severity]]="", "", _xlfn.TEXTJOIN(CHAR(10), TRUE, IF(tblSeverityAnalysis[[#This Row],[CCCM]:[WASH]]=tblSeverityAnalysis[[#This Row],[Highest Severity]], tblSeverityAnalysis[[#Headers],[CCCM]:[WASH]], ""), "")), "")</f>
        <v>Education
Food Security
Health
Overarching Protection
WASH</v>
      </c>
      <c r="AK31" s="27" cm="1">
        <f t="array" ref="AK31">IFERROR(MAX(_xlfn._xlws.FILTER(tblSeverityAnalysis[[#This Row],[CCCM]:[WASH]], tblSeverityAnalysis[[#This Row],[CCCM]:[WASH]]&lt;tblSeverityAnalysis[[#This Row],[Highest Severity]])), "")</f>
        <v>2</v>
      </c>
      <c r="AL31" s="329" t="str" cm="1">
        <f t="array" ref="AL31">IFERROR(IF(tblSeverityAnalysis[[#This Row],[2nd Highest Severity]]="", "", _xlfn.TEXTJOIN(CHAR(10), TRUE, IF(tblSeverityAnalysis[[#This Row],[CCCM]:[WASH]]=tblSeverityAnalysis[[#This Row],[2nd Highest Severity]], tblSeverityAnalysis[[#Headers],[CCCM]:[WASH]], ""), "")), "")</f>
        <v>CCCM
Nutrition
Shelter</v>
      </c>
      <c r="AM31" s="135" t="str">
        <f>IFERROR(IF(AND(tblSeverityAnalysis[[#This Row],[5]] &lt;&gt; "", tblSeverityAnalysis[[#This Row],[5]]&gt;=sectors_sev_5), "Flagged", ""), "")</f>
        <v/>
      </c>
      <c r="AN31" s="136" t="str">
        <f>IFERROR(IF(AND(tblSeverityAnalysis[[#This Row],[Preliminary Intersectoral Severity based on overlap of sectoral deprivations]]=4, SUM(tblSeverityAnalysis[[#This Row],[ 4 ]:[5]])&gt;=sectors_sev_4), "Flagged", ""), "")</f>
        <v/>
      </c>
      <c r="AO31" s="136" t="str" cm="1">
        <f t="array" ref="AO3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1" s="351"/>
      <c r="AR31" s="352"/>
      <c r="AS31" s="351"/>
      <c r="AT31" s="353">
        <f>COUNTIF(tblSeverityAnalysis[[#This Row],[1 sector in severity phase 5 '[modify the threshold']]:[Manual Flag]], "Flagged")</f>
        <v>0</v>
      </c>
      <c r="AU31" s="354">
        <f>tblSeverityAnalysis[[#This Row],[Preliminary Intersectoral Severity based on overlap of sectoral deprivations]]</f>
        <v>3</v>
      </c>
      <c r="AV31" s="63">
        <v>3</v>
      </c>
      <c r="AW31" s="432">
        <v>5</v>
      </c>
      <c r="AZ31" t="b">
        <f>tblSeverityAnalysis[[#This Row],[Preliminary Intersectoral Severity based on overlap of sectoral deprivations]]=tblSeverityAnalysis[[#This Row],[Final Severity]]</f>
        <v>1</v>
      </c>
    </row>
    <row r="32" spans="1:52" ht="14.5" hidden="1" customHeight="1" x14ac:dyDescent="0.55000000000000004">
      <c r="A3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SS0403</v>
      </c>
      <c r="B32" s="40" t="s">
        <v>292</v>
      </c>
      <c r="C32" s="335" t="s">
        <v>293</v>
      </c>
      <c r="D32" s="335" t="s">
        <v>298</v>
      </c>
      <c r="E32" s="34" t="s">
        <v>299</v>
      </c>
      <c r="F32" s="34"/>
      <c r="G32" s="34"/>
      <c r="I32" s="97">
        <v>176667.62166124693</v>
      </c>
      <c r="J32" s="97"/>
      <c r="K32" s="400">
        <v>2</v>
      </c>
      <c r="L32" s="319">
        <v>3</v>
      </c>
      <c r="M32" s="319">
        <v>2</v>
      </c>
      <c r="N32" s="319">
        <v>3</v>
      </c>
      <c r="O32" s="319">
        <v>3.3333333333333335</v>
      </c>
      <c r="P32" s="319">
        <v>2</v>
      </c>
      <c r="Q32" s="35">
        <v>2</v>
      </c>
      <c r="R32" s="319">
        <v>3</v>
      </c>
      <c r="S32" s="319"/>
      <c r="T32" s="319"/>
      <c r="U32" s="319"/>
      <c r="V32" s="319"/>
      <c r="W32" s="346" t="str">
        <f>IF(COUNTIF(tblSeverityAnalysis[[#This Row],[CCCM]:[WASH]], 1)=0, "", COUNTIF(tblSeverityAnalysis[[#This Row],[CCCM]:[WASH]], 1))</f>
        <v/>
      </c>
      <c r="X32" s="347">
        <f>IF(COUNTIF(tblSeverityAnalysis[[#This Row],[CCCM]:[WASH]], 2)=0, "", COUNTIF(tblSeverityAnalysis[[#This Row],[CCCM]:[WASH]], 2))</f>
        <v>4</v>
      </c>
      <c r="Y32" s="347">
        <f>IF(COUNTIF(tblSeverityAnalysis[[#This Row],[CCCM]:[WASH]], 3)=0, "", COUNTIF(tblSeverityAnalysis[[#This Row],[CCCM]:[WASH]], 3))</f>
        <v>3</v>
      </c>
      <c r="Z32" s="347" t="str">
        <f>IF(COUNTIF(tblSeverityAnalysis[[#This Row],[CCCM]:[WASH]], 4)=0, "", COUNTIF(tblSeverityAnalysis[[#This Row],[CCCM]:[WASH]], 4))</f>
        <v/>
      </c>
      <c r="AA32" s="348" t="str">
        <f>IF(COUNTIF(tblSeverityAnalysis[[#This Row],[CCCM]:[WASH]], 5)=0, "", COUNTIF(tblSeverityAnalysis[[#This Row],[CCCM]:[WASH]], 5))</f>
        <v/>
      </c>
      <c r="AB32" s="61" cm="1">
        <f t="array" ref="AB3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2" s="42" t="str">
        <f>IFERROR(IF(INDEX(tblSeverityReference[Malnutrition Severity],MATCH(tblSeverityAnalysis[[#This Row],[ID]], tblSeverityReference[ID], 0))= "", "",INDEX(tblSeverityReference[Malnutrition Severity],MATCH(tblSeverityAnalysis[[#This Row],[ID]], tblSeverityReference[ID], 0)) ), "")</f>
        <v/>
      </c>
      <c r="AE32" s="319" t="str">
        <f>IFERROR(IF(INDEX(tblSeverityReference[Epidemic Severity],MATCH(tblSeverityAnalysis[[#This Row],[ID]], tblSeverityReference[ID], 0))= "", "",INDEX(tblSeverityReference[Epidemic Severity],MATCH(tblSeverityAnalysis[[#This Row],[ID]], tblSeverityReference[ID], 0)) ), "")</f>
        <v/>
      </c>
      <c r="AF32" s="319" t="str">
        <f>IFERROR(IF(INDEX(tblSeverityReference[Coping Strategy Severity],MATCH(tblSeverityAnalysis[[#This Row],[ID]], tblSeverityReference[ID], 0))= "", "",INDEX(tblSeverityReference[Coping Strategy Severity],MATCH(tblSeverityAnalysis[[#This Row],[ID]], tblSeverityReference[ID], 0)) ), "")</f>
        <v/>
      </c>
      <c r="AG32" s="110">
        <v>3</v>
      </c>
      <c r="AH32" s="83">
        <f>IFERROR(AVERAGE(tblSeverityAnalysis[[#This Row],[CCCM]:[WASH]]), "")</f>
        <v>2.541666666666667</v>
      </c>
      <c r="AI32" s="27">
        <f>IF(SUM(tblSeverityAnalysis[[#This Row],[CCCM]:[WASH]])=0, "", MAX(tblSeverityAnalysis[[#This Row],[CCCM]:[WASH]]))</f>
        <v>3.3333333333333335</v>
      </c>
      <c r="AJ32" s="349" t="str" cm="1">
        <f t="array" ref="AJ32">IFERROR(IF(tblSeverityAnalysis[[#This Row],[Highest Severity]]="", "", _xlfn.TEXTJOIN(CHAR(10), TRUE, IF(tblSeverityAnalysis[[#This Row],[CCCM]:[WASH]]=tblSeverityAnalysis[[#This Row],[Highest Severity]], tblSeverityAnalysis[[#Headers],[CCCM]:[WASH]], ""), "")), "")</f>
        <v>Health</v>
      </c>
      <c r="AK32" s="27" cm="1">
        <f t="array" ref="AK32">IFERROR(MAX(_xlfn._xlws.FILTER(tblSeverityAnalysis[[#This Row],[CCCM]:[WASH]], tblSeverityAnalysis[[#This Row],[CCCM]:[WASH]]&lt;tblSeverityAnalysis[[#This Row],[Highest Severity]])), "")</f>
        <v>3</v>
      </c>
      <c r="AL32" s="329" t="str" cm="1">
        <f t="array" ref="AL32">IFERROR(IF(tblSeverityAnalysis[[#This Row],[2nd Highest Severity]]="", "", _xlfn.TEXTJOIN(CHAR(10), TRUE, IF(tblSeverityAnalysis[[#This Row],[CCCM]:[WASH]]=tblSeverityAnalysis[[#This Row],[2nd Highest Severity]], tblSeverityAnalysis[[#Headers],[CCCM]:[WASH]], ""), "")), "")</f>
        <v>Education
Food Security
WASH</v>
      </c>
      <c r="AM32" s="135" t="str">
        <f>IFERROR(IF(AND(tblSeverityAnalysis[[#This Row],[5]] &lt;&gt; "", tblSeverityAnalysis[[#This Row],[5]]&gt;=sectors_sev_5), "Flagged", ""), "")</f>
        <v/>
      </c>
      <c r="AN32" s="136" t="str">
        <f>IFERROR(IF(AND(tblSeverityAnalysis[[#This Row],[Preliminary Intersectoral Severity based on overlap of sectoral deprivations]]=4, SUM(tblSeverityAnalysis[[#This Row],[ 4 ]:[5]])&gt;=sectors_sev_4), "Flagged", ""), "")</f>
        <v/>
      </c>
      <c r="AO32" s="136" t="str" cm="1">
        <f t="array" ref="AO3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2" s="351"/>
      <c r="AR32" s="352"/>
      <c r="AS32" s="351"/>
      <c r="AT32" s="353">
        <f>COUNTIF(tblSeverityAnalysis[[#This Row],[1 sector in severity phase 5 '[modify the threshold']]:[Manual Flag]], "Flagged")</f>
        <v>0</v>
      </c>
      <c r="AU32" s="354">
        <f>tblSeverityAnalysis[[#This Row],[Preliminary Intersectoral Severity based on overlap of sectoral deprivations]]</f>
        <v>3</v>
      </c>
      <c r="AV32" s="63">
        <v>3</v>
      </c>
      <c r="AW32" s="432">
        <v>4</v>
      </c>
      <c r="AZ32" t="b">
        <f>tblSeverityAnalysis[[#This Row],[Preliminary Intersectoral Severity based on overlap of sectoral deprivations]]=tblSeverityAnalysis[[#This Row],[Final Severity]]</f>
        <v>1</v>
      </c>
    </row>
    <row r="33" spans="1:52" ht="14.5" hidden="1" customHeight="1" x14ac:dyDescent="0.55000000000000004">
      <c r="A3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SS0404</v>
      </c>
      <c r="B33" s="40" t="s">
        <v>292</v>
      </c>
      <c r="C33" s="335" t="s">
        <v>293</v>
      </c>
      <c r="D33" s="335" t="s">
        <v>300</v>
      </c>
      <c r="E33" s="34" t="s">
        <v>301</v>
      </c>
      <c r="F33" s="34"/>
      <c r="G33" s="34"/>
      <c r="I33" s="97">
        <v>145007.01400992871</v>
      </c>
      <c r="J33" s="97"/>
      <c r="K33" s="400">
        <v>3</v>
      </c>
      <c r="L33" s="319">
        <v>3</v>
      </c>
      <c r="M33" s="319">
        <v>2</v>
      </c>
      <c r="N33" s="319">
        <v>3</v>
      </c>
      <c r="O33" s="319">
        <v>3.3333333333333335</v>
      </c>
      <c r="P33" s="319">
        <v>3</v>
      </c>
      <c r="Q33" s="35">
        <v>2</v>
      </c>
      <c r="R33" s="319">
        <v>3</v>
      </c>
      <c r="S33" s="319"/>
      <c r="T33" s="319"/>
      <c r="U33" s="319"/>
      <c r="V33" s="319"/>
      <c r="W33" s="346" t="str">
        <f>IF(COUNTIF(tblSeverityAnalysis[[#This Row],[CCCM]:[WASH]], 1)=0, "", COUNTIF(tblSeverityAnalysis[[#This Row],[CCCM]:[WASH]], 1))</f>
        <v/>
      </c>
      <c r="X33" s="347">
        <f>IF(COUNTIF(tblSeverityAnalysis[[#This Row],[CCCM]:[WASH]], 2)=0, "", COUNTIF(tblSeverityAnalysis[[#This Row],[CCCM]:[WASH]], 2))</f>
        <v>2</v>
      </c>
      <c r="Y33" s="347">
        <f>IF(COUNTIF(tblSeverityAnalysis[[#This Row],[CCCM]:[WASH]], 3)=0, "", COUNTIF(tblSeverityAnalysis[[#This Row],[CCCM]:[WASH]], 3))</f>
        <v>5</v>
      </c>
      <c r="Z33" s="347" t="str">
        <f>IF(COUNTIF(tblSeverityAnalysis[[#This Row],[CCCM]:[WASH]], 4)=0, "", COUNTIF(tblSeverityAnalysis[[#This Row],[CCCM]:[WASH]], 4))</f>
        <v/>
      </c>
      <c r="AA33" s="348" t="str">
        <f>IF(COUNTIF(tblSeverityAnalysis[[#This Row],[CCCM]:[WASH]], 5)=0, "", COUNTIF(tblSeverityAnalysis[[#This Row],[CCCM]:[WASH]], 5))</f>
        <v/>
      </c>
      <c r="AB33" s="61" cm="1">
        <f t="array" ref="AB3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3" s="42" t="str">
        <f>IFERROR(IF(INDEX(tblSeverityReference[Malnutrition Severity],MATCH(tblSeverityAnalysis[[#This Row],[ID]], tblSeverityReference[ID], 0))= "", "",INDEX(tblSeverityReference[Malnutrition Severity],MATCH(tblSeverityAnalysis[[#This Row],[ID]], tblSeverityReference[ID], 0)) ), "")</f>
        <v/>
      </c>
      <c r="AE33" s="319" t="str">
        <f>IFERROR(IF(INDEX(tblSeverityReference[Epidemic Severity],MATCH(tblSeverityAnalysis[[#This Row],[ID]], tblSeverityReference[ID], 0))= "", "",INDEX(tblSeverityReference[Epidemic Severity],MATCH(tblSeverityAnalysis[[#This Row],[ID]], tblSeverityReference[ID], 0)) ), "")</f>
        <v/>
      </c>
      <c r="AF33" s="319" t="str">
        <f>IFERROR(IF(INDEX(tblSeverityReference[Coping Strategy Severity],MATCH(tblSeverityAnalysis[[#This Row],[ID]], tblSeverityReference[ID], 0))= "", "",INDEX(tblSeverityReference[Coping Strategy Severity],MATCH(tblSeverityAnalysis[[#This Row],[ID]], tblSeverityReference[ID], 0)) ), "")</f>
        <v/>
      </c>
      <c r="AG33" s="110">
        <v>3</v>
      </c>
      <c r="AH33" s="83">
        <f>IFERROR(AVERAGE(tblSeverityAnalysis[[#This Row],[CCCM]:[WASH]]), "")</f>
        <v>2.791666666666667</v>
      </c>
      <c r="AI33" s="27">
        <f>IF(SUM(tblSeverityAnalysis[[#This Row],[CCCM]:[WASH]])=0, "", MAX(tblSeverityAnalysis[[#This Row],[CCCM]:[WASH]]))</f>
        <v>3.3333333333333335</v>
      </c>
      <c r="AJ33" s="349" t="str" cm="1">
        <f t="array" ref="AJ33">IFERROR(IF(tblSeverityAnalysis[[#This Row],[Highest Severity]]="", "", _xlfn.TEXTJOIN(CHAR(10), TRUE, IF(tblSeverityAnalysis[[#This Row],[CCCM]:[WASH]]=tblSeverityAnalysis[[#This Row],[Highest Severity]], tblSeverityAnalysis[[#Headers],[CCCM]:[WASH]], ""), "")), "")</f>
        <v>Health</v>
      </c>
      <c r="AK33" s="27" cm="1">
        <f t="array" ref="AK33">IFERROR(MAX(_xlfn._xlws.FILTER(tblSeverityAnalysis[[#This Row],[CCCM]:[WASH]], tblSeverityAnalysis[[#This Row],[CCCM]:[WASH]]&lt;tblSeverityAnalysis[[#This Row],[Highest Severity]])), "")</f>
        <v>3</v>
      </c>
      <c r="AL33" s="329" t="str" cm="1">
        <f t="array" ref="AL33">IFERROR(IF(tblSeverityAnalysis[[#This Row],[2nd Highest Severity]]="", "", _xlfn.TEXTJOIN(CHAR(10), TRUE, IF(tblSeverityAnalysis[[#This Row],[CCCM]:[WASH]]=tblSeverityAnalysis[[#This Row],[2nd Highest Severity]], tblSeverityAnalysis[[#Headers],[CCCM]:[WASH]], ""), "")), "")</f>
        <v>CCCM
Education
Food Security
Overarching Protection
WASH</v>
      </c>
      <c r="AM33" s="135" t="str">
        <f>IFERROR(IF(AND(tblSeverityAnalysis[[#This Row],[5]] &lt;&gt; "", tblSeverityAnalysis[[#This Row],[5]]&gt;=sectors_sev_5), "Flagged", ""), "")</f>
        <v/>
      </c>
      <c r="AN33" s="136" t="str">
        <f>IFERROR(IF(AND(tblSeverityAnalysis[[#This Row],[Preliminary Intersectoral Severity based on overlap of sectoral deprivations]]=4, SUM(tblSeverityAnalysis[[#This Row],[ 4 ]:[5]])&gt;=sectors_sev_4), "Flagged", ""), "")</f>
        <v/>
      </c>
      <c r="AO33" s="136" t="str" cm="1">
        <f t="array" ref="AO3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3" s="351"/>
      <c r="AR33" s="352"/>
      <c r="AS33" s="351"/>
      <c r="AT33" s="353">
        <f>COUNTIF(tblSeverityAnalysis[[#This Row],[1 sector in severity phase 5 '[modify the threshold']]:[Manual Flag]], "Flagged")</f>
        <v>0</v>
      </c>
      <c r="AU33" s="354">
        <f>tblSeverityAnalysis[[#This Row],[Preliminary Intersectoral Severity based on overlap of sectoral deprivations]]</f>
        <v>3</v>
      </c>
      <c r="AV33" s="63">
        <v>3</v>
      </c>
      <c r="AW33" s="432">
        <v>4</v>
      </c>
      <c r="AZ33" t="b">
        <f>tblSeverityAnalysis[[#This Row],[Preliminary Intersectoral Severity based on overlap of sectoral deprivations]]=tblSeverityAnalysis[[#This Row],[Final Severity]]</f>
        <v>1</v>
      </c>
    </row>
    <row r="34" spans="1:52" ht="14.5" hidden="1" customHeight="1" x14ac:dyDescent="0.55000000000000004">
      <c r="A3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SS0405</v>
      </c>
      <c r="B34" s="40" t="s">
        <v>292</v>
      </c>
      <c r="C34" s="335" t="s">
        <v>293</v>
      </c>
      <c r="D34" s="335" t="s">
        <v>302</v>
      </c>
      <c r="E34" s="34" t="s">
        <v>303</v>
      </c>
      <c r="F34" s="34"/>
      <c r="G34" s="34"/>
      <c r="I34" s="97">
        <v>65438.415831068392</v>
      </c>
      <c r="J34" s="97"/>
      <c r="K34" s="400">
        <v>2</v>
      </c>
      <c r="L34" s="319">
        <v>3</v>
      </c>
      <c r="M34" s="319">
        <v>2</v>
      </c>
      <c r="N34" s="319">
        <v>4</v>
      </c>
      <c r="O34" s="319">
        <v>3.6666666666666665</v>
      </c>
      <c r="P34" s="319">
        <v>3</v>
      </c>
      <c r="Q34" s="35">
        <v>2</v>
      </c>
      <c r="R34" s="319">
        <v>2</v>
      </c>
      <c r="S34" s="319"/>
      <c r="T34" s="319"/>
      <c r="U34" s="319"/>
      <c r="V34" s="319"/>
      <c r="W34" s="346" t="str">
        <f>IF(COUNTIF(tblSeverityAnalysis[[#This Row],[CCCM]:[WASH]], 1)=0, "", COUNTIF(tblSeverityAnalysis[[#This Row],[CCCM]:[WASH]], 1))</f>
        <v/>
      </c>
      <c r="X34" s="347">
        <f>IF(COUNTIF(tblSeverityAnalysis[[#This Row],[CCCM]:[WASH]], 2)=0, "", COUNTIF(tblSeverityAnalysis[[#This Row],[CCCM]:[WASH]], 2))</f>
        <v>4</v>
      </c>
      <c r="Y34" s="347">
        <f>IF(COUNTIF(tblSeverityAnalysis[[#This Row],[CCCM]:[WASH]], 3)=0, "", COUNTIF(tblSeverityAnalysis[[#This Row],[CCCM]:[WASH]], 3))</f>
        <v>2</v>
      </c>
      <c r="Z34" s="347">
        <f>IF(COUNTIF(tblSeverityAnalysis[[#This Row],[CCCM]:[WASH]], 4)=0, "", COUNTIF(tblSeverityAnalysis[[#This Row],[CCCM]:[WASH]], 4))</f>
        <v>1</v>
      </c>
      <c r="AA34" s="348" t="str">
        <f>IF(COUNTIF(tblSeverityAnalysis[[#This Row],[CCCM]:[WASH]], 5)=0, "", COUNTIF(tblSeverityAnalysis[[#This Row],[CCCM]:[WASH]], 5))</f>
        <v/>
      </c>
      <c r="AB34" s="61" cm="1">
        <f t="array" ref="AB3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4" s="42" t="str">
        <f>IFERROR(IF(INDEX(tblSeverityReference[Malnutrition Severity],MATCH(tblSeverityAnalysis[[#This Row],[ID]], tblSeverityReference[ID], 0))= "", "",INDEX(tblSeverityReference[Malnutrition Severity],MATCH(tblSeverityAnalysis[[#This Row],[ID]], tblSeverityReference[ID], 0)) ), "")</f>
        <v/>
      </c>
      <c r="AE34" s="319" t="str">
        <f>IFERROR(IF(INDEX(tblSeverityReference[Epidemic Severity],MATCH(tblSeverityAnalysis[[#This Row],[ID]], tblSeverityReference[ID], 0))= "", "",INDEX(tblSeverityReference[Epidemic Severity],MATCH(tblSeverityAnalysis[[#This Row],[ID]], tblSeverityReference[ID], 0)) ), "")</f>
        <v/>
      </c>
      <c r="AF34" s="319" t="str">
        <f>IFERROR(IF(INDEX(tblSeverityReference[Coping Strategy Severity],MATCH(tblSeverityAnalysis[[#This Row],[ID]], tblSeverityReference[ID], 0))= "", "",INDEX(tblSeverityReference[Coping Strategy Severity],MATCH(tblSeverityAnalysis[[#This Row],[ID]], tblSeverityReference[ID], 0)) ), "")</f>
        <v/>
      </c>
      <c r="AG34" s="110">
        <v>3</v>
      </c>
      <c r="AH34" s="83">
        <f>IFERROR(AVERAGE(tblSeverityAnalysis[[#This Row],[CCCM]:[WASH]]), "")</f>
        <v>2.708333333333333</v>
      </c>
      <c r="AI34" s="27">
        <f>IF(SUM(tblSeverityAnalysis[[#This Row],[CCCM]:[WASH]])=0, "", MAX(tblSeverityAnalysis[[#This Row],[CCCM]:[WASH]]))</f>
        <v>4</v>
      </c>
      <c r="AJ34" s="349" t="str" cm="1">
        <f t="array" ref="AJ34">IFERROR(IF(tblSeverityAnalysis[[#This Row],[Highest Severity]]="", "", _xlfn.TEXTJOIN(CHAR(10), TRUE, IF(tblSeverityAnalysis[[#This Row],[CCCM]:[WASH]]=tblSeverityAnalysis[[#This Row],[Highest Severity]], tblSeverityAnalysis[[#Headers],[CCCM]:[WASH]], ""), "")), "")</f>
        <v>Food Security</v>
      </c>
      <c r="AK34" s="27" cm="1">
        <f t="array" ref="AK34">IFERROR(MAX(_xlfn._xlws.FILTER(tblSeverityAnalysis[[#This Row],[CCCM]:[WASH]], tblSeverityAnalysis[[#This Row],[CCCM]:[WASH]]&lt;tblSeverityAnalysis[[#This Row],[Highest Severity]])), "")</f>
        <v>3.6666666666666665</v>
      </c>
      <c r="AL34" s="329" t="str" cm="1">
        <f t="array" ref="AL34">IFERROR(IF(tblSeverityAnalysis[[#This Row],[2nd Highest Severity]]="", "", _xlfn.TEXTJOIN(CHAR(10), TRUE, IF(tblSeverityAnalysis[[#This Row],[CCCM]:[WASH]]=tblSeverityAnalysis[[#This Row],[2nd Highest Severity]], tblSeverityAnalysis[[#Headers],[CCCM]:[WASH]], ""), "")), "")</f>
        <v>Health</v>
      </c>
      <c r="AM34" s="135" t="str">
        <f>IFERROR(IF(AND(tblSeverityAnalysis[[#This Row],[5]] &lt;&gt; "", tblSeverityAnalysis[[#This Row],[5]]&gt;=sectors_sev_5), "Flagged", ""), "")</f>
        <v/>
      </c>
      <c r="AN34" s="136" t="str">
        <f>IFERROR(IF(AND(tblSeverityAnalysis[[#This Row],[Preliminary Intersectoral Severity based on overlap of sectoral deprivations]]=4, SUM(tblSeverityAnalysis[[#This Row],[ 4 ]:[5]])&gt;=sectors_sev_4), "Flagged", ""), "")</f>
        <v/>
      </c>
      <c r="AO34" s="136" t="str" cm="1">
        <f t="array" ref="AO3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4" s="351"/>
      <c r="AR34" s="352"/>
      <c r="AS34" s="351"/>
      <c r="AT34" s="353">
        <f>COUNTIF(tblSeverityAnalysis[[#This Row],[1 sector in severity phase 5 '[modify the threshold']]:[Manual Flag]], "Flagged")</f>
        <v>0</v>
      </c>
      <c r="AU34" s="354">
        <f>tblSeverityAnalysis[[#This Row],[Preliminary Intersectoral Severity based on overlap of sectoral deprivations]]</f>
        <v>3</v>
      </c>
      <c r="AV34" s="63">
        <v>3</v>
      </c>
      <c r="AW34" s="432">
        <v>3</v>
      </c>
      <c r="AZ34" t="b">
        <f>tblSeverityAnalysis[[#This Row],[Preliminary Intersectoral Severity based on overlap of sectoral deprivations]]=tblSeverityAnalysis[[#This Row],[Final Severity]]</f>
        <v>1</v>
      </c>
    </row>
    <row r="35" spans="1:52" ht="14.5" hidden="1" customHeight="1" x14ac:dyDescent="0.55000000000000004">
      <c r="A3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SS0406</v>
      </c>
      <c r="B35" s="40" t="s">
        <v>292</v>
      </c>
      <c r="C35" s="335" t="s">
        <v>293</v>
      </c>
      <c r="D35" s="335" t="s">
        <v>304</v>
      </c>
      <c r="E35" s="34" t="s">
        <v>305</v>
      </c>
      <c r="F35" s="34"/>
      <c r="G35" s="34"/>
      <c r="I35" s="97">
        <v>75313.532994065434</v>
      </c>
      <c r="J35" s="97"/>
      <c r="K35" s="400">
        <v>2</v>
      </c>
      <c r="L35" s="319">
        <v>3</v>
      </c>
      <c r="M35" s="319">
        <v>2</v>
      </c>
      <c r="N35" s="319">
        <v>3</v>
      </c>
      <c r="O35" s="319">
        <v>3</v>
      </c>
      <c r="P35" s="319">
        <v>3</v>
      </c>
      <c r="Q35" s="35">
        <v>2</v>
      </c>
      <c r="R35" s="319">
        <v>3</v>
      </c>
      <c r="S35" s="319"/>
      <c r="T35" s="319"/>
      <c r="U35" s="319"/>
      <c r="V35" s="319"/>
      <c r="W35" s="346" t="str">
        <f>IF(COUNTIF(tblSeverityAnalysis[[#This Row],[CCCM]:[WASH]], 1)=0, "", COUNTIF(tblSeverityAnalysis[[#This Row],[CCCM]:[WASH]], 1))</f>
        <v/>
      </c>
      <c r="X35" s="347">
        <f>IF(COUNTIF(tblSeverityAnalysis[[#This Row],[CCCM]:[WASH]], 2)=0, "", COUNTIF(tblSeverityAnalysis[[#This Row],[CCCM]:[WASH]], 2))</f>
        <v>3</v>
      </c>
      <c r="Y35" s="347">
        <f>IF(COUNTIF(tblSeverityAnalysis[[#This Row],[CCCM]:[WASH]], 3)=0, "", COUNTIF(tblSeverityAnalysis[[#This Row],[CCCM]:[WASH]], 3))</f>
        <v>5</v>
      </c>
      <c r="Z35" s="347" t="str">
        <f>IF(COUNTIF(tblSeverityAnalysis[[#This Row],[CCCM]:[WASH]], 4)=0, "", COUNTIF(tblSeverityAnalysis[[#This Row],[CCCM]:[WASH]], 4))</f>
        <v/>
      </c>
      <c r="AA35" s="348" t="str">
        <f>IF(COUNTIF(tblSeverityAnalysis[[#This Row],[CCCM]:[WASH]], 5)=0, "", COUNTIF(tblSeverityAnalysis[[#This Row],[CCCM]:[WASH]], 5))</f>
        <v/>
      </c>
      <c r="AB35" s="61" cm="1">
        <f t="array" ref="AB3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5" s="42" t="str">
        <f>IFERROR(IF(INDEX(tblSeverityReference[Malnutrition Severity],MATCH(tblSeverityAnalysis[[#This Row],[ID]], tblSeverityReference[ID], 0))= "", "",INDEX(tblSeverityReference[Malnutrition Severity],MATCH(tblSeverityAnalysis[[#This Row],[ID]], tblSeverityReference[ID], 0)) ), "")</f>
        <v/>
      </c>
      <c r="AE35" s="319" t="str">
        <f>IFERROR(IF(INDEX(tblSeverityReference[Epidemic Severity],MATCH(tblSeverityAnalysis[[#This Row],[ID]], tblSeverityReference[ID], 0))= "", "",INDEX(tblSeverityReference[Epidemic Severity],MATCH(tblSeverityAnalysis[[#This Row],[ID]], tblSeverityReference[ID], 0)) ), "")</f>
        <v/>
      </c>
      <c r="AF35" s="319" t="str">
        <f>IFERROR(IF(INDEX(tblSeverityReference[Coping Strategy Severity],MATCH(tblSeverityAnalysis[[#This Row],[ID]], tblSeverityReference[ID], 0))= "", "",INDEX(tblSeverityReference[Coping Strategy Severity],MATCH(tblSeverityAnalysis[[#This Row],[ID]], tblSeverityReference[ID], 0)) ), "")</f>
        <v/>
      </c>
      <c r="AG35" s="110">
        <v>3</v>
      </c>
      <c r="AH35" s="83">
        <f>IFERROR(AVERAGE(tblSeverityAnalysis[[#This Row],[CCCM]:[WASH]]), "")</f>
        <v>2.625</v>
      </c>
      <c r="AI35" s="27">
        <f>IF(SUM(tblSeverityAnalysis[[#This Row],[CCCM]:[WASH]])=0, "", MAX(tblSeverityAnalysis[[#This Row],[CCCM]:[WASH]]))</f>
        <v>3</v>
      </c>
      <c r="AJ35" s="349" t="str" cm="1">
        <f t="array" ref="AJ35">IFERROR(IF(tblSeverityAnalysis[[#This Row],[Highest Severity]]="", "", _xlfn.TEXTJOIN(CHAR(10), TRUE, IF(tblSeverityAnalysis[[#This Row],[CCCM]:[WASH]]=tblSeverityAnalysis[[#This Row],[Highest Severity]], tblSeverityAnalysis[[#Headers],[CCCM]:[WASH]], ""), "")), "")</f>
        <v>Education
Food Security
Health
Overarching Protection
WASH</v>
      </c>
      <c r="AK35" s="27" cm="1">
        <f t="array" ref="AK35">IFERROR(MAX(_xlfn._xlws.FILTER(tblSeverityAnalysis[[#This Row],[CCCM]:[WASH]], tblSeverityAnalysis[[#This Row],[CCCM]:[WASH]]&lt;tblSeverityAnalysis[[#This Row],[Highest Severity]])), "")</f>
        <v>2</v>
      </c>
      <c r="AL35" s="329" t="str" cm="1">
        <f t="array" ref="AL35">IFERROR(IF(tblSeverityAnalysis[[#This Row],[2nd Highest Severity]]="", "", _xlfn.TEXTJOIN(CHAR(10), TRUE, IF(tblSeverityAnalysis[[#This Row],[CCCM]:[WASH]]=tblSeverityAnalysis[[#This Row],[2nd Highest Severity]], tblSeverityAnalysis[[#Headers],[CCCM]:[WASH]], ""), "")), "")</f>
        <v>CCCM
Nutrition
Shelter</v>
      </c>
      <c r="AM35" s="135" t="str">
        <f>IFERROR(IF(AND(tblSeverityAnalysis[[#This Row],[5]] &lt;&gt; "", tblSeverityAnalysis[[#This Row],[5]]&gt;=sectors_sev_5), "Flagged", ""), "")</f>
        <v/>
      </c>
      <c r="AN35" s="136" t="str">
        <f>IFERROR(IF(AND(tblSeverityAnalysis[[#This Row],[Preliminary Intersectoral Severity based on overlap of sectoral deprivations]]=4, SUM(tblSeverityAnalysis[[#This Row],[ 4 ]:[5]])&gt;=sectors_sev_4), "Flagged", ""), "")</f>
        <v/>
      </c>
      <c r="AO35" s="136" t="str" cm="1">
        <f t="array" ref="AO3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5" s="351"/>
      <c r="AR35" s="352"/>
      <c r="AS35" s="351"/>
      <c r="AT35" s="353">
        <f>COUNTIF(tblSeverityAnalysis[[#This Row],[1 sector in severity phase 5 '[modify the threshold']]:[Manual Flag]], "Flagged")</f>
        <v>0</v>
      </c>
      <c r="AU35" s="354">
        <f>tblSeverityAnalysis[[#This Row],[Preliminary Intersectoral Severity based on overlap of sectoral deprivations]]</f>
        <v>3</v>
      </c>
      <c r="AV35" s="63">
        <v>3</v>
      </c>
      <c r="AW35" s="432">
        <v>5</v>
      </c>
      <c r="AZ35" t="b">
        <f>tblSeverityAnalysis[[#This Row],[Preliminary Intersectoral Severity based on overlap of sectoral deprivations]]=tblSeverityAnalysis[[#This Row],[Final Severity]]</f>
        <v>1</v>
      </c>
    </row>
    <row r="36" spans="1:52" ht="14.5" hidden="1" customHeight="1" x14ac:dyDescent="0.55000000000000004">
      <c r="A3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SS0407</v>
      </c>
      <c r="B36" s="40" t="s">
        <v>292</v>
      </c>
      <c r="C36" s="335" t="s">
        <v>293</v>
      </c>
      <c r="D36" s="335" t="s">
        <v>306</v>
      </c>
      <c r="E36" s="34" t="s">
        <v>307</v>
      </c>
      <c r="F36" s="34"/>
      <c r="G36" s="34"/>
      <c r="I36" s="97">
        <v>136754.12949467608</v>
      </c>
      <c r="J36" s="97"/>
      <c r="K36" s="400">
        <v>2</v>
      </c>
      <c r="L36" s="319">
        <v>3</v>
      </c>
      <c r="M36" s="319">
        <v>3</v>
      </c>
      <c r="N36" s="319">
        <v>4</v>
      </c>
      <c r="O36" s="319">
        <v>3.3333333333333335</v>
      </c>
      <c r="P36" s="319">
        <v>3</v>
      </c>
      <c r="Q36" s="35">
        <v>2</v>
      </c>
      <c r="R36" s="319">
        <v>3</v>
      </c>
      <c r="S36" s="319"/>
      <c r="T36" s="319"/>
      <c r="U36" s="319"/>
      <c r="V36" s="319"/>
      <c r="W36" s="346" t="str">
        <f>IF(COUNTIF(tblSeverityAnalysis[[#This Row],[CCCM]:[WASH]], 1)=0, "", COUNTIF(tblSeverityAnalysis[[#This Row],[CCCM]:[WASH]], 1))</f>
        <v/>
      </c>
      <c r="X36" s="347">
        <f>IF(COUNTIF(tblSeverityAnalysis[[#This Row],[CCCM]:[WASH]], 2)=0, "", COUNTIF(tblSeverityAnalysis[[#This Row],[CCCM]:[WASH]], 2))</f>
        <v>2</v>
      </c>
      <c r="Y36" s="347">
        <f>IF(COUNTIF(tblSeverityAnalysis[[#This Row],[CCCM]:[WASH]], 3)=0, "", COUNTIF(tblSeverityAnalysis[[#This Row],[CCCM]:[WASH]], 3))</f>
        <v>4</v>
      </c>
      <c r="Z36" s="347">
        <f>IF(COUNTIF(tblSeverityAnalysis[[#This Row],[CCCM]:[WASH]], 4)=0, "", COUNTIF(tblSeverityAnalysis[[#This Row],[CCCM]:[WASH]], 4))</f>
        <v>1</v>
      </c>
      <c r="AA36" s="348" t="str">
        <f>IF(COUNTIF(tblSeverityAnalysis[[#This Row],[CCCM]:[WASH]], 5)=0, "", COUNTIF(tblSeverityAnalysis[[#This Row],[CCCM]:[WASH]], 5))</f>
        <v/>
      </c>
      <c r="AB36" s="61" cm="1">
        <f t="array" ref="AB3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6" s="42" t="str">
        <f>IFERROR(IF(INDEX(tblSeverityReference[Malnutrition Severity],MATCH(tblSeverityAnalysis[[#This Row],[ID]], tblSeverityReference[ID], 0))= "", "",INDEX(tblSeverityReference[Malnutrition Severity],MATCH(tblSeverityAnalysis[[#This Row],[ID]], tblSeverityReference[ID], 0)) ), "")</f>
        <v/>
      </c>
      <c r="AE36" s="319" t="str">
        <f>IFERROR(IF(INDEX(tblSeverityReference[Epidemic Severity],MATCH(tblSeverityAnalysis[[#This Row],[ID]], tblSeverityReference[ID], 0))= "", "",INDEX(tblSeverityReference[Epidemic Severity],MATCH(tblSeverityAnalysis[[#This Row],[ID]], tblSeverityReference[ID], 0)) ), "")</f>
        <v/>
      </c>
      <c r="AF36" s="319" t="str">
        <f>IFERROR(IF(INDEX(tblSeverityReference[Coping Strategy Severity],MATCH(tblSeverityAnalysis[[#This Row],[ID]], tblSeverityReference[ID], 0))= "", "",INDEX(tblSeverityReference[Coping Strategy Severity],MATCH(tblSeverityAnalysis[[#This Row],[ID]], tblSeverityReference[ID], 0)) ), "")</f>
        <v/>
      </c>
      <c r="AG36" s="110">
        <v>3</v>
      </c>
      <c r="AH36" s="83">
        <f>IFERROR(AVERAGE(tblSeverityAnalysis[[#This Row],[CCCM]:[WASH]]), "")</f>
        <v>2.916666666666667</v>
      </c>
      <c r="AI36" s="27">
        <f>IF(SUM(tblSeverityAnalysis[[#This Row],[CCCM]:[WASH]])=0, "", MAX(tblSeverityAnalysis[[#This Row],[CCCM]:[WASH]]))</f>
        <v>4</v>
      </c>
      <c r="AJ36" s="349" t="str" cm="1">
        <f t="array" ref="AJ36">IFERROR(IF(tblSeverityAnalysis[[#This Row],[Highest Severity]]="", "", _xlfn.TEXTJOIN(CHAR(10), TRUE, IF(tblSeverityAnalysis[[#This Row],[CCCM]:[WASH]]=tblSeverityAnalysis[[#This Row],[Highest Severity]], tblSeverityAnalysis[[#Headers],[CCCM]:[WASH]], ""), "")), "")</f>
        <v>Food Security</v>
      </c>
      <c r="AK36" s="27" cm="1">
        <f t="array" ref="AK36">IFERROR(MAX(_xlfn._xlws.FILTER(tblSeverityAnalysis[[#This Row],[CCCM]:[WASH]], tblSeverityAnalysis[[#This Row],[CCCM]:[WASH]]&lt;tblSeverityAnalysis[[#This Row],[Highest Severity]])), "")</f>
        <v>3.3333333333333335</v>
      </c>
      <c r="AL36" s="329" t="str" cm="1">
        <f t="array" ref="AL36">IFERROR(IF(tblSeverityAnalysis[[#This Row],[2nd Highest Severity]]="", "", _xlfn.TEXTJOIN(CHAR(10), TRUE, IF(tblSeverityAnalysis[[#This Row],[CCCM]:[WASH]]=tblSeverityAnalysis[[#This Row],[2nd Highest Severity]], tblSeverityAnalysis[[#Headers],[CCCM]:[WASH]], ""), "")), "")</f>
        <v>Health</v>
      </c>
      <c r="AM36" s="135" t="str">
        <f>IFERROR(IF(AND(tblSeverityAnalysis[[#This Row],[5]] &lt;&gt; "", tblSeverityAnalysis[[#This Row],[5]]&gt;=sectors_sev_5), "Flagged", ""), "")</f>
        <v/>
      </c>
      <c r="AN36" s="136" t="str">
        <f>IFERROR(IF(AND(tblSeverityAnalysis[[#This Row],[Preliminary Intersectoral Severity based on overlap of sectoral deprivations]]=4, SUM(tblSeverityAnalysis[[#This Row],[ 4 ]:[5]])&gt;=sectors_sev_4), "Flagged", ""), "")</f>
        <v/>
      </c>
      <c r="AO36" s="136" t="str" cm="1">
        <f t="array" ref="AO3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6" s="351"/>
      <c r="AR36" s="352"/>
      <c r="AS36" s="351"/>
      <c r="AT36" s="353">
        <f>COUNTIF(tblSeverityAnalysis[[#This Row],[1 sector in severity phase 5 '[modify the threshold']]:[Manual Flag]], "Flagged")</f>
        <v>0</v>
      </c>
      <c r="AU36" s="354">
        <f>tblSeverityAnalysis[[#This Row],[Preliminary Intersectoral Severity based on overlap of sectoral deprivations]]</f>
        <v>3</v>
      </c>
      <c r="AV36" s="63">
        <v>3</v>
      </c>
      <c r="AW36" s="432">
        <v>3</v>
      </c>
      <c r="AZ36" t="b">
        <f>tblSeverityAnalysis[[#This Row],[Preliminary Intersectoral Severity based on overlap of sectoral deprivations]]=tblSeverityAnalysis[[#This Row],[Final Severity]]</f>
        <v>1</v>
      </c>
    </row>
    <row r="37" spans="1:52" ht="14.5" hidden="1" customHeight="1" x14ac:dyDescent="0.55000000000000004">
      <c r="A3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SS0408</v>
      </c>
      <c r="B37" s="40" t="s">
        <v>292</v>
      </c>
      <c r="C37" s="335" t="s">
        <v>293</v>
      </c>
      <c r="D37" s="335" t="s">
        <v>308</v>
      </c>
      <c r="E37" s="34" t="s">
        <v>309</v>
      </c>
      <c r="F37" s="34"/>
      <c r="G37" s="34"/>
      <c r="I37" s="97">
        <v>145696.35674607343</v>
      </c>
      <c r="J37" s="97"/>
      <c r="K37" s="400">
        <v>2</v>
      </c>
      <c r="L37" s="319">
        <v>3</v>
      </c>
      <c r="M37" s="319">
        <v>3</v>
      </c>
      <c r="N37" s="319">
        <v>3</v>
      </c>
      <c r="O37" s="319">
        <v>3.3333333333333335</v>
      </c>
      <c r="P37" s="319">
        <v>3</v>
      </c>
      <c r="Q37" s="35">
        <v>2</v>
      </c>
      <c r="R37" s="319">
        <v>3</v>
      </c>
      <c r="S37" s="319"/>
      <c r="T37" s="319"/>
      <c r="U37" s="319"/>
      <c r="V37" s="319"/>
      <c r="W37" s="346" t="str">
        <f>IF(COUNTIF(tblSeverityAnalysis[[#This Row],[CCCM]:[WASH]], 1)=0, "", COUNTIF(tblSeverityAnalysis[[#This Row],[CCCM]:[WASH]], 1))</f>
        <v/>
      </c>
      <c r="X37" s="347">
        <f>IF(COUNTIF(tblSeverityAnalysis[[#This Row],[CCCM]:[WASH]], 2)=0, "", COUNTIF(tblSeverityAnalysis[[#This Row],[CCCM]:[WASH]], 2))</f>
        <v>2</v>
      </c>
      <c r="Y37" s="347">
        <f>IF(COUNTIF(tblSeverityAnalysis[[#This Row],[CCCM]:[WASH]], 3)=0, "", COUNTIF(tblSeverityAnalysis[[#This Row],[CCCM]:[WASH]], 3))</f>
        <v>5</v>
      </c>
      <c r="Z37" s="347" t="str">
        <f>IF(COUNTIF(tblSeverityAnalysis[[#This Row],[CCCM]:[WASH]], 4)=0, "", COUNTIF(tblSeverityAnalysis[[#This Row],[CCCM]:[WASH]], 4))</f>
        <v/>
      </c>
      <c r="AA37" s="348" t="str">
        <f>IF(COUNTIF(tblSeverityAnalysis[[#This Row],[CCCM]:[WASH]], 5)=0, "", COUNTIF(tblSeverityAnalysis[[#This Row],[CCCM]:[WASH]], 5))</f>
        <v/>
      </c>
      <c r="AB37" s="61" cm="1">
        <f t="array" ref="AB3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7" s="42" t="str">
        <f>IFERROR(IF(INDEX(tblSeverityReference[Malnutrition Severity],MATCH(tblSeverityAnalysis[[#This Row],[ID]], tblSeverityReference[ID], 0))= "", "",INDEX(tblSeverityReference[Malnutrition Severity],MATCH(tblSeverityAnalysis[[#This Row],[ID]], tblSeverityReference[ID], 0)) ), "")</f>
        <v/>
      </c>
      <c r="AE37" s="319" t="str">
        <f>IFERROR(IF(INDEX(tblSeverityReference[Epidemic Severity],MATCH(tblSeverityAnalysis[[#This Row],[ID]], tblSeverityReference[ID], 0))= "", "",INDEX(tblSeverityReference[Epidemic Severity],MATCH(tblSeverityAnalysis[[#This Row],[ID]], tblSeverityReference[ID], 0)) ), "")</f>
        <v/>
      </c>
      <c r="AF37" s="319" t="str">
        <f>IFERROR(IF(INDEX(tblSeverityReference[Coping Strategy Severity],MATCH(tblSeverityAnalysis[[#This Row],[ID]], tblSeverityReference[ID], 0))= "", "",INDEX(tblSeverityReference[Coping Strategy Severity],MATCH(tblSeverityAnalysis[[#This Row],[ID]], tblSeverityReference[ID], 0)) ), "")</f>
        <v/>
      </c>
      <c r="AG37" s="110">
        <v>3</v>
      </c>
      <c r="AH37" s="83">
        <f>IFERROR(AVERAGE(tblSeverityAnalysis[[#This Row],[CCCM]:[WASH]]), "")</f>
        <v>2.791666666666667</v>
      </c>
      <c r="AI37" s="27">
        <f>IF(SUM(tblSeverityAnalysis[[#This Row],[CCCM]:[WASH]])=0, "", MAX(tblSeverityAnalysis[[#This Row],[CCCM]:[WASH]]))</f>
        <v>3.3333333333333335</v>
      </c>
      <c r="AJ37" s="349" t="str" cm="1">
        <f t="array" ref="AJ37">IFERROR(IF(tblSeverityAnalysis[[#This Row],[Highest Severity]]="", "", _xlfn.TEXTJOIN(CHAR(10), TRUE, IF(tblSeverityAnalysis[[#This Row],[CCCM]:[WASH]]=tblSeverityAnalysis[[#This Row],[Highest Severity]], tblSeverityAnalysis[[#Headers],[CCCM]:[WASH]], ""), "")), "")</f>
        <v>Health</v>
      </c>
      <c r="AK37" s="27" cm="1">
        <f t="array" ref="AK37">IFERROR(MAX(_xlfn._xlws.FILTER(tblSeverityAnalysis[[#This Row],[CCCM]:[WASH]], tblSeverityAnalysis[[#This Row],[CCCM]:[WASH]]&lt;tblSeverityAnalysis[[#This Row],[Highest Severity]])), "")</f>
        <v>3</v>
      </c>
      <c r="AL37" s="329" t="str" cm="1">
        <f t="array" ref="AL37">IFERROR(IF(tblSeverityAnalysis[[#This Row],[2nd Highest Severity]]="", "", _xlfn.TEXTJOIN(CHAR(10), TRUE, IF(tblSeverityAnalysis[[#This Row],[CCCM]:[WASH]]=tblSeverityAnalysis[[#This Row],[2nd Highest Severity]], tblSeverityAnalysis[[#Headers],[CCCM]:[WASH]], ""), "")), "")</f>
        <v>Education
Nutrition
Food Security
Overarching Protection
WASH</v>
      </c>
      <c r="AM37" s="135" t="str">
        <f>IFERROR(IF(AND(tblSeverityAnalysis[[#This Row],[5]] &lt;&gt; "", tblSeverityAnalysis[[#This Row],[5]]&gt;=sectors_sev_5), "Flagged", ""), "")</f>
        <v/>
      </c>
      <c r="AN37" s="136" t="str">
        <f>IFERROR(IF(AND(tblSeverityAnalysis[[#This Row],[Preliminary Intersectoral Severity based on overlap of sectoral deprivations]]=4, SUM(tblSeverityAnalysis[[#This Row],[ 4 ]:[5]])&gt;=sectors_sev_4), "Flagged", ""), "")</f>
        <v/>
      </c>
      <c r="AO37" s="136" t="str" cm="1">
        <f t="array" ref="AO3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7" s="351"/>
      <c r="AR37" s="352"/>
      <c r="AS37" s="351"/>
      <c r="AT37" s="353">
        <f>COUNTIF(tblSeverityAnalysis[[#This Row],[1 sector in severity phase 5 '[modify the threshold']]:[Manual Flag]], "Flagged")</f>
        <v>0</v>
      </c>
      <c r="AU37" s="354">
        <f>tblSeverityAnalysis[[#This Row],[Preliminary Intersectoral Severity based on overlap of sectoral deprivations]]</f>
        <v>3</v>
      </c>
      <c r="AV37" s="63">
        <v>3</v>
      </c>
      <c r="AW37" s="432">
        <v>4</v>
      </c>
      <c r="AZ37" t="b">
        <f>tblSeverityAnalysis[[#This Row],[Preliminary Intersectoral Severity based on overlap of sectoral deprivations]]=tblSeverityAnalysis[[#This Row],[Final Severity]]</f>
        <v>1</v>
      </c>
    </row>
    <row r="38" spans="1:52" ht="14.5" hidden="1" customHeight="1" x14ac:dyDescent="0.55000000000000004">
      <c r="A3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SS0501</v>
      </c>
      <c r="B38" s="40" t="s">
        <v>310</v>
      </c>
      <c r="C38" s="335" t="s">
        <v>311</v>
      </c>
      <c r="D38" s="335" t="s">
        <v>312</v>
      </c>
      <c r="E38" s="34" t="s">
        <v>313</v>
      </c>
      <c r="F38" s="34"/>
      <c r="G38" s="34"/>
      <c r="I38" s="97">
        <v>78405.897855155621</v>
      </c>
      <c r="J38" s="97"/>
      <c r="K38" s="400">
        <v>2</v>
      </c>
      <c r="L38" s="319">
        <v>4</v>
      </c>
      <c r="M38" s="319">
        <v>2</v>
      </c>
      <c r="N38" s="319">
        <v>3</v>
      </c>
      <c r="O38" s="319">
        <v>3.3333333333333335</v>
      </c>
      <c r="P38" s="319">
        <v>3</v>
      </c>
      <c r="Q38" s="35">
        <v>3</v>
      </c>
      <c r="R38" s="319">
        <v>4</v>
      </c>
      <c r="S38" s="319"/>
      <c r="T38" s="319"/>
      <c r="U38" s="319"/>
      <c r="V38" s="319"/>
      <c r="W38" s="346" t="str">
        <f>IF(COUNTIF(tblSeverityAnalysis[[#This Row],[CCCM]:[WASH]], 1)=0, "", COUNTIF(tblSeverityAnalysis[[#This Row],[CCCM]:[WASH]], 1))</f>
        <v/>
      </c>
      <c r="X38" s="347">
        <f>IF(COUNTIF(tblSeverityAnalysis[[#This Row],[CCCM]:[WASH]], 2)=0, "", COUNTIF(tblSeverityAnalysis[[#This Row],[CCCM]:[WASH]], 2))</f>
        <v>2</v>
      </c>
      <c r="Y38" s="347">
        <f>IF(COUNTIF(tblSeverityAnalysis[[#This Row],[CCCM]:[WASH]], 3)=0, "", COUNTIF(tblSeverityAnalysis[[#This Row],[CCCM]:[WASH]], 3))</f>
        <v>3</v>
      </c>
      <c r="Z38" s="347">
        <f>IF(COUNTIF(tblSeverityAnalysis[[#This Row],[CCCM]:[WASH]], 4)=0, "", COUNTIF(tblSeverityAnalysis[[#This Row],[CCCM]:[WASH]], 4))</f>
        <v>2</v>
      </c>
      <c r="AA38" s="348" t="str">
        <f>IF(COUNTIF(tblSeverityAnalysis[[#This Row],[CCCM]:[WASH]], 5)=0, "", COUNTIF(tblSeverityAnalysis[[#This Row],[CCCM]:[WASH]], 5))</f>
        <v/>
      </c>
      <c r="AB38" s="61" cm="1">
        <f t="array" ref="AB3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8" s="42" t="str">
        <f>IFERROR(IF(INDEX(tblSeverityReference[Malnutrition Severity],MATCH(tblSeverityAnalysis[[#This Row],[ID]], tblSeverityReference[ID], 0))= "", "",INDEX(tblSeverityReference[Malnutrition Severity],MATCH(tblSeverityAnalysis[[#This Row],[ID]], tblSeverityReference[ID], 0)) ), "")</f>
        <v/>
      </c>
      <c r="AE38" s="319" t="str">
        <f>IFERROR(IF(INDEX(tblSeverityReference[Epidemic Severity],MATCH(tblSeverityAnalysis[[#This Row],[ID]], tblSeverityReference[ID], 0))= "", "",INDEX(tblSeverityReference[Epidemic Severity],MATCH(tblSeverityAnalysis[[#This Row],[ID]], tblSeverityReference[ID], 0)) ), "")</f>
        <v/>
      </c>
      <c r="AF38" s="319" t="str">
        <f>IFERROR(IF(INDEX(tblSeverityReference[Coping Strategy Severity],MATCH(tblSeverityAnalysis[[#This Row],[ID]], tblSeverityReference[ID], 0))= "", "",INDEX(tblSeverityReference[Coping Strategy Severity],MATCH(tblSeverityAnalysis[[#This Row],[ID]], tblSeverityReference[ID], 0)) ), "")</f>
        <v/>
      </c>
      <c r="AG38" s="110">
        <v>3</v>
      </c>
      <c r="AH38" s="83">
        <f>IFERROR(AVERAGE(tblSeverityAnalysis[[#This Row],[CCCM]:[WASH]]), "")</f>
        <v>3.041666666666667</v>
      </c>
      <c r="AI38" s="27">
        <f>IF(SUM(tblSeverityAnalysis[[#This Row],[CCCM]:[WASH]])=0, "", MAX(tblSeverityAnalysis[[#This Row],[CCCM]:[WASH]]))</f>
        <v>4</v>
      </c>
      <c r="AJ38" s="349" t="str" cm="1">
        <f t="array" ref="AJ38">IFERROR(IF(tblSeverityAnalysis[[#This Row],[Highest Severity]]="", "", _xlfn.TEXTJOIN(CHAR(10), TRUE, IF(tblSeverityAnalysis[[#This Row],[CCCM]:[WASH]]=tblSeverityAnalysis[[#This Row],[Highest Severity]], tblSeverityAnalysis[[#Headers],[CCCM]:[WASH]], ""), "")), "")</f>
        <v>Education
WASH</v>
      </c>
      <c r="AK38" s="27" cm="1">
        <f t="array" ref="AK38">IFERROR(MAX(_xlfn._xlws.FILTER(tblSeverityAnalysis[[#This Row],[CCCM]:[WASH]], tblSeverityAnalysis[[#This Row],[CCCM]:[WASH]]&lt;tblSeverityAnalysis[[#This Row],[Highest Severity]])), "")</f>
        <v>3.3333333333333335</v>
      </c>
      <c r="AL38" s="329" t="str" cm="1">
        <f t="array" ref="AL38">IFERROR(IF(tblSeverityAnalysis[[#This Row],[2nd Highest Severity]]="", "", _xlfn.TEXTJOIN(CHAR(10), TRUE, IF(tblSeverityAnalysis[[#This Row],[CCCM]:[WASH]]=tblSeverityAnalysis[[#This Row],[2nd Highest Severity]], tblSeverityAnalysis[[#Headers],[CCCM]:[WASH]], ""), "")), "")</f>
        <v>Health</v>
      </c>
      <c r="AM38" s="135" t="str">
        <f>IFERROR(IF(AND(tblSeverityAnalysis[[#This Row],[5]] &lt;&gt; "", tblSeverityAnalysis[[#This Row],[5]]&gt;=sectors_sev_5), "Flagged", ""), "")</f>
        <v/>
      </c>
      <c r="AN38" s="136" t="str">
        <f>IFERROR(IF(AND(tblSeverityAnalysis[[#This Row],[Preliminary Intersectoral Severity based on overlap of sectoral deprivations]]=4, SUM(tblSeverityAnalysis[[#This Row],[ 4 ]:[5]])&gt;=sectors_sev_4), "Flagged", ""), "")</f>
        <v/>
      </c>
      <c r="AO38" s="136" t="str" cm="1">
        <f t="array" ref="AO3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8" s="351"/>
      <c r="AR38" s="352"/>
      <c r="AS38" s="351"/>
      <c r="AT38" s="353">
        <f>COUNTIF(tblSeverityAnalysis[[#This Row],[1 sector in severity phase 5 '[modify the threshold']]:[Manual Flag]], "Flagged")</f>
        <v>0</v>
      </c>
      <c r="AU38" s="354">
        <f>tblSeverityAnalysis[[#This Row],[Preliminary Intersectoral Severity based on overlap of sectoral deprivations]]</f>
        <v>3</v>
      </c>
      <c r="AV38" s="63">
        <v>3</v>
      </c>
      <c r="AW38" s="432">
        <v>4</v>
      </c>
      <c r="AZ38" t="b">
        <f>tblSeverityAnalysis[[#This Row],[Preliminary Intersectoral Severity based on overlap of sectoral deprivations]]=tblSeverityAnalysis[[#This Row],[Final Severity]]</f>
        <v>1</v>
      </c>
    </row>
    <row r="39" spans="1:52" ht="14.5" hidden="1" customHeight="1" x14ac:dyDescent="0.55000000000000004">
      <c r="A3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SS0502</v>
      </c>
      <c r="B39" s="40" t="s">
        <v>310</v>
      </c>
      <c r="C39" s="335" t="s">
        <v>311</v>
      </c>
      <c r="D39" s="335" t="s">
        <v>314</v>
      </c>
      <c r="E39" s="34" t="s">
        <v>315</v>
      </c>
      <c r="F39" s="34"/>
      <c r="G39" s="34"/>
      <c r="I39" s="97">
        <v>353038.28300232923</v>
      </c>
      <c r="J39" s="97"/>
      <c r="K39" s="400">
        <v>3</v>
      </c>
      <c r="L39" s="319">
        <v>4</v>
      </c>
      <c r="M39" s="319">
        <v>4</v>
      </c>
      <c r="N39" s="319">
        <v>4</v>
      </c>
      <c r="O39" s="319">
        <v>4.333333333333333</v>
      </c>
      <c r="P39" s="319">
        <v>3</v>
      </c>
      <c r="Q39" s="35">
        <v>3</v>
      </c>
      <c r="R39" s="319">
        <v>3</v>
      </c>
      <c r="S39" s="319"/>
      <c r="T39" s="319"/>
      <c r="U39" s="319"/>
      <c r="V39" s="319"/>
      <c r="W39" s="346" t="str">
        <f>IF(COUNTIF(tblSeverityAnalysis[[#This Row],[CCCM]:[WASH]], 1)=0, "", COUNTIF(tblSeverityAnalysis[[#This Row],[CCCM]:[WASH]], 1))</f>
        <v/>
      </c>
      <c r="X39" s="347" t="str">
        <f>IF(COUNTIF(tblSeverityAnalysis[[#This Row],[CCCM]:[WASH]], 2)=0, "", COUNTIF(tblSeverityAnalysis[[#This Row],[CCCM]:[WASH]], 2))</f>
        <v/>
      </c>
      <c r="Y39" s="347">
        <f>IF(COUNTIF(tblSeverityAnalysis[[#This Row],[CCCM]:[WASH]], 3)=0, "", COUNTIF(tblSeverityAnalysis[[#This Row],[CCCM]:[WASH]], 3))</f>
        <v>4</v>
      </c>
      <c r="Z39" s="347">
        <f>IF(COUNTIF(tblSeverityAnalysis[[#This Row],[CCCM]:[WASH]], 4)=0, "", COUNTIF(tblSeverityAnalysis[[#This Row],[CCCM]:[WASH]], 4))</f>
        <v>3</v>
      </c>
      <c r="AA39" s="348" t="str">
        <f>IF(COUNTIF(tblSeverityAnalysis[[#This Row],[CCCM]:[WASH]], 5)=0, "", COUNTIF(tblSeverityAnalysis[[#This Row],[CCCM]:[WASH]], 5))</f>
        <v/>
      </c>
      <c r="AB39" s="61" cm="1">
        <f t="array" ref="AB3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3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39" s="42" t="str">
        <f>IFERROR(IF(INDEX(tblSeverityReference[Malnutrition Severity],MATCH(tblSeverityAnalysis[[#This Row],[ID]], tblSeverityReference[ID], 0))= "", "",INDEX(tblSeverityReference[Malnutrition Severity],MATCH(tblSeverityAnalysis[[#This Row],[ID]], tblSeverityReference[ID], 0)) ), "")</f>
        <v/>
      </c>
      <c r="AE39" s="319" t="str">
        <f>IFERROR(IF(INDEX(tblSeverityReference[Epidemic Severity],MATCH(tblSeverityAnalysis[[#This Row],[ID]], tblSeverityReference[ID], 0))= "", "",INDEX(tblSeverityReference[Epidemic Severity],MATCH(tblSeverityAnalysis[[#This Row],[ID]], tblSeverityReference[ID], 0)) ), "")</f>
        <v/>
      </c>
      <c r="AF39" s="319" t="str">
        <f>IFERROR(IF(INDEX(tblSeverityReference[Coping Strategy Severity],MATCH(tblSeverityAnalysis[[#This Row],[ID]], tblSeverityReference[ID], 0))= "", "",INDEX(tblSeverityReference[Coping Strategy Severity],MATCH(tblSeverityAnalysis[[#This Row],[ID]], tblSeverityReference[ID], 0)) ), "")</f>
        <v/>
      </c>
      <c r="AG39" s="110">
        <v>4</v>
      </c>
      <c r="AH39" s="83">
        <f>IFERROR(AVERAGE(tblSeverityAnalysis[[#This Row],[CCCM]:[WASH]]), "")</f>
        <v>3.5416666666666665</v>
      </c>
      <c r="AI39" s="27">
        <f>IF(SUM(tblSeverityAnalysis[[#This Row],[CCCM]:[WASH]])=0, "", MAX(tblSeverityAnalysis[[#This Row],[CCCM]:[WASH]]))</f>
        <v>4.333333333333333</v>
      </c>
      <c r="AJ39" s="349" t="str" cm="1">
        <f t="array" ref="AJ39">IFERROR(IF(tblSeverityAnalysis[[#This Row],[Highest Severity]]="", "", _xlfn.TEXTJOIN(CHAR(10), TRUE, IF(tblSeverityAnalysis[[#This Row],[CCCM]:[WASH]]=tblSeverityAnalysis[[#This Row],[Highest Severity]], tblSeverityAnalysis[[#Headers],[CCCM]:[WASH]], ""), "")), "")</f>
        <v>Health</v>
      </c>
      <c r="AK39" s="27" cm="1">
        <f t="array" ref="AK39">IFERROR(MAX(_xlfn._xlws.FILTER(tblSeverityAnalysis[[#This Row],[CCCM]:[WASH]], tblSeverityAnalysis[[#This Row],[CCCM]:[WASH]]&lt;tblSeverityAnalysis[[#This Row],[Highest Severity]])), "")</f>
        <v>4</v>
      </c>
      <c r="AL39" s="329" t="str" cm="1">
        <f t="array" ref="AL39">IFERROR(IF(tblSeverityAnalysis[[#This Row],[2nd Highest Severity]]="", "", _xlfn.TEXTJOIN(CHAR(10), TRUE, IF(tblSeverityAnalysis[[#This Row],[CCCM]:[WASH]]=tblSeverityAnalysis[[#This Row],[2nd Highest Severity]], tblSeverityAnalysis[[#Headers],[CCCM]:[WASH]], ""), "")), "")</f>
        <v>Education
Nutrition
Food Security</v>
      </c>
      <c r="AM39" s="135" t="str">
        <f>IFERROR(IF(AND(tblSeverityAnalysis[[#This Row],[5]] &lt;&gt; "", tblSeverityAnalysis[[#This Row],[5]]&gt;=sectors_sev_5), "Flagged", ""), "")</f>
        <v/>
      </c>
      <c r="AN39" s="136" t="str">
        <f>IFERROR(IF(AND(tblSeverityAnalysis[[#This Row],[Preliminary Intersectoral Severity based on overlap of sectoral deprivations]]=4, SUM(tblSeverityAnalysis[[#This Row],[ 4 ]:[5]])&gt;=sectors_sev_4), "Flagged", ""), "")</f>
        <v/>
      </c>
      <c r="AO39" s="136" t="str" cm="1">
        <f t="array" ref="AO3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9" s="351"/>
      <c r="AR39" s="352"/>
      <c r="AS39" s="351"/>
      <c r="AT39" s="353">
        <f>COUNTIF(tblSeverityAnalysis[[#This Row],[1 sector in severity phase 5 '[modify the threshold']]:[Manual Flag]], "Flagged")</f>
        <v>0</v>
      </c>
      <c r="AU39" s="354">
        <f>tblSeverityAnalysis[[#This Row],[Preliminary Intersectoral Severity based on overlap of sectoral deprivations]]</f>
        <v>4</v>
      </c>
      <c r="AV39" s="63">
        <v>4</v>
      </c>
      <c r="AW39" s="432">
        <v>2</v>
      </c>
      <c r="AZ39" t="b">
        <f>tblSeverityAnalysis[[#This Row],[Preliminary Intersectoral Severity based on overlap of sectoral deprivations]]=tblSeverityAnalysis[[#This Row],[Final Severity]]</f>
        <v>1</v>
      </c>
    </row>
    <row r="40" spans="1:52" ht="14.5" hidden="1" customHeight="1" x14ac:dyDescent="0.55000000000000004">
      <c r="A4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SS0503</v>
      </c>
      <c r="B40" s="40" t="s">
        <v>310</v>
      </c>
      <c r="C40" s="335" t="s">
        <v>311</v>
      </c>
      <c r="D40" s="335" t="s">
        <v>316</v>
      </c>
      <c r="E40" s="34" t="s">
        <v>317</v>
      </c>
      <c r="F40" s="34"/>
      <c r="G40" s="34"/>
      <c r="I40" s="97">
        <v>172063.2127607046</v>
      </c>
      <c r="J40" s="97"/>
      <c r="K40" s="400">
        <v>2</v>
      </c>
      <c r="L40" s="319">
        <v>4</v>
      </c>
      <c r="M40" s="319">
        <v>4</v>
      </c>
      <c r="N40" s="319">
        <v>4</v>
      </c>
      <c r="O40" s="319">
        <v>3.6666666666666665</v>
      </c>
      <c r="P40" s="319">
        <v>3</v>
      </c>
      <c r="Q40" s="35">
        <v>3</v>
      </c>
      <c r="R40" s="319">
        <v>3</v>
      </c>
      <c r="S40" s="319"/>
      <c r="T40" s="319"/>
      <c r="U40" s="319"/>
      <c r="V40" s="319"/>
      <c r="W40" s="346" t="str">
        <f>IF(COUNTIF(tblSeverityAnalysis[[#This Row],[CCCM]:[WASH]], 1)=0, "", COUNTIF(tblSeverityAnalysis[[#This Row],[CCCM]:[WASH]], 1))</f>
        <v/>
      </c>
      <c r="X40" s="347">
        <f>IF(COUNTIF(tblSeverityAnalysis[[#This Row],[CCCM]:[WASH]], 2)=0, "", COUNTIF(tblSeverityAnalysis[[#This Row],[CCCM]:[WASH]], 2))</f>
        <v>1</v>
      </c>
      <c r="Y40" s="347">
        <f>IF(COUNTIF(tblSeverityAnalysis[[#This Row],[CCCM]:[WASH]], 3)=0, "", COUNTIF(tblSeverityAnalysis[[#This Row],[CCCM]:[WASH]], 3))</f>
        <v>3</v>
      </c>
      <c r="Z40" s="347">
        <f>IF(COUNTIF(tblSeverityAnalysis[[#This Row],[CCCM]:[WASH]], 4)=0, "", COUNTIF(tblSeverityAnalysis[[#This Row],[CCCM]:[WASH]], 4))</f>
        <v>3</v>
      </c>
      <c r="AA40" s="348" t="str">
        <f>IF(COUNTIF(tblSeverityAnalysis[[#This Row],[CCCM]:[WASH]], 5)=0, "", COUNTIF(tblSeverityAnalysis[[#This Row],[CCCM]:[WASH]], 5))</f>
        <v/>
      </c>
      <c r="AB40" s="61" cm="1">
        <f t="array" ref="AB4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0" s="42" t="str">
        <f>IFERROR(IF(INDEX(tblSeverityReference[Malnutrition Severity],MATCH(tblSeverityAnalysis[[#This Row],[ID]], tblSeverityReference[ID], 0))= "", "",INDEX(tblSeverityReference[Malnutrition Severity],MATCH(tblSeverityAnalysis[[#This Row],[ID]], tblSeverityReference[ID], 0)) ), "")</f>
        <v/>
      </c>
      <c r="AE40" s="319" t="str">
        <f>IFERROR(IF(INDEX(tblSeverityReference[Epidemic Severity],MATCH(tblSeverityAnalysis[[#This Row],[ID]], tblSeverityReference[ID], 0))= "", "",INDEX(tblSeverityReference[Epidemic Severity],MATCH(tblSeverityAnalysis[[#This Row],[ID]], tblSeverityReference[ID], 0)) ), "")</f>
        <v/>
      </c>
      <c r="AF40" s="319" t="str">
        <f>IFERROR(IF(INDEX(tblSeverityReference[Coping Strategy Severity],MATCH(tblSeverityAnalysis[[#This Row],[ID]], tblSeverityReference[ID], 0))= "", "",INDEX(tblSeverityReference[Coping Strategy Severity],MATCH(tblSeverityAnalysis[[#This Row],[ID]], tblSeverityReference[ID], 0)) ), "")</f>
        <v/>
      </c>
      <c r="AG40" s="110">
        <v>3</v>
      </c>
      <c r="AH40" s="83">
        <f>IFERROR(AVERAGE(tblSeverityAnalysis[[#This Row],[CCCM]:[WASH]]), "")</f>
        <v>3.3333333333333335</v>
      </c>
      <c r="AI40" s="27">
        <f>IF(SUM(tblSeverityAnalysis[[#This Row],[CCCM]:[WASH]])=0, "", MAX(tblSeverityAnalysis[[#This Row],[CCCM]:[WASH]]))</f>
        <v>4</v>
      </c>
      <c r="AJ40" s="349" t="str" cm="1">
        <f t="array" ref="AJ40">IFERROR(IF(tblSeverityAnalysis[[#This Row],[Highest Severity]]="", "", _xlfn.TEXTJOIN(CHAR(10), TRUE, IF(tblSeverityAnalysis[[#This Row],[CCCM]:[WASH]]=tblSeverityAnalysis[[#This Row],[Highest Severity]], tblSeverityAnalysis[[#Headers],[CCCM]:[WASH]], ""), "")), "")</f>
        <v>Education
Nutrition
Food Security</v>
      </c>
      <c r="AK40" s="27" cm="1">
        <f t="array" ref="AK40">IFERROR(MAX(_xlfn._xlws.FILTER(tblSeverityAnalysis[[#This Row],[CCCM]:[WASH]], tblSeverityAnalysis[[#This Row],[CCCM]:[WASH]]&lt;tblSeverityAnalysis[[#This Row],[Highest Severity]])), "")</f>
        <v>3.6666666666666665</v>
      </c>
      <c r="AL40" s="329" t="str" cm="1">
        <f t="array" ref="AL40">IFERROR(IF(tblSeverityAnalysis[[#This Row],[2nd Highest Severity]]="", "", _xlfn.TEXTJOIN(CHAR(10), TRUE, IF(tblSeverityAnalysis[[#This Row],[CCCM]:[WASH]]=tblSeverityAnalysis[[#This Row],[2nd Highest Severity]], tblSeverityAnalysis[[#Headers],[CCCM]:[WASH]], ""), "")), "")</f>
        <v>Health</v>
      </c>
      <c r="AM40" s="135" t="str">
        <f>IFERROR(IF(AND(tblSeverityAnalysis[[#This Row],[5]] &lt;&gt; "", tblSeverityAnalysis[[#This Row],[5]]&gt;=sectors_sev_5), "Flagged", ""), "")</f>
        <v/>
      </c>
      <c r="AN40" s="136" t="str">
        <f>IFERROR(IF(AND(tblSeverityAnalysis[[#This Row],[Preliminary Intersectoral Severity based on overlap of sectoral deprivations]]=4, SUM(tblSeverityAnalysis[[#This Row],[ 4 ]:[5]])&gt;=sectors_sev_4), "Flagged", ""), "")</f>
        <v/>
      </c>
      <c r="AO40" s="136" t="str" cm="1">
        <f t="array" ref="AO4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0" s="351"/>
      <c r="AR40" s="352"/>
      <c r="AS40" s="351"/>
      <c r="AT40" s="353">
        <f>COUNTIF(tblSeverityAnalysis[[#This Row],[1 sector in severity phase 5 '[modify the threshold']]:[Manual Flag]], "Flagged")</f>
        <v>0</v>
      </c>
      <c r="AU40" s="354">
        <f>tblSeverityAnalysis[[#This Row],[Preliminary Intersectoral Severity based on overlap of sectoral deprivations]]</f>
        <v>3</v>
      </c>
      <c r="AV40" s="63">
        <v>3</v>
      </c>
      <c r="AW40" s="432">
        <v>2</v>
      </c>
      <c r="AZ40" t="b">
        <f>tblSeverityAnalysis[[#This Row],[Preliminary Intersectoral Severity based on overlap of sectoral deprivations]]=tblSeverityAnalysis[[#This Row],[Final Severity]]</f>
        <v>1</v>
      </c>
    </row>
    <row r="41" spans="1:52" ht="18.600000000000001" hidden="1" customHeight="1" x14ac:dyDescent="0.55000000000000004">
      <c r="A4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SS0504</v>
      </c>
      <c r="B41" s="40" t="s">
        <v>310</v>
      </c>
      <c r="C41" s="335" t="s">
        <v>311</v>
      </c>
      <c r="D41" s="335" t="s">
        <v>318</v>
      </c>
      <c r="E41" s="34" t="s">
        <v>319</v>
      </c>
      <c r="F41" s="34"/>
      <c r="G41" s="34"/>
      <c r="I41" s="97">
        <v>122900.59364965647</v>
      </c>
      <c r="J41" s="97"/>
      <c r="K41" s="400">
        <v>2</v>
      </c>
      <c r="L41" s="319">
        <v>4</v>
      </c>
      <c r="M41" s="319">
        <v>4</v>
      </c>
      <c r="N41" s="319">
        <v>4</v>
      </c>
      <c r="O41" s="319">
        <v>3.3333333333333335</v>
      </c>
      <c r="P41" s="319">
        <v>3</v>
      </c>
      <c r="Q41" s="35">
        <v>3</v>
      </c>
      <c r="R41" s="319">
        <v>3</v>
      </c>
      <c r="S41" s="319"/>
      <c r="T41" s="319"/>
      <c r="U41" s="319"/>
      <c r="V41" s="319"/>
      <c r="W41" s="346" t="str">
        <f>IF(COUNTIF(tblSeverityAnalysis[[#This Row],[CCCM]:[WASH]], 1)=0, "", COUNTIF(tblSeverityAnalysis[[#This Row],[CCCM]:[WASH]], 1))</f>
        <v/>
      </c>
      <c r="X41" s="347">
        <f>IF(COUNTIF(tblSeverityAnalysis[[#This Row],[CCCM]:[WASH]], 2)=0, "", COUNTIF(tblSeverityAnalysis[[#This Row],[CCCM]:[WASH]], 2))</f>
        <v>1</v>
      </c>
      <c r="Y41" s="347">
        <f>IF(COUNTIF(tblSeverityAnalysis[[#This Row],[CCCM]:[WASH]], 3)=0, "", COUNTIF(tblSeverityAnalysis[[#This Row],[CCCM]:[WASH]], 3))</f>
        <v>3</v>
      </c>
      <c r="Z41" s="347">
        <f>IF(COUNTIF(tblSeverityAnalysis[[#This Row],[CCCM]:[WASH]], 4)=0, "", COUNTIF(tblSeverityAnalysis[[#This Row],[CCCM]:[WASH]], 4))</f>
        <v>3</v>
      </c>
      <c r="AA41" s="348" t="str">
        <f>IF(COUNTIF(tblSeverityAnalysis[[#This Row],[CCCM]:[WASH]], 5)=0, "", COUNTIF(tblSeverityAnalysis[[#This Row],[CCCM]:[WASH]], 5))</f>
        <v/>
      </c>
      <c r="AB41" s="61" cm="1">
        <f t="array" ref="AB4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1" s="42" t="str">
        <f>IFERROR(IF(INDEX(tblSeverityReference[Malnutrition Severity],MATCH(tblSeverityAnalysis[[#This Row],[ID]], tblSeverityReference[ID], 0))= "", "",INDEX(tblSeverityReference[Malnutrition Severity],MATCH(tblSeverityAnalysis[[#This Row],[ID]], tblSeverityReference[ID], 0)) ), "")</f>
        <v/>
      </c>
      <c r="AE41" s="319" t="str">
        <f>IFERROR(IF(INDEX(tblSeverityReference[Epidemic Severity],MATCH(tblSeverityAnalysis[[#This Row],[ID]], tblSeverityReference[ID], 0))= "", "",INDEX(tblSeverityReference[Epidemic Severity],MATCH(tblSeverityAnalysis[[#This Row],[ID]], tblSeverityReference[ID], 0)) ), "")</f>
        <v/>
      </c>
      <c r="AF41" s="319" t="str">
        <f>IFERROR(IF(INDEX(tblSeverityReference[Coping Strategy Severity],MATCH(tblSeverityAnalysis[[#This Row],[ID]], tblSeverityReference[ID], 0))= "", "",INDEX(tblSeverityReference[Coping Strategy Severity],MATCH(tblSeverityAnalysis[[#This Row],[ID]], tblSeverityReference[ID], 0)) ), "")</f>
        <v/>
      </c>
      <c r="AG41" s="110">
        <v>3</v>
      </c>
      <c r="AH41" s="83">
        <f>IFERROR(AVERAGE(tblSeverityAnalysis[[#This Row],[CCCM]:[WASH]]), "")</f>
        <v>3.2916666666666665</v>
      </c>
      <c r="AI41" s="27">
        <f>IF(SUM(tblSeverityAnalysis[[#This Row],[CCCM]:[WASH]])=0, "", MAX(tblSeverityAnalysis[[#This Row],[CCCM]:[WASH]]))</f>
        <v>4</v>
      </c>
      <c r="AJ41" s="349" t="str" cm="1">
        <f t="array" ref="AJ41">IFERROR(IF(tblSeverityAnalysis[[#This Row],[Highest Severity]]="", "", _xlfn.TEXTJOIN(CHAR(10), TRUE, IF(tblSeverityAnalysis[[#This Row],[CCCM]:[WASH]]=tblSeverityAnalysis[[#This Row],[Highest Severity]], tblSeverityAnalysis[[#Headers],[CCCM]:[WASH]], ""), "")), "")</f>
        <v>Education
Nutrition
Food Security</v>
      </c>
      <c r="AK41" s="27" cm="1">
        <f t="array" ref="AK41">IFERROR(MAX(_xlfn._xlws.FILTER(tblSeverityAnalysis[[#This Row],[CCCM]:[WASH]], tblSeverityAnalysis[[#This Row],[CCCM]:[WASH]]&lt;tblSeverityAnalysis[[#This Row],[Highest Severity]])), "")</f>
        <v>3.3333333333333335</v>
      </c>
      <c r="AL41" s="329" t="str" cm="1">
        <f t="array" ref="AL41">IFERROR(IF(tblSeverityAnalysis[[#This Row],[2nd Highest Severity]]="", "", _xlfn.TEXTJOIN(CHAR(10), TRUE, IF(tblSeverityAnalysis[[#This Row],[CCCM]:[WASH]]=tblSeverityAnalysis[[#This Row],[2nd Highest Severity]], tblSeverityAnalysis[[#Headers],[CCCM]:[WASH]], ""), "")), "")</f>
        <v>Health</v>
      </c>
      <c r="AM41" s="135" t="str">
        <f>IFERROR(IF(AND(tblSeverityAnalysis[[#This Row],[5]] &lt;&gt; "", tblSeverityAnalysis[[#This Row],[5]]&gt;=sectors_sev_5), "Flagged", ""), "")</f>
        <v/>
      </c>
      <c r="AN41" s="136" t="str">
        <f>IFERROR(IF(AND(tblSeverityAnalysis[[#This Row],[Preliminary Intersectoral Severity based on overlap of sectoral deprivations]]=4, SUM(tblSeverityAnalysis[[#This Row],[ 4 ]:[5]])&gt;=sectors_sev_4), "Flagged", ""), "")</f>
        <v/>
      </c>
      <c r="AO41" s="136" t="str" cm="1">
        <f t="array" ref="AO4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1" s="351"/>
      <c r="AR41" s="352"/>
      <c r="AS41" s="351"/>
      <c r="AT41" s="353">
        <f>COUNTIF(tblSeverityAnalysis[[#This Row],[1 sector in severity phase 5 '[modify the threshold']]:[Manual Flag]], "Flagged")</f>
        <v>0</v>
      </c>
      <c r="AU41" s="354">
        <f>tblSeverityAnalysis[[#This Row],[Preliminary Intersectoral Severity based on overlap of sectoral deprivations]]</f>
        <v>3</v>
      </c>
      <c r="AV41" s="63">
        <v>3</v>
      </c>
      <c r="AW41" s="432">
        <v>2</v>
      </c>
      <c r="AZ41" t="b">
        <f>tblSeverityAnalysis[[#This Row],[Preliminary Intersectoral Severity based on overlap of sectoral deprivations]]=tblSeverityAnalysis[[#This Row],[Final Severity]]</f>
        <v>1</v>
      </c>
    </row>
    <row r="42" spans="1:52" ht="14.5" hidden="1" customHeight="1" x14ac:dyDescent="0.55000000000000004">
      <c r="A4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SS0505</v>
      </c>
      <c r="B42" s="40" t="s">
        <v>310</v>
      </c>
      <c r="C42" s="335" t="s">
        <v>311</v>
      </c>
      <c r="D42" s="335" t="s">
        <v>320</v>
      </c>
      <c r="E42" s="34" t="s">
        <v>321</v>
      </c>
      <c r="F42" s="34"/>
      <c r="G42" s="34"/>
      <c r="I42" s="97">
        <v>186134.6713660442</v>
      </c>
      <c r="J42" s="97"/>
      <c r="K42" s="400">
        <v>2</v>
      </c>
      <c r="L42" s="319">
        <v>3</v>
      </c>
      <c r="M42" s="319">
        <v>4</v>
      </c>
      <c r="N42" s="319">
        <v>3</v>
      </c>
      <c r="O42" s="319">
        <v>3.3333333333333335</v>
      </c>
      <c r="P42" s="319">
        <v>3</v>
      </c>
      <c r="Q42" s="35">
        <v>3</v>
      </c>
      <c r="R42" s="319">
        <v>3</v>
      </c>
      <c r="S42" s="319"/>
      <c r="T42" s="319"/>
      <c r="U42" s="319"/>
      <c r="V42" s="319"/>
      <c r="W42" s="346" t="str">
        <f>IF(COUNTIF(tblSeverityAnalysis[[#This Row],[CCCM]:[WASH]], 1)=0, "", COUNTIF(tblSeverityAnalysis[[#This Row],[CCCM]:[WASH]], 1))</f>
        <v/>
      </c>
      <c r="X42" s="347">
        <f>IF(COUNTIF(tblSeverityAnalysis[[#This Row],[CCCM]:[WASH]], 2)=0, "", COUNTIF(tblSeverityAnalysis[[#This Row],[CCCM]:[WASH]], 2))</f>
        <v>1</v>
      </c>
      <c r="Y42" s="347">
        <f>IF(COUNTIF(tblSeverityAnalysis[[#This Row],[CCCM]:[WASH]], 3)=0, "", COUNTIF(tblSeverityAnalysis[[#This Row],[CCCM]:[WASH]], 3))</f>
        <v>5</v>
      </c>
      <c r="Z42" s="347">
        <f>IF(COUNTIF(tblSeverityAnalysis[[#This Row],[CCCM]:[WASH]], 4)=0, "", COUNTIF(tblSeverityAnalysis[[#This Row],[CCCM]:[WASH]], 4))</f>
        <v>1</v>
      </c>
      <c r="AA42" s="348" t="str">
        <f>IF(COUNTIF(tblSeverityAnalysis[[#This Row],[CCCM]:[WASH]], 5)=0, "", COUNTIF(tblSeverityAnalysis[[#This Row],[CCCM]:[WASH]], 5))</f>
        <v/>
      </c>
      <c r="AB42" s="61" cm="1">
        <f t="array" ref="AB4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2" s="42" t="str">
        <f>IFERROR(IF(INDEX(tblSeverityReference[Malnutrition Severity],MATCH(tblSeverityAnalysis[[#This Row],[ID]], tblSeverityReference[ID], 0))= "", "",INDEX(tblSeverityReference[Malnutrition Severity],MATCH(tblSeverityAnalysis[[#This Row],[ID]], tblSeverityReference[ID], 0)) ), "")</f>
        <v/>
      </c>
      <c r="AE42" s="319" t="str">
        <f>IFERROR(IF(INDEX(tblSeverityReference[Epidemic Severity],MATCH(tblSeverityAnalysis[[#This Row],[ID]], tblSeverityReference[ID], 0))= "", "",INDEX(tblSeverityReference[Epidemic Severity],MATCH(tblSeverityAnalysis[[#This Row],[ID]], tblSeverityReference[ID], 0)) ), "")</f>
        <v/>
      </c>
      <c r="AF42" s="319" t="str">
        <f>IFERROR(IF(INDEX(tblSeverityReference[Coping Strategy Severity],MATCH(tblSeverityAnalysis[[#This Row],[ID]], tblSeverityReference[ID], 0))= "", "",INDEX(tblSeverityReference[Coping Strategy Severity],MATCH(tblSeverityAnalysis[[#This Row],[ID]], tblSeverityReference[ID], 0)) ), "")</f>
        <v/>
      </c>
      <c r="AG42" s="110">
        <v>3</v>
      </c>
      <c r="AH42" s="83">
        <f>IFERROR(AVERAGE(tblSeverityAnalysis[[#This Row],[CCCM]:[WASH]]), "")</f>
        <v>3.041666666666667</v>
      </c>
      <c r="AI42" s="27">
        <f>IF(SUM(tblSeverityAnalysis[[#This Row],[CCCM]:[WASH]])=0, "", MAX(tblSeverityAnalysis[[#This Row],[CCCM]:[WASH]]))</f>
        <v>4</v>
      </c>
      <c r="AJ42" s="349" t="str" cm="1">
        <f t="array" ref="AJ42">IFERROR(IF(tblSeverityAnalysis[[#This Row],[Highest Severity]]="", "", _xlfn.TEXTJOIN(CHAR(10), TRUE, IF(tblSeverityAnalysis[[#This Row],[CCCM]:[WASH]]=tblSeverityAnalysis[[#This Row],[Highest Severity]], tblSeverityAnalysis[[#Headers],[CCCM]:[WASH]], ""), "")), "")</f>
        <v>Nutrition</v>
      </c>
      <c r="AK42" s="27" cm="1">
        <f t="array" ref="AK42">IFERROR(MAX(_xlfn._xlws.FILTER(tblSeverityAnalysis[[#This Row],[CCCM]:[WASH]], tblSeverityAnalysis[[#This Row],[CCCM]:[WASH]]&lt;tblSeverityAnalysis[[#This Row],[Highest Severity]])), "")</f>
        <v>3.3333333333333335</v>
      </c>
      <c r="AL42" s="329" t="str" cm="1">
        <f t="array" ref="AL42">IFERROR(IF(tblSeverityAnalysis[[#This Row],[2nd Highest Severity]]="", "", _xlfn.TEXTJOIN(CHAR(10), TRUE, IF(tblSeverityAnalysis[[#This Row],[CCCM]:[WASH]]=tblSeverityAnalysis[[#This Row],[2nd Highest Severity]], tblSeverityAnalysis[[#Headers],[CCCM]:[WASH]], ""), "")), "")</f>
        <v>Health</v>
      </c>
      <c r="AM42" s="135" t="str">
        <f>IFERROR(IF(AND(tblSeverityAnalysis[[#This Row],[5]] &lt;&gt; "", tblSeverityAnalysis[[#This Row],[5]]&gt;=sectors_sev_5), "Flagged", ""), "")</f>
        <v/>
      </c>
      <c r="AN42" s="136" t="str">
        <f>IFERROR(IF(AND(tblSeverityAnalysis[[#This Row],[Preliminary Intersectoral Severity based on overlap of sectoral deprivations]]=4, SUM(tblSeverityAnalysis[[#This Row],[ 4 ]:[5]])&gt;=sectors_sev_4), "Flagged", ""), "")</f>
        <v/>
      </c>
      <c r="AO42" s="136" t="str" cm="1">
        <f t="array" ref="AO4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2" s="351"/>
      <c r="AR42" s="352"/>
      <c r="AS42" s="351"/>
      <c r="AT42" s="353">
        <f>COUNTIF(tblSeverityAnalysis[[#This Row],[1 sector in severity phase 5 '[modify the threshold']]:[Manual Flag]], "Flagged")</f>
        <v>0</v>
      </c>
      <c r="AU42" s="354">
        <f>tblSeverityAnalysis[[#This Row],[Preliminary Intersectoral Severity based on overlap of sectoral deprivations]]</f>
        <v>3</v>
      </c>
      <c r="AV42" s="63">
        <v>3</v>
      </c>
      <c r="AW42" s="432">
        <v>3</v>
      </c>
      <c r="AZ42" t="b">
        <f>tblSeverityAnalysis[[#This Row],[Preliminary Intersectoral Severity based on overlap of sectoral deprivations]]=tblSeverityAnalysis[[#This Row],[Final Severity]]</f>
        <v>1</v>
      </c>
    </row>
    <row r="43" spans="1:52" ht="14.5" hidden="1" customHeight="1" x14ac:dyDescent="0.55000000000000004">
      <c r="A4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SS0601</v>
      </c>
      <c r="B43" s="40" t="s">
        <v>322</v>
      </c>
      <c r="C43" s="335" t="s">
        <v>323</v>
      </c>
      <c r="D43" s="335" t="s">
        <v>324</v>
      </c>
      <c r="E43" s="34" t="s">
        <v>325</v>
      </c>
      <c r="F43" s="34"/>
      <c r="G43" s="34"/>
      <c r="I43" s="97">
        <v>49095.369789485732</v>
      </c>
      <c r="J43" s="97"/>
      <c r="K43" s="400">
        <v>2</v>
      </c>
      <c r="L43" s="319">
        <v>3</v>
      </c>
      <c r="M43" s="319">
        <v>4</v>
      </c>
      <c r="N43" s="319">
        <v>3</v>
      </c>
      <c r="O43" s="319">
        <v>3.3333333333333335</v>
      </c>
      <c r="P43" s="319">
        <v>3</v>
      </c>
      <c r="Q43" s="35">
        <v>3</v>
      </c>
      <c r="R43" s="319">
        <v>3</v>
      </c>
      <c r="S43" s="319"/>
      <c r="T43" s="319"/>
      <c r="U43" s="319"/>
      <c r="V43" s="319"/>
      <c r="W43" s="346" t="str">
        <f>IF(COUNTIF(tblSeverityAnalysis[[#This Row],[CCCM]:[WASH]], 1)=0, "", COUNTIF(tblSeverityAnalysis[[#This Row],[CCCM]:[WASH]], 1))</f>
        <v/>
      </c>
      <c r="X43" s="347">
        <f>IF(COUNTIF(tblSeverityAnalysis[[#This Row],[CCCM]:[WASH]], 2)=0, "", COUNTIF(tblSeverityAnalysis[[#This Row],[CCCM]:[WASH]], 2))</f>
        <v>1</v>
      </c>
      <c r="Y43" s="347">
        <f>IF(COUNTIF(tblSeverityAnalysis[[#This Row],[CCCM]:[WASH]], 3)=0, "", COUNTIF(tblSeverityAnalysis[[#This Row],[CCCM]:[WASH]], 3))</f>
        <v>5</v>
      </c>
      <c r="Z43" s="347">
        <f>IF(COUNTIF(tblSeverityAnalysis[[#This Row],[CCCM]:[WASH]], 4)=0, "", COUNTIF(tblSeverityAnalysis[[#This Row],[CCCM]:[WASH]], 4))</f>
        <v>1</v>
      </c>
      <c r="AA43" s="348" t="str">
        <f>IF(COUNTIF(tblSeverityAnalysis[[#This Row],[CCCM]:[WASH]], 5)=0, "", COUNTIF(tblSeverityAnalysis[[#This Row],[CCCM]:[WASH]], 5))</f>
        <v/>
      </c>
      <c r="AB43" s="61" cm="1">
        <f t="array" ref="AB4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3" s="42" t="str">
        <f>IFERROR(IF(INDEX(tblSeverityReference[Malnutrition Severity],MATCH(tblSeverityAnalysis[[#This Row],[ID]], tblSeverityReference[ID], 0))= "", "",INDEX(tblSeverityReference[Malnutrition Severity],MATCH(tblSeverityAnalysis[[#This Row],[ID]], tblSeverityReference[ID], 0)) ), "")</f>
        <v/>
      </c>
      <c r="AE43" s="319" t="str">
        <f>IFERROR(IF(INDEX(tblSeverityReference[Epidemic Severity],MATCH(tblSeverityAnalysis[[#This Row],[ID]], tblSeverityReference[ID], 0))= "", "",INDEX(tblSeverityReference[Epidemic Severity],MATCH(tblSeverityAnalysis[[#This Row],[ID]], tblSeverityReference[ID], 0)) ), "")</f>
        <v/>
      </c>
      <c r="AF43" s="319" t="str">
        <f>IFERROR(IF(INDEX(tblSeverityReference[Coping Strategy Severity],MATCH(tblSeverityAnalysis[[#This Row],[ID]], tblSeverityReference[ID], 0))= "", "",INDEX(tblSeverityReference[Coping Strategy Severity],MATCH(tblSeverityAnalysis[[#This Row],[ID]], tblSeverityReference[ID], 0)) ), "")</f>
        <v/>
      </c>
      <c r="AG43" s="110">
        <v>3</v>
      </c>
      <c r="AH43" s="83">
        <f>IFERROR(AVERAGE(tblSeverityAnalysis[[#This Row],[CCCM]:[WASH]]), "")</f>
        <v>3.041666666666667</v>
      </c>
      <c r="AI43" s="27">
        <f>IF(SUM(tblSeverityAnalysis[[#This Row],[CCCM]:[WASH]])=0, "", MAX(tblSeverityAnalysis[[#This Row],[CCCM]:[WASH]]))</f>
        <v>4</v>
      </c>
      <c r="AJ43" s="349" t="str" cm="1">
        <f t="array" ref="AJ43">IFERROR(IF(tblSeverityAnalysis[[#This Row],[Highest Severity]]="", "", _xlfn.TEXTJOIN(CHAR(10), TRUE, IF(tblSeverityAnalysis[[#This Row],[CCCM]:[WASH]]=tblSeverityAnalysis[[#This Row],[Highest Severity]], tblSeverityAnalysis[[#Headers],[CCCM]:[WASH]], ""), "")), "")</f>
        <v>Nutrition</v>
      </c>
      <c r="AK43" s="27" cm="1">
        <f t="array" ref="AK43">IFERROR(MAX(_xlfn._xlws.FILTER(tblSeverityAnalysis[[#This Row],[CCCM]:[WASH]], tblSeverityAnalysis[[#This Row],[CCCM]:[WASH]]&lt;tblSeverityAnalysis[[#This Row],[Highest Severity]])), "")</f>
        <v>3.3333333333333335</v>
      </c>
      <c r="AL43" s="329" t="str" cm="1">
        <f t="array" ref="AL43">IFERROR(IF(tblSeverityAnalysis[[#This Row],[2nd Highest Severity]]="", "", _xlfn.TEXTJOIN(CHAR(10), TRUE, IF(tblSeverityAnalysis[[#This Row],[CCCM]:[WASH]]=tblSeverityAnalysis[[#This Row],[2nd Highest Severity]], tblSeverityAnalysis[[#Headers],[CCCM]:[WASH]], ""), "")), "")</f>
        <v>Health</v>
      </c>
      <c r="AM43" s="135" t="str">
        <f>IFERROR(IF(AND(tblSeverityAnalysis[[#This Row],[5]] &lt;&gt; "", tblSeverityAnalysis[[#This Row],[5]]&gt;=sectors_sev_5), "Flagged", ""), "")</f>
        <v/>
      </c>
      <c r="AN43" s="136" t="str">
        <f>IFERROR(IF(AND(tblSeverityAnalysis[[#This Row],[Preliminary Intersectoral Severity based on overlap of sectoral deprivations]]=4, SUM(tblSeverityAnalysis[[#This Row],[ 4 ]:[5]])&gt;=sectors_sev_4), "Flagged", ""), "")</f>
        <v/>
      </c>
      <c r="AO43" s="136" t="str" cm="1">
        <f t="array" ref="AO4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3" s="351"/>
      <c r="AR43" s="352"/>
      <c r="AS43" s="351"/>
      <c r="AT43" s="353">
        <f>COUNTIF(tblSeverityAnalysis[[#This Row],[1 sector in severity phase 5 '[modify the threshold']]:[Manual Flag]], "Flagged")</f>
        <v>0</v>
      </c>
      <c r="AU43" s="354">
        <f>tblSeverityAnalysis[[#This Row],[Preliminary Intersectoral Severity based on overlap of sectoral deprivations]]</f>
        <v>3</v>
      </c>
      <c r="AV43" s="63">
        <v>3</v>
      </c>
      <c r="AW43" s="432">
        <v>4</v>
      </c>
      <c r="AZ43" t="b">
        <f>tblSeverityAnalysis[[#This Row],[Preliminary Intersectoral Severity based on overlap of sectoral deprivations]]=tblSeverityAnalysis[[#This Row],[Final Severity]]</f>
        <v>1</v>
      </c>
    </row>
    <row r="44" spans="1:52" ht="14.5" hidden="1" customHeight="1" x14ac:dyDescent="0.55000000000000004">
      <c r="A4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SS0602</v>
      </c>
      <c r="B44" s="40" t="s">
        <v>322</v>
      </c>
      <c r="C44" s="335" t="s">
        <v>323</v>
      </c>
      <c r="D44" s="335" t="s">
        <v>326</v>
      </c>
      <c r="E44" s="34" t="s">
        <v>327</v>
      </c>
      <c r="F44" s="34"/>
      <c r="G44" s="34"/>
      <c r="I44" s="97">
        <v>64761.885746132815</v>
      </c>
      <c r="J44" s="97"/>
      <c r="K44" s="400">
        <v>3</v>
      </c>
      <c r="L44" s="319">
        <v>3</v>
      </c>
      <c r="M44" s="319">
        <v>4</v>
      </c>
      <c r="N44" s="319">
        <v>4</v>
      </c>
      <c r="O44" s="319">
        <v>3</v>
      </c>
      <c r="P44" s="319">
        <v>3</v>
      </c>
      <c r="Q44" s="35">
        <v>3</v>
      </c>
      <c r="R44" s="319">
        <v>3</v>
      </c>
      <c r="S44" s="319"/>
      <c r="T44" s="319"/>
      <c r="U44" s="319"/>
      <c r="V44" s="319"/>
      <c r="W44" s="346" t="str">
        <f>IF(COUNTIF(tblSeverityAnalysis[[#This Row],[CCCM]:[WASH]], 1)=0, "", COUNTIF(tblSeverityAnalysis[[#This Row],[CCCM]:[WASH]], 1))</f>
        <v/>
      </c>
      <c r="X44" s="347" t="str">
        <f>IF(COUNTIF(tblSeverityAnalysis[[#This Row],[CCCM]:[WASH]], 2)=0, "", COUNTIF(tblSeverityAnalysis[[#This Row],[CCCM]:[WASH]], 2))</f>
        <v/>
      </c>
      <c r="Y44" s="347">
        <f>IF(COUNTIF(tblSeverityAnalysis[[#This Row],[CCCM]:[WASH]], 3)=0, "", COUNTIF(tblSeverityAnalysis[[#This Row],[CCCM]:[WASH]], 3))</f>
        <v>6</v>
      </c>
      <c r="Z44" s="347">
        <f>IF(COUNTIF(tblSeverityAnalysis[[#This Row],[CCCM]:[WASH]], 4)=0, "", COUNTIF(tblSeverityAnalysis[[#This Row],[CCCM]:[WASH]], 4))</f>
        <v>2</v>
      </c>
      <c r="AA44" s="348" t="str">
        <f>IF(COUNTIF(tblSeverityAnalysis[[#This Row],[CCCM]:[WASH]], 5)=0, "", COUNTIF(tblSeverityAnalysis[[#This Row],[CCCM]:[WASH]], 5))</f>
        <v/>
      </c>
      <c r="AB44" s="61" cm="1">
        <f t="array" ref="AB4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4" s="42" t="str">
        <f>IFERROR(IF(INDEX(tblSeverityReference[Malnutrition Severity],MATCH(tblSeverityAnalysis[[#This Row],[ID]], tblSeverityReference[ID], 0))= "", "",INDEX(tblSeverityReference[Malnutrition Severity],MATCH(tblSeverityAnalysis[[#This Row],[ID]], tblSeverityReference[ID], 0)) ), "")</f>
        <v/>
      </c>
      <c r="AE44" s="319" t="str">
        <f>IFERROR(IF(INDEX(tblSeverityReference[Epidemic Severity],MATCH(tblSeverityAnalysis[[#This Row],[ID]], tblSeverityReference[ID], 0))= "", "",INDEX(tblSeverityReference[Epidemic Severity],MATCH(tblSeverityAnalysis[[#This Row],[ID]], tblSeverityReference[ID], 0)) ), "")</f>
        <v/>
      </c>
      <c r="AF44" s="319" t="str">
        <f>IFERROR(IF(INDEX(tblSeverityReference[Coping Strategy Severity],MATCH(tblSeverityAnalysis[[#This Row],[ID]], tblSeverityReference[ID], 0))= "", "",INDEX(tblSeverityReference[Coping Strategy Severity],MATCH(tblSeverityAnalysis[[#This Row],[ID]], tblSeverityReference[ID], 0)) ), "")</f>
        <v/>
      </c>
      <c r="AG44" s="110">
        <v>3</v>
      </c>
      <c r="AH44" s="83">
        <f>IFERROR(AVERAGE(tblSeverityAnalysis[[#This Row],[CCCM]:[WASH]]), "")</f>
        <v>3.25</v>
      </c>
      <c r="AI44" s="27">
        <f>IF(SUM(tblSeverityAnalysis[[#This Row],[CCCM]:[WASH]])=0, "", MAX(tblSeverityAnalysis[[#This Row],[CCCM]:[WASH]]))</f>
        <v>4</v>
      </c>
      <c r="AJ44" s="349" t="str" cm="1">
        <f t="array" ref="AJ44">IFERROR(IF(tblSeverityAnalysis[[#This Row],[Highest Severity]]="", "", _xlfn.TEXTJOIN(CHAR(10), TRUE, IF(tblSeverityAnalysis[[#This Row],[CCCM]:[WASH]]=tblSeverityAnalysis[[#This Row],[Highest Severity]], tblSeverityAnalysis[[#Headers],[CCCM]:[WASH]], ""), "")), "")</f>
        <v>Nutrition
Food Security</v>
      </c>
      <c r="AK44" s="27" cm="1">
        <f t="array" ref="AK44">IFERROR(MAX(_xlfn._xlws.FILTER(tblSeverityAnalysis[[#This Row],[CCCM]:[WASH]], tblSeverityAnalysis[[#This Row],[CCCM]:[WASH]]&lt;tblSeverityAnalysis[[#This Row],[Highest Severity]])), "")</f>
        <v>3</v>
      </c>
      <c r="AL44" s="329" t="str" cm="1">
        <f t="array" ref="AL44">IFERROR(IF(tblSeverityAnalysis[[#This Row],[2nd Highest Severity]]="", "", _xlfn.TEXTJOIN(CHAR(10), TRUE, IF(tblSeverityAnalysis[[#This Row],[CCCM]:[WASH]]=tblSeverityAnalysis[[#This Row],[2nd Highest Severity]], tblSeverityAnalysis[[#Headers],[CCCM]:[WASH]], ""), "")), "")</f>
        <v>CCCM
Education
Health
Overarching Protection
Shelter
WASH</v>
      </c>
      <c r="AM44" s="135" t="str">
        <f>IFERROR(IF(AND(tblSeverityAnalysis[[#This Row],[5]] &lt;&gt; "", tblSeverityAnalysis[[#This Row],[5]]&gt;=sectors_sev_5), "Flagged", ""), "")</f>
        <v/>
      </c>
      <c r="AN44" s="136" t="str">
        <f>IFERROR(IF(AND(tblSeverityAnalysis[[#This Row],[Preliminary Intersectoral Severity based on overlap of sectoral deprivations]]=4, SUM(tblSeverityAnalysis[[#This Row],[ 4 ]:[5]])&gt;=sectors_sev_4), "Flagged", ""), "")</f>
        <v/>
      </c>
      <c r="AO44" s="136" t="str" cm="1">
        <f t="array" ref="AO4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4" s="351"/>
      <c r="AR44" s="352"/>
      <c r="AS44" s="351"/>
      <c r="AT44" s="353">
        <f>COUNTIF(tblSeverityAnalysis[[#This Row],[1 sector in severity phase 5 '[modify the threshold']]:[Manual Flag]], "Flagged")</f>
        <v>0</v>
      </c>
      <c r="AU44" s="354">
        <f>tblSeverityAnalysis[[#This Row],[Preliminary Intersectoral Severity based on overlap of sectoral deprivations]]</f>
        <v>3</v>
      </c>
      <c r="AV44" s="63">
        <v>3</v>
      </c>
      <c r="AW44" s="432">
        <v>3</v>
      </c>
      <c r="AZ44" t="b">
        <f>tblSeverityAnalysis[[#This Row],[Preliminary Intersectoral Severity based on overlap of sectoral deprivations]]=tblSeverityAnalysis[[#This Row],[Final Severity]]</f>
        <v>1</v>
      </c>
    </row>
    <row r="45" spans="1:52" ht="14.5" hidden="1" customHeight="1" x14ac:dyDescent="0.55000000000000004">
      <c r="A4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SS0603</v>
      </c>
      <c r="B45" s="40" t="s">
        <v>322</v>
      </c>
      <c r="C45" s="335" t="s">
        <v>323</v>
      </c>
      <c r="D45" s="335" t="s">
        <v>328</v>
      </c>
      <c r="E45" s="34" t="s">
        <v>329</v>
      </c>
      <c r="F45" s="34"/>
      <c r="G45" s="34"/>
      <c r="I45" s="97">
        <v>90971.550830283159</v>
      </c>
      <c r="J45" s="97"/>
      <c r="K45" s="400">
        <v>2</v>
      </c>
      <c r="L45" s="319">
        <v>3</v>
      </c>
      <c r="M45" s="319">
        <v>4</v>
      </c>
      <c r="N45" s="319">
        <v>3</v>
      </c>
      <c r="O45" s="319">
        <v>3.3333333333333335</v>
      </c>
      <c r="P45" s="319">
        <v>3</v>
      </c>
      <c r="Q45" s="35">
        <v>2</v>
      </c>
      <c r="R45" s="319">
        <v>3</v>
      </c>
      <c r="S45" s="319"/>
      <c r="T45" s="319"/>
      <c r="U45" s="319"/>
      <c r="V45" s="319"/>
      <c r="W45" s="346" t="str">
        <f>IF(COUNTIF(tblSeverityAnalysis[[#This Row],[CCCM]:[WASH]], 1)=0, "", COUNTIF(tblSeverityAnalysis[[#This Row],[CCCM]:[WASH]], 1))</f>
        <v/>
      </c>
      <c r="X45" s="347">
        <f>IF(COUNTIF(tblSeverityAnalysis[[#This Row],[CCCM]:[WASH]], 2)=0, "", COUNTIF(tblSeverityAnalysis[[#This Row],[CCCM]:[WASH]], 2))</f>
        <v>2</v>
      </c>
      <c r="Y45" s="347">
        <f>IF(COUNTIF(tblSeverityAnalysis[[#This Row],[CCCM]:[WASH]], 3)=0, "", COUNTIF(tblSeverityAnalysis[[#This Row],[CCCM]:[WASH]], 3))</f>
        <v>4</v>
      </c>
      <c r="Z45" s="347">
        <f>IF(COUNTIF(tblSeverityAnalysis[[#This Row],[CCCM]:[WASH]], 4)=0, "", COUNTIF(tblSeverityAnalysis[[#This Row],[CCCM]:[WASH]], 4))</f>
        <v>1</v>
      </c>
      <c r="AA45" s="348" t="str">
        <f>IF(COUNTIF(tblSeverityAnalysis[[#This Row],[CCCM]:[WASH]], 5)=0, "", COUNTIF(tblSeverityAnalysis[[#This Row],[CCCM]:[WASH]], 5))</f>
        <v/>
      </c>
      <c r="AB45" s="61" cm="1">
        <f t="array" ref="AB4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5" s="42" t="str">
        <f>IFERROR(IF(INDEX(tblSeverityReference[Malnutrition Severity],MATCH(tblSeverityAnalysis[[#This Row],[ID]], tblSeverityReference[ID], 0))= "", "",INDEX(tblSeverityReference[Malnutrition Severity],MATCH(tblSeverityAnalysis[[#This Row],[ID]], tblSeverityReference[ID], 0)) ), "")</f>
        <v/>
      </c>
      <c r="AE45" s="319" t="str">
        <f>IFERROR(IF(INDEX(tblSeverityReference[Epidemic Severity],MATCH(tblSeverityAnalysis[[#This Row],[ID]], tblSeverityReference[ID], 0))= "", "",INDEX(tblSeverityReference[Epidemic Severity],MATCH(tblSeverityAnalysis[[#This Row],[ID]], tblSeverityReference[ID], 0)) ), "")</f>
        <v/>
      </c>
      <c r="AF45" s="319" t="str">
        <f>IFERROR(IF(INDEX(tblSeverityReference[Coping Strategy Severity],MATCH(tblSeverityAnalysis[[#This Row],[ID]], tblSeverityReference[ID], 0))= "", "",INDEX(tblSeverityReference[Coping Strategy Severity],MATCH(tblSeverityAnalysis[[#This Row],[ID]], tblSeverityReference[ID], 0)) ), "")</f>
        <v/>
      </c>
      <c r="AG45" s="110">
        <v>3</v>
      </c>
      <c r="AH45" s="83">
        <f>IFERROR(AVERAGE(tblSeverityAnalysis[[#This Row],[CCCM]:[WASH]]), "")</f>
        <v>2.916666666666667</v>
      </c>
      <c r="AI45" s="27">
        <f>IF(SUM(tblSeverityAnalysis[[#This Row],[CCCM]:[WASH]])=0, "", MAX(tblSeverityAnalysis[[#This Row],[CCCM]:[WASH]]))</f>
        <v>4</v>
      </c>
      <c r="AJ45" s="349" t="str" cm="1">
        <f t="array" ref="AJ45">IFERROR(IF(tblSeverityAnalysis[[#This Row],[Highest Severity]]="", "", _xlfn.TEXTJOIN(CHAR(10), TRUE, IF(tblSeverityAnalysis[[#This Row],[CCCM]:[WASH]]=tblSeverityAnalysis[[#This Row],[Highest Severity]], tblSeverityAnalysis[[#Headers],[CCCM]:[WASH]], ""), "")), "")</f>
        <v>Nutrition</v>
      </c>
      <c r="AK45" s="27" cm="1">
        <f t="array" ref="AK45">IFERROR(MAX(_xlfn._xlws.FILTER(tblSeverityAnalysis[[#This Row],[CCCM]:[WASH]], tblSeverityAnalysis[[#This Row],[CCCM]:[WASH]]&lt;tblSeverityAnalysis[[#This Row],[Highest Severity]])), "")</f>
        <v>3.3333333333333335</v>
      </c>
      <c r="AL45" s="329" t="str" cm="1">
        <f t="array" ref="AL45">IFERROR(IF(tblSeverityAnalysis[[#This Row],[2nd Highest Severity]]="", "", _xlfn.TEXTJOIN(CHAR(10), TRUE, IF(tblSeverityAnalysis[[#This Row],[CCCM]:[WASH]]=tblSeverityAnalysis[[#This Row],[2nd Highest Severity]], tblSeverityAnalysis[[#Headers],[CCCM]:[WASH]], ""), "")), "")</f>
        <v>Health</v>
      </c>
      <c r="AM45" s="135" t="str">
        <f>IFERROR(IF(AND(tblSeverityAnalysis[[#This Row],[5]] &lt;&gt; "", tblSeverityAnalysis[[#This Row],[5]]&gt;=sectors_sev_5), "Flagged", ""), "")</f>
        <v/>
      </c>
      <c r="AN45" s="136" t="str">
        <f>IFERROR(IF(AND(tblSeverityAnalysis[[#This Row],[Preliminary Intersectoral Severity based on overlap of sectoral deprivations]]=4, SUM(tblSeverityAnalysis[[#This Row],[ 4 ]:[5]])&gt;=sectors_sev_4), "Flagged", ""), "")</f>
        <v/>
      </c>
      <c r="AO45" s="136" t="str" cm="1">
        <f t="array" ref="AO4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5" s="351"/>
      <c r="AR45" s="352"/>
      <c r="AS45" s="351"/>
      <c r="AT45" s="353">
        <f>COUNTIF(tblSeverityAnalysis[[#This Row],[1 sector in severity phase 5 '[modify the threshold']]:[Manual Flag]], "Flagged")</f>
        <v>0</v>
      </c>
      <c r="AU45" s="354">
        <f>tblSeverityAnalysis[[#This Row],[Preliminary Intersectoral Severity based on overlap of sectoral deprivations]]</f>
        <v>3</v>
      </c>
      <c r="AV45" s="63">
        <v>3</v>
      </c>
      <c r="AW45" s="432">
        <v>3</v>
      </c>
      <c r="AZ45" t="b">
        <f>tblSeverityAnalysis[[#This Row],[Preliminary Intersectoral Severity based on overlap of sectoral deprivations]]=tblSeverityAnalysis[[#This Row],[Final Severity]]</f>
        <v>1</v>
      </c>
    </row>
    <row r="46" spans="1:52" ht="14.5" hidden="1" customHeight="1" x14ac:dyDescent="0.55000000000000004">
      <c r="A4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SS0604</v>
      </c>
      <c r="B46" s="40" t="s">
        <v>322</v>
      </c>
      <c r="C46" s="335" t="s">
        <v>323</v>
      </c>
      <c r="D46" s="335" t="s">
        <v>330</v>
      </c>
      <c r="E46" s="34" t="s">
        <v>331</v>
      </c>
      <c r="F46" s="34"/>
      <c r="G46" s="34"/>
      <c r="I46" s="97">
        <v>77470.827526075853</v>
      </c>
      <c r="J46" s="97"/>
      <c r="K46" s="400">
        <v>3</v>
      </c>
      <c r="L46" s="319">
        <v>3</v>
      </c>
      <c r="M46" s="319">
        <v>4</v>
      </c>
      <c r="N46" s="319">
        <v>4</v>
      </c>
      <c r="O46" s="319">
        <v>3.6666666666666665</v>
      </c>
      <c r="P46" s="319">
        <v>3</v>
      </c>
      <c r="Q46" s="35">
        <v>3</v>
      </c>
      <c r="R46" s="319">
        <v>3</v>
      </c>
      <c r="S46" s="319"/>
      <c r="T46" s="319"/>
      <c r="U46" s="319"/>
      <c r="V46" s="319"/>
      <c r="W46" s="346" t="str">
        <f>IF(COUNTIF(tblSeverityAnalysis[[#This Row],[CCCM]:[WASH]], 1)=0, "", COUNTIF(tblSeverityAnalysis[[#This Row],[CCCM]:[WASH]], 1))</f>
        <v/>
      </c>
      <c r="X46" s="347" t="str">
        <f>IF(COUNTIF(tblSeverityAnalysis[[#This Row],[CCCM]:[WASH]], 2)=0, "", COUNTIF(tblSeverityAnalysis[[#This Row],[CCCM]:[WASH]], 2))</f>
        <v/>
      </c>
      <c r="Y46" s="347">
        <f>IF(COUNTIF(tblSeverityAnalysis[[#This Row],[CCCM]:[WASH]], 3)=0, "", COUNTIF(tblSeverityAnalysis[[#This Row],[CCCM]:[WASH]], 3))</f>
        <v>5</v>
      </c>
      <c r="Z46" s="347">
        <f>IF(COUNTIF(tblSeverityAnalysis[[#This Row],[CCCM]:[WASH]], 4)=0, "", COUNTIF(tblSeverityAnalysis[[#This Row],[CCCM]:[WASH]], 4))</f>
        <v>2</v>
      </c>
      <c r="AA46" s="348" t="str">
        <f>IF(COUNTIF(tblSeverityAnalysis[[#This Row],[CCCM]:[WASH]], 5)=0, "", COUNTIF(tblSeverityAnalysis[[#This Row],[CCCM]:[WASH]], 5))</f>
        <v/>
      </c>
      <c r="AB46" s="61" cm="1">
        <f t="array" ref="AB4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6" s="42" t="str">
        <f>IFERROR(IF(INDEX(tblSeverityReference[Malnutrition Severity],MATCH(tblSeverityAnalysis[[#This Row],[ID]], tblSeverityReference[ID], 0))= "", "",INDEX(tblSeverityReference[Malnutrition Severity],MATCH(tblSeverityAnalysis[[#This Row],[ID]], tblSeverityReference[ID], 0)) ), "")</f>
        <v/>
      </c>
      <c r="AE46" s="319" t="str">
        <f>IFERROR(IF(INDEX(tblSeverityReference[Epidemic Severity],MATCH(tblSeverityAnalysis[[#This Row],[ID]], tblSeverityReference[ID], 0))= "", "",INDEX(tblSeverityReference[Epidemic Severity],MATCH(tblSeverityAnalysis[[#This Row],[ID]], tblSeverityReference[ID], 0)) ), "")</f>
        <v/>
      </c>
      <c r="AF46" s="319" t="str">
        <f>IFERROR(IF(INDEX(tblSeverityReference[Coping Strategy Severity],MATCH(tblSeverityAnalysis[[#This Row],[ID]], tblSeverityReference[ID], 0))= "", "",INDEX(tblSeverityReference[Coping Strategy Severity],MATCH(tblSeverityAnalysis[[#This Row],[ID]], tblSeverityReference[ID], 0)) ), "")</f>
        <v/>
      </c>
      <c r="AG46" s="110">
        <v>3</v>
      </c>
      <c r="AH46" s="83">
        <f>IFERROR(AVERAGE(tblSeverityAnalysis[[#This Row],[CCCM]:[WASH]]), "")</f>
        <v>3.3333333333333335</v>
      </c>
      <c r="AI46" s="27">
        <f>IF(SUM(tblSeverityAnalysis[[#This Row],[CCCM]:[WASH]])=0, "", MAX(tblSeverityAnalysis[[#This Row],[CCCM]:[WASH]]))</f>
        <v>4</v>
      </c>
      <c r="AJ46" s="349" t="str" cm="1">
        <f t="array" ref="AJ46">IFERROR(IF(tblSeverityAnalysis[[#This Row],[Highest Severity]]="", "", _xlfn.TEXTJOIN(CHAR(10), TRUE, IF(tblSeverityAnalysis[[#This Row],[CCCM]:[WASH]]=tblSeverityAnalysis[[#This Row],[Highest Severity]], tblSeverityAnalysis[[#Headers],[CCCM]:[WASH]], ""), "")), "")</f>
        <v>Nutrition
Food Security</v>
      </c>
      <c r="AK46" s="27" cm="1">
        <f t="array" ref="AK46">IFERROR(MAX(_xlfn._xlws.FILTER(tblSeverityAnalysis[[#This Row],[CCCM]:[WASH]], tblSeverityAnalysis[[#This Row],[CCCM]:[WASH]]&lt;tblSeverityAnalysis[[#This Row],[Highest Severity]])), "")</f>
        <v>3.6666666666666665</v>
      </c>
      <c r="AL46" s="329" t="str" cm="1">
        <f t="array" ref="AL46">IFERROR(IF(tblSeverityAnalysis[[#This Row],[2nd Highest Severity]]="", "", _xlfn.TEXTJOIN(CHAR(10), TRUE, IF(tblSeverityAnalysis[[#This Row],[CCCM]:[WASH]]=tblSeverityAnalysis[[#This Row],[2nd Highest Severity]], tblSeverityAnalysis[[#Headers],[CCCM]:[WASH]], ""), "")), "")</f>
        <v>Health</v>
      </c>
      <c r="AM46" s="135" t="str">
        <f>IFERROR(IF(AND(tblSeverityAnalysis[[#This Row],[5]] &lt;&gt; "", tblSeverityAnalysis[[#This Row],[5]]&gt;=sectors_sev_5), "Flagged", ""), "")</f>
        <v/>
      </c>
      <c r="AN46" s="136" t="str">
        <f>IFERROR(IF(AND(tblSeverityAnalysis[[#This Row],[Preliminary Intersectoral Severity based on overlap of sectoral deprivations]]=4, SUM(tblSeverityAnalysis[[#This Row],[ 4 ]:[5]])&gt;=sectors_sev_4), "Flagged", ""), "")</f>
        <v/>
      </c>
      <c r="AO46" s="136" t="str" cm="1">
        <f t="array" ref="AO4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6" s="351"/>
      <c r="AR46" s="352"/>
      <c r="AS46" s="351"/>
      <c r="AT46" s="353">
        <f>COUNTIF(tblSeverityAnalysis[[#This Row],[1 sector in severity phase 5 '[modify the threshold']]:[Manual Flag]], "Flagged")</f>
        <v>0</v>
      </c>
      <c r="AU46" s="354">
        <f>tblSeverityAnalysis[[#This Row],[Preliminary Intersectoral Severity based on overlap of sectoral deprivations]]</f>
        <v>3</v>
      </c>
      <c r="AV46" s="63">
        <v>3</v>
      </c>
      <c r="AW46" s="432">
        <v>2</v>
      </c>
      <c r="AZ46" t="b">
        <f>tblSeverityAnalysis[[#This Row],[Preliminary Intersectoral Severity based on overlap of sectoral deprivations]]=tblSeverityAnalysis[[#This Row],[Final Severity]]</f>
        <v>1</v>
      </c>
    </row>
    <row r="47" spans="1:52" ht="14.5" hidden="1" customHeight="1" x14ac:dyDescent="0.55000000000000004">
      <c r="A4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SS0605</v>
      </c>
      <c r="B47" s="40" t="s">
        <v>322</v>
      </c>
      <c r="C47" s="335" t="s">
        <v>323</v>
      </c>
      <c r="D47" s="335" t="s">
        <v>332</v>
      </c>
      <c r="E47" s="34" t="s">
        <v>333</v>
      </c>
      <c r="F47" s="34"/>
      <c r="G47" s="34"/>
      <c r="I47" s="97">
        <v>66149.211196983248</v>
      </c>
      <c r="J47" s="97"/>
      <c r="K47" s="400">
        <v>3</v>
      </c>
      <c r="L47" s="319">
        <v>4</v>
      </c>
      <c r="M47" s="319">
        <v>4</v>
      </c>
      <c r="N47" s="319">
        <v>4</v>
      </c>
      <c r="O47" s="319">
        <v>3.6666666666666665</v>
      </c>
      <c r="P47" s="319">
        <v>3</v>
      </c>
      <c r="Q47" s="35">
        <v>4</v>
      </c>
      <c r="R47" s="319">
        <v>3</v>
      </c>
      <c r="S47" s="319"/>
      <c r="T47" s="319"/>
      <c r="U47" s="319"/>
      <c r="V47" s="319"/>
      <c r="W47" s="346" t="str">
        <f>IF(COUNTIF(tblSeverityAnalysis[[#This Row],[CCCM]:[WASH]], 1)=0, "", COUNTIF(tblSeverityAnalysis[[#This Row],[CCCM]:[WASH]], 1))</f>
        <v/>
      </c>
      <c r="X47" s="347" t="str">
        <f>IF(COUNTIF(tblSeverityAnalysis[[#This Row],[CCCM]:[WASH]], 2)=0, "", COUNTIF(tblSeverityAnalysis[[#This Row],[CCCM]:[WASH]], 2))</f>
        <v/>
      </c>
      <c r="Y47" s="347">
        <f>IF(COUNTIF(tblSeverityAnalysis[[#This Row],[CCCM]:[WASH]], 3)=0, "", COUNTIF(tblSeverityAnalysis[[#This Row],[CCCM]:[WASH]], 3))</f>
        <v>3</v>
      </c>
      <c r="Z47" s="347">
        <f>IF(COUNTIF(tblSeverityAnalysis[[#This Row],[CCCM]:[WASH]], 4)=0, "", COUNTIF(tblSeverityAnalysis[[#This Row],[CCCM]:[WASH]], 4))</f>
        <v>4</v>
      </c>
      <c r="AA47" s="348" t="str">
        <f>IF(COUNTIF(tblSeverityAnalysis[[#This Row],[CCCM]:[WASH]], 5)=0, "", COUNTIF(tblSeverityAnalysis[[#This Row],[CCCM]:[WASH]], 5))</f>
        <v/>
      </c>
      <c r="AB47" s="61" cm="1">
        <f t="array" ref="AB4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4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7" s="42" t="str">
        <f>IFERROR(IF(INDEX(tblSeverityReference[Malnutrition Severity],MATCH(tblSeverityAnalysis[[#This Row],[ID]], tblSeverityReference[ID], 0))= "", "",INDEX(tblSeverityReference[Malnutrition Severity],MATCH(tblSeverityAnalysis[[#This Row],[ID]], tblSeverityReference[ID], 0)) ), "")</f>
        <v/>
      </c>
      <c r="AE47" s="319" t="str">
        <f>IFERROR(IF(INDEX(tblSeverityReference[Epidemic Severity],MATCH(tblSeverityAnalysis[[#This Row],[ID]], tblSeverityReference[ID], 0))= "", "",INDEX(tblSeverityReference[Epidemic Severity],MATCH(tblSeverityAnalysis[[#This Row],[ID]], tblSeverityReference[ID], 0)) ), "")</f>
        <v/>
      </c>
      <c r="AF47" s="319" t="str">
        <f>IFERROR(IF(INDEX(tblSeverityReference[Coping Strategy Severity],MATCH(tblSeverityAnalysis[[#This Row],[ID]], tblSeverityReference[ID], 0))= "", "",INDEX(tblSeverityReference[Coping Strategy Severity],MATCH(tblSeverityAnalysis[[#This Row],[ID]], tblSeverityReference[ID], 0)) ), "")</f>
        <v/>
      </c>
      <c r="AG47" s="110">
        <v>4</v>
      </c>
      <c r="AH47" s="83">
        <f>IFERROR(AVERAGE(tblSeverityAnalysis[[#This Row],[CCCM]:[WASH]]), "")</f>
        <v>3.5833333333333335</v>
      </c>
      <c r="AI47" s="27">
        <f>IF(SUM(tblSeverityAnalysis[[#This Row],[CCCM]:[WASH]])=0, "", MAX(tblSeverityAnalysis[[#This Row],[CCCM]:[WASH]]))</f>
        <v>4</v>
      </c>
      <c r="AJ47" s="349" t="str" cm="1">
        <f t="array" ref="AJ47">IFERROR(IF(tblSeverityAnalysis[[#This Row],[Highest Severity]]="", "", _xlfn.TEXTJOIN(CHAR(10), TRUE, IF(tblSeverityAnalysis[[#This Row],[CCCM]:[WASH]]=tblSeverityAnalysis[[#This Row],[Highest Severity]], tblSeverityAnalysis[[#Headers],[CCCM]:[WASH]], ""), "")), "")</f>
        <v>Education
Nutrition
Food Security
Shelter</v>
      </c>
      <c r="AK47" s="27" cm="1">
        <f t="array" ref="AK47">IFERROR(MAX(_xlfn._xlws.FILTER(tblSeverityAnalysis[[#This Row],[CCCM]:[WASH]], tblSeverityAnalysis[[#This Row],[CCCM]:[WASH]]&lt;tblSeverityAnalysis[[#This Row],[Highest Severity]])), "")</f>
        <v>3.6666666666666665</v>
      </c>
      <c r="AL47" s="329" t="str" cm="1">
        <f t="array" ref="AL47">IFERROR(IF(tblSeverityAnalysis[[#This Row],[2nd Highest Severity]]="", "", _xlfn.TEXTJOIN(CHAR(10), TRUE, IF(tblSeverityAnalysis[[#This Row],[CCCM]:[WASH]]=tblSeverityAnalysis[[#This Row],[2nd Highest Severity]], tblSeverityAnalysis[[#Headers],[CCCM]:[WASH]], ""), "")), "")</f>
        <v>Health</v>
      </c>
      <c r="AM47" s="135" t="str">
        <f>IFERROR(IF(AND(tblSeverityAnalysis[[#This Row],[5]] &lt;&gt; "", tblSeverityAnalysis[[#This Row],[5]]&gt;=sectors_sev_5), "Flagged", ""), "")</f>
        <v/>
      </c>
      <c r="AN47" s="136" t="str">
        <f>IFERROR(IF(AND(tblSeverityAnalysis[[#This Row],[Preliminary Intersectoral Severity based on overlap of sectoral deprivations]]=4, SUM(tblSeverityAnalysis[[#This Row],[ 4 ]:[5]])&gt;=sectors_sev_4), "Flagged", ""), "")</f>
        <v/>
      </c>
      <c r="AO47" s="136" t="str" cm="1">
        <f t="array" ref="AO4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7" s="351"/>
      <c r="AR47" s="352"/>
      <c r="AS47" s="351"/>
      <c r="AT47" s="353">
        <f>COUNTIF(tblSeverityAnalysis[[#This Row],[1 sector in severity phase 5 '[modify the threshold']]:[Manual Flag]], "Flagged")</f>
        <v>0</v>
      </c>
      <c r="AU47" s="354">
        <f>tblSeverityAnalysis[[#This Row],[Preliminary Intersectoral Severity based on overlap of sectoral deprivations]]</f>
        <v>4</v>
      </c>
      <c r="AV47" s="63">
        <v>4</v>
      </c>
      <c r="AW47" s="432">
        <v>2</v>
      </c>
      <c r="AZ47" t="b">
        <f>tblSeverityAnalysis[[#This Row],[Preliminary Intersectoral Severity based on overlap of sectoral deprivations]]=tblSeverityAnalysis[[#This Row],[Final Severity]]</f>
        <v>1</v>
      </c>
    </row>
    <row r="48" spans="1:52" ht="14.5" hidden="1" customHeight="1" x14ac:dyDescent="0.55000000000000004">
      <c r="A4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SS0606</v>
      </c>
      <c r="B48" s="40" t="s">
        <v>322</v>
      </c>
      <c r="C48" s="335" t="s">
        <v>323</v>
      </c>
      <c r="D48" s="335" t="s">
        <v>334</v>
      </c>
      <c r="E48" s="34" t="s">
        <v>335</v>
      </c>
      <c r="F48" s="34"/>
      <c r="G48" s="34"/>
      <c r="I48" s="97">
        <v>146312.27736964542</v>
      </c>
      <c r="J48" s="97"/>
      <c r="K48" s="400">
        <v>2</v>
      </c>
      <c r="L48" s="319">
        <v>4</v>
      </c>
      <c r="M48" s="319">
        <v>4</v>
      </c>
      <c r="N48" s="319">
        <v>3</v>
      </c>
      <c r="O48" s="319">
        <v>3.3333333333333335</v>
      </c>
      <c r="P48" s="319">
        <v>3</v>
      </c>
      <c r="Q48" s="35">
        <v>3</v>
      </c>
      <c r="R48" s="319">
        <v>3</v>
      </c>
      <c r="S48" s="319"/>
      <c r="T48" s="319"/>
      <c r="U48" s="319"/>
      <c r="V48" s="319"/>
      <c r="W48" s="346" t="str">
        <f>IF(COUNTIF(tblSeverityAnalysis[[#This Row],[CCCM]:[WASH]], 1)=0, "", COUNTIF(tblSeverityAnalysis[[#This Row],[CCCM]:[WASH]], 1))</f>
        <v/>
      </c>
      <c r="X48" s="347">
        <f>IF(COUNTIF(tblSeverityAnalysis[[#This Row],[CCCM]:[WASH]], 2)=0, "", COUNTIF(tblSeverityAnalysis[[#This Row],[CCCM]:[WASH]], 2))</f>
        <v>1</v>
      </c>
      <c r="Y48" s="347">
        <f>IF(COUNTIF(tblSeverityAnalysis[[#This Row],[CCCM]:[WASH]], 3)=0, "", COUNTIF(tblSeverityAnalysis[[#This Row],[CCCM]:[WASH]], 3))</f>
        <v>4</v>
      </c>
      <c r="Z48" s="347">
        <f>IF(COUNTIF(tblSeverityAnalysis[[#This Row],[CCCM]:[WASH]], 4)=0, "", COUNTIF(tblSeverityAnalysis[[#This Row],[CCCM]:[WASH]], 4))</f>
        <v>2</v>
      </c>
      <c r="AA48" s="348" t="str">
        <f>IF(COUNTIF(tblSeverityAnalysis[[#This Row],[CCCM]:[WASH]], 5)=0, "", COUNTIF(tblSeverityAnalysis[[#This Row],[CCCM]:[WASH]], 5))</f>
        <v/>
      </c>
      <c r="AB48" s="61" cm="1">
        <f t="array" ref="AB4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8" s="42" t="str">
        <f>IFERROR(IF(INDEX(tblSeverityReference[Malnutrition Severity],MATCH(tblSeverityAnalysis[[#This Row],[ID]], tblSeverityReference[ID], 0))= "", "",INDEX(tblSeverityReference[Malnutrition Severity],MATCH(tblSeverityAnalysis[[#This Row],[ID]], tblSeverityReference[ID], 0)) ), "")</f>
        <v/>
      </c>
      <c r="AE48" s="319" t="str">
        <f>IFERROR(IF(INDEX(tblSeverityReference[Epidemic Severity],MATCH(tblSeverityAnalysis[[#This Row],[ID]], tblSeverityReference[ID], 0))= "", "",INDEX(tblSeverityReference[Epidemic Severity],MATCH(tblSeverityAnalysis[[#This Row],[ID]], tblSeverityReference[ID], 0)) ), "")</f>
        <v/>
      </c>
      <c r="AF48" s="319" t="str">
        <f>IFERROR(IF(INDEX(tblSeverityReference[Coping Strategy Severity],MATCH(tblSeverityAnalysis[[#This Row],[ID]], tblSeverityReference[ID], 0))= "", "",INDEX(tblSeverityReference[Coping Strategy Severity],MATCH(tblSeverityAnalysis[[#This Row],[ID]], tblSeverityReference[ID], 0)) ), "")</f>
        <v/>
      </c>
      <c r="AG48" s="110">
        <v>3</v>
      </c>
      <c r="AH48" s="83">
        <f>IFERROR(AVERAGE(tblSeverityAnalysis[[#This Row],[CCCM]:[WASH]]), "")</f>
        <v>3.1666666666666665</v>
      </c>
      <c r="AI48" s="27">
        <f>IF(SUM(tblSeverityAnalysis[[#This Row],[CCCM]:[WASH]])=0, "", MAX(tblSeverityAnalysis[[#This Row],[CCCM]:[WASH]]))</f>
        <v>4</v>
      </c>
      <c r="AJ48" s="349" t="str" cm="1">
        <f t="array" ref="AJ48">IFERROR(IF(tblSeverityAnalysis[[#This Row],[Highest Severity]]="", "", _xlfn.TEXTJOIN(CHAR(10), TRUE, IF(tblSeverityAnalysis[[#This Row],[CCCM]:[WASH]]=tblSeverityAnalysis[[#This Row],[Highest Severity]], tblSeverityAnalysis[[#Headers],[CCCM]:[WASH]], ""), "")), "")</f>
        <v>Education
Nutrition</v>
      </c>
      <c r="AK48" s="27" cm="1">
        <f t="array" ref="AK48">IFERROR(MAX(_xlfn._xlws.FILTER(tblSeverityAnalysis[[#This Row],[CCCM]:[WASH]], tblSeverityAnalysis[[#This Row],[CCCM]:[WASH]]&lt;tblSeverityAnalysis[[#This Row],[Highest Severity]])), "")</f>
        <v>3.3333333333333335</v>
      </c>
      <c r="AL48" s="329" t="str" cm="1">
        <f t="array" ref="AL48">IFERROR(IF(tblSeverityAnalysis[[#This Row],[2nd Highest Severity]]="", "", _xlfn.TEXTJOIN(CHAR(10), TRUE, IF(tblSeverityAnalysis[[#This Row],[CCCM]:[WASH]]=tblSeverityAnalysis[[#This Row],[2nd Highest Severity]], tblSeverityAnalysis[[#Headers],[CCCM]:[WASH]], ""), "")), "")</f>
        <v>Health</v>
      </c>
      <c r="AM48" s="135" t="str">
        <f>IFERROR(IF(AND(tblSeverityAnalysis[[#This Row],[5]] &lt;&gt; "", tblSeverityAnalysis[[#This Row],[5]]&gt;=sectors_sev_5), "Flagged", ""), "")</f>
        <v/>
      </c>
      <c r="AN48" s="136" t="str">
        <f>IFERROR(IF(AND(tblSeverityAnalysis[[#This Row],[Preliminary Intersectoral Severity based on overlap of sectoral deprivations]]=4, SUM(tblSeverityAnalysis[[#This Row],[ 4 ]:[5]])&gt;=sectors_sev_4), "Flagged", ""), "")</f>
        <v/>
      </c>
      <c r="AO48" s="136" t="str" cm="1">
        <f t="array" ref="AO4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8" s="351"/>
      <c r="AR48" s="352"/>
      <c r="AS48" s="351"/>
      <c r="AT48" s="353">
        <f>COUNTIF(tblSeverityAnalysis[[#This Row],[1 sector in severity phase 5 '[modify the threshold']]:[Manual Flag]], "Flagged")</f>
        <v>0</v>
      </c>
      <c r="AU48" s="354">
        <f>tblSeverityAnalysis[[#This Row],[Preliminary Intersectoral Severity based on overlap of sectoral deprivations]]</f>
        <v>3</v>
      </c>
      <c r="AV48" s="63">
        <v>3</v>
      </c>
      <c r="AW48" s="432">
        <v>3</v>
      </c>
      <c r="AZ48" t="b">
        <f>tblSeverityAnalysis[[#This Row],[Preliminary Intersectoral Severity based on overlap of sectoral deprivations]]=tblSeverityAnalysis[[#This Row],[Final Severity]]</f>
        <v>1</v>
      </c>
    </row>
    <row r="49" spans="1:53" ht="14.5" hidden="1" customHeight="1" x14ac:dyDescent="0.55000000000000004">
      <c r="A4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SS0607</v>
      </c>
      <c r="B49" s="40" t="s">
        <v>322</v>
      </c>
      <c r="C49" s="335" t="s">
        <v>323</v>
      </c>
      <c r="D49" s="335" t="s">
        <v>336</v>
      </c>
      <c r="E49" s="34" t="s">
        <v>337</v>
      </c>
      <c r="F49" s="34"/>
      <c r="G49" s="34"/>
      <c r="I49" s="97">
        <v>113664.71827337376</v>
      </c>
      <c r="J49" s="97"/>
      <c r="K49" s="400">
        <v>4</v>
      </c>
      <c r="L49" s="319">
        <v>5</v>
      </c>
      <c r="M49" s="319">
        <v>4</v>
      </c>
      <c r="N49" s="319">
        <v>4</v>
      </c>
      <c r="O49" s="319">
        <v>3.6666666666666665</v>
      </c>
      <c r="P49" s="319">
        <v>3</v>
      </c>
      <c r="Q49" s="35">
        <v>4</v>
      </c>
      <c r="R49" s="319">
        <v>5</v>
      </c>
      <c r="S49" s="319"/>
      <c r="T49" s="319"/>
      <c r="U49" s="319"/>
      <c r="V49" s="319"/>
      <c r="W49" s="346" t="str">
        <f>IF(COUNTIF(tblSeverityAnalysis[[#This Row],[CCCM]:[WASH]], 1)=0, "", COUNTIF(tblSeverityAnalysis[[#This Row],[CCCM]:[WASH]], 1))</f>
        <v/>
      </c>
      <c r="X49" s="347" t="str">
        <f>IF(COUNTIF(tblSeverityAnalysis[[#This Row],[CCCM]:[WASH]], 2)=0, "", COUNTIF(tblSeverityAnalysis[[#This Row],[CCCM]:[WASH]], 2))</f>
        <v/>
      </c>
      <c r="Y49" s="347">
        <f>IF(COUNTIF(tblSeverityAnalysis[[#This Row],[CCCM]:[WASH]], 3)=0, "", COUNTIF(tblSeverityAnalysis[[#This Row],[CCCM]:[WASH]], 3))</f>
        <v>1</v>
      </c>
      <c r="Z49" s="347">
        <f>IF(COUNTIF(tblSeverityAnalysis[[#This Row],[CCCM]:[WASH]], 4)=0, "", COUNTIF(tblSeverityAnalysis[[#This Row],[CCCM]:[WASH]], 4))</f>
        <v>4</v>
      </c>
      <c r="AA49" s="348">
        <f>IF(COUNTIF(tblSeverityAnalysis[[#This Row],[CCCM]:[WASH]], 5)=0, "", COUNTIF(tblSeverityAnalysis[[#This Row],[CCCM]:[WASH]], 5))</f>
        <v>2</v>
      </c>
      <c r="AB49" s="61" cm="1">
        <f t="array" ref="AB4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4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49" s="42" t="str">
        <f>IFERROR(IF(INDEX(tblSeverityReference[Malnutrition Severity],MATCH(tblSeverityAnalysis[[#This Row],[ID]], tblSeverityReference[ID], 0))= "", "",INDEX(tblSeverityReference[Malnutrition Severity],MATCH(tblSeverityAnalysis[[#This Row],[ID]], tblSeverityReference[ID], 0)) ), "")</f>
        <v/>
      </c>
      <c r="AE49" s="319" t="str">
        <f>IFERROR(IF(INDEX(tblSeverityReference[Epidemic Severity],MATCH(tblSeverityAnalysis[[#This Row],[ID]], tblSeverityReference[ID], 0))= "", "",INDEX(tblSeverityReference[Epidemic Severity],MATCH(tblSeverityAnalysis[[#This Row],[ID]], tblSeverityReference[ID], 0)) ), "")</f>
        <v/>
      </c>
      <c r="AF49" s="319" t="str">
        <f>IFERROR(IF(INDEX(tblSeverityReference[Coping Strategy Severity],MATCH(tblSeverityAnalysis[[#This Row],[ID]], tblSeverityReference[ID], 0))= "", "",INDEX(tblSeverityReference[Coping Strategy Severity],MATCH(tblSeverityAnalysis[[#This Row],[ID]], tblSeverityReference[ID], 0)) ), "")</f>
        <v/>
      </c>
      <c r="AG49" s="110">
        <v>5</v>
      </c>
      <c r="AH49" s="83">
        <f>IFERROR(AVERAGE(tblSeverityAnalysis[[#This Row],[CCCM]:[WASH]]), "")</f>
        <v>4.0833333333333339</v>
      </c>
      <c r="AI49" s="27">
        <f>IF(SUM(tblSeverityAnalysis[[#This Row],[CCCM]:[WASH]])=0, "", MAX(tblSeverityAnalysis[[#This Row],[CCCM]:[WASH]]))</f>
        <v>5</v>
      </c>
      <c r="AJ49" s="349" t="str" cm="1">
        <f t="array" ref="AJ49">IFERROR(IF(tblSeverityAnalysis[[#This Row],[Highest Severity]]="", "", _xlfn.TEXTJOIN(CHAR(10), TRUE, IF(tblSeverityAnalysis[[#This Row],[CCCM]:[WASH]]=tblSeverityAnalysis[[#This Row],[Highest Severity]], tblSeverityAnalysis[[#Headers],[CCCM]:[WASH]], ""), "")), "")</f>
        <v>Education
WASH</v>
      </c>
      <c r="AK49" s="27" cm="1">
        <f t="array" ref="AK49">IFERROR(MAX(_xlfn._xlws.FILTER(tblSeverityAnalysis[[#This Row],[CCCM]:[WASH]], tblSeverityAnalysis[[#This Row],[CCCM]:[WASH]]&lt;tblSeverityAnalysis[[#This Row],[Highest Severity]])), "")</f>
        <v>4</v>
      </c>
      <c r="AL49" s="329" t="str" cm="1">
        <f t="array" ref="AL49">IFERROR(IF(tblSeverityAnalysis[[#This Row],[2nd Highest Severity]]="", "", _xlfn.TEXTJOIN(CHAR(10), TRUE, IF(tblSeverityAnalysis[[#This Row],[CCCM]:[WASH]]=tblSeverityAnalysis[[#This Row],[2nd Highest Severity]], tblSeverityAnalysis[[#Headers],[CCCM]:[WASH]], ""), "")), "")</f>
        <v>CCCM
Nutrition
Food Security
Shelter</v>
      </c>
      <c r="AM49" s="135" t="str">
        <f>IFERROR(IF(AND(tblSeverityAnalysis[[#This Row],[5]] &lt;&gt; "", tblSeverityAnalysis[[#This Row],[5]]&gt;=sectors_sev_5), "Flagged", ""), "")</f>
        <v>Flagged</v>
      </c>
      <c r="AN49" s="136" t="str">
        <f>IFERROR(IF(AND(tblSeverityAnalysis[[#This Row],[Preliminary Intersectoral Severity based on overlap of sectoral deprivations]]=4, SUM(tblSeverityAnalysis[[#This Row],[ 4 ]:[5]])&gt;=sectors_sev_4), "Flagged", ""), "")</f>
        <v/>
      </c>
      <c r="AO49" s="136" t="str" cm="1">
        <f t="array" ref="AO4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9" s="351"/>
      <c r="AR49" s="352"/>
      <c r="AS49" s="351"/>
      <c r="AT49" s="353">
        <f>COUNTIF(tblSeverityAnalysis[[#This Row],[1 sector in severity phase 5 '[modify the threshold']]:[Manual Flag]], "Flagged")</f>
        <v>1</v>
      </c>
      <c r="AU49" s="533">
        <v>4</v>
      </c>
      <c r="AV49" s="63">
        <v>4</v>
      </c>
      <c r="AW49" s="432">
        <v>1</v>
      </c>
      <c r="AZ49" t="b">
        <f>tblSeverityAnalysis[[#This Row],[Preliminary Intersectoral Severity based on overlap of sectoral deprivations]]=tblSeverityAnalysis[[#This Row],[Final Severity]]</f>
        <v>0</v>
      </c>
      <c r="BA49" t="s">
        <v>539</v>
      </c>
    </row>
    <row r="50" spans="1:53" ht="14.5" hidden="1" customHeight="1" x14ac:dyDescent="0.55000000000000004">
      <c r="A5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SS0608</v>
      </c>
      <c r="B50" s="40" t="s">
        <v>322</v>
      </c>
      <c r="C50" s="335" t="s">
        <v>323</v>
      </c>
      <c r="D50" s="335" t="s">
        <v>338</v>
      </c>
      <c r="E50" s="34" t="s">
        <v>339</v>
      </c>
      <c r="F50" s="34"/>
      <c r="G50" s="34"/>
      <c r="I50" s="97">
        <v>112164.60825536084</v>
      </c>
      <c r="J50" s="97"/>
      <c r="K50" s="400">
        <v>2</v>
      </c>
      <c r="L50" s="319">
        <v>3</v>
      </c>
      <c r="M50" s="319">
        <v>4</v>
      </c>
      <c r="N50" s="319">
        <v>3</v>
      </c>
      <c r="O50" s="319">
        <v>3.3333333333333335</v>
      </c>
      <c r="P50" s="319">
        <v>3</v>
      </c>
      <c r="Q50" s="35">
        <v>2</v>
      </c>
      <c r="R50" s="319">
        <v>3</v>
      </c>
      <c r="S50" s="319"/>
      <c r="T50" s="319"/>
      <c r="U50" s="319"/>
      <c r="V50" s="319"/>
      <c r="W50" s="346" t="str">
        <f>IF(COUNTIF(tblSeverityAnalysis[[#This Row],[CCCM]:[WASH]], 1)=0, "", COUNTIF(tblSeverityAnalysis[[#This Row],[CCCM]:[WASH]], 1))</f>
        <v/>
      </c>
      <c r="X50" s="347">
        <f>IF(COUNTIF(tblSeverityAnalysis[[#This Row],[CCCM]:[WASH]], 2)=0, "", COUNTIF(tblSeverityAnalysis[[#This Row],[CCCM]:[WASH]], 2))</f>
        <v>2</v>
      </c>
      <c r="Y50" s="347">
        <f>IF(COUNTIF(tblSeverityAnalysis[[#This Row],[CCCM]:[WASH]], 3)=0, "", COUNTIF(tblSeverityAnalysis[[#This Row],[CCCM]:[WASH]], 3))</f>
        <v>4</v>
      </c>
      <c r="Z50" s="347">
        <f>IF(COUNTIF(tblSeverityAnalysis[[#This Row],[CCCM]:[WASH]], 4)=0, "", COUNTIF(tblSeverityAnalysis[[#This Row],[CCCM]:[WASH]], 4))</f>
        <v>1</v>
      </c>
      <c r="AA50" s="348" t="str">
        <f>IF(COUNTIF(tblSeverityAnalysis[[#This Row],[CCCM]:[WASH]], 5)=0, "", COUNTIF(tblSeverityAnalysis[[#This Row],[CCCM]:[WASH]], 5))</f>
        <v/>
      </c>
      <c r="AB50" s="61" cm="1">
        <f t="array" ref="AB5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0" s="42" t="str">
        <f>IFERROR(IF(INDEX(tblSeverityReference[Malnutrition Severity],MATCH(tblSeverityAnalysis[[#This Row],[ID]], tblSeverityReference[ID], 0))= "", "",INDEX(tblSeverityReference[Malnutrition Severity],MATCH(tblSeverityAnalysis[[#This Row],[ID]], tblSeverityReference[ID], 0)) ), "")</f>
        <v/>
      </c>
      <c r="AE50" s="319" t="str">
        <f>IFERROR(IF(INDEX(tblSeverityReference[Epidemic Severity],MATCH(tblSeverityAnalysis[[#This Row],[ID]], tblSeverityReference[ID], 0))= "", "",INDEX(tblSeverityReference[Epidemic Severity],MATCH(tblSeverityAnalysis[[#This Row],[ID]], tblSeverityReference[ID], 0)) ), "")</f>
        <v/>
      </c>
      <c r="AF50" s="319" t="str">
        <f>IFERROR(IF(INDEX(tblSeverityReference[Coping Strategy Severity],MATCH(tblSeverityAnalysis[[#This Row],[ID]], tblSeverityReference[ID], 0))= "", "",INDEX(tblSeverityReference[Coping Strategy Severity],MATCH(tblSeverityAnalysis[[#This Row],[ID]], tblSeverityReference[ID], 0)) ), "")</f>
        <v/>
      </c>
      <c r="AG50" s="110">
        <v>3</v>
      </c>
      <c r="AH50" s="83">
        <f>IFERROR(AVERAGE(tblSeverityAnalysis[[#This Row],[CCCM]:[WASH]]), "")</f>
        <v>2.916666666666667</v>
      </c>
      <c r="AI50" s="27">
        <f>IF(SUM(tblSeverityAnalysis[[#This Row],[CCCM]:[WASH]])=0, "", MAX(tblSeverityAnalysis[[#This Row],[CCCM]:[WASH]]))</f>
        <v>4</v>
      </c>
      <c r="AJ50" s="349" t="str" cm="1">
        <f t="array" ref="AJ50">IFERROR(IF(tblSeverityAnalysis[[#This Row],[Highest Severity]]="", "", _xlfn.TEXTJOIN(CHAR(10), TRUE, IF(tblSeverityAnalysis[[#This Row],[CCCM]:[WASH]]=tblSeverityAnalysis[[#This Row],[Highest Severity]], tblSeverityAnalysis[[#Headers],[CCCM]:[WASH]], ""), "")), "")</f>
        <v>Nutrition</v>
      </c>
      <c r="AK50" s="27" cm="1">
        <f t="array" ref="AK50">IFERROR(MAX(_xlfn._xlws.FILTER(tblSeverityAnalysis[[#This Row],[CCCM]:[WASH]], tblSeverityAnalysis[[#This Row],[CCCM]:[WASH]]&lt;tblSeverityAnalysis[[#This Row],[Highest Severity]])), "")</f>
        <v>3.3333333333333335</v>
      </c>
      <c r="AL50" s="329" t="str" cm="1">
        <f t="array" ref="AL50">IFERROR(IF(tblSeverityAnalysis[[#This Row],[2nd Highest Severity]]="", "", _xlfn.TEXTJOIN(CHAR(10), TRUE, IF(tblSeverityAnalysis[[#This Row],[CCCM]:[WASH]]=tblSeverityAnalysis[[#This Row],[2nd Highest Severity]], tblSeverityAnalysis[[#Headers],[CCCM]:[WASH]], ""), "")), "")</f>
        <v>Health</v>
      </c>
      <c r="AM50" s="135" t="str">
        <f>IFERROR(IF(AND(tblSeverityAnalysis[[#This Row],[5]] &lt;&gt; "", tblSeverityAnalysis[[#This Row],[5]]&gt;=sectors_sev_5), "Flagged", ""), "")</f>
        <v/>
      </c>
      <c r="AN50" s="136" t="str">
        <f>IFERROR(IF(AND(tblSeverityAnalysis[[#This Row],[Preliminary Intersectoral Severity based on overlap of sectoral deprivations]]=4, SUM(tblSeverityAnalysis[[#This Row],[ 4 ]:[5]])&gt;=sectors_sev_4), "Flagged", ""), "")</f>
        <v/>
      </c>
      <c r="AO50" s="136" t="str" cm="1">
        <f t="array" ref="AO5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0" s="351"/>
      <c r="AR50" s="352"/>
      <c r="AS50" s="351"/>
      <c r="AT50" s="353">
        <f>COUNTIF(tblSeverityAnalysis[[#This Row],[1 sector in severity phase 5 '[modify the threshold']]:[Manual Flag]], "Flagged")</f>
        <v>0</v>
      </c>
      <c r="AU50" s="354">
        <f>tblSeverityAnalysis[[#This Row],[Preliminary Intersectoral Severity based on overlap of sectoral deprivations]]</f>
        <v>3</v>
      </c>
      <c r="AV50" s="63">
        <v>3</v>
      </c>
      <c r="AW50" s="432">
        <v>2</v>
      </c>
      <c r="AZ50" t="b">
        <f>tblSeverityAnalysis[[#This Row],[Preliminary Intersectoral Severity based on overlap of sectoral deprivations]]=tblSeverityAnalysis[[#This Row],[Final Severity]]</f>
        <v>1</v>
      </c>
    </row>
    <row r="51" spans="1:53" ht="14.5" hidden="1" customHeight="1" x14ac:dyDescent="0.55000000000000004">
      <c r="A5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SS0609</v>
      </c>
      <c r="B51" s="40" t="s">
        <v>322</v>
      </c>
      <c r="C51" s="335" t="s">
        <v>323</v>
      </c>
      <c r="D51" s="335" t="s">
        <v>340</v>
      </c>
      <c r="E51" s="34" t="s">
        <v>341</v>
      </c>
      <c r="F51" s="34"/>
      <c r="G51" s="34"/>
      <c r="I51" s="97">
        <v>374641.43852287973</v>
      </c>
      <c r="J51" s="97"/>
      <c r="K51" s="400">
        <v>4</v>
      </c>
      <c r="L51" s="319">
        <v>4</v>
      </c>
      <c r="M51" s="319">
        <v>5</v>
      </c>
      <c r="N51" s="319">
        <v>4</v>
      </c>
      <c r="O51" s="319">
        <v>4</v>
      </c>
      <c r="P51" s="319">
        <v>3</v>
      </c>
      <c r="Q51" s="35">
        <v>4</v>
      </c>
      <c r="R51" s="319">
        <v>3</v>
      </c>
      <c r="S51" s="319"/>
      <c r="T51" s="319"/>
      <c r="U51" s="319"/>
      <c r="V51" s="319"/>
      <c r="W51" s="346" t="str">
        <f>IF(COUNTIF(tblSeverityAnalysis[[#This Row],[CCCM]:[WASH]], 1)=0, "", COUNTIF(tblSeverityAnalysis[[#This Row],[CCCM]:[WASH]], 1))</f>
        <v/>
      </c>
      <c r="X51" s="347" t="str">
        <f>IF(COUNTIF(tblSeverityAnalysis[[#This Row],[CCCM]:[WASH]], 2)=0, "", COUNTIF(tblSeverityAnalysis[[#This Row],[CCCM]:[WASH]], 2))</f>
        <v/>
      </c>
      <c r="Y51" s="347">
        <f>IF(COUNTIF(tblSeverityAnalysis[[#This Row],[CCCM]:[WASH]], 3)=0, "", COUNTIF(tblSeverityAnalysis[[#This Row],[CCCM]:[WASH]], 3))</f>
        <v>2</v>
      </c>
      <c r="Z51" s="347">
        <f>IF(COUNTIF(tblSeverityAnalysis[[#This Row],[CCCM]:[WASH]], 4)=0, "", COUNTIF(tblSeverityAnalysis[[#This Row],[CCCM]:[WASH]], 4))</f>
        <v>5</v>
      </c>
      <c r="AA51" s="348">
        <f>IF(COUNTIF(tblSeverityAnalysis[[#This Row],[CCCM]:[WASH]], 5)=0, "", COUNTIF(tblSeverityAnalysis[[#This Row],[CCCM]:[WASH]], 5))</f>
        <v>1</v>
      </c>
      <c r="AB51" s="61" cm="1">
        <f t="array" ref="AB5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1" s="42" t="str">
        <f>IFERROR(IF(INDEX(tblSeverityReference[Malnutrition Severity],MATCH(tblSeverityAnalysis[[#This Row],[ID]], tblSeverityReference[ID], 0))= "", "",INDEX(tblSeverityReference[Malnutrition Severity],MATCH(tblSeverityAnalysis[[#This Row],[ID]], tblSeverityReference[ID], 0)) ), "")</f>
        <v/>
      </c>
      <c r="AE51" s="319" t="str">
        <f>IFERROR(IF(INDEX(tblSeverityReference[Epidemic Severity],MATCH(tblSeverityAnalysis[[#This Row],[ID]], tblSeverityReference[ID], 0))= "", "",INDEX(tblSeverityReference[Epidemic Severity],MATCH(tblSeverityAnalysis[[#This Row],[ID]], tblSeverityReference[ID], 0)) ), "")</f>
        <v/>
      </c>
      <c r="AF51" s="319" t="str">
        <f>IFERROR(IF(INDEX(tblSeverityReference[Coping Strategy Severity],MATCH(tblSeverityAnalysis[[#This Row],[ID]], tblSeverityReference[ID], 0))= "", "",INDEX(tblSeverityReference[Coping Strategy Severity],MATCH(tblSeverityAnalysis[[#This Row],[ID]], tblSeverityReference[ID], 0)) ), "")</f>
        <v/>
      </c>
      <c r="AG51" s="110">
        <v>4</v>
      </c>
      <c r="AH51" s="83">
        <f>IFERROR(AVERAGE(tblSeverityAnalysis[[#This Row],[CCCM]:[WASH]]), "")</f>
        <v>3.875</v>
      </c>
      <c r="AI51" s="27">
        <f>IF(SUM(tblSeverityAnalysis[[#This Row],[CCCM]:[WASH]])=0, "", MAX(tblSeverityAnalysis[[#This Row],[CCCM]:[WASH]]))</f>
        <v>5</v>
      </c>
      <c r="AJ51" s="349" t="str" cm="1">
        <f t="array" ref="AJ51">IFERROR(IF(tblSeverityAnalysis[[#This Row],[Highest Severity]]="", "", _xlfn.TEXTJOIN(CHAR(10), TRUE, IF(tblSeverityAnalysis[[#This Row],[CCCM]:[WASH]]=tblSeverityAnalysis[[#This Row],[Highest Severity]], tblSeverityAnalysis[[#Headers],[CCCM]:[WASH]], ""), "")), "")</f>
        <v>Nutrition</v>
      </c>
      <c r="AK51" s="27" cm="1">
        <f t="array" ref="AK51">IFERROR(MAX(_xlfn._xlws.FILTER(tblSeverityAnalysis[[#This Row],[CCCM]:[WASH]], tblSeverityAnalysis[[#This Row],[CCCM]:[WASH]]&lt;tblSeverityAnalysis[[#This Row],[Highest Severity]])), "")</f>
        <v>4</v>
      </c>
      <c r="AL51" s="329" t="str" cm="1">
        <f t="array" ref="AL51">IFERROR(IF(tblSeverityAnalysis[[#This Row],[2nd Highest Severity]]="", "", _xlfn.TEXTJOIN(CHAR(10), TRUE, IF(tblSeverityAnalysis[[#This Row],[CCCM]:[WASH]]=tblSeverityAnalysis[[#This Row],[2nd Highest Severity]], tblSeverityAnalysis[[#Headers],[CCCM]:[WASH]], ""), "")), "")</f>
        <v>CCCM
Education
Food Security
Health
Shelter</v>
      </c>
      <c r="AM51" s="135" t="str">
        <f>IFERROR(IF(AND(tblSeverityAnalysis[[#This Row],[5]] &lt;&gt; "", tblSeverityAnalysis[[#This Row],[5]]&gt;=sectors_sev_5), "Flagged", ""), "")</f>
        <v>Flagged</v>
      </c>
      <c r="AN51" s="136" t="str">
        <f>IFERROR(IF(AND(tblSeverityAnalysis[[#This Row],[Preliminary Intersectoral Severity based on overlap of sectoral deprivations]]=4, SUM(tblSeverityAnalysis[[#This Row],[ 4 ]:[5]])&gt;=sectors_sev_4), "Flagged", ""), "")</f>
        <v>Flagged</v>
      </c>
      <c r="AO51" s="136" t="str" cm="1">
        <f t="array" ref="AO5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1" s="351"/>
      <c r="AR51" s="352"/>
      <c r="AS51" s="351"/>
      <c r="AT51" s="353">
        <f>COUNTIF(tblSeverityAnalysis[[#This Row],[1 sector in severity phase 5 '[modify the threshold']]:[Manual Flag]], "Flagged")</f>
        <v>2</v>
      </c>
      <c r="AU51" s="354">
        <f>tblSeverityAnalysis[[#This Row],[Preliminary Intersectoral Severity based on overlap of sectoral deprivations]]</f>
        <v>4</v>
      </c>
      <c r="AV51" s="63">
        <v>4</v>
      </c>
      <c r="AW51" s="432">
        <v>1</v>
      </c>
      <c r="AZ51" t="b">
        <f>tblSeverityAnalysis[[#This Row],[Preliminary Intersectoral Severity based on overlap of sectoral deprivations]]=tblSeverityAnalysis[[#This Row],[Final Severity]]</f>
        <v>1</v>
      </c>
    </row>
    <row r="52" spans="1:53" ht="14.5" hidden="1" customHeight="1" x14ac:dyDescent="0.55000000000000004">
      <c r="A5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SS0701</v>
      </c>
      <c r="B52" s="40" t="s">
        <v>342</v>
      </c>
      <c r="C52" s="335" t="s">
        <v>343</v>
      </c>
      <c r="D52" s="335" t="s">
        <v>344</v>
      </c>
      <c r="E52" s="34" t="s">
        <v>345</v>
      </c>
      <c r="F52" s="34"/>
      <c r="G52" s="34"/>
      <c r="I52" s="97">
        <v>49667.611587410567</v>
      </c>
      <c r="J52" s="97"/>
      <c r="K52" s="400">
        <v>3</v>
      </c>
      <c r="L52" s="319">
        <v>2</v>
      </c>
      <c r="M52" s="319">
        <v>4</v>
      </c>
      <c r="N52" s="319">
        <v>4</v>
      </c>
      <c r="O52" s="319">
        <v>3.6666666666666665</v>
      </c>
      <c r="P52" s="319">
        <v>3</v>
      </c>
      <c r="Q52" s="35">
        <v>4</v>
      </c>
      <c r="R52" s="319">
        <v>5</v>
      </c>
      <c r="S52" s="319"/>
      <c r="T52" s="319"/>
      <c r="U52" s="319"/>
      <c r="V52" s="319"/>
      <c r="W52" s="346" t="str">
        <f>IF(COUNTIF(tblSeverityAnalysis[[#This Row],[CCCM]:[WASH]], 1)=0, "", COUNTIF(tblSeverityAnalysis[[#This Row],[CCCM]:[WASH]], 1))</f>
        <v/>
      </c>
      <c r="X52" s="347">
        <f>IF(COUNTIF(tblSeverityAnalysis[[#This Row],[CCCM]:[WASH]], 2)=0, "", COUNTIF(tblSeverityAnalysis[[#This Row],[CCCM]:[WASH]], 2))</f>
        <v>1</v>
      </c>
      <c r="Y52" s="347">
        <f>IF(COUNTIF(tblSeverityAnalysis[[#This Row],[CCCM]:[WASH]], 3)=0, "", COUNTIF(tblSeverityAnalysis[[#This Row],[CCCM]:[WASH]], 3))</f>
        <v>2</v>
      </c>
      <c r="Z52" s="347">
        <f>IF(COUNTIF(tblSeverityAnalysis[[#This Row],[CCCM]:[WASH]], 4)=0, "", COUNTIF(tblSeverityAnalysis[[#This Row],[CCCM]:[WASH]], 4))</f>
        <v>3</v>
      </c>
      <c r="AA52" s="348">
        <f>IF(COUNTIF(tblSeverityAnalysis[[#This Row],[CCCM]:[WASH]], 5)=0, "", COUNTIF(tblSeverityAnalysis[[#This Row],[CCCM]:[WASH]], 5))</f>
        <v>1</v>
      </c>
      <c r="AB52" s="61" cm="1">
        <f t="array" ref="AB5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2" s="42" t="str">
        <f>IFERROR(IF(INDEX(tblSeverityReference[Malnutrition Severity],MATCH(tblSeverityAnalysis[[#This Row],[ID]], tblSeverityReference[ID], 0))= "", "",INDEX(tblSeverityReference[Malnutrition Severity],MATCH(tblSeverityAnalysis[[#This Row],[ID]], tblSeverityReference[ID], 0)) ), "")</f>
        <v/>
      </c>
      <c r="AE52" s="319" t="str">
        <f>IFERROR(IF(INDEX(tblSeverityReference[Epidemic Severity],MATCH(tblSeverityAnalysis[[#This Row],[ID]], tblSeverityReference[ID], 0))= "", "",INDEX(tblSeverityReference[Epidemic Severity],MATCH(tblSeverityAnalysis[[#This Row],[ID]], tblSeverityReference[ID], 0)) ), "")</f>
        <v/>
      </c>
      <c r="AF52" s="319" t="str">
        <f>IFERROR(IF(INDEX(tblSeverityReference[Coping Strategy Severity],MATCH(tblSeverityAnalysis[[#This Row],[ID]], tblSeverityReference[ID], 0))= "", "",INDEX(tblSeverityReference[Coping Strategy Severity],MATCH(tblSeverityAnalysis[[#This Row],[ID]], tblSeverityReference[ID], 0)) ), "")</f>
        <v/>
      </c>
      <c r="AG52" s="110">
        <v>4</v>
      </c>
      <c r="AH52" s="83">
        <f>IFERROR(AVERAGE(tblSeverityAnalysis[[#This Row],[CCCM]:[WASH]]), "")</f>
        <v>3.5833333333333335</v>
      </c>
      <c r="AI52" s="27">
        <f>IF(SUM(tblSeverityAnalysis[[#This Row],[CCCM]:[WASH]])=0, "", MAX(tblSeverityAnalysis[[#This Row],[CCCM]:[WASH]]))</f>
        <v>5</v>
      </c>
      <c r="AJ52" s="349" t="str" cm="1">
        <f t="array" ref="AJ52">IFERROR(IF(tblSeverityAnalysis[[#This Row],[Highest Severity]]="", "", _xlfn.TEXTJOIN(CHAR(10), TRUE, IF(tblSeverityAnalysis[[#This Row],[CCCM]:[WASH]]=tblSeverityAnalysis[[#This Row],[Highest Severity]], tblSeverityAnalysis[[#Headers],[CCCM]:[WASH]], ""), "")), "")</f>
        <v>WASH</v>
      </c>
      <c r="AK52" s="27" cm="1">
        <f t="array" ref="AK52">IFERROR(MAX(_xlfn._xlws.FILTER(tblSeverityAnalysis[[#This Row],[CCCM]:[WASH]], tblSeverityAnalysis[[#This Row],[CCCM]:[WASH]]&lt;tblSeverityAnalysis[[#This Row],[Highest Severity]])), "")</f>
        <v>4</v>
      </c>
      <c r="AL52" s="329" t="str" cm="1">
        <f t="array" ref="AL52">IFERROR(IF(tblSeverityAnalysis[[#This Row],[2nd Highest Severity]]="", "", _xlfn.TEXTJOIN(CHAR(10), TRUE, IF(tblSeverityAnalysis[[#This Row],[CCCM]:[WASH]]=tblSeverityAnalysis[[#This Row],[2nd Highest Severity]], tblSeverityAnalysis[[#Headers],[CCCM]:[WASH]], ""), "")), "")</f>
        <v>Nutrition
Food Security
Shelter</v>
      </c>
      <c r="AM52" s="135" t="str">
        <f>IFERROR(IF(AND(tblSeverityAnalysis[[#This Row],[5]] &lt;&gt; "", tblSeverityAnalysis[[#This Row],[5]]&gt;=sectors_sev_5), "Flagged", ""), "")</f>
        <v>Flagged</v>
      </c>
      <c r="AN52" s="136" t="str">
        <f>IFERROR(IF(AND(tblSeverityAnalysis[[#This Row],[Preliminary Intersectoral Severity based on overlap of sectoral deprivations]]=4, SUM(tblSeverityAnalysis[[#This Row],[ 4 ]:[5]])&gt;=sectors_sev_4), "Flagged", ""), "")</f>
        <v/>
      </c>
      <c r="AO52" s="136" t="str" cm="1">
        <f t="array" ref="AO5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2" s="351"/>
      <c r="AR52" s="352"/>
      <c r="AS52" s="351"/>
      <c r="AT52" s="353">
        <f>COUNTIF(tblSeverityAnalysis[[#This Row],[1 sector in severity phase 5 '[modify the threshold']]:[Manual Flag]], "Flagged")</f>
        <v>1</v>
      </c>
      <c r="AU52" s="354">
        <f>tblSeverityAnalysis[[#This Row],[Preliminary Intersectoral Severity based on overlap of sectoral deprivations]]</f>
        <v>4</v>
      </c>
      <c r="AV52" s="63">
        <v>4</v>
      </c>
      <c r="AW52" s="432">
        <v>2</v>
      </c>
      <c r="AZ52" t="b">
        <f>tblSeverityAnalysis[[#This Row],[Preliminary Intersectoral Severity based on overlap of sectoral deprivations]]=tblSeverityAnalysis[[#This Row],[Final Severity]]</f>
        <v>1</v>
      </c>
    </row>
    <row r="53" spans="1:53" ht="14.5" hidden="1" customHeight="1" x14ac:dyDescent="0.55000000000000004">
      <c r="A5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SS0702</v>
      </c>
      <c r="B53" s="40" t="s">
        <v>342</v>
      </c>
      <c r="C53" s="335" t="s">
        <v>343</v>
      </c>
      <c r="D53" s="335" t="s">
        <v>346</v>
      </c>
      <c r="E53" s="34" t="s">
        <v>347</v>
      </c>
      <c r="F53" s="34"/>
      <c r="G53" s="34"/>
      <c r="I53" s="97">
        <v>90033.866199110038</v>
      </c>
      <c r="J53" s="97"/>
      <c r="K53" s="400">
        <v>3</v>
      </c>
      <c r="L53" s="319">
        <v>4</v>
      </c>
      <c r="M53" s="319">
        <v>4</v>
      </c>
      <c r="N53" s="319">
        <v>4</v>
      </c>
      <c r="O53" s="319">
        <v>3.3333333333333335</v>
      </c>
      <c r="P53" s="319">
        <v>4</v>
      </c>
      <c r="Q53" s="35">
        <v>3</v>
      </c>
      <c r="R53" s="319">
        <v>5</v>
      </c>
      <c r="S53" s="319"/>
      <c r="T53" s="319"/>
      <c r="U53" s="319"/>
      <c r="V53" s="319"/>
      <c r="W53" s="346" t="str">
        <f>IF(COUNTIF(tblSeverityAnalysis[[#This Row],[CCCM]:[WASH]], 1)=0, "", COUNTIF(tblSeverityAnalysis[[#This Row],[CCCM]:[WASH]], 1))</f>
        <v/>
      </c>
      <c r="X53" s="347" t="str">
        <f>IF(COUNTIF(tblSeverityAnalysis[[#This Row],[CCCM]:[WASH]], 2)=0, "", COUNTIF(tblSeverityAnalysis[[#This Row],[CCCM]:[WASH]], 2))</f>
        <v/>
      </c>
      <c r="Y53" s="347">
        <f>IF(COUNTIF(tblSeverityAnalysis[[#This Row],[CCCM]:[WASH]], 3)=0, "", COUNTIF(tblSeverityAnalysis[[#This Row],[CCCM]:[WASH]], 3))</f>
        <v>2</v>
      </c>
      <c r="Z53" s="347">
        <f>IF(COUNTIF(tblSeverityAnalysis[[#This Row],[CCCM]:[WASH]], 4)=0, "", COUNTIF(tblSeverityAnalysis[[#This Row],[CCCM]:[WASH]], 4))</f>
        <v>4</v>
      </c>
      <c r="AA53" s="348">
        <f>IF(COUNTIF(tblSeverityAnalysis[[#This Row],[CCCM]:[WASH]], 5)=0, "", COUNTIF(tblSeverityAnalysis[[#This Row],[CCCM]:[WASH]], 5))</f>
        <v>1</v>
      </c>
      <c r="AB53" s="61" cm="1">
        <f t="array" ref="AB5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3" s="42" t="str">
        <f>IFERROR(IF(INDEX(tblSeverityReference[Malnutrition Severity],MATCH(tblSeverityAnalysis[[#This Row],[ID]], tblSeverityReference[ID], 0))= "", "",INDEX(tblSeverityReference[Malnutrition Severity],MATCH(tblSeverityAnalysis[[#This Row],[ID]], tblSeverityReference[ID], 0)) ), "")</f>
        <v/>
      </c>
      <c r="AE53" s="319" t="str">
        <f>IFERROR(IF(INDEX(tblSeverityReference[Epidemic Severity],MATCH(tblSeverityAnalysis[[#This Row],[ID]], tblSeverityReference[ID], 0))= "", "",INDEX(tblSeverityReference[Epidemic Severity],MATCH(tblSeverityAnalysis[[#This Row],[ID]], tblSeverityReference[ID], 0)) ), "")</f>
        <v/>
      </c>
      <c r="AF53" s="319" t="str">
        <f>IFERROR(IF(INDEX(tblSeverityReference[Coping Strategy Severity],MATCH(tblSeverityAnalysis[[#This Row],[ID]], tblSeverityReference[ID], 0))= "", "",INDEX(tblSeverityReference[Coping Strategy Severity],MATCH(tblSeverityAnalysis[[#This Row],[ID]], tblSeverityReference[ID], 0)) ), "")</f>
        <v/>
      </c>
      <c r="AG53" s="110">
        <v>4</v>
      </c>
      <c r="AH53" s="83">
        <f>IFERROR(AVERAGE(tblSeverityAnalysis[[#This Row],[CCCM]:[WASH]]), "")</f>
        <v>3.7916666666666665</v>
      </c>
      <c r="AI53" s="27">
        <f>IF(SUM(tblSeverityAnalysis[[#This Row],[CCCM]:[WASH]])=0, "", MAX(tblSeverityAnalysis[[#This Row],[CCCM]:[WASH]]))</f>
        <v>5</v>
      </c>
      <c r="AJ53" s="349" t="str" cm="1">
        <f t="array" ref="AJ53">IFERROR(IF(tblSeverityAnalysis[[#This Row],[Highest Severity]]="", "", _xlfn.TEXTJOIN(CHAR(10), TRUE, IF(tblSeverityAnalysis[[#This Row],[CCCM]:[WASH]]=tblSeverityAnalysis[[#This Row],[Highest Severity]], tblSeverityAnalysis[[#Headers],[CCCM]:[WASH]], ""), "")), "")</f>
        <v>WASH</v>
      </c>
      <c r="AK53" s="27" cm="1">
        <f t="array" ref="AK53">IFERROR(MAX(_xlfn._xlws.FILTER(tblSeverityAnalysis[[#This Row],[CCCM]:[WASH]], tblSeverityAnalysis[[#This Row],[CCCM]:[WASH]]&lt;tblSeverityAnalysis[[#This Row],[Highest Severity]])), "")</f>
        <v>4</v>
      </c>
      <c r="AL53" s="329" t="str" cm="1">
        <f t="array" ref="AL53">IFERROR(IF(tblSeverityAnalysis[[#This Row],[2nd Highest Severity]]="", "", _xlfn.TEXTJOIN(CHAR(10), TRUE, IF(tblSeverityAnalysis[[#This Row],[CCCM]:[WASH]]=tblSeverityAnalysis[[#This Row],[2nd Highest Severity]], tblSeverityAnalysis[[#Headers],[CCCM]:[WASH]], ""), "")), "")</f>
        <v>Education
Nutrition
Food Security
Overarching Protection</v>
      </c>
      <c r="AM53" s="135" t="str">
        <f>IFERROR(IF(AND(tblSeverityAnalysis[[#This Row],[5]] &lt;&gt; "", tblSeverityAnalysis[[#This Row],[5]]&gt;=sectors_sev_5), "Flagged", ""), "")</f>
        <v>Flagged</v>
      </c>
      <c r="AN53" s="136" t="str">
        <f>IFERROR(IF(AND(tblSeverityAnalysis[[#This Row],[Preliminary Intersectoral Severity based on overlap of sectoral deprivations]]=4, SUM(tblSeverityAnalysis[[#This Row],[ 4 ]:[5]])&gt;=sectors_sev_4), "Flagged", ""), "")</f>
        <v>Flagged</v>
      </c>
      <c r="AO53" s="136" t="str" cm="1">
        <f t="array" ref="AO5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3" s="351"/>
      <c r="AR53" s="352"/>
      <c r="AS53" s="351"/>
      <c r="AT53" s="353">
        <f>COUNTIF(tblSeverityAnalysis[[#This Row],[1 sector in severity phase 5 '[modify the threshold']]:[Manual Flag]], "Flagged")</f>
        <v>2</v>
      </c>
      <c r="AU53" s="354">
        <f>tblSeverityAnalysis[[#This Row],[Preliminary Intersectoral Severity based on overlap of sectoral deprivations]]</f>
        <v>4</v>
      </c>
      <c r="AV53" s="63">
        <v>4</v>
      </c>
      <c r="AW53" s="432">
        <v>1</v>
      </c>
      <c r="AZ53" t="b">
        <f>tblSeverityAnalysis[[#This Row],[Preliminary Intersectoral Severity based on overlap of sectoral deprivations]]=tblSeverityAnalysis[[#This Row],[Final Severity]]</f>
        <v>1</v>
      </c>
    </row>
    <row r="54" spans="1:53" ht="14.5" hidden="1" customHeight="1" x14ac:dyDescent="0.55000000000000004">
      <c r="A5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SS0703</v>
      </c>
      <c r="B54" s="40" t="s">
        <v>342</v>
      </c>
      <c r="C54" s="335" t="s">
        <v>343</v>
      </c>
      <c r="D54" s="335" t="s">
        <v>348</v>
      </c>
      <c r="E54" s="34" t="s">
        <v>349</v>
      </c>
      <c r="F54" s="34"/>
      <c r="G54" s="34"/>
      <c r="I54" s="97">
        <v>65883.908015782989</v>
      </c>
      <c r="J54" s="97"/>
      <c r="K54" s="400">
        <v>2</v>
      </c>
      <c r="L54" s="319">
        <v>5</v>
      </c>
      <c r="M54" s="319">
        <v>4</v>
      </c>
      <c r="N54" s="319">
        <v>4</v>
      </c>
      <c r="O54" s="319">
        <v>3.3333333333333335</v>
      </c>
      <c r="P54" s="319">
        <v>4</v>
      </c>
      <c r="Q54" s="35">
        <v>4</v>
      </c>
      <c r="R54" s="319">
        <v>3</v>
      </c>
      <c r="S54" s="319"/>
      <c r="T54" s="319"/>
      <c r="U54" s="319"/>
      <c r="V54" s="319"/>
      <c r="W54" s="346" t="str">
        <f>IF(COUNTIF(tblSeverityAnalysis[[#This Row],[CCCM]:[WASH]], 1)=0, "", COUNTIF(tblSeverityAnalysis[[#This Row],[CCCM]:[WASH]], 1))</f>
        <v/>
      </c>
      <c r="X54" s="347">
        <f>IF(COUNTIF(tblSeverityAnalysis[[#This Row],[CCCM]:[WASH]], 2)=0, "", COUNTIF(tblSeverityAnalysis[[#This Row],[CCCM]:[WASH]], 2))</f>
        <v>1</v>
      </c>
      <c r="Y54" s="347">
        <f>IF(COUNTIF(tblSeverityAnalysis[[#This Row],[CCCM]:[WASH]], 3)=0, "", COUNTIF(tblSeverityAnalysis[[#This Row],[CCCM]:[WASH]], 3))</f>
        <v>1</v>
      </c>
      <c r="Z54" s="347">
        <f>IF(COUNTIF(tblSeverityAnalysis[[#This Row],[CCCM]:[WASH]], 4)=0, "", COUNTIF(tblSeverityAnalysis[[#This Row],[CCCM]:[WASH]], 4))</f>
        <v>4</v>
      </c>
      <c r="AA54" s="348">
        <f>IF(COUNTIF(tblSeverityAnalysis[[#This Row],[CCCM]:[WASH]], 5)=0, "", COUNTIF(tblSeverityAnalysis[[#This Row],[CCCM]:[WASH]], 5))</f>
        <v>1</v>
      </c>
      <c r="AB54" s="61" cm="1">
        <f t="array" ref="AB5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4" s="42" t="str">
        <f>IFERROR(IF(INDEX(tblSeverityReference[Malnutrition Severity],MATCH(tblSeverityAnalysis[[#This Row],[ID]], tblSeverityReference[ID], 0))= "", "",INDEX(tblSeverityReference[Malnutrition Severity],MATCH(tblSeverityAnalysis[[#This Row],[ID]], tblSeverityReference[ID], 0)) ), "")</f>
        <v/>
      </c>
      <c r="AE54" s="319" t="str">
        <f>IFERROR(IF(INDEX(tblSeverityReference[Epidemic Severity],MATCH(tblSeverityAnalysis[[#This Row],[ID]], tblSeverityReference[ID], 0))= "", "",INDEX(tblSeverityReference[Epidemic Severity],MATCH(tblSeverityAnalysis[[#This Row],[ID]], tblSeverityReference[ID], 0)) ), "")</f>
        <v/>
      </c>
      <c r="AF54" s="319" t="str">
        <f>IFERROR(IF(INDEX(tblSeverityReference[Coping Strategy Severity],MATCH(tblSeverityAnalysis[[#This Row],[ID]], tblSeverityReference[ID], 0))= "", "",INDEX(tblSeverityReference[Coping Strategy Severity],MATCH(tblSeverityAnalysis[[#This Row],[ID]], tblSeverityReference[ID], 0)) ), "")</f>
        <v/>
      </c>
      <c r="AG54" s="110">
        <v>5</v>
      </c>
      <c r="AH54" s="83">
        <f>IFERROR(AVERAGE(tblSeverityAnalysis[[#This Row],[CCCM]:[WASH]]), "")</f>
        <v>3.6666666666666665</v>
      </c>
      <c r="AI54" s="27">
        <f>IF(SUM(tblSeverityAnalysis[[#This Row],[CCCM]:[WASH]])=0, "", MAX(tblSeverityAnalysis[[#This Row],[CCCM]:[WASH]]))</f>
        <v>5</v>
      </c>
      <c r="AJ54" s="349" t="str" cm="1">
        <f t="array" ref="AJ54">IFERROR(IF(tblSeverityAnalysis[[#This Row],[Highest Severity]]="", "", _xlfn.TEXTJOIN(CHAR(10), TRUE, IF(tblSeverityAnalysis[[#This Row],[CCCM]:[WASH]]=tblSeverityAnalysis[[#This Row],[Highest Severity]], tblSeverityAnalysis[[#Headers],[CCCM]:[WASH]], ""), "")), "")</f>
        <v>Education</v>
      </c>
      <c r="AK54" s="27" cm="1">
        <f t="array" ref="AK54">IFERROR(MAX(_xlfn._xlws.FILTER(tblSeverityAnalysis[[#This Row],[CCCM]:[WASH]], tblSeverityAnalysis[[#This Row],[CCCM]:[WASH]]&lt;tblSeverityAnalysis[[#This Row],[Highest Severity]])), "")</f>
        <v>4</v>
      </c>
      <c r="AL54" s="329" t="str" cm="1">
        <f t="array" ref="AL54">IFERROR(IF(tblSeverityAnalysis[[#This Row],[2nd Highest Severity]]="", "", _xlfn.TEXTJOIN(CHAR(10), TRUE, IF(tblSeverityAnalysis[[#This Row],[CCCM]:[WASH]]=tblSeverityAnalysis[[#This Row],[2nd Highest Severity]], tblSeverityAnalysis[[#Headers],[CCCM]:[WASH]], ""), "")), "")</f>
        <v>Nutrition
Food Security
Overarching Protection
Shelter</v>
      </c>
      <c r="AM54" s="135" t="str">
        <f>IFERROR(IF(AND(tblSeverityAnalysis[[#This Row],[5]] &lt;&gt; "", tblSeverityAnalysis[[#This Row],[5]]&gt;=sectors_sev_5), "Flagged", ""), "")</f>
        <v>Flagged</v>
      </c>
      <c r="AN54" s="136" t="str">
        <f>IFERROR(IF(AND(tblSeverityAnalysis[[#This Row],[Preliminary Intersectoral Severity based on overlap of sectoral deprivations]]=4, SUM(tblSeverityAnalysis[[#This Row],[ 4 ]:[5]])&gt;=sectors_sev_4), "Flagged", ""), "")</f>
        <v>Flagged</v>
      </c>
      <c r="AO54" s="136" t="str" cm="1">
        <f t="array" ref="AO5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4" s="351"/>
      <c r="AR54" s="352"/>
      <c r="AS54" s="351"/>
      <c r="AT54" s="353">
        <f>COUNTIF(tblSeverityAnalysis[[#This Row],[1 sector in severity phase 5 '[modify the threshold']]:[Manual Flag]], "Flagged")</f>
        <v>2</v>
      </c>
      <c r="AU54" s="354">
        <f>tblSeverityAnalysis[[#This Row],[Preliminary Intersectoral Severity based on overlap of sectoral deprivations]]</f>
        <v>4</v>
      </c>
      <c r="AV54" s="63">
        <v>4</v>
      </c>
      <c r="AW54" s="432">
        <v>2</v>
      </c>
      <c r="AZ54" t="b">
        <f>tblSeverityAnalysis[[#This Row],[Preliminary Intersectoral Severity based on overlap of sectoral deprivations]]=tblSeverityAnalysis[[#This Row],[Final Severity]]</f>
        <v>1</v>
      </c>
    </row>
    <row r="55" spans="1:53" ht="14.5" customHeight="1" x14ac:dyDescent="0.55000000000000004">
      <c r="A5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SS0704</v>
      </c>
      <c r="B55" s="40" t="s">
        <v>342</v>
      </c>
      <c r="C55" s="335" t="s">
        <v>343</v>
      </c>
      <c r="D55" s="345" t="s">
        <v>350</v>
      </c>
      <c r="E55" s="34" t="s">
        <v>351</v>
      </c>
      <c r="F55" s="34"/>
      <c r="G55" s="34"/>
      <c r="I55" s="97">
        <v>293318.66047187935</v>
      </c>
      <c r="J55" s="97"/>
      <c r="K55" s="400">
        <v>4</v>
      </c>
      <c r="L55" s="319">
        <v>5</v>
      </c>
      <c r="M55" s="319">
        <v>5</v>
      </c>
      <c r="N55" s="319">
        <v>4</v>
      </c>
      <c r="O55" s="319">
        <v>4</v>
      </c>
      <c r="P55" s="319">
        <v>4</v>
      </c>
      <c r="Q55" s="35">
        <v>5</v>
      </c>
      <c r="R55" s="319">
        <v>5</v>
      </c>
      <c r="S55" s="319"/>
      <c r="T55" s="319"/>
      <c r="U55" s="319"/>
      <c r="V55" s="319"/>
      <c r="W55" s="346" t="str">
        <f>IF(COUNTIF(tblSeverityAnalysis[[#This Row],[CCCM]:[WASH]], 1)=0, "", COUNTIF(tblSeverityAnalysis[[#This Row],[CCCM]:[WASH]], 1))</f>
        <v/>
      </c>
      <c r="X55" s="347" t="str">
        <f>IF(COUNTIF(tblSeverityAnalysis[[#This Row],[CCCM]:[WASH]], 2)=0, "", COUNTIF(tblSeverityAnalysis[[#This Row],[CCCM]:[WASH]], 2))</f>
        <v/>
      </c>
      <c r="Y55" s="347" t="str">
        <f>IF(COUNTIF(tblSeverityAnalysis[[#This Row],[CCCM]:[WASH]], 3)=0, "", COUNTIF(tblSeverityAnalysis[[#This Row],[CCCM]:[WASH]], 3))</f>
        <v/>
      </c>
      <c r="Z55" s="347">
        <f>IF(COUNTIF(tblSeverityAnalysis[[#This Row],[CCCM]:[WASH]], 4)=0, "", COUNTIF(tblSeverityAnalysis[[#This Row],[CCCM]:[WASH]], 4))</f>
        <v>4</v>
      </c>
      <c r="AA55" s="348">
        <f>IF(COUNTIF(tblSeverityAnalysis[[#This Row],[CCCM]:[WASH]], 5)=0, "", COUNTIF(tblSeverityAnalysis[[#This Row],[CCCM]:[WASH]], 5))</f>
        <v>4</v>
      </c>
      <c r="AB55" s="61" cm="1">
        <f t="array" ref="AB5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5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5" s="42" t="str">
        <f>IFERROR(IF(INDEX(tblSeverityReference[Malnutrition Severity],MATCH(tblSeverityAnalysis[[#This Row],[ID]], tblSeverityReference[ID], 0))= "", "",INDEX(tblSeverityReference[Malnutrition Severity],MATCH(tblSeverityAnalysis[[#This Row],[ID]], tblSeverityReference[ID], 0)) ), "")</f>
        <v/>
      </c>
      <c r="AE55" s="319" t="str">
        <f>IFERROR(IF(INDEX(tblSeverityReference[Epidemic Severity],MATCH(tblSeverityAnalysis[[#This Row],[ID]], tblSeverityReference[ID], 0))= "", "",INDEX(tblSeverityReference[Epidemic Severity],MATCH(tblSeverityAnalysis[[#This Row],[ID]], tblSeverityReference[ID], 0)) ), "")</f>
        <v/>
      </c>
      <c r="AF55" s="319" t="str">
        <f>IFERROR(IF(INDEX(tblSeverityReference[Coping Strategy Severity],MATCH(tblSeverityAnalysis[[#This Row],[ID]], tblSeverityReference[ID], 0))= "", "",INDEX(tblSeverityReference[Coping Strategy Severity],MATCH(tblSeverityAnalysis[[#This Row],[ID]], tblSeverityReference[ID], 0)) ), "")</f>
        <v/>
      </c>
      <c r="AG55" s="110">
        <v>5</v>
      </c>
      <c r="AH55" s="83">
        <f>IFERROR(AVERAGE(tblSeverityAnalysis[[#This Row],[CCCM]:[WASH]]), "")</f>
        <v>4.5</v>
      </c>
      <c r="AI55" s="27">
        <f>IF(SUM(tblSeverityAnalysis[[#This Row],[CCCM]:[WASH]])=0, "", MAX(tblSeverityAnalysis[[#This Row],[CCCM]:[WASH]]))</f>
        <v>5</v>
      </c>
      <c r="AJ55" s="349" t="str" cm="1">
        <f t="array" ref="AJ55">IFERROR(IF(tblSeverityAnalysis[[#This Row],[Highest Severity]]="", "", _xlfn.TEXTJOIN(CHAR(10), TRUE, IF(tblSeverityAnalysis[[#This Row],[CCCM]:[WASH]]=tblSeverityAnalysis[[#This Row],[Highest Severity]], tblSeverityAnalysis[[#Headers],[CCCM]:[WASH]], ""), "")), "")</f>
        <v>Education
Nutrition
Shelter
WASH</v>
      </c>
      <c r="AK55" s="27" cm="1">
        <f t="array" ref="AK55">IFERROR(MAX(_xlfn._xlws.FILTER(tblSeverityAnalysis[[#This Row],[CCCM]:[WASH]], tblSeverityAnalysis[[#This Row],[CCCM]:[WASH]]&lt;tblSeverityAnalysis[[#This Row],[Highest Severity]])), "")</f>
        <v>4</v>
      </c>
      <c r="AL55" s="329" t="str" cm="1">
        <f t="array" ref="AL55">IFERROR(IF(tblSeverityAnalysis[[#This Row],[2nd Highest Severity]]="", "", _xlfn.TEXTJOIN(CHAR(10), TRUE, IF(tblSeverityAnalysis[[#This Row],[CCCM]:[WASH]]=tblSeverityAnalysis[[#This Row],[2nd Highest Severity]], tblSeverityAnalysis[[#Headers],[CCCM]:[WASH]], ""), "")), "")</f>
        <v>CCCM
Food Security
Health
Overarching Protection</v>
      </c>
      <c r="AM55" s="135" t="str">
        <f>IFERROR(IF(AND(tblSeverityAnalysis[[#This Row],[5]] &lt;&gt; "", tblSeverityAnalysis[[#This Row],[5]]&gt;=sectors_sev_5), "Flagged", ""), "")</f>
        <v>Flagged</v>
      </c>
      <c r="AN55" s="136" t="str">
        <f>IFERROR(IF(AND(tblSeverityAnalysis[[#This Row],[Preliminary Intersectoral Severity based on overlap of sectoral deprivations]]=4, SUM(tblSeverityAnalysis[[#This Row],[ 4 ]:[5]])&gt;=sectors_sev_4), "Flagged", ""), "")</f>
        <v/>
      </c>
      <c r="AO55" s="136" t="str" cm="1">
        <f t="array" ref="AO5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5" s="351"/>
      <c r="AR55" s="352"/>
      <c r="AS55" s="351"/>
      <c r="AT55" s="353">
        <f>COUNTIF(tblSeverityAnalysis[[#This Row],[1 sector in severity phase 5 '[modify the threshold']]:[Manual Flag]], "Flagged")</f>
        <v>1</v>
      </c>
      <c r="AU55" s="354">
        <f>tblSeverityAnalysis[[#This Row],[Preliminary Intersectoral Severity based on overlap of sectoral deprivations]]</f>
        <v>5</v>
      </c>
      <c r="AV55" s="63">
        <v>5</v>
      </c>
      <c r="AW55" s="432">
        <v>1</v>
      </c>
      <c r="AZ55" t="b">
        <f>tblSeverityAnalysis[[#This Row],[Preliminary Intersectoral Severity based on overlap of sectoral deprivations]]=tblSeverityAnalysis[[#This Row],[Final Severity]]</f>
        <v>1</v>
      </c>
    </row>
    <row r="56" spans="1:53" ht="14.5" hidden="1" customHeight="1" x14ac:dyDescent="0.55000000000000004">
      <c r="A5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SS0705</v>
      </c>
      <c r="B56" s="40" t="s">
        <v>342</v>
      </c>
      <c r="C56" s="335" t="s">
        <v>343</v>
      </c>
      <c r="D56" s="335" t="s">
        <v>352</v>
      </c>
      <c r="E56" s="34" t="s">
        <v>353</v>
      </c>
      <c r="F56" s="34"/>
      <c r="G56" s="34"/>
      <c r="I56" s="97">
        <v>90560.276811404081</v>
      </c>
      <c r="J56" s="97"/>
      <c r="K56" s="400">
        <v>3</v>
      </c>
      <c r="L56" s="319">
        <v>4</v>
      </c>
      <c r="M56" s="319">
        <v>4</v>
      </c>
      <c r="N56" s="319">
        <v>4</v>
      </c>
      <c r="O56" s="319">
        <v>3</v>
      </c>
      <c r="P56" s="319">
        <v>4</v>
      </c>
      <c r="Q56" s="35">
        <v>2</v>
      </c>
      <c r="R56" s="319">
        <v>3</v>
      </c>
      <c r="S56" s="319"/>
      <c r="T56" s="319"/>
      <c r="U56" s="319"/>
      <c r="V56" s="319"/>
      <c r="W56" s="346" t="str">
        <f>IF(COUNTIF(tblSeverityAnalysis[[#This Row],[CCCM]:[WASH]], 1)=0, "", COUNTIF(tblSeverityAnalysis[[#This Row],[CCCM]:[WASH]], 1))</f>
        <v/>
      </c>
      <c r="X56" s="347">
        <f>IF(COUNTIF(tblSeverityAnalysis[[#This Row],[CCCM]:[WASH]], 2)=0, "", COUNTIF(tblSeverityAnalysis[[#This Row],[CCCM]:[WASH]], 2))</f>
        <v>1</v>
      </c>
      <c r="Y56" s="347">
        <f>IF(COUNTIF(tblSeverityAnalysis[[#This Row],[CCCM]:[WASH]], 3)=0, "", COUNTIF(tblSeverityAnalysis[[#This Row],[CCCM]:[WASH]], 3))</f>
        <v>3</v>
      </c>
      <c r="Z56" s="347">
        <f>IF(COUNTIF(tblSeverityAnalysis[[#This Row],[CCCM]:[WASH]], 4)=0, "", COUNTIF(tblSeverityAnalysis[[#This Row],[CCCM]:[WASH]], 4))</f>
        <v>4</v>
      </c>
      <c r="AA56" s="348" t="str">
        <f>IF(COUNTIF(tblSeverityAnalysis[[#This Row],[CCCM]:[WASH]], 5)=0, "", COUNTIF(tblSeverityAnalysis[[#This Row],[CCCM]:[WASH]], 5))</f>
        <v/>
      </c>
      <c r="AB56" s="61" cm="1">
        <f t="array" ref="AB5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6" s="42" t="str">
        <f>IFERROR(IF(INDEX(tblSeverityReference[Malnutrition Severity],MATCH(tblSeverityAnalysis[[#This Row],[ID]], tblSeverityReference[ID], 0))= "", "",INDEX(tblSeverityReference[Malnutrition Severity],MATCH(tblSeverityAnalysis[[#This Row],[ID]], tblSeverityReference[ID], 0)) ), "")</f>
        <v/>
      </c>
      <c r="AE56" s="319" t="str">
        <f>IFERROR(IF(INDEX(tblSeverityReference[Epidemic Severity],MATCH(tblSeverityAnalysis[[#This Row],[ID]], tblSeverityReference[ID], 0))= "", "",INDEX(tblSeverityReference[Epidemic Severity],MATCH(tblSeverityAnalysis[[#This Row],[ID]], tblSeverityReference[ID], 0)) ), "")</f>
        <v/>
      </c>
      <c r="AF56" s="319" t="str">
        <f>IFERROR(IF(INDEX(tblSeverityReference[Coping Strategy Severity],MATCH(tblSeverityAnalysis[[#This Row],[ID]], tblSeverityReference[ID], 0))= "", "",INDEX(tblSeverityReference[Coping Strategy Severity],MATCH(tblSeverityAnalysis[[#This Row],[ID]], tblSeverityReference[ID], 0)) ), "")</f>
        <v/>
      </c>
      <c r="AG56" s="110">
        <v>4</v>
      </c>
      <c r="AH56" s="83">
        <f>IFERROR(AVERAGE(tblSeverityAnalysis[[#This Row],[CCCM]:[WASH]]), "")</f>
        <v>3.375</v>
      </c>
      <c r="AI56" s="27">
        <f>IF(SUM(tblSeverityAnalysis[[#This Row],[CCCM]:[WASH]])=0, "", MAX(tblSeverityAnalysis[[#This Row],[CCCM]:[WASH]]))</f>
        <v>4</v>
      </c>
      <c r="AJ56" s="349" t="str" cm="1">
        <f t="array" ref="AJ56">IFERROR(IF(tblSeverityAnalysis[[#This Row],[Highest Severity]]="", "", _xlfn.TEXTJOIN(CHAR(10), TRUE, IF(tblSeverityAnalysis[[#This Row],[CCCM]:[WASH]]=tblSeverityAnalysis[[#This Row],[Highest Severity]], tblSeverityAnalysis[[#Headers],[CCCM]:[WASH]], ""), "")), "")</f>
        <v>Education
Nutrition
Food Security
Overarching Protection</v>
      </c>
      <c r="AK56" s="27" cm="1">
        <f t="array" ref="AK56">IFERROR(MAX(_xlfn._xlws.FILTER(tblSeverityAnalysis[[#This Row],[CCCM]:[WASH]], tblSeverityAnalysis[[#This Row],[CCCM]:[WASH]]&lt;tblSeverityAnalysis[[#This Row],[Highest Severity]])), "")</f>
        <v>3</v>
      </c>
      <c r="AL56" s="329" t="str" cm="1">
        <f t="array" ref="AL56">IFERROR(IF(tblSeverityAnalysis[[#This Row],[2nd Highest Severity]]="", "", _xlfn.TEXTJOIN(CHAR(10), TRUE, IF(tblSeverityAnalysis[[#This Row],[CCCM]:[WASH]]=tblSeverityAnalysis[[#This Row],[2nd Highest Severity]], tblSeverityAnalysis[[#Headers],[CCCM]:[WASH]], ""), "")), "")</f>
        <v>CCCM
Health
WASH</v>
      </c>
      <c r="AM56" s="135" t="str">
        <f>IFERROR(IF(AND(tblSeverityAnalysis[[#This Row],[5]] &lt;&gt; "", tblSeverityAnalysis[[#This Row],[5]]&gt;=sectors_sev_5), "Flagged", ""), "")</f>
        <v/>
      </c>
      <c r="AN56" s="136" t="str">
        <f>IFERROR(IF(AND(tblSeverityAnalysis[[#This Row],[Preliminary Intersectoral Severity based on overlap of sectoral deprivations]]=4, SUM(tblSeverityAnalysis[[#This Row],[ 4 ]:[5]])&gt;=sectors_sev_4), "Flagged", ""), "")</f>
        <v/>
      </c>
      <c r="AO56" s="136" t="str" cm="1">
        <f t="array" ref="AO5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6" s="351"/>
      <c r="AR56" s="352"/>
      <c r="AS56" s="351"/>
      <c r="AT56" s="353">
        <f>COUNTIF(tblSeverityAnalysis[[#This Row],[1 sector in severity phase 5 '[modify the threshold']]:[Manual Flag]], "Flagged")</f>
        <v>0</v>
      </c>
      <c r="AU56" s="354">
        <f>tblSeverityAnalysis[[#This Row],[Preliminary Intersectoral Severity based on overlap of sectoral deprivations]]</f>
        <v>4</v>
      </c>
      <c r="AV56" s="63">
        <v>4</v>
      </c>
      <c r="AW56" s="432">
        <v>1</v>
      </c>
      <c r="AZ56" t="b">
        <f>tblSeverityAnalysis[[#This Row],[Preliminary Intersectoral Severity based on overlap of sectoral deprivations]]=tblSeverityAnalysis[[#This Row],[Final Severity]]</f>
        <v>1</v>
      </c>
    </row>
    <row r="57" spans="1:53" ht="14.5" hidden="1" customHeight="1" x14ac:dyDescent="0.55000000000000004">
      <c r="A5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SS0706</v>
      </c>
      <c r="B57" s="40" t="s">
        <v>342</v>
      </c>
      <c r="C57" s="335" t="s">
        <v>343</v>
      </c>
      <c r="D57" s="335" t="s">
        <v>354</v>
      </c>
      <c r="E57" s="34" t="s">
        <v>355</v>
      </c>
      <c r="F57" s="34"/>
      <c r="G57" s="34"/>
      <c r="I57" s="97">
        <v>119725.73975646887</v>
      </c>
      <c r="J57" s="97"/>
      <c r="K57" s="400">
        <v>2</v>
      </c>
      <c r="L57" s="319">
        <v>3</v>
      </c>
      <c r="M57" s="319">
        <v>4</v>
      </c>
      <c r="N57" s="319">
        <v>3</v>
      </c>
      <c r="O57" s="319">
        <v>3</v>
      </c>
      <c r="P57" s="319">
        <v>4</v>
      </c>
      <c r="Q57" s="35">
        <v>2</v>
      </c>
      <c r="R57" s="319">
        <v>4</v>
      </c>
      <c r="S57" s="319"/>
      <c r="T57" s="319"/>
      <c r="U57" s="319"/>
      <c r="V57" s="319"/>
      <c r="W57" s="346" t="str">
        <f>IF(COUNTIF(tblSeverityAnalysis[[#This Row],[CCCM]:[WASH]], 1)=0, "", COUNTIF(tblSeverityAnalysis[[#This Row],[CCCM]:[WASH]], 1))</f>
        <v/>
      </c>
      <c r="X57" s="347">
        <f>IF(COUNTIF(tblSeverityAnalysis[[#This Row],[CCCM]:[WASH]], 2)=0, "", COUNTIF(tblSeverityAnalysis[[#This Row],[CCCM]:[WASH]], 2))</f>
        <v>2</v>
      </c>
      <c r="Y57" s="347">
        <f>IF(COUNTIF(tblSeverityAnalysis[[#This Row],[CCCM]:[WASH]], 3)=0, "", COUNTIF(tblSeverityAnalysis[[#This Row],[CCCM]:[WASH]], 3))</f>
        <v>3</v>
      </c>
      <c r="Z57" s="347">
        <f>IF(COUNTIF(tblSeverityAnalysis[[#This Row],[CCCM]:[WASH]], 4)=0, "", COUNTIF(tblSeverityAnalysis[[#This Row],[CCCM]:[WASH]], 4))</f>
        <v>3</v>
      </c>
      <c r="AA57" s="348" t="str">
        <f>IF(COUNTIF(tblSeverityAnalysis[[#This Row],[CCCM]:[WASH]], 5)=0, "", COUNTIF(tblSeverityAnalysis[[#This Row],[CCCM]:[WASH]], 5))</f>
        <v/>
      </c>
      <c r="AB57" s="61" cm="1">
        <f t="array" ref="AB5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7" s="42" t="str">
        <f>IFERROR(IF(INDEX(tblSeverityReference[Malnutrition Severity],MATCH(tblSeverityAnalysis[[#This Row],[ID]], tblSeverityReference[ID], 0))= "", "",INDEX(tblSeverityReference[Malnutrition Severity],MATCH(tblSeverityAnalysis[[#This Row],[ID]], tblSeverityReference[ID], 0)) ), "")</f>
        <v/>
      </c>
      <c r="AE57" s="319" t="str">
        <f>IFERROR(IF(INDEX(tblSeverityReference[Epidemic Severity],MATCH(tblSeverityAnalysis[[#This Row],[ID]], tblSeverityReference[ID], 0))= "", "",INDEX(tblSeverityReference[Epidemic Severity],MATCH(tblSeverityAnalysis[[#This Row],[ID]], tblSeverityReference[ID], 0)) ), "")</f>
        <v/>
      </c>
      <c r="AF57" s="319" t="str">
        <f>IFERROR(IF(INDEX(tblSeverityReference[Coping Strategy Severity],MATCH(tblSeverityAnalysis[[#This Row],[ID]], tblSeverityReference[ID], 0))= "", "",INDEX(tblSeverityReference[Coping Strategy Severity],MATCH(tblSeverityAnalysis[[#This Row],[ID]], tblSeverityReference[ID], 0)) ), "")</f>
        <v/>
      </c>
      <c r="AG57" s="110">
        <v>4</v>
      </c>
      <c r="AH57" s="83">
        <f>IFERROR(AVERAGE(tblSeverityAnalysis[[#This Row],[CCCM]:[WASH]]), "")</f>
        <v>3.125</v>
      </c>
      <c r="AI57" s="27">
        <f>IF(SUM(tblSeverityAnalysis[[#This Row],[CCCM]:[WASH]])=0, "", MAX(tblSeverityAnalysis[[#This Row],[CCCM]:[WASH]]))</f>
        <v>4</v>
      </c>
      <c r="AJ57" s="349" t="str" cm="1">
        <f t="array" ref="AJ57">IFERROR(IF(tblSeverityAnalysis[[#This Row],[Highest Severity]]="", "", _xlfn.TEXTJOIN(CHAR(10), TRUE, IF(tblSeverityAnalysis[[#This Row],[CCCM]:[WASH]]=tblSeverityAnalysis[[#This Row],[Highest Severity]], tblSeverityAnalysis[[#Headers],[CCCM]:[WASH]], ""), "")), "")</f>
        <v>Nutrition
Overarching Protection
WASH</v>
      </c>
      <c r="AK57" s="27" cm="1">
        <f t="array" ref="AK57">IFERROR(MAX(_xlfn._xlws.FILTER(tblSeverityAnalysis[[#This Row],[CCCM]:[WASH]], tblSeverityAnalysis[[#This Row],[CCCM]:[WASH]]&lt;tblSeverityAnalysis[[#This Row],[Highest Severity]])), "")</f>
        <v>3</v>
      </c>
      <c r="AL57" s="329" t="str" cm="1">
        <f t="array" ref="AL57">IFERROR(IF(tblSeverityAnalysis[[#This Row],[2nd Highest Severity]]="", "", _xlfn.TEXTJOIN(CHAR(10), TRUE, IF(tblSeverityAnalysis[[#This Row],[CCCM]:[WASH]]=tblSeverityAnalysis[[#This Row],[2nd Highest Severity]], tblSeverityAnalysis[[#Headers],[CCCM]:[WASH]], ""), "")), "")</f>
        <v>Education
Food Security
Health</v>
      </c>
      <c r="AM57" s="135" t="str">
        <f>IFERROR(IF(AND(tblSeverityAnalysis[[#This Row],[5]] &lt;&gt; "", tblSeverityAnalysis[[#This Row],[5]]&gt;=sectors_sev_5), "Flagged", ""), "")</f>
        <v/>
      </c>
      <c r="AN57" s="136" t="str">
        <f>IFERROR(IF(AND(tblSeverityAnalysis[[#This Row],[Preliminary Intersectoral Severity based on overlap of sectoral deprivations]]=4, SUM(tblSeverityAnalysis[[#This Row],[ 4 ]:[5]])&gt;=sectors_sev_4), "Flagged", ""), "")</f>
        <v/>
      </c>
      <c r="AO57" s="136" t="str" cm="1">
        <f t="array" ref="AO5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7" s="351"/>
      <c r="AR57" s="352"/>
      <c r="AS57" s="351"/>
      <c r="AT57" s="353">
        <f>COUNTIF(tblSeverityAnalysis[[#This Row],[1 sector in severity phase 5 '[modify the threshold']]:[Manual Flag]], "Flagged")</f>
        <v>0</v>
      </c>
      <c r="AU57" s="354">
        <f>tblSeverityAnalysis[[#This Row],[Preliminary Intersectoral Severity based on overlap of sectoral deprivations]]</f>
        <v>3</v>
      </c>
      <c r="AV57" s="63">
        <v>3</v>
      </c>
      <c r="AW57" s="432">
        <v>4</v>
      </c>
      <c r="AZ57" t="b">
        <f>tblSeverityAnalysis[[#This Row],[Preliminary Intersectoral Severity based on overlap of sectoral deprivations]]=tblSeverityAnalysis[[#This Row],[Final Severity]]</f>
        <v>1</v>
      </c>
    </row>
    <row r="58" spans="1:53" ht="14.5" hidden="1" customHeight="1" x14ac:dyDescent="0.55000000000000004">
      <c r="A5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SS0707</v>
      </c>
      <c r="B58" s="40" t="s">
        <v>342</v>
      </c>
      <c r="C58" s="335" t="s">
        <v>343</v>
      </c>
      <c r="D58" s="335" t="s">
        <v>356</v>
      </c>
      <c r="E58" s="34" t="s">
        <v>357</v>
      </c>
      <c r="F58" s="34"/>
      <c r="G58" s="34"/>
      <c r="I58" s="97">
        <v>243384.78475211884</v>
      </c>
      <c r="J58" s="97"/>
      <c r="K58" s="400">
        <v>4</v>
      </c>
      <c r="L58" s="319">
        <v>3</v>
      </c>
      <c r="M58" s="319">
        <v>4</v>
      </c>
      <c r="N58" s="319">
        <v>4</v>
      </c>
      <c r="O58" s="319">
        <v>3.6666666666666665</v>
      </c>
      <c r="P58" s="319">
        <v>3</v>
      </c>
      <c r="Q58" s="35">
        <v>3</v>
      </c>
      <c r="R58" s="319">
        <v>4</v>
      </c>
      <c r="S58" s="319"/>
      <c r="T58" s="319"/>
      <c r="U58" s="319"/>
      <c r="V58" s="319"/>
      <c r="W58" s="346" t="str">
        <f>IF(COUNTIF(tblSeverityAnalysis[[#This Row],[CCCM]:[WASH]], 1)=0, "", COUNTIF(tblSeverityAnalysis[[#This Row],[CCCM]:[WASH]], 1))</f>
        <v/>
      </c>
      <c r="X58" s="347" t="str">
        <f>IF(COUNTIF(tblSeverityAnalysis[[#This Row],[CCCM]:[WASH]], 2)=0, "", COUNTIF(tblSeverityAnalysis[[#This Row],[CCCM]:[WASH]], 2))</f>
        <v/>
      </c>
      <c r="Y58" s="347">
        <f>IF(COUNTIF(tblSeverityAnalysis[[#This Row],[CCCM]:[WASH]], 3)=0, "", COUNTIF(tblSeverityAnalysis[[#This Row],[CCCM]:[WASH]], 3))</f>
        <v>3</v>
      </c>
      <c r="Z58" s="347">
        <f>IF(COUNTIF(tblSeverityAnalysis[[#This Row],[CCCM]:[WASH]], 4)=0, "", COUNTIF(tblSeverityAnalysis[[#This Row],[CCCM]:[WASH]], 4))</f>
        <v>4</v>
      </c>
      <c r="AA58" s="348" t="str">
        <f>IF(COUNTIF(tblSeverityAnalysis[[#This Row],[CCCM]:[WASH]], 5)=0, "", COUNTIF(tblSeverityAnalysis[[#This Row],[CCCM]:[WASH]], 5))</f>
        <v/>
      </c>
      <c r="AB58" s="61" cm="1">
        <f t="array" ref="AB5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8" s="42" t="str">
        <f>IFERROR(IF(INDEX(tblSeverityReference[Malnutrition Severity],MATCH(tblSeverityAnalysis[[#This Row],[ID]], tblSeverityReference[ID], 0))= "", "",INDEX(tblSeverityReference[Malnutrition Severity],MATCH(tblSeverityAnalysis[[#This Row],[ID]], tblSeverityReference[ID], 0)) ), "")</f>
        <v/>
      </c>
      <c r="AE58" s="319" t="str">
        <f>IFERROR(IF(INDEX(tblSeverityReference[Epidemic Severity],MATCH(tblSeverityAnalysis[[#This Row],[ID]], tblSeverityReference[ID], 0))= "", "",INDEX(tblSeverityReference[Epidemic Severity],MATCH(tblSeverityAnalysis[[#This Row],[ID]], tblSeverityReference[ID], 0)) ), "")</f>
        <v/>
      </c>
      <c r="AF58" s="319" t="str">
        <f>IFERROR(IF(INDEX(tblSeverityReference[Coping Strategy Severity],MATCH(tblSeverityAnalysis[[#This Row],[ID]], tblSeverityReference[ID], 0))= "", "",INDEX(tblSeverityReference[Coping Strategy Severity],MATCH(tblSeverityAnalysis[[#This Row],[ID]], tblSeverityReference[ID], 0)) ), "")</f>
        <v/>
      </c>
      <c r="AG58" s="110">
        <v>3</v>
      </c>
      <c r="AH58" s="83">
        <f>IFERROR(AVERAGE(tblSeverityAnalysis[[#This Row],[CCCM]:[WASH]]), "")</f>
        <v>3.5833333333333335</v>
      </c>
      <c r="AI58" s="27">
        <f>IF(SUM(tblSeverityAnalysis[[#This Row],[CCCM]:[WASH]])=0, "", MAX(tblSeverityAnalysis[[#This Row],[CCCM]:[WASH]]))</f>
        <v>4</v>
      </c>
      <c r="AJ58" s="349" t="str" cm="1">
        <f t="array" ref="AJ58">IFERROR(IF(tblSeverityAnalysis[[#This Row],[Highest Severity]]="", "", _xlfn.TEXTJOIN(CHAR(10), TRUE, IF(tblSeverityAnalysis[[#This Row],[CCCM]:[WASH]]=tblSeverityAnalysis[[#This Row],[Highest Severity]], tblSeverityAnalysis[[#Headers],[CCCM]:[WASH]], ""), "")), "")</f>
        <v>CCCM
Nutrition
Food Security
WASH</v>
      </c>
      <c r="AK58" s="27" cm="1">
        <f t="array" ref="AK58">IFERROR(MAX(_xlfn._xlws.FILTER(tblSeverityAnalysis[[#This Row],[CCCM]:[WASH]], tblSeverityAnalysis[[#This Row],[CCCM]:[WASH]]&lt;tblSeverityAnalysis[[#This Row],[Highest Severity]])), "")</f>
        <v>3.6666666666666665</v>
      </c>
      <c r="AL58" s="329" t="str" cm="1">
        <f t="array" ref="AL58">IFERROR(IF(tblSeverityAnalysis[[#This Row],[2nd Highest Severity]]="", "", _xlfn.TEXTJOIN(CHAR(10), TRUE, IF(tblSeverityAnalysis[[#This Row],[CCCM]:[WASH]]=tblSeverityAnalysis[[#This Row],[2nd Highest Severity]], tblSeverityAnalysis[[#Headers],[CCCM]:[WASH]], ""), "")), "")</f>
        <v>Health</v>
      </c>
      <c r="AM58" s="135" t="str">
        <f>IFERROR(IF(AND(tblSeverityAnalysis[[#This Row],[5]] &lt;&gt; "", tblSeverityAnalysis[[#This Row],[5]]&gt;=sectors_sev_5), "Flagged", ""), "")</f>
        <v/>
      </c>
      <c r="AN58" s="136" t="str">
        <f>IFERROR(IF(AND(tblSeverityAnalysis[[#This Row],[Preliminary Intersectoral Severity based on overlap of sectoral deprivations]]=4, SUM(tblSeverityAnalysis[[#This Row],[ 4 ]:[5]])&gt;=sectors_sev_4), "Flagged", ""), "")</f>
        <v/>
      </c>
      <c r="AO58" s="136" t="str" cm="1">
        <f t="array" ref="AO5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8" s="351"/>
      <c r="AR58" s="352"/>
      <c r="AS58" s="351"/>
      <c r="AT58" s="353">
        <f>COUNTIF(tblSeverityAnalysis[[#This Row],[1 sector in severity phase 5 '[modify the threshold']]:[Manual Flag]], "Flagged")</f>
        <v>0</v>
      </c>
      <c r="AU58" s="354">
        <f>tblSeverityAnalysis[[#This Row],[Preliminary Intersectoral Severity based on overlap of sectoral deprivations]]</f>
        <v>4</v>
      </c>
      <c r="AV58" s="63">
        <v>4</v>
      </c>
      <c r="AW58" s="432">
        <v>1</v>
      </c>
      <c r="AZ58" t="b">
        <f>tblSeverityAnalysis[[#This Row],[Preliminary Intersectoral Severity based on overlap of sectoral deprivations]]=tblSeverityAnalysis[[#This Row],[Final Severity]]</f>
        <v>1</v>
      </c>
    </row>
    <row r="59" spans="1:53" ht="14.5" hidden="1" customHeight="1" x14ac:dyDescent="0.55000000000000004">
      <c r="A5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SS0708</v>
      </c>
      <c r="B59" s="40" t="s">
        <v>342</v>
      </c>
      <c r="C59" s="335" t="s">
        <v>343</v>
      </c>
      <c r="D59" s="335" t="s">
        <v>358</v>
      </c>
      <c r="E59" s="34" t="s">
        <v>359</v>
      </c>
      <c r="F59" s="34"/>
      <c r="G59" s="34"/>
      <c r="I59" s="97">
        <v>100094.68897251011</v>
      </c>
      <c r="J59" s="97"/>
      <c r="K59" s="400">
        <v>2</v>
      </c>
      <c r="L59" s="319">
        <v>3</v>
      </c>
      <c r="M59" s="319">
        <v>4</v>
      </c>
      <c r="N59" s="319">
        <v>3</v>
      </c>
      <c r="O59" s="319">
        <v>3.3333333333333335</v>
      </c>
      <c r="P59" s="319">
        <v>4</v>
      </c>
      <c r="Q59" s="35">
        <v>3</v>
      </c>
      <c r="R59" s="319">
        <v>5</v>
      </c>
      <c r="S59" s="319"/>
      <c r="T59" s="319"/>
      <c r="U59" s="319"/>
      <c r="V59" s="319"/>
      <c r="W59" s="346" t="str">
        <f>IF(COUNTIF(tblSeverityAnalysis[[#This Row],[CCCM]:[WASH]], 1)=0, "", COUNTIF(tblSeverityAnalysis[[#This Row],[CCCM]:[WASH]], 1))</f>
        <v/>
      </c>
      <c r="X59" s="347">
        <f>IF(COUNTIF(tblSeverityAnalysis[[#This Row],[CCCM]:[WASH]], 2)=0, "", COUNTIF(tblSeverityAnalysis[[#This Row],[CCCM]:[WASH]], 2))</f>
        <v>1</v>
      </c>
      <c r="Y59" s="347">
        <f>IF(COUNTIF(tblSeverityAnalysis[[#This Row],[CCCM]:[WASH]], 3)=0, "", COUNTIF(tblSeverityAnalysis[[#This Row],[CCCM]:[WASH]], 3))</f>
        <v>3</v>
      </c>
      <c r="Z59" s="347">
        <f>IF(COUNTIF(tblSeverityAnalysis[[#This Row],[CCCM]:[WASH]], 4)=0, "", COUNTIF(tblSeverityAnalysis[[#This Row],[CCCM]:[WASH]], 4))</f>
        <v>2</v>
      </c>
      <c r="AA59" s="348">
        <f>IF(COUNTIF(tblSeverityAnalysis[[#This Row],[CCCM]:[WASH]], 5)=0, "", COUNTIF(tblSeverityAnalysis[[#This Row],[CCCM]:[WASH]], 5))</f>
        <v>1</v>
      </c>
      <c r="AB59" s="61" cm="1">
        <f t="array" ref="AB5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59" s="42" t="str">
        <f>IFERROR(IF(INDEX(tblSeverityReference[Malnutrition Severity],MATCH(tblSeverityAnalysis[[#This Row],[ID]], tblSeverityReference[ID], 0))= "", "",INDEX(tblSeverityReference[Malnutrition Severity],MATCH(tblSeverityAnalysis[[#This Row],[ID]], tblSeverityReference[ID], 0)) ), "")</f>
        <v/>
      </c>
      <c r="AE59" s="319" t="str">
        <f>IFERROR(IF(INDEX(tblSeverityReference[Epidemic Severity],MATCH(tblSeverityAnalysis[[#This Row],[ID]], tblSeverityReference[ID], 0))= "", "",INDEX(tblSeverityReference[Epidemic Severity],MATCH(tblSeverityAnalysis[[#This Row],[ID]], tblSeverityReference[ID], 0)) ), "")</f>
        <v/>
      </c>
      <c r="AF59" s="319" t="str">
        <f>IFERROR(IF(INDEX(tblSeverityReference[Coping Strategy Severity],MATCH(tblSeverityAnalysis[[#This Row],[ID]], tblSeverityReference[ID], 0))= "", "",INDEX(tblSeverityReference[Coping Strategy Severity],MATCH(tblSeverityAnalysis[[#This Row],[ID]], tblSeverityReference[ID], 0)) ), "")</f>
        <v/>
      </c>
      <c r="AG59" s="110">
        <v>3</v>
      </c>
      <c r="AH59" s="83">
        <f>IFERROR(AVERAGE(tblSeverityAnalysis[[#This Row],[CCCM]:[WASH]]), "")</f>
        <v>3.416666666666667</v>
      </c>
      <c r="AI59" s="27">
        <f>IF(SUM(tblSeverityAnalysis[[#This Row],[CCCM]:[WASH]])=0, "", MAX(tblSeverityAnalysis[[#This Row],[CCCM]:[WASH]]))</f>
        <v>5</v>
      </c>
      <c r="AJ59" s="349" t="str" cm="1">
        <f t="array" ref="AJ59">IFERROR(IF(tblSeverityAnalysis[[#This Row],[Highest Severity]]="", "", _xlfn.TEXTJOIN(CHAR(10), TRUE, IF(tblSeverityAnalysis[[#This Row],[CCCM]:[WASH]]=tblSeverityAnalysis[[#This Row],[Highest Severity]], tblSeverityAnalysis[[#Headers],[CCCM]:[WASH]], ""), "")), "")</f>
        <v>WASH</v>
      </c>
      <c r="AK59" s="27" cm="1">
        <f t="array" ref="AK59">IFERROR(MAX(_xlfn._xlws.FILTER(tblSeverityAnalysis[[#This Row],[CCCM]:[WASH]], tblSeverityAnalysis[[#This Row],[CCCM]:[WASH]]&lt;tblSeverityAnalysis[[#This Row],[Highest Severity]])), "")</f>
        <v>4</v>
      </c>
      <c r="AL59" s="329" t="str" cm="1">
        <f t="array" ref="AL59">IFERROR(IF(tblSeverityAnalysis[[#This Row],[2nd Highest Severity]]="", "", _xlfn.TEXTJOIN(CHAR(10), TRUE, IF(tblSeverityAnalysis[[#This Row],[CCCM]:[WASH]]=tblSeverityAnalysis[[#This Row],[2nd Highest Severity]], tblSeverityAnalysis[[#Headers],[CCCM]:[WASH]], ""), "")), "")</f>
        <v>Nutrition
Overarching Protection</v>
      </c>
      <c r="AM59" s="135" t="str">
        <f>IFERROR(IF(AND(tblSeverityAnalysis[[#This Row],[5]] &lt;&gt; "", tblSeverityAnalysis[[#This Row],[5]]&gt;=sectors_sev_5), "Flagged", ""), "")</f>
        <v>Flagged</v>
      </c>
      <c r="AN59" s="136" t="str">
        <f>IFERROR(IF(AND(tblSeverityAnalysis[[#This Row],[Preliminary Intersectoral Severity based on overlap of sectoral deprivations]]=4, SUM(tblSeverityAnalysis[[#This Row],[ 4 ]:[5]])&gt;=sectors_sev_4), "Flagged", ""), "")</f>
        <v/>
      </c>
      <c r="AO59" s="136" t="str" cm="1">
        <f t="array" ref="AO5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9" s="351"/>
      <c r="AR59" s="352"/>
      <c r="AS59" s="351"/>
      <c r="AT59" s="353">
        <f>COUNTIF(tblSeverityAnalysis[[#This Row],[1 sector in severity phase 5 '[modify the threshold']]:[Manual Flag]], "Flagged")</f>
        <v>1</v>
      </c>
      <c r="AU59" s="354">
        <f>tblSeverityAnalysis[[#This Row],[Preliminary Intersectoral Severity based on overlap of sectoral deprivations]]</f>
        <v>3</v>
      </c>
      <c r="AV59" s="63">
        <v>3</v>
      </c>
      <c r="AW59" s="432">
        <v>3</v>
      </c>
      <c r="AZ59" t="b">
        <f>tblSeverityAnalysis[[#This Row],[Preliminary Intersectoral Severity based on overlap of sectoral deprivations]]=tblSeverityAnalysis[[#This Row],[Final Severity]]</f>
        <v>1</v>
      </c>
    </row>
    <row r="60" spans="1:53" ht="14.5" hidden="1" customHeight="1" x14ac:dyDescent="0.55000000000000004">
      <c r="A6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SS0709</v>
      </c>
      <c r="B60" s="40" t="s">
        <v>342</v>
      </c>
      <c r="C60" s="335" t="s">
        <v>343</v>
      </c>
      <c r="D60" s="335" t="s">
        <v>360</v>
      </c>
      <c r="E60" s="34" t="s">
        <v>361</v>
      </c>
      <c r="F60" s="34"/>
      <c r="G60" s="34"/>
      <c r="I60" s="97">
        <v>119706.18823613509</v>
      </c>
      <c r="J60" s="97"/>
      <c r="K60" s="400">
        <v>3</v>
      </c>
      <c r="L60" s="319">
        <v>3</v>
      </c>
      <c r="M60" s="319">
        <v>4</v>
      </c>
      <c r="N60" s="319">
        <v>3</v>
      </c>
      <c r="O60" s="319">
        <v>3</v>
      </c>
      <c r="P60" s="319">
        <v>3</v>
      </c>
      <c r="Q60" s="35">
        <v>2</v>
      </c>
      <c r="R60" s="319">
        <v>2</v>
      </c>
      <c r="S60" s="319"/>
      <c r="T60" s="319"/>
      <c r="U60" s="319"/>
      <c r="V60" s="319"/>
      <c r="W60" s="346" t="str">
        <f>IF(COUNTIF(tblSeverityAnalysis[[#This Row],[CCCM]:[WASH]], 1)=0, "", COUNTIF(tblSeverityAnalysis[[#This Row],[CCCM]:[WASH]], 1))</f>
        <v/>
      </c>
      <c r="X60" s="347">
        <f>IF(COUNTIF(tblSeverityAnalysis[[#This Row],[CCCM]:[WASH]], 2)=0, "", COUNTIF(tblSeverityAnalysis[[#This Row],[CCCM]:[WASH]], 2))</f>
        <v>2</v>
      </c>
      <c r="Y60" s="347">
        <f>IF(COUNTIF(tblSeverityAnalysis[[#This Row],[CCCM]:[WASH]], 3)=0, "", COUNTIF(tblSeverityAnalysis[[#This Row],[CCCM]:[WASH]], 3))</f>
        <v>5</v>
      </c>
      <c r="Z60" s="347">
        <f>IF(COUNTIF(tblSeverityAnalysis[[#This Row],[CCCM]:[WASH]], 4)=0, "", COUNTIF(tblSeverityAnalysis[[#This Row],[CCCM]:[WASH]], 4))</f>
        <v>1</v>
      </c>
      <c r="AA60" s="348" t="str">
        <f>IF(COUNTIF(tblSeverityAnalysis[[#This Row],[CCCM]:[WASH]], 5)=0, "", COUNTIF(tblSeverityAnalysis[[#This Row],[CCCM]:[WASH]], 5))</f>
        <v/>
      </c>
      <c r="AB60" s="61" cm="1">
        <f t="array" ref="AB6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0" s="42" t="str">
        <f>IFERROR(IF(INDEX(tblSeverityReference[Malnutrition Severity],MATCH(tblSeverityAnalysis[[#This Row],[ID]], tblSeverityReference[ID], 0))= "", "",INDEX(tblSeverityReference[Malnutrition Severity],MATCH(tblSeverityAnalysis[[#This Row],[ID]], tblSeverityReference[ID], 0)) ), "")</f>
        <v/>
      </c>
      <c r="AE60" s="319" t="str">
        <f>IFERROR(IF(INDEX(tblSeverityReference[Epidemic Severity],MATCH(tblSeverityAnalysis[[#This Row],[ID]], tblSeverityReference[ID], 0))= "", "",INDEX(tblSeverityReference[Epidemic Severity],MATCH(tblSeverityAnalysis[[#This Row],[ID]], tblSeverityReference[ID], 0)) ), "")</f>
        <v/>
      </c>
      <c r="AF60" s="319" t="str">
        <f>IFERROR(IF(INDEX(tblSeverityReference[Coping Strategy Severity],MATCH(tblSeverityAnalysis[[#This Row],[ID]], tblSeverityReference[ID], 0))= "", "",INDEX(tblSeverityReference[Coping Strategy Severity],MATCH(tblSeverityAnalysis[[#This Row],[ID]], tblSeverityReference[ID], 0)) ), "")</f>
        <v/>
      </c>
      <c r="AG60" s="110">
        <v>3</v>
      </c>
      <c r="AH60" s="83">
        <f>IFERROR(AVERAGE(tblSeverityAnalysis[[#This Row],[CCCM]:[WASH]]), "")</f>
        <v>2.875</v>
      </c>
      <c r="AI60" s="27">
        <f>IF(SUM(tblSeverityAnalysis[[#This Row],[CCCM]:[WASH]])=0, "", MAX(tblSeverityAnalysis[[#This Row],[CCCM]:[WASH]]))</f>
        <v>4</v>
      </c>
      <c r="AJ60" s="349" t="str" cm="1">
        <f t="array" ref="AJ60">IFERROR(IF(tblSeverityAnalysis[[#This Row],[Highest Severity]]="", "", _xlfn.TEXTJOIN(CHAR(10), TRUE, IF(tblSeverityAnalysis[[#This Row],[CCCM]:[WASH]]=tblSeverityAnalysis[[#This Row],[Highest Severity]], tblSeverityAnalysis[[#Headers],[CCCM]:[WASH]], ""), "")), "")</f>
        <v>Nutrition</v>
      </c>
      <c r="AK60" s="27" cm="1">
        <f t="array" ref="AK60">IFERROR(MAX(_xlfn._xlws.FILTER(tblSeverityAnalysis[[#This Row],[CCCM]:[WASH]], tblSeverityAnalysis[[#This Row],[CCCM]:[WASH]]&lt;tblSeverityAnalysis[[#This Row],[Highest Severity]])), "")</f>
        <v>3</v>
      </c>
      <c r="AL60" s="329" t="str" cm="1">
        <f t="array" ref="AL60">IFERROR(IF(tblSeverityAnalysis[[#This Row],[2nd Highest Severity]]="", "", _xlfn.TEXTJOIN(CHAR(10), TRUE, IF(tblSeverityAnalysis[[#This Row],[CCCM]:[WASH]]=tblSeverityAnalysis[[#This Row],[2nd Highest Severity]], tblSeverityAnalysis[[#Headers],[CCCM]:[WASH]], ""), "")), "")</f>
        <v>CCCM
Education
Food Security
Health
Overarching Protection</v>
      </c>
      <c r="AM60" s="135" t="str">
        <f>IFERROR(IF(AND(tblSeverityAnalysis[[#This Row],[5]] &lt;&gt; "", tblSeverityAnalysis[[#This Row],[5]]&gt;=sectors_sev_5), "Flagged", ""), "")</f>
        <v/>
      </c>
      <c r="AN60" s="136" t="str">
        <f>IFERROR(IF(AND(tblSeverityAnalysis[[#This Row],[Preliminary Intersectoral Severity based on overlap of sectoral deprivations]]=4, SUM(tblSeverityAnalysis[[#This Row],[ 4 ]:[5]])&gt;=sectors_sev_4), "Flagged", ""), "")</f>
        <v/>
      </c>
      <c r="AO60" s="136" t="str" cm="1">
        <f t="array" ref="AO6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0" s="351"/>
      <c r="AR60" s="352"/>
      <c r="AS60" s="351"/>
      <c r="AT60" s="353">
        <f>COUNTIF(tblSeverityAnalysis[[#This Row],[1 sector in severity phase 5 '[modify the threshold']]:[Manual Flag]], "Flagged")</f>
        <v>0</v>
      </c>
      <c r="AU60" s="354">
        <f>tblSeverityAnalysis[[#This Row],[Preliminary Intersectoral Severity based on overlap of sectoral deprivations]]</f>
        <v>3</v>
      </c>
      <c r="AV60" s="63">
        <v>3</v>
      </c>
      <c r="AW60" s="432">
        <v>4</v>
      </c>
      <c r="AZ60" t="b">
        <f>tblSeverityAnalysis[[#This Row],[Preliminary Intersectoral Severity based on overlap of sectoral deprivations]]=tblSeverityAnalysis[[#This Row],[Final Severity]]</f>
        <v>1</v>
      </c>
    </row>
    <row r="61" spans="1:53" ht="14.5" hidden="1" customHeight="1" x14ac:dyDescent="0.55000000000000004">
      <c r="A6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SS0710</v>
      </c>
      <c r="B61" s="40" t="s">
        <v>342</v>
      </c>
      <c r="C61" s="335" t="s">
        <v>343</v>
      </c>
      <c r="D61" s="335" t="s">
        <v>362</v>
      </c>
      <c r="E61" s="34" t="s">
        <v>363</v>
      </c>
      <c r="F61" s="34"/>
      <c r="G61" s="34"/>
      <c r="I61" s="97">
        <v>61418.067968750307</v>
      </c>
      <c r="J61" s="97"/>
      <c r="K61" s="400">
        <v>3</v>
      </c>
      <c r="L61" s="319">
        <v>4</v>
      </c>
      <c r="M61" s="319">
        <v>3</v>
      </c>
      <c r="N61" s="319">
        <v>4</v>
      </c>
      <c r="O61" s="319">
        <v>3.6666666666666665</v>
      </c>
      <c r="P61" s="319">
        <v>4</v>
      </c>
      <c r="Q61" s="35">
        <v>3</v>
      </c>
      <c r="R61" s="319">
        <v>5</v>
      </c>
      <c r="S61" s="319"/>
      <c r="T61" s="319"/>
      <c r="U61" s="319"/>
      <c r="V61" s="319"/>
      <c r="W61" s="346" t="str">
        <f>IF(COUNTIF(tblSeverityAnalysis[[#This Row],[CCCM]:[WASH]], 1)=0, "", COUNTIF(tblSeverityAnalysis[[#This Row],[CCCM]:[WASH]], 1))</f>
        <v/>
      </c>
      <c r="X61" s="347" t="str">
        <f>IF(COUNTIF(tblSeverityAnalysis[[#This Row],[CCCM]:[WASH]], 2)=0, "", COUNTIF(tblSeverityAnalysis[[#This Row],[CCCM]:[WASH]], 2))</f>
        <v/>
      </c>
      <c r="Y61" s="347">
        <f>IF(COUNTIF(tblSeverityAnalysis[[#This Row],[CCCM]:[WASH]], 3)=0, "", COUNTIF(tblSeverityAnalysis[[#This Row],[CCCM]:[WASH]], 3))</f>
        <v>3</v>
      </c>
      <c r="Z61" s="347">
        <f>IF(COUNTIF(tblSeverityAnalysis[[#This Row],[CCCM]:[WASH]], 4)=0, "", COUNTIF(tblSeverityAnalysis[[#This Row],[CCCM]:[WASH]], 4))</f>
        <v>3</v>
      </c>
      <c r="AA61" s="348">
        <f>IF(COUNTIF(tblSeverityAnalysis[[#This Row],[CCCM]:[WASH]], 5)=0, "", COUNTIF(tblSeverityAnalysis[[#This Row],[CCCM]:[WASH]], 5))</f>
        <v>1</v>
      </c>
      <c r="AB61" s="61" cm="1">
        <f t="array" ref="AB6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1" s="42" t="str">
        <f>IFERROR(IF(INDEX(tblSeverityReference[Malnutrition Severity],MATCH(tblSeverityAnalysis[[#This Row],[ID]], tblSeverityReference[ID], 0))= "", "",INDEX(tblSeverityReference[Malnutrition Severity],MATCH(tblSeverityAnalysis[[#This Row],[ID]], tblSeverityReference[ID], 0)) ), "")</f>
        <v/>
      </c>
      <c r="AE61" s="319" t="str">
        <f>IFERROR(IF(INDEX(tblSeverityReference[Epidemic Severity],MATCH(tblSeverityAnalysis[[#This Row],[ID]], tblSeverityReference[ID], 0))= "", "",INDEX(tblSeverityReference[Epidemic Severity],MATCH(tblSeverityAnalysis[[#This Row],[ID]], tblSeverityReference[ID], 0)) ), "")</f>
        <v/>
      </c>
      <c r="AF61" s="319" t="str">
        <f>IFERROR(IF(INDEX(tblSeverityReference[Coping Strategy Severity],MATCH(tblSeverityAnalysis[[#This Row],[ID]], tblSeverityReference[ID], 0))= "", "",INDEX(tblSeverityReference[Coping Strategy Severity],MATCH(tblSeverityAnalysis[[#This Row],[ID]], tblSeverityReference[ID], 0)) ), "")</f>
        <v/>
      </c>
      <c r="AG61" s="110">
        <v>5</v>
      </c>
      <c r="AH61" s="83">
        <f>IFERROR(AVERAGE(tblSeverityAnalysis[[#This Row],[CCCM]:[WASH]]), "")</f>
        <v>3.7083333333333335</v>
      </c>
      <c r="AI61" s="27">
        <f>IF(SUM(tblSeverityAnalysis[[#This Row],[CCCM]:[WASH]])=0, "", MAX(tblSeverityAnalysis[[#This Row],[CCCM]:[WASH]]))</f>
        <v>5</v>
      </c>
      <c r="AJ61" s="349" t="str" cm="1">
        <f t="array" ref="AJ61">IFERROR(IF(tblSeverityAnalysis[[#This Row],[Highest Severity]]="", "", _xlfn.TEXTJOIN(CHAR(10), TRUE, IF(tblSeverityAnalysis[[#This Row],[CCCM]:[WASH]]=tblSeverityAnalysis[[#This Row],[Highest Severity]], tblSeverityAnalysis[[#Headers],[CCCM]:[WASH]], ""), "")), "")</f>
        <v>WASH</v>
      </c>
      <c r="AK61" s="27" cm="1">
        <f t="array" ref="AK61">IFERROR(MAX(_xlfn._xlws.FILTER(tblSeverityAnalysis[[#This Row],[CCCM]:[WASH]], tblSeverityAnalysis[[#This Row],[CCCM]:[WASH]]&lt;tblSeverityAnalysis[[#This Row],[Highest Severity]])), "")</f>
        <v>4</v>
      </c>
      <c r="AL61" s="329" t="str" cm="1">
        <f t="array" ref="AL61">IFERROR(IF(tblSeverityAnalysis[[#This Row],[2nd Highest Severity]]="", "", _xlfn.TEXTJOIN(CHAR(10), TRUE, IF(tblSeverityAnalysis[[#This Row],[CCCM]:[WASH]]=tblSeverityAnalysis[[#This Row],[2nd Highest Severity]], tblSeverityAnalysis[[#Headers],[CCCM]:[WASH]], ""), "")), "")</f>
        <v>Education
Food Security
Overarching Protection</v>
      </c>
      <c r="AM61" s="135" t="str">
        <f>IFERROR(IF(AND(tblSeverityAnalysis[[#This Row],[5]] &lt;&gt; "", tblSeverityAnalysis[[#This Row],[5]]&gt;=sectors_sev_5), "Flagged", ""), "")</f>
        <v>Flagged</v>
      </c>
      <c r="AN61" s="136" t="str">
        <f>IFERROR(IF(AND(tblSeverityAnalysis[[#This Row],[Preliminary Intersectoral Severity based on overlap of sectoral deprivations]]=4, SUM(tblSeverityAnalysis[[#This Row],[ 4 ]:[5]])&gt;=sectors_sev_4), "Flagged", ""), "")</f>
        <v/>
      </c>
      <c r="AO61" s="136" t="str" cm="1">
        <f t="array" ref="AO6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1" s="351"/>
      <c r="AR61" s="352"/>
      <c r="AS61" s="351"/>
      <c r="AT61" s="353">
        <f>COUNTIF(tblSeverityAnalysis[[#This Row],[1 sector in severity phase 5 '[modify the threshold']]:[Manual Flag]], "Flagged")</f>
        <v>1</v>
      </c>
      <c r="AU61" s="354">
        <f>tblSeverityAnalysis[[#This Row],[Preliminary Intersectoral Severity based on overlap of sectoral deprivations]]</f>
        <v>4</v>
      </c>
      <c r="AV61" s="63">
        <v>4</v>
      </c>
      <c r="AW61" s="432">
        <v>2</v>
      </c>
      <c r="AZ61" t="b">
        <f>tblSeverityAnalysis[[#This Row],[Preliminary Intersectoral Severity based on overlap of sectoral deprivations]]=tblSeverityAnalysis[[#This Row],[Final Severity]]</f>
        <v>1</v>
      </c>
    </row>
    <row r="62" spans="1:53" ht="14.5" hidden="1" customHeight="1" x14ac:dyDescent="0.55000000000000004">
      <c r="A6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SS0711</v>
      </c>
      <c r="B62" s="40" t="s">
        <v>342</v>
      </c>
      <c r="C62" s="335" t="s">
        <v>343</v>
      </c>
      <c r="D62" s="335" t="s">
        <v>364</v>
      </c>
      <c r="E62" s="34" t="s">
        <v>365</v>
      </c>
      <c r="F62" s="34"/>
      <c r="G62" s="34"/>
      <c r="I62" s="97">
        <v>563393.15658963821</v>
      </c>
      <c r="J62" s="97"/>
      <c r="K62" s="400">
        <v>4</v>
      </c>
      <c r="L62" s="319">
        <v>4</v>
      </c>
      <c r="M62" s="319">
        <v>4</v>
      </c>
      <c r="N62" s="319">
        <v>3</v>
      </c>
      <c r="O62" s="319">
        <v>3.3333333333333335</v>
      </c>
      <c r="P62" s="319">
        <v>3</v>
      </c>
      <c r="Q62" s="35">
        <v>4</v>
      </c>
      <c r="R62" s="319">
        <v>3</v>
      </c>
      <c r="S62" s="319"/>
      <c r="T62" s="319"/>
      <c r="U62" s="319"/>
      <c r="V62" s="319"/>
      <c r="W62" s="346" t="str">
        <f>IF(COUNTIF(tblSeverityAnalysis[[#This Row],[CCCM]:[WASH]], 1)=0, "", COUNTIF(tblSeverityAnalysis[[#This Row],[CCCM]:[WASH]], 1))</f>
        <v/>
      </c>
      <c r="X62" s="347" t="str">
        <f>IF(COUNTIF(tblSeverityAnalysis[[#This Row],[CCCM]:[WASH]], 2)=0, "", COUNTIF(tblSeverityAnalysis[[#This Row],[CCCM]:[WASH]], 2))</f>
        <v/>
      </c>
      <c r="Y62" s="347">
        <f>IF(COUNTIF(tblSeverityAnalysis[[#This Row],[CCCM]:[WASH]], 3)=0, "", COUNTIF(tblSeverityAnalysis[[#This Row],[CCCM]:[WASH]], 3))</f>
        <v>3</v>
      </c>
      <c r="Z62" s="347">
        <f>IF(COUNTIF(tblSeverityAnalysis[[#This Row],[CCCM]:[WASH]], 4)=0, "", COUNTIF(tblSeverityAnalysis[[#This Row],[CCCM]:[WASH]], 4))</f>
        <v>4</v>
      </c>
      <c r="AA62" s="348" t="str">
        <f>IF(COUNTIF(tblSeverityAnalysis[[#This Row],[CCCM]:[WASH]], 5)=0, "", COUNTIF(tblSeverityAnalysis[[#This Row],[CCCM]:[WASH]], 5))</f>
        <v/>
      </c>
      <c r="AB62" s="61" cm="1">
        <f t="array" ref="AB6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2" s="42" t="str">
        <f>IFERROR(IF(INDEX(tblSeverityReference[Malnutrition Severity],MATCH(tblSeverityAnalysis[[#This Row],[ID]], tblSeverityReference[ID], 0))= "", "",INDEX(tblSeverityReference[Malnutrition Severity],MATCH(tblSeverityAnalysis[[#This Row],[ID]], tblSeverityReference[ID], 0)) ), "")</f>
        <v/>
      </c>
      <c r="AE62" s="319" t="str">
        <f>IFERROR(IF(INDEX(tblSeverityReference[Epidemic Severity],MATCH(tblSeverityAnalysis[[#This Row],[ID]], tblSeverityReference[ID], 0))= "", "",INDEX(tblSeverityReference[Epidemic Severity],MATCH(tblSeverityAnalysis[[#This Row],[ID]], tblSeverityReference[ID], 0)) ), "")</f>
        <v/>
      </c>
      <c r="AF62" s="319" t="str">
        <f>IFERROR(IF(INDEX(tblSeverityReference[Coping Strategy Severity],MATCH(tblSeverityAnalysis[[#This Row],[ID]], tblSeverityReference[ID], 0))= "", "",INDEX(tblSeverityReference[Coping Strategy Severity],MATCH(tblSeverityAnalysis[[#This Row],[ID]], tblSeverityReference[ID], 0)) ), "")</f>
        <v/>
      </c>
      <c r="AG62" s="110">
        <v>4</v>
      </c>
      <c r="AH62" s="83">
        <f>IFERROR(AVERAGE(tblSeverityAnalysis[[#This Row],[CCCM]:[WASH]]), "")</f>
        <v>3.5416666666666665</v>
      </c>
      <c r="AI62" s="27">
        <f>IF(SUM(tblSeverityAnalysis[[#This Row],[CCCM]:[WASH]])=0, "", MAX(tblSeverityAnalysis[[#This Row],[CCCM]:[WASH]]))</f>
        <v>4</v>
      </c>
      <c r="AJ62" s="349" t="str" cm="1">
        <f t="array" ref="AJ62">IFERROR(IF(tblSeverityAnalysis[[#This Row],[Highest Severity]]="", "", _xlfn.TEXTJOIN(CHAR(10), TRUE, IF(tblSeverityAnalysis[[#This Row],[CCCM]:[WASH]]=tblSeverityAnalysis[[#This Row],[Highest Severity]], tblSeverityAnalysis[[#Headers],[CCCM]:[WASH]], ""), "")), "")</f>
        <v>CCCM
Education
Nutrition
Shelter</v>
      </c>
      <c r="AK62" s="27" cm="1">
        <f t="array" ref="AK62">IFERROR(MAX(_xlfn._xlws.FILTER(tblSeverityAnalysis[[#This Row],[CCCM]:[WASH]], tblSeverityAnalysis[[#This Row],[CCCM]:[WASH]]&lt;tblSeverityAnalysis[[#This Row],[Highest Severity]])), "")</f>
        <v>3.3333333333333335</v>
      </c>
      <c r="AL62" s="329" t="str" cm="1">
        <f t="array" ref="AL62">IFERROR(IF(tblSeverityAnalysis[[#This Row],[2nd Highest Severity]]="", "", _xlfn.TEXTJOIN(CHAR(10), TRUE, IF(tblSeverityAnalysis[[#This Row],[CCCM]:[WASH]]=tblSeverityAnalysis[[#This Row],[2nd Highest Severity]], tblSeverityAnalysis[[#Headers],[CCCM]:[WASH]], ""), "")), "")</f>
        <v>Health</v>
      </c>
      <c r="AM62" s="135" t="str">
        <f>IFERROR(IF(AND(tblSeverityAnalysis[[#This Row],[5]] &lt;&gt; "", tblSeverityAnalysis[[#This Row],[5]]&gt;=sectors_sev_5), "Flagged", ""), "")</f>
        <v/>
      </c>
      <c r="AN62" s="136" t="str">
        <f>IFERROR(IF(AND(tblSeverityAnalysis[[#This Row],[Preliminary Intersectoral Severity based on overlap of sectoral deprivations]]=4, SUM(tblSeverityAnalysis[[#This Row],[ 4 ]:[5]])&gt;=sectors_sev_4), "Flagged", ""), "")</f>
        <v/>
      </c>
      <c r="AO62" s="136" t="str" cm="1">
        <f t="array" ref="AO6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2" s="351"/>
      <c r="AR62" s="352"/>
      <c r="AS62" s="351"/>
      <c r="AT62" s="353">
        <f>COUNTIF(tblSeverityAnalysis[[#This Row],[1 sector in severity phase 5 '[modify the threshold']]:[Manual Flag]], "Flagged")</f>
        <v>0</v>
      </c>
      <c r="AU62" s="354">
        <f>tblSeverityAnalysis[[#This Row],[Preliminary Intersectoral Severity based on overlap of sectoral deprivations]]</f>
        <v>4</v>
      </c>
      <c r="AV62" s="63">
        <v>4</v>
      </c>
      <c r="AW62" s="432">
        <v>1</v>
      </c>
      <c r="AZ62" t="b">
        <f>tblSeverityAnalysis[[#This Row],[Preliminary Intersectoral Severity based on overlap of sectoral deprivations]]=tblSeverityAnalysis[[#This Row],[Final Severity]]</f>
        <v>1</v>
      </c>
    </row>
    <row r="63" spans="1:53" ht="14.5" customHeight="1" x14ac:dyDescent="0.55000000000000004">
      <c r="A6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SS0712</v>
      </c>
      <c r="B63" s="40" t="s">
        <v>342</v>
      </c>
      <c r="C63" s="335" t="s">
        <v>343</v>
      </c>
      <c r="D63" s="335" t="s">
        <v>366</v>
      </c>
      <c r="E63" s="34" t="s">
        <v>367</v>
      </c>
      <c r="F63" s="34"/>
      <c r="G63" s="34"/>
      <c r="I63" s="97">
        <v>131897.25141015081</v>
      </c>
      <c r="J63" s="97"/>
      <c r="K63" s="400">
        <v>4</v>
      </c>
      <c r="L63" s="319">
        <v>5</v>
      </c>
      <c r="M63" s="319">
        <v>5</v>
      </c>
      <c r="N63" s="319">
        <v>4</v>
      </c>
      <c r="O63" s="319">
        <v>4</v>
      </c>
      <c r="P63" s="319">
        <v>4</v>
      </c>
      <c r="Q63" s="35">
        <v>5</v>
      </c>
      <c r="R63" s="319">
        <v>5</v>
      </c>
      <c r="S63" s="319"/>
      <c r="T63" s="319"/>
      <c r="U63" s="319"/>
      <c r="V63" s="319"/>
      <c r="W63" s="346" t="str">
        <f>IF(COUNTIF(tblSeverityAnalysis[[#This Row],[CCCM]:[WASH]], 1)=0, "", COUNTIF(tblSeverityAnalysis[[#This Row],[CCCM]:[WASH]], 1))</f>
        <v/>
      </c>
      <c r="X63" s="347" t="str">
        <f>IF(COUNTIF(tblSeverityAnalysis[[#This Row],[CCCM]:[WASH]], 2)=0, "", COUNTIF(tblSeverityAnalysis[[#This Row],[CCCM]:[WASH]], 2))</f>
        <v/>
      </c>
      <c r="Y63" s="347" t="str">
        <f>IF(COUNTIF(tblSeverityAnalysis[[#This Row],[CCCM]:[WASH]], 3)=0, "", COUNTIF(tblSeverityAnalysis[[#This Row],[CCCM]:[WASH]], 3))</f>
        <v/>
      </c>
      <c r="Z63" s="347">
        <f>IF(COUNTIF(tblSeverityAnalysis[[#This Row],[CCCM]:[WASH]], 4)=0, "", COUNTIF(tblSeverityAnalysis[[#This Row],[CCCM]:[WASH]], 4))</f>
        <v>4</v>
      </c>
      <c r="AA63" s="348">
        <f>IF(COUNTIF(tblSeverityAnalysis[[#This Row],[CCCM]:[WASH]], 5)=0, "", COUNTIF(tblSeverityAnalysis[[#This Row],[CCCM]:[WASH]], 5))</f>
        <v>4</v>
      </c>
      <c r="AB63" s="61" cm="1">
        <f t="array" ref="AB6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6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3" s="42" t="str">
        <f>IFERROR(IF(INDEX(tblSeverityReference[Malnutrition Severity],MATCH(tblSeverityAnalysis[[#This Row],[ID]], tblSeverityReference[ID], 0))= "", "",INDEX(tblSeverityReference[Malnutrition Severity],MATCH(tblSeverityAnalysis[[#This Row],[ID]], tblSeverityReference[ID], 0)) ), "")</f>
        <v/>
      </c>
      <c r="AE63" s="319" t="str">
        <f>IFERROR(IF(INDEX(tblSeverityReference[Epidemic Severity],MATCH(tblSeverityAnalysis[[#This Row],[ID]], tblSeverityReference[ID], 0))= "", "",INDEX(tblSeverityReference[Epidemic Severity],MATCH(tblSeverityAnalysis[[#This Row],[ID]], tblSeverityReference[ID], 0)) ), "")</f>
        <v/>
      </c>
      <c r="AF63" s="319" t="str">
        <f>IFERROR(IF(INDEX(tblSeverityReference[Coping Strategy Severity],MATCH(tblSeverityAnalysis[[#This Row],[ID]], tblSeverityReference[ID], 0))= "", "",INDEX(tblSeverityReference[Coping Strategy Severity],MATCH(tblSeverityAnalysis[[#This Row],[ID]], tblSeverityReference[ID], 0)) ), "")</f>
        <v/>
      </c>
      <c r="AG63" s="110">
        <v>5</v>
      </c>
      <c r="AH63" s="83">
        <f>IFERROR(AVERAGE(tblSeverityAnalysis[[#This Row],[CCCM]:[WASH]]), "")</f>
        <v>4.5</v>
      </c>
      <c r="AI63" s="27">
        <f>IF(SUM(tblSeverityAnalysis[[#This Row],[CCCM]:[WASH]])=0, "", MAX(tblSeverityAnalysis[[#This Row],[CCCM]:[WASH]]))</f>
        <v>5</v>
      </c>
      <c r="AJ63" s="349" t="str" cm="1">
        <f t="array" ref="AJ63">IFERROR(IF(tblSeverityAnalysis[[#This Row],[Highest Severity]]="", "", _xlfn.TEXTJOIN(CHAR(10), TRUE, IF(tblSeverityAnalysis[[#This Row],[CCCM]:[WASH]]=tblSeverityAnalysis[[#This Row],[Highest Severity]], tblSeverityAnalysis[[#Headers],[CCCM]:[WASH]], ""), "")), "")</f>
        <v>Education
Nutrition
Shelter
WASH</v>
      </c>
      <c r="AK63" s="27" cm="1">
        <f t="array" ref="AK63">IFERROR(MAX(_xlfn._xlws.FILTER(tblSeverityAnalysis[[#This Row],[CCCM]:[WASH]], tblSeverityAnalysis[[#This Row],[CCCM]:[WASH]]&lt;tblSeverityAnalysis[[#This Row],[Highest Severity]])), "")</f>
        <v>4</v>
      </c>
      <c r="AL63" s="329" t="str" cm="1">
        <f t="array" ref="AL63">IFERROR(IF(tblSeverityAnalysis[[#This Row],[2nd Highest Severity]]="", "", _xlfn.TEXTJOIN(CHAR(10), TRUE, IF(tblSeverityAnalysis[[#This Row],[CCCM]:[WASH]]=tblSeverityAnalysis[[#This Row],[2nd Highest Severity]], tblSeverityAnalysis[[#Headers],[CCCM]:[WASH]], ""), "")), "")</f>
        <v>CCCM
Food Security
Health
Overarching Protection</v>
      </c>
      <c r="AM63" s="135" t="str">
        <f>IFERROR(IF(AND(tblSeverityAnalysis[[#This Row],[5]] &lt;&gt; "", tblSeverityAnalysis[[#This Row],[5]]&gt;=sectors_sev_5), "Flagged", ""), "")</f>
        <v>Flagged</v>
      </c>
      <c r="AN63" s="136" t="str">
        <f>IFERROR(IF(AND(tblSeverityAnalysis[[#This Row],[Preliminary Intersectoral Severity based on overlap of sectoral deprivations]]=4, SUM(tblSeverityAnalysis[[#This Row],[ 4 ]:[5]])&gt;=sectors_sev_4), "Flagged", ""), "")</f>
        <v/>
      </c>
      <c r="AO63" s="136" t="str" cm="1">
        <f t="array" ref="AO6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3" s="351"/>
      <c r="AR63" s="352"/>
      <c r="AS63" s="351"/>
      <c r="AT63" s="353">
        <f>COUNTIF(tblSeverityAnalysis[[#This Row],[1 sector in severity phase 5 '[modify the threshold']]:[Manual Flag]], "Flagged")</f>
        <v>1</v>
      </c>
      <c r="AU63" s="354">
        <f>tblSeverityAnalysis[[#This Row],[Preliminary Intersectoral Severity based on overlap of sectoral deprivations]]</f>
        <v>5</v>
      </c>
      <c r="AV63" s="63">
        <v>5</v>
      </c>
      <c r="AW63" s="432">
        <v>1</v>
      </c>
      <c r="AZ63" t="b">
        <f>tblSeverityAnalysis[[#This Row],[Preliminary Intersectoral Severity based on overlap of sectoral deprivations]]=tblSeverityAnalysis[[#This Row],[Final Severity]]</f>
        <v>1</v>
      </c>
    </row>
    <row r="64" spans="1:53" ht="14.5" hidden="1" customHeight="1" x14ac:dyDescent="0.55000000000000004">
      <c r="A6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SS0801</v>
      </c>
      <c r="B64" s="40" t="s">
        <v>368</v>
      </c>
      <c r="C64" s="335" t="s">
        <v>369</v>
      </c>
      <c r="D64" s="335" t="s">
        <v>370</v>
      </c>
      <c r="E64" s="34" t="s">
        <v>371</v>
      </c>
      <c r="F64" s="34"/>
      <c r="G64" s="34"/>
      <c r="I64" s="97">
        <v>119761.57429826241</v>
      </c>
      <c r="J64" s="97"/>
      <c r="K64" s="400">
        <v>2</v>
      </c>
      <c r="L64" s="319">
        <v>3</v>
      </c>
      <c r="M64" s="319">
        <v>4</v>
      </c>
      <c r="N64" s="319">
        <v>3</v>
      </c>
      <c r="O64" s="319">
        <v>3.3333333333333335</v>
      </c>
      <c r="P64" s="319">
        <v>3</v>
      </c>
      <c r="Q64" s="35">
        <v>3</v>
      </c>
      <c r="R64" s="319">
        <v>3</v>
      </c>
      <c r="S64" s="319"/>
      <c r="T64" s="319"/>
      <c r="U64" s="319"/>
      <c r="V64" s="319"/>
      <c r="W64" s="346" t="str">
        <f>IF(COUNTIF(tblSeverityAnalysis[[#This Row],[CCCM]:[WASH]], 1)=0, "", COUNTIF(tblSeverityAnalysis[[#This Row],[CCCM]:[WASH]], 1))</f>
        <v/>
      </c>
      <c r="X64" s="347">
        <f>IF(COUNTIF(tblSeverityAnalysis[[#This Row],[CCCM]:[WASH]], 2)=0, "", COUNTIF(tblSeverityAnalysis[[#This Row],[CCCM]:[WASH]], 2))</f>
        <v>1</v>
      </c>
      <c r="Y64" s="347">
        <f>IF(COUNTIF(tblSeverityAnalysis[[#This Row],[CCCM]:[WASH]], 3)=0, "", COUNTIF(tblSeverityAnalysis[[#This Row],[CCCM]:[WASH]], 3))</f>
        <v>5</v>
      </c>
      <c r="Z64" s="347">
        <f>IF(COUNTIF(tblSeverityAnalysis[[#This Row],[CCCM]:[WASH]], 4)=0, "", COUNTIF(tblSeverityAnalysis[[#This Row],[CCCM]:[WASH]], 4))</f>
        <v>1</v>
      </c>
      <c r="AA64" s="348" t="str">
        <f>IF(COUNTIF(tblSeverityAnalysis[[#This Row],[CCCM]:[WASH]], 5)=0, "", COUNTIF(tblSeverityAnalysis[[#This Row],[CCCM]:[WASH]], 5))</f>
        <v/>
      </c>
      <c r="AB64" s="61" cm="1">
        <f t="array" ref="AB6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4" s="42" t="str">
        <f>IFERROR(IF(INDEX(tblSeverityReference[Malnutrition Severity],MATCH(tblSeverityAnalysis[[#This Row],[ID]], tblSeverityReference[ID], 0))= "", "",INDEX(tblSeverityReference[Malnutrition Severity],MATCH(tblSeverityAnalysis[[#This Row],[ID]], tblSeverityReference[ID], 0)) ), "")</f>
        <v/>
      </c>
      <c r="AE64" s="319" t="str">
        <f>IFERROR(IF(INDEX(tblSeverityReference[Epidemic Severity],MATCH(tblSeverityAnalysis[[#This Row],[ID]], tblSeverityReference[ID], 0))= "", "",INDEX(tblSeverityReference[Epidemic Severity],MATCH(tblSeverityAnalysis[[#This Row],[ID]], tblSeverityReference[ID], 0)) ), "")</f>
        <v/>
      </c>
      <c r="AF64" s="319" t="str">
        <f>IFERROR(IF(INDEX(tblSeverityReference[Coping Strategy Severity],MATCH(tblSeverityAnalysis[[#This Row],[ID]], tblSeverityReference[ID], 0))= "", "",INDEX(tblSeverityReference[Coping Strategy Severity],MATCH(tblSeverityAnalysis[[#This Row],[ID]], tblSeverityReference[ID], 0)) ), "")</f>
        <v/>
      </c>
      <c r="AG64" s="110">
        <v>3</v>
      </c>
      <c r="AH64" s="83">
        <f>IFERROR(AVERAGE(tblSeverityAnalysis[[#This Row],[CCCM]:[WASH]]), "")</f>
        <v>3.041666666666667</v>
      </c>
      <c r="AI64" s="27">
        <f>IF(SUM(tblSeverityAnalysis[[#This Row],[CCCM]:[WASH]])=0, "", MAX(tblSeverityAnalysis[[#This Row],[CCCM]:[WASH]]))</f>
        <v>4</v>
      </c>
      <c r="AJ64" s="349" t="str" cm="1">
        <f t="array" ref="AJ64">IFERROR(IF(tblSeverityAnalysis[[#This Row],[Highest Severity]]="", "", _xlfn.TEXTJOIN(CHAR(10), TRUE, IF(tblSeverityAnalysis[[#This Row],[CCCM]:[WASH]]=tblSeverityAnalysis[[#This Row],[Highest Severity]], tblSeverityAnalysis[[#Headers],[CCCM]:[WASH]], ""), "")), "")</f>
        <v>Nutrition</v>
      </c>
      <c r="AK64" s="27" cm="1">
        <f t="array" ref="AK64">IFERROR(MAX(_xlfn._xlws.FILTER(tblSeverityAnalysis[[#This Row],[CCCM]:[WASH]], tblSeverityAnalysis[[#This Row],[CCCM]:[WASH]]&lt;tblSeverityAnalysis[[#This Row],[Highest Severity]])), "")</f>
        <v>3.3333333333333335</v>
      </c>
      <c r="AL64" s="329" t="str" cm="1">
        <f t="array" ref="AL64">IFERROR(IF(tblSeverityAnalysis[[#This Row],[2nd Highest Severity]]="", "", _xlfn.TEXTJOIN(CHAR(10), TRUE, IF(tblSeverityAnalysis[[#This Row],[CCCM]:[WASH]]=tblSeverityAnalysis[[#This Row],[2nd Highest Severity]], tblSeverityAnalysis[[#Headers],[CCCM]:[WASH]], ""), "")), "")</f>
        <v>Health</v>
      </c>
      <c r="AM64" s="135" t="str">
        <f>IFERROR(IF(AND(tblSeverityAnalysis[[#This Row],[5]] &lt;&gt; "", tblSeverityAnalysis[[#This Row],[5]]&gt;=sectors_sev_5), "Flagged", ""), "")</f>
        <v/>
      </c>
      <c r="AN64" s="136" t="str">
        <f>IFERROR(IF(AND(tblSeverityAnalysis[[#This Row],[Preliminary Intersectoral Severity based on overlap of sectoral deprivations]]=4, SUM(tblSeverityAnalysis[[#This Row],[ 4 ]:[5]])&gt;=sectors_sev_4), "Flagged", ""), "")</f>
        <v/>
      </c>
      <c r="AO64" s="136" t="str" cm="1">
        <f t="array" ref="AO6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4" s="351"/>
      <c r="AR64" s="352"/>
      <c r="AS64" s="351"/>
      <c r="AT64" s="353">
        <f>COUNTIF(tblSeverityAnalysis[[#This Row],[1 sector in severity phase 5 '[modify the threshold']]:[Manual Flag]], "Flagged")</f>
        <v>0</v>
      </c>
      <c r="AU64" s="354">
        <f>tblSeverityAnalysis[[#This Row],[Preliminary Intersectoral Severity based on overlap of sectoral deprivations]]</f>
        <v>3</v>
      </c>
      <c r="AV64" s="63">
        <v>3</v>
      </c>
      <c r="AW64" s="432">
        <v>3</v>
      </c>
      <c r="AZ64" t="b">
        <f>tblSeverityAnalysis[[#This Row],[Preliminary Intersectoral Severity based on overlap of sectoral deprivations]]=tblSeverityAnalysis[[#This Row],[Final Severity]]</f>
        <v>1</v>
      </c>
    </row>
    <row r="65" spans="1:53" ht="14.5" hidden="1" customHeight="1" x14ac:dyDescent="0.55000000000000004">
      <c r="A6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SS0802</v>
      </c>
      <c r="B65" s="40" t="s">
        <v>368</v>
      </c>
      <c r="C65" s="335" t="s">
        <v>369</v>
      </c>
      <c r="D65" s="335" t="s">
        <v>372</v>
      </c>
      <c r="E65" s="34" t="s">
        <v>373</v>
      </c>
      <c r="F65" s="34"/>
      <c r="G65" s="34"/>
      <c r="I65" s="97">
        <v>298154.89537030633</v>
      </c>
      <c r="J65" s="97"/>
      <c r="K65" s="400">
        <v>3</v>
      </c>
      <c r="L65" s="319">
        <v>3</v>
      </c>
      <c r="M65" s="319">
        <v>4</v>
      </c>
      <c r="N65" s="319">
        <v>3</v>
      </c>
      <c r="O65" s="319">
        <v>3.3333333333333335</v>
      </c>
      <c r="P65" s="319">
        <v>3</v>
      </c>
      <c r="Q65" s="35">
        <v>3</v>
      </c>
      <c r="R65" s="319">
        <v>4</v>
      </c>
      <c r="S65" s="319"/>
      <c r="T65" s="319"/>
      <c r="U65" s="319"/>
      <c r="V65" s="319"/>
      <c r="W65" s="346" t="str">
        <f>IF(COUNTIF(tblSeverityAnalysis[[#This Row],[CCCM]:[WASH]], 1)=0, "", COUNTIF(tblSeverityAnalysis[[#This Row],[CCCM]:[WASH]], 1))</f>
        <v/>
      </c>
      <c r="X65" s="347" t="str">
        <f>IF(COUNTIF(tblSeverityAnalysis[[#This Row],[CCCM]:[WASH]], 2)=0, "", COUNTIF(tblSeverityAnalysis[[#This Row],[CCCM]:[WASH]], 2))</f>
        <v/>
      </c>
      <c r="Y65" s="347">
        <f>IF(COUNTIF(tblSeverityAnalysis[[#This Row],[CCCM]:[WASH]], 3)=0, "", COUNTIF(tblSeverityAnalysis[[#This Row],[CCCM]:[WASH]], 3))</f>
        <v>5</v>
      </c>
      <c r="Z65" s="347">
        <f>IF(COUNTIF(tblSeverityAnalysis[[#This Row],[CCCM]:[WASH]], 4)=0, "", COUNTIF(tblSeverityAnalysis[[#This Row],[CCCM]:[WASH]], 4))</f>
        <v>2</v>
      </c>
      <c r="AA65" s="348" t="str">
        <f>IF(COUNTIF(tblSeverityAnalysis[[#This Row],[CCCM]:[WASH]], 5)=0, "", COUNTIF(tblSeverityAnalysis[[#This Row],[CCCM]:[WASH]], 5))</f>
        <v/>
      </c>
      <c r="AB65" s="61" cm="1">
        <f t="array" ref="AB6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5" s="42" t="str">
        <f>IFERROR(IF(INDEX(tblSeverityReference[Malnutrition Severity],MATCH(tblSeverityAnalysis[[#This Row],[ID]], tblSeverityReference[ID], 0))= "", "",INDEX(tblSeverityReference[Malnutrition Severity],MATCH(tblSeverityAnalysis[[#This Row],[ID]], tblSeverityReference[ID], 0)) ), "")</f>
        <v/>
      </c>
      <c r="AE65" s="319" t="str">
        <f>IFERROR(IF(INDEX(tblSeverityReference[Epidemic Severity],MATCH(tblSeverityAnalysis[[#This Row],[ID]], tblSeverityReference[ID], 0))= "", "",INDEX(tblSeverityReference[Epidemic Severity],MATCH(tblSeverityAnalysis[[#This Row],[ID]], tblSeverityReference[ID], 0)) ), "")</f>
        <v/>
      </c>
      <c r="AF65" s="319" t="str">
        <f>IFERROR(IF(INDEX(tblSeverityReference[Coping Strategy Severity],MATCH(tblSeverityAnalysis[[#This Row],[ID]], tblSeverityReference[ID], 0))= "", "",INDEX(tblSeverityReference[Coping Strategy Severity],MATCH(tblSeverityAnalysis[[#This Row],[ID]], tblSeverityReference[ID], 0)) ), "")</f>
        <v/>
      </c>
      <c r="AG65" s="110">
        <v>3</v>
      </c>
      <c r="AH65" s="83">
        <f>IFERROR(AVERAGE(tblSeverityAnalysis[[#This Row],[CCCM]:[WASH]]), "")</f>
        <v>3.2916666666666665</v>
      </c>
      <c r="AI65" s="27">
        <f>IF(SUM(tblSeverityAnalysis[[#This Row],[CCCM]:[WASH]])=0, "", MAX(tblSeverityAnalysis[[#This Row],[CCCM]:[WASH]]))</f>
        <v>4</v>
      </c>
      <c r="AJ65" s="349" t="str" cm="1">
        <f t="array" ref="AJ65">IFERROR(IF(tblSeverityAnalysis[[#This Row],[Highest Severity]]="", "", _xlfn.TEXTJOIN(CHAR(10), TRUE, IF(tblSeverityAnalysis[[#This Row],[CCCM]:[WASH]]=tblSeverityAnalysis[[#This Row],[Highest Severity]], tblSeverityAnalysis[[#Headers],[CCCM]:[WASH]], ""), "")), "")</f>
        <v>Nutrition
WASH</v>
      </c>
      <c r="AK65" s="27" cm="1">
        <f t="array" ref="AK65">IFERROR(MAX(_xlfn._xlws.FILTER(tblSeverityAnalysis[[#This Row],[CCCM]:[WASH]], tblSeverityAnalysis[[#This Row],[CCCM]:[WASH]]&lt;tblSeverityAnalysis[[#This Row],[Highest Severity]])), "")</f>
        <v>3.3333333333333335</v>
      </c>
      <c r="AL65" s="329" t="str" cm="1">
        <f t="array" ref="AL65">IFERROR(IF(tblSeverityAnalysis[[#This Row],[2nd Highest Severity]]="", "", _xlfn.TEXTJOIN(CHAR(10), TRUE, IF(tblSeverityAnalysis[[#This Row],[CCCM]:[WASH]]=tblSeverityAnalysis[[#This Row],[2nd Highest Severity]], tblSeverityAnalysis[[#Headers],[CCCM]:[WASH]], ""), "")), "")</f>
        <v>Health</v>
      </c>
      <c r="AM65" s="135" t="str">
        <f>IFERROR(IF(AND(tblSeverityAnalysis[[#This Row],[5]] &lt;&gt; "", tblSeverityAnalysis[[#This Row],[5]]&gt;=sectors_sev_5), "Flagged", ""), "")</f>
        <v/>
      </c>
      <c r="AN65" s="136" t="str">
        <f>IFERROR(IF(AND(tblSeverityAnalysis[[#This Row],[Preliminary Intersectoral Severity based on overlap of sectoral deprivations]]=4, SUM(tblSeverityAnalysis[[#This Row],[ 4 ]:[5]])&gt;=sectors_sev_4), "Flagged", ""), "")</f>
        <v/>
      </c>
      <c r="AO65" s="136" t="str" cm="1">
        <f t="array" ref="AO6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5" s="351"/>
      <c r="AR65" s="352"/>
      <c r="AS65" s="351"/>
      <c r="AT65" s="353">
        <f>COUNTIF(tblSeverityAnalysis[[#This Row],[1 sector in severity phase 5 '[modify the threshold']]:[Manual Flag]], "Flagged")</f>
        <v>0</v>
      </c>
      <c r="AU65" s="354">
        <f>tblSeverityAnalysis[[#This Row],[Preliminary Intersectoral Severity based on overlap of sectoral deprivations]]</f>
        <v>3</v>
      </c>
      <c r="AV65" s="63">
        <v>3</v>
      </c>
      <c r="AW65" s="432">
        <v>3</v>
      </c>
      <c r="AZ65" t="b">
        <f>tblSeverityAnalysis[[#This Row],[Preliminary Intersectoral Severity based on overlap of sectoral deprivations]]=tblSeverityAnalysis[[#This Row],[Final Severity]]</f>
        <v>1</v>
      </c>
    </row>
    <row r="66" spans="1:53" ht="14.5" hidden="1" customHeight="1" x14ac:dyDescent="0.55000000000000004">
      <c r="A6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SS0803</v>
      </c>
      <c r="B66" s="40" t="s">
        <v>368</v>
      </c>
      <c r="C66" s="335" t="s">
        <v>369</v>
      </c>
      <c r="D66" s="335" t="s">
        <v>374</v>
      </c>
      <c r="E66" s="34" t="s">
        <v>375</v>
      </c>
      <c r="F66" s="34"/>
      <c r="G66" s="34"/>
      <c r="I66" s="97">
        <v>160081.46052732546</v>
      </c>
      <c r="J66" s="97"/>
      <c r="K66" s="400">
        <v>3</v>
      </c>
      <c r="L66" s="319">
        <v>4</v>
      </c>
      <c r="M66" s="319">
        <v>4</v>
      </c>
      <c r="N66" s="319">
        <v>4</v>
      </c>
      <c r="O66" s="319">
        <v>3.3333333333333335</v>
      </c>
      <c r="P66" s="319">
        <v>4</v>
      </c>
      <c r="Q66" s="35">
        <v>3</v>
      </c>
      <c r="R66" s="319">
        <v>3</v>
      </c>
      <c r="S66" s="319"/>
      <c r="T66" s="319"/>
      <c r="U66" s="319"/>
      <c r="V66" s="319"/>
      <c r="W66" s="346" t="str">
        <f>IF(COUNTIF(tblSeverityAnalysis[[#This Row],[CCCM]:[WASH]], 1)=0, "", COUNTIF(tblSeverityAnalysis[[#This Row],[CCCM]:[WASH]], 1))</f>
        <v/>
      </c>
      <c r="X66" s="347" t="str">
        <f>IF(COUNTIF(tblSeverityAnalysis[[#This Row],[CCCM]:[WASH]], 2)=0, "", COUNTIF(tblSeverityAnalysis[[#This Row],[CCCM]:[WASH]], 2))</f>
        <v/>
      </c>
      <c r="Y66" s="347">
        <f>IF(COUNTIF(tblSeverityAnalysis[[#This Row],[CCCM]:[WASH]], 3)=0, "", COUNTIF(tblSeverityAnalysis[[#This Row],[CCCM]:[WASH]], 3))</f>
        <v>3</v>
      </c>
      <c r="Z66" s="347">
        <f>IF(COUNTIF(tblSeverityAnalysis[[#This Row],[CCCM]:[WASH]], 4)=0, "", COUNTIF(tblSeverityAnalysis[[#This Row],[CCCM]:[WASH]], 4))</f>
        <v>4</v>
      </c>
      <c r="AA66" s="348" t="str">
        <f>IF(COUNTIF(tblSeverityAnalysis[[#This Row],[CCCM]:[WASH]], 5)=0, "", COUNTIF(tblSeverityAnalysis[[#This Row],[CCCM]:[WASH]], 5))</f>
        <v/>
      </c>
      <c r="AB66" s="61" cm="1">
        <f t="array" ref="AB6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6" s="42" t="str">
        <f>IFERROR(IF(INDEX(tblSeverityReference[Malnutrition Severity],MATCH(tblSeverityAnalysis[[#This Row],[ID]], tblSeverityReference[ID], 0))= "", "",INDEX(tblSeverityReference[Malnutrition Severity],MATCH(tblSeverityAnalysis[[#This Row],[ID]], tblSeverityReference[ID], 0)) ), "")</f>
        <v/>
      </c>
      <c r="AE66" s="319" t="str">
        <f>IFERROR(IF(INDEX(tblSeverityReference[Epidemic Severity],MATCH(tblSeverityAnalysis[[#This Row],[ID]], tblSeverityReference[ID], 0))= "", "",INDEX(tblSeverityReference[Epidemic Severity],MATCH(tblSeverityAnalysis[[#This Row],[ID]], tblSeverityReference[ID], 0)) ), "")</f>
        <v/>
      </c>
      <c r="AF66" s="319" t="str">
        <f>IFERROR(IF(INDEX(tblSeverityReference[Coping Strategy Severity],MATCH(tblSeverityAnalysis[[#This Row],[ID]], tblSeverityReference[ID], 0))= "", "",INDEX(tblSeverityReference[Coping Strategy Severity],MATCH(tblSeverityAnalysis[[#This Row],[ID]], tblSeverityReference[ID], 0)) ), "")</f>
        <v/>
      </c>
      <c r="AG66" s="110">
        <v>4</v>
      </c>
      <c r="AH66" s="83">
        <f>IFERROR(AVERAGE(tblSeverityAnalysis[[#This Row],[CCCM]:[WASH]]), "")</f>
        <v>3.5416666666666665</v>
      </c>
      <c r="AI66" s="27">
        <f>IF(SUM(tblSeverityAnalysis[[#This Row],[CCCM]:[WASH]])=0, "", MAX(tblSeverityAnalysis[[#This Row],[CCCM]:[WASH]]))</f>
        <v>4</v>
      </c>
      <c r="AJ66" s="349" t="str" cm="1">
        <f t="array" ref="AJ66">IFERROR(IF(tblSeverityAnalysis[[#This Row],[Highest Severity]]="", "", _xlfn.TEXTJOIN(CHAR(10), TRUE, IF(tblSeverityAnalysis[[#This Row],[CCCM]:[WASH]]=tblSeverityAnalysis[[#This Row],[Highest Severity]], tblSeverityAnalysis[[#Headers],[CCCM]:[WASH]], ""), "")), "")</f>
        <v>Education
Nutrition
Food Security
Overarching Protection</v>
      </c>
      <c r="AK66" s="27" cm="1">
        <f t="array" ref="AK66">IFERROR(MAX(_xlfn._xlws.FILTER(tblSeverityAnalysis[[#This Row],[CCCM]:[WASH]], tblSeverityAnalysis[[#This Row],[CCCM]:[WASH]]&lt;tblSeverityAnalysis[[#This Row],[Highest Severity]])), "")</f>
        <v>3.3333333333333335</v>
      </c>
      <c r="AL66" s="329" t="str" cm="1">
        <f t="array" ref="AL66">IFERROR(IF(tblSeverityAnalysis[[#This Row],[2nd Highest Severity]]="", "", _xlfn.TEXTJOIN(CHAR(10), TRUE, IF(tblSeverityAnalysis[[#This Row],[CCCM]:[WASH]]=tblSeverityAnalysis[[#This Row],[2nd Highest Severity]], tblSeverityAnalysis[[#Headers],[CCCM]:[WASH]], ""), "")), "")</f>
        <v>Health</v>
      </c>
      <c r="AM66" s="135" t="str">
        <f>IFERROR(IF(AND(tblSeverityAnalysis[[#This Row],[5]] &lt;&gt; "", tblSeverityAnalysis[[#This Row],[5]]&gt;=sectors_sev_5), "Flagged", ""), "")</f>
        <v/>
      </c>
      <c r="AN66" s="136" t="str">
        <f>IFERROR(IF(AND(tblSeverityAnalysis[[#This Row],[Preliminary Intersectoral Severity based on overlap of sectoral deprivations]]=4, SUM(tblSeverityAnalysis[[#This Row],[ 4 ]:[5]])&gt;=sectors_sev_4), "Flagged", ""), "")</f>
        <v/>
      </c>
      <c r="AO66" s="136" t="str" cm="1">
        <f t="array" ref="AO6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6" s="351"/>
      <c r="AR66" s="352"/>
      <c r="AS66" s="351"/>
      <c r="AT66" s="353">
        <f>COUNTIF(tblSeverityAnalysis[[#This Row],[1 sector in severity phase 5 '[modify the threshold']]:[Manual Flag]], "Flagged")</f>
        <v>0</v>
      </c>
      <c r="AU66" s="354">
        <f>tblSeverityAnalysis[[#This Row],[Preliminary Intersectoral Severity based on overlap of sectoral deprivations]]</f>
        <v>4</v>
      </c>
      <c r="AV66" s="63">
        <v>4</v>
      </c>
      <c r="AW66" s="432">
        <v>2</v>
      </c>
      <c r="AZ66" t="b">
        <f>tblSeverityAnalysis[[#This Row],[Preliminary Intersectoral Severity based on overlap of sectoral deprivations]]=tblSeverityAnalysis[[#This Row],[Final Severity]]</f>
        <v>1</v>
      </c>
    </row>
    <row r="67" spans="1:53" ht="14.5" hidden="1" customHeight="1" x14ac:dyDescent="0.55000000000000004">
      <c r="A6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SS0804</v>
      </c>
      <c r="B67" s="40" t="s">
        <v>368</v>
      </c>
      <c r="C67" s="335" t="s">
        <v>369</v>
      </c>
      <c r="D67" s="335" t="s">
        <v>376</v>
      </c>
      <c r="E67" s="34" t="s">
        <v>377</v>
      </c>
      <c r="F67" s="34"/>
      <c r="G67" s="34"/>
      <c r="I67" s="97">
        <v>225795.56416150203</v>
      </c>
      <c r="J67" s="97"/>
      <c r="K67" s="400">
        <v>2</v>
      </c>
      <c r="L67" s="319">
        <v>3</v>
      </c>
      <c r="M67" s="319">
        <v>3</v>
      </c>
      <c r="N67" s="319">
        <v>4</v>
      </c>
      <c r="O67" s="319">
        <v>3.6666666666666665</v>
      </c>
      <c r="P67" s="319">
        <v>3</v>
      </c>
      <c r="Q67" s="35">
        <v>3</v>
      </c>
      <c r="R67" s="319">
        <v>3</v>
      </c>
      <c r="S67" s="319"/>
      <c r="T67" s="319"/>
      <c r="U67" s="319"/>
      <c r="V67" s="319"/>
      <c r="W67" s="346" t="str">
        <f>IF(COUNTIF(tblSeverityAnalysis[[#This Row],[CCCM]:[WASH]], 1)=0, "", COUNTIF(tblSeverityAnalysis[[#This Row],[CCCM]:[WASH]], 1))</f>
        <v/>
      </c>
      <c r="X67" s="347">
        <f>IF(COUNTIF(tblSeverityAnalysis[[#This Row],[CCCM]:[WASH]], 2)=0, "", COUNTIF(tblSeverityAnalysis[[#This Row],[CCCM]:[WASH]], 2))</f>
        <v>1</v>
      </c>
      <c r="Y67" s="347">
        <f>IF(COUNTIF(tblSeverityAnalysis[[#This Row],[CCCM]:[WASH]], 3)=0, "", COUNTIF(tblSeverityAnalysis[[#This Row],[CCCM]:[WASH]], 3))</f>
        <v>5</v>
      </c>
      <c r="Z67" s="347">
        <f>IF(COUNTIF(tblSeverityAnalysis[[#This Row],[CCCM]:[WASH]], 4)=0, "", COUNTIF(tblSeverityAnalysis[[#This Row],[CCCM]:[WASH]], 4))</f>
        <v>1</v>
      </c>
      <c r="AA67" s="348" t="str">
        <f>IF(COUNTIF(tblSeverityAnalysis[[#This Row],[CCCM]:[WASH]], 5)=0, "", COUNTIF(tblSeverityAnalysis[[#This Row],[CCCM]:[WASH]], 5))</f>
        <v/>
      </c>
      <c r="AB67" s="61" cm="1">
        <f t="array" ref="AB6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7" s="42" t="str">
        <f>IFERROR(IF(INDEX(tblSeverityReference[Malnutrition Severity],MATCH(tblSeverityAnalysis[[#This Row],[ID]], tblSeverityReference[ID], 0))= "", "",INDEX(tblSeverityReference[Malnutrition Severity],MATCH(tblSeverityAnalysis[[#This Row],[ID]], tblSeverityReference[ID], 0)) ), "")</f>
        <v/>
      </c>
      <c r="AE67" s="319" t="str">
        <f>IFERROR(IF(INDEX(tblSeverityReference[Epidemic Severity],MATCH(tblSeverityAnalysis[[#This Row],[ID]], tblSeverityReference[ID], 0))= "", "",INDEX(tblSeverityReference[Epidemic Severity],MATCH(tblSeverityAnalysis[[#This Row],[ID]], tblSeverityReference[ID], 0)) ), "")</f>
        <v/>
      </c>
      <c r="AF67" s="319" t="str">
        <f>IFERROR(IF(INDEX(tblSeverityReference[Coping Strategy Severity],MATCH(tblSeverityAnalysis[[#This Row],[ID]], tblSeverityReference[ID], 0))= "", "",INDEX(tblSeverityReference[Coping Strategy Severity],MATCH(tblSeverityAnalysis[[#This Row],[ID]], tblSeverityReference[ID], 0)) ), "")</f>
        <v/>
      </c>
      <c r="AG67" s="110">
        <v>4</v>
      </c>
      <c r="AH67" s="83">
        <f>IFERROR(AVERAGE(tblSeverityAnalysis[[#This Row],[CCCM]:[WASH]]), "")</f>
        <v>3.083333333333333</v>
      </c>
      <c r="AI67" s="27">
        <f>IF(SUM(tblSeverityAnalysis[[#This Row],[CCCM]:[WASH]])=0, "", MAX(tblSeverityAnalysis[[#This Row],[CCCM]:[WASH]]))</f>
        <v>4</v>
      </c>
      <c r="AJ67" s="349" t="str" cm="1">
        <f t="array" ref="AJ67">IFERROR(IF(tblSeverityAnalysis[[#This Row],[Highest Severity]]="", "", _xlfn.TEXTJOIN(CHAR(10), TRUE, IF(tblSeverityAnalysis[[#This Row],[CCCM]:[WASH]]=tblSeverityAnalysis[[#This Row],[Highest Severity]], tblSeverityAnalysis[[#Headers],[CCCM]:[WASH]], ""), "")), "")</f>
        <v>Food Security</v>
      </c>
      <c r="AK67" s="27" cm="1">
        <f t="array" ref="AK67">IFERROR(MAX(_xlfn._xlws.FILTER(tblSeverityAnalysis[[#This Row],[CCCM]:[WASH]], tblSeverityAnalysis[[#This Row],[CCCM]:[WASH]]&lt;tblSeverityAnalysis[[#This Row],[Highest Severity]])), "")</f>
        <v>3.6666666666666665</v>
      </c>
      <c r="AL67" s="329" t="str" cm="1">
        <f t="array" ref="AL67">IFERROR(IF(tblSeverityAnalysis[[#This Row],[2nd Highest Severity]]="", "", _xlfn.TEXTJOIN(CHAR(10), TRUE, IF(tblSeverityAnalysis[[#This Row],[CCCM]:[WASH]]=tblSeverityAnalysis[[#This Row],[2nd Highest Severity]], tblSeverityAnalysis[[#Headers],[CCCM]:[WASH]], ""), "")), "")</f>
        <v>Health</v>
      </c>
      <c r="AM67" s="135" t="str">
        <f>IFERROR(IF(AND(tblSeverityAnalysis[[#This Row],[5]] &lt;&gt; "", tblSeverityAnalysis[[#This Row],[5]]&gt;=sectors_sev_5), "Flagged", ""), "")</f>
        <v/>
      </c>
      <c r="AN67" s="136" t="str">
        <f>IFERROR(IF(AND(tblSeverityAnalysis[[#This Row],[Preliminary Intersectoral Severity based on overlap of sectoral deprivations]]=4, SUM(tblSeverityAnalysis[[#This Row],[ 4 ]:[5]])&gt;=sectors_sev_4), "Flagged", ""), "")</f>
        <v/>
      </c>
      <c r="AO67" s="136" t="str" cm="1">
        <f t="array" ref="AO6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7" s="351"/>
      <c r="AR67" s="352"/>
      <c r="AS67" s="351"/>
      <c r="AT67" s="353">
        <f>COUNTIF(tblSeverityAnalysis[[#This Row],[1 sector in severity phase 5 '[modify the threshold']]:[Manual Flag]], "Flagged")</f>
        <v>0</v>
      </c>
      <c r="AU67" s="354">
        <f>tblSeverityAnalysis[[#This Row],[Preliminary Intersectoral Severity based on overlap of sectoral deprivations]]</f>
        <v>3</v>
      </c>
      <c r="AV67" s="63">
        <v>3</v>
      </c>
      <c r="AW67" s="432">
        <v>3</v>
      </c>
      <c r="AZ67" t="b">
        <f>tblSeverityAnalysis[[#This Row],[Preliminary Intersectoral Severity based on overlap of sectoral deprivations]]=tblSeverityAnalysis[[#This Row],[Final Severity]]</f>
        <v>1</v>
      </c>
    </row>
    <row r="68" spans="1:53" ht="14.5" hidden="1" customHeight="1" x14ac:dyDescent="0.55000000000000004">
      <c r="A6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SS0805</v>
      </c>
      <c r="B68" s="40" t="s">
        <v>368</v>
      </c>
      <c r="C68" s="335" t="s">
        <v>369</v>
      </c>
      <c r="D68" s="335" t="s">
        <v>378</v>
      </c>
      <c r="E68" s="34" t="s">
        <v>379</v>
      </c>
      <c r="F68" s="34"/>
      <c r="G68" s="34"/>
      <c r="I68" s="97">
        <v>101621.80745521998</v>
      </c>
      <c r="J68" s="97"/>
      <c r="K68" s="400">
        <v>2</v>
      </c>
      <c r="L68" s="319">
        <v>3</v>
      </c>
      <c r="M68" s="319">
        <v>4</v>
      </c>
      <c r="N68" s="319">
        <v>3</v>
      </c>
      <c r="O68" s="319">
        <v>3.3333333333333335</v>
      </c>
      <c r="P68" s="319">
        <v>4</v>
      </c>
      <c r="Q68" s="35">
        <v>2</v>
      </c>
      <c r="R68" s="319">
        <v>4</v>
      </c>
      <c r="S68" s="319"/>
      <c r="T68" s="319"/>
      <c r="U68" s="319"/>
      <c r="V68" s="319"/>
      <c r="W68" s="346" t="str">
        <f>IF(COUNTIF(tblSeverityAnalysis[[#This Row],[CCCM]:[WASH]], 1)=0, "", COUNTIF(tblSeverityAnalysis[[#This Row],[CCCM]:[WASH]], 1))</f>
        <v/>
      </c>
      <c r="X68" s="347">
        <f>IF(COUNTIF(tblSeverityAnalysis[[#This Row],[CCCM]:[WASH]], 2)=0, "", COUNTIF(tblSeverityAnalysis[[#This Row],[CCCM]:[WASH]], 2))</f>
        <v>2</v>
      </c>
      <c r="Y68" s="347">
        <f>IF(COUNTIF(tblSeverityAnalysis[[#This Row],[CCCM]:[WASH]], 3)=0, "", COUNTIF(tblSeverityAnalysis[[#This Row],[CCCM]:[WASH]], 3))</f>
        <v>2</v>
      </c>
      <c r="Z68" s="347">
        <f>IF(COUNTIF(tblSeverityAnalysis[[#This Row],[CCCM]:[WASH]], 4)=0, "", COUNTIF(tblSeverityAnalysis[[#This Row],[CCCM]:[WASH]], 4))</f>
        <v>3</v>
      </c>
      <c r="AA68" s="348" t="str">
        <f>IF(COUNTIF(tblSeverityAnalysis[[#This Row],[CCCM]:[WASH]], 5)=0, "", COUNTIF(tblSeverityAnalysis[[#This Row],[CCCM]:[WASH]], 5))</f>
        <v/>
      </c>
      <c r="AB68" s="61" cm="1">
        <f t="array" ref="AB6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8" s="42" t="str">
        <f>IFERROR(IF(INDEX(tblSeverityReference[Malnutrition Severity],MATCH(tblSeverityAnalysis[[#This Row],[ID]], tblSeverityReference[ID], 0))= "", "",INDEX(tblSeverityReference[Malnutrition Severity],MATCH(tblSeverityAnalysis[[#This Row],[ID]], tblSeverityReference[ID], 0)) ), "")</f>
        <v/>
      </c>
      <c r="AE68" s="319" t="str">
        <f>IFERROR(IF(INDEX(tblSeverityReference[Epidemic Severity],MATCH(tblSeverityAnalysis[[#This Row],[ID]], tblSeverityReference[ID], 0))= "", "",INDEX(tblSeverityReference[Epidemic Severity],MATCH(tblSeverityAnalysis[[#This Row],[ID]], tblSeverityReference[ID], 0)) ), "")</f>
        <v/>
      </c>
      <c r="AF68" s="319" t="str">
        <f>IFERROR(IF(INDEX(tblSeverityReference[Coping Strategy Severity],MATCH(tblSeverityAnalysis[[#This Row],[ID]], tblSeverityReference[ID], 0))= "", "",INDEX(tblSeverityReference[Coping Strategy Severity],MATCH(tblSeverityAnalysis[[#This Row],[ID]], tblSeverityReference[ID], 0)) ), "")</f>
        <v/>
      </c>
      <c r="AG68" s="110">
        <v>4</v>
      </c>
      <c r="AH68" s="83">
        <f>IFERROR(AVERAGE(tblSeverityAnalysis[[#This Row],[CCCM]:[WASH]]), "")</f>
        <v>3.166666666666667</v>
      </c>
      <c r="AI68" s="27">
        <f>IF(SUM(tblSeverityAnalysis[[#This Row],[CCCM]:[WASH]])=0, "", MAX(tblSeverityAnalysis[[#This Row],[CCCM]:[WASH]]))</f>
        <v>4</v>
      </c>
      <c r="AJ68" s="349" t="str" cm="1">
        <f t="array" ref="AJ68">IFERROR(IF(tblSeverityAnalysis[[#This Row],[Highest Severity]]="", "", _xlfn.TEXTJOIN(CHAR(10), TRUE, IF(tblSeverityAnalysis[[#This Row],[CCCM]:[WASH]]=tblSeverityAnalysis[[#This Row],[Highest Severity]], tblSeverityAnalysis[[#Headers],[CCCM]:[WASH]], ""), "")), "")</f>
        <v>Nutrition
Overarching Protection
WASH</v>
      </c>
      <c r="AK68" s="27" cm="1">
        <f t="array" ref="AK68">IFERROR(MAX(_xlfn._xlws.FILTER(tblSeverityAnalysis[[#This Row],[CCCM]:[WASH]], tblSeverityAnalysis[[#This Row],[CCCM]:[WASH]]&lt;tblSeverityAnalysis[[#This Row],[Highest Severity]])), "")</f>
        <v>3.3333333333333335</v>
      </c>
      <c r="AL68" s="329" t="str" cm="1">
        <f t="array" ref="AL68">IFERROR(IF(tblSeverityAnalysis[[#This Row],[2nd Highest Severity]]="", "", _xlfn.TEXTJOIN(CHAR(10), TRUE, IF(tblSeverityAnalysis[[#This Row],[CCCM]:[WASH]]=tblSeverityAnalysis[[#This Row],[2nd Highest Severity]], tblSeverityAnalysis[[#Headers],[CCCM]:[WASH]], ""), "")), "")</f>
        <v>Health</v>
      </c>
      <c r="AM68" s="135" t="str">
        <f>IFERROR(IF(AND(tblSeverityAnalysis[[#This Row],[5]] &lt;&gt; "", tblSeverityAnalysis[[#This Row],[5]]&gt;=sectors_sev_5), "Flagged", ""), "")</f>
        <v/>
      </c>
      <c r="AN68" s="136" t="str">
        <f>IFERROR(IF(AND(tblSeverityAnalysis[[#This Row],[Preliminary Intersectoral Severity based on overlap of sectoral deprivations]]=4, SUM(tblSeverityAnalysis[[#This Row],[ 4 ]:[5]])&gt;=sectors_sev_4), "Flagged", ""), "")</f>
        <v/>
      </c>
      <c r="AO68" s="136" t="str" cm="1">
        <f t="array" ref="AO6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8" s="351"/>
      <c r="AR68" s="352"/>
      <c r="AS68" s="351"/>
      <c r="AT68" s="353">
        <f>COUNTIF(tblSeverityAnalysis[[#This Row],[1 sector in severity phase 5 '[modify the threshold']]:[Manual Flag]], "Flagged")</f>
        <v>0</v>
      </c>
      <c r="AU68" s="354">
        <f>tblSeverityAnalysis[[#This Row],[Preliminary Intersectoral Severity based on overlap of sectoral deprivations]]</f>
        <v>3</v>
      </c>
      <c r="AV68" s="63">
        <v>3</v>
      </c>
      <c r="AW68" s="432">
        <v>4</v>
      </c>
      <c r="AZ68" t="b">
        <f>tblSeverityAnalysis[[#This Row],[Preliminary Intersectoral Severity based on overlap of sectoral deprivations]]=tblSeverityAnalysis[[#This Row],[Final Severity]]</f>
        <v>1</v>
      </c>
    </row>
    <row r="69" spans="1:53" ht="14.5" hidden="1" customHeight="1" x14ac:dyDescent="0.55000000000000004">
      <c r="A6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SS0806</v>
      </c>
      <c r="B69" s="40" t="s">
        <v>368</v>
      </c>
      <c r="C69" s="335" t="s">
        <v>369</v>
      </c>
      <c r="D69" s="335" t="s">
        <v>380</v>
      </c>
      <c r="E69" s="34" t="s">
        <v>381</v>
      </c>
      <c r="F69" s="34"/>
      <c r="G69" s="34"/>
      <c r="I69" s="97">
        <v>286682.03194105357</v>
      </c>
      <c r="J69" s="97"/>
      <c r="K69" s="400">
        <v>3</v>
      </c>
      <c r="L69" s="319">
        <v>4</v>
      </c>
      <c r="M69" s="319">
        <v>4</v>
      </c>
      <c r="N69" s="319">
        <v>4</v>
      </c>
      <c r="O69" s="319">
        <v>4.333333333333333</v>
      </c>
      <c r="P69" s="319">
        <v>4</v>
      </c>
      <c r="Q69" s="35">
        <v>3</v>
      </c>
      <c r="R69" s="319">
        <v>3</v>
      </c>
      <c r="S69" s="319"/>
      <c r="T69" s="319"/>
      <c r="U69" s="319"/>
      <c r="V69" s="319"/>
      <c r="W69" s="346" t="str">
        <f>IF(COUNTIF(tblSeverityAnalysis[[#This Row],[CCCM]:[WASH]], 1)=0, "", COUNTIF(tblSeverityAnalysis[[#This Row],[CCCM]:[WASH]], 1))</f>
        <v/>
      </c>
      <c r="X69" s="347" t="str">
        <f>IF(COUNTIF(tblSeverityAnalysis[[#This Row],[CCCM]:[WASH]], 2)=0, "", COUNTIF(tblSeverityAnalysis[[#This Row],[CCCM]:[WASH]], 2))</f>
        <v/>
      </c>
      <c r="Y69" s="347">
        <f>IF(COUNTIF(tblSeverityAnalysis[[#This Row],[CCCM]:[WASH]], 3)=0, "", COUNTIF(tblSeverityAnalysis[[#This Row],[CCCM]:[WASH]], 3))</f>
        <v>3</v>
      </c>
      <c r="Z69" s="347">
        <f>IF(COUNTIF(tblSeverityAnalysis[[#This Row],[CCCM]:[WASH]], 4)=0, "", COUNTIF(tblSeverityAnalysis[[#This Row],[CCCM]:[WASH]], 4))</f>
        <v>4</v>
      </c>
      <c r="AA69" s="348" t="str">
        <f>IF(COUNTIF(tblSeverityAnalysis[[#This Row],[CCCM]:[WASH]], 5)=0, "", COUNTIF(tblSeverityAnalysis[[#This Row],[CCCM]:[WASH]], 5))</f>
        <v/>
      </c>
      <c r="AB69" s="61" cm="1">
        <f t="array" ref="AB6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6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69" s="42" t="str">
        <f>IFERROR(IF(INDEX(tblSeverityReference[Malnutrition Severity],MATCH(tblSeverityAnalysis[[#This Row],[ID]], tblSeverityReference[ID], 0))= "", "",INDEX(tblSeverityReference[Malnutrition Severity],MATCH(tblSeverityAnalysis[[#This Row],[ID]], tblSeverityReference[ID], 0)) ), "")</f>
        <v/>
      </c>
      <c r="AE69" s="319" t="str">
        <f>IFERROR(IF(INDEX(tblSeverityReference[Epidemic Severity],MATCH(tblSeverityAnalysis[[#This Row],[ID]], tblSeverityReference[ID], 0))= "", "",INDEX(tblSeverityReference[Epidemic Severity],MATCH(tblSeverityAnalysis[[#This Row],[ID]], tblSeverityReference[ID], 0)) ), "")</f>
        <v/>
      </c>
      <c r="AF69" s="319" t="str">
        <f>IFERROR(IF(INDEX(tblSeverityReference[Coping Strategy Severity],MATCH(tblSeverityAnalysis[[#This Row],[ID]], tblSeverityReference[ID], 0))= "", "",INDEX(tblSeverityReference[Coping Strategy Severity],MATCH(tblSeverityAnalysis[[#This Row],[ID]], tblSeverityReference[ID], 0)) ), "")</f>
        <v/>
      </c>
      <c r="AG69" s="110">
        <v>4</v>
      </c>
      <c r="AH69" s="83">
        <f>IFERROR(AVERAGE(tblSeverityAnalysis[[#This Row],[CCCM]:[WASH]]), "")</f>
        <v>3.6666666666666665</v>
      </c>
      <c r="AI69" s="27">
        <f>IF(SUM(tblSeverityAnalysis[[#This Row],[CCCM]:[WASH]])=0, "", MAX(tblSeverityAnalysis[[#This Row],[CCCM]:[WASH]]))</f>
        <v>4.333333333333333</v>
      </c>
      <c r="AJ69" s="349" t="str" cm="1">
        <f t="array" ref="AJ69">IFERROR(IF(tblSeverityAnalysis[[#This Row],[Highest Severity]]="", "", _xlfn.TEXTJOIN(CHAR(10), TRUE, IF(tblSeverityAnalysis[[#This Row],[CCCM]:[WASH]]=tblSeverityAnalysis[[#This Row],[Highest Severity]], tblSeverityAnalysis[[#Headers],[CCCM]:[WASH]], ""), "")), "")</f>
        <v>Health</v>
      </c>
      <c r="AK69" s="27" cm="1">
        <f t="array" ref="AK69">IFERROR(MAX(_xlfn._xlws.FILTER(tblSeverityAnalysis[[#This Row],[CCCM]:[WASH]], tblSeverityAnalysis[[#This Row],[CCCM]:[WASH]]&lt;tblSeverityAnalysis[[#This Row],[Highest Severity]])), "")</f>
        <v>4</v>
      </c>
      <c r="AL69" s="329" t="str" cm="1">
        <f t="array" ref="AL69">IFERROR(IF(tblSeverityAnalysis[[#This Row],[2nd Highest Severity]]="", "", _xlfn.TEXTJOIN(CHAR(10), TRUE, IF(tblSeverityAnalysis[[#This Row],[CCCM]:[WASH]]=tblSeverityAnalysis[[#This Row],[2nd Highest Severity]], tblSeverityAnalysis[[#Headers],[CCCM]:[WASH]], ""), "")), "")</f>
        <v>Education
Nutrition
Food Security
Overarching Protection</v>
      </c>
      <c r="AM69" s="135" t="str">
        <f>IFERROR(IF(AND(tblSeverityAnalysis[[#This Row],[5]] &lt;&gt; "", tblSeverityAnalysis[[#This Row],[5]]&gt;=sectors_sev_5), "Flagged", ""), "")</f>
        <v/>
      </c>
      <c r="AN69" s="136" t="str">
        <f>IFERROR(IF(AND(tblSeverityAnalysis[[#This Row],[Preliminary Intersectoral Severity based on overlap of sectoral deprivations]]=4, SUM(tblSeverityAnalysis[[#This Row],[ 4 ]:[5]])&gt;=sectors_sev_4), "Flagged", ""), "")</f>
        <v/>
      </c>
      <c r="AO69" s="136" t="str" cm="1">
        <f t="array" ref="AO6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9" s="351"/>
      <c r="AR69" s="352"/>
      <c r="AS69" s="351"/>
      <c r="AT69" s="353">
        <f>COUNTIF(tblSeverityAnalysis[[#This Row],[1 sector in severity phase 5 '[modify the threshold']]:[Manual Flag]], "Flagged")</f>
        <v>0</v>
      </c>
      <c r="AU69" s="354">
        <f>tblSeverityAnalysis[[#This Row],[Preliminary Intersectoral Severity based on overlap of sectoral deprivations]]</f>
        <v>4</v>
      </c>
      <c r="AV69" s="63">
        <v>4</v>
      </c>
      <c r="AW69" s="432">
        <v>1</v>
      </c>
      <c r="AZ69" t="b">
        <f>tblSeverityAnalysis[[#This Row],[Preliminary Intersectoral Severity based on overlap of sectoral deprivations]]=tblSeverityAnalysis[[#This Row],[Final Severity]]</f>
        <v>1</v>
      </c>
    </row>
    <row r="70" spans="1:53" ht="14.5" hidden="1" customHeight="1" x14ac:dyDescent="0.55000000000000004">
      <c r="A7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SS0901</v>
      </c>
      <c r="B70" s="40" t="s">
        <v>382</v>
      </c>
      <c r="C70" s="335" t="s">
        <v>383</v>
      </c>
      <c r="D70" s="335" t="s">
        <v>384</v>
      </c>
      <c r="E70" s="34" t="s">
        <v>385</v>
      </c>
      <c r="F70" s="34"/>
      <c r="G70" s="34"/>
      <c r="I70" s="97">
        <v>246342.89631956141</v>
      </c>
      <c r="J70" s="97"/>
      <c r="K70" s="400">
        <v>3</v>
      </c>
      <c r="L70" s="319">
        <v>3</v>
      </c>
      <c r="M70" s="319">
        <v>3</v>
      </c>
      <c r="N70" s="319">
        <v>3</v>
      </c>
      <c r="O70" s="319">
        <v>3.6666666666666665</v>
      </c>
      <c r="P70" s="319">
        <v>3</v>
      </c>
      <c r="Q70" s="35">
        <v>3</v>
      </c>
      <c r="R70" s="319">
        <v>4</v>
      </c>
      <c r="S70" s="319"/>
      <c r="T70" s="319"/>
      <c r="U70" s="319"/>
      <c r="V70" s="319"/>
      <c r="W70" s="346" t="str">
        <f>IF(COUNTIF(tblSeverityAnalysis[[#This Row],[CCCM]:[WASH]], 1)=0, "", COUNTIF(tblSeverityAnalysis[[#This Row],[CCCM]:[WASH]], 1))</f>
        <v/>
      </c>
      <c r="X70" s="347" t="str">
        <f>IF(COUNTIF(tblSeverityAnalysis[[#This Row],[CCCM]:[WASH]], 2)=0, "", COUNTIF(tblSeverityAnalysis[[#This Row],[CCCM]:[WASH]], 2))</f>
        <v/>
      </c>
      <c r="Y70" s="347">
        <f>IF(COUNTIF(tblSeverityAnalysis[[#This Row],[CCCM]:[WASH]], 3)=0, "", COUNTIF(tblSeverityAnalysis[[#This Row],[CCCM]:[WASH]], 3))</f>
        <v>6</v>
      </c>
      <c r="Z70" s="347">
        <f>IF(COUNTIF(tblSeverityAnalysis[[#This Row],[CCCM]:[WASH]], 4)=0, "", COUNTIF(tblSeverityAnalysis[[#This Row],[CCCM]:[WASH]], 4))</f>
        <v>1</v>
      </c>
      <c r="AA70" s="348" t="str">
        <f>IF(COUNTIF(tblSeverityAnalysis[[#This Row],[CCCM]:[WASH]], 5)=0, "", COUNTIF(tblSeverityAnalysis[[#This Row],[CCCM]:[WASH]], 5))</f>
        <v/>
      </c>
      <c r="AB70" s="61" cm="1">
        <f t="array" ref="AB7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0" s="42" t="str">
        <f>IFERROR(IF(INDEX(tblSeverityReference[Malnutrition Severity],MATCH(tblSeverityAnalysis[[#This Row],[ID]], tblSeverityReference[ID], 0))= "", "",INDEX(tblSeverityReference[Malnutrition Severity],MATCH(tblSeverityAnalysis[[#This Row],[ID]], tblSeverityReference[ID], 0)) ), "")</f>
        <v/>
      </c>
      <c r="AE70" s="319" t="str">
        <f>IFERROR(IF(INDEX(tblSeverityReference[Epidemic Severity],MATCH(tblSeverityAnalysis[[#This Row],[ID]], tblSeverityReference[ID], 0))= "", "",INDEX(tblSeverityReference[Epidemic Severity],MATCH(tblSeverityAnalysis[[#This Row],[ID]], tblSeverityReference[ID], 0)) ), "")</f>
        <v/>
      </c>
      <c r="AF70" s="319" t="str">
        <f>IFERROR(IF(INDEX(tblSeverityReference[Coping Strategy Severity],MATCH(tblSeverityAnalysis[[#This Row],[ID]], tblSeverityReference[ID], 0))= "", "",INDEX(tblSeverityReference[Coping Strategy Severity],MATCH(tblSeverityAnalysis[[#This Row],[ID]], tblSeverityReference[ID], 0)) ), "")</f>
        <v/>
      </c>
      <c r="AG70" s="110">
        <v>3</v>
      </c>
      <c r="AH70" s="83">
        <f>IFERROR(AVERAGE(tblSeverityAnalysis[[#This Row],[CCCM]:[WASH]]), "")</f>
        <v>3.208333333333333</v>
      </c>
      <c r="AI70" s="27">
        <f>IF(SUM(tblSeverityAnalysis[[#This Row],[CCCM]:[WASH]])=0, "", MAX(tblSeverityAnalysis[[#This Row],[CCCM]:[WASH]]))</f>
        <v>4</v>
      </c>
      <c r="AJ70" s="349" t="str" cm="1">
        <f t="array" ref="AJ70">IFERROR(IF(tblSeverityAnalysis[[#This Row],[Highest Severity]]="", "", _xlfn.TEXTJOIN(CHAR(10), TRUE, IF(tblSeverityAnalysis[[#This Row],[CCCM]:[WASH]]=tblSeverityAnalysis[[#This Row],[Highest Severity]], tblSeverityAnalysis[[#Headers],[CCCM]:[WASH]], ""), "")), "")</f>
        <v>WASH</v>
      </c>
      <c r="AK70" s="27" cm="1">
        <f t="array" ref="AK70">IFERROR(MAX(_xlfn._xlws.FILTER(tblSeverityAnalysis[[#This Row],[CCCM]:[WASH]], tblSeverityAnalysis[[#This Row],[CCCM]:[WASH]]&lt;tblSeverityAnalysis[[#This Row],[Highest Severity]])), "")</f>
        <v>3.6666666666666665</v>
      </c>
      <c r="AL70" s="329" t="str" cm="1">
        <f t="array" ref="AL70">IFERROR(IF(tblSeverityAnalysis[[#This Row],[2nd Highest Severity]]="", "", _xlfn.TEXTJOIN(CHAR(10), TRUE, IF(tblSeverityAnalysis[[#This Row],[CCCM]:[WASH]]=tblSeverityAnalysis[[#This Row],[2nd Highest Severity]], tblSeverityAnalysis[[#Headers],[CCCM]:[WASH]], ""), "")), "")</f>
        <v>Health</v>
      </c>
      <c r="AM70" s="135" t="str">
        <f>IFERROR(IF(AND(tblSeverityAnalysis[[#This Row],[5]] &lt;&gt; "", tblSeverityAnalysis[[#This Row],[5]]&gt;=sectors_sev_5), "Flagged", ""), "")</f>
        <v/>
      </c>
      <c r="AN70" s="136" t="str">
        <f>IFERROR(IF(AND(tblSeverityAnalysis[[#This Row],[Preliminary Intersectoral Severity based on overlap of sectoral deprivations]]=4, SUM(tblSeverityAnalysis[[#This Row],[ 4 ]:[5]])&gt;=sectors_sev_4), "Flagged", ""), "")</f>
        <v/>
      </c>
      <c r="AO70" s="136" t="str" cm="1">
        <f t="array" ref="AO7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0" s="351"/>
      <c r="AR70" s="352"/>
      <c r="AS70" s="351"/>
      <c r="AT70" s="353">
        <f>COUNTIF(tblSeverityAnalysis[[#This Row],[1 sector in severity phase 5 '[modify the threshold']]:[Manual Flag]], "Flagged")</f>
        <v>0</v>
      </c>
      <c r="AU70" s="354">
        <f>tblSeverityAnalysis[[#This Row],[Preliminary Intersectoral Severity based on overlap of sectoral deprivations]]</f>
        <v>3</v>
      </c>
      <c r="AV70" s="63">
        <v>3</v>
      </c>
      <c r="AW70" s="432">
        <v>4</v>
      </c>
      <c r="AZ70" t="b">
        <f>tblSeverityAnalysis[[#This Row],[Preliminary Intersectoral Severity based on overlap of sectoral deprivations]]=tblSeverityAnalysis[[#This Row],[Final Severity]]</f>
        <v>1</v>
      </c>
    </row>
    <row r="71" spans="1:53" ht="14.5" hidden="1" customHeight="1" x14ac:dyDescent="0.55000000000000004">
      <c r="A7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SS0902</v>
      </c>
      <c r="B71" s="40" t="s">
        <v>382</v>
      </c>
      <c r="C71" s="335" t="s">
        <v>383</v>
      </c>
      <c r="D71" s="335" t="s">
        <v>386</v>
      </c>
      <c r="E71" s="34" t="s">
        <v>387</v>
      </c>
      <c r="F71" s="34"/>
      <c r="G71" s="34"/>
      <c r="I71" s="97">
        <v>73291.822633986274</v>
      </c>
      <c r="J71" s="97"/>
      <c r="K71" s="400">
        <v>3</v>
      </c>
      <c r="L71" s="319">
        <v>4</v>
      </c>
      <c r="M71" s="319">
        <v>3</v>
      </c>
      <c r="N71" s="319">
        <v>3</v>
      </c>
      <c r="O71" s="319">
        <v>3</v>
      </c>
      <c r="P71" s="319">
        <v>3</v>
      </c>
      <c r="Q71" s="35">
        <v>3</v>
      </c>
      <c r="R71" s="319">
        <v>3</v>
      </c>
      <c r="S71" s="319"/>
      <c r="T71" s="319"/>
      <c r="U71" s="319"/>
      <c r="V71" s="319"/>
      <c r="W71" s="346" t="str">
        <f>IF(COUNTIF(tblSeverityAnalysis[[#This Row],[CCCM]:[WASH]], 1)=0, "", COUNTIF(tblSeverityAnalysis[[#This Row],[CCCM]:[WASH]], 1))</f>
        <v/>
      </c>
      <c r="X71" s="347" t="str">
        <f>IF(COUNTIF(tblSeverityAnalysis[[#This Row],[CCCM]:[WASH]], 2)=0, "", COUNTIF(tblSeverityAnalysis[[#This Row],[CCCM]:[WASH]], 2))</f>
        <v/>
      </c>
      <c r="Y71" s="347">
        <f>IF(COUNTIF(tblSeverityAnalysis[[#This Row],[CCCM]:[WASH]], 3)=0, "", COUNTIF(tblSeverityAnalysis[[#This Row],[CCCM]:[WASH]], 3))</f>
        <v>7</v>
      </c>
      <c r="Z71" s="347">
        <f>IF(COUNTIF(tblSeverityAnalysis[[#This Row],[CCCM]:[WASH]], 4)=0, "", COUNTIF(tblSeverityAnalysis[[#This Row],[CCCM]:[WASH]], 4))</f>
        <v>1</v>
      </c>
      <c r="AA71" s="348" t="str">
        <f>IF(COUNTIF(tblSeverityAnalysis[[#This Row],[CCCM]:[WASH]], 5)=0, "", COUNTIF(tblSeverityAnalysis[[#This Row],[CCCM]:[WASH]], 5))</f>
        <v/>
      </c>
      <c r="AB71" s="61" cm="1">
        <f t="array" ref="AB7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1" s="42" t="str">
        <f>IFERROR(IF(INDEX(tblSeverityReference[Malnutrition Severity],MATCH(tblSeverityAnalysis[[#This Row],[ID]], tblSeverityReference[ID], 0))= "", "",INDEX(tblSeverityReference[Malnutrition Severity],MATCH(tblSeverityAnalysis[[#This Row],[ID]], tblSeverityReference[ID], 0)) ), "")</f>
        <v/>
      </c>
      <c r="AE71" s="319" t="str">
        <f>IFERROR(IF(INDEX(tblSeverityReference[Epidemic Severity],MATCH(tblSeverityAnalysis[[#This Row],[ID]], tblSeverityReference[ID], 0))= "", "",INDEX(tblSeverityReference[Epidemic Severity],MATCH(tblSeverityAnalysis[[#This Row],[ID]], tblSeverityReference[ID], 0)) ), "")</f>
        <v/>
      </c>
      <c r="AF71" s="319" t="str">
        <f>IFERROR(IF(INDEX(tblSeverityReference[Coping Strategy Severity],MATCH(tblSeverityAnalysis[[#This Row],[ID]], tblSeverityReference[ID], 0))= "", "",INDEX(tblSeverityReference[Coping Strategy Severity],MATCH(tblSeverityAnalysis[[#This Row],[ID]], tblSeverityReference[ID], 0)) ), "")</f>
        <v/>
      </c>
      <c r="AG71" s="110">
        <v>3</v>
      </c>
      <c r="AH71" s="83">
        <f>IFERROR(AVERAGE(tblSeverityAnalysis[[#This Row],[CCCM]:[WASH]]), "")</f>
        <v>3.125</v>
      </c>
      <c r="AI71" s="27">
        <f>IF(SUM(tblSeverityAnalysis[[#This Row],[CCCM]:[WASH]])=0, "", MAX(tblSeverityAnalysis[[#This Row],[CCCM]:[WASH]]))</f>
        <v>4</v>
      </c>
      <c r="AJ71" s="349" t="str" cm="1">
        <f t="array" ref="AJ71">IFERROR(IF(tblSeverityAnalysis[[#This Row],[Highest Severity]]="", "", _xlfn.TEXTJOIN(CHAR(10), TRUE, IF(tblSeverityAnalysis[[#This Row],[CCCM]:[WASH]]=tblSeverityAnalysis[[#This Row],[Highest Severity]], tblSeverityAnalysis[[#Headers],[CCCM]:[WASH]], ""), "")), "")</f>
        <v>Education</v>
      </c>
      <c r="AK71" s="27" cm="1">
        <f t="array" ref="AK71">IFERROR(MAX(_xlfn._xlws.FILTER(tblSeverityAnalysis[[#This Row],[CCCM]:[WASH]], tblSeverityAnalysis[[#This Row],[CCCM]:[WASH]]&lt;tblSeverityAnalysis[[#This Row],[Highest Severity]])), "")</f>
        <v>3</v>
      </c>
      <c r="AL71" s="329" t="str" cm="1">
        <f t="array" ref="AL71">IFERROR(IF(tblSeverityAnalysis[[#This Row],[2nd Highest Severity]]="", "", _xlfn.TEXTJOIN(CHAR(10), TRUE, IF(tblSeverityAnalysis[[#This Row],[CCCM]:[WASH]]=tblSeverityAnalysis[[#This Row],[2nd Highest Severity]], tblSeverityAnalysis[[#Headers],[CCCM]:[WASH]], ""), "")), "")</f>
        <v>CCCM
Nutrition
Food Security
Health
Overarching Protection
Shelter
WASH</v>
      </c>
      <c r="AM71" s="135" t="str">
        <f>IFERROR(IF(AND(tblSeverityAnalysis[[#This Row],[5]] &lt;&gt; "", tblSeverityAnalysis[[#This Row],[5]]&gt;=sectors_sev_5), "Flagged", ""), "")</f>
        <v/>
      </c>
      <c r="AN71" s="136" t="str">
        <f>IFERROR(IF(AND(tblSeverityAnalysis[[#This Row],[Preliminary Intersectoral Severity based on overlap of sectoral deprivations]]=4, SUM(tblSeverityAnalysis[[#This Row],[ 4 ]:[5]])&gt;=sectors_sev_4), "Flagged", ""), "")</f>
        <v/>
      </c>
      <c r="AO71" s="136" t="str" cm="1">
        <f t="array" ref="AO7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1" s="351"/>
      <c r="AR71" s="352"/>
      <c r="AS71" s="351"/>
      <c r="AT71" s="353">
        <f>COUNTIF(tblSeverityAnalysis[[#This Row],[1 sector in severity phase 5 '[modify the threshold']]:[Manual Flag]], "Flagged")</f>
        <v>0</v>
      </c>
      <c r="AU71" s="354">
        <f>tblSeverityAnalysis[[#This Row],[Preliminary Intersectoral Severity based on overlap of sectoral deprivations]]</f>
        <v>3</v>
      </c>
      <c r="AV71" s="63">
        <v>3</v>
      </c>
      <c r="AW71" s="432">
        <v>3</v>
      </c>
      <c r="AZ71" t="b">
        <f>tblSeverityAnalysis[[#This Row],[Preliminary Intersectoral Severity based on overlap of sectoral deprivations]]=tblSeverityAnalysis[[#This Row],[Final Severity]]</f>
        <v>1</v>
      </c>
    </row>
    <row r="72" spans="1:53" ht="14.5" hidden="1" customHeight="1" x14ac:dyDescent="0.55000000000000004">
      <c r="A7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SS0903</v>
      </c>
      <c r="B72" s="40" t="s">
        <v>382</v>
      </c>
      <c r="C72" s="335" t="s">
        <v>383</v>
      </c>
      <c r="D72" s="335" t="s">
        <v>388</v>
      </c>
      <c r="E72" s="34" t="s">
        <v>389</v>
      </c>
      <c r="F72" s="34"/>
      <c r="G72" s="34"/>
      <c r="I72" s="97">
        <v>290695.22562459903</v>
      </c>
      <c r="J72" s="97"/>
      <c r="K72" s="400">
        <v>3</v>
      </c>
      <c r="L72" s="319">
        <v>3</v>
      </c>
      <c r="M72" s="319">
        <v>3</v>
      </c>
      <c r="N72" s="319">
        <v>3</v>
      </c>
      <c r="O72" s="319">
        <v>3</v>
      </c>
      <c r="P72" s="319">
        <v>3</v>
      </c>
      <c r="Q72" s="35">
        <v>3</v>
      </c>
      <c r="R72" s="319">
        <v>3</v>
      </c>
      <c r="S72" s="319"/>
      <c r="T72" s="319"/>
      <c r="U72" s="319"/>
      <c r="V72" s="319"/>
      <c r="W72" s="346" t="str">
        <f>IF(COUNTIF(tblSeverityAnalysis[[#This Row],[CCCM]:[WASH]], 1)=0, "", COUNTIF(tblSeverityAnalysis[[#This Row],[CCCM]:[WASH]], 1))</f>
        <v/>
      </c>
      <c r="X72" s="347" t="str">
        <f>IF(COUNTIF(tblSeverityAnalysis[[#This Row],[CCCM]:[WASH]], 2)=0, "", COUNTIF(tblSeverityAnalysis[[#This Row],[CCCM]:[WASH]], 2))</f>
        <v/>
      </c>
      <c r="Y72" s="347">
        <f>IF(COUNTIF(tblSeverityAnalysis[[#This Row],[CCCM]:[WASH]], 3)=0, "", COUNTIF(tblSeverityAnalysis[[#This Row],[CCCM]:[WASH]], 3))</f>
        <v>8</v>
      </c>
      <c r="Z72" s="347" t="str">
        <f>IF(COUNTIF(tblSeverityAnalysis[[#This Row],[CCCM]:[WASH]], 4)=0, "", COUNTIF(tblSeverityAnalysis[[#This Row],[CCCM]:[WASH]], 4))</f>
        <v/>
      </c>
      <c r="AA72" s="348" t="str">
        <f>IF(COUNTIF(tblSeverityAnalysis[[#This Row],[CCCM]:[WASH]], 5)=0, "", COUNTIF(tblSeverityAnalysis[[#This Row],[CCCM]:[WASH]], 5))</f>
        <v/>
      </c>
      <c r="AB72" s="61" cm="1">
        <f t="array" ref="AB7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2" s="42" t="str">
        <f>IFERROR(IF(INDEX(tblSeverityReference[Malnutrition Severity],MATCH(tblSeverityAnalysis[[#This Row],[ID]], tblSeverityReference[ID], 0))= "", "",INDEX(tblSeverityReference[Malnutrition Severity],MATCH(tblSeverityAnalysis[[#This Row],[ID]], tblSeverityReference[ID], 0)) ), "")</f>
        <v/>
      </c>
      <c r="AE72" s="319" t="str">
        <f>IFERROR(IF(INDEX(tblSeverityReference[Epidemic Severity],MATCH(tblSeverityAnalysis[[#This Row],[ID]], tblSeverityReference[ID], 0))= "", "",INDEX(tblSeverityReference[Epidemic Severity],MATCH(tblSeverityAnalysis[[#This Row],[ID]], tblSeverityReference[ID], 0)) ), "")</f>
        <v/>
      </c>
      <c r="AF72" s="319" t="str">
        <f>IFERROR(IF(INDEX(tblSeverityReference[Coping Strategy Severity],MATCH(tblSeverityAnalysis[[#This Row],[ID]], tblSeverityReference[ID], 0))= "", "",INDEX(tblSeverityReference[Coping Strategy Severity],MATCH(tblSeverityAnalysis[[#This Row],[ID]], tblSeverityReference[ID], 0)) ), "")</f>
        <v/>
      </c>
      <c r="AG72" s="110">
        <v>3</v>
      </c>
      <c r="AH72" s="83">
        <f>IFERROR(AVERAGE(tblSeverityAnalysis[[#This Row],[CCCM]:[WASH]]), "")</f>
        <v>3</v>
      </c>
      <c r="AI72" s="27">
        <f>IF(SUM(tblSeverityAnalysis[[#This Row],[CCCM]:[WASH]])=0, "", MAX(tblSeverityAnalysis[[#This Row],[CCCM]:[WASH]]))</f>
        <v>3</v>
      </c>
      <c r="AJ72" s="349" t="str" cm="1">
        <f t="array" ref="AJ72">IFERROR(IF(tblSeverityAnalysis[[#This Row],[Highest Severity]]="", "", _xlfn.TEXTJOIN(CHAR(10), TRUE, IF(tblSeverityAnalysis[[#This Row],[CCCM]:[WASH]]=tblSeverityAnalysis[[#This Row],[Highest Severity]], tblSeverityAnalysis[[#Headers],[CCCM]:[WASH]], ""), "")), "")</f>
        <v>CCCM
Education
Nutrition
Food Security
Health
Overarching Protection
Shelter
WASH</v>
      </c>
      <c r="AK72" s="27" t="str" cm="1">
        <f t="array" ref="AK72">IFERROR(MAX(_xlfn._xlws.FILTER(tblSeverityAnalysis[[#This Row],[CCCM]:[WASH]], tblSeverityAnalysis[[#This Row],[CCCM]:[WASH]]&lt;tblSeverityAnalysis[[#This Row],[Highest Severity]])), "")</f>
        <v/>
      </c>
      <c r="AL72" s="329" t="str" cm="1">
        <f t="array" ref="AL72">IFERROR(IF(tblSeverityAnalysis[[#This Row],[2nd Highest Severity]]="", "", _xlfn.TEXTJOIN(CHAR(10), TRUE, IF(tblSeverityAnalysis[[#This Row],[CCCM]:[WASH]]=tblSeverityAnalysis[[#This Row],[2nd Highest Severity]], tblSeverityAnalysis[[#Headers],[CCCM]:[WASH]], ""), "")), "")</f>
        <v/>
      </c>
      <c r="AM72" s="135" t="str">
        <f>IFERROR(IF(AND(tblSeverityAnalysis[[#This Row],[5]] &lt;&gt; "", tblSeverityAnalysis[[#This Row],[5]]&gt;=sectors_sev_5), "Flagged", ""), "")</f>
        <v/>
      </c>
      <c r="AN72" s="136" t="str">
        <f>IFERROR(IF(AND(tblSeverityAnalysis[[#This Row],[Preliminary Intersectoral Severity based on overlap of sectoral deprivations]]=4, SUM(tblSeverityAnalysis[[#This Row],[ 4 ]:[5]])&gt;=sectors_sev_4), "Flagged", ""), "")</f>
        <v/>
      </c>
      <c r="AO72" s="136" t="str" cm="1">
        <f t="array" ref="AO7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2" s="351"/>
      <c r="AR72" s="352"/>
      <c r="AS72" s="351"/>
      <c r="AT72" s="353">
        <f>COUNTIF(tblSeverityAnalysis[[#This Row],[1 sector in severity phase 5 '[modify the threshold']]:[Manual Flag]], "Flagged")</f>
        <v>0</v>
      </c>
      <c r="AU72" s="354">
        <f>tblSeverityAnalysis[[#This Row],[Preliminary Intersectoral Severity based on overlap of sectoral deprivations]]</f>
        <v>3</v>
      </c>
      <c r="AV72" s="63">
        <v>3</v>
      </c>
      <c r="AW72" s="432">
        <v>4</v>
      </c>
      <c r="AZ72" t="b">
        <f>tblSeverityAnalysis[[#This Row],[Preliminary Intersectoral Severity based on overlap of sectoral deprivations]]=tblSeverityAnalysis[[#This Row],[Final Severity]]</f>
        <v>1</v>
      </c>
    </row>
    <row r="73" spans="1:53" ht="14.5" hidden="1" customHeight="1" x14ac:dyDescent="0.55000000000000004">
      <c r="A73"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SS1001</v>
      </c>
      <c r="B73" s="40" t="s">
        <v>390</v>
      </c>
      <c r="C73" s="335" t="s">
        <v>391</v>
      </c>
      <c r="D73" s="335" t="s">
        <v>392</v>
      </c>
      <c r="E73" s="34" t="s">
        <v>393</v>
      </c>
      <c r="F73" s="34"/>
      <c r="G73" s="34"/>
      <c r="I73" s="97">
        <v>118386.52621738445</v>
      </c>
      <c r="J73" s="97"/>
      <c r="K73" s="400">
        <v>4</v>
      </c>
      <c r="L73" s="319">
        <v>3</v>
      </c>
      <c r="M73" s="319">
        <v>3</v>
      </c>
      <c r="N73" s="319">
        <v>2</v>
      </c>
      <c r="O73" s="319">
        <v>2.3333333333333335</v>
      </c>
      <c r="P73" s="319">
        <v>3</v>
      </c>
      <c r="Q73" s="35">
        <v>4</v>
      </c>
      <c r="R73" s="319">
        <v>4</v>
      </c>
      <c r="S73" s="319"/>
      <c r="T73" s="319"/>
      <c r="U73" s="319"/>
      <c r="V73" s="319"/>
      <c r="W73" s="346" t="str">
        <f>IF(COUNTIF(tblSeverityAnalysis[[#This Row],[CCCM]:[WASH]], 1)=0, "", COUNTIF(tblSeverityAnalysis[[#This Row],[CCCM]:[WASH]], 1))</f>
        <v/>
      </c>
      <c r="X73" s="347">
        <f>IF(COUNTIF(tblSeverityAnalysis[[#This Row],[CCCM]:[WASH]], 2)=0, "", COUNTIF(tblSeverityAnalysis[[#This Row],[CCCM]:[WASH]], 2))</f>
        <v>1</v>
      </c>
      <c r="Y73" s="347">
        <f>IF(COUNTIF(tblSeverityAnalysis[[#This Row],[CCCM]:[WASH]], 3)=0, "", COUNTIF(tblSeverityAnalysis[[#This Row],[CCCM]:[WASH]], 3))</f>
        <v>3</v>
      </c>
      <c r="Z73" s="347">
        <f>IF(COUNTIF(tblSeverityAnalysis[[#This Row],[CCCM]:[WASH]], 4)=0, "", COUNTIF(tblSeverityAnalysis[[#This Row],[CCCM]:[WASH]], 4))</f>
        <v>3</v>
      </c>
      <c r="AA73" s="348" t="str">
        <f>IF(COUNTIF(tblSeverityAnalysis[[#This Row],[CCCM]:[WASH]], 5)=0, "", COUNTIF(tblSeverityAnalysis[[#This Row],[CCCM]:[WASH]], 5))</f>
        <v/>
      </c>
      <c r="AB73" s="61" cm="1">
        <f t="array" ref="AB7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3"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3" s="42" t="str">
        <f>IFERROR(IF(INDEX(tblSeverityReference[Malnutrition Severity],MATCH(tblSeverityAnalysis[[#This Row],[ID]], tblSeverityReference[ID], 0))= "", "",INDEX(tblSeverityReference[Malnutrition Severity],MATCH(tblSeverityAnalysis[[#This Row],[ID]], tblSeverityReference[ID], 0)) ), "")</f>
        <v/>
      </c>
      <c r="AE73" s="319" t="str">
        <f>IFERROR(IF(INDEX(tblSeverityReference[Epidemic Severity],MATCH(tblSeverityAnalysis[[#This Row],[ID]], tblSeverityReference[ID], 0))= "", "",INDEX(tblSeverityReference[Epidemic Severity],MATCH(tblSeverityAnalysis[[#This Row],[ID]], tblSeverityReference[ID], 0)) ), "")</f>
        <v/>
      </c>
      <c r="AF73" s="319" t="str">
        <f>IFERROR(IF(INDEX(tblSeverityReference[Coping Strategy Severity],MATCH(tblSeverityAnalysis[[#This Row],[ID]], tblSeverityReference[ID], 0))= "", "",INDEX(tblSeverityReference[Coping Strategy Severity],MATCH(tblSeverityAnalysis[[#This Row],[ID]], tblSeverityReference[ID], 0)) ), "")</f>
        <v/>
      </c>
      <c r="AG73" s="110">
        <v>3</v>
      </c>
      <c r="AH73" s="83">
        <f>IFERROR(AVERAGE(tblSeverityAnalysis[[#This Row],[CCCM]:[WASH]]), "")</f>
        <v>3.166666666666667</v>
      </c>
      <c r="AI73" s="27">
        <f>IF(SUM(tblSeverityAnalysis[[#This Row],[CCCM]:[WASH]])=0, "", MAX(tblSeverityAnalysis[[#This Row],[CCCM]:[WASH]]))</f>
        <v>4</v>
      </c>
      <c r="AJ73" s="349" t="str" cm="1">
        <f t="array" ref="AJ73">IFERROR(IF(tblSeverityAnalysis[[#This Row],[Highest Severity]]="", "", _xlfn.TEXTJOIN(CHAR(10), TRUE, IF(tblSeverityAnalysis[[#This Row],[CCCM]:[WASH]]=tblSeverityAnalysis[[#This Row],[Highest Severity]], tblSeverityAnalysis[[#Headers],[CCCM]:[WASH]], ""), "")), "")</f>
        <v>CCCM
Shelter
WASH</v>
      </c>
      <c r="AK73" s="27" cm="1">
        <f t="array" ref="AK73">IFERROR(MAX(_xlfn._xlws.FILTER(tblSeverityAnalysis[[#This Row],[CCCM]:[WASH]], tblSeverityAnalysis[[#This Row],[CCCM]:[WASH]]&lt;tblSeverityAnalysis[[#This Row],[Highest Severity]])), "")</f>
        <v>3</v>
      </c>
      <c r="AL73" s="329" t="str" cm="1">
        <f t="array" ref="AL73">IFERROR(IF(tblSeverityAnalysis[[#This Row],[2nd Highest Severity]]="", "", _xlfn.TEXTJOIN(CHAR(10), TRUE, IF(tblSeverityAnalysis[[#This Row],[CCCM]:[WASH]]=tblSeverityAnalysis[[#This Row],[2nd Highest Severity]], tblSeverityAnalysis[[#Headers],[CCCM]:[WASH]], ""), "")), "")</f>
        <v>Education
Nutrition
Overarching Protection</v>
      </c>
      <c r="AM73" s="135" t="str">
        <f>IFERROR(IF(AND(tblSeverityAnalysis[[#This Row],[5]] &lt;&gt; "", tblSeverityAnalysis[[#This Row],[5]]&gt;=sectors_sev_5), "Flagged", ""), "")</f>
        <v/>
      </c>
      <c r="AN73" s="136" t="str">
        <f>IFERROR(IF(AND(tblSeverityAnalysis[[#This Row],[Preliminary Intersectoral Severity based on overlap of sectoral deprivations]]=4, SUM(tblSeverityAnalysis[[#This Row],[ 4 ]:[5]])&gt;=sectors_sev_4), "Flagged", ""), "")</f>
        <v/>
      </c>
      <c r="AO73" s="136" t="str" cm="1">
        <f t="array" ref="AO7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3"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3" s="351"/>
      <c r="AR73" s="352"/>
      <c r="AS73" s="351"/>
      <c r="AT73" s="353">
        <f>COUNTIF(tblSeverityAnalysis[[#This Row],[1 sector in severity phase 5 '[modify the threshold']]:[Manual Flag]], "Flagged")</f>
        <v>0</v>
      </c>
      <c r="AU73" s="354">
        <f>tblSeverityAnalysis[[#This Row],[Preliminary Intersectoral Severity based on overlap of sectoral deprivations]]</f>
        <v>3</v>
      </c>
      <c r="AV73" s="63">
        <v>3</v>
      </c>
      <c r="AW73" s="432">
        <v>3</v>
      </c>
      <c r="AZ73" t="b">
        <f>tblSeverityAnalysis[[#This Row],[Preliminary Intersectoral Severity based on overlap of sectoral deprivations]]=tblSeverityAnalysis[[#This Row],[Final Severity]]</f>
        <v>1</v>
      </c>
    </row>
    <row r="74" spans="1:53" ht="14.5" hidden="1" customHeight="1" x14ac:dyDescent="0.55000000000000004">
      <c r="A74"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SS1002</v>
      </c>
      <c r="B74" s="40" t="s">
        <v>390</v>
      </c>
      <c r="C74" s="335" t="s">
        <v>391</v>
      </c>
      <c r="D74" s="335" t="s">
        <v>394</v>
      </c>
      <c r="E74" s="34" t="s">
        <v>395</v>
      </c>
      <c r="F74" s="34"/>
      <c r="G74" s="34"/>
      <c r="I74" s="97">
        <v>56038.469333248999</v>
      </c>
      <c r="J74" s="97"/>
      <c r="K74" s="400">
        <v>2</v>
      </c>
      <c r="L74" s="319">
        <v>3</v>
      </c>
      <c r="M74" s="319">
        <v>3</v>
      </c>
      <c r="N74" s="319">
        <v>3</v>
      </c>
      <c r="O74" s="319">
        <v>3</v>
      </c>
      <c r="P74" s="319">
        <v>3</v>
      </c>
      <c r="Q74" s="35">
        <v>2</v>
      </c>
      <c r="R74" s="319">
        <v>4</v>
      </c>
      <c r="S74" s="319"/>
      <c r="T74" s="319"/>
      <c r="U74" s="319"/>
      <c r="V74" s="319"/>
      <c r="W74" s="346" t="str">
        <f>IF(COUNTIF(tblSeverityAnalysis[[#This Row],[CCCM]:[WASH]], 1)=0, "", COUNTIF(tblSeverityAnalysis[[#This Row],[CCCM]:[WASH]], 1))</f>
        <v/>
      </c>
      <c r="X74" s="347">
        <f>IF(COUNTIF(tblSeverityAnalysis[[#This Row],[CCCM]:[WASH]], 2)=0, "", COUNTIF(tblSeverityAnalysis[[#This Row],[CCCM]:[WASH]], 2))</f>
        <v>2</v>
      </c>
      <c r="Y74" s="347">
        <f>IF(COUNTIF(tblSeverityAnalysis[[#This Row],[CCCM]:[WASH]], 3)=0, "", COUNTIF(tblSeverityAnalysis[[#This Row],[CCCM]:[WASH]], 3))</f>
        <v>5</v>
      </c>
      <c r="Z74" s="347">
        <f>IF(COUNTIF(tblSeverityAnalysis[[#This Row],[CCCM]:[WASH]], 4)=0, "", COUNTIF(tblSeverityAnalysis[[#This Row],[CCCM]:[WASH]], 4))</f>
        <v>1</v>
      </c>
      <c r="AA74" s="348" t="str">
        <f>IF(COUNTIF(tblSeverityAnalysis[[#This Row],[CCCM]:[WASH]], 5)=0, "", COUNTIF(tblSeverityAnalysis[[#This Row],[CCCM]:[WASH]], 5))</f>
        <v/>
      </c>
      <c r="AB74" s="61" cm="1">
        <f t="array" ref="AB7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4"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4" s="42" t="str">
        <f>IFERROR(IF(INDEX(tblSeverityReference[Malnutrition Severity],MATCH(tblSeverityAnalysis[[#This Row],[ID]], tblSeverityReference[ID], 0))= "", "",INDEX(tblSeverityReference[Malnutrition Severity],MATCH(tblSeverityAnalysis[[#This Row],[ID]], tblSeverityReference[ID], 0)) ), "")</f>
        <v/>
      </c>
      <c r="AE74" s="319" t="str">
        <f>IFERROR(IF(INDEX(tblSeverityReference[Epidemic Severity],MATCH(tblSeverityAnalysis[[#This Row],[ID]], tblSeverityReference[ID], 0))= "", "",INDEX(tblSeverityReference[Epidemic Severity],MATCH(tblSeverityAnalysis[[#This Row],[ID]], tblSeverityReference[ID], 0)) ), "")</f>
        <v/>
      </c>
      <c r="AF74" s="319" t="str">
        <f>IFERROR(IF(INDEX(tblSeverityReference[Coping Strategy Severity],MATCH(tblSeverityAnalysis[[#This Row],[ID]], tblSeverityReference[ID], 0))= "", "",INDEX(tblSeverityReference[Coping Strategy Severity],MATCH(tblSeverityAnalysis[[#This Row],[ID]], tblSeverityReference[ID], 0)) ), "")</f>
        <v/>
      </c>
      <c r="AG74" s="110">
        <v>3</v>
      </c>
      <c r="AH74" s="83">
        <f>IFERROR(AVERAGE(tblSeverityAnalysis[[#This Row],[CCCM]:[WASH]]), "")</f>
        <v>2.875</v>
      </c>
      <c r="AI74" s="27">
        <f>IF(SUM(tblSeverityAnalysis[[#This Row],[CCCM]:[WASH]])=0, "", MAX(tblSeverityAnalysis[[#This Row],[CCCM]:[WASH]]))</f>
        <v>4</v>
      </c>
      <c r="AJ74" s="349" t="str" cm="1">
        <f t="array" ref="AJ74">IFERROR(IF(tblSeverityAnalysis[[#This Row],[Highest Severity]]="", "", _xlfn.TEXTJOIN(CHAR(10), TRUE, IF(tblSeverityAnalysis[[#This Row],[CCCM]:[WASH]]=tblSeverityAnalysis[[#This Row],[Highest Severity]], tblSeverityAnalysis[[#Headers],[CCCM]:[WASH]], ""), "")), "")</f>
        <v>WASH</v>
      </c>
      <c r="AK74" s="27" cm="1">
        <f t="array" ref="AK74">IFERROR(MAX(_xlfn._xlws.FILTER(tblSeverityAnalysis[[#This Row],[CCCM]:[WASH]], tblSeverityAnalysis[[#This Row],[CCCM]:[WASH]]&lt;tblSeverityAnalysis[[#This Row],[Highest Severity]])), "")</f>
        <v>3</v>
      </c>
      <c r="AL74" s="329" t="str" cm="1">
        <f t="array" ref="AL74">IFERROR(IF(tblSeverityAnalysis[[#This Row],[2nd Highest Severity]]="", "", _xlfn.TEXTJOIN(CHAR(10), TRUE, IF(tblSeverityAnalysis[[#This Row],[CCCM]:[WASH]]=tblSeverityAnalysis[[#This Row],[2nd Highest Severity]], tblSeverityAnalysis[[#Headers],[CCCM]:[WASH]], ""), "")), "")</f>
        <v>Education
Nutrition
Food Security
Health
Overarching Protection</v>
      </c>
      <c r="AM74" s="135" t="str">
        <f>IFERROR(IF(AND(tblSeverityAnalysis[[#This Row],[5]] &lt;&gt; "", tblSeverityAnalysis[[#This Row],[5]]&gt;=sectors_sev_5), "Flagged", ""), "")</f>
        <v/>
      </c>
      <c r="AN74" s="136" t="str">
        <f>IFERROR(IF(AND(tblSeverityAnalysis[[#This Row],[Preliminary Intersectoral Severity based on overlap of sectoral deprivations]]=4, SUM(tblSeverityAnalysis[[#This Row],[ 4 ]:[5]])&gt;=sectors_sev_4), "Flagged", ""), "")</f>
        <v/>
      </c>
      <c r="AO74" s="136" t="str" cm="1">
        <f t="array" ref="AO7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4"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4" s="351"/>
      <c r="AR74" s="352"/>
      <c r="AS74" s="351"/>
      <c r="AT74" s="353">
        <f>COUNTIF(tblSeverityAnalysis[[#This Row],[1 sector in severity phase 5 '[modify the threshold']]:[Manual Flag]], "Flagged")</f>
        <v>0</v>
      </c>
      <c r="AU74" s="354">
        <f>tblSeverityAnalysis[[#This Row],[Preliminary Intersectoral Severity based on overlap of sectoral deprivations]]</f>
        <v>3</v>
      </c>
      <c r="AV74" s="63">
        <v>3</v>
      </c>
      <c r="AW74" s="432">
        <v>5</v>
      </c>
      <c r="AZ74" t="b">
        <f>tblSeverityAnalysis[[#This Row],[Preliminary Intersectoral Severity based on overlap of sectoral deprivations]]=tblSeverityAnalysis[[#This Row],[Final Severity]]</f>
        <v>1</v>
      </c>
    </row>
    <row r="75" spans="1:53" ht="14.5" hidden="1" customHeight="1" x14ac:dyDescent="0.55000000000000004">
      <c r="A75"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SS1003</v>
      </c>
      <c r="B75" s="40" t="s">
        <v>390</v>
      </c>
      <c r="C75" s="335" t="s">
        <v>391</v>
      </c>
      <c r="D75" s="335" t="s">
        <v>396</v>
      </c>
      <c r="E75" s="34" t="s">
        <v>397</v>
      </c>
      <c r="F75" s="34"/>
      <c r="G75" s="34"/>
      <c r="I75" s="97">
        <v>92465.48770720225</v>
      </c>
      <c r="J75" s="97"/>
      <c r="K75" s="400">
        <v>2</v>
      </c>
      <c r="L75" s="319">
        <v>3</v>
      </c>
      <c r="M75" s="319">
        <v>3</v>
      </c>
      <c r="N75" s="319">
        <v>3</v>
      </c>
      <c r="O75" s="319">
        <v>3.3333333333333335</v>
      </c>
      <c r="P75" s="319">
        <v>3</v>
      </c>
      <c r="Q75" s="35">
        <v>2</v>
      </c>
      <c r="R75" s="319">
        <v>4</v>
      </c>
      <c r="S75" s="319"/>
      <c r="T75" s="319"/>
      <c r="U75" s="319"/>
      <c r="V75" s="319"/>
      <c r="W75" s="346" t="str">
        <f>IF(COUNTIF(tblSeverityAnalysis[[#This Row],[CCCM]:[WASH]], 1)=0, "", COUNTIF(tblSeverityAnalysis[[#This Row],[CCCM]:[WASH]], 1))</f>
        <v/>
      </c>
      <c r="X75" s="347">
        <f>IF(COUNTIF(tblSeverityAnalysis[[#This Row],[CCCM]:[WASH]], 2)=0, "", COUNTIF(tblSeverityAnalysis[[#This Row],[CCCM]:[WASH]], 2))</f>
        <v>2</v>
      </c>
      <c r="Y75" s="347">
        <f>IF(COUNTIF(tblSeverityAnalysis[[#This Row],[CCCM]:[WASH]], 3)=0, "", COUNTIF(tblSeverityAnalysis[[#This Row],[CCCM]:[WASH]], 3))</f>
        <v>4</v>
      </c>
      <c r="Z75" s="347">
        <f>IF(COUNTIF(tblSeverityAnalysis[[#This Row],[CCCM]:[WASH]], 4)=0, "", COUNTIF(tblSeverityAnalysis[[#This Row],[CCCM]:[WASH]], 4))</f>
        <v>1</v>
      </c>
      <c r="AA75" s="348" t="str">
        <f>IF(COUNTIF(tblSeverityAnalysis[[#This Row],[CCCM]:[WASH]], 5)=0, "", COUNTIF(tblSeverityAnalysis[[#This Row],[CCCM]:[WASH]], 5))</f>
        <v/>
      </c>
      <c r="AB75" s="61" cm="1">
        <f t="array" ref="AB7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5"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5" s="42" t="str">
        <f>IFERROR(IF(INDEX(tblSeverityReference[Malnutrition Severity],MATCH(tblSeverityAnalysis[[#This Row],[ID]], tblSeverityReference[ID], 0))= "", "",INDEX(tblSeverityReference[Malnutrition Severity],MATCH(tblSeverityAnalysis[[#This Row],[ID]], tblSeverityReference[ID], 0)) ), "")</f>
        <v/>
      </c>
      <c r="AE75" s="319" t="str">
        <f>IFERROR(IF(INDEX(tblSeverityReference[Epidemic Severity],MATCH(tblSeverityAnalysis[[#This Row],[ID]], tblSeverityReference[ID], 0))= "", "",INDEX(tblSeverityReference[Epidemic Severity],MATCH(tblSeverityAnalysis[[#This Row],[ID]], tblSeverityReference[ID], 0)) ), "")</f>
        <v/>
      </c>
      <c r="AF75" s="319" t="str">
        <f>IFERROR(IF(INDEX(tblSeverityReference[Coping Strategy Severity],MATCH(tblSeverityAnalysis[[#This Row],[ID]], tblSeverityReference[ID], 0))= "", "",INDEX(tblSeverityReference[Coping Strategy Severity],MATCH(tblSeverityAnalysis[[#This Row],[ID]], tblSeverityReference[ID], 0)) ), "")</f>
        <v/>
      </c>
      <c r="AG75" s="110">
        <v>3</v>
      </c>
      <c r="AH75" s="83">
        <f>IFERROR(AVERAGE(tblSeverityAnalysis[[#This Row],[CCCM]:[WASH]]), "")</f>
        <v>2.916666666666667</v>
      </c>
      <c r="AI75" s="27">
        <f>IF(SUM(tblSeverityAnalysis[[#This Row],[CCCM]:[WASH]])=0, "", MAX(tblSeverityAnalysis[[#This Row],[CCCM]:[WASH]]))</f>
        <v>4</v>
      </c>
      <c r="AJ75" s="349" t="str" cm="1">
        <f t="array" ref="AJ75">IFERROR(IF(tblSeverityAnalysis[[#This Row],[Highest Severity]]="", "", _xlfn.TEXTJOIN(CHAR(10), TRUE, IF(tblSeverityAnalysis[[#This Row],[CCCM]:[WASH]]=tblSeverityAnalysis[[#This Row],[Highest Severity]], tblSeverityAnalysis[[#Headers],[CCCM]:[WASH]], ""), "")), "")</f>
        <v>WASH</v>
      </c>
      <c r="AK75" s="27" cm="1">
        <f t="array" ref="AK75">IFERROR(MAX(_xlfn._xlws.FILTER(tblSeverityAnalysis[[#This Row],[CCCM]:[WASH]], tblSeverityAnalysis[[#This Row],[CCCM]:[WASH]]&lt;tblSeverityAnalysis[[#This Row],[Highest Severity]])), "")</f>
        <v>3.3333333333333335</v>
      </c>
      <c r="AL75" s="329" t="str" cm="1">
        <f t="array" ref="AL75">IFERROR(IF(tblSeverityAnalysis[[#This Row],[2nd Highest Severity]]="", "", _xlfn.TEXTJOIN(CHAR(10), TRUE, IF(tblSeverityAnalysis[[#This Row],[CCCM]:[WASH]]=tblSeverityAnalysis[[#This Row],[2nd Highest Severity]], tblSeverityAnalysis[[#Headers],[CCCM]:[WASH]], ""), "")), "")</f>
        <v>Health</v>
      </c>
      <c r="AM75" s="135" t="str">
        <f>IFERROR(IF(AND(tblSeverityAnalysis[[#This Row],[5]] &lt;&gt; "", tblSeverityAnalysis[[#This Row],[5]]&gt;=sectors_sev_5), "Flagged", ""), "")</f>
        <v/>
      </c>
      <c r="AN75" s="136" t="str">
        <f>IFERROR(IF(AND(tblSeverityAnalysis[[#This Row],[Preliminary Intersectoral Severity based on overlap of sectoral deprivations]]=4, SUM(tblSeverityAnalysis[[#This Row],[ 4 ]:[5]])&gt;=sectors_sev_4), "Flagged", ""), "")</f>
        <v/>
      </c>
      <c r="AO75" s="136" t="str" cm="1">
        <f t="array" ref="AO7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5"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5" s="351"/>
      <c r="AR75" s="352"/>
      <c r="AS75" s="351"/>
      <c r="AT75" s="353">
        <f>COUNTIF(tblSeverityAnalysis[[#This Row],[1 sector in severity phase 5 '[modify the threshold']]:[Manual Flag]], "Flagged")</f>
        <v>0</v>
      </c>
      <c r="AU75" s="354">
        <f>tblSeverityAnalysis[[#This Row],[Preliminary Intersectoral Severity based on overlap of sectoral deprivations]]</f>
        <v>3</v>
      </c>
      <c r="AV75" s="63">
        <v>3</v>
      </c>
      <c r="AW75" s="432">
        <v>5</v>
      </c>
      <c r="AZ75" t="b">
        <f>tblSeverityAnalysis[[#This Row],[Preliminary Intersectoral Severity based on overlap of sectoral deprivations]]=tblSeverityAnalysis[[#This Row],[Final Severity]]</f>
        <v>1</v>
      </c>
    </row>
    <row r="76" spans="1:53" ht="14.5" hidden="1" customHeight="1" x14ac:dyDescent="0.55000000000000004">
      <c r="A76"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SS1004</v>
      </c>
      <c r="B76" s="40" t="s">
        <v>390</v>
      </c>
      <c r="C76" s="335" t="s">
        <v>391</v>
      </c>
      <c r="D76" s="335" t="s">
        <v>398</v>
      </c>
      <c r="E76" s="34" t="s">
        <v>399</v>
      </c>
      <c r="F76" s="34"/>
      <c r="G76" s="34"/>
      <c r="I76" s="97">
        <v>86556.635097788123</v>
      </c>
      <c r="J76" s="97"/>
      <c r="K76" s="400">
        <v>2</v>
      </c>
      <c r="L76" s="319">
        <v>4</v>
      </c>
      <c r="M76" s="319">
        <v>3</v>
      </c>
      <c r="N76" s="319">
        <v>3</v>
      </c>
      <c r="O76" s="319">
        <v>3</v>
      </c>
      <c r="P76" s="319">
        <v>4</v>
      </c>
      <c r="Q76" s="35">
        <v>4</v>
      </c>
      <c r="R76" s="319">
        <v>4</v>
      </c>
      <c r="S76" s="319"/>
      <c r="T76" s="319"/>
      <c r="U76" s="319"/>
      <c r="V76" s="319"/>
      <c r="W76" s="346" t="str">
        <f>IF(COUNTIF(tblSeverityAnalysis[[#This Row],[CCCM]:[WASH]], 1)=0, "", COUNTIF(tblSeverityAnalysis[[#This Row],[CCCM]:[WASH]], 1))</f>
        <v/>
      </c>
      <c r="X76" s="347">
        <f>IF(COUNTIF(tblSeverityAnalysis[[#This Row],[CCCM]:[WASH]], 2)=0, "", COUNTIF(tblSeverityAnalysis[[#This Row],[CCCM]:[WASH]], 2))</f>
        <v>1</v>
      </c>
      <c r="Y76" s="347">
        <f>IF(COUNTIF(tblSeverityAnalysis[[#This Row],[CCCM]:[WASH]], 3)=0, "", COUNTIF(tblSeverityAnalysis[[#This Row],[CCCM]:[WASH]], 3))</f>
        <v>3</v>
      </c>
      <c r="Z76" s="347">
        <f>IF(COUNTIF(tblSeverityAnalysis[[#This Row],[CCCM]:[WASH]], 4)=0, "", COUNTIF(tblSeverityAnalysis[[#This Row],[CCCM]:[WASH]], 4))</f>
        <v>4</v>
      </c>
      <c r="AA76" s="348" t="str">
        <f>IF(COUNTIF(tblSeverityAnalysis[[#This Row],[CCCM]:[WASH]], 5)=0, "", COUNTIF(tblSeverityAnalysis[[#This Row],[CCCM]:[WASH]], 5))</f>
        <v/>
      </c>
      <c r="AB76" s="61" cm="1">
        <f t="array" ref="AB7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76"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6" s="42" t="str">
        <f>IFERROR(IF(INDEX(tblSeverityReference[Malnutrition Severity],MATCH(tblSeverityAnalysis[[#This Row],[ID]], tblSeverityReference[ID], 0))= "", "",INDEX(tblSeverityReference[Malnutrition Severity],MATCH(tblSeverityAnalysis[[#This Row],[ID]], tblSeverityReference[ID], 0)) ), "")</f>
        <v/>
      </c>
      <c r="AE76" s="319" t="str">
        <f>IFERROR(IF(INDEX(tblSeverityReference[Epidemic Severity],MATCH(tblSeverityAnalysis[[#This Row],[ID]], tblSeverityReference[ID], 0))= "", "",INDEX(tblSeverityReference[Epidemic Severity],MATCH(tblSeverityAnalysis[[#This Row],[ID]], tblSeverityReference[ID], 0)) ), "")</f>
        <v/>
      </c>
      <c r="AF76" s="319" t="str">
        <f>IFERROR(IF(INDEX(tblSeverityReference[Coping Strategy Severity],MATCH(tblSeverityAnalysis[[#This Row],[ID]], tblSeverityReference[ID], 0))= "", "",INDEX(tblSeverityReference[Coping Strategy Severity],MATCH(tblSeverityAnalysis[[#This Row],[ID]], tblSeverityReference[ID], 0)) ), "")</f>
        <v/>
      </c>
      <c r="AG76" s="110">
        <v>4</v>
      </c>
      <c r="AH76" s="83">
        <f>IFERROR(AVERAGE(tblSeverityAnalysis[[#This Row],[CCCM]:[WASH]]), "")</f>
        <v>3.375</v>
      </c>
      <c r="AI76" s="27">
        <f>IF(SUM(tblSeverityAnalysis[[#This Row],[CCCM]:[WASH]])=0, "", MAX(tblSeverityAnalysis[[#This Row],[CCCM]:[WASH]]))</f>
        <v>4</v>
      </c>
      <c r="AJ76" s="349" t="str" cm="1">
        <f t="array" ref="AJ76">IFERROR(IF(tblSeverityAnalysis[[#This Row],[Highest Severity]]="", "", _xlfn.TEXTJOIN(CHAR(10), TRUE, IF(tblSeverityAnalysis[[#This Row],[CCCM]:[WASH]]=tblSeverityAnalysis[[#This Row],[Highest Severity]], tblSeverityAnalysis[[#Headers],[CCCM]:[WASH]], ""), "")), "")</f>
        <v>Education
Overarching Protection
Shelter
WASH</v>
      </c>
      <c r="AK76" s="27" cm="1">
        <f t="array" ref="AK76">IFERROR(MAX(_xlfn._xlws.FILTER(tblSeverityAnalysis[[#This Row],[CCCM]:[WASH]], tblSeverityAnalysis[[#This Row],[CCCM]:[WASH]]&lt;tblSeverityAnalysis[[#This Row],[Highest Severity]])), "")</f>
        <v>3</v>
      </c>
      <c r="AL76" s="329" t="str" cm="1">
        <f t="array" ref="AL76">IFERROR(IF(tblSeverityAnalysis[[#This Row],[2nd Highest Severity]]="", "", _xlfn.TEXTJOIN(CHAR(10), TRUE, IF(tblSeverityAnalysis[[#This Row],[CCCM]:[WASH]]=tblSeverityAnalysis[[#This Row],[2nd Highest Severity]], tblSeverityAnalysis[[#Headers],[CCCM]:[WASH]], ""), "")), "")</f>
        <v>Nutrition
Food Security
Health</v>
      </c>
      <c r="AM76" s="135" t="str">
        <f>IFERROR(IF(AND(tblSeverityAnalysis[[#This Row],[5]] &lt;&gt; "", tblSeverityAnalysis[[#This Row],[5]]&gt;=sectors_sev_5), "Flagged", ""), "")</f>
        <v/>
      </c>
      <c r="AN76" s="136" t="str">
        <f>IFERROR(IF(AND(tblSeverityAnalysis[[#This Row],[Preliminary Intersectoral Severity based on overlap of sectoral deprivations]]=4, SUM(tblSeverityAnalysis[[#This Row],[ 4 ]:[5]])&gt;=sectors_sev_4), "Flagged", ""), "")</f>
        <v/>
      </c>
      <c r="AO76" s="136" t="str" cm="1">
        <f t="array" ref="AO7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6"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6" s="351"/>
      <c r="AR76" s="352"/>
      <c r="AS76" s="351"/>
      <c r="AT76" s="353">
        <f>COUNTIF(tblSeverityAnalysis[[#This Row],[1 sector in severity phase 5 '[modify the threshold']]:[Manual Flag]], "Flagged")</f>
        <v>0</v>
      </c>
      <c r="AU76" s="533">
        <v>3</v>
      </c>
      <c r="AV76" s="63">
        <v>3</v>
      </c>
      <c r="AW76" s="432">
        <v>5</v>
      </c>
      <c r="AZ76" t="b">
        <f>tblSeverityAnalysis[[#This Row],[Preliminary Intersectoral Severity based on overlap of sectoral deprivations]]=tblSeverityAnalysis[[#This Row],[Final Severity]]</f>
        <v>0</v>
      </c>
      <c r="BA76" t="s">
        <v>538</v>
      </c>
    </row>
    <row r="77" spans="1:53" ht="14.5" hidden="1" customHeight="1" x14ac:dyDescent="0.55000000000000004">
      <c r="A77"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SS1005</v>
      </c>
      <c r="B77" s="40" t="s">
        <v>390</v>
      </c>
      <c r="C77" s="335" t="s">
        <v>391</v>
      </c>
      <c r="D77" s="335" t="s">
        <v>400</v>
      </c>
      <c r="E77" s="34" t="s">
        <v>401</v>
      </c>
      <c r="F77" s="34"/>
      <c r="G77" s="34"/>
      <c r="I77" s="97">
        <v>41194.722125272325</v>
      </c>
      <c r="J77" s="97"/>
      <c r="K77" s="400">
        <v>2</v>
      </c>
      <c r="L77" s="319">
        <v>3</v>
      </c>
      <c r="M77" s="319">
        <v>3</v>
      </c>
      <c r="N77" s="319">
        <v>3</v>
      </c>
      <c r="O77" s="319">
        <v>3</v>
      </c>
      <c r="P77" s="319">
        <v>4</v>
      </c>
      <c r="Q77" s="35">
        <v>3</v>
      </c>
      <c r="R77" s="319">
        <v>4</v>
      </c>
      <c r="S77" s="319"/>
      <c r="T77" s="319"/>
      <c r="U77" s="319"/>
      <c r="V77" s="319"/>
      <c r="W77" s="346" t="str">
        <f>IF(COUNTIF(tblSeverityAnalysis[[#This Row],[CCCM]:[WASH]], 1)=0, "", COUNTIF(tblSeverityAnalysis[[#This Row],[CCCM]:[WASH]], 1))</f>
        <v/>
      </c>
      <c r="X77" s="347">
        <f>IF(COUNTIF(tblSeverityAnalysis[[#This Row],[CCCM]:[WASH]], 2)=0, "", COUNTIF(tblSeverityAnalysis[[#This Row],[CCCM]:[WASH]], 2))</f>
        <v>1</v>
      </c>
      <c r="Y77" s="347">
        <f>IF(COUNTIF(tblSeverityAnalysis[[#This Row],[CCCM]:[WASH]], 3)=0, "", COUNTIF(tblSeverityAnalysis[[#This Row],[CCCM]:[WASH]], 3))</f>
        <v>5</v>
      </c>
      <c r="Z77" s="347">
        <f>IF(COUNTIF(tblSeverityAnalysis[[#This Row],[CCCM]:[WASH]], 4)=0, "", COUNTIF(tblSeverityAnalysis[[#This Row],[CCCM]:[WASH]], 4))</f>
        <v>2</v>
      </c>
      <c r="AA77" s="348" t="str">
        <f>IF(COUNTIF(tblSeverityAnalysis[[#This Row],[CCCM]:[WASH]], 5)=0, "", COUNTIF(tblSeverityAnalysis[[#This Row],[CCCM]:[WASH]], 5))</f>
        <v/>
      </c>
      <c r="AB77" s="61" cm="1">
        <f t="array" ref="AB7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7"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7" s="42" t="str">
        <f>IFERROR(IF(INDEX(tblSeverityReference[Malnutrition Severity],MATCH(tblSeverityAnalysis[[#This Row],[ID]], tblSeverityReference[ID], 0))= "", "",INDEX(tblSeverityReference[Malnutrition Severity],MATCH(tblSeverityAnalysis[[#This Row],[ID]], tblSeverityReference[ID], 0)) ), "")</f>
        <v/>
      </c>
      <c r="AE77" s="319" t="str">
        <f>IFERROR(IF(INDEX(tblSeverityReference[Epidemic Severity],MATCH(tblSeverityAnalysis[[#This Row],[ID]], tblSeverityReference[ID], 0))= "", "",INDEX(tblSeverityReference[Epidemic Severity],MATCH(tblSeverityAnalysis[[#This Row],[ID]], tblSeverityReference[ID], 0)) ), "")</f>
        <v/>
      </c>
      <c r="AF77" s="319" t="str">
        <f>IFERROR(IF(INDEX(tblSeverityReference[Coping Strategy Severity],MATCH(tblSeverityAnalysis[[#This Row],[ID]], tblSeverityReference[ID], 0))= "", "",INDEX(tblSeverityReference[Coping Strategy Severity],MATCH(tblSeverityAnalysis[[#This Row],[ID]], tblSeverityReference[ID], 0)) ), "")</f>
        <v/>
      </c>
      <c r="AG77" s="110">
        <v>3</v>
      </c>
      <c r="AH77" s="83">
        <f>IFERROR(AVERAGE(tblSeverityAnalysis[[#This Row],[CCCM]:[WASH]]), "")</f>
        <v>3.125</v>
      </c>
      <c r="AI77" s="27">
        <f>IF(SUM(tblSeverityAnalysis[[#This Row],[CCCM]:[WASH]])=0, "", MAX(tblSeverityAnalysis[[#This Row],[CCCM]:[WASH]]))</f>
        <v>4</v>
      </c>
      <c r="AJ77" s="349" t="str" cm="1">
        <f t="array" ref="AJ77">IFERROR(IF(tblSeverityAnalysis[[#This Row],[Highest Severity]]="", "", _xlfn.TEXTJOIN(CHAR(10), TRUE, IF(tblSeverityAnalysis[[#This Row],[CCCM]:[WASH]]=tblSeverityAnalysis[[#This Row],[Highest Severity]], tblSeverityAnalysis[[#Headers],[CCCM]:[WASH]], ""), "")), "")</f>
        <v>Overarching Protection
WASH</v>
      </c>
      <c r="AK77" s="27" cm="1">
        <f t="array" ref="AK77">IFERROR(MAX(_xlfn._xlws.FILTER(tblSeverityAnalysis[[#This Row],[CCCM]:[WASH]], tblSeverityAnalysis[[#This Row],[CCCM]:[WASH]]&lt;tblSeverityAnalysis[[#This Row],[Highest Severity]])), "")</f>
        <v>3</v>
      </c>
      <c r="AL77" s="329" t="str" cm="1">
        <f t="array" ref="AL77">IFERROR(IF(tblSeverityAnalysis[[#This Row],[2nd Highest Severity]]="", "", _xlfn.TEXTJOIN(CHAR(10), TRUE, IF(tblSeverityAnalysis[[#This Row],[CCCM]:[WASH]]=tblSeverityAnalysis[[#This Row],[2nd Highest Severity]], tblSeverityAnalysis[[#Headers],[CCCM]:[WASH]], ""), "")), "")</f>
        <v>Education
Nutrition
Food Security
Health
Shelter</v>
      </c>
      <c r="AM77" s="135" t="str">
        <f>IFERROR(IF(AND(tblSeverityAnalysis[[#This Row],[5]] &lt;&gt; "", tblSeverityAnalysis[[#This Row],[5]]&gt;=sectors_sev_5), "Flagged", ""), "")</f>
        <v/>
      </c>
      <c r="AN77" s="136" t="str">
        <f>IFERROR(IF(AND(tblSeverityAnalysis[[#This Row],[Preliminary Intersectoral Severity based on overlap of sectoral deprivations]]=4, SUM(tblSeverityAnalysis[[#This Row],[ 4 ]:[5]])&gt;=sectors_sev_4), "Flagged", ""), "")</f>
        <v/>
      </c>
      <c r="AO77" s="136" t="str" cm="1">
        <f t="array" ref="AO7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7"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7" s="351"/>
      <c r="AR77" s="352"/>
      <c r="AS77" s="351"/>
      <c r="AT77" s="353">
        <f>COUNTIF(tblSeverityAnalysis[[#This Row],[1 sector in severity phase 5 '[modify the threshold']]:[Manual Flag]], "Flagged")</f>
        <v>0</v>
      </c>
      <c r="AU77" s="354">
        <f>tblSeverityAnalysis[[#This Row],[Preliminary Intersectoral Severity based on overlap of sectoral deprivations]]</f>
        <v>3</v>
      </c>
      <c r="AV77" s="63">
        <v>3</v>
      </c>
      <c r="AW77" s="432">
        <v>5</v>
      </c>
      <c r="AZ77" t="b">
        <f>tblSeverityAnalysis[[#This Row],[Preliminary Intersectoral Severity based on overlap of sectoral deprivations]]=tblSeverityAnalysis[[#This Row],[Final Severity]]</f>
        <v>1</v>
      </c>
    </row>
    <row r="78" spans="1:53" ht="14.5" hidden="1" customHeight="1" x14ac:dyDescent="0.55000000000000004">
      <c r="A78"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SS1006</v>
      </c>
      <c r="B78" s="40" t="s">
        <v>390</v>
      </c>
      <c r="C78" s="335" t="s">
        <v>391</v>
      </c>
      <c r="D78" s="335" t="s">
        <v>402</v>
      </c>
      <c r="E78" s="34" t="s">
        <v>403</v>
      </c>
      <c r="F78" s="34"/>
      <c r="G78" s="34"/>
      <c r="I78" s="97">
        <v>62239.25569680793</v>
      </c>
      <c r="J78" s="97"/>
      <c r="K78" s="400">
        <v>2</v>
      </c>
      <c r="L78" s="319">
        <v>3</v>
      </c>
      <c r="M78" s="319">
        <v>3</v>
      </c>
      <c r="N78" s="319">
        <v>3</v>
      </c>
      <c r="O78" s="319">
        <v>3</v>
      </c>
      <c r="P78" s="319">
        <v>3</v>
      </c>
      <c r="Q78" s="35">
        <v>3</v>
      </c>
      <c r="R78" s="319">
        <v>3</v>
      </c>
      <c r="S78" s="319"/>
      <c r="T78" s="319"/>
      <c r="U78" s="319"/>
      <c r="V78" s="319"/>
      <c r="W78" s="346" t="str">
        <f>IF(COUNTIF(tblSeverityAnalysis[[#This Row],[CCCM]:[WASH]], 1)=0, "", COUNTIF(tblSeverityAnalysis[[#This Row],[CCCM]:[WASH]], 1))</f>
        <v/>
      </c>
      <c r="X78" s="347">
        <f>IF(COUNTIF(tblSeverityAnalysis[[#This Row],[CCCM]:[WASH]], 2)=0, "", COUNTIF(tblSeverityAnalysis[[#This Row],[CCCM]:[WASH]], 2))</f>
        <v>1</v>
      </c>
      <c r="Y78" s="347">
        <f>IF(COUNTIF(tblSeverityAnalysis[[#This Row],[CCCM]:[WASH]], 3)=0, "", COUNTIF(tblSeverityAnalysis[[#This Row],[CCCM]:[WASH]], 3))</f>
        <v>7</v>
      </c>
      <c r="Z78" s="347" t="str">
        <f>IF(COUNTIF(tblSeverityAnalysis[[#This Row],[CCCM]:[WASH]], 4)=0, "", COUNTIF(tblSeverityAnalysis[[#This Row],[CCCM]:[WASH]], 4))</f>
        <v/>
      </c>
      <c r="AA78" s="348" t="str">
        <f>IF(COUNTIF(tblSeverityAnalysis[[#This Row],[CCCM]:[WASH]], 5)=0, "", COUNTIF(tblSeverityAnalysis[[#This Row],[CCCM]:[WASH]], 5))</f>
        <v/>
      </c>
      <c r="AB78" s="61" cm="1">
        <f t="array" ref="AB7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8"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8" s="42" t="str">
        <f>IFERROR(IF(INDEX(tblSeverityReference[Malnutrition Severity],MATCH(tblSeverityAnalysis[[#This Row],[ID]], tblSeverityReference[ID], 0))= "", "",INDEX(tblSeverityReference[Malnutrition Severity],MATCH(tblSeverityAnalysis[[#This Row],[ID]], tblSeverityReference[ID], 0)) ), "")</f>
        <v/>
      </c>
      <c r="AE78" s="319" t="str">
        <f>IFERROR(IF(INDEX(tblSeverityReference[Epidemic Severity],MATCH(tblSeverityAnalysis[[#This Row],[ID]], tblSeverityReference[ID], 0))= "", "",INDEX(tblSeverityReference[Epidemic Severity],MATCH(tblSeverityAnalysis[[#This Row],[ID]], tblSeverityReference[ID], 0)) ), "")</f>
        <v/>
      </c>
      <c r="AF78" s="319" t="str">
        <f>IFERROR(IF(INDEX(tblSeverityReference[Coping Strategy Severity],MATCH(tblSeverityAnalysis[[#This Row],[ID]], tblSeverityReference[ID], 0))= "", "",INDEX(tblSeverityReference[Coping Strategy Severity],MATCH(tblSeverityAnalysis[[#This Row],[ID]], tblSeverityReference[ID], 0)) ), "")</f>
        <v/>
      </c>
      <c r="AG78" s="110">
        <v>3</v>
      </c>
      <c r="AH78" s="83">
        <f>IFERROR(AVERAGE(tblSeverityAnalysis[[#This Row],[CCCM]:[WASH]]), "")</f>
        <v>2.875</v>
      </c>
      <c r="AI78" s="27">
        <f>IF(SUM(tblSeverityAnalysis[[#This Row],[CCCM]:[WASH]])=0, "", MAX(tblSeverityAnalysis[[#This Row],[CCCM]:[WASH]]))</f>
        <v>3</v>
      </c>
      <c r="AJ78" s="349" t="str" cm="1">
        <f t="array" ref="AJ78">IFERROR(IF(tblSeverityAnalysis[[#This Row],[Highest Severity]]="", "", _xlfn.TEXTJOIN(CHAR(10), TRUE, IF(tblSeverityAnalysis[[#This Row],[CCCM]:[WASH]]=tblSeverityAnalysis[[#This Row],[Highest Severity]], tblSeverityAnalysis[[#Headers],[CCCM]:[WASH]], ""), "")), "")</f>
        <v>Education
Nutrition
Food Security
Health
Overarching Protection
Shelter
WASH</v>
      </c>
      <c r="AK78" s="27" cm="1">
        <f t="array" ref="AK78">IFERROR(MAX(_xlfn._xlws.FILTER(tblSeverityAnalysis[[#This Row],[CCCM]:[WASH]], tblSeverityAnalysis[[#This Row],[CCCM]:[WASH]]&lt;tblSeverityAnalysis[[#This Row],[Highest Severity]])), "")</f>
        <v>2</v>
      </c>
      <c r="AL78" s="329" t="str" cm="1">
        <f t="array" ref="AL78">IFERROR(IF(tblSeverityAnalysis[[#This Row],[2nd Highest Severity]]="", "", _xlfn.TEXTJOIN(CHAR(10), TRUE, IF(tblSeverityAnalysis[[#This Row],[CCCM]:[WASH]]=tblSeverityAnalysis[[#This Row],[2nd Highest Severity]], tblSeverityAnalysis[[#Headers],[CCCM]:[WASH]], ""), "")), "")</f>
        <v>CCCM</v>
      </c>
      <c r="AM78" s="135" t="str">
        <f>IFERROR(IF(AND(tblSeverityAnalysis[[#This Row],[5]] &lt;&gt; "", tblSeverityAnalysis[[#This Row],[5]]&gt;=sectors_sev_5), "Flagged", ""), "")</f>
        <v/>
      </c>
      <c r="AN78" s="136" t="str">
        <f>IFERROR(IF(AND(tblSeverityAnalysis[[#This Row],[Preliminary Intersectoral Severity based on overlap of sectoral deprivations]]=4, SUM(tblSeverityAnalysis[[#This Row],[ 4 ]:[5]])&gt;=sectors_sev_4), "Flagged", ""), "")</f>
        <v/>
      </c>
      <c r="AO78" s="136" t="str" cm="1">
        <f t="array" ref="AO7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8"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8" s="351"/>
      <c r="AR78" s="352"/>
      <c r="AS78" s="351"/>
      <c r="AT78" s="353">
        <f>COUNTIF(tblSeverityAnalysis[[#This Row],[1 sector in severity phase 5 '[modify the threshold']]:[Manual Flag]], "Flagged")</f>
        <v>0</v>
      </c>
      <c r="AU78" s="354">
        <f>tblSeverityAnalysis[[#This Row],[Preliminary Intersectoral Severity based on overlap of sectoral deprivations]]</f>
        <v>3</v>
      </c>
      <c r="AV78" s="63">
        <v>3</v>
      </c>
      <c r="AW78" s="432">
        <v>5</v>
      </c>
      <c r="AZ78" t="b">
        <f>tblSeverityAnalysis[[#This Row],[Preliminary Intersectoral Severity based on overlap of sectoral deprivations]]=tblSeverityAnalysis[[#This Row],[Final Severity]]</f>
        <v>1</v>
      </c>
    </row>
    <row r="79" spans="1:53" ht="14.5" hidden="1" customHeight="1" x14ac:dyDescent="0.55000000000000004">
      <c r="A79"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SS1007</v>
      </c>
      <c r="B79" s="40" t="s">
        <v>390</v>
      </c>
      <c r="C79" s="335" t="s">
        <v>391</v>
      </c>
      <c r="D79" s="335" t="s">
        <v>404</v>
      </c>
      <c r="E79" s="34" t="s">
        <v>405</v>
      </c>
      <c r="F79" s="34"/>
      <c r="G79" s="34"/>
      <c r="I79" s="97">
        <v>57068.022333463487</v>
      </c>
      <c r="J79" s="97"/>
      <c r="K79" s="400">
        <v>4</v>
      </c>
      <c r="L79" s="319">
        <v>4</v>
      </c>
      <c r="M79" s="319">
        <v>4</v>
      </c>
      <c r="N79" s="319">
        <v>3</v>
      </c>
      <c r="O79" s="319">
        <v>3</v>
      </c>
      <c r="P79" s="319">
        <v>4</v>
      </c>
      <c r="Q79" s="35">
        <v>4</v>
      </c>
      <c r="R79" s="319">
        <v>3</v>
      </c>
      <c r="S79" s="319"/>
      <c r="T79" s="319"/>
      <c r="U79" s="319"/>
      <c r="V79" s="319"/>
      <c r="W79" s="346" t="str">
        <f>IF(COUNTIF(tblSeverityAnalysis[[#This Row],[CCCM]:[WASH]], 1)=0, "", COUNTIF(tblSeverityAnalysis[[#This Row],[CCCM]:[WASH]], 1))</f>
        <v/>
      </c>
      <c r="X79" s="347" t="str">
        <f>IF(COUNTIF(tblSeverityAnalysis[[#This Row],[CCCM]:[WASH]], 2)=0, "", COUNTIF(tblSeverityAnalysis[[#This Row],[CCCM]:[WASH]], 2))</f>
        <v/>
      </c>
      <c r="Y79" s="347">
        <f>IF(COUNTIF(tblSeverityAnalysis[[#This Row],[CCCM]:[WASH]], 3)=0, "", COUNTIF(tblSeverityAnalysis[[#This Row],[CCCM]:[WASH]], 3))</f>
        <v>3</v>
      </c>
      <c r="Z79" s="347">
        <f>IF(COUNTIF(tblSeverityAnalysis[[#This Row],[CCCM]:[WASH]], 4)=0, "", COUNTIF(tblSeverityAnalysis[[#This Row],[CCCM]:[WASH]], 4))</f>
        <v>5</v>
      </c>
      <c r="AA79" s="348" t="str">
        <f>IF(COUNTIF(tblSeverityAnalysis[[#This Row],[CCCM]:[WASH]], 5)=0, "", COUNTIF(tblSeverityAnalysis[[#This Row],[CCCM]:[WASH]], 5))</f>
        <v/>
      </c>
      <c r="AB79" s="61" cm="1">
        <f t="array" ref="AB7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79"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79" s="42" t="str">
        <f>IFERROR(IF(INDEX(tblSeverityReference[Malnutrition Severity],MATCH(tblSeverityAnalysis[[#This Row],[ID]], tblSeverityReference[ID], 0))= "", "",INDEX(tblSeverityReference[Malnutrition Severity],MATCH(tblSeverityAnalysis[[#This Row],[ID]], tblSeverityReference[ID], 0)) ), "")</f>
        <v/>
      </c>
      <c r="AE79" s="319" t="str">
        <f>IFERROR(IF(INDEX(tblSeverityReference[Epidemic Severity],MATCH(tblSeverityAnalysis[[#This Row],[ID]], tblSeverityReference[ID], 0))= "", "",INDEX(tblSeverityReference[Epidemic Severity],MATCH(tblSeverityAnalysis[[#This Row],[ID]], tblSeverityReference[ID], 0)) ), "")</f>
        <v/>
      </c>
      <c r="AF79" s="319" t="str">
        <f>IFERROR(IF(INDEX(tblSeverityReference[Coping Strategy Severity],MATCH(tblSeverityAnalysis[[#This Row],[ID]], tblSeverityReference[ID], 0))= "", "",INDEX(tblSeverityReference[Coping Strategy Severity],MATCH(tblSeverityAnalysis[[#This Row],[ID]], tblSeverityReference[ID], 0)) ), "")</f>
        <v/>
      </c>
      <c r="AG79" s="110">
        <v>4</v>
      </c>
      <c r="AH79" s="83">
        <f>IFERROR(AVERAGE(tblSeverityAnalysis[[#This Row],[CCCM]:[WASH]]), "")</f>
        <v>3.625</v>
      </c>
      <c r="AI79" s="27">
        <f>IF(SUM(tblSeverityAnalysis[[#This Row],[CCCM]:[WASH]])=0, "", MAX(tblSeverityAnalysis[[#This Row],[CCCM]:[WASH]]))</f>
        <v>4</v>
      </c>
      <c r="AJ79" s="349" t="str" cm="1">
        <f t="array" ref="AJ79">IFERROR(IF(tblSeverityAnalysis[[#This Row],[Highest Severity]]="", "", _xlfn.TEXTJOIN(CHAR(10), TRUE, IF(tblSeverityAnalysis[[#This Row],[CCCM]:[WASH]]=tblSeverityAnalysis[[#This Row],[Highest Severity]], tblSeverityAnalysis[[#Headers],[CCCM]:[WASH]], ""), "")), "")</f>
        <v>CCCM
Education
Nutrition
Overarching Protection
Shelter</v>
      </c>
      <c r="AK79" s="27" cm="1">
        <f t="array" ref="AK79">IFERROR(MAX(_xlfn._xlws.FILTER(tblSeverityAnalysis[[#This Row],[CCCM]:[WASH]], tblSeverityAnalysis[[#This Row],[CCCM]:[WASH]]&lt;tblSeverityAnalysis[[#This Row],[Highest Severity]])), "")</f>
        <v>3</v>
      </c>
      <c r="AL79" s="329" t="str" cm="1">
        <f t="array" ref="AL79">IFERROR(IF(tblSeverityAnalysis[[#This Row],[2nd Highest Severity]]="", "", _xlfn.TEXTJOIN(CHAR(10), TRUE, IF(tblSeverityAnalysis[[#This Row],[CCCM]:[WASH]]=tblSeverityAnalysis[[#This Row],[2nd Highest Severity]], tblSeverityAnalysis[[#Headers],[CCCM]:[WASH]], ""), "")), "")</f>
        <v>Food Security
Health
WASH</v>
      </c>
      <c r="AM79" s="135" t="str">
        <f>IFERROR(IF(AND(tblSeverityAnalysis[[#This Row],[5]] &lt;&gt; "", tblSeverityAnalysis[[#This Row],[5]]&gt;=sectors_sev_5), "Flagged", ""), "")</f>
        <v/>
      </c>
      <c r="AN79" s="136" t="str">
        <f>IFERROR(IF(AND(tblSeverityAnalysis[[#This Row],[Preliminary Intersectoral Severity based on overlap of sectoral deprivations]]=4, SUM(tblSeverityAnalysis[[#This Row],[ 4 ]:[5]])&gt;=sectors_sev_4), "Flagged", ""), "")</f>
        <v>Flagged</v>
      </c>
      <c r="AO79" s="136" t="str" cm="1">
        <f t="array" ref="AO7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9"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9" s="351"/>
      <c r="AR79" s="352"/>
      <c r="AS79" s="351"/>
      <c r="AT79" s="353">
        <f>COUNTIF(tblSeverityAnalysis[[#This Row],[1 sector in severity phase 5 '[modify the threshold']]:[Manual Flag]], "Flagged")</f>
        <v>1</v>
      </c>
      <c r="AU79" s="354">
        <f>tblSeverityAnalysis[[#This Row],[Preliminary Intersectoral Severity based on overlap of sectoral deprivations]]</f>
        <v>4</v>
      </c>
      <c r="AV79" s="63">
        <v>4</v>
      </c>
      <c r="AW79" s="432">
        <v>2</v>
      </c>
      <c r="AZ79" t="b">
        <f>tblSeverityAnalysis[[#This Row],[Preliminary Intersectoral Severity based on overlap of sectoral deprivations]]=tblSeverityAnalysis[[#This Row],[Final Severity]]</f>
        <v>1</v>
      </c>
    </row>
    <row r="80" spans="1:53" ht="14.5" hidden="1" customHeight="1" x14ac:dyDescent="0.55000000000000004">
      <c r="A80"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SS1008</v>
      </c>
      <c r="B80" s="40" t="s">
        <v>390</v>
      </c>
      <c r="C80" s="335" t="s">
        <v>391</v>
      </c>
      <c r="D80" s="335" t="s">
        <v>406</v>
      </c>
      <c r="E80" s="34" t="s">
        <v>407</v>
      </c>
      <c r="F80" s="34"/>
      <c r="G80" s="34"/>
      <c r="I80" s="97">
        <v>68636.768403233189</v>
      </c>
      <c r="J80" s="97"/>
      <c r="K80" s="400">
        <v>2</v>
      </c>
      <c r="L80" s="319">
        <v>3</v>
      </c>
      <c r="M80" s="319">
        <v>2</v>
      </c>
      <c r="N80" s="319">
        <v>2</v>
      </c>
      <c r="O80" s="319">
        <v>3</v>
      </c>
      <c r="P80" s="319">
        <v>3</v>
      </c>
      <c r="Q80" s="35">
        <v>4</v>
      </c>
      <c r="R80" s="319">
        <v>4</v>
      </c>
      <c r="S80" s="319"/>
      <c r="T80" s="319"/>
      <c r="U80" s="319"/>
      <c r="V80" s="319"/>
      <c r="W80" s="346" t="str">
        <f>IF(COUNTIF(tblSeverityAnalysis[[#This Row],[CCCM]:[WASH]], 1)=0, "", COUNTIF(tblSeverityAnalysis[[#This Row],[CCCM]:[WASH]], 1))</f>
        <v/>
      </c>
      <c r="X80" s="347">
        <f>IF(COUNTIF(tblSeverityAnalysis[[#This Row],[CCCM]:[WASH]], 2)=0, "", COUNTIF(tblSeverityAnalysis[[#This Row],[CCCM]:[WASH]], 2))</f>
        <v>3</v>
      </c>
      <c r="Y80" s="347">
        <f>IF(COUNTIF(tblSeverityAnalysis[[#This Row],[CCCM]:[WASH]], 3)=0, "", COUNTIF(tblSeverityAnalysis[[#This Row],[CCCM]:[WASH]], 3))</f>
        <v>3</v>
      </c>
      <c r="Z80" s="347">
        <f>IF(COUNTIF(tblSeverityAnalysis[[#This Row],[CCCM]:[WASH]], 4)=0, "", COUNTIF(tblSeverityAnalysis[[#This Row],[CCCM]:[WASH]], 4))</f>
        <v>2</v>
      </c>
      <c r="AA80" s="348" t="str">
        <f>IF(COUNTIF(tblSeverityAnalysis[[#This Row],[CCCM]:[WASH]], 5)=0, "", COUNTIF(tblSeverityAnalysis[[#This Row],[CCCM]:[WASH]], 5))</f>
        <v/>
      </c>
      <c r="AB80" s="61" cm="1">
        <f t="array" ref="AB8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0"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0" s="42" t="str">
        <f>IFERROR(IF(INDEX(tblSeverityReference[Malnutrition Severity],MATCH(tblSeverityAnalysis[[#This Row],[ID]], tblSeverityReference[ID], 0))= "", "",INDEX(tblSeverityReference[Malnutrition Severity],MATCH(tblSeverityAnalysis[[#This Row],[ID]], tblSeverityReference[ID], 0)) ), "")</f>
        <v/>
      </c>
      <c r="AE80" s="319" t="str">
        <f>IFERROR(IF(INDEX(tblSeverityReference[Epidemic Severity],MATCH(tblSeverityAnalysis[[#This Row],[ID]], tblSeverityReference[ID], 0))= "", "",INDEX(tblSeverityReference[Epidemic Severity],MATCH(tblSeverityAnalysis[[#This Row],[ID]], tblSeverityReference[ID], 0)) ), "")</f>
        <v/>
      </c>
      <c r="AF80" s="319" t="str">
        <f>IFERROR(IF(INDEX(tblSeverityReference[Coping Strategy Severity],MATCH(tblSeverityAnalysis[[#This Row],[ID]], tblSeverityReference[ID], 0))= "", "",INDEX(tblSeverityReference[Coping Strategy Severity],MATCH(tblSeverityAnalysis[[#This Row],[ID]], tblSeverityReference[ID], 0)) ), "")</f>
        <v/>
      </c>
      <c r="AG80" s="110">
        <v>3</v>
      </c>
      <c r="AH80" s="83">
        <f>IFERROR(AVERAGE(tblSeverityAnalysis[[#This Row],[CCCM]:[WASH]]), "")</f>
        <v>2.875</v>
      </c>
      <c r="AI80" s="27">
        <f>IF(SUM(tblSeverityAnalysis[[#This Row],[CCCM]:[WASH]])=0, "", MAX(tblSeverityAnalysis[[#This Row],[CCCM]:[WASH]]))</f>
        <v>4</v>
      </c>
      <c r="AJ80" s="349" t="str" cm="1">
        <f t="array" ref="AJ80">IFERROR(IF(tblSeverityAnalysis[[#This Row],[Highest Severity]]="", "", _xlfn.TEXTJOIN(CHAR(10), TRUE, IF(tblSeverityAnalysis[[#This Row],[CCCM]:[WASH]]=tblSeverityAnalysis[[#This Row],[Highest Severity]], tblSeverityAnalysis[[#Headers],[CCCM]:[WASH]], ""), "")), "")</f>
        <v>Shelter
WASH</v>
      </c>
      <c r="AK80" s="27" cm="1">
        <f t="array" ref="AK80">IFERROR(MAX(_xlfn._xlws.FILTER(tblSeverityAnalysis[[#This Row],[CCCM]:[WASH]], tblSeverityAnalysis[[#This Row],[CCCM]:[WASH]]&lt;tblSeverityAnalysis[[#This Row],[Highest Severity]])), "")</f>
        <v>3</v>
      </c>
      <c r="AL80" s="329" t="str" cm="1">
        <f t="array" ref="AL80">IFERROR(IF(tblSeverityAnalysis[[#This Row],[2nd Highest Severity]]="", "", _xlfn.TEXTJOIN(CHAR(10), TRUE, IF(tblSeverityAnalysis[[#This Row],[CCCM]:[WASH]]=tblSeverityAnalysis[[#This Row],[2nd Highest Severity]], tblSeverityAnalysis[[#Headers],[CCCM]:[WASH]], ""), "")), "")</f>
        <v>Education
Health
Overarching Protection</v>
      </c>
      <c r="AM80" s="135" t="str">
        <f>IFERROR(IF(AND(tblSeverityAnalysis[[#This Row],[5]] &lt;&gt; "", tblSeverityAnalysis[[#This Row],[5]]&gt;=sectors_sev_5), "Flagged", ""), "")</f>
        <v/>
      </c>
      <c r="AN80" s="136" t="str">
        <f>IFERROR(IF(AND(tblSeverityAnalysis[[#This Row],[Preliminary Intersectoral Severity based on overlap of sectoral deprivations]]=4, SUM(tblSeverityAnalysis[[#This Row],[ 4 ]:[5]])&gt;=sectors_sev_4), "Flagged", ""), "")</f>
        <v/>
      </c>
      <c r="AO80" s="136" t="str" cm="1">
        <f t="array" ref="AO8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0"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0" s="351"/>
      <c r="AR80" s="352"/>
      <c r="AS80" s="351"/>
      <c r="AT80" s="353">
        <f>COUNTIF(tblSeverityAnalysis[[#This Row],[1 sector in severity phase 5 '[modify the threshold']]:[Manual Flag]], "Flagged")</f>
        <v>0</v>
      </c>
      <c r="AU80" s="354">
        <f>tblSeverityAnalysis[[#This Row],[Preliminary Intersectoral Severity based on overlap of sectoral deprivations]]</f>
        <v>3</v>
      </c>
      <c r="AV80" s="63">
        <v>3</v>
      </c>
      <c r="AW80" s="432">
        <v>5</v>
      </c>
      <c r="AZ80" t="b">
        <f>tblSeverityAnalysis[[#This Row],[Preliminary Intersectoral Severity based on overlap of sectoral deprivations]]=tblSeverityAnalysis[[#This Row],[Final Severity]]</f>
        <v>1</v>
      </c>
    </row>
    <row r="81" spans="1:53" ht="14.5" hidden="1" customHeight="1" x14ac:dyDescent="0.55000000000000004">
      <c r="A81"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SS1009</v>
      </c>
      <c r="B81" s="40" t="s">
        <v>390</v>
      </c>
      <c r="C81" s="335" t="s">
        <v>391</v>
      </c>
      <c r="D81" s="335" t="s">
        <v>408</v>
      </c>
      <c r="E81" s="34" t="s">
        <v>409</v>
      </c>
      <c r="F81" s="34"/>
      <c r="G81" s="34"/>
      <c r="I81" s="97">
        <v>103093.08354923633</v>
      </c>
      <c r="J81" s="97"/>
      <c r="K81" s="400">
        <v>4</v>
      </c>
      <c r="L81" s="319">
        <v>5</v>
      </c>
      <c r="M81" s="319">
        <v>3</v>
      </c>
      <c r="N81" s="319">
        <v>3</v>
      </c>
      <c r="O81" s="319">
        <v>3.3333333333333335</v>
      </c>
      <c r="P81" s="319">
        <v>4</v>
      </c>
      <c r="Q81" s="35">
        <v>5</v>
      </c>
      <c r="R81" s="319">
        <v>4</v>
      </c>
      <c r="S81" s="319"/>
      <c r="T81" s="319"/>
      <c r="U81" s="319"/>
      <c r="V81" s="319"/>
      <c r="W81" s="346" t="str">
        <f>IF(COUNTIF(tblSeverityAnalysis[[#This Row],[CCCM]:[WASH]], 1)=0, "", COUNTIF(tblSeverityAnalysis[[#This Row],[CCCM]:[WASH]], 1))</f>
        <v/>
      </c>
      <c r="X81" s="347" t="str">
        <f>IF(COUNTIF(tblSeverityAnalysis[[#This Row],[CCCM]:[WASH]], 2)=0, "", COUNTIF(tblSeverityAnalysis[[#This Row],[CCCM]:[WASH]], 2))</f>
        <v/>
      </c>
      <c r="Y81" s="347">
        <f>IF(COUNTIF(tblSeverityAnalysis[[#This Row],[CCCM]:[WASH]], 3)=0, "", COUNTIF(tblSeverityAnalysis[[#This Row],[CCCM]:[WASH]], 3))</f>
        <v>2</v>
      </c>
      <c r="Z81" s="347">
        <f>IF(COUNTIF(tblSeverityAnalysis[[#This Row],[CCCM]:[WASH]], 4)=0, "", COUNTIF(tblSeverityAnalysis[[#This Row],[CCCM]:[WASH]], 4))</f>
        <v>3</v>
      </c>
      <c r="AA81" s="348">
        <f>IF(COUNTIF(tblSeverityAnalysis[[#This Row],[CCCM]:[WASH]], 5)=0, "", COUNTIF(tblSeverityAnalysis[[#This Row],[CCCM]:[WASH]], 5))</f>
        <v>2</v>
      </c>
      <c r="AB81" s="61" cm="1">
        <f t="array" ref="AB8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81"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1" s="42" t="str">
        <f>IFERROR(IF(INDEX(tblSeverityReference[Malnutrition Severity],MATCH(tblSeverityAnalysis[[#This Row],[ID]], tblSeverityReference[ID], 0))= "", "",INDEX(tblSeverityReference[Malnutrition Severity],MATCH(tblSeverityAnalysis[[#This Row],[ID]], tblSeverityReference[ID], 0)) ), "")</f>
        <v/>
      </c>
      <c r="AE81" s="319" t="str">
        <f>IFERROR(IF(INDEX(tblSeverityReference[Epidemic Severity],MATCH(tblSeverityAnalysis[[#This Row],[ID]], tblSeverityReference[ID], 0))= "", "",INDEX(tblSeverityReference[Epidemic Severity],MATCH(tblSeverityAnalysis[[#This Row],[ID]], tblSeverityReference[ID], 0)) ), "")</f>
        <v/>
      </c>
      <c r="AF81" s="319" t="str">
        <f>IFERROR(IF(INDEX(tblSeverityReference[Coping Strategy Severity],MATCH(tblSeverityAnalysis[[#This Row],[ID]], tblSeverityReference[ID], 0))= "", "",INDEX(tblSeverityReference[Coping Strategy Severity],MATCH(tblSeverityAnalysis[[#This Row],[ID]], tblSeverityReference[ID], 0)) ), "")</f>
        <v/>
      </c>
      <c r="AG81" s="110">
        <v>5</v>
      </c>
      <c r="AH81" s="83">
        <f>IFERROR(AVERAGE(tblSeverityAnalysis[[#This Row],[CCCM]:[WASH]]), "")</f>
        <v>3.9166666666666665</v>
      </c>
      <c r="AI81" s="27">
        <f>IF(SUM(tblSeverityAnalysis[[#This Row],[CCCM]:[WASH]])=0, "", MAX(tblSeverityAnalysis[[#This Row],[CCCM]:[WASH]]))</f>
        <v>5</v>
      </c>
      <c r="AJ81" s="349" t="str" cm="1">
        <f t="array" ref="AJ81">IFERROR(IF(tblSeverityAnalysis[[#This Row],[Highest Severity]]="", "", _xlfn.TEXTJOIN(CHAR(10), TRUE, IF(tblSeverityAnalysis[[#This Row],[CCCM]:[WASH]]=tblSeverityAnalysis[[#This Row],[Highest Severity]], tblSeverityAnalysis[[#Headers],[CCCM]:[WASH]], ""), "")), "")</f>
        <v>Education
Shelter</v>
      </c>
      <c r="AK81" s="27" cm="1">
        <f t="array" ref="AK81">IFERROR(MAX(_xlfn._xlws.FILTER(tblSeverityAnalysis[[#This Row],[CCCM]:[WASH]], tblSeverityAnalysis[[#This Row],[CCCM]:[WASH]]&lt;tblSeverityAnalysis[[#This Row],[Highest Severity]])), "")</f>
        <v>4</v>
      </c>
      <c r="AL81" s="329" t="str" cm="1">
        <f t="array" ref="AL81">IFERROR(IF(tblSeverityAnalysis[[#This Row],[2nd Highest Severity]]="", "", _xlfn.TEXTJOIN(CHAR(10), TRUE, IF(tblSeverityAnalysis[[#This Row],[CCCM]:[WASH]]=tblSeverityAnalysis[[#This Row],[2nd Highest Severity]], tblSeverityAnalysis[[#Headers],[CCCM]:[WASH]], ""), "")), "")</f>
        <v>CCCM
Overarching Protection
WASH</v>
      </c>
      <c r="AM81" s="135" t="str">
        <f>IFERROR(IF(AND(tblSeverityAnalysis[[#This Row],[5]] &lt;&gt; "", tblSeverityAnalysis[[#This Row],[5]]&gt;=sectors_sev_5), "Flagged", ""), "")</f>
        <v>Flagged</v>
      </c>
      <c r="AN81" s="136" t="str">
        <f>IFERROR(IF(AND(tblSeverityAnalysis[[#This Row],[Preliminary Intersectoral Severity based on overlap of sectoral deprivations]]=4, SUM(tblSeverityAnalysis[[#This Row],[ 4 ]:[5]])&gt;=sectors_sev_4), "Flagged", ""), "")</f>
        <v/>
      </c>
      <c r="AO81" s="136" t="str" cm="1">
        <f t="array" ref="AO8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1"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1" s="351"/>
      <c r="AR81" s="352"/>
      <c r="AS81" s="351"/>
      <c r="AT81" s="353">
        <f>COUNTIF(tblSeverityAnalysis[[#This Row],[1 sector in severity phase 5 '[modify the threshold']]:[Manual Flag]], "Flagged")</f>
        <v>1</v>
      </c>
      <c r="AU81" s="533">
        <v>4</v>
      </c>
      <c r="AV81" s="63">
        <v>4</v>
      </c>
      <c r="AW81" s="432">
        <v>2</v>
      </c>
      <c r="AZ81" t="b">
        <f>tblSeverityAnalysis[[#This Row],[Preliminary Intersectoral Severity based on overlap of sectoral deprivations]]=tblSeverityAnalysis[[#This Row],[Final Severity]]</f>
        <v>0</v>
      </c>
      <c r="BA81" t="s">
        <v>539</v>
      </c>
    </row>
    <row r="82" spans="1:53" ht="14.5" hidden="1" customHeight="1" x14ac:dyDescent="0.55000000000000004">
      <c r="A82" s="344"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SS1010</v>
      </c>
      <c r="B82" s="40" t="s">
        <v>390</v>
      </c>
      <c r="C82" s="335" t="s">
        <v>391</v>
      </c>
      <c r="D82" s="335" t="s">
        <v>410</v>
      </c>
      <c r="E82" s="34" t="s">
        <v>411</v>
      </c>
      <c r="F82" s="34"/>
      <c r="G82" s="34"/>
      <c r="I82" s="97">
        <v>141339.50361421157</v>
      </c>
      <c r="J82" s="97"/>
      <c r="K82" s="400">
        <v>2</v>
      </c>
      <c r="L82" s="319">
        <v>4</v>
      </c>
      <c r="M82" s="319">
        <v>2</v>
      </c>
      <c r="N82" s="319">
        <v>3</v>
      </c>
      <c r="O82" s="319">
        <v>3</v>
      </c>
      <c r="P82" s="319">
        <v>4</v>
      </c>
      <c r="Q82" s="35">
        <v>2</v>
      </c>
      <c r="R82" s="319">
        <v>4</v>
      </c>
      <c r="S82" s="319"/>
      <c r="T82" s="319"/>
      <c r="U82" s="319"/>
      <c r="V82" s="319"/>
      <c r="W82" s="346" t="str">
        <f>IF(COUNTIF(tblSeverityAnalysis[[#This Row],[CCCM]:[WASH]], 1)=0, "", COUNTIF(tblSeverityAnalysis[[#This Row],[CCCM]:[WASH]], 1))</f>
        <v/>
      </c>
      <c r="X82" s="347">
        <f>IF(COUNTIF(tblSeverityAnalysis[[#This Row],[CCCM]:[WASH]], 2)=0, "", COUNTIF(tblSeverityAnalysis[[#This Row],[CCCM]:[WASH]], 2))</f>
        <v>3</v>
      </c>
      <c r="Y82" s="347">
        <f>IF(COUNTIF(tblSeverityAnalysis[[#This Row],[CCCM]:[WASH]], 3)=0, "", COUNTIF(tblSeverityAnalysis[[#This Row],[CCCM]:[WASH]], 3))</f>
        <v>2</v>
      </c>
      <c r="Z82" s="347">
        <f>IF(COUNTIF(tblSeverityAnalysis[[#This Row],[CCCM]:[WASH]], 4)=0, "", COUNTIF(tblSeverityAnalysis[[#This Row],[CCCM]:[WASH]], 4))</f>
        <v>3</v>
      </c>
      <c r="AA82" s="348" t="str">
        <f>IF(COUNTIF(tblSeverityAnalysis[[#This Row],[CCCM]:[WASH]], 5)=0, "", COUNTIF(tblSeverityAnalysis[[#This Row],[CCCM]:[WASH]], 5))</f>
        <v/>
      </c>
      <c r="AB82" s="61" cm="1">
        <f t="array" ref="AB8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2" s="336" t="str">
        <f>IFERROR(IF(INDEX(tblSeverityReference[Death or Iminanet Risk of Death Severity],MATCH(tblSeverityAnalysis[[#This Row],[ID]], tblSeverityReference[ID], 0))= "", "",INDEX(tblSeverityReference[Death or Iminanet Risk of Death Severity],MATCH(tblSeverityAnalysis[[#This Row],[ID]], tblSeverityReference[ID], 0)) ), "")</f>
        <v/>
      </c>
      <c r="AD82" s="42" t="str">
        <f>IFERROR(IF(INDEX(tblSeverityReference[Malnutrition Severity],MATCH(tblSeverityAnalysis[[#This Row],[ID]], tblSeverityReference[ID], 0))= "", "",INDEX(tblSeverityReference[Malnutrition Severity],MATCH(tblSeverityAnalysis[[#This Row],[ID]], tblSeverityReference[ID], 0)) ), "")</f>
        <v/>
      </c>
      <c r="AE82" s="319" t="str">
        <f>IFERROR(IF(INDEX(tblSeverityReference[Epidemic Severity],MATCH(tblSeverityAnalysis[[#This Row],[ID]], tblSeverityReference[ID], 0))= "", "",INDEX(tblSeverityReference[Epidemic Severity],MATCH(tblSeverityAnalysis[[#This Row],[ID]], tblSeverityReference[ID], 0)) ), "")</f>
        <v/>
      </c>
      <c r="AF82" s="319" t="str">
        <f>IFERROR(IF(INDEX(tblSeverityReference[Coping Strategy Severity],MATCH(tblSeverityAnalysis[[#This Row],[ID]], tblSeverityReference[ID], 0))= "", "",INDEX(tblSeverityReference[Coping Strategy Severity],MATCH(tblSeverityAnalysis[[#This Row],[ID]], tblSeverityReference[ID], 0)) ), "")</f>
        <v/>
      </c>
      <c r="AG82" s="110">
        <v>4</v>
      </c>
      <c r="AH82" s="83">
        <f>IFERROR(AVERAGE(tblSeverityAnalysis[[#This Row],[CCCM]:[WASH]]), "")</f>
        <v>3</v>
      </c>
      <c r="AI82" s="27">
        <f>IF(SUM(tblSeverityAnalysis[[#This Row],[CCCM]:[WASH]])=0, "", MAX(tblSeverityAnalysis[[#This Row],[CCCM]:[WASH]]))</f>
        <v>4</v>
      </c>
      <c r="AJ82" s="349" t="str" cm="1">
        <f t="array" ref="AJ82">IFERROR(IF(tblSeverityAnalysis[[#This Row],[Highest Severity]]="", "", _xlfn.TEXTJOIN(CHAR(10), TRUE, IF(tblSeverityAnalysis[[#This Row],[CCCM]:[WASH]]=tblSeverityAnalysis[[#This Row],[Highest Severity]], tblSeverityAnalysis[[#Headers],[CCCM]:[WASH]], ""), "")), "")</f>
        <v>Education
Overarching Protection
WASH</v>
      </c>
      <c r="AK82" s="27" cm="1">
        <f t="array" ref="AK82">IFERROR(MAX(_xlfn._xlws.FILTER(tblSeverityAnalysis[[#This Row],[CCCM]:[WASH]], tblSeverityAnalysis[[#This Row],[CCCM]:[WASH]]&lt;tblSeverityAnalysis[[#This Row],[Highest Severity]])), "")</f>
        <v>3</v>
      </c>
      <c r="AL82" s="329" t="str" cm="1">
        <f t="array" ref="AL82">IFERROR(IF(tblSeverityAnalysis[[#This Row],[2nd Highest Severity]]="", "", _xlfn.TEXTJOIN(CHAR(10), TRUE, IF(tblSeverityAnalysis[[#This Row],[CCCM]:[WASH]]=tblSeverityAnalysis[[#This Row],[2nd Highest Severity]], tblSeverityAnalysis[[#Headers],[CCCM]:[WASH]], ""), "")), "")</f>
        <v>Food Security
Health</v>
      </c>
      <c r="AM82" s="135" t="str">
        <f>IFERROR(IF(AND(tblSeverityAnalysis[[#This Row],[5]] &lt;&gt; "", tblSeverityAnalysis[[#This Row],[5]]&gt;=sectors_sev_5), "Flagged", ""), "")</f>
        <v/>
      </c>
      <c r="AN82" s="136" t="str">
        <f>IFERROR(IF(AND(tblSeverityAnalysis[[#This Row],[Preliminary Intersectoral Severity based on overlap of sectoral deprivations]]=4, SUM(tblSeverityAnalysis[[#This Row],[ 4 ]:[5]])&gt;=sectors_sev_4), "Flagged", ""), "")</f>
        <v/>
      </c>
      <c r="AO82" s="136" t="str" cm="1">
        <f t="array" ref="AO8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2" s="350"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2" s="351"/>
      <c r="AR82" s="352"/>
      <c r="AS82" s="351"/>
      <c r="AT82" s="353">
        <f>COUNTIF(tblSeverityAnalysis[[#This Row],[1 sector in severity phase 5 '[modify the threshold']]:[Manual Flag]], "Flagged")</f>
        <v>0</v>
      </c>
      <c r="AU82" s="354">
        <f>tblSeverityAnalysis[[#This Row],[Preliminary Intersectoral Severity based on overlap of sectoral deprivations]]</f>
        <v>3</v>
      </c>
      <c r="AV82" s="63">
        <v>3</v>
      </c>
      <c r="AW82" s="432">
        <v>5</v>
      </c>
      <c r="AZ82" t="b">
        <f>tblSeverityAnalysis[[#This Row],[Preliminary Intersectoral Severity based on overlap of sectoral deprivations]]=tblSeverityAnalysis[[#This Row],[Final Severity]]</f>
        <v>1</v>
      </c>
    </row>
  </sheetData>
  <mergeCells count="14">
    <mergeCell ref="B1:J1"/>
    <mergeCell ref="AU2:AV2"/>
    <mergeCell ref="I2:J2"/>
    <mergeCell ref="W2:AA2"/>
    <mergeCell ref="AH2:AL2"/>
    <mergeCell ref="K1:AB1"/>
    <mergeCell ref="AC2:AE2"/>
    <mergeCell ref="AM2:AN2"/>
    <mergeCell ref="AC1:AF1"/>
    <mergeCell ref="AM1:AN1"/>
    <mergeCell ref="AO2:AP2"/>
    <mergeCell ref="B2:G2"/>
    <mergeCell ref="AF2:AG2"/>
    <mergeCell ref="AQ2:AS2"/>
  </mergeCells>
  <phoneticPr fontId="9" type="noConversion"/>
  <conditionalFormatting sqref="AM4:AR82">
    <cfRule type="containsText" dxfId="19" priority="2" operator="containsText" text="Flagged">
      <formula>NOT(ISERROR(SEARCH("Flagged",AM4)))</formula>
    </cfRule>
  </conditionalFormatting>
  <conditionalFormatting sqref="AZ4:AZ82">
    <cfRule type="cellIs" dxfId="18" priority="1" operator="equal">
      <formula>FALSE</formula>
    </cfRule>
  </conditionalFormatting>
  <dataValidations count="1">
    <dataValidation type="list" allowBlank="1" showInputMessage="1" showErrorMessage="1" sqref="AQ4:AR82" xr:uid="{191ACA1A-DBF7-4014-A670-173F33EF2F89}">
      <formula1>"Flagged, --"</formula1>
    </dataValidation>
  </dataValidation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4E67-7CED-42BF-AC5E-1C6B8531985E}">
  <sheetPr codeName="Sheet5">
    <tabColor rgb="FFBDD7EE"/>
  </sheetPr>
  <dimension ref="A1:AE82"/>
  <sheetViews>
    <sheetView showGridLines="0" topLeftCell="B1" zoomScaleNormal="100" workbookViewId="0">
      <pane ySplit="3" topLeftCell="A21" activePane="bottomLeft" state="frozen"/>
      <selection activeCell="B1" sqref="B1"/>
      <selection pane="bottomLeft" activeCell="U77" sqref="U77"/>
    </sheetView>
  </sheetViews>
  <sheetFormatPr defaultColWidth="8.578125" defaultRowHeight="14.4" x14ac:dyDescent="0.55000000000000004"/>
  <cols>
    <col min="1" max="1" width="7.68359375" style="68" hidden="1" customWidth="1"/>
    <col min="2" max="2" width="21.15625" style="14" bestFit="1" customWidth="1"/>
    <col min="3" max="3" width="12.15625" style="14" customWidth="1"/>
    <col min="4" max="4" width="21.15625" style="14" bestFit="1" customWidth="1"/>
    <col min="5" max="5" width="12.15625" style="14" customWidth="1"/>
    <col min="6" max="8" width="12.15625" style="14" hidden="1" customWidth="1"/>
    <col min="9" max="9" width="12.15625" style="15" customWidth="1"/>
    <col min="10" max="10" width="12.15625" style="15" hidden="1" customWidth="1"/>
    <col min="11" max="13" width="14.41796875" style="197" customWidth="1"/>
    <col min="14" max="14" width="13.578125" style="18" customWidth="1"/>
    <col min="15" max="16" width="14" style="112" customWidth="1"/>
    <col min="17" max="17" width="12.41796875" style="1" customWidth="1"/>
    <col min="18" max="19" width="13.578125" style="112" customWidth="1"/>
    <col min="20" max="21" width="14" style="18" customWidth="1"/>
    <col min="22" max="22" width="10.578125" style="1" customWidth="1"/>
    <col min="23" max="23" width="11.15625" style="1" customWidth="1"/>
    <col min="24" max="24" width="13.41796875" style="112" customWidth="1"/>
    <col min="25" max="27" width="13.41796875" style="1"/>
    <col min="28" max="28" width="13.41796875" style="112"/>
    <col min="29" max="29" width="13.41796875" style="1"/>
    <col min="30" max="30" width="20" style="15" bestFit="1" customWidth="1"/>
    <col min="31" max="31" width="46.15625" style="13" customWidth="1"/>
  </cols>
  <sheetData>
    <row r="1" spans="1:31" ht="14.7" thickBot="1" x14ac:dyDescent="0.6">
      <c r="A1" s="66"/>
      <c r="B1" s="20"/>
      <c r="C1" s="20"/>
      <c r="D1" s="20"/>
      <c r="E1" s="20"/>
      <c r="F1" s="20"/>
      <c r="G1" s="20"/>
      <c r="H1" s="20"/>
      <c r="I1" s="21"/>
      <c r="J1" s="21"/>
      <c r="K1" s="835" t="s">
        <v>197</v>
      </c>
      <c r="L1" s="835"/>
      <c r="M1" s="835"/>
      <c r="N1" s="835"/>
      <c r="O1" s="835"/>
      <c r="P1" s="835"/>
      <c r="Q1" s="835"/>
      <c r="R1" s="835"/>
      <c r="S1" s="835"/>
      <c r="T1" s="835"/>
      <c r="U1" s="835"/>
      <c r="V1" s="835"/>
      <c r="W1" s="835"/>
      <c r="X1" s="835"/>
      <c r="Y1" s="835"/>
      <c r="Z1" s="835"/>
      <c r="AA1" s="835"/>
      <c r="AB1"/>
      <c r="AC1"/>
      <c r="AD1"/>
      <c r="AE1"/>
    </row>
    <row r="2" spans="1:31" ht="15" thickTop="1" thickBot="1" x14ac:dyDescent="0.6">
      <c r="A2" s="60"/>
      <c r="B2" s="784" t="s">
        <v>61</v>
      </c>
      <c r="C2" s="784"/>
      <c r="D2" s="784"/>
      <c r="E2" s="784"/>
      <c r="F2" s="784"/>
      <c r="G2" s="784"/>
      <c r="H2" s="310"/>
      <c r="I2" s="785" t="s">
        <v>62</v>
      </c>
      <c r="J2" s="785"/>
      <c r="K2" s="785" t="s">
        <v>198</v>
      </c>
      <c r="L2" s="785"/>
      <c r="M2" s="785"/>
      <c r="N2" s="785"/>
      <c r="O2" s="785"/>
      <c r="P2" s="785"/>
      <c r="Q2" s="785"/>
      <c r="R2" s="785"/>
      <c r="S2" s="785"/>
      <c r="T2" s="785"/>
      <c r="U2" s="60"/>
      <c r="V2" s="785" t="s">
        <v>170</v>
      </c>
      <c r="W2" s="785"/>
      <c r="X2" s="785"/>
      <c r="Y2" s="785"/>
      <c r="Z2" s="785"/>
      <c r="AA2" s="785"/>
      <c r="AB2"/>
      <c r="AC2"/>
      <c r="AD2"/>
      <c r="AE2"/>
    </row>
    <row r="3" spans="1:31" ht="49.8" thickTop="1" thickBot="1" x14ac:dyDescent="0.6">
      <c r="A3" s="170" t="s">
        <v>74</v>
      </c>
      <c r="B3" s="169" t="s">
        <v>75</v>
      </c>
      <c r="C3" s="48" t="s">
        <v>76</v>
      </c>
      <c r="D3" s="48" t="s">
        <v>77</v>
      </c>
      <c r="E3" s="48" t="s">
        <v>78</v>
      </c>
      <c r="F3" s="48" t="s">
        <v>79</v>
      </c>
      <c r="G3" s="198" t="s">
        <v>80</v>
      </c>
      <c r="H3" s="48" t="s">
        <v>228</v>
      </c>
      <c r="I3" s="47" t="s">
        <v>431</v>
      </c>
      <c r="J3" s="49" t="s">
        <v>82</v>
      </c>
      <c r="K3" s="215" t="s">
        <v>199</v>
      </c>
      <c r="L3" s="216" t="s">
        <v>200</v>
      </c>
      <c r="M3" s="216" t="s">
        <v>201</v>
      </c>
      <c r="N3" s="48" t="s">
        <v>202</v>
      </c>
      <c r="O3" s="64" t="s">
        <v>203</v>
      </c>
      <c r="P3" s="64" t="s">
        <v>204</v>
      </c>
      <c r="Q3" s="48" t="s">
        <v>205</v>
      </c>
      <c r="R3" s="217" t="s">
        <v>206</v>
      </c>
      <c r="S3" s="217" t="s">
        <v>207</v>
      </c>
      <c r="T3" s="49" t="s">
        <v>208</v>
      </c>
      <c r="U3" s="303" t="s">
        <v>187</v>
      </c>
      <c r="V3" s="214" t="s">
        <v>209</v>
      </c>
      <c r="W3" s="113" t="s">
        <v>210</v>
      </c>
      <c r="X3" s="113" t="s">
        <v>211</v>
      </c>
      <c r="Y3" s="113" t="s">
        <v>212</v>
      </c>
      <c r="Z3" s="113" t="s">
        <v>213</v>
      </c>
      <c r="AA3" s="114" t="s">
        <v>214</v>
      </c>
      <c r="AB3"/>
      <c r="AC3"/>
      <c r="AD3"/>
      <c r="AE3"/>
    </row>
    <row r="4" spans="1:31" ht="14.7" thickTop="1" x14ac:dyDescent="0.55000000000000004">
      <c r="A4" s="1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SS0001</v>
      </c>
      <c r="B4" s="129" t="s">
        <v>233</v>
      </c>
      <c r="C4" s="106" t="s">
        <v>234</v>
      </c>
      <c r="D4" s="106" t="s">
        <v>233</v>
      </c>
      <c r="E4" s="106" t="s">
        <v>235</v>
      </c>
      <c r="F4" s="100"/>
      <c r="G4" s="37"/>
      <c r="H4" s="37"/>
      <c r="I4" s="102">
        <v>141329.39396965801</v>
      </c>
      <c r="J4" s="180"/>
      <c r="K4" s="196"/>
      <c r="L4" s="196"/>
      <c r="M4" s="196"/>
      <c r="N4" s="25" t="str" cm="1">
        <f t="array" ref="N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 s="28"/>
      <c r="P4" s="28"/>
      <c r="Q4" s="26" t="str" cm="1">
        <f t="array" ref="Q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 s="28"/>
      <c r="S4" s="28"/>
      <c r="T4" s="26"/>
      <c r="U4" s="26">
        <v>4</v>
      </c>
      <c r="V4" s="28"/>
      <c r="W4" s="28"/>
      <c r="X4" s="28"/>
      <c r="Y4" s="28"/>
      <c r="Z4" s="115"/>
      <c r="AA4" s="29" t="str" cm="1">
        <f t="array" ref="AA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4"/>
      <c r="AC4"/>
      <c r="AD4"/>
      <c r="AE4"/>
    </row>
    <row r="5" spans="1:31" x14ac:dyDescent="0.55000000000000004">
      <c r="A5" s="1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SS0101</v>
      </c>
      <c r="B5" s="129" t="s">
        <v>236</v>
      </c>
      <c r="C5" s="106" t="s">
        <v>237</v>
      </c>
      <c r="D5" s="106" t="s">
        <v>238</v>
      </c>
      <c r="E5" s="106" t="s">
        <v>239</v>
      </c>
      <c r="F5" s="100"/>
      <c r="G5" s="37"/>
      <c r="H5" s="37"/>
      <c r="I5" s="102">
        <v>482200.29294098128</v>
      </c>
      <c r="J5" s="180"/>
      <c r="K5" s="196"/>
      <c r="L5" s="196"/>
      <c r="M5" s="196"/>
      <c r="N5" s="25" t="str" cm="1">
        <f t="array" ref="N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 s="28"/>
      <c r="P5" s="28"/>
      <c r="Q5" s="26" t="str" cm="1">
        <f t="array" ref="Q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 s="28"/>
      <c r="S5" s="28"/>
      <c r="T5" s="26"/>
      <c r="U5" s="26">
        <v>3</v>
      </c>
      <c r="V5" s="28"/>
      <c r="W5" s="28"/>
      <c r="X5" s="28"/>
      <c r="Y5" s="28"/>
      <c r="Z5" s="115"/>
      <c r="AA5" s="29" t="str" cm="1">
        <f t="array" ref="AA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5"/>
      <c r="AC5"/>
      <c r="AD5"/>
      <c r="AE5"/>
    </row>
    <row r="6" spans="1:31" x14ac:dyDescent="0.55000000000000004">
      <c r="A6" s="1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SS0102</v>
      </c>
      <c r="B6" s="129" t="s">
        <v>236</v>
      </c>
      <c r="C6" s="106" t="s">
        <v>237</v>
      </c>
      <c r="D6" s="106" t="s">
        <v>240</v>
      </c>
      <c r="E6" s="106" t="s">
        <v>241</v>
      </c>
      <c r="F6" s="100"/>
      <c r="G6" s="37"/>
      <c r="H6" s="37"/>
      <c r="I6" s="102">
        <v>196436.45277793135</v>
      </c>
      <c r="J6" s="180"/>
      <c r="K6" s="196"/>
      <c r="L6" s="196"/>
      <c r="M6" s="196"/>
      <c r="N6" s="25" t="str" cm="1">
        <f t="array" ref="N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 s="28"/>
      <c r="P6" s="28"/>
      <c r="Q6" s="26" t="str" cm="1">
        <f t="array" ref="Q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 s="28"/>
      <c r="S6" s="28"/>
      <c r="T6" s="26"/>
      <c r="U6" s="26">
        <v>4</v>
      </c>
      <c r="V6" s="28"/>
      <c r="W6" s="28"/>
      <c r="X6" s="28"/>
      <c r="Y6" s="28"/>
      <c r="Z6" s="115"/>
      <c r="AA6" s="29" t="str" cm="1">
        <f t="array" ref="AA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6"/>
      <c r="AC6"/>
      <c r="AD6"/>
      <c r="AE6"/>
    </row>
    <row r="7" spans="1:31" x14ac:dyDescent="0.55000000000000004">
      <c r="A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SS0103</v>
      </c>
      <c r="B7" s="372" t="s">
        <v>236</v>
      </c>
      <c r="C7" s="218" t="s">
        <v>237</v>
      </c>
      <c r="D7" s="218" t="s">
        <v>242</v>
      </c>
      <c r="E7" s="105" t="s">
        <v>243</v>
      </c>
      <c r="F7" s="100"/>
      <c r="G7" s="34"/>
      <c r="H7" s="335"/>
      <c r="I7" s="97">
        <v>95788.374303605655</v>
      </c>
      <c r="J7" s="373"/>
      <c r="K7" s="375"/>
      <c r="L7" s="375"/>
      <c r="M7" s="375"/>
      <c r="N7" s="341" t="str" cm="1">
        <f t="array" ref="N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 s="38"/>
      <c r="P7" s="28"/>
      <c r="Q7" s="326" t="str" cm="1">
        <f t="array" ref="Q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 s="376"/>
      <c r="S7" s="28"/>
      <c r="T7" s="341"/>
      <c r="U7" s="377">
        <v>3</v>
      </c>
      <c r="V7" s="39"/>
      <c r="W7" s="39"/>
      <c r="X7" s="38"/>
      <c r="Y7" s="39"/>
      <c r="Z7" s="39"/>
      <c r="AA7" s="378" t="str" cm="1">
        <f t="array" ref="AA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 spans="1:31" x14ac:dyDescent="0.55000000000000004">
      <c r="A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SS0104</v>
      </c>
      <c r="B8" s="372" t="s">
        <v>236</v>
      </c>
      <c r="C8" s="218" t="s">
        <v>237</v>
      </c>
      <c r="D8" s="218" t="s">
        <v>244</v>
      </c>
      <c r="E8" s="105" t="s">
        <v>245</v>
      </c>
      <c r="F8" s="100"/>
      <c r="G8" s="34"/>
      <c r="H8" s="335"/>
      <c r="I8" s="97">
        <v>99831.099870752791</v>
      </c>
      <c r="J8" s="373"/>
      <c r="K8" s="375"/>
      <c r="L8" s="375"/>
      <c r="M8" s="375"/>
      <c r="N8" s="341" t="str" cm="1">
        <f t="array" ref="N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 s="38"/>
      <c r="P8" s="28"/>
      <c r="Q8" s="326" t="str" cm="1">
        <f t="array" ref="Q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 s="376"/>
      <c r="S8" s="28"/>
      <c r="T8" s="341"/>
      <c r="U8" s="377">
        <v>3</v>
      </c>
      <c r="V8" s="39"/>
      <c r="W8" s="39"/>
      <c r="X8" s="38"/>
      <c r="Y8" s="39"/>
      <c r="Z8" s="39"/>
      <c r="AA8" s="378" t="str" cm="1">
        <f t="array" ref="AA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 spans="1:31" x14ac:dyDescent="0.55000000000000004">
      <c r="A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SS0105</v>
      </c>
      <c r="B9" s="372" t="s">
        <v>236</v>
      </c>
      <c r="C9" s="218" t="s">
        <v>237</v>
      </c>
      <c r="D9" s="218" t="s">
        <v>246</v>
      </c>
      <c r="E9" s="105" t="s">
        <v>247</v>
      </c>
      <c r="F9" s="100"/>
      <c r="G9" s="34"/>
      <c r="H9" s="335"/>
      <c r="I9" s="97">
        <v>213238.43997046983</v>
      </c>
      <c r="J9" s="373"/>
      <c r="K9" s="375"/>
      <c r="L9" s="375"/>
      <c r="M9" s="375"/>
      <c r="N9" s="341" t="str" cm="1">
        <f t="array" ref="N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9" s="38"/>
      <c r="P9" s="28"/>
      <c r="Q9" s="326" t="str" cm="1">
        <f t="array" ref="Q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9" s="376"/>
      <c r="S9" s="28"/>
      <c r="T9" s="341"/>
      <c r="U9" s="377">
        <v>3</v>
      </c>
      <c r="V9" s="39"/>
      <c r="W9" s="39"/>
      <c r="X9" s="38"/>
      <c r="Y9" s="39"/>
      <c r="Z9" s="39"/>
      <c r="AA9" s="378" t="str" cm="1">
        <f t="array" ref="AA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 spans="1:31" x14ac:dyDescent="0.55000000000000004">
      <c r="A1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SS0106</v>
      </c>
      <c r="B10" s="372" t="s">
        <v>236</v>
      </c>
      <c r="C10" s="218" t="s">
        <v>237</v>
      </c>
      <c r="D10" s="218" t="s">
        <v>248</v>
      </c>
      <c r="E10" s="105" t="s">
        <v>249</v>
      </c>
      <c r="F10" s="100"/>
      <c r="G10" s="34"/>
      <c r="H10" s="335"/>
      <c r="I10" s="97">
        <v>261511.65373370735</v>
      </c>
      <c r="J10" s="373"/>
      <c r="K10" s="375"/>
      <c r="L10" s="375"/>
      <c r="M10" s="375"/>
      <c r="N10" s="341" t="str" cm="1">
        <f t="array" ref="N1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0" s="38"/>
      <c r="P10" s="28"/>
      <c r="Q10" s="326" t="str" cm="1">
        <f t="array" ref="Q1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0" s="376"/>
      <c r="S10" s="28"/>
      <c r="T10" s="341"/>
      <c r="U10" s="377">
        <v>3</v>
      </c>
      <c r="V10" s="39"/>
      <c r="W10" s="39"/>
      <c r="X10" s="38"/>
      <c r="Y10" s="39"/>
      <c r="Z10" s="39"/>
      <c r="AA10" s="378" t="str" cm="1">
        <f t="array" ref="AA1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 spans="1:31" x14ac:dyDescent="0.55000000000000004">
      <c r="A1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SS0201</v>
      </c>
      <c r="B11" s="372" t="s">
        <v>250</v>
      </c>
      <c r="C11" s="218" t="s">
        <v>251</v>
      </c>
      <c r="D11" s="218" t="s">
        <v>252</v>
      </c>
      <c r="E11" s="105" t="s">
        <v>253</v>
      </c>
      <c r="F11" s="100"/>
      <c r="G11" s="34"/>
      <c r="H11" s="335"/>
      <c r="I11" s="97">
        <v>86674.61458034387</v>
      </c>
      <c r="J11" s="373"/>
      <c r="K11" s="375"/>
      <c r="L11" s="375"/>
      <c r="M11" s="375"/>
      <c r="N11" s="341" t="str" cm="1">
        <f t="array" ref="N1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1" s="38"/>
      <c r="P11" s="28"/>
      <c r="Q11" s="326" t="str" cm="1">
        <f t="array" ref="Q1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1" s="376"/>
      <c r="S11" s="28"/>
      <c r="T11" s="341"/>
      <c r="U11" s="377">
        <v>3</v>
      </c>
      <c r="V11" s="39"/>
      <c r="W11" s="39"/>
      <c r="X11" s="38"/>
      <c r="Y11" s="39"/>
      <c r="Z11" s="39"/>
      <c r="AA11" s="378" t="str" cm="1">
        <f t="array" ref="AA1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 spans="1:31" x14ac:dyDescent="0.55000000000000004">
      <c r="A1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SS0202</v>
      </c>
      <c r="B12" s="372" t="s">
        <v>250</v>
      </c>
      <c r="C12" s="218" t="s">
        <v>251</v>
      </c>
      <c r="D12" s="218" t="s">
        <v>254</v>
      </c>
      <c r="E12" s="105" t="s">
        <v>255</v>
      </c>
      <c r="F12" s="100"/>
      <c r="G12" s="34"/>
      <c r="H12" s="335"/>
      <c r="I12" s="97">
        <v>89035.196354967542</v>
      </c>
      <c r="J12" s="373"/>
      <c r="K12" s="375"/>
      <c r="L12" s="375"/>
      <c r="M12" s="375"/>
      <c r="N12" s="341" t="str" cm="1">
        <f t="array" ref="N1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2" s="38"/>
      <c r="P12" s="28"/>
      <c r="Q12" s="326" t="str" cm="1">
        <f t="array" ref="Q1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2" s="376"/>
      <c r="S12" s="28"/>
      <c r="T12" s="341"/>
      <c r="U12" s="377">
        <v>3</v>
      </c>
      <c r="V12" s="39"/>
      <c r="W12" s="39"/>
      <c r="X12" s="38"/>
      <c r="Y12" s="39"/>
      <c r="Z12" s="39"/>
      <c r="AA12" s="378" t="str" cm="1">
        <f t="array" ref="AA1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 spans="1:31" x14ac:dyDescent="0.55000000000000004">
      <c r="A1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SS0203</v>
      </c>
      <c r="B13" s="372" t="s">
        <v>250</v>
      </c>
      <c r="C13" s="218" t="s">
        <v>251</v>
      </c>
      <c r="D13" s="218" t="s">
        <v>256</v>
      </c>
      <c r="E13" s="105" t="s">
        <v>257</v>
      </c>
      <c r="F13" s="100"/>
      <c r="G13" s="34"/>
      <c r="H13" s="335"/>
      <c r="I13" s="97">
        <v>139119.45734125734</v>
      </c>
      <c r="J13" s="373"/>
      <c r="K13" s="375"/>
      <c r="L13" s="375"/>
      <c r="M13" s="375"/>
      <c r="N13" s="341" t="str" cm="1">
        <f t="array" ref="N1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3" s="38"/>
      <c r="P13" s="28"/>
      <c r="Q13" s="326" t="str" cm="1">
        <f t="array" ref="Q1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3" s="376"/>
      <c r="S13" s="28"/>
      <c r="T13" s="341"/>
      <c r="U13" s="377">
        <v>3</v>
      </c>
      <c r="V13" s="39"/>
      <c r="W13" s="39"/>
      <c r="X13" s="38"/>
      <c r="Y13" s="39"/>
      <c r="Z13" s="39"/>
      <c r="AA13" s="378" t="str" cm="1">
        <f t="array" ref="AA1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 spans="1:31" x14ac:dyDescent="0.55000000000000004">
      <c r="A1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SS0204</v>
      </c>
      <c r="B14" s="372" t="s">
        <v>250</v>
      </c>
      <c r="C14" s="218" t="s">
        <v>251</v>
      </c>
      <c r="D14" s="218" t="s">
        <v>258</v>
      </c>
      <c r="E14" s="105" t="s">
        <v>259</v>
      </c>
      <c r="F14" s="100"/>
      <c r="G14" s="34"/>
      <c r="H14" s="335"/>
      <c r="I14" s="97">
        <v>129499.75008421659</v>
      </c>
      <c r="J14" s="373"/>
      <c r="K14" s="375"/>
      <c r="L14" s="375"/>
      <c r="M14" s="375"/>
      <c r="N14" s="341" t="str" cm="1">
        <f t="array" ref="N1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4" s="38"/>
      <c r="P14" s="28"/>
      <c r="Q14" s="326" t="str" cm="1">
        <f t="array" ref="Q1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4" s="376"/>
      <c r="S14" s="28"/>
      <c r="T14" s="341"/>
      <c r="U14" s="377">
        <v>3</v>
      </c>
      <c r="V14" s="39"/>
      <c r="W14" s="39"/>
      <c r="X14" s="38"/>
      <c r="Y14" s="39"/>
      <c r="Z14" s="39"/>
      <c r="AA14" s="378" t="str" cm="1">
        <f t="array" ref="AA1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5" spans="1:31" x14ac:dyDescent="0.55000000000000004">
      <c r="A1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SS0205</v>
      </c>
      <c r="B15" s="372" t="s">
        <v>250</v>
      </c>
      <c r="C15" s="218" t="s">
        <v>251</v>
      </c>
      <c r="D15" s="218" t="s">
        <v>260</v>
      </c>
      <c r="E15" s="105" t="s">
        <v>261</v>
      </c>
      <c r="F15" s="100"/>
      <c r="G15" s="34"/>
      <c r="H15" s="335"/>
      <c r="I15" s="97">
        <v>86328.116686891983</v>
      </c>
      <c r="J15" s="373"/>
      <c r="K15" s="375"/>
      <c r="L15" s="375"/>
      <c r="M15" s="375"/>
      <c r="N15" s="341" t="str" cm="1">
        <f t="array" ref="N1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5" s="38"/>
      <c r="P15" s="28"/>
      <c r="Q15" s="326" t="str" cm="1">
        <f t="array" ref="Q1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5" s="376"/>
      <c r="S15" s="28"/>
      <c r="T15" s="341"/>
      <c r="U15" s="377">
        <v>3</v>
      </c>
      <c r="V15" s="39"/>
      <c r="W15" s="39"/>
      <c r="X15" s="38"/>
      <c r="Y15" s="39"/>
      <c r="Z15" s="39"/>
      <c r="AA15" s="378" t="str" cm="1">
        <f t="array" ref="AA1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6" spans="1:31" x14ac:dyDescent="0.55000000000000004">
      <c r="A1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SS0206</v>
      </c>
      <c r="B16" s="372" t="s">
        <v>250</v>
      </c>
      <c r="C16" s="218" t="s">
        <v>251</v>
      </c>
      <c r="D16" s="218" t="s">
        <v>262</v>
      </c>
      <c r="E16" s="105" t="s">
        <v>263</v>
      </c>
      <c r="F16" s="100"/>
      <c r="G16" s="34"/>
      <c r="H16" s="335"/>
      <c r="I16" s="97">
        <v>133711.97360901389</v>
      </c>
      <c r="J16" s="373"/>
      <c r="K16" s="375"/>
      <c r="L16" s="375"/>
      <c r="M16" s="375"/>
      <c r="N16" s="341" t="str" cm="1">
        <f t="array" ref="N1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6" s="38"/>
      <c r="P16" s="28"/>
      <c r="Q16" s="326" t="str" cm="1">
        <f t="array" ref="Q1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6" s="376"/>
      <c r="S16" s="28"/>
      <c r="T16" s="341"/>
      <c r="U16" s="377">
        <v>3</v>
      </c>
      <c r="V16" s="39"/>
      <c r="W16" s="39"/>
      <c r="X16" s="38"/>
      <c r="Y16" s="39"/>
      <c r="Z16" s="39"/>
      <c r="AA16" s="378" t="str" cm="1">
        <f t="array" ref="AA1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7" spans="1:27" x14ac:dyDescent="0.55000000000000004">
      <c r="A1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SS0207</v>
      </c>
      <c r="B17" s="372" t="s">
        <v>250</v>
      </c>
      <c r="C17" s="218" t="s">
        <v>251</v>
      </c>
      <c r="D17" s="218" t="s">
        <v>264</v>
      </c>
      <c r="E17" s="105" t="s">
        <v>265</v>
      </c>
      <c r="F17" s="100"/>
      <c r="G17" s="34"/>
      <c r="H17" s="335"/>
      <c r="I17" s="97">
        <v>232573.69998473572</v>
      </c>
      <c r="J17" s="373"/>
      <c r="K17" s="375"/>
      <c r="L17" s="375"/>
      <c r="M17" s="375"/>
      <c r="N17" s="341" t="str" cm="1">
        <f t="array" ref="N1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7" s="38"/>
      <c r="P17" s="28"/>
      <c r="Q17" s="326" t="str" cm="1">
        <f t="array" ref="Q1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7" s="376"/>
      <c r="S17" s="28"/>
      <c r="T17" s="341"/>
      <c r="U17" s="377">
        <v>3</v>
      </c>
      <c r="V17" s="39"/>
      <c r="W17" s="39"/>
      <c r="X17" s="38"/>
      <c r="Y17" s="39"/>
      <c r="Z17" s="39"/>
      <c r="AA17" s="378" t="str" cm="1">
        <f t="array" ref="AA1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8" spans="1:27" x14ac:dyDescent="0.55000000000000004">
      <c r="A1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SS0208</v>
      </c>
      <c r="B18" s="372" t="s">
        <v>250</v>
      </c>
      <c r="C18" s="218" t="s">
        <v>251</v>
      </c>
      <c r="D18" s="218" t="s">
        <v>266</v>
      </c>
      <c r="E18" s="105" t="s">
        <v>267</v>
      </c>
      <c r="F18" s="100"/>
      <c r="G18" s="34"/>
      <c r="H18" s="335"/>
      <c r="I18" s="97">
        <v>53904.726175968528</v>
      </c>
      <c r="J18" s="373"/>
      <c r="K18" s="375"/>
      <c r="L18" s="375"/>
      <c r="M18" s="375"/>
      <c r="N18" s="341" t="str" cm="1">
        <f t="array" ref="N1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8" s="38"/>
      <c r="P18" s="28"/>
      <c r="Q18" s="326" t="str" cm="1">
        <f t="array" ref="Q1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8" s="376"/>
      <c r="S18" s="28"/>
      <c r="T18" s="341"/>
      <c r="U18" s="377">
        <v>3</v>
      </c>
      <c r="V18" s="39"/>
      <c r="W18" s="39"/>
      <c r="X18" s="38"/>
      <c r="Y18" s="39"/>
      <c r="Z18" s="39"/>
      <c r="AA18" s="378" t="str" cm="1">
        <f t="array" ref="AA1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9" spans="1:27" x14ac:dyDescent="0.55000000000000004">
      <c r="A1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SS0301</v>
      </c>
      <c r="B19" s="372" t="s">
        <v>268</v>
      </c>
      <c r="C19" s="218" t="s">
        <v>269</v>
      </c>
      <c r="D19" s="218" t="s">
        <v>270</v>
      </c>
      <c r="E19" s="105" t="s">
        <v>271</v>
      </c>
      <c r="F19" s="100"/>
      <c r="G19" s="34"/>
      <c r="H19" s="335"/>
      <c r="I19" s="97">
        <v>196384.00376528606</v>
      </c>
      <c r="J19" s="373"/>
      <c r="K19" s="375"/>
      <c r="L19" s="375"/>
      <c r="M19" s="375"/>
      <c r="N19" s="341" t="str" cm="1">
        <f t="array" ref="N1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19" s="38"/>
      <c r="P19" s="28"/>
      <c r="Q19" s="326" t="str" cm="1">
        <f t="array" ref="Q1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19" s="376"/>
      <c r="S19" s="28"/>
      <c r="T19" s="341"/>
      <c r="U19" s="377">
        <v>4</v>
      </c>
      <c r="V19" s="39"/>
      <c r="W19" s="39"/>
      <c r="X19" s="38"/>
      <c r="Y19" s="39"/>
      <c r="Z19" s="39"/>
      <c r="AA19" s="378" t="str" cm="1">
        <f t="array" ref="AA1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0" spans="1:27" x14ac:dyDescent="0.55000000000000004">
      <c r="A2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SS0302</v>
      </c>
      <c r="B20" s="372" t="s">
        <v>268</v>
      </c>
      <c r="C20" s="218" t="s">
        <v>269</v>
      </c>
      <c r="D20" s="218" t="s">
        <v>272</v>
      </c>
      <c r="E20" s="105" t="s">
        <v>273</v>
      </c>
      <c r="F20" s="100"/>
      <c r="G20" s="34"/>
      <c r="H20" s="335"/>
      <c r="I20" s="97">
        <v>167301.00095347216</v>
      </c>
      <c r="J20" s="373"/>
      <c r="K20" s="375"/>
      <c r="L20" s="375"/>
      <c r="M20" s="375"/>
      <c r="N20" s="341" t="str" cm="1">
        <f t="array" ref="N2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0" s="38"/>
      <c r="P20" s="28"/>
      <c r="Q20" s="326" t="str" cm="1">
        <f t="array" ref="Q2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0" s="376"/>
      <c r="S20" s="28"/>
      <c r="T20" s="341"/>
      <c r="U20" s="377">
        <v>4</v>
      </c>
      <c r="V20" s="39"/>
      <c r="W20" s="39"/>
      <c r="X20" s="38"/>
      <c r="Y20" s="39"/>
      <c r="Z20" s="39"/>
      <c r="AA20" s="378" t="str" cm="1">
        <f t="array" ref="AA2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1" spans="1:27" x14ac:dyDescent="0.55000000000000004">
      <c r="A2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SS0303</v>
      </c>
      <c r="B21" s="372" t="s">
        <v>268</v>
      </c>
      <c r="C21" s="218" t="s">
        <v>269</v>
      </c>
      <c r="D21" s="218" t="s">
        <v>274</v>
      </c>
      <c r="E21" s="105" t="s">
        <v>275</v>
      </c>
      <c r="F21" s="100"/>
      <c r="G21" s="34"/>
      <c r="H21" s="335"/>
      <c r="I21" s="97">
        <v>302365.75595617067</v>
      </c>
      <c r="J21" s="373"/>
      <c r="K21" s="375"/>
      <c r="L21" s="375"/>
      <c r="M21" s="375"/>
      <c r="N21" s="341" t="str" cm="1">
        <f t="array" ref="N2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1" s="38"/>
      <c r="P21" s="28"/>
      <c r="Q21" s="326" t="str" cm="1">
        <f t="array" ref="Q2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1" s="376"/>
      <c r="S21" s="28"/>
      <c r="T21" s="341"/>
      <c r="U21" s="377">
        <v>3</v>
      </c>
      <c r="V21" s="39"/>
      <c r="W21" s="39"/>
      <c r="X21" s="38"/>
      <c r="Y21" s="39"/>
      <c r="Z21" s="39"/>
      <c r="AA21" s="378" t="str" cm="1">
        <f t="array" ref="AA2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2" spans="1:27" x14ac:dyDescent="0.55000000000000004">
      <c r="A2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SS0304</v>
      </c>
      <c r="B22" s="372" t="s">
        <v>268</v>
      </c>
      <c r="C22" s="218" t="s">
        <v>269</v>
      </c>
      <c r="D22" s="218" t="s">
        <v>276</v>
      </c>
      <c r="E22" s="105" t="s">
        <v>277</v>
      </c>
      <c r="F22" s="100"/>
      <c r="G22" s="34"/>
      <c r="H22" s="335"/>
      <c r="I22" s="97">
        <v>103001.59087551065</v>
      </c>
      <c r="J22" s="373"/>
      <c r="K22" s="375"/>
      <c r="L22" s="375"/>
      <c r="M22" s="375"/>
      <c r="N22" s="341" t="str" cm="1">
        <f t="array" ref="N2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2" s="38"/>
      <c r="P22" s="28"/>
      <c r="Q22" s="326" t="str" cm="1">
        <f t="array" ref="Q2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2" s="376"/>
      <c r="S22" s="28"/>
      <c r="T22" s="341"/>
      <c r="U22" s="377">
        <v>4</v>
      </c>
      <c r="V22" s="39"/>
      <c r="W22" s="39"/>
      <c r="X22" s="38"/>
      <c r="Y22" s="39"/>
      <c r="Z22" s="39"/>
      <c r="AA22" s="378" t="str" cm="1">
        <f t="array" ref="AA2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3" spans="1:27" x14ac:dyDescent="0.55000000000000004">
      <c r="A2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SS0305</v>
      </c>
      <c r="B23" s="372" t="s">
        <v>268</v>
      </c>
      <c r="C23" s="218" t="s">
        <v>269</v>
      </c>
      <c r="D23" s="218" t="s">
        <v>278</v>
      </c>
      <c r="E23" s="105" t="s">
        <v>279</v>
      </c>
      <c r="F23" s="100"/>
      <c r="G23" s="34"/>
      <c r="H23" s="335"/>
      <c r="I23" s="97">
        <v>182006.16058893915</v>
      </c>
      <c r="J23" s="373"/>
      <c r="K23" s="375"/>
      <c r="L23" s="375"/>
      <c r="M23" s="375"/>
      <c r="N23" s="341" t="str" cm="1">
        <f t="array" ref="N2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3" s="38"/>
      <c r="P23" s="28"/>
      <c r="Q23" s="326" t="str" cm="1">
        <f t="array" ref="Q2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3" s="376"/>
      <c r="S23" s="28"/>
      <c r="T23" s="341"/>
      <c r="U23" s="377">
        <v>4</v>
      </c>
      <c r="V23" s="39"/>
      <c r="W23" s="39"/>
      <c r="X23" s="38"/>
      <c r="Y23" s="39"/>
      <c r="Z23" s="39"/>
      <c r="AA23" s="378" t="str" cm="1">
        <f t="array" ref="AA2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4" spans="1:27" x14ac:dyDescent="0.55000000000000004">
      <c r="A2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SS0306</v>
      </c>
      <c r="B24" s="372" t="s">
        <v>268</v>
      </c>
      <c r="C24" s="218" t="s">
        <v>269</v>
      </c>
      <c r="D24" s="218" t="s">
        <v>280</v>
      </c>
      <c r="E24" s="105" t="s">
        <v>281</v>
      </c>
      <c r="F24" s="100"/>
      <c r="G24" s="34"/>
      <c r="H24" s="335"/>
      <c r="I24" s="97">
        <v>195605.90918003512</v>
      </c>
      <c r="J24" s="373"/>
      <c r="K24" s="375"/>
      <c r="L24" s="375"/>
      <c r="M24" s="375"/>
      <c r="N24" s="341" t="str" cm="1">
        <f t="array" ref="N2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4" s="38"/>
      <c r="P24" s="28"/>
      <c r="Q24" s="326" t="str" cm="1">
        <f t="array" ref="Q2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4" s="376"/>
      <c r="S24" s="28"/>
      <c r="T24" s="341"/>
      <c r="U24" s="377">
        <v>5</v>
      </c>
      <c r="V24" s="39"/>
      <c r="W24" s="39"/>
      <c r="X24" s="38"/>
      <c r="Y24" s="39"/>
      <c r="Z24" s="39"/>
      <c r="AA24" s="378" t="str" cm="1">
        <f t="array" ref="AA2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5" spans="1:27" x14ac:dyDescent="0.55000000000000004">
      <c r="A2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SS0307</v>
      </c>
      <c r="B25" s="372" t="s">
        <v>268</v>
      </c>
      <c r="C25" s="218" t="s">
        <v>269</v>
      </c>
      <c r="D25" s="218" t="s">
        <v>282</v>
      </c>
      <c r="E25" s="105" t="s">
        <v>283</v>
      </c>
      <c r="F25" s="100"/>
      <c r="G25" s="34"/>
      <c r="H25" s="335"/>
      <c r="I25" s="97">
        <v>131161.38687204078</v>
      </c>
      <c r="J25" s="373"/>
      <c r="K25" s="375"/>
      <c r="L25" s="375"/>
      <c r="M25" s="375"/>
      <c r="N25" s="341" t="str" cm="1">
        <f t="array" ref="N2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5" s="38"/>
      <c r="P25" s="28"/>
      <c r="Q25" s="326" t="str" cm="1">
        <f t="array" ref="Q2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5" s="376"/>
      <c r="S25" s="28"/>
      <c r="T25" s="341"/>
      <c r="U25" s="377">
        <v>3</v>
      </c>
      <c r="V25" s="39"/>
      <c r="W25" s="39"/>
      <c r="X25" s="38"/>
      <c r="Y25" s="39"/>
      <c r="Z25" s="39"/>
      <c r="AA25" s="378" t="str" cm="1">
        <f t="array" ref="AA2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6" spans="1:27" x14ac:dyDescent="0.55000000000000004">
      <c r="A2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SS0308</v>
      </c>
      <c r="B26" s="372" t="s">
        <v>268</v>
      </c>
      <c r="C26" s="218" t="s">
        <v>269</v>
      </c>
      <c r="D26" s="218" t="s">
        <v>284</v>
      </c>
      <c r="E26" s="105" t="s">
        <v>285</v>
      </c>
      <c r="F26" s="100"/>
      <c r="G26" s="34"/>
      <c r="H26" s="335"/>
      <c r="I26" s="97">
        <v>197057.09353397274</v>
      </c>
      <c r="J26" s="373"/>
      <c r="K26" s="375"/>
      <c r="L26" s="375"/>
      <c r="M26" s="375"/>
      <c r="N26" s="341" t="str" cm="1">
        <f t="array" ref="N2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6" s="38"/>
      <c r="P26" s="28"/>
      <c r="Q26" s="326" t="str" cm="1">
        <f t="array" ref="Q2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6" s="376"/>
      <c r="S26" s="28"/>
      <c r="T26" s="341"/>
      <c r="U26" s="377">
        <v>4</v>
      </c>
      <c r="V26" s="39"/>
      <c r="W26" s="39"/>
      <c r="X26" s="38"/>
      <c r="Y26" s="39"/>
      <c r="Z26" s="39"/>
      <c r="AA26" s="378" t="str" cm="1">
        <f t="array" ref="AA2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7" spans="1:27" x14ac:dyDescent="0.55000000000000004">
      <c r="A2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SS0309</v>
      </c>
      <c r="B27" s="372" t="s">
        <v>268</v>
      </c>
      <c r="C27" s="218" t="s">
        <v>269</v>
      </c>
      <c r="D27" s="218" t="s">
        <v>286</v>
      </c>
      <c r="E27" s="105" t="s">
        <v>287</v>
      </c>
      <c r="F27" s="100"/>
      <c r="G27" s="34"/>
      <c r="H27" s="335"/>
      <c r="I27" s="97">
        <v>68798.400803131444</v>
      </c>
      <c r="J27" s="373"/>
      <c r="K27" s="375"/>
      <c r="L27" s="375"/>
      <c r="M27" s="375"/>
      <c r="N27" s="341" t="str" cm="1">
        <f t="array" ref="N2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7" s="38"/>
      <c r="P27" s="28"/>
      <c r="Q27" s="326" t="str" cm="1">
        <f t="array" ref="Q2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7" s="376"/>
      <c r="S27" s="28"/>
      <c r="T27" s="341"/>
      <c r="U27" s="377">
        <v>4</v>
      </c>
      <c r="V27" s="39"/>
      <c r="W27" s="39"/>
      <c r="X27" s="38"/>
      <c r="Y27" s="39"/>
      <c r="Z27" s="39"/>
      <c r="AA27" s="378" t="str" cm="1">
        <f t="array" ref="AA2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8" spans="1:27" x14ac:dyDescent="0.55000000000000004">
      <c r="A2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SS0310</v>
      </c>
      <c r="B28" s="372" t="s">
        <v>268</v>
      </c>
      <c r="C28" s="218" t="s">
        <v>269</v>
      </c>
      <c r="D28" s="218" t="s">
        <v>288</v>
      </c>
      <c r="E28" s="105" t="s">
        <v>289</v>
      </c>
      <c r="F28" s="100"/>
      <c r="G28" s="34"/>
      <c r="H28" s="335"/>
      <c r="I28" s="97">
        <v>108116.33436816021</v>
      </c>
      <c r="J28" s="373"/>
      <c r="K28" s="375"/>
      <c r="L28" s="375"/>
      <c r="M28" s="375"/>
      <c r="N28" s="341" t="str" cm="1">
        <f t="array" ref="N2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8" s="38"/>
      <c r="P28" s="28"/>
      <c r="Q28" s="326" t="str" cm="1">
        <f t="array" ref="Q2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8" s="376"/>
      <c r="S28" s="28"/>
      <c r="T28" s="341"/>
      <c r="U28" s="377">
        <v>4</v>
      </c>
      <c r="V28" s="39"/>
      <c r="W28" s="39"/>
      <c r="X28" s="38"/>
      <c r="Y28" s="39"/>
      <c r="Z28" s="39"/>
      <c r="AA28" s="378" t="str" cm="1">
        <f t="array" ref="AA2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9" spans="1:27" x14ac:dyDescent="0.55000000000000004">
      <c r="A2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SS0311</v>
      </c>
      <c r="B29" s="372" t="s">
        <v>268</v>
      </c>
      <c r="C29" s="218" t="s">
        <v>269</v>
      </c>
      <c r="D29" s="218" t="s">
        <v>290</v>
      </c>
      <c r="E29" s="105" t="s">
        <v>291</v>
      </c>
      <c r="F29" s="100"/>
      <c r="G29" s="34"/>
      <c r="H29" s="335"/>
      <c r="I29" s="97">
        <v>166091.83456845721</v>
      </c>
      <c r="J29" s="373"/>
      <c r="K29" s="375"/>
      <c r="L29" s="375"/>
      <c r="M29" s="375"/>
      <c r="N29" s="341" t="str" cm="1">
        <f t="array" ref="N2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29" s="38"/>
      <c r="P29" s="28"/>
      <c r="Q29" s="326" t="str" cm="1">
        <f t="array" ref="Q2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29" s="376"/>
      <c r="S29" s="28"/>
      <c r="T29" s="341"/>
      <c r="U29" s="377">
        <v>4</v>
      </c>
      <c r="V29" s="39"/>
      <c r="W29" s="39"/>
      <c r="X29" s="38"/>
      <c r="Y29" s="39"/>
      <c r="Z29" s="39"/>
      <c r="AA29" s="378" t="str" cm="1">
        <f t="array" ref="AA2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0" spans="1:27" x14ac:dyDescent="0.55000000000000004">
      <c r="A3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SS0401</v>
      </c>
      <c r="B30" s="372" t="s">
        <v>292</v>
      </c>
      <c r="C30" s="218" t="s">
        <v>293</v>
      </c>
      <c r="D30" s="218" t="s">
        <v>294</v>
      </c>
      <c r="E30" s="105" t="s">
        <v>295</v>
      </c>
      <c r="F30" s="100"/>
      <c r="G30" s="34"/>
      <c r="H30" s="335"/>
      <c r="I30" s="97">
        <v>125606.52691156935</v>
      </c>
      <c r="J30" s="373"/>
      <c r="K30" s="375"/>
      <c r="L30" s="375"/>
      <c r="M30" s="375"/>
      <c r="N30" s="341" t="str" cm="1">
        <f t="array" ref="N3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0" s="38"/>
      <c r="P30" s="28"/>
      <c r="Q30" s="326" t="str" cm="1">
        <f t="array" ref="Q3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0" s="376"/>
      <c r="S30" s="28"/>
      <c r="T30" s="341"/>
      <c r="U30" s="377">
        <v>3</v>
      </c>
      <c r="V30" s="39"/>
      <c r="W30" s="39"/>
      <c r="X30" s="38"/>
      <c r="Y30" s="39"/>
      <c r="Z30" s="39"/>
      <c r="AA30" s="378" t="str" cm="1">
        <f t="array" ref="AA3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1" spans="1:27" x14ac:dyDescent="0.55000000000000004">
      <c r="A3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SS0402</v>
      </c>
      <c r="B31" s="372" t="s">
        <v>292</v>
      </c>
      <c r="C31" s="218" t="s">
        <v>293</v>
      </c>
      <c r="D31" s="218" t="s">
        <v>296</v>
      </c>
      <c r="E31" s="105" t="s">
        <v>297</v>
      </c>
      <c r="F31" s="100"/>
      <c r="G31" s="34"/>
      <c r="H31" s="335"/>
      <c r="I31" s="97">
        <v>150428.95184896226</v>
      </c>
      <c r="J31" s="373"/>
      <c r="K31" s="375"/>
      <c r="L31" s="375"/>
      <c r="M31" s="375"/>
      <c r="N31" s="341" t="str" cm="1">
        <f t="array" ref="N3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1" s="38"/>
      <c r="P31" s="28"/>
      <c r="Q31" s="326" t="str" cm="1">
        <f t="array" ref="Q3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1" s="376"/>
      <c r="S31" s="28"/>
      <c r="T31" s="341"/>
      <c r="U31" s="377">
        <v>3</v>
      </c>
      <c r="V31" s="39"/>
      <c r="W31" s="39"/>
      <c r="X31" s="38"/>
      <c r="Y31" s="39"/>
      <c r="Z31" s="39"/>
      <c r="AA31" s="378" t="str" cm="1">
        <f t="array" ref="AA3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2" spans="1:27" x14ac:dyDescent="0.55000000000000004">
      <c r="A3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SS0403</v>
      </c>
      <c r="B32" s="372" t="s">
        <v>292</v>
      </c>
      <c r="C32" s="218" t="s">
        <v>293</v>
      </c>
      <c r="D32" s="218" t="s">
        <v>298</v>
      </c>
      <c r="E32" s="105" t="s">
        <v>299</v>
      </c>
      <c r="F32" s="100"/>
      <c r="G32" s="34"/>
      <c r="H32" s="335"/>
      <c r="I32" s="97">
        <v>176456.75766124693</v>
      </c>
      <c r="J32" s="373"/>
      <c r="K32" s="375"/>
      <c r="L32" s="375"/>
      <c r="M32" s="375"/>
      <c r="N32" s="341" t="str" cm="1">
        <f t="array" ref="N3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2" s="38"/>
      <c r="P32" s="28"/>
      <c r="Q32" s="326" t="str" cm="1">
        <f t="array" ref="Q3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2" s="376"/>
      <c r="S32" s="28"/>
      <c r="T32" s="341"/>
      <c r="U32" s="377">
        <v>3</v>
      </c>
      <c r="V32" s="39"/>
      <c r="W32" s="39"/>
      <c r="X32" s="38"/>
      <c r="Y32" s="39"/>
      <c r="Z32" s="39"/>
      <c r="AA32" s="378" t="str" cm="1">
        <f t="array" ref="AA3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3" spans="1:27" x14ac:dyDescent="0.55000000000000004">
      <c r="A3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SS0404</v>
      </c>
      <c r="B33" s="372" t="s">
        <v>292</v>
      </c>
      <c r="C33" s="218" t="s">
        <v>293</v>
      </c>
      <c r="D33" s="218" t="s">
        <v>300</v>
      </c>
      <c r="E33" s="105" t="s">
        <v>301</v>
      </c>
      <c r="F33" s="100"/>
      <c r="G33" s="34"/>
      <c r="H33" s="335"/>
      <c r="I33" s="97">
        <v>144923.7380099287</v>
      </c>
      <c r="J33" s="373"/>
      <c r="K33" s="375"/>
      <c r="L33" s="375"/>
      <c r="M33" s="375"/>
      <c r="N33" s="341" t="str" cm="1">
        <f t="array" ref="N3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3" s="38"/>
      <c r="P33" s="28"/>
      <c r="Q33" s="326" t="str" cm="1">
        <f t="array" ref="Q3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3" s="376"/>
      <c r="S33" s="28"/>
      <c r="T33" s="341"/>
      <c r="U33" s="377">
        <v>3</v>
      </c>
      <c r="V33" s="39"/>
      <c r="W33" s="39"/>
      <c r="X33" s="38"/>
      <c r="Y33" s="39"/>
      <c r="Z33" s="39"/>
      <c r="AA33" s="378" t="str" cm="1">
        <f t="array" ref="AA3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4" spans="1:27" x14ac:dyDescent="0.55000000000000004">
      <c r="A3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SS0405</v>
      </c>
      <c r="B34" s="372" t="s">
        <v>292</v>
      </c>
      <c r="C34" s="218" t="s">
        <v>293</v>
      </c>
      <c r="D34" s="218" t="s">
        <v>302</v>
      </c>
      <c r="E34" s="105" t="s">
        <v>303</v>
      </c>
      <c r="F34" s="100"/>
      <c r="G34" s="34"/>
      <c r="H34" s="335"/>
      <c r="I34" s="97">
        <v>65398.68783106839</v>
      </c>
      <c r="J34" s="373"/>
      <c r="K34" s="375"/>
      <c r="L34" s="375"/>
      <c r="M34" s="375"/>
      <c r="N34" s="341" t="str" cm="1">
        <f t="array" ref="N3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4" s="38"/>
      <c r="P34" s="28"/>
      <c r="Q34" s="326" t="str" cm="1">
        <f t="array" ref="Q3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4" s="376"/>
      <c r="S34" s="28"/>
      <c r="T34" s="341"/>
      <c r="U34" s="377">
        <v>3</v>
      </c>
      <c r="V34" s="39"/>
      <c r="W34" s="39"/>
      <c r="X34" s="38"/>
      <c r="Y34" s="39"/>
      <c r="Z34" s="39"/>
      <c r="AA34" s="378" t="str" cm="1">
        <f t="array" ref="AA3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5" spans="1:27" x14ac:dyDescent="0.55000000000000004">
      <c r="A3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SS0406</v>
      </c>
      <c r="B35" s="372" t="s">
        <v>292</v>
      </c>
      <c r="C35" s="218" t="s">
        <v>293</v>
      </c>
      <c r="D35" s="218" t="s">
        <v>304</v>
      </c>
      <c r="E35" s="105" t="s">
        <v>305</v>
      </c>
      <c r="F35" s="100"/>
      <c r="G35" s="34"/>
      <c r="H35" s="335"/>
      <c r="I35" s="97">
        <v>75286.792994065443</v>
      </c>
      <c r="J35" s="373"/>
      <c r="K35" s="375"/>
      <c r="L35" s="375"/>
      <c r="M35" s="375"/>
      <c r="N35" s="341" t="str" cm="1">
        <f t="array" ref="N3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5" s="38"/>
      <c r="P35" s="28"/>
      <c r="Q35" s="326" t="str" cm="1">
        <f t="array" ref="Q3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5" s="376"/>
      <c r="S35" s="28"/>
      <c r="T35" s="341"/>
      <c r="U35" s="377">
        <v>3</v>
      </c>
      <c r="V35" s="39"/>
      <c r="W35" s="39"/>
      <c r="X35" s="38"/>
      <c r="Y35" s="39"/>
      <c r="Z35" s="39"/>
      <c r="AA35" s="378" t="str" cm="1">
        <f t="array" ref="AA3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6" spans="1:27" x14ac:dyDescent="0.55000000000000004">
      <c r="A3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SS0407</v>
      </c>
      <c r="B36" s="372" t="s">
        <v>292</v>
      </c>
      <c r="C36" s="218" t="s">
        <v>293</v>
      </c>
      <c r="D36" s="218" t="s">
        <v>306</v>
      </c>
      <c r="E36" s="105" t="s">
        <v>307</v>
      </c>
      <c r="F36" s="100"/>
      <c r="G36" s="34"/>
      <c r="H36" s="335"/>
      <c r="I36" s="97">
        <v>136468.38289497345</v>
      </c>
      <c r="J36" s="373"/>
      <c r="K36" s="375"/>
      <c r="L36" s="375"/>
      <c r="M36" s="375"/>
      <c r="N36" s="341" t="str" cm="1">
        <f t="array" ref="N3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6" s="38"/>
      <c r="P36" s="28"/>
      <c r="Q36" s="326" t="str" cm="1">
        <f t="array" ref="Q3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6" s="376"/>
      <c r="S36" s="28"/>
      <c r="T36" s="341"/>
      <c r="U36" s="377">
        <v>3</v>
      </c>
      <c r="V36" s="39"/>
      <c r="W36" s="39"/>
      <c r="X36" s="38"/>
      <c r="Y36" s="39"/>
      <c r="Z36" s="39"/>
      <c r="AA36" s="378" t="str" cm="1">
        <f t="array" ref="AA3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7" spans="1:27" x14ac:dyDescent="0.55000000000000004">
      <c r="A3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SS0408</v>
      </c>
      <c r="B37" s="372" t="s">
        <v>292</v>
      </c>
      <c r="C37" s="218" t="s">
        <v>293</v>
      </c>
      <c r="D37" s="218" t="s">
        <v>308</v>
      </c>
      <c r="E37" s="105" t="s">
        <v>309</v>
      </c>
      <c r="F37" s="100"/>
      <c r="G37" s="34"/>
      <c r="H37" s="335"/>
      <c r="I37" s="97">
        <v>145642.87674607342</v>
      </c>
      <c r="J37" s="373"/>
      <c r="K37" s="375"/>
      <c r="L37" s="375"/>
      <c r="M37" s="375"/>
      <c r="N37" s="341" t="str" cm="1">
        <f t="array" ref="N3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7" s="38"/>
      <c r="P37" s="28"/>
      <c r="Q37" s="326" t="str" cm="1">
        <f t="array" ref="Q3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7" s="376"/>
      <c r="S37" s="28"/>
      <c r="T37" s="341"/>
      <c r="U37" s="377">
        <v>3</v>
      </c>
      <c r="V37" s="39"/>
      <c r="W37" s="39"/>
      <c r="X37" s="38"/>
      <c r="Y37" s="39"/>
      <c r="Z37" s="39"/>
      <c r="AA37" s="378" t="str" cm="1">
        <f t="array" ref="AA3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8" spans="1:27" x14ac:dyDescent="0.55000000000000004">
      <c r="A3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SS0501</v>
      </c>
      <c r="B38" s="372" t="s">
        <v>310</v>
      </c>
      <c r="C38" s="218" t="s">
        <v>311</v>
      </c>
      <c r="D38" s="218" t="s">
        <v>312</v>
      </c>
      <c r="E38" s="105" t="s">
        <v>313</v>
      </c>
      <c r="F38" s="100"/>
      <c r="G38" s="34"/>
      <c r="H38" s="335"/>
      <c r="I38" s="97">
        <v>67667.614916118677</v>
      </c>
      <c r="J38" s="373"/>
      <c r="K38" s="375"/>
      <c r="L38" s="375"/>
      <c r="M38" s="375"/>
      <c r="N38" s="341" t="str" cm="1">
        <f t="array" ref="N3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8" s="38"/>
      <c r="P38" s="28"/>
      <c r="Q38" s="326" t="str" cm="1">
        <f t="array" ref="Q3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8" s="376"/>
      <c r="S38" s="28"/>
      <c r="T38" s="341"/>
      <c r="U38" s="377">
        <v>3</v>
      </c>
      <c r="V38" s="39"/>
      <c r="W38" s="39"/>
      <c r="X38" s="38"/>
      <c r="Y38" s="39"/>
      <c r="Z38" s="39"/>
      <c r="AA38" s="378" t="str" cm="1">
        <f t="array" ref="AA3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9" spans="1:27" x14ac:dyDescent="0.55000000000000004">
      <c r="A3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SS0502</v>
      </c>
      <c r="B39" s="372" t="s">
        <v>310</v>
      </c>
      <c r="C39" s="218" t="s">
        <v>311</v>
      </c>
      <c r="D39" s="218" t="s">
        <v>314</v>
      </c>
      <c r="E39" s="105" t="s">
        <v>315</v>
      </c>
      <c r="F39" s="100"/>
      <c r="G39" s="34"/>
      <c r="H39" s="335"/>
      <c r="I39" s="97">
        <v>313378.43152269977</v>
      </c>
      <c r="J39" s="373"/>
      <c r="K39" s="375"/>
      <c r="L39" s="375"/>
      <c r="M39" s="375"/>
      <c r="N39" s="341" t="str" cm="1">
        <f t="array" ref="N3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39" s="38"/>
      <c r="P39" s="28"/>
      <c r="Q39" s="326" t="str" cm="1">
        <f t="array" ref="Q3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39" s="376"/>
      <c r="S39" s="28"/>
      <c r="T39" s="341"/>
      <c r="U39" s="377">
        <v>4</v>
      </c>
      <c r="V39" s="39"/>
      <c r="W39" s="39"/>
      <c r="X39" s="38"/>
      <c r="Y39" s="39"/>
      <c r="Z39" s="39"/>
      <c r="AA39" s="378" t="str" cm="1">
        <f t="array" ref="AA3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0" spans="1:27" x14ac:dyDescent="0.55000000000000004">
      <c r="A4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SS0503</v>
      </c>
      <c r="B40" s="372" t="s">
        <v>310</v>
      </c>
      <c r="C40" s="218" t="s">
        <v>311</v>
      </c>
      <c r="D40" s="218" t="s">
        <v>316</v>
      </c>
      <c r="E40" s="105" t="s">
        <v>317</v>
      </c>
      <c r="F40" s="100"/>
      <c r="G40" s="34"/>
      <c r="H40" s="335"/>
      <c r="I40" s="97">
        <v>151521.5322735034</v>
      </c>
      <c r="J40" s="373"/>
      <c r="K40" s="375"/>
      <c r="L40" s="375"/>
      <c r="M40" s="375"/>
      <c r="N40" s="341" t="str" cm="1">
        <f t="array" ref="N4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0" s="38"/>
      <c r="P40" s="28"/>
      <c r="Q40" s="326" t="str" cm="1">
        <f t="array" ref="Q4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0" s="376"/>
      <c r="S40" s="28"/>
      <c r="T40" s="341"/>
      <c r="U40" s="377">
        <v>3</v>
      </c>
      <c r="V40" s="39"/>
      <c r="W40" s="39"/>
      <c r="X40" s="38"/>
      <c r="Y40" s="39"/>
      <c r="Z40" s="39"/>
      <c r="AA40" s="378" t="str" cm="1">
        <f t="array" ref="AA4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1" spans="1:27" x14ac:dyDescent="0.55000000000000004">
      <c r="A4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SS0504</v>
      </c>
      <c r="B41" s="372" t="s">
        <v>310</v>
      </c>
      <c r="C41" s="218" t="s">
        <v>311</v>
      </c>
      <c r="D41" s="218" t="s">
        <v>318</v>
      </c>
      <c r="E41" s="105" t="s">
        <v>319</v>
      </c>
      <c r="F41" s="100"/>
      <c r="G41" s="34"/>
      <c r="H41" s="335"/>
      <c r="I41" s="97">
        <v>119312.08905764001</v>
      </c>
      <c r="J41" s="373"/>
      <c r="K41" s="375"/>
      <c r="L41" s="375"/>
      <c r="M41" s="375"/>
      <c r="N41" s="341" t="str" cm="1">
        <f t="array" ref="N4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1" s="38"/>
      <c r="P41" s="28"/>
      <c r="Q41" s="326" t="str" cm="1">
        <f t="array" ref="Q4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1" s="376"/>
      <c r="S41" s="28"/>
      <c r="T41" s="341"/>
      <c r="U41" s="377">
        <v>3</v>
      </c>
      <c r="V41" s="39"/>
      <c r="W41" s="39"/>
      <c r="X41" s="38"/>
      <c r="Y41" s="39"/>
      <c r="Z41" s="39"/>
      <c r="AA41" s="378" t="str" cm="1">
        <f t="array" ref="AA4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2" spans="1:27" x14ac:dyDescent="0.55000000000000004">
      <c r="A4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SS0505</v>
      </c>
      <c r="B42" s="372" t="s">
        <v>310</v>
      </c>
      <c r="C42" s="218" t="s">
        <v>311</v>
      </c>
      <c r="D42" s="218" t="s">
        <v>320</v>
      </c>
      <c r="E42" s="105" t="s">
        <v>321</v>
      </c>
      <c r="F42" s="100"/>
      <c r="G42" s="34"/>
      <c r="H42" s="335"/>
      <c r="I42" s="97">
        <v>176747.28871798291</v>
      </c>
      <c r="J42" s="373"/>
      <c r="K42" s="375"/>
      <c r="L42" s="375"/>
      <c r="M42" s="375"/>
      <c r="N42" s="341" t="str" cm="1">
        <f t="array" ref="N4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2" s="38"/>
      <c r="P42" s="28"/>
      <c r="Q42" s="326" t="str" cm="1">
        <f t="array" ref="Q4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2" s="376"/>
      <c r="S42" s="28"/>
      <c r="T42" s="341"/>
      <c r="U42" s="377">
        <v>3</v>
      </c>
      <c r="V42" s="39"/>
      <c r="W42" s="39"/>
      <c r="X42" s="38"/>
      <c r="Y42" s="39"/>
      <c r="Z42" s="39"/>
      <c r="AA42" s="378" t="str" cm="1">
        <f t="array" ref="AA4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3" spans="1:27" x14ac:dyDescent="0.55000000000000004">
      <c r="A4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SS0601</v>
      </c>
      <c r="B43" s="372" t="s">
        <v>322</v>
      </c>
      <c r="C43" s="218" t="s">
        <v>323</v>
      </c>
      <c r="D43" s="218" t="s">
        <v>324</v>
      </c>
      <c r="E43" s="105" t="s">
        <v>325</v>
      </c>
      <c r="F43" s="100"/>
      <c r="G43" s="34"/>
      <c r="H43" s="335"/>
      <c r="I43" s="97">
        <v>48610.025039582957</v>
      </c>
      <c r="J43" s="373"/>
      <c r="K43" s="375"/>
      <c r="L43" s="375"/>
      <c r="M43" s="375"/>
      <c r="N43" s="341" t="str" cm="1">
        <f t="array" ref="N4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3" s="38"/>
      <c r="P43" s="28"/>
      <c r="Q43" s="326" t="str" cm="1">
        <f t="array" ref="Q4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3" s="376"/>
      <c r="S43" s="28"/>
      <c r="T43" s="341"/>
      <c r="U43" s="377">
        <v>3</v>
      </c>
      <c r="V43" s="39"/>
      <c r="W43" s="39"/>
      <c r="X43" s="38"/>
      <c r="Y43" s="39"/>
      <c r="Z43" s="39"/>
      <c r="AA43" s="378" t="str" cm="1">
        <f t="array" ref="AA4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4" spans="1:27" x14ac:dyDescent="0.55000000000000004">
      <c r="A4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SS0602</v>
      </c>
      <c r="B44" s="372" t="s">
        <v>322</v>
      </c>
      <c r="C44" s="218" t="s">
        <v>323</v>
      </c>
      <c r="D44" s="218" t="s">
        <v>326</v>
      </c>
      <c r="E44" s="105" t="s">
        <v>327</v>
      </c>
      <c r="F44" s="100"/>
      <c r="G44" s="34"/>
      <c r="H44" s="335"/>
      <c r="I44" s="97">
        <v>63298.825746132818</v>
      </c>
      <c r="J44" s="373"/>
      <c r="K44" s="375"/>
      <c r="L44" s="375"/>
      <c r="M44" s="375"/>
      <c r="N44" s="341" t="str" cm="1">
        <f t="array" ref="N4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4" s="38"/>
      <c r="P44" s="28"/>
      <c r="Q44" s="326" t="str" cm="1">
        <f t="array" ref="Q4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4" s="376"/>
      <c r="S44" s="28"/>
      <c r="T44" s="341"/>
      <c r="U44" s="377">
        <v>3</v>
      </c>
      <c r="V44" s="39"/>
      <c r="W44" s="39"/>
      <c r="X44" s="38"/>
      <c r="Y44" s="39"/>
      <c r="Z44" s="39"/>
      <c r="AA44" s="378" t="str" cm="1">
        <f t="array" ref="AA4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5" spans="1:27" x14ac:dyDescent="0.55000000000000004">
      <c r="A4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SS0603</v>
      </c>
      <c r="B45" s="372" t="s">
        <v>322</v>
      </c>
      <c r="C45" s="218" t="s">
        <v>323</v>
      </c>
      <c r="D45" s="218" t="s">
        <v>328</v>
      </c>
      <c r="E45" s="105" t="s">
        <v>329</v>
      </c>
      <c r="F45" s="100"/>
      <c r="G45" s="34"/>
      <c r="H45" s="335"/>
      <c r="I45" s="97">
        <v>89234.978830283158</v>
      </c>
      <c r="J45" s="373"/>
      <c r="K45" s="375"/>
      <c r="L45" s="375"/>
      <c r="M45" s="375"/>
      <c r="N45" s="341" t="str" cm="1">
        <f t="array" ref="N4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5" s="38"/>
      <c r="P45" s="28"/>
      <c r="Q45" s="326" t="str" cm="1">
        <f t="array" ref="Q4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5" s="376"/>
      <c r="S45" s="28"/>
      <c r="T45" s="341"/>
      <c r="U45" s="377">
        <v>3</v>
      </c>
      <c r="V45" s="39"/>
      <c r="W45" s="39"/>
      <c r="X45" s="38"/>
      <c r="Y45" s="39"/>
      <c r="Z45" s="39"/>
      <c r="AA45" s="378" t="str" cm="1">
        <f t="array" ref="AA4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6" spans="1:27" x14ac:dyDescent="0.55000000000000004">
      <c r="A4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SS0604</v>
      </c>
      <c r="B46" s="372" t="s">
        <v>322</v>
      </c>
      <c r="C46" s="218" t="s">
        <v>323</v>
      </c>
      <c r="D46" s="218" t="s">
        <v>330</v>
      </c>
      <c r="E46" s="105" t="s">
        <v>331</v>
      </c>
      <c r="F46" s="100"/>
      <c r="G46" s="34"/>
      <c r="H46" s="335"/>
      <c r="I46" s="97">
        <v>74870.153192872138</v>
      </c>
      <c r="J46" s="373"/>
      <c r="K46" s="375"/>
      <c r="L46" s="375"/>
      <c r="M46" s="375"/>
      <c r="N46" s="341" t="str" cm="1">
        <f t="array" ref="N4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6" s="38"/>
      <c r="P46" s="28"/>
      <c r="Q46" s="326" t="str" cm="1">
        <f t="array" ref="Q4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6" s="376"/>
      <c r="S46" s="28"/>
      <c r="T46" s="341"/>
      <c r="U46" s="377">
        <v>3</v>
      </c>
      <c r="V46" s="39"/>
      <c r="W46" s="39"/>
      <c r="X46" s="38"/>
      <c r="Y46" s="39"/>
      <c r="Z46" s="39"/>
      <c r="AA46" s="378" t="str" cm="1">
        <f t="array" ref="AA4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7" spans="1:27" x14ac:dyDescent="0.55000000000000004">
      <c r="A4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SS0605</v>
      </c>
      <c r="B47" s="372" t="s">
        <v>322</v>
      </c>
      <c r="C47" s="218" t="s">
        <v>323</v>
      </c>
      <c r="D47" s="218" t="s">
        <v>332</v>
      </c>
      <c r="E47" s="105" t="s">
        <v>333</v>
      </c>
      <c r="F47" s="100"/>
      <c r="G47" s="34"/>
      <c r="H47" s="335"/>
      <c r="I47" s="97">
        <v>65392.087196983251</v>
      </c>
      <c r="J47" s="373"/>
      <c r="K47" s="375"/>
      <c r="L47" s="375"/>
      <c r="M47" s="375"/>
      <c r="N47" s="341" t="str" cm="1">
        <f t="array" ref="N4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7" s="38"/>
      <c r="P47" s="28"/>
      <c r="Q47" s="326" t="str" cm="1">
        <f t="array" ref="Q4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7" s="376"/>
      <c r="S47" s="28"/>
      <c r="T47" s="341"/>
      <c r="U47" s="377">
        <v>4</v>
      </c>
      <c r="V47" s="39"/>
      <c r="W47" s="39"/>
      <c r="X47" s="38"/>
      <c r="Y47" s="39"/>
      <c r="Z47" s="39"/>
      <c r="AA47" s="378" t="str" cm="1">
        <f t="array" ref="AA4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8" spans="1:27" x14ac:dyDescent="0.55000000000000004">
      <c r="A4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SS0606</v>
      </c>
      <c r="B48" s="372" t="s">
        <v>322</v>
      </c>
      <c r="C48" s="218" t="s">
        <v>323</v>
      </c>
      <c r="D48" s="218" t="s">
        <v>334</v>
      </c>
      <c r="E48" s="105" t="s">
        <v>335</v>
      </c>
      <c r="F48" s="100"/>
      <c r="G48" s="34"/>
      <c r="H48" s="335"/>
      <c r="I48" s="97">
        <v>139332.90655303784</v>
      </c>
      <c r="J48" s="373"/>
      <c r="K48" s="375"/>
      <c r="L48" s="375"/>
      <c r="M48" s="375"/>
      <c r="N48" s="341" t="str" cm="1">
        <f t="array" ref="N4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8" s="38"/>
      <c r="P48" s="28"/>
      <c r="Q48" s="326" t="str" cm="1">
        <f t="array" ref="Q4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8" s="376"/>
      <c r="S48" s="28"/>
      <c r="T48" s="341"/>
      <c r="U48" s="377">
        <v>3</v>
      </c>
      <c r="V48" s="39"/>
      <c r="W48" s="39"/>
      <c r="X48" s="38"/>
      <c r="Y48" s="39"/>
      <c r="Z48" s="39"/>
      <c r="AA48" s="378" t="str" cm="1">
        <f t="array" ref="AA4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9" spans="1:27" x14ac:dyDescent="0.55000000000000004">
      <c r="A4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SS0607</v>
      </c>
      <c r="B49" s="372" t="s">
        <v>322</v>
      </c>
      <c r="C49" s="218" t="s">
        <v>323</v>
      </c>
      <c r="D49" s="218" t="s">
        <v>336</v>
      </c>
      <c r="E49" s="105" t="s">
        <v>337</v>
      </c>
      <c r="F49" s="100"/>
      <c r="G49" s="34"/>
      <c r="H49" s="335"/>
      <c r="I49" s="97">
        <v>113215.48627337377</v>
      </c>
      <c r="J49" s="373"/>
      <c r="K49" s="375"/>
      <c r="L49" s="375"/>
      <c r="M49" s="375"/>
      <c r="N49" s="341" t="str" cm="1">
        <f t="array" ref="N4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49" s="38"/>
      <c r="P49" s="28"/>
      <c r="Q49" s="326" t="str" cm="1">
        <f t="array" ref="Q4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49" s="376"/>
      <c r="S49" s="28"/>
      <c r="T49" s="341"/>
      <c r="U49" s="377">
        <v>5</v>
      </c>
      <c r="V49" s="39"/>
      <c r="W49" s="39"/>
      <c r="X49" s="38"/>
      <c r="Y49" s="39"/>
      <c r="Z49" s="39"/>
      <c r="AA49" s="378" t="str" cm="1">
        <f t="array" ref="AA4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0" spans="1:27" x14ac:dyDescent="0.55000000000000004">
      <c r="A5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SS0608</v>
      </c>
      <c r="B50" s="372" t="s">
        <v>322</v>
      </c>
      <c r="C50" s="218" t="s">
        <v>323</v>
      </c>
      <c r="D50" s="218" t="s">
        <v>338</v>
      </c>
      <c r="E50" s="105" t="s">
        <v>339</v>
      </c>
      <c r="F50" s="100"/>
      <c r="G50" s="34"/>
      <c r="H50" s="335"/>
      <c r="I50" s="97">
        <v>110231.73492725838</v>
      </c>
      <c r="J50" s="373"/>
      <c r="K50" s="375"/>
      <c r="L50" s="375"/>
      <c r="M50" s="375"/>
      <c r="N50" s="341" t="str" cm="1">
        <f t="array" ref="N5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0" s="38"/>
      <c r="P50" s="28"/>
      <c r="Q50" s="326" t="str" cm="1">
        <f t="array" ref="Q5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0" s="376"/>
      <c r="S50" s="28"/>
      <c r="T50" s="341"/>
      <c r="U50" s="377">
        <v>3</v>
      </c>
      <c r="V50" s="39"/>
      <c r="W50" s="39"/>
      <c r="X50" s="38"/>
      <c r="Y50" s="39"/>
      <c r="Z50" s="39"/>
      <c r="AA50" s="378" t="str" cm="1">
        <f t="array" ref="AA5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1" spans="1:27" x14ac:dyDescent="0.55000000000000004">
      <c r="A5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SS0609</v>
      </c>
      <c r="B51" s="372" t="s">
        <v>322</v>
      </c>
      <c r="C51" s="218" t="s">
        <v>323</v>
      </c>
      <c r="D51" s="218" t="s">
        <v>340</v>
      </c>
      <c r="E51" s="105" t="s">
        <v>341</v>
      </c>
      <c r="F51" s="100"/>
      <c r="G51" s="34"/>
      <c r="H51" s="335"/>
      <c r="I51" s="97">
        <v>335714.06288101769</v>
      </c>
      <c r="J51" s="373"/>
      <c r="K51" s="375"/>
      <c r="L51" s="375"/>
      <c r="M51" s="375"/>
      <c r="N51" s="341" t="str" cm="1">
        <f t="array" ref="N5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1" s="38"/>
      <c r="P51" s="28"/>
      <c r="Q51" s="326" t="str" cm="1">
        <f t="array" ref="Q5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1" s="376"/>
      <c r="S51" s="28"/>
      <c r="T51" s="341"/>
      <c r="U51" s="377">
        <v>4</v>
      </c>
      <c r="V51" s="39"/>
      <c r="W51" s="39"/>
      <c r="X51" s="38"/>
      <c r="Y51" s="39"/>
      <c r="Z51" s="39"/>
      <c r="AA51" s="378" t="str" cm="1">
        <f t="array" ref="AA5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2" spans="1:27" x14ac:dyDescent="0.55000000000000004">
      <c r="A5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SS0701</v>
      </c>
      <c r="B52" s="372" t="s">
        <v>342</v>
      </c>
      <c r="C52" s="218" t="s">
        <v>343</v>
      </c>
      <c r="D52" s="218" t="s">
        <v>344</v>
      </c>
      <c r="E52" s="105" t="s">
        <v>345</v>
      </c>
      <c r="F52" s="100"/>
      <c r="G52" s="34"/>
      <c r="H52" s="335"/>
      <c r="I52" s="97">
        <v>49506.407587410569</v>
      </c>
      <c r="J52" s="373"/>
      <c r="K52" s="375"/>
      <c r="L52" s="375"/>
      <c r="M52" s="375"/>
      <c r="N52" s="341" t="str" cm="1">
        <f t="array" ref="N5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2" s="38"/>
      <c r="P52" s="28"/>
      <c r="Q52" s="326" t="str" cm="1">
        <f t="array" ref="Q5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2" s="376"/>
      <c r="S52" s="28"/>
      <c r="T52" s="341"/>
      <c r="U52" s="377">
        <v>4</v>
      </c>
      <c r="V52" s="39"/>
      <c r="W52" s="39"/>
      <c r="X52" s="38"/>
      <c r="Y52" s="39"/>
      <c r="Z52" s="39"/>
      <c r="AA52" s="378" t="str" cm="1">
        <f t="array" ref="AA5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3" spans="1:27" x14ac:dyDescent="0.55000000000000004">
      <c r="A5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SS0702</v>
      </c>
      <c r="B53" s="372" t="s">
        <v>342</v>
      </c>
      <c r="C53" s="218" t="s">
        <v>343</v>
      </c>
      <c r="D53" s="218" t="s">
        <v>346</v>
      </c>
      <c r="E53" s="105" t="s">
        <v>347</v>
      </c>
      <c r="F53" s="100"/>
      <c r="G53" s="34"/>
      <c r="H53" s="335"/>
      <c r="I53" s="97">
        <v>72888.16462834485</v>
      </c>
      <c r="J53" s="373"/>
      <c r="K53" s="375"/>
      <c r="L53" s="375"/>
      <c r="M53" s="375"/>
      <c r="N53" s="341" t="str" cm="1">
        <f t="array" ref="N5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3" s="38"/>
      <c r="P53" s="28"/>
      <c r="Q53" s="326" t="str" cm="1">
        <f t="array" ref="Q5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3" s="376"/>
      <c r="S53" s="28"/>
      <c r="T53" s="341"/>
      <c r="U53" s="377">
        <v>4</v>
      </c>
      <c r="V53" s="39"/>
      <c r="W53" s="39"/>
      <c r="X53" s="38"/>
      <c r="Y53" s="39"/>
      <c r="Z53" s="39"/>
      <c r="AA53" s="378" t="str" cm="1">
        <f t="array" ref="AA5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4" spans="1:27" x14ac:dyDescent="0.55000000000000004">
      <c r="A5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SS0703</v>
      </c>
      <c r="B54" s="372" t="s">
        <v>342</v>
      </c>
      <c r="C54" s="218" t="s">
        <v>343</v>
      </c>
      <c r="D54" s="218" t="s">
        <v>348</v>
      </c>
      <c r="E54" s="105" t="s">
        <v>349</v>
      </c>
      <c r="F54" s="100"/>
      <c r="G54" s="34"/>
      <c r="H54" s="335"/>
      <c r="I54" s="97">
        <v>65296.660040579969</v>
      </c>
      <c r="J54" s="373"/>
      <c r="K54" s="375"/>
      <c r="L54" s="375"/>
      <c r="M54" s="375"/>
      <c r="N54" s="341" t="str" cm="1">
        <f t="array" ref="N5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4" s="38"/>
      <c r="P54" s="28"/>
      <c r="Q54" s="326" t="str" cm="1">
        <f t="array" ref="Q5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4" s="376"/>
      <c r="S54" s="28"/>
      <c r="T54" s="341"/>
      <c r="U54" s="377">
        <v>5</v>
      </c>
      <c r="V54" s="39"/>
      <c r="W54" s="39"/>
      <c r="X54" s="38"/>
      <c r="Y54" s="39"/>
      <c r="Z54" s="39"/>
      <c r="AA54" s="378" t="str" cm="1">
        <f t="array" ref="AA5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5" spans="1:27" x14ac:dyDescent="0.55000000000000004">
      <c r="A5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SS0704</v>
      </c>
      <c r="B55" s="372" t="s">
        <v>342</v>
      </c>
      <c r="C55" s="218" t="s">
        <v>343</v>
      </c>
      <c r="D55" s="218" t="s">
        <v>350</v>
      </c>
      <c r="E55" s="105" t="s">
        <v>351</v>
      </c>
      <c r="F55" s="100"/>
      <c r="G55" s="34"/>
      <c r="H55" s="335"/>
      <c r="I55" s="97">
        <v>280031.05674025411</v>
      </c>
      <c r="J55" s="373"/>
      <c r="K55" s="375"/>
      <c r="L55" s="375"/>
      <c r="M55" s="375"/>
      <c r="N55" s="341" t="str" cm="1">
        <f t="array" ref="N5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5" s="38"/>
      <c r="P55" s="28"/>
      <c r="Q55" s="326" t="str" cm="1">
        <f t="array" ref="Q5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5" s="376"/>
      <c r="S55" s="28"/>
      <c r="T55" s="341"/>
      <c r="U55" s="377">
        <v>5</v>
      </c>
      <c r="V55" s="39"/>
      <c r="W55" s="39"/>
      <c r="X55" s="38"/>
      <c r="Y55" s="39"/>
      <c r="Z55" s="39"/>
      <c r="AA55" s="378" t="str" cm="1">
        <f t="array" ref="AA5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6" spans="1:27" x14ac:dyDescent="0.55000000000000004">
      <c r="A5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SS0705</v>
      </c>
      <c r="B56" s="372" t="s">
        <v>342</v>
      </c>
      <c r="C56" s="218" t="s">
        <v>343</v>
      </c>
      <c r="D56" s="218" t="s">
        <v>352</v>
      </c>
      <c r="E56" s="105" t="s">
        <v>353</v>
      </c>
      <c r="F56" s="100"/>
      <c r="G56" s="34"/>
      <c r="H56" s="335"/>
      <c r="I56" s="97">
        <v>74944.505225403846</v>
      </c>
      <c r="J56" s="373"/>
      <c r="K56" s="375"/>
      <c r="L56" s="375"/>
      <c r="M56" s="375"/>
      <c r="N56" s="341" t="str" cm="1">
        <f t="array" ref="N5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6" s="38"/>
      <c r="P56" s="28"/>
      <c r="Q56" s="326" t="str" cm="1">
        <f t="array" ref="Q5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6" s="376"/>
      <c r="S56" s="28"/>
      <c r="T56" s="341"/>
      <c r="U56" s="377">
        <v>4</v>
      </c>
      <c r="V56" s="39"/>
      <c r="W56" s="39"/>
      <c r="X56" s="38"/>
      <c r="Y56" s="39"/>
      <c r="Z56" s="39"/>
      <c r="AA56" s="378" t="str" cm="1">
        <f t="array" ref="AA5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7" spans="1:27" x14ac:dyDescent="0.55000000000000004">
      <c r="A5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SS0706</v>
      </c>
      <c r="B57" s="372" t="s">
        <v>342</v>
      </c>
      <c r="C57" s="218" t="s">
        <v>343</v>
      </c>
      <c r="D57" s="218" t="s">
        <v>354</v>
      </c>
      <c r="E57" s="105" t="s">
        <v>355</v>
      </c>
      <c r="F57" s="100"/>
      <c r="G57" s="34"/>
      <c r="H57" s="335"/>
      <c r="I57" s="97">
        <v>117623.59059316109</v>
      </c>
      <c r="J57" s="373"/>
      <c r="K57" s="375"/>
      <c r="L57" s="375"/>
      <c r="M57" s="375"/>
      <c r="N57" s="341" t="str" cm="1">
        <f t="array" ref="N5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7" s="38"/>
      <c r="P57" s="28"/>
      <c r="Q57" s="326" t="str" cm="1">
        <f t="array" ref="Q5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7" s="376"/>
      <c r="S57" s="28"/>
      <c r="T57" s="341"/>
      <c r="U57" s="377">
        <v>4</v>
      </c>
      <c r="V57" s="39"/>
      <c r="W57" s="39"/>
      <c r="X57" s="38"/>
      <c r="Y57" s="39"/>
      <c r="Z57" s="39"/>
      <c r="AA57" s="378" t="str" cm="1">
        <f t="array" ref="AA5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8" spans="1:27" x14ac:dyDescent="0.55000000000000004">
      <c r="A5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SS0707</v>
      </c>
      <c r="B58" s="372" t="s">
        <v>342</v>
      </c>
      <c r="C58" s="218" t="s">
        <v>343</v>
      </c>
      <c r="D58" s="218" t="s">
        <v>356</v>
      </c>
      <c r="E58" s="105" t="s">
        <v>357</v>
      </c>
      <c r="F58" s="100"/>
      <c r="G58" s="34"/>
      <c r="H58" s="335"/>
      <c r="I58" s="97">
        <v>186860.42268381274</v>
      </c>
      <c r="J58" s="373"/>
      <c r="K58" s="375"/>
      <c r="L58" s="375"/>
      <c r="M58" s="375"/>
      <c r="N58" s="341" t="str" cm="1">
        <f t="array" ref="N5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8" s="38"/>
      <c r="P58" s="28"/>
      <c r="Q58" s="326" t="str" cm="1">
        <f t="array" ref="Q5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8" s="376"/>
      <c r="S58" s="28"/>
      <c r="T58" s="341"/>
      <c r="U58" s="377">
        <v>3</v>
      </c>
      <c r="V58" s="39"/>
      <c r="W58" s="39"/>
      <c r="X58" s="38"/>
      <c r="Y58" s="39"/>
      <c r="Z58" s="39"/>
      <c r="AA58" s="378" t="str" cm="1">
        <f t="array" ref="AA5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9" spans="1:27" x14ac:dyDescent="0.55000000000000004">
      <c r="A5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SS0708</v>
      </c>
      <c r="B59" s="372" t="s">
        <v>342</v>
      </c>
      <c r="C59" s="218" t="s">
        <v>343</v>
      </c>
      <c r="D59" s="218" t="s">
        <v>358</v>
      </c>
      <c r="E59" s="105" t="s">
        <v>359</v>
      </c>
      <c r="F59" s="100"/>
      <c r="G59" s="34"/>
      <c r="H59" s="335"/>
      <c r="I59" s="97">
        <v>74559.047125180805</v>
      </c>
      <c r="J59" s="373"/>
      <c r="K59" s="375"/>
      <c r="L59" s="375"/>
      <c r="M59" s="375"/>
      <c r="N59" s="341" t="str" cm="1">
        <f t="array" ref="N5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59" s="38"/>
      <c r="P59" s="28"/>
      <c r="Q59" s="326" t="str" cm="1">
        <f t="array" ref="Q5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59" s="376"/>
      <c r="S59" s="28"/>
      <c r="T59" s="341"/>
      <c r="U59" s="377">
        <v>3</v>
      </c>
      <c r="V59" s="39"/>
      <c r="W59" s="39"/>
      <c r="X59" s="38"/>
      <c r="Y59" s="39"/>
      <c r="Z59" s="39"/>
      <c r="AA59" s="378" t="str" cm="1">
        <f t="array" ref="AA5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0" spans="1:27" x14ac:dyDescent="0.55000000000000004">
      <c r="A6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SS0709</v>
      </c>
      <c r="B60" s="372" t="s">
        <v>342</v>
      </c>
      <c r="C60" s="218" t="s">
        <v>343</v>
      </c>
      <c r="D60" s="218" t="s">
        <v>360</v>
      </c>
      <c r="E60" s="105" t="s">
        <v>361</v>
      </c>
      <c r="F60" s="100"/>
      <c r="G60" s="34"/>
      <c r="H60" s="335"/>
      <c r="I60" s="97">
        <v>113824.37099372403</v>
      </c>
      <c r="J60" s="373"/>
      <c r="K60" s="375"/>
      <c r="L60" s="375"/>
      <c r="M60" s="375"/>
      <c r="N60" s="341" t="str" cm="1">
        <f t="array" ref="N6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0" s="38"/>
      <c r="P60" s="28"/>
      <c r="Q60" s="326" t="str" cm="1">
        <f t="array" ref="Q6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0" s="376"/>
      <c r="S60" s="28"/>
      <c r="T60" s="341"/>
      <c r="U60" s="377">
        <v>3</v>
      </c>
      <c r="V60" s="39"/>
      <c r="W60" s="39"/>
      <c r="X60" s="38"/>
      <c r="Y60" s="39"/>
      <c r="Z60" s="39"/>
      <c r="AA60" s="378" t="str" cm="1">
        <f t="array" ref="AA6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1" spans="1:27" x14ac:dyDescent="0.55000000000000004">
      <c r="A6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SS0710</v>
      </c>
      <c r="B61" s="372" t="s">
        <v>342</v>
      </c>
      <c r="C61" s="218" t="s">
        <v>343</v>
      </c>
      <c r="D61" s="218" t="s">
        <v>362</v>
      </c>
      <c r="E61" s="105" t="s">
        <v>363</v>
      </c>
      <c r="F61" s="100"/>
      <c r="G61" s="34"/>
      <c r="H61" s="335"/>
      <c r="I61" s="97">
        <v>59492.661960743899</v>
      </c>
      <c r="J61" s="373"/>
      <c r="K61" s="375"/>
      <c r="L61" s="375"/>
      <c r="M61" s="375"/>
      <c r="N61" s="341" t="str" cm="1">
        <f t="array" ref="N6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1" s="38"/>
      <c r="P61" s="28"/>
      <c r="Q61" s="326" t="str" cm="1">
        <f t="array" ref="Q6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1" s="376"/>
      <c r="S61" s="28"/>
      <c r="T61" s="341"/>
      <c r="U61" s="377">
        <v>5</v>
      </c>
      <c r="V61" s="39"/>
      <c r="W61" s="39"/>
      <c r="X61" s="38"/>
      <c r="Y61" s="39"/>
      <c r="Z61" s="39"/>
      <c r="AA61" s="378" t="str" cm="1">
        <f t="array" ref="AA6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2" spans="1:27" x14ac:dyDescent="0.55000000000000004">
      <c r="A6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SS0711</v>
      </c>
      <c r="B62" s="372" t="s">
        <v>342</v>
      </c>
      <c r="C62" s="218" t="s">
        <v>343</v>
      </c>
      <c r="D62" s="218" t="s">
        <v>364</v>
      </c>
      <c r="E62" s="105" t="s">
        <v>365</v>
      </c>
      <c r="F62" s="100"/>
      <c r="G62" s="34"/>
      <c r="H62" s="335"/>
      <c r="I62" s="97">
        <v>354470.1014024131</v>
      </c>
      <c r="J62" s="373"/>
      <c r="K62" s="375"/>
      <c r="L62" s="375"/>
      <c r="M62" s="375"/>
      <c r="N62" s="341" t="str" cm="1">
        <f t="array" ref="N6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2" s="38"/>
      <c r="P62" s="28"/>
      <c r="Q62" s="326" t="str" cm="1">
        <f t="array" ref="Q6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2" s="376"/>
      <c r="S62" s="28"/>
      <c r="T62" s="341"/>
      <c r="U62" s="377">
        <v>4</v>
      </c>
      <c r="V62" s="39"/>
      <c r="W62" s="39"/>
      <c r="X62" s="38"/>
      <c r="Y62" s="39"/>
      <c r="Z62" s="39"/>
      <c r="AA62" s="378" t="str" cm="1">
        <f t="array" ref="AA6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3" spans="1:27" x14ac:dyDescent="0.55000000000000004">
      <c r="A6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SS0712</v>
      </c>
      <c r="B63" s="372" t="s">
        <v>342</v>
      </c>
      <c r="C63" s="218" t="s">
        <v>343</v>
      </c>
      <c r="D63" s="218" t="s">
        <v>366</v>
      </c>
      <c r="E63" s="105" t="s">
        <v>367</v>
      </c>
      <c r="F63" s="100"/>
      <c r="G63" s="34"/>
      <c r="H63" s="335"/>
      <c r="I63" s="97">
        <v>129530.83098544534</v>
      </c>
      <c r="J63" s="373"/>
      <c r="K63" s="375"/>
      <c r="L63" s="375"/>
      <c r="M63" s="375"/>
      <c r="N63" s="341" t="str" cm="1">
        <f t="array" ref="N6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3" s="38"/>
      <c r="P63" s="28"/>
      <c r="Q63" s="326" t="str" cm="1">
        <f t="array" ref="Q6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3" s="376"/>
      <c r="S63" s="28"/>
      <c r="T63" s="341"/>
      <c r="U63" s="377">
        <v>5</v>
      </c>
      <c r="V63" s="39"/>
      <c r="W63" s="39"/>
      <c r="X63" s="38"/>
      <c r="Y63" s="39"/>
      <c r="Z63" s="39"/>
      <c r="AA63" s="378" t="str" cm="1">
        <f t="array" ref="AA6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4" spans="1:27" x14ac:dyDescent="0.55000000000000004">
      <c r="A6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SS0801</v>
      </c>
      <c r="B64" s="372" t="s">
        <v>368</v>
      </c>
      <c r="C64" s="218" t="s">
        <v>369</v>
      </c>
      <c r="D64" s="218" t="s">
        <v>370</v>
      </c>
      <c r="E64" s="105" t="s">
        <v>371</v>
      </c>
      <c r="F64" s="100"/>
      <c r="G64" s="34"/>
      <c r="H64" s="335"/>
      <c r="I64" s="97">
        <v>118863.73168725932</v>
      </c>
      <c r="J64" s="373"/>
      <c r="K64" s="375"/>
      <c r="L64" s="375"/>
      <c r="M64" s="375"/>
      <c r="N64" s="341" t="str" cm="1">
        <f t="array" ref="N6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4" s="38"/>
      <c r="P64" s="28"/>
      <c r="Q64" s="326" t="str" cm="1">
        <f t="array" ref="Q6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4" s="376"/>
      <c r="S64" s="28"/>
      <c r="T64" s="341"/>
      <c r="U64" s="377">
        <v>3</v>
      </c>
      <c r="V64" s="39"/>
      <c r="W64" s="39"/>
      <c r="X64" s="38"/>
      <c r="Y64" s="39"/>
      <c r="Z64" s="39"/>
      <c r="AA64" s="378" t="str" cm="1">
        <f t="array" ref="AA6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5" spans="1:27" x14ac:dyDescent="0.55000000000000004">
      <c r="A6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SS0802</v>
      </c>
      <c r="B65" s="372" t="s">
        <v>368</v>
      </c>
      <c r="C65" s="218" t="s">
        <v>369</v>
      </c>
      <c r="D65" s="218" t="s">
        <v>372</v>
      </c>
      <c r="E65" s="105" t="s">
        <v>373</v>
      </c>
      <c r="F65" s="100"/>
      <c r="G65" s="34"/>
      <c r="H65" s="335"/>
      <c r="I65" s="97">
        <v>293720.83233208145</v>
      </c>
      <c r="J65" s="373"/>
      <c r="K65" s="375"/>
      <c r="L65" s="375"/>
      <c r="M65" s="375"/>
      <c r="N65" s="341" t="str" cm="1">
        <f t="array" ref="N6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5" s="38"/>
      <c r="P65" s="28"/>
      <c r="Q65" s="326" t="str" cm="1">
        <f t="array" ref="Q6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5" s="376"/>
      <c r="S65" s="28"/>
      <c r="T65" s="341"/>
      <c r="U65" s="377">
        <v>3</v>
      </c>
      <c r="V65" s="39"/>
      <c r="W65" s="39"/>
      <c r="X65" s="38"/>
      <c r="Y65" s="39"/>
      <c r="Z65" s="39"/>
      <c r="AA65" s="378" t="str" cm="1">
        <f t="array" ref="AA6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6" spans="1:27" x14ac:dyDescent="0.55000000000000004">
      <c r="A6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SS0803</v>
      </c>
      <c r="B66" s="372" t="s">
        <v>368</v>
      </c>
      <c r="C66" s="218" t="s">
        <v>369</v>
      </c>
      <c r="D66" s="218" t="s">
        <v>374</v>
      </c>
      <c r="E66" s="105" t="s">
        <v>375</v>
      </c>
      <c r="F66" s="100"/>
      <c r="G66" s="34"/>
      <c r="H66" s="335"/>
      <c r="I66" s="97">
        <v>159523.10280622286</v>
      </c>
      <c r="J66" s="373"/>
      <c r="K66" s="375"/>
      <c r="L66" s="375"/>
      <c r="M66" s="375"/>
      <c r="N66" s="341" t="str" cm="1">
        <f t="array" ref="N6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6" s="38"/>
      <c r="P66" s="28"/>
      <c r="Q66" s="326" t="str" cm="1">
        <f t="array" ref="Q6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6" s="376"/>
      <c r="S66" s="28"/>
      <c r="T66" s="341"/>
      <c r="U66" s="377">
        <v>4</v>
      </c>
      <c r="V66" s="39"/>
      <c r="W66" s="39"/>
      <c r="X66" s="38"/>
      <c r="Y66" s="39"/>
      <c r="Z66" s="39"/>
      <c r="AA66" s="378" t="str" cm="1">
        <f t="array" ref="AA6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7" spans="1:27" x14ac:dyDescent="0.55000000000000004">
      <c r="A6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SS0804</v>
      </c>
      <c r="B67" s="372" t="s">
        <v>368</v>
      </c>
      <c r="C67" s="218" t="s">
        <v>369</v>
      </c>
      <c r="D67" s="218" t="s">
        <v>376</v>
      </c>
      <c r="E67" s="105" t="s">
        <v>377</v>
      </c>
      <c r="F67" s="100"/>
      <c r="G67" s="34"/>
      <c r="H67" s="335"/>
      <c r="I67" s="97">
        <v>225146.74574699899</v>
      </c>
      <c r="J67" s="373"/>
      <c r="K67" s="375"/>
      <c r="L67" s="375"/>
      <c r="M67" s="375"/>
      <c r="N67" s="341" t="str" cm="1">
        <f t="array" ref="N6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7" s="38"/>
      <c r="P67" s="28"/>
      <c r="Q67" s="326" t="str" cm="1">
        <f t="array" ref="Q6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7" s="376"/>
      <c r="S67" s="28"/>
      <c r="T67" s="341"/>
      <c r="U67" s="377">
        <v>4</v>
      </c>
      <c r="V67" s="39"/>
      <c r="W67" s="39"/>
      <c r="X67" s="38"/>
      <c r="Y67" s="39"/>
      <c r="Z67" s="39"/>
      <c r="AA67" s="378" t="str" cm="1">
        <f t="array" ref="AA6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8" spans="1:27" x14ac:dyDescent="0.55000000000000004">
      <c r="A6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SS0805</v>
      </c>
      <c r="B68" s="372" t="s">
        <v>368</v>
      </c>
      <c r="C68" s="218" t="s">
        <v>369</v>
      </c>
      <c r="D68" s="218" t="s">
        <v>378</v>
      </c>
      <c r="E68" s="105" t="s">
        <v>379</v>
      </c>
      <c r="F68" s="100"/>
      <c r="G68" s="34"/>
      <c r="H68" s="335"/>
      <c r="I68" s="97">
        <v>100744.40069511476</v>
      </c>
      <c r="J68" s="373"/>
      <c r="K68" s="375"/>
      <c r="L68" s="375"/>
      <c r="M68" s="375"/>
      <c r="N68" s="341" t="str" cm="1">
        <f t="array" ref="N6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8" s="38"/>
      <c r="P68" s="28"/>
      <c r="Q68" s="326" t="str" cm="1">
        <f t="array" ref="Q6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8" s="376"/>
      <c r="S68" s="28"/>
      <c r="T68" s="341"/>
      <c r="U68" s="377">
        <v>4</v>
      </c>
      <c r="V68" s="39"/>
      <c r="W68" s="39"/>
      <c r="X68" s="38"/>
      <c r="Y68" s="39"/>
      <c r="Z68" s="39"/>
      <c r="AA68" s="378" t="str" cm="1">
        <f t="array" ref="AA6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9" spans="1:27" x14ac:dyDescent="0.55000000000000004">
      <c r="A6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SS0806</v>
      </c>
      <c r="B69" s="372" t="s">
        <v>368</v>
      </c>
      <c r="C69" s="218" t="s">
        <v>369</v>
      </c>
      <c r="D69" s="218" t="s">
        <v>380</v>
      </c>
      <c r="E69" s="105" t="s">
        <v>381</v>
      </c>
      <c r="F69" s="100"/>
      <c r="G69" s="34"/>
      <c r="H69" s="335"/>
      <c r="I69" s="97">
        <v>273923.43999407883</v>
      </c>
      <c r="J69" s="373"/>
      <c r="K69" s="375"/>
      <c r="L69" s="375"/>
      <c r="M69" s="375"/>
      <c r="N69" s="341" t="str" cm="1">
        <f t="array" ref="N6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69" s="38"/>
      <c r="P69" s="28"/>
      <c r="Q69" s="326" t="str" cm="1">
        <f t="array" ref="Q6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69" s="376"/>
      <c r="S69" s="28"/>
      <c r="T69" s="341"/>
      <c r="U69" s="377">
        <v>4</v>
      </c>
      <c r="V69" s="39"/>
      <c r="W69" s="39"/>
      <c r="X69" s="38"/>
      <c r="Y69" s="39"/>
      <c r="Z69" s="39"/>
      <c r="AA69" s="378" t="str" cm="1">
        <f t="array" ref="AA6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0" spans="1:27" x14ac:dyDescent="0.55000000000000004">
      <c r="A7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SS0901</v>
      </c>
      <c r="B70" s="372" t="s">
        <v>382</v>
      </c>
      <c r="C70" s="218" t="s">
        <v>383</v>
      </c>
      <c r="D70" s="218" t="s">
        <v>384</v>
      </c>
      <c r="E70" s="105" t="s">
        <v>385</v>
      </c>
      <c r="F70" s="100"/>
      <c r="G70" s="34"/>
      <c r="H70" s="335"/>
      <c r="I70" s="97">
        <v>245954.26600895866</v>
      </c>
      <c r="J70" s="373"/>
      <c r="K70" s="375"/>
      <c r="L70" s="375"/>
      <c r="M70" s="375"/>
      <c r="N70" s="341" t="str" cm="1">
        <f t="array" ref="N7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0" s="38"/>
      <c r="P70" s="28"/>
      <c r="Q70" s="326" t="str" cm="1">
        <f t="array" ref="Q7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0" s="376"/>
      <c r="S70" s="28"/>
      <c r="T70" s="341"/>
      <c r="U70" s="377">
        <v>3</v>
      </c>
      <c r="V70" s="39"/>
      <c r="W70" s="39"/>
      <c r="X70" s="38"/>
      <c r="Y70" s="39"/>
      <c r="Z70" s="39"/>
      <c r="AA70" s="378" t="str" cm="1">
        <f t="array" ref="AA7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1" spans="1:27" x14ac:dyDescent="0.55000000000000004">
      <c r="A7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SS0902</v>
      </c>
      <c r="B71" s="372" t="s">
        <v>382</v>
      </c>
      <c r="C71" s="218" t="s">
        <v>383</v>
      </c>
      <c r="D71" s="218" t="s">
        <v>386</v>
      </c>
      <c r="E71" s="105" t="s">
        <v>387</v>
      </c>
      <c r="F71" s="100"/>
      <c r="G71" s="34"/>
      <c r="H71" s="335"/>
      <c r="I71" s="97">
        <v>56900.894113844442</v>
      </c>
      <c r="J71" s="373"/>
      <c r="K71" s="375"/>
      <c r="L71" s="375"/>
      <c r="M71" s="375"/>
      <c r="N71" s="341" t="str" cm="1">
        <f t="array" ref="N7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1" s="38"/>
      <c r="P71" s="28"/>
      <c r="Q71" s="326" t="str" cm="1">
        <f t="array" ref="Q7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1" s="376"/>
      <c r="S71" s="28"/>
      <c r="T71" s="341"/>
      <c r="U71" s="377">
        <v>3</v>
      </c>
      <c r="V71" s="39"/>
      <c r="W71" s="39"/>
      <c r="X71" s="38"/>
      <c r="Y71" s="39"/>
      <c r="Z71" s="39"/>
      <c r="AA71" s="378" t="str" cm="1">
        <f t="array" ref="AA7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2" spans="1:27" x14ac:dyDescent="0.55000000000000004">
      <c r="A7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SS0903</v>
      </c>
      <c r="B72" s="372" t="s">
        <v>382</v>
      </c>
      <c r="C72" s="218" t="s">
        <v>383</v>
      </c>
      <c r="D72" s="218" t="s">
        <v>388</v>
      </c>
      <c r="E72" s="105" t="s">
        <v>389</v>
      </c>
      <c r="F72" s="100"/>
      <c r="G72" s="34"/>
      <c r="H72" s="335"/>
      <c r="I72" s="97">
        <v>275440.08334286505</v>
      </c>
      <c r="J72" s="373"/>
      <c r="K72" s="375"/>
      <c r="L72" s="375"/>
      <c r="M72" s="375"/>
      <c r="N72" s="341" t="str" cm="1">
        <f t="array" ref="N7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2" s="38"/>
      <c r="P72" s="28"/>
      <c r="Q72" s="326" t="str" cm="1">
        <f t="array" ref="Q7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2" s="376"/>
      <c r="S72" s="28"/>
      <c r="T72" s="341"/>
      <c r="U72" s="377">
        <v>3</v>
      </c>
      <c r="V72" s="39"/>
      <c r="W72" s="39"/>
      <c r="X72" s="38"/>
      <c r="Y72" s="39"/>
      <c r="Z72" s="39"/>
      <c r="AA72" s="378" t="str" cm="1">
        <f t="array" ref="AA7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3" spans="1:27" x14ac:dyDescent="0.55000000000000004">
      <c r="A73"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SS1001</v>
      </c>
      <c r="B73" s="372" t="s">
        <v>390</v>
      </c>
      <c r="C73" s="218" t="s">
        <v>391</v>
      </c>
      <c r="D73" s="218" t="s">
        <v>392</v>
      </c>
      <c r="E73" s="105" t="s">
        <v>393</v>
      </c>
      <c r="F73" s="100"/>
      <c r="G73" s="34"/>
      <c r="H73" s="335"/>
      <c r="I73" s="97">
        <v>118386.52621738445</v>
      </c>
      <c r="J73" s="373"/>
      <c r="K73" s="375"/>
      <c r="L73" s="375"/>
      <c r="M73" s="375"/>
      <c r="N73" s="341" t="str" cm="1">
        <f t="array" ref="N7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3" s="38"/>
      <c r="P73" s="28"/>
      <c r="Q73" s="326" t="str" cm="1">
        <f t="array" ref="Q73">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3" s="376"/>
      <c r="S73" s="28"/>
      <c r="T73" s="341"/>
      <c r="U73" s="377">
        <v>3</v>
      </c>
      <c r="V73" s="39"/>
      <c r="W73" s="39"/>
      <c r="X73" s="38"/>
      <c r="Y73" s="39"/>
      <c r="Z73" s="39"/>
      <c r="AA73" s="378" t="str" cm="1">
        <f t="array" ref="AA7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4" spans="1:27" x14ac:dyDescent="0.55000000000000004">
      <c r="A74"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SS1002</v>
      </c>
      <c r="B74" s="372" t="s">
        <v>390</v>
      </c>
      <c r="C74" s="218" t="s">
        <v>391</v>
      </c>
      <c r="D74" s="218" t="s">
        <v>394</v>
      </c>
      <c r="E74" s="105" t="s">
        <v>395</v>
      </c>
      <c r="F74" s="100"/>
      <c r="G74" s="34"/>
      <c r="H74" s="335"/>
      <c r="I74" s="97">
        <v>56038.469333248999</v>
      </c>
      <c r="J74" s="373"/>
      <c r="K74" s="375"/>
      <c r="L74" s="375"/>
      <c r="M74" s="375"/>
      <c r="N74" s="341" t="str" cm="1">
        <f t="array" ref="N7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4" s="38"/>
      <c r="P74" s="28"/>
      <c r="Q74" s="326" t="str" cm="1">
        <f t="array" ref="Q74">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4" s="376"/>
      <c r="S74" s="28"/>
      <c r="T74" s="341"/>
      <c r="U74" s="377">
        <v>3</v>
      </c>
      <c r="V74" s="39"/>
      <c r="W74" s="39"/>
      <c r="X74" s="38"/>
      <c r="Y74" s="39"/>
      <c r="Z74" s="39"/>
      <c r="AA74" s="378" t="str" cm="1">
        <f t="array" ref="AA7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5" spans="1:27" x14ac:dyDescent="0.55000000000000004">
      <c r="A75"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SS1003</v>
      </c>
      <c r="B75" s="372" t="s">
        <v>390</v>
      </c>
      <c r="C75" s="218" t="s">
        <v>391</v>
      </c>
      <c r="D75" s="218" t="s">
        <v>396</v>
      </c>
      <c r="E75" s="105" t="s">
        <v>397</v>
      </c>
      <c r="F75" s="100"/>
      <c r="G75" s="34"/>
      <c r="H75" s="335"/>
      <c r="I75" s="97">
        <v>92455.555707202249</v>
      </c>
      <c r="J75" s="373"/>
      <c r="K75" s="375"/>
      <c r="L75" s="375"/>
      <c r="M75" s="375"/>
      <c r="N75" s="341" t="str" cm="1">
        <f t="array" ref="N7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5" s="38"/>
      <c r="P75" s="28"/>
      <c r="Q75" s="326" t="str" cm="1">
        <f t="array" ref="Q75">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5" s="376"/>
      <c r="S75" s="28"/>
      <c r="T75" s="341"/>
      <c r="U75" s="377">
        <v>3</v>
      </c>
      <c r="V75" s="39"/>
      <c r="W75" s="39"/>
      <c r="X75" s="38"/>
      <c r="Y75" s="39"/>
      <c r="Z75" s="39"/>
      <c r="AA75" s="378" t="str" cm="1">
        <f t="array" ref="AA7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6" spans="1:27" x14ac:dyDescent="0.55000000000000004">
      <c r="A76"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SS1004</v>
      </c>
      <c r="B76" s="372" t="s">
        <v>390</v>
      </c>
      <c r="C76" s="218" t="s">
        <v>391</v>
      </c>
      <c r="D76" s="218" t="s">
        <v>398</v>
      </c>
      <c r="E76" s="105" t="s">
        <v>399</v>
      </c>
      <c r="F76" s="100"/>
      <c r="G76" s="34"/>
      <c r="H76" s="335"/>
      <c r="I76" s="97">
        <v>86556.635097788123</v>
      </c>
      <c r="J76" s="373"/>
      <c r="K76" s="375"/>
      <c r="L76" s="375"/>
      <c r="M76" s="375"/>
      <c r="N76" s="341" t="str" cm="1">
        <f t="array" ref="N7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6" s="38"/>
      <c r="P76" s="28"/>
      <c r="Q76" s="326" t="str" cm="1">
        <f t="array" ref="Q76">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6" s="376"/>
      <c r="S76" s="28"/>
      <c r="T76" s="341"/>
      <c r="U76" s="377">
        <v>4</v>
      </c>
      <c r="V76" s="39"/>
      <c r="W76" s="39"/>
      <c r="X76" s="38"/>
      <c r="Y76" s="39"/>
      <c r="Z76" s="39"/>
      <c r="AA76" s="378" t="str" cm="1">
        <f t="array" ref="AA7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7" spans="1:27" x14ac:dyDescent="0.55000000000000004">
      <c r="A77"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SS1005</v>
      </c>
      <c r="B77" s="372" t="s">
        <v>390</v>
      </c>
      <c r="C77" s="218" t="s">
        <v>391</v>
      </c>
      <c r="D77" s="218" t="s">
        <v>400</v>
      </c>
      <c r="E77" s="105" t="s">
        <v>401</v>
      </c>
      <c r="F77" s="100"/>
      <c r="G77" s="34"/>
      <c r="H77" s="335"/>
      <c r="I77" s="97">
        <v>41194.722125272325</v>
      </c>
      <c r="J77" s="373"/>
      <c r="K77" s="375"/>
      <c r="L77" s="375"/>
      <c r="M77" s="375"/>
      <c r="N77" s="341" t="str" cm="1">
        <f t="array" ref="N7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7" s="38"/>
      <c r="P77" s="28"/>
      <c r="Q77" s="326" t="str" cm="1">
        <f t="array" ref="Q77">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7" s="376"/>
      <c r="S77" s="28"/>
      <c r="T77" s="341"/>
      <c r="U77" s="377">
        <v>3</v>
      </c>
      <c r="V77" s="39"/>
      <c r="W77" s="39"/>
      <c r="X77" s="38"/>
      <c r="Y77" s="39"/>
      <c r="Z77" s="39"/>
      <c r="AA77" s="378" t="str" cm="1">
        <f t="array" ref="AA7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8" spans="1:27" x14ac:dyDescent="0.55000000000000004">
      <c r="A78"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SS1006</v>
      </c>
      <c r="B78" s="372" t="s">
        <v>390</v>
      </c>
      <c r="C78" s="218" t="s">
        <v>391</v>
      </c>
      <c r="D78" s="218" t="s">
        <v>402</v>
      </c>
      <c r="E78" s="105" t="s">
        <v>403</v>
      </c>
      <c r="F78" s="100"/>
      <c r="G78" s="34"/>
      <c r="H78" s="335"/>
      <c r="I78" s="97">
        <v>62237.727696807931</v>
      </c>
      <c r="J78" s="373"/>
      <c r="K78" s="375"/>
      <c r="L78" s="375"/>
      <c r="M78" s="375"/>
      <c r="N78" s="341" t="str" cm="1">
        <f t="array" ref="N7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8" s="38"/>
      <c r="P78" s="28"/>
      <c r="Q78" s="326" t="str" cm="1">
        <f t="array" ref="Q78">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8" s="376"/>
      <c r="S78" s="28"/>
      <c r="T78" s="341"/>
      <c r="U78" s="377">
        <v>3</v>
      </c>
      <c r="V78" s="39"/>
      <c r="W78" s="39"/>
      <c r="X78" s="38"/>
      <c r="Y78" s="39"/>
      <c r="Z78" s="39"/>
      <c r="AA78" s="378" t="str" cm="1">
        <f t="array" ref="AA7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9" spans="1:27" x14ac:dyDescent="0.55000000000000004">
      <c r="A79"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SS1007</v>
      </c>
      <c r="B79" s="372" t="s">
        <v>390</v>
      </c>
      <c r="C79" s="218" t="s">
        <v>391</v>
      </c>
      <c r="D79" s="218" t="s">
        <v>404</v>
      </c>
      <c r="E79" s="105" t="s">
        <v>405</v>
      </c>
      <c r="F79" s="100"/>
      <c r="G79" s="34"/>
      <c r="H79" s="335"/>
      <c r="I79" s="97">
        <v>57065.730333463493</v>
      </c>
      <c r="J79" s="373"/>
      <c r="K79" s="375"/>
      <c r="L79" s="375"/>
      <c r="M79" s="375"/>
      <c r="N79" s="341" t="str" cm="1">
        <f t="array" ref="N7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79" s="38"/>
      <c r="P79" s="28"/>
      <c r="Q79" s="326" t="str" cm="1">
        <f t="array" ref="Q79">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79" s="376"/>
      <c r="S79" s="28"/>
      <c r="T79" s="341"/>
      <c r="U79" s="377">
        <v>4</v>
      </c>
      <c r="V79" s="39"/>
      <c r="W79" s="39"/>
      <c r="X79" s="38"/>
      <c r="Y79" s="39"/>
      <c r="Z79" s="39"/>
      <c r="AA79" s="378" t="str" cm="1">
        <f t="array" ref="AA7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0" spans="1:27" x14ac:dyDescent="0.55000000000000004">
      <c r="A80"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SS1008</v>
      </c>
      <c r="B80" s="372" t="s">
        <v>390</v>
      </c>
      <c r="C80" s="218" t="s">
        <v>391</v>
      </c>
      <c r="D80" s="218" t="s">
        <v>406</v>
      </c>
      <c r="E80" s="105" t="s">
        <v>407</v>
      </c>
      <c r="F80" s="100"/>
      <c r="G80" s="34"/>
      <c r="H80" s="335"/>
      <c r="I80" s="97">
        <v>68629.12840323319</v>
      </c>
      <c r="J80" s="373"/>
      <c r="K80" s="375"/>
      <c r="L80" s="375"/>
      <c r="M80" s="375"/>
      <c r="N80" s="341" t="str" cm="1">
        <f t="array" ref="N8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0" s="38"/>
      <c r="P80" s="28"/>
      <c r="Q80" s="326" t="str" cm="1">
        <f t="array" ref="Q80">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0" s="376"/>
      <c r="S80" s="28"/>
      <c r="T80" s="341"/>
      <c r="U80" s="377">
        <v>3</v>
      </c>
      <c r="V80" s="39"/>
      <c r="W80" s="39"/>
      <c r="X80" s="38"/>
      <c r="Y80" s="39"/>
      <c r="Z80" s="39"/>
      <c r="AA80" s="378" t="str" cm="1">
        <f t="array" ref="AA8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1" spans="1:27" x14ac:dyDescent="0.55000000000000004">
      <c r="A81"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SS1009</v>
      </c>
      <c r="B81" s="372" t="s">
        <v>390</v>
      </c>
      <c r="C81" s="218" t="s">
        <v>391</v>
      </c>
      <c r="D81" s="218" t="s">
        <v>408</v>
      </c>
      <c r="E81" s="105" t="s">
        <v>409</v>
      </c>
      <c r="F81" s="100"/>
      <c r="G81" s="34"/>
      <c r="H81" s="335"/>
      <c r="I81" s="97">
        <v>103088.49954923632</v>
      </c>
      <c r="J81" s="373"/>
      <c r="K81" s="375"/>
      <c r="L81" s="375"/>
      <c r="M81" s="375"/>
      <c r="N81" s="341" t="str" cm="1">
        <f t="array" ref="N8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1" s="38"/>
      <c r="P81" s="28"/>
      <c r="Q81" s="326" t="str" cm="1">
        <f t="array" ref="Q81">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1" s="376"/>
      <c r="S81" s="28"/>
      <c r="T81" s="341"/>
      <c r="U81" s="377">
        <v>5</v>
      </c>
      <c r="V81" s="39"/>
      <c r="W81" s="39"/>
      <c r="X81" s="38"/>
      <c r="Y81" s="39"/>
      <c r="Z81" s="39"/>
      <c r="AA81" s="378" t="str" cm="1">
        <f t="array" ref="AA8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2" spans="1:27" x14ac:dyDescent="0.55000000000000004">
      <c r="A82" s="371"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SS1010</v>
      </c>
      <c r="B82" s="372" t="s">
        <v>390</v>
      </c>
      <c r="C82" s="218" t="s">
        <v>391</v>
      </c>
      <c r="D82" s="218" t="s">
        <v>410</v>
      </c>
      <c r="E82" s="105" t="s">
        <v>411</v>
      </c>
      <c r="F82" s="100"/>
      <c r="G82" s="34"/>
      <c r="H82" s="335"/>
      <c r="I82" s="97">
        <v>141282.96761421158</v>
      </c>
      <c r="J82" s="374"/>
      <c r="K82" s="375"/>
      <c r="L82" s="375"/>
      <c r="M82" s="375"/>
      <c r="N82" s="341" t="str" cm="1">
        <f t="array" ref="N8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
      </c>
      <c r="O82" s="38"/>
      <c r="P82" s="28"/>
      <c r="Q82" s="326" t="str" cm="1">
        <f t="array" ref="Q82">IFERROR(_xlfn.IFS(AND(tblSeverityReference[[#This Row],[WHZ]]="", tblSeverityReference[[#This Row],[MUAC]]=""), "", OR(tblSeverityReference[[#This Row],[WHZ]] &gt;= 0.3, tblSeverityReference[[#This Row],[MUAC]]&gt;0.15), 5, OR(tblSeverityReference[[#This Row],[WHZ]] &gt;=0.15, tblSeverityReference[[#This Row],[MUAC]]&gt;0.1),  4, OR(tblSeverityReference[[#This Row],[WHZ]] &gt;=0.1,tblSeverityReference[[#This Row],[MUAC]]&gt;0.05), 3, OR(tblSeverityReference[[#This Row],[WHZ]] &gt;= 0.05, tblSeverityReference[[#This Row],[MUAC]]&gt;=0), 2, tblSeverityReference[[#This Row],[WHZ]] &gt;=0, 1), "")</f>
        <v/>
      </c>
      <c r="R82" s="376"/>
      <c r="S82" s="28"/>
      <c r="T82" s="341"/>
      <c r="U82" s="377">
        <v>4</v>
      </c>
      <c r="V82" s="39"/>
      <c r="W82" s="39"/>
      <c r="X82" s="38"/>
      <c r="Y82" s="39"/>
      <c r="Z82" s="39"/>
      <c r="AA82" s="378" t="str" cm="1">
        <f t="array" ref="AA8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sheetData>
  <mergeCells count="5">
    <mergeCell ref="K2:T2"/>
    <mergeCell ref="V2:AA2"/>
    <mergeCell ref="B2:G2"/>
    <mergeCell ref="I2:J2"/>
    <mergeCell ref="K1:AA1"/>
  </mergeCells>
  <phoneticPr fontId="9" type="noConversion"/>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605D-1CF6-487C-9F01-BCA653880A54}">
  <sheetPr>
    <tabColor theme="9"/>
  </sheetPr>
  <dimension ref="A1:AM240"/>
  <sheetViews>
    <sheetView zoomScale="70" zoomScaleNormal="70" workbookViewId="0">
      <selection activeCell="R172" sqref="R172"/>
    </sheetView>
  </sheetViews>
  <sheetFormatPr defaultColWidth="8.578125" defaultRowHeight="14.4" x14ac:dyDescent="0.55000000000000004"/>
  <cols>
    <col min="1" max="1" width="6.68359375" style="66" bestFit="1" customWidth="1"/>
    <col min="2" max="2" width="20" style="103" bestFit="1" customWidth="1"/>
    <col min="3" max="3" width="13.83984375" style="103" customWidth="1"/>
    <col min="4" max="4" width="22.68359375" style="103" bestFit="1" customWidth="1"/>
    <col min="5" max="5" width="14.578125" style="103" customWidth="1"/>
    <col min="6" max="8" width="18.26171875" style="20" hidden="1" customWidth="1"/>
    <col min="9" max="9" width="15.41796875" style="21" customWidth="1"/>
    <col min="10" max="10" width="18" style="21" customWidth="1"/>
    <col min="11" max="11" width="14.578125" style="22" bestFit="1" customWidth="1"/>
    <col min="12" max="12" width="14.578125" style="21" bestFit="1" customWidth="1"/>
    <col min="13" max="13" width="16.41796875" style="21" bestFit="1" customWidth="1"/>
    <col min="14" max="14" width="16" style="21" bestFit="1" customWidth="1"/>
    <col min="15" max="15" width="14.578125" style="21" bestFit="1" customWidth="1"/>
    <col min="16" max="16" width="14.83984375" style="21" bestFit="1" customWidth="1"/>
    <col min="17" max="17" width="14.578125" style="21" bestFit="1" customWidth="1"/>
    <col min="18" max="18" width="12.15625" style="21" bestFit="1" customWidth="1"/>
    <col min="19" max="19" width="11.68359375" style="21" customWidth="1"/>
    <col min="20" max="20" width="12" style="21" customWidth="1"/>
    <col min="21" max="21" width="14.41796875" style="21" bestFit="1" customWidth="1"/>
    <col min="22" max="22" width="8.68359375" style="21" bestFit="1" customWidth="1"/>
    <col min="23" max="23" width="19.68359375" style="22" bestFit="1" customWidth="1"/>
    <col min="24" max="26" width="25.15625" style="17" customWidth="1"/>
    <col min="27" max="27" width="25.41796875" customWidth="1"/>
    <col min="28" max="28" width="24.26171875" customWidth="1"/>
    <col min="29" max="29" width="25.83984375" style="17" customWidth="1"/>
    <col min="30" max="30" width="38.578125" style="17" customWidth="1"/>
    <col min="31" max="31" width="57.26171875" style="17" customWidth="1"/>
    <col min="32" max="32" width="25.41796875" style="17" customWidth="1"/>
    <col min="33" max="33" width="27.26171875" customWidth="1"/>
    <col min="34" max="34" width="22.15625" customWidth="1"/>
    <col min="35" max="35" width="16" style="17" customWidth="1"/>
    <col min="36" max="36" width="11.15625" customWidth="1"/>
    <col min="37" max="37" width="12.578125" style="24" customWidth="1"/>
    <col min="38" max="38" width="20" style="21" bestFit="1" customWidth="1"/>
    <col min="39" max="39" width="46.15625" style="17" customWidth="1"/>
  </cols>
  <sheetData>
    <row r="1" spans="1:39" ht="24" customHeight="1" thickBot="1" x14ac:dyDescent="0.65">
      <c r="K1" s="681">
        <f>SUM(tblPiNAnalysis56[CCCM])</f>
        <v>14999999.999999981</v>
      </c>
      <c r="L1" s="681">
        <f>SUM(tblPiNAnalysis56[Education])</f>
        <v>30230227.473076884</v>
      </c>
      <c r="M1" s="681">
        <f>SUM(tblPiNAnalysis56[Nutrition])</f>
        <v>120041308.46222518</v>
      </c>
      <c r="N1" s="681">
        <f>SUM(tblPiNAnalysis56[Food Security])</f>
        <v>360433589.18376726</v>
      </c>
      <c r="O1" s="681">
        <f>SUM(tblPiNAnalysis56[Health])</f>
        <v>75143835.336635619</v>
      </c>
      <c r="P1" s="681">
        <f>SUM(tblPiNAnalysis56[Overarching Protection])</f>
        <v>71431800.169258431</v>
      </c>
      <c r="Q1" s="681">
        <f>SUM(tblPiNAnalysis56[Shelter])</f>
        <v>30000000.209344763</v>
      </c>
      <c r="R1" s="21">
        <f>SUM(tblPiNAnalysis56[WASH])</f>
        <v>59828206.879573368</v>
      </c>
      <c r="S1" s="21">
        <f>SUM(tblPiNAnalysis56[CP])</f>
        <v>0</v>
      </c>
      <c r="T1" s="21">
        <f>SUM(tblPiNAnalysis56[GBV])</f>
        <v>0</v>
      </c>
      <c r="U1" s="21">
        <f>SUM(tblPiNAnalysis56[Mine Action])</f>
        <v>0</v>
      </c>
      <c r="V1" s="21">
        <f>SUM(tblPiNAnalysis56[HLP])</f>
        <v>0</v>
      </c>
      <c r="W1" s="21">
        <f>SUM(tblPiNAnalysis56[Total requirements])</f>
        <v>762108967.71388149</v>
      </c>
      <c r="X1"/>
      <c r="Y1"/>
      <c r="Z1"/>
      <c r="AC1"/>
      <c r="AD1"/>
      <c r="AE1"/>
      <c r="AF1"/>
      <c r="AI1"/>
      <c r="AK1"/>
      <c r="AL1"/>
      <c r="AM1"/>
    </row>
    <row r="2" spans="1:39" ht="15" thickTop="1" thickBot="1" x14ac:dyDescent="0.6">
      <c r="A2" s="130"/>
      <c r="B2" s="784" t="s">
        <v>61</v>
      </c>
      <c r="C2" s="784"/>
      <c r="D2" s="784"/>
      <c r="E2" s="784"/>
      <c r="F2" s="784"/>
      <c r="G2" s="784"/>
      <c r="H2" s="310"/>
      <c r="I2" s="785" t="s">
        <v>62</v>
      </c>
      <c r="J2" s="785"/>
      <c r="K2" s="787" t="s">
        <v>432</v>
      </c>
      <c r="L2" s="787"/>
      <c r="M2" s="787"/>
      <c r="N2" s="787"/>
      <c r="O2" s="787"/>
      <c r="P2" s="787"/>
      <c r="Q2" s="787"/>
      <c r="R2" s="787"/>
      <c r="S2" s="796" t="s">
        <v>64</v>
      </c>
      <c r="T2" s="796"/>
      <c r="U2" s="796"/>
      <c r="V2" s="797"/>
      <c r="W2"/>
      <c r="X2"/>
      <c r="Y2"/>
      <c r="Z2"/>
      <c r="AA2" t="s">
        <v>474</v>
      </c>
      <c r="AB2" s="558">
        <f>SUM(AB4:AB15)</f>
        <v>942771404.9859128</v>
      </c>
      <c r="AC2"/>
      <c r="AD2"/>
      <c r="AE2"/>
      <c r="AF2"/>
      <c r="AI2"/>
      <c r="AK2"/>
      <c r="AL2"/>
      <c r="AM2"/>
    </row>
    <row r="3" spans="1:39" ht="60.6" thickTop="1" thickBot="1" x14ac:dyDescent="0.6">
      <c r="A3" s="685" t="s">
        <v>74</v>
      </c>
      <c r="B3" s="686" t="s">
        <v>75</v>
      </c>
      <c r="C3" s="687" t="s">
        <v>76</v>
      </c>
      <c r="D3" s="687" t="s">
        <v>77</v>
      </c>
      <c r="E3" s="687" t="s">
        <v>78</v>
      </c>
      <c r="F3" s="688" t="s">
        <v>79</v>
      </c>
      <c r="G3" s="688" t="s">
        <v>80</v>
      </c>
      <c r="H3" s="688" t="s">
        <v>228</v>
      </c>
      <c r="I3" s="689" t="s">
        <v>431</v>
      </c>
      <c r="J3" s="685" t="s">
        <v>82</v>
      </c>
      <c r="K3" s="690" t="s">
        <v>83</v>
      </c>
      <c r="L3" s="691" t="s">
        <v>56</v>
      </c>
      <c r="M3" s="691" t="s">
        <v>84</v>
      </c>
      <c r="N3" s="691" t="s">
        <v>85</v>
      </c>
      <c r="O3" s="691" t="s">
        <v>86</v>
      </c>
      <c r="P3" s="691" t="s">
        <v>87</v>
      </c>
      <c r="Q3" s="691" t="s">
        <v>88</v>
      </c>
      <c r="R3" s="692" t="s">
        <v>89</v>
      </c>
      <c r="S3" s="693" t="s">
        <v>90</v>
      </c>
      <c r="T3" s="693" t="s">
        <v>91</v>
      </c>
      <c r="U3" s="693" t="s">
        <v>92</v>
      </c>
      <c r="V3" s="694" t="s">
        <v>93</v>
      </c>
      <c r="W3" s="695" t="s">
        <v>433</v>
      </c>
      <c r="X3"/>
      <c r="Y3"/>
      <c r="Z3"/>
      <c r="AA3" s="93" t="s">
        <v>487</v>
      </c>
      <c r="AB3" s="93" t="s">
        <v>488</v>
      </c>
      <c r="AC3"/>
      <c r="AD3"/>
      <c r="AE3"/>
      <c r="AF3"/>
      <c r="AI3"/>
      <c r="AK3"/>
      <c r="AL3"/>
      <c r="AM3"/>
    </row>
    <row r="4" spans="1:39" s="244" customFormat="1" ht="27.9" thickTop="1" x14ac:dyDescent="0.55000000000000004">
      <c r="A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 s="259" t="s">
        <v>233</v>
      </c>
      <c r="C4" s="218" t="s">
        <v>234</v>
      </c>
      <c r="D4" s="260" t="s">
        <v>233</v>
      </c>
      <c r="E4" s="260" t="s">
        <v>235</v>
      </c>
      <c r="F4" s="100"/>
      <c r="G4" s="34"/>
      <c r="H4" s="34"/>
      <c r="I4" s="97">
        <v>122221.68957757292</v>
      </c>
      <c r="J4" s="226" t="s">
        <v>412</v>
      </c>
      <c r="K4" s="261">
        <v>407616.44922593597</v>
      </c>
      <c r="L4" s="219">
        <v>988333.47060008545</v>
      </c>
      <c r="M4" s="219">
        <v>1305321.3619659734</v>
      </c>
      <c r="N4" s="219">
        <v>6652284.3046917822</v>
      </c>
      <c r="O4" s="219">
        <v>1560217.5807509182</v>
      </c>
      <c r="P4" s="219">
        <v>1662326.552320384</v>
      </c>
      <c r="Q4" s="229">
        <v>1119782.9207150242</v>
      </c>
      <c r="R4" s="219">
        <v>364401.70411091181</v>
      </c>
      <c r="S4" s="219"/>
      <c r="T4" s="219"/>
      <c r="U4" s="219"/>
      <c r="V4" s="219"/>
      <c r="W4" s="402">
        <f>SUM(tblPiNAnalysis56[[#This Row],[CCCM]:[WASH]])</f>
        <v>14060284.344381014</v>
      </c>
      <c r="X4" s="279"/>
      <c r="Y4" s="279"/>
      <c r="Z4" s="244">
        <v>1</v>
      </c>
      <c r="AA4" s="553" t="s">
        <v>83</v>
      </c>
      <c r="AB4" s="555">
        <v>16927678</v>
      </c>
      <c r="AC4" s="279"/>
      <c r="AD4" s="279"/>
      <c r="AE4" s="279"/>
      <c r="AF4" s="279"/>
      <c r="AI4" s="279"/>
      <c r="AK4" s="281"/>
      <c r="AL4" s="282"/>
      <c r="AM4" s="279"/>
    </row>
    <row r="5" spans="1:39" s="244" customFormat="1" x14ac:dyDescent="0.55000000000000004">
      <c r="A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 s="259" t="s">
        <v>236</v>
      </c>
      <c r="C5" s="218" t="s">
        <v>237</v>
      </c>
      <c r="D5" s="260" t="s">
        <v>238</v>
      </c>
      <c r="E5" s="260" t="s">
        <v>239</v>
      </c>
      <c r="F5" s="100"/>
      <c r="G5" s="34"/>
      <c r="H5" s="34"/>
      <c r="I5" s="97">
        <v>185655.53028576757</v>
      </c>
      <c r="J5" s="226" t="s">
        <v>412</v>
      </c>
      <c r="K5" s="261">
        <v>0</v>
      </c>
      <c r="L5" s="219">
        <v>0</v>
      </c>
      <c r="M5" s="219">
        <v>0</v>
      </c>
      <c r="N5" s="219">
        <v>0</v>
      </c>
      <c r="O5" s="219">
        <v>0</v>
      </c>
      <c r="P5" s="219">
        <v>0</v>
      </c>
      <c r="Q5" s="229">
        <v>0</v>
      </c>
      <c r="R5" s="219">
        <v>0</v>
      </c>
      <c r="S5" s="219"/>
      <c r="T5" s="219"/>
      <c r="U5" s="219"/>
      <c r="V5" s="219"/>
      <c r="W5" s="267">
        <f>SUM(tblPiNAnalysis56[[#This Row],[CCCM]:[WASH]])</f>
        <v>0</v>
      </c>
      <c r="X5" s="279"/>
      <c r="Y5" s="279"/>
      <c r="Z5" s="244">
        <v>2</v>
      </c>
      <c r="AA5" s="553" t="s">
        <v>56</v>
      </c>
      <c r="AB5" s="555">
        <v>47731938.115384571</v>
      </c>
      <c r="AC5" s="279"/>
      <c r="AD5" s="279"/>
      <c r="AE5" s="279"/>
      <c r="AF5" s="279"/>
      <c r="AI5" s="279"/>
      <c r="AK5" s="281"/>
      <c r="AL5" s="282"/>
      <c r="AM5" s="279"/>
    </row>
    <row r="6" spans="1:39" s="244" customFormat="1" x14ac:dyDescent="0.55000000000000004">
      <c r="A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 s="259" t="s">
        <v>236</v>
      </c>
      <c r="C6" s="218" t="s">
        <v>237</v>
      </c>
      <c r="D6" s="260" t="s">
        <v>240</v>
      </c>
      <c r="E6" s="105" t="s">
        <v>241</v>
      </c>
      <c r="F6" s="100"/>
      <c r="G6" s="34"/>
      <c r="H6" s="34"/>
      <c r="I6" s="97">
        <v>16311.747528959717</v>
      </c>
      <c r="J6" s="226" t="s">
        <v>412</v>
      </c>
      <c r="K6" s="261">
        <v>0</v>
      </c>
      <c r="L6" s="219">
        <v>0</v>
      </c>
      <c r="M6" s="219">
        <v>0</v>
      </c>
      <c r="N6" s="219">
        <v>0</v>
      </c>
      <c r="O6" s="219">
        <v>0</v>
      </c>
      <c r="P6" s="219">
        <v>0</v>
      </c>
      <c r="Q6" s="229">
        <v>0</v>
      </c>
      <c r="R6" s="219">
        <v>0</v>
      </c>
      <c r="S6" s="219"/>
      <c r="T6" s="219"/>
      <c r="U6" s="219"/>
      <c r="V6" s="219"/>
      <c r="W6" s="267">
        <f>SUM(tblPiNAnalysis56[[#This Row],[CCCM]:[WASH]])</f>
        <v>0</v>
      </c>
      <c r="X6" s="279"/>
      <c r="Y6" s="279"/>
      <c r="Z6" s="244">
        <v>3</v>
      </c>
      <c r="AA6" s="553" t="s">
        <v>84</v>
      </c>
      <c r="AB6" s="555">
        <v>0</v>
      </c>
      <c r="AC6" s="279"/>
      <c r="AD6" s="279"/>
      <c r="AE6" s="279"/>
      <c r="AF6" s="279"/>
      <c r="AI6" s="279"/>
      <c r="AK6" s="281"/>
      <c r="AL6" s="282"/>
      <c r="AM6" s="279"/>
    </row>
    <row r="7" spans="1:39" s="244" customFormat="1" x14ac:dyDescent="0.55000000000000004">
      <c r="A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 s="259" t="s">
        <v>236</v>
      </c>
      <c r="C7" s="218" t="s">
        <v>237</v>
      </c>
      <c r="D7" s="260" t="s">
        <v>242</v>
      </c>
      <c r="E7" s="105" t="s">
        <v>243</v>
      </c>
      <c r="F7" s="100"/>
      <c r="G7" s="34"/>
      <c r="H7" s="34"/>
      <c r="I7" s="97">
        <v>7434.8763775539119</v>
      </c>
      <c r="J7" s="226" t="s">
        <v>412</v>
      </c>
      <c r="K7" s="261">
        <v>0</v>
      </c>
      <c r="L7" s="219">
        <v>0</v>
      </c>
      <c r="M7" s="219">
        <v>0</v>
      </c>
      <c r="N7" s="219">
        <v>0</v>
      </c>
      <c r="O7" s="219">
        <v>0</v>
      </c>
      <c r="P7" s="219">
        <v>0</v>
      </c>
      <c r="Q7" s="229">
        <v>0</v>
      </c>
      <c r="R7" s="219">
        <v>0</v>
      </c>
      <c r="S7" s="219"/>
      <c r="T7" s="219"/>
      <c r="U7" s="219"/>
      <c r="V7" s="219"/>
      <c r="W7" s="267">
        <f>SUM(tblPiNAnalysis56[[#This Row],[CCCM]:[WASH]])</f>
        <v>0</v>
      </c>
      <c r="X7" s="279"/>
      <c r="Y7" s="279"/>
      <c r="Z7" s="244">
        <v>4</v>
      </c>
      <c r="AA7" s="553" t="s">
        <v>85</v>
      </c>
      <c r="AB7" s="555">
        <v>410560173.21042466</v>
      </c>
      <c r="AC7" s="279"/>
      <c r="AD7" s="279"/>
      <c r="AE7" s="279"/>
      <c r="AF7" s="279"/>
      <c r="AI7" s="279"/>
      <c r="AK7" s="281"/>
      <c r="AL7" s="282"/>
      <c r="AM7" s="279"/>
    </row>
    <row r="8" spans="1:39" x14ac:dyDescent="0.55000000000000004">
      <c r="A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 s="316" t="s">
        <v>236</v>
      </c>
      <c r="C8" s="218" t="s">
        <v>237</v>
      </c>
      <c r="D8" s="218" t="s">
        <v>244</v>
      </c>
      <c r="E8" s="105" t="s">
        <v>245</v>
      </c>
      <c r="F8" s="100"/>
      <c r="G8" s="34"/>
      <c r="H8" s="34"/>
      <c r="I8" s="97">
        <v>10995.852324765609</v>
      </c>
      <c r="J8" s="97" t="s">
        <v>412</v>
      </c>
      <c r="K8" s="261">
        <v>0</v>
      </c>
      <c r="L8" s="219">
        <v>0</v>
      </c>
      <c r="M8" s="319">
        <v>0</v>
      </c>
      <c r="N8" s="319">
        <v>0</v>
      </c>
      <c r="O8" s="319">
        <v>0</v>
      </c>
      <c r="P8" s="319">
        <v>0</v>
      </c>
      <c r="Q8" s="229">
        <v>0</v>
      </c>
      <c r="R8" s="219">
        <v>0</v>
      </c>
      <c r="S8" s="319"/>
      <c r="T8" s="319"/>
      <c r="U8" s="319"/>
      <c r="V8" s="319"/>
      <c r="W8" s="326">
        <f>SUM(tblPiNAnalysis56[[#This Row],[CCCM]:[WASH]])</f>
        <v>0</v>
      </c>
      <c r="Z8" s="244">
        <v>5</v>
      </c>
      <c r="AA8" s="553" t="s">
        <v>86</v>
      </c>
      <c r="AB8" s="555">
        <v>113653248.07153325</v>
      </c>
    </row>
    <row r="9" spans="1:39" x14ac:dyDescent="0.55000000000000004">
      <c r="A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 s="316" t="s">
        <v>236</v>
      </c>
      <c r="C9" s="218" t="s">
        <v>237</v>
      </c>
      <c r="D9" s="218" t="s">
        <v>246</v>
      </c>
      <c r="E9" s="105" t="s">
        <v>247</v>
      </c>
      <c r="F9" s="100"/>
      <c r="G9" s="34"/>
      <c r="H9" s="34"/>
      <c r="I9" s="97">
        <v>13333.613326350463</v>
      </c>
      <c r="J9" s="97" t="s">
        <v>412</v>
      </c>
      <c r="K9" s="261">
        <v>0</v>
      </c>
      <c r="L9" s="219">
        <v>0</v>
      </c>
      <c r="M9" s="319">
        <v>0</v>
      </c>
      <c r="N9" s="319">
        <v>0</v>
      </c>
      <c r="O9" s="319">
        <v>0</v>
      </c>
      <c r="P9" s="319">
        <v>0</v>
      </c>
      <c r="Q9" s="229">
        <v>0</v>
      </c>
      <c r="R9" s="219">
        <v>0</v>
      </c>
      <c r="S9" s="319"/>
      <c r="T9" s="319"/>
      <c r="U9" s="319"/>
      <c r="V9" s="319"/>
      <c r="W9" s="326">
        <f>SUM(tblPiNAnalysis56[[#This Row],[CCCM]:[WASH]])</f>
        <v>0</v>
      </c>
      <c r="Z9" s="244">
        <v>6</v>
      </c>
      <c r="AA9" s="553" t="s">
        <v>87</v>
      </c>
      <c r="AB9" s="555">
        <v>82102763.554887801</v>
      </c>
    </row>
    <row r="10" spans="1:39" x14ac:dyDescent="0.55000000000000004">
      <c r="A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 s="316" t="s">
        <v>236</v>
      </c>
      <c r="C10" s="218" t="s">
        <v>237</v>
      </c>
      <c r="D10" s="218" t="s">
        <v>248</v>
      </c>
      <c r="E10" s="105" t="s">
        <v>249</v>
      </c>
      <c r="F10" s="100"/>
      <c r="G10" s="34"/>
      <c r="H10" s="34"/>
      <c r="I10" s="97">
        <v>38535.006634969555</v>
      </c>
      <c r="J10" s="97" t="s">
        <v>412</v>
      </c>
      <c r="K10" s="261">
        <v>0</v>
      </c>
      <c r="L10" s="219">
        <v>0</v>
      </c>
      <c r="M10" s="319">
        <v>0</v>
      </c>
      <c r="N10" s="319">
        <v>0</v>
      </c>
      <c r="O10" s="319">
        <v>0</v>
      </c>
      <c r="P10" s="319">
        <v>0</v>
      </c>
      <c r="Q10" s="229">
        <v>0</v>
      </c>
      <c r="R10" s="219">
        <v>0</v>
      </c>
      <c r="S10" s="319"/>
      <c r="T10" s="319"/>
      <c r="U10" s="319"/>
      <c r="V10" s="319"/>
      <c r="W10" s="326">
        <f>SUM(tblPiNAnalysis56[[#This Row],[CCCM]:[WASH]])</f>
        <v>0</v>
      </c>
      <c r="Z10" s="244">
        <v>7</v>
      </c>
      <c r="AA10" s="553" t="s">
        <v>88</v>
      </c>
      <c r="AB10" s="555">
        <v>51383194.176345289</v>
      </c>
    </row>
    <row r="11" spans="1:39" x14ac:dyDescent="0.55000000000000004">
      <c r="A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 s="316" t="s">
        <v>250</v>
      </c>
      <c r="C11" s="218" t="s">
        <v>251</v>
      </c>
      <c r="D11" s="218" t="s">
        <v>252</v>
      </c>
      <c r="E11" s="105" t="s">
        <v>253</v>
      </c>
      <c r="F11" s="100"/>
      <c r="G11" s="34"/>
      <c r="H11" s="34"/>
      <c r="I11" s="97">
        <v>4566.5835894145539</v>
      </c>
      <c r="J11" s="97" t="s">
        <v>412</v>
      </c>
      <c r="K11" s="261">
        <v>0</v>
      </c>
      <c r="L11" s="219">
        <v>0</v>
      </c>
      <c r="M11" s="319">
        <v>0</v>
      </c>
      <c r="N11" s="319">
        <v>0</v>
      </c>
      <c r="O11" s="319">
        <v>0</v>
      </c>
      <c r="P11" s="319">
        <v>0</v>
      </c>
      <c r="Q11" s="229">
        <v>0</v>
      </c>
      <c r="R11" s="219">
        <v>0</v>
      </c>
      <c r="S11" s="319"/>
      <c r="T11" s="319"/>
      <c r="U11" s="319"/>
      <c r="V11" s="319"/>
      <c r="W11" s="326">
        <f>SUM(tblPiNAnalysis56[[#This Row],[CCCM]:[WASH]])</f>
        <v>0</v>
      </c>
      <c r="Z11" s="244">
        <v>8</v>
      </c>
      <c r="AA11" s="553" t="s">
        <v>89</v>
      </c>
      <c r="AB11" s="555">
        <v>88875234.857337266</v>
      </c>
    </row>
    <row r="12" spans="1:39" x14ac:dyDescent="0.55000000000000004">
      <c r="A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 s="316" t="s">
        <v>250</v>
      </c>
      <c r="C12" s="218" t="s">
        <v>251</v>
      </c>
      <c r="D12" s="218" t="s">
        <v>254</v>
      </c>
      <c r="E12" s="105" t="s">
        <v>255</v>
      </c>
      <c r="F12" s="100"/>
      <c r="G12" s="34"/>
      <c r="H12" s="34"/>
      <c r="I12" s="97">
        <v>6185.6711628854973</v>
      </c>
      <c r="J12" s="97" t="s">
        <v>412</v>
      </c>
      <c r="K12" s="261">
        <v>0</v>
      </c>
      <c r="L12" s="219">
        <v>0</v>
      </c>
      <c r="M12" s="319">
        <v>0</v>
      </c>
      <c r="N12" s="319">
        <v>0</v>
      </c>
      <c r="O12" s="319">
        <v>0</v>
      </c>
      <c r="P12" s="319">
        <v>0</v>
      </c>
      <c r="Q12" s="229">
        <v>0</v>
      </c>
      <c r="R12" s="219">
        <v>0</v>
      </c>
      <c r="S12" s="319"/>
      <c r="T12" s="319"/>
      <c r="U12" s="319"/>
      <c r="V12" s="319"/>
      <c r="W12" s="326">
        <f>SUM(tblPiNAnalysis56[[#This Row],[CCCM]:[WASH]])</f>
        <v>0</v>
      </c>
      <c r="Z12" s="244">
        <v>9</v>
      </c>
      <c r="AA12" s="553" t="s">
        <v>499</v>
      </c>
      <c r="AB12" s="352">
        <v>33230246</v>
      </c>
    </row>
    <row r="13" spans="1:39" x14ac:dyDescent="0.55000000000000004">
      <c r="A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 s="316" t="s">
        <v>250</v>
      </c>
      <c r="C13" s="218" t="s">
        <v>251</v>
      </c>
      <c r="D13" s="218" t="s">
        <v>256</v>
      </c>
      <c r="E13" s="105" t="s">
        <v>257</v>
      </c>
      <c r="F13" s="100"/>
      <c r="G13" s="34"/>
      <c r="H13" s="34"/>
      <c r="I13" s="97">
        <v>2159.7729564411493</v>
      </c>
      <c r="J13" s="97" t="s">
        <v>412</v>
      </c>
      <c r="K13" s="261">
        <v>0</v>
      </c>
      <c r="L13" s="219">
        <v>14017.790396485638</v>
      </c>
      <c r="M13" s="319">
        <v>23806.653138043475</v>
      </c>
      <c r="N13" s="319">
        <v>137555.37914789468</v>
      </c>
      <c r="O13" s="319">
        <v>15276.673048173903</v>
      </c>
      <c r="P13" s="319">
        <v>51284.73007547389</v>
      </c>
      <c r="Q13" s="229">
        <v>0</v>
      </c>
      <c r="R13" s="219">
        <v>33402.710802045789</v>
      </c>
      <c r="S13" s="319"/>
      <c r="T13" s="319"/>
      <c r="U13" s="319"/>
      <c r="V13" s="319"/>
      <c r="W13" s="326">
        <f>SUM(tblPiNAnalysis56[[#This Row],[CCCM]:[WASH]])</f>
        <v>275343.93660811736</v>
      </c>
      <c r="Z13" s="244">
        <v>10</v>
      </c>
      <c r="AA13" s="553" t="s">
        <v>493</v>
      </c>
      <c r="AB13" s="556">
        <v>98306929</v>
      </c>
    </row>
    <row r="14" spans="1:39" x14ac:dyDescent="0.55000000000000004">
      <c r="A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 s="316" t="s">
        <v>250</v>
      </c>
      <c r="C14" s="218" t="s">
        <v>251</v>
      </c>
      <c r="D14" s="218" t="s">
        <v>258</v>
      </c>
      <c r="E14" s="105" t="s">
        <v>259</v>
      </c>
      <c r="F14" s="100"/>
      <c r="G14" s="34"/>
      <c r="H14" s="34"/>
      <c r="I14" s="97">
        <v>8023.4115031633137</v>
      </c>
      <c r="J14" s="97" t="s">
        <v>412</v>
      </c>
      <c r="K14" s="261">
        <v>0</v>
      </c>
      <c r="L14" s="219">
        <v>28888.29311713951</v>
      </c>
      <c r="M14" s="319">
        <v>65860.311625654111</v>
      </c>
      <c r="N14" s="319">
        <v>254188.05043697069</v>
      </c>
      <c r="O14" s="319">
        <v>26034.867868060079</v>
      </c>
      <c r="P14" s="319">
        <v>88061.747354513951</v>
      </c>
      <c r="Q14" s="229">
        <v>0</v>
      </c>
      <c r="R14" s="219">
        <v>25833.210527515213</v>
      </c>
      <c r="S14" s="319"/>
      <c r="T14" s="319"/>
      <c r="U14" s="319"/>
      <c r="V14" s="319"/>
      <c r="W14" s="326">
        <f>SUM(tblPiNAnalysis56[[#This Row],[CCCM]:[WASH]])</f>
        <v>488866.48092985357</v>
      </c>
      <c r="Z14" s="244">
        <v>11</v>
      </c>
      <c r="AA14" s="553" t="s">
        <v>500</v>
      </c>
      <c r="AB14" s="554"/>
    </row>
    <row r="15" spans="1:39" x14ac:dyDescent="0.55000000000000004">
      <c r="A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 s="316" t="s">
        <v>250</v>
      </c>
      <c r="C15" s="218" t="s">
        <v>251</v>
      </c>
      <c r="D15" s="218" t="s">
        <v>260</v>
      </c>
      <c r="E15" s="105" t="s">
        <v>261</v>
      </c>
      <c r="F15" s="100"/>
      <c r="G15" s="34"/>
      <c r="H15" s="34"/>
      <c r="I15" s="97">
        <v>4829.7886557975189</v>
      </c>
      <c r="J15" s="97" t="s">
        <v>412</v>
      </c>
      <c r="K15" s="261">
        <v>0</v>
      </c>
      <c r="L15" s="219">
        <v>11394.894294764345</v>
      </c>
      <c r="M15" s="319">
        <v>52149.740445858508</v>
      </c>
      <c r="N15" s="319">
        <v>19536.514659074845</v>
      </c>
      <c r="O15" s="319">
        <v>27631.998177814392</v>
      </c>
      <c r="P15" s="319">
        <v>58656.50290517044</v>
      </c>
      <c r="Q15" s="229">
        <v>0</v>
      </c>
      <c r="R15" s="219">
        <v>59613.977031222996</v>
      </c>
      <c r="S15" s="319"/>
      <c r="T15" s="319"/>
      <c r="U15" s="319"/>
      <c r="V15" s="319"/>
      <c r="W15" s="326">
        <f>SUM(tblPiNAnalysis56[[#This Row],[CCCM]:[WASH]])</f>
        <v>228983.62751390552</v>
      </c>
      <c r="Z15" s="244">
        <v>12</v>
      </c>
      <c r="AA15" s="557" t="s">
        <v>501</v>
      </c>
    </row>
    <row r="16" spans="1:39" x14ac:dyDescent="0.55000000000000004">
      <c r="A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 s="316" t="s">
        <v>250</v>
      </c>
      <c r="C16" s="218" t="s">
        <v>251</v>
      </c>
      <c r="D16" s="218" t="s">
        <v>262</v>
      </c>
      <c r="E16" s="105" t="s">
        <v>263</v>
      </c>
      <c r="F16" s="100"/>
      <c r="G16" s="34"/>
      <c r="H16" s="34"/>
      <c r="I16" s="97">
        <v>21293.088674698796</v>
      </c>
      <c r="J16" s="97" t="s">
        <v>412</v>
      </c>
      <c r="K16" s="261">
        <v>116272.59214169823</v>
      </c>
      <c r="L16" s="219">
        <v>10814.12094521928</v>
      </c>
      <c r="M16" s="319">
        <v>164333.77884670522</v>
      </c>
      <c r="N16" s="319">
        <v>652225.26628754765</v>
      </c>
      <c r="O16" s="319">
        <v>80444.806390264333</v>
      </c>
      <c r="P16" s="319">
        <v>308508.8395897728</v>
      </c>
      <c r="Q16" s="229">
        <v>0</v>
      </c>
      <c r="R16" s="219">
        <v>16214.281479238423</v>
      </c>
      <c r="S16" s="319"/>
      <c r="T16" s="319"/>
      <c r="U16" s="319"/>
      <c r="V16" s="319"/>
      <c r="W16" s="326">
        <f>SUM(tblPiNAnalysis56[[#This Row],[CCCM]:[WASH]])</f>
        <v>1348813.685680446</v>
      </c>
    </row>
    <row r="17" spans="1:23" x14ac:dyDescent="0.55000000000000004">
      <c r="A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 s="316" t="s">
        <v>250</v>
      </c>
      <c r="C17" s="218" t="s">
        <v>251</v>
      </c>
      <c r="D17" s="218" t="s">
        <v>264</v>
      </c>
      <c r="E17" s="105" t="s">
        <v>265</v>
      </c>
      <c r="F17" s="100"/>
      <c r="G17" s="34"/>
      <c r="H17" s="34"/>
      <c r="I17" s="97">
        <v>40940.594481869215</v>
      </c>
      <c r="J17" s="97" t="s">
        <v>412</v>
      </c>
      <c r="K17" s="261">
        <v>0</v>
      </c>
      <c r="L17" s="219">
        <v>0</v>
      </c>
      <c r="M17" s="319">
        <v>0</v>
      </c>
      <c r="N17" s="319">
        <v>0</v>
      </c>
      <c r="O17" s="319">
        <v>0</v>
      </c>
      <c r="P17" s="319">
        <v>467377.17221869406</v>
      </c>
      <c r="Q17" s="229">
        <v>0</v>
      </c>
      <c r="R17" s="219">
        <v>0</v>
      </c>
      <c r="S17" s="319"/>
      <c r="T17" s="319"/>
      <c r="U17" s="319"/>
      <c r="V17" s="319"/>
      <c r="W17" s="326">
        <f>SUM(tblPiNAnalysis56[[#This Row],[CCCM]:[WASH]])</f>
        <v>467377.17221869406</v>
      </c>
    </row>
    <row r="18" spans="1:23" x14ac:dyDescent="0.55000000000000004">
      <c r="A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 s="316" t="s">
        <v>250</v>
      </c>
      <c r="C18" s="218" t="s">
        <v>251</v>
      </c>
      <c r="D18" s="218" t="s">
        <v>266</v>
      </c>
      <c r="E18" s="105" t="s">
        <v>267</v>
      </c>
      <c r="F18" s="100"/>
      <c r="G18" s="34"/>
      <c r="H18" s="34"/>
      <c r="I18" s="97">
        <v>2501.5236312386551</v>
      </c>
      <c r="J18" s="97" t="s">
        <v>412</v>
      </c>
      <c r="K18" s="261">
        <v>0</v>
      </c>
      <c r="L18" s="219">
        <v>0</v>
      </c>
      <c r="M18" s="319">
        <v>0</v>
      </c>
      <c r="N18" s="319">
        <v>0</v>
      </c>
      <c r="O18" s="319">
        <v>0</v>
      </c>
      <c r="P18" s="319">
        <v>0</v>
      </c>
      <c r="Q18" s="229">
        <v>0</v>
      </c>
      <c r="R18" s="219">
        <v>0</v>
      </c>
      <c r="S18" s="319"/>
      <c r="T18" s="319"/>
      <c r="U18" s="319"/>
      <c r="V18" s="319"/>
      <c r="W18" s="326">
        <f>SUM(tblPiNAnalysis56[[#This Row],[CCCM]:[WASH]])</f>
        <v>0</v>
      </c>
    </row>
    <row r="19" spans="1:23" x14ac:dyDescent="0.55000000000000004">
      <c r="A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 s="316" t="s">
        <v>268</v>
      </c>
      <c r="C19" s="218" t="s">
        <v>269</v>
      </c>
      <c r="D19" s="218" t="s">
        <v>270</v>
      </c>
      <c r="E19" s="105" t="s">
        <v>271</v>
      </c>
      <c r="F19" s="100"/>
      <c r="G19" s="34"/>
      <c r="H19" s="34"/>
      <c r="I19" s="97">
        <v>45687.987079478589</v>
      </c>
      <c r="J19" s="97" t="s">
        <v>412</v>
      </c>
      <c r="K19" s="261">
        <v>492258.00490770157</v>
      </c>
      <c r="L19" s="219">
        <v>342423.05657106941</v>
      </c>
      <c r="M19" s="319">
        <v>873035.52021338406</v>
      </c>
      <c r="N19" s="319">
        <v>3496674.2214890928</v>
      </c>
      <c r="O19" s="319">
        <v>573399.56448414025</v>
      </c>
      <c r="P19" s="319">
        <v>946301.57565411751</v>
      </c>
      <c r="Q19" s="229">
        <v>597834.65837553062</v>
      </c>
      <c r="R19" s="219">
        <v>216002.65002575712</v>
      </c>
      <c r="S19" s="319"/>
      <c r="T19" s="319"/>
      <c r="U19" s="319"/>
      <c r="V19" s="319"/>
      <c r="W19" s="326">
        <f>SUM(tblPiNAnalysis56[[#This Row],[CCCM]:[WASH]])</f>
        <v>7537929.2517207926</v>
      </c>
    </row>
    <row r="20" spans="1:23" x14ac:dyDescent="0.55000000000000004">
      <c r="A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 s="316" t="s">
        <v>268</v>
      </c>
      <c r="C20" s="218" t="s">
        <v>269</v>
      </c>
      <c r="D20" s="218" t="s">
        <v>272</v>
      </c>
      <c r="E20" s="105" t="s">
        <v>273</v>
      </c>
      <c r="F20" s="100"/>
      <c r="G20" s="34"/>
      <c r="H20" s="34"/>
      <c r="I20" s="97">
        <v>21857.689382345037</v>
      </c>
      <c r="J20" s="97" t="s">
        <v>412</v>
      </c>
      <c r="K20" s="261">
        <v>0</v>
      </c>
      <c r="L20" s="219">
        <v>114462.24941928381</v>
      </c>
      <c r="M20" s="319">
        <v>208300.68547767319</v>
      </c>
      <c r="N20" s="319">
        <v>1476826.0558741025</v>
      </c>
      <c r="O20" s="319">
        <v>230093.45533459075</v>
      </c>
      <c r="P20" s="319">
        <v>409614.26214072749</v>
      </c>
      <c r="Q20" s="229">
        <v>204195.62514395799</v>
      </c>
      <c r="R20" s="219">
        <v>417643.10179430794</v>
      </c>
      <c r="S20" s="319"/>
      <c r="T20" s="319"/>
      <c r="U20" s="319"/>
      <c r="V20" s="319"/>
      <c r="W20" s="326">
        <f>SUM(tblPiNAnalysis56[[#This Row],[CCCM]:[WASH]])</f>
        <v>3061135.4351846436</v>
      </c>
    </row>
    <row r="21" spans="1:23" x14ac:dyDescent="0.55000000000000004">
      <c r="A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 s="316" t="s">
        <v>268</v>
      </c>
      <c r="C21" s="218" t="s">
        <v>269</v>
      </c>
      <c r="D21" s="218" t="s">
        <v>274</v>
      </c>
      <c r="E21" s="105" t="s">
        <v>275</v>
      </c>
      <c r="F21" s="100"/>
      <c r="G21" s="34"/>
      <c r="H21" s="34"/>
      <c r="I21" s="97">
        <v>95901.175542296638</v>
      </c>
      <c r="J21" s="97" t="s">
        <v>412</v>
      </c>
      <c r="K21" s="261">
        <v>0</v>
      </c>
      <c r="L21" s="219">
        <v>0</v>
      </c>
      <c r="M21" s="319">
        <v>0</v>
      </c>
      <c r="N21" s="319">
        <v>0</v>
      </c>
      <c r="O21" s="319">
        <v>0</v>
      </c>
      <c r="P21" s="319">
        <v>0</v>
      </c>
      <c r="Q21" s="229">
        <v>0</v>
      </c>
      <c r="R21" s="219">
        <v>0</v>
      </c>
      <c r="S21" s="319"/>
      <c r="T21" s="319"/>
      <c r="U21" s="319"/>
      <c r="V21" s="319"/>
      <c r="W21" s="326">
        <f>SUM(tblPiNAnalysis56[[#This Row],[CCCM]:[WASH]])</f>
        <v>0</v>
      </c>
    </row>
    <row r="22" spans="1:23" x14ac:dyDescent="0.55000000000000004">
      <c r="A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 s="316" t="s">
        <v>268</v>
      </c>
      <c r="C22" s="218" t="s">
        <v>269</v>
      </c>
      <c r="D22" s="218" t="s">
        <v>276</v>
      </c>
      <c r="E22" s="105" t="s">
        <v>277</v>
      </c>
      <c r="F22" s="100"/>
      <c r="G22" s="34"/>
      <c r="H22" s="34"/>
      <c r="I22" s="97">
        <v>69039.732902168529</v>
      </c>
      <c r="J22" s="97" t="s">
        <v>412</v>
      </c>
      <c r="K22" s="261">
        <v>47935.69442897007</v>
      </c>
      <c r="L22" s="219">
        <v>426902.76985765336</v>
      </c>
      <c r="M22" s="319">
        <v>1081796.6037616145</v>
      </c>
      <c r="N22" s="319">
        <v>5587380.9894607523</v>
      </c>
      <c r="O22" s="319">
        <v>1192387.7387501914</v>
      </c>
      <c r="P22" s="319">
        <v>1492396.6946944238</v>
      </c>
      <c r="Q22" s="229">
        <v>1016320.5088214613</v>
      </c>
      <c r="R22" s="219">
        <v>1758467.5672896779</v>
      </c>
      <c r="S22" s="319"/>
      <c r="T22" s="319"/>
      <c r="U22" s="319"/>
      <c r="V22" s="319"/>
      <c r="W22" s="326">
        <f>SUM(tblPiNAnalysis56[[#This Row],[CCCM]:[WASH]])</f>
        <v>12603588.567064745</v>
      </c>
    </row>
    <row r="23" spans="1:23" x14ac:dyDescent="0.55000000000000004">
      <c r="A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 s="316" t="s">
        <v>268</v>
      </c>
      <c r="C23" s="218" t="s">
        <v>269</v>
      </c>
      <c r="D23" s="218" t="s">
        <v>278</v>
      </c>
      <c r="E23" s="105" t="s">
        <v>279</v>
      </c>
      <c r="F23" s="100"/>
      <c r="G23" s="34"/>
      <c r="H23" s="34"/>
      <c r="I23" s="97">
        <v>77068.443303189997</v>
      </c>
      <c r="J23" s="97" t="s">
        <v>412</v>
      </c>
      <c r="K23" s="261">
        <v>0</v>
      </c>
      <c r="L23" s="219">
        <v>304135.19780737866</v>
      </c>
      <c r="M23" s="319">
        <v>1340160.6561345388</v>
      </c>
      <c r="N23" s="319">
        <v>4909477.3835678147</v>
      </c>
      <c r="O23" s="319">
        <v>1201864.5853330966</v>
      </c>
      <c r="P23" s="319">
        <v>1262009.8957131682</v>
      </c>
      <c r="Q23" s="229">
        <v>1134509.5964227838</v>
      </c>
      <c r="R23" s="219">
        <v>260415.22138374194</v>
      </c>
      <c r="S23" s="319"/>
      <c r="T23" s="319"/>
      <c r="U23" s="319"/>
      <c r="V23" s="319"/>
      <c r="W23" s="326">
        <f>SUM(tblPiNAnalysis56[[#This Row],[CCCM]:[WASH]])</f>
        <v>10412572.536362523</v>
      </c>
    </row>
    <row r="24" spans="1:23" x14ac:dyDescent="0.55000000000000004">
      <c r="A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 s="316" t="s">
        <v>268</v>
      </c>
      <c r="C24" s="218" t="s">
        <v>269</v>
      </c>
      <c r="D24" s="218" t="s">
        <v>280</v>
      </c>
      <c r="E24" s="105" t="s">
        <v>281</v>
      </c>
      <c r="F24" s="100"/>
      <c r="G24" s="34"/>
      <c r="H24" s="34"/>
      <c r="I24" s="97">
        <v>118740.98784317059</v>
      </c>
      <c r="J24" s="97" t="s">
        <v>412</v>
      </c>
      <c r="K24" s="261">
        <v>871096.7328182864</v>
      </c>
      <c r="L24" s="219">
        <v>1687546.9192271403</v>
      </c>
      <c r="M24" s="319">
        <v>1571551.2857458787</v>
      </c>
      <c r="N24" s="319">
        <v>9975242.1835492682</v>
      </c>
      <c r="O24" s="319">
        <v>1813167.837332326</v>
      </c>
      <c r="P24" s="319">
        <v>2025914.6225911952</v>
      </c>
      <c r="Q24" s="229">
        <v>1100569.3194593589</v>
      </c>
      <c r="R24" s="219">
        <v>1898664.7307669937</v>
      </c>
      <c r="S24" s="319"/>
      <c r="T24" s="319"/>
      <c r="U24" s="319"/>
      <c r="V24" s="319"/>
      <c r="W24" s="326">
        <f>SUM(tblPiNAnalysis56[[#This Row],[CCCM]:[WASH]])</f>
        <v>20943753.631490447</v>
      </c>
    </row>
    <row r="25" spans="1:23" x14ac:dyDescent="0.55000000000000004">
      <c r="A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5" s="316" t="s">
        <v>268</v>
      </c>
      <c r="C25" s="218" t="s">
        <v>269</v>
      </c>
      <c r="D25" s="218" t="s">
        <v>282</v>
      </c>
      <c r="E25" s="105" t="s">
        <v>283</v>
      </c>
      <c r="F25" s="100"/>
      <c r="G25" s="34"/>
      <c r="H25" s="34"/>
      <c r="I25" s="97">
        <v>53158.210520699089</v>
      </c>
      <c r="J25" s="97" t="s">
        <v>412</v>
      </c>
      <c r="K25" s="261">
        <v>152326.26707573226</v>
      </c>
      <c r="L25" s="219">
        <v>351058.49144650716</v>
      </c>
      <c r="M25" s="319">
        <v>913817.69462831214</v>
      </c>
      <c r="N25" s="319">
        <v>3705654.9982697335</v>
      </c>
      <c r="O25" s="319">
        <v>878641.00320404349</v>
      </c>
      <c r="P25" s="319">
        <v>800295.92409010185</v>
      </c>
      <c r="Q25" s="229">
        <v>692239.58088397735</v>
      </c>
      <c r="R25" s="219">
        <v>549181.19177649822</v>
      </c>
      <c r="S25" s="319"/>
      <c r="T25" s="319"/>
      <c r="U25" s="319"/>
      <c r="V25" s="319"/>
      <c r="W25" s="326">
        <f>SUM(tblPiNAnalysis56[[#This Row],[CCCM]:[WASH]])</f>
        <v>8043215.1513749063</v>
      </c>
    </row>
    <row r="26" spans="1:23" x14ac:dyDescent="0.55000000000000004">
      <c r="A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6" s="316" t="s">
        <v>268</v>
      </c>
      <c r="C26" s="218" t="s">
        <v>269</v>
      </c>
      <c r="D26" s="218" t="s">
        <v>284</v>
      </c>
      <c r="E26" s="105" t="s">
        <v>285</v>
      </c>
      <c r="F26" s="100"/>
      <c r="G26" s="34"/>
      <c r="H26" s="34"/>
      <c r="I26" s="97">
        <v>46710.303757716349</v>
      </c>
      <c r="J26" s="97" t="s">
        <v>412</v>
      </c>
      <c r="K26" s="261">
        <v>64974.062006614193</v>
      </c>
      <c r="L26" s="219">
        <v>508630.92655356869</v>
      </c>
      <c r="M26" s="319">
        <v>1033960.6837991123</v>
      </c>
      <c r="N26" s="319">
        <v>3579730.5683511691</v>
      </c>
      <c r="O26" s="319">
        <v>667032.22650004958</v>
      </c>
      <c r="P26" s="319">
        <v>814541.9695220479</v>
      </c>
      <c r="Q26" s="229">
        <v>481329.32125711231</v>
      </c>
      <c r="R26" s="219">
        <v>846206.1695564565</v>
      </c>
      <c r="S26" s="319"/>
      <c r="T26" s="319"/>
      <c r="U26" s="319"/>
      <c r="V26" s="319"/>
      <c r="W26" s="326">
        <f>SUM(tblPiNAnalysis56[[#This Row],[CCCM]:[WASH]])</f>
        <v>7996405.9275461305</v>
      </c>
    </row>
    <row r="27" spans="1:23" x14ac:dyDescent="0.55000000000000004">
      <c r="A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7" s="316" t="s">
        <v>268</v>
      </c>
      <c r="C27" s="218" t="s">
        <v>269</v>
      </c>
      <c r="D27" s="218" t="s">
        <v>286</v>
      </c>
      <c r="E27" s="105" t="s">
        <v>287</v>
      </c>
      <c r="F27" s="100"/>
      <c r="G27" s="34"/>
      <c r="H27" s="34"/>
      <c r="I27" s="97">
        <v>15457.341069804937</v>
      </c>
      <c r="J27" s="97" t="s">
        <v>412</v>
      </c>
      <c r="K27" s="261">
        <v>0</v>
      </c>
      <c r="L27" s="219">
        <v>18856.626773830019</v>
      </c>
      <c r="M27" s="319">
        <v>109544.33734993188</v>
      </c>
      <c r="N27" s="319">
        <v>101294.98013399252</v>
      </c>
      <c r="O27" s="319">
        <v>114585.33894917529</v>
      </c>
      <c r="P27" s="319">
        <v>135961.81020798802</v>
      </c>
      <c r="Q27" s="229">
        <v>202785.826</v>
      </c>
      <c r="R27" s="219">
        <v>251.35580293631131</v>
      </c>
      <c r="S27" s="319"/>
      <c r="T27" s="319"/>
      <c r="U27" s="319"/>
      <c r="V27" s="319"/>
      <c r="W27" s="326">
        <f>SUM(tblPiNAnalysis56[[#This Row],[CCCM]:[WASH]])</f>
        <v>683280.27521785407</v>
      </c>
    </row>
    <row r="28" spans="1:23" x14ac:dyDescent="0.55000000000000004">
      <c r="A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8" s="316" t="s">
        <v>268</v>
      </c>
      <c r="C28" s="218" t="s">
        <v>269</v>
      </c>
      <c r="D28" s="218" t="s">
        <v>288</v>
      </c>
      <c r="E28" s="105" t="s">
        <v>289</v>
      </c>
      <c r="F28" s="100"/>
      <c r="G28" s="34"/>
      <c r="H28" s="34"/>
      <c r="I28" s="97">
        <v>25870.030094616061</v>
      </c>
      <c r="J28" s="97" t="s">
        <v>412</v>
      </c>
      <c r="K28" s="261">
        <v>0</v>
      </c>
      <c r="L28" s="219">
        <v>296810.73578004428</v>
      </c>
      <c r="M28" s="319">
        <v>386987.02482395381</v>
      </c>
      <c r="N28" s="319">
        <v>1730244.2291031014</v>
      </c>
      <c r="O28" s="319">
        <v>338121.67472387641</v>
      </c>
      <c r="P28" s="319">
        <v>746275.61839685508</v>
      </c>
      <c r="Q28" s="229">
        <v>380827.6921674023</v>
      </c>
      <c r="R28" s="219">
        <v>238004.27687046776</v>
      </c>
      <c r="S28" s="319"/>
      <c r="T28" s="319"/>
      <c r="U28" s="319"/>
      <c r="V28" s="319"/>
      <c r="W28" s="326">
        <f>SUM(tblPiNAnalysis56[[#This Row],[CCCM]:[WASH]])</f>
        <v>4117271.2518657008</v>
      </c>
    </row>
    <row r="29" spans="1:23" x14ac:dyDescent="0.55000000000000004">
      <c r="A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9" s="316" t="s">
        <v>268</v>
      </c>
      <c r="C29" s="218" t="s">
        <v>269</v>
      </c>
      <c r="D29" s="218" t="s">
        <v>290</v>
      </c>
      <c r="E29" s="105" t="s">
        <v>291</v>
      </c>
      <c r="F29" s="100"/>
      <c r="G29" s="34"/>
      <c r="H29" s="34"/>
      <c r="I29" s="97">
        <v>23976.103995536083</v>
      </c>
      <c r="J29" s="97" t="s">
        <v>412</v>
      </c>
      <c r="K29" s="261">
        <v>61142.467383890398</v>
      </c>
      <c r="L29" s="219">
        <v>223842.53727739656</v>
      </c>
      <c r="M29" s="319">
        <v>552390.5485069335</v>
      </c>
      <c r="N29" s="319">
        <v>1817649.1452380067</v>
      </c>
      <c r="O29" s="319">
        <v>209609.70082285182</v>
      </c>
      <c r="P29" s="319">
        <v>355981.38152012334</v>
      </c>
      <c r="Q29" s="229">
        <v>352947.57363602327</v>
      </c>
      <c r="R29" s="219">
        <v>380398.64996621362</v>
      </c>
      <c r="S29" s="319"/>
      <c r="T29" s="319"/>
      <c r="U29" s="319"/>
      <c r="V29" s="319"/>
      <c r="W29" s="326">
        <f>SUM(tblPiNAnalysis56[[#This Row],[CCCM]:[WASH]])</f>
        <v>3953962.004351439</v>
      </c>
    </row>
    <row r="30" spans="1:23" x14ac:dyDescent="0.55000000000000004">
      <c r="A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0" s="316" t="s">
        <v>292</v>
      </c>
      <c r="C30" s="218" t="s">
        <v>293</v>
      </c>
      <c r="D30" s="218" t="s">
        <v>294</v>
      </c>
      <c r="E30" s="105" t="s">
        <v>295</v>
      </c>
      <c r="F30" s="100"/>
      <c r="G30" s="34"/>
      <c r="H30" s="34"/>
      <c r="I30" s="97">
        <v>48668.970941608946</v>
      </c>
      <c r="J30" s="97" t="s">
        <v>412</v>
      </c>
      <c r="K30" s="261">
        <v>224943.13750533276</v>
      </c>
      <c r="L30" s="219">
        <v>177124.12509642314</v>
      </c>
      <c r="M30" s="319">
        <v>523209.92525497789</v>
      </c>
      <c r="N30" s="319">
        <v>1412708.1466005675</v>
      </c>
      <c r="O30" s="319">
        <v>217014.48563301144</v>
      </c>
      <c r="P30" s="319">
        <v>124068.39634663574</v>
      </c>
      <c r="Q30" s="229">
        <v>290451.2738746804</v>
      </c>
      <c r="R30" s="219">
        <v>335815.89949710178</v>
      </c>
      <c r="S30" s="319"/>
      <c r="T30" s="319"/>
      <c r="U30" s="319"/>
      <c r="V30" s="319"/>
      <c r="W30" s="326">
        <f>SUM(tblPiNAnalysis56[[#This Row],[CCCM]:[WASH]])</f>
        <v>3305335.3898087312</v>
      </c>
    </row>
    <row r="31" spans="1:23" x14ac:dyDescent="0.55000000000000004">
      <c r="A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1" s="316" t="s">
        <v>292</v>
      </c>
      <c r="C31" s="218" t="s">
        <v>293</v>
      </c>
      <c r="D31" s="218" t="s">
        <v>296</v>
      </c>
      <c r="E31" s="105" t="s">
        <v>297</v>
      </c>
      <c r="F31" s="100"/>
      <c r="G31" s="34"/>
      <c r="H31" s="34"/>
      <c r="I31" s="97">
        <v>5443.7472474147844</v>
      </c>
      <c r="J31" s="97" t="s">
        <v>412</v>
      </c>
      <c r="K31" s="261">
        <v>0</v>
      </c>
      <c r="L31" s="219">
        <v>0</v>
      </c>
      <c r="M31" s="319">
        <v>0</v>
      </c>
      <c r="N31" s="319">
        <v>0</v>
      </c>
      <c r="O31" s="319">
        <v>0</v>
      </c>
      <c r="P31" s="319">
        <v>0</v>
      </c>
      <c r="Q31" s="229">
        <v>0</v>
      </c>
      <c r="R31" s="219">
        <v>0</v>
      </c>
      <c r="S31" s="319"/>
      <c r="T31" s="319"/>
      <c r="U31" s="319"/>
      <c r="V31" s="319"/>
      <c r="W31" s="326">
        <f>SUM(tblPiNAnalysis56[[#This Row],[CCCM]:[WASH]])</f>
        <v>0</v>
      </c>
    </row>
    <row r="32" spans="1:23" x14ac:dyDescent="0.55000000000000004">
      <c r="A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2" s="316" t="s">
        <v>292</v>
      </c>
      <c r="C32" s="218" t="s">
        <v>293</v>
      </c>
      <c r="D32" s="218" t="s">
        <v>298</v>
      </c>
      <c r="E32" s="105" t="s">
        <v>299</v>
      </c>
      <c r="F32" s="100"/>
      <c r="G32" s="34"/>
      <c r="H32" s="34"/>
      <c r="I32" s="97">
        <v>2921.2783873957369</v>
      </c>
      <c r="J32" s="97" t="s">
        <v>412</v>
      </c>
      <c r="K32" s="261">
        <v>0</v>
      </c>
      <c r="L32" s="219">
        <v>0</v>
      </c>
      <c r="M32" s="319">
        <v>0</v>
      </c>
      <c r="N32" s="319">
        <v>0</v>
      </c>
      <c r="O32" s="319">
        <v>0</v>
      </c>
      <c r="P32" s="319">
        <v>0</v>
      </c>
      <c r="Q32" s="229">
        <v>0</v>
      </c>
      <c r="R32" s="219">
        <v>0</v>
      </c>
      <c r="S32" s="319"/>
      <c r="T32" s="319"/>
      <c r="U32" s="319"/>
      <c r="V32" s="319"/>
      <c r="W32" s="326">
        <f>SUM(tblPiNAnalysis56[[#This Row],[CCCM]:[WASH]])</f>
        <v>0</v>
      </c>
    </row>
    <row r="33" spans="1:23" x14ac:dyDescent="0.55000000000000004">
      <c r="A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3" s="316" t="s">
        <v>292</v>
      </c>
      <c r="C33" s="218" t="s">
        <v>293</v>
      </c>
      <c r="D33" s="218" t="s">
        <v>300</v>
      </c>
      <c r="E33" s="105" t="s">
        <v>301</v>
      </c>
      <c r="F33" s="100"/>
      <c r="G33" s="34"/>
      <c r="H33" s="34"/>
      <c r="I33" s="97">
        <v>6808.1234044964567</v>
      </c>
      <c r="J33" s="97" t="s">
        <v>412</v>
      </c>
      <c r="K33" s="261">
        <v>0</v>
      </c>
      <c r="L33" s="219">
        <v>0</v>
      </c>
      <c r="M33" s="319">
        <v>0</v>
      </c>
      <c r="N33" s="319">
        <v>0</v>
      </c>
      <c r="O33" s="319">
        <v>0</v>
      </c>
      <c r="P33" s="319">
        <v>0</v>
      </c>
      <c r="Q33" s="229">
        <v>0</v>
      </c>
      <c r="R33" s="219">
        <v>0</v>
      </c>
      <c r="S33" s="319"/>
      <c r="T33" s="319"/>
      <c r="U33" s="319"/>
      <c r="V33" s="319"/>
      <c r="W33" s="326">
        <f>SUM(tblPiNAnalysis56[[#This Row],[CCCM]:[WASH]])</f>
        <v>0</v>
      </c>
    </row>
    <row r="34" spans="1:23" x14ac:dyDescent="0.55000000000000004">
      <c r="A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4" s="316" t="s">
        <v>292</v>
      </c>
      <c r="C34" s="218" t="s">
        <v>293</v>
      </c>
      <c r="D34" s="218" t="s">
        <v>302</v>
      </c>
      <c r="E34" s="105" t="s">
        <v>303</v>
      </c>
      <c r="F34" s="100"/>
      <c r="G34" s="34"/>
      <c r="H34" s="34"/>
      <c r="I34" s="97">
        <v>23157.383024277355</v>
      </c>
      <c r="J34" s="97" t="s">
        <v>412</v>
      </c>
      <c r="K34" s="261">
        <v>0</v>
      </c>
      <c r="L34" s="219">
        <v>59823.498070160276</v>
      </c>
      <c r="M34" s="319">
        <v>146071.91175658128</v>
      </c>
      <c r="N34" s="319">
        <v>724084.18237278948</v>
      </c>
      <c r="O34" s="319">
        <v>144922.4388458165</v>
      </c>
      <c r="P34" s="319">
        <v>91785.384135721659</v>
      </c>
      <c r="Q34" s="229">
        <v>0</v>
      </c>
      <c r="R34" s="219">
        <v>7397.4973549774886</v>
      </c>
      <c r="S34" s="319"/>
      <c r="T34" s="319"/>
      <c r="U34" s="319"/>
      <c r="V34" s="319"/>
      <c r="W34" s="326">
        <f>SUM(tblPiNAnalysis56[[#This Row],[CCCM]:[WASH]])</f>
        <v>1174084.9125360467</v>
      </c>
    </row>
    <row r="35" spans="1:23" x14ac:dyDescent="0.55000000000000004">
      <c r="A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5" s="316" t="s">
        <v>292</v>
      </c>
      <c r="C35" s="218" t="s">
        <v>293</v>
      </c>
      <c r="D35" s="218" t="s">
        <v>304</v>
      </c>
      <c r="E35" s="105" t="s">
        <v>305</v>
      </c>
      <c r="F35" s="100"/>
      <c r="G35" s="34"/>
      <c r="H35" s="34"/>
      <c r="I35" s="97">
        <v>9602.9953236523688</v>
      </c>
      <c r="J35" s="97" t="s">
        <v>412</v>
      </c>
      <c r="K35" s="261">
        <v>0</v>
      </c>
      <c r="L35" s="219">
        <v>0</v>
      </c>
      <c r="M35" s="319">
        <v>0</v>
      </c>
      <c r="N35" s="319">
        <v>0</v>
      </c>
      <c r="O35" s="319">
        <v>0</v>
      </c>
      <c r="P35" s="319">
        <v>0</v>
      </c>
      <c r="Q35" s="229">
        <v>0</v>
      </c>
      <c r="R35" s="219">
        <v>0</v>
      </c>
      <c r="S35" s="319"/>
      <c r="T35" s="319"/>
      <c r="U35" s="319"/>
      <c r="V35" s="319"/>
      <c r="W35" s="326">
        <f>SUM(tblPiNAnalysis56[[#This Row],[CCCM]:[WASH]])</f>
        <v>0</v>
      </c>
    </row>
    <row r="36" spans="1:23" x14ac:dyDescent="0.55000000000000004">
      <c r="A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6" s="316" t="s">
        <v>292</v>
      </c>
      <c r="C36" s="218" t="s">
        <v>293</v>
      </c>
      <c r="D36" s="218" t="s">
        <v>306</v>
      </c>
      <c r="E36" s="105" t="s">
        <v>307</v>
      </c>
      <c r="F36" s="100"/>
      <c r="G36" s="34"/>
      <c r="H36" s="34"/>
      <c r="I36" s="97">
        <v>23378.692739825943</v>
      </c>
      <c r="J36" s="97" t="s">
        <v>412</v>
      </c>
      <c r="K36" s="261">
        <v>0</v>
      </c>
      <c r="L36" s="219">
        <v>37012.561878373934</v>
      </c>
      <c r="M36" s="319">
        <v>166283.68075665619</v>
      </c>
      <c r="N36" s="319">
        <v>772552.65315013414</v>
      </c>
      <c r="O36" s="319">
        <v>82090.978100812121</v>
      </c>
      <c r="P36" s="319">
        <v>192748.0219612745</v>
      </c>
      <c r="Q36" s="229">
        <v>0</v>
      </c>
      <c r="R36" s="219">
        <v>91609.840439762411</v>
      </c>
      <c r="S36" s="319"/>
      <c r="T36" s="319"/>
      <c r="U36" s="319"/>
      <c r="V36" s="319"/>
      <c r="W36" s="326">
        <f>SUM(tblPiNAnalysis56[[#This Row],[CCCM]:[WASH]])</f>
        <v>1342297.7362870134</v>
      </c>
    </row>
    <row r="37" spans="1:23" x14ac:dyDescent="0.55000000000000004">
      <c r="A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7" s="316" t="s">
        <v>292</v>
      </c>
      <c r="C37" s="218" t="s">
        <v>293</v>
      </c>
      <c r="D37" s="218" t="s">
        <v>308</v>
      </c>
      <c r="E37" s="105" t="s">
        <v>309</v>
      </c>
      <c r="F37" s="100"/>
      <c r="G37" s="34"/>
      <c r="H37" s="34"/>
      <c r="I37" s="97">
        <v>11657.898587687116</v>
      </c>
      <c r="J37" s="97" t="s">
        <v>412</v>
      </c>
      <c r="K37" s="261">
        <v>0</v>
      </c>
      <c r="L37" s="219">
        <v>0</v>
      </c>
      <c r="M37" s="319">
        <v>0</v>
      </c>
      <c r="N37" s="319">
        <v>0</v>
      </c>
      <c r="O37" s="319">
        <v>0</v>
      </c>
      <c r="P37" s="319">
        <v>0</v>
      </c>
      <c r="Q37" s="229">
        <v>0</v>
      </c>
      <c r="R37" s="219">
        <v>0</v>
      </c>
      <c r="S37" s="319"/>
      <c r="T37" s="319"/>
      <c r="U37" s="319"/>
      <c r="V37" s="319"/>
      <c r="W37" s="326">
        <f>SUM(tblPiNAnalysis56[[#This Row],[CCCM]:[WASH]])</f>
        <v>0</v>
      </c>
    </row>
    <row r="38" spans="1:23" x14ac:dyDescent="0.55000000000000004">
      <c r="A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8" s="316" t="s">
        <v>310</v>
      </c>
      <c r="C38" s="218" t="s">
        <v>311</v>
      </c>
      <c r="D38" s="218" t="s">
        <v>312</v>
      </c>
      <c r="E38" s="105" t="s">
        <v>313</v>
      </c>
      <c r="F38" s="100"/>
      <c r="G38" s="34"/>
      <c r="H38" s="34"/>
      <c r="I38" s="97">
        <v>8794.7895188948787</v>
      </c>
      <c r="J38" s="97" t="s">
        <v>412</v>
      </c>
      <c r="K38" s="261">
        <v>0</v>
      </c>
      <c r="L38" s="219">
        <v>0</v>
      </c>
      <c r="M38" s="319">
        <v>0</v>
      </c>
      <c r="N38" s="319">
        <v>0</v>
      </c>
      <c r="O38" s="319">
        <v>0</v>
      </c>
      <c r="P38" s="319">
        <v>0</v>
      </c>
      <c r="Q38" s="229">
        <v>0</v>
      </c>
      <c r="R38" s="219">
        <v>0</v>
      </c>
      <c r="S38" s="319"/>
      <c r="T38" s="319"/>
      <c r="U38" s="319"/>
      <c r="V38" s="319"/>
      <c r="W38" s="326">
        <f>SUM(tblPiNAnalysis56[[#This Row],[CCCM]:[WASH]])</f>
        <v>0</v>
      </c>
    </row>
    <row r="39" spans="1:23" x14ac:dyDescent="0.55000000000000004">
      <c r="A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9" s="316" t="s">
        <v>310</v>
      </c>
      <c r="C39" s="218" t="s">
        <v>311</v>
      </c>
      <c r="D39" s="218" t="s">
        <v>314</v>
      </c>
      <c r="E39" s="105" t="s">
        <v>315</v>
      </c>
      <c r="F39" s="100"/>
      <c r="G39" s="34"/>
      <c r="H39" s="34"/>
      <c r="I39" s="97">
        <v>56514.282244133567</v>
      </c>
      <c r="J39" s="97" t="s">
        <v>412</v>
      </c>
      <c r="K39" s="261">
        <v>515960.90143018973</v>
      </c>
      <c r="L39" s="219">
        <v>787580.36988012353</v>
      </c>
      <c r="M39" s="319">
        <v>662502.5603346274</v>
      </c>
      <c r="N39" s="319">
        <v>3924017.2940142406</v>
      </c>
      <c r="O39" s="319">
        <v>559710.20861315099</v>
      </c>
      <c r="P39" s="319">
        <v>997333.58634520241</v>
      </c>
      <c r="Q39" s="229">
        <v>700577.49947283557</v>
      </c>
      <c r="R39" s="219">
        <v>167693.92268367292</v>
      </c>
      <c r="S39" s="319"/>
      <c r="T39" s="319"/>
      <c r="U39" s="319"/>
      <c r="V39" s="319"/>
      <c r="W39" s="326">
        <f>SUM(tblPiNAnalysis56[[#This Row],[CCCM]:[WASH]])</f>
        <v>8315376.3427740429</v>
      </c>
    </row>
    <row r="40" spans="1:23" x14ac:dyDescent="0.55000000000000004">
      <c r="A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0" s="316" t="s">
        <v>310</v>
      </c>
      <c r="C40" s="218" t="s">
        <v>311</v>
      </c>
      <c r="D40" s="218" t="s">
        <v>316</v>
      </c>
      <c r="E40" s="105" t="s">
        <v>317</v>
      </c>
      <c r="F40" s="100"/>
      <c r="G40" s="34"/>
      <c r="H40" s="34"/>
      <c r="I40" s="97">
        <v>0</v>
      </c>
      <c r="J40" s="97" t="s">
        <v>412</v>
      </c>
      <c r="K40" s="261">
        <v>0</v>
      </c>
      <c r="L40" s="219">
        <v>0</v>
      </c>
      <c r="M40" s="319">
        <v>0</v>
      </c>
      <c r="N40" s="319">
        <v>0</v>
      </c>
      <c r="O40" s="319">
        <v>0</v>
      </c>
      <c r="P40" s="319">
        <v>0</v>
      </c>
      <c r="Q40" s="229">
        <v>0</v>
      </c>
      <c r="R40" s="219">
        <v>0</v>
      </c>
      <c r="S40" s="319"/>
      <c r="T40" s="319"/>
      <c r="U40" s="319"/>
      <c r="V40" s="319"/>
      <c r="W40" s="326">
        <f>SUM(tblPiNAnalysis56[[#This Row],[CCCM]:[WASH]])</f>
        <v>0</v>
      </c>
    </row>
    <row r="41" spans="1:23" x14ac:dyDescent="0.55000000000000004">
      <c r="A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1" s="316" t="s">
        <v>310</v>
      </c>
      <c r="C41" s="218" t="s">
        <v>311</v>
      </c>
      <c r="D41" s="218" t="s">
        <v>318</v>
      </c>
      <c r="E41" s="105" t="s">
        <v>319</v>
      </c>
      <c r="F41" s="100"/>
      <c r="G41" s="34"/>
      <c r="H41" s="34"/>
      <c r="I41" s="97">
        <v>8245.4682123487128</v>
      </c>
      <c r="J41" s="97" t="s">
        <v>412</v>
      </c>
      <c r="K41" s="261">
        <v>0</v>
      </c>
      <c r="L41" s="219">
        <v>28581.369532816992</v>
      </c>
      <c r="M41" s="319">
        <v>173225.61280925525</v>
      </c>
      <c r="N41" s="319">
        <v>552209.14842699282</v>
      </c>
      <c r="O41" s="319">
        <v>70906.815396986043</v>
      </c>
      <c r="P41" s="319">
        <v>184369.77551265448</v>
      </c>
      <c r="Q41" s="229">
        <v>202785.826</v>
      </c>
      <c r="R41" s="219">
        <v>53320.240144085728</v>
      </c>
      <c r="S41" s="319"/>
      <c r="T41" s="319"/>
      <c r="U41" s="319"/>
      <c r="V41" s="319"/>
      <c r="W41" s="326">
        <f>SUM(tblPiNAnalysis56[[#This Row],[CCCM]:[WASH]])</f>
        <v>1265398.7878227916</v>
      </c>
    </row>
    <row r="42" spans="1:23" x14ac:dyDescent="0.55000000000000004">
      <c r="A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2" s="316" t="s">
        <v>310</v>
      </c>
      <c r="C42" s="218" t="s">
        <v>311</v>
      </c>
      <c r="D42" s="218" t="s">
        <v>320</v>
      </c>
      <c r="E42" s="105" t="s">
        <v>321</v>
      </c>
      <c r="F42" s="100"/>
      <c r="G42" s="34"/>
      <c r="H42" s="34"/>
      <c r="I42" s="97">
        <v>736.57326854984808</v>
      </c>
      <c r="J42" s="97" t="s">
        <v>412</v>
      </c>
      <c r="K42" s="261">
        <v>0</v>
      </c>
      <c r="L42" s="219">
        <v>1096.3038677372972</v>
      </c>
      <c r="M42" s="319">
        <v>8499.7471571129536</v>
      </c>
      <c r="N42" s="319">
        <v>4838.6248267979345</v>
      </c>
      <c r="O42" s="319">
        <v>2857.3109619055735</v>
      </c>
      <c r="P42" s="319">
        <v>4156.1253036080079</v>
      </c>
      <c r="Q42" s="229">
        <v>25058</v>
      </c>
      <c r="R42" s="219">
        <v>808.48851066059831</v>
      </c>
      <c r="S42" s="319"/>
      <c r="T42" s="319"/>
      <c r="U42" s="319"/>
      <c r="V42" s="319"/>
      <c r="W42" s="326">
        <f>SUM(tblPiNAnalysis56[[#This Row],[CCCM]:[WASH]])</f>
        <v>47314.600627822372</v>
      </c>
    </row>
    <row r="43" spans="1:23" x14ac:dyDescent="0.55000000000000004">
      <c r="A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3" s="316" t="s">
        <v>322</v>
      </c>
      <c r="C43" s="218" t="s">
        <v>323</v>
      </c>
      <c r="D43" s="218" t="s">
        <v>324</v>
      </c>
      <c r="E43" s="105" t="s">
        <v>325</v>
      </c>
      <c r="F43" s="100"/>
      <c r="G43" s="34"/>
      <c r="H43" s="34"/>
      <c r="I43" s="97">
        <v>8191.9832367247782</v>
      </c>
      <c r="J43" s="97" t="s">
        <v>412</v>
      </c>
      <c r="K43" s="261">
        <v>0</v>
      </c>
      <c r="L43" s="219">
        <v>0</v>
      </c>
      <c r="M43" s="319">
        <v>0</v>
      </c>
      <c r="N43" s="319">
        <v>0</v>
      </c>
      <c r="O43" s="319">
        <v>0</v>
      </c>
      <c r="P43" s="319">
        <v>0</v>
      </c>
      <c r="Q43" s="229">
        <v>0</v>
      </c>
      <c r="R43" s="219">
        <v>0</v>
      </c>
      <c r="S43" s="319"/>
      <c r="T43" s="319"/>
      <c r="U43" s="319"/>
      <c r="V43" s="319"/>
      <c r="W43" s="326">
        <f>SUM(tblPiNAnalysis56[[#This Row],[CCCM]:[WASH]])</f>
        <v>0</v>
      </c>
    </row>
    <row r="44" spans="1:23" x14ac:dyDescent="0.55000000000000004">
      <c r="A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4" s="316" t="s">
        <v>322</v>
      </c>
      <c r="C44" s="218" t="s">
        <v>323</v>
      </c>
      <c r="D44" s="218" t="s">
        <v>326</v>
      </c>
      <c r="E44" s="105" t="s">
        <v>327</v>
      </c>
      <c r="F44" s="100"/>
      <c r="G44" s="34"/>
      <c r="H44" s="34"/>
      <c r="I44" s="97">
        <v>25939.727484978604</v>
      </c>
      <c r="J44" s="97" t="s">
        <v>412</v>
      </c>
      <c r="K44" s="261">
        <v>183896.16106828101</v>
      </c>
      <c r="L44" s="219">
        <v>56142.793147600991</v>
      </c>
      <c r="M44" s="319">
        <v>426138.8490564556</v>
      </c>
      <c r="N44" s="319">
        <v>922633.07609978109</v>
      </c>
      <c r="O44" s="319">
        <v>121511.830563628</v>
      </c>
      <c r="P44" s="319">
        <v>225460.76401208848</v>
      </c>
      <c r="Q44" s="229">
        <v>236145.53661457691</v>
      </c>
      <c r="R44" s="219">
        <v>59293.093133873925</v>
      </c>
      <c r="S44" s="319"/>
      <c r="T44" s="319"/>
      <c r="U44" s="319"/>
      <c r="V44" s="319"/>
      <c r="W44" s="326">
        <f>SUM(tblPiNAnalysis56[[#This Row],[CCCM]:[WASH]])</f>
        <v>2231222.1036962857</v>
      </c>
    </row>
    <row r="45" spans="1:23" x14ac:dyDescent="0.55000000000000004">
      <c r="A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5" s="316" t="s">
        <v>322</v>
      </c>
      <c r="C45" s="218" t="s">
        <v>323</v>
      </c>
      <c r="D45" s="218" t="s">
        <v>328</v>
      </c>
      <c r="E45" s="105" t="s">
        <v>329</v>
      </c>
      <c r="F45" s="100"/>
      <c r="G45" s="34"/>
      <c r="H45" s="34"/>
      <c r="I45" s="97">
        <v>31198.282244133567</v>
      </c>
      <c r="J45" s="97" t="s">
        <v>412</v>
      </c>
      <c r="K45" s="261">
        <v>0</v>
      </c>
      <c r="L45" s="219">
        <v>71049.925960162829</v>
      </c>
      <c r="M45" s="319">
        <v>405692.73610783025</v>
      </c>
      <c r="N45" s="319">
        <v>235467.58368595195</v>
      </c>
      <c r="O45" s="319">
        <v>145827.59634520154</v>
      </c>
      <c r="P45" s="319">
        <v>261033.39440231872</v>
      </c>
      <c r="Q45" s="229">
        <v>0</v>
      </c>
      <c r="R45" s="219">
        <v>99568.900521175776</v>
      </c>
      <c r="S45" s="319"/>
      <c r="T45" s="319"/>
      <c r="U45" s="319"/>
      <c r="V45" s="319"/>
      <c r="W45" s="326">
        <f>SUM(tblPiNAnalysis56[[#This Row],[CCCM]:[WASH]])</f>
        <v>1218640.137022641</v>
      </c>
    </row>
    <row r="46" spans="1:23" x14ac:dyDescent="0.55000000000000004">
      <c r="A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6" s="316" t="s">
        <v>322</v>
      </c>
      <c r="C46" s="218" t="s">
        <v>323</v>
      </c>
      <c r="D46" s="218" t="s">
        <v>330</v>
      </c>
      <c r="E46" s="105" t="s">
        <v>331</v>
      </c>
      <c r="F46" s="100"/>
      <c r="G46" s="34"/>
      <c r="H46" s="34"/>
      <c r="I46" s="97">
        <v>44969.201203905293</v>
      </c>
      <c r="J46" s="97" t="s">
        <v>412</v>
      </c>
      <c r="K46" s="261">
        <v>409980.62463144638</v>
      </c>
      <c r="L46" s="219">
        <v>166688.64220935068</v>
      </c>
      <c r="M46" s="319">
        <v>387991.89651733841</v>
      </c>
      <c r="N46" s="319">
        <v>2828208.2787208171</v>
      </c>
      <c r="O46" s="319">
        <v>584784.90657694498</v>
      </c>
      <c r="P46" s="319">
        <v>802852.46685230965</v>
      </c>
      <c r="Q46" s="229">
        <v>567413.89997153159</v>
      </c>
      <c r="R46" s="219">
        <v>134872.90515399681</v>
      </c>
      <c r="S46" s="319"/>
      <c r="T46" s="319"/>
      <c r="U46" s="319"/>
      <c r="V46" s="319"/>
      <c r="W46" s="326">
        <f>SUM(tblPiNAnalysis56[[#This Row],[CCCM]:[WASH]])</f>
        <v>5882793.6206337363</v>
      </c>
    </row>
    <row r="47" spans="1:23" x14ac:dyDescent="0.55000000000000004">
      <c r="A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7" s="316" t="s">
        <v>322</v>
      </c>
      <c r="C47" s="218" t="s">
        <v>323</v>
      </c>
      <c r="D47" s="218" t="s">
        <v>332</v>
      </c>
      <c r="E47" s="105" t="s">
        <v>333</v>
      </c>
      <c r="F47" s="100"/>
      <c r="G47" s="34"/>
      <c r="H47" s="34"/>
      <c r="I47" s="97">
        <v>30389.775329136301</v>
      </c>
      <c r="J47" s="97" t="s">
        <v>412</v>
      </c>
      <c r="K47" s="261">
        <v>255636.65613204575</v>
      </c>
      <c r="L47" s="219">
        <v>52354.532464225493</v>
      </c>
      <c r="M47" s="319">
        <v>467026.89664680004</v>
      </c>
      <c r="N47" s="319">
        <v>1985573.1143993444</v>
      </c>
      <c r="O47" s="319">
        <v>341961.39915277011</v>
      </c>
      <c r="P47" s="319">
        <v>568661.23169887671</v>
      </c>
      <c r="Q47" s="229">
        <v>447361.98457261961</v>
      </c>
      <c r="R47" s="219">
        <v>80682.977586799534</v>
      </c>
      <c r="S47" s="319"/>
      <c r="T47" s="319"/>
      <c r="U47" s="319"/>
      <c r="V47" s="319"/>
      <c r="W47" s="326">
        <f>SUM(tblPiNAnalysis56[[#This Row],[CCCM]:[WASH]])</f>
        <v>4199258.7926534815</v>
      </c>
    </row>
    <row r="48" spans="1:23" x14ac:dyDescent="0.55000000000000004">
      <c r="A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8" s="316" t="s">
        <v>322</v>
      </c>
      <c r="C48" s="218" t="s">
        <v>323</v>
      </c>
      <c r="D48" s="218" t="s">
        <v>334</v>
      </c>
      <c r="E48" s="105" t="s">
        <v>335</v>
      </c>
      <c r="F48" s="100"/>
      <c r="G48" s="34"/>
      <c r="H48" s="34"/>
      <c r="I48" s="97">
        <v>44141.695035855759</v>
      </c>
      <c r="J48" s="97" t="s">
        <v>412</v>
      </c>
      <c r="K48" s="261">
        <v>0</v>
      </c>
      <c r="L48" s="219">
        <v>128323.68158415826</v>
      </c>
      <c r="M48" s="319">
        <v>714682.01747952879</v>
      </c>
      <c r="N48" s="319">
        <v>283063.33033092075</v>
      </c>
      <c r="O48" s="319">
        <v>217314.94034692727</v>
      </c>
      <c r="P48" s="319">
        <v>402490.94360998645</v>
      </c>
      <c r="Q48" s="229">
        <v>202785.826</v>
      </c>
      <c r="R48" s="219">
        <v>68467.311235399116</v>
      </c>
      <c r="S48" s="319"/>
      <c r="T48" s="319"/>
      <c r="U48" s="319"/>
      <c r="V48" s="319"/>
      <c r="W48" s="326">
        <f>SUM(tblPiNAnalysis56[[#This Row],[CCCM]:[WASH]])</f>
        <v>2017128.0505869205</v>
      </c>
    </row>
    <row r="49" spans="1:23" x14ac:dyDescent="0.55000000000000004">
      <c r="A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9" s="316" t="s">
        <v>322</v>
      </c>
      <c r="C49" s="218" t="s">
        <v>323</v>
      </c>
      <c r="D49" s="218" t="s">
        <v>336</v>
      </c>
      <c r="E49" s="105" t="s">
        <v>337</v>
      </c>
      <c r="F49" s="100"/>
      <c r="G49" s="34"/>
      <c r="H49" s="34"/>
      <c r="I49" s="97">
        <v>63061.040191389133</v>
      </c>
      <c r="J49" s="97" t="s">
        <v>412</v>
      </c>
      <c r="K49" s="261">
        <v>562164.22594994958</v>
      </c>
      <c r="L49" s="219">
        <v>474229.71739166271</v>
      </c>
      <c r="M49" s="319">
        <v>970304.61931798223</v>
      </c>
      <c r="N49" s="319">
        <v>4030890.8266709745</v>
      </c>
      <c r="O49" s="319">
        <v>949965.99771217536</v>
      </c>
      <c r="P49" s="319">
        <v>961502.53445965273</v>
      </c>
      <c r="Q49" s="229">
        <v>795693.71466065058</v>
      </c>
      <c r="R49" s="219">
        <v>450789.12094838388</v>
      </c>
      <c r="S49" s="319"/>
      <c r="T49" s="319"/>
      <c r="U49" s="319"/>
      <c r="V49" s="319"/>
      <c r="W49" s="326">
        <f>SUM(tblPiNAnalysis56[[#This Row],[CCCM]:[WASH]])</f>
        <v>9195540.757111432</v>
      </c>
    </row>
    <row r="50" spans="1:23" x14ac:dyDescent="0.55000000000000004">
      <c r="A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0" s="316" t="s">
        <v>322</v>
      </c>
      <c r="C50" s="218" t="s">
        <v>323</v>
      </c>
      <c r="D50" s="218" t="s">
        <v>338</v>
      </c>
      <c r="E50" s="105" t="s">
        <v>339</v>
      </c>
      <c r="F50" s="100"/>
      <c r="G50" s="34"/>
      <c r="H50" s="34"/>
      <c r="I50" s="97">
        <v>12256.01658411525</v>
      </c>
      <c r="J50" s="97" t="s">
        <v>412</v>
      </c>
      <c r="K50" s="261">
        <v>0</v>
      </c>
      <c r="L50" s="219">
        <v>35156.922836264297</v>
      </c>
      <c r="M50" s="319">
        <v>185388.47693101215</v>
      </c>
      <c r="N50" s="319">
        <v>145769.71667465611</v>
      </c>
      <c r="O50" s="319">
        <v>199750.84991786978</v>
      </c>
      <c r="P50" s="319">
        <v>85434.703326322444</v>
      </c>
      <c r="Q50" s="229">
        <v>0</v>
      </c>
      <c r="R50" s="219">
        <v>46493.432561176814</v>
      </c>
      <c r="S50" s="319"/>
      <c r="T50" s="319"/>
      <c r="U50" s="319"/>
      <c r="V50" s="319"/>
      <c r="W50" s="326">
        <f>SUM(tblPiNAnalysis56[[#This Row],[CCCM]:[WASH]])</f>
        <v>697994.10224730161</v>
      </c>
    </row>
    <row r="51" spans="1:23" x14ac:dyDescent="0.55000000000000004">
      <c r="A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1" s="316" t="s">
        <v>322</v>
      </c>
      <c r="C51" s="218" t="s">
        <v>323</v>
      </c>
      <c r="D51" s="218" t="s">
        <v>340</v>
      </c>
      <c r="E51" s="105" t="s">
        <v>341</v>
      </c>
      <c r="F51" s="100"/>
      <c r="G51" s="34"/>
      <c r="H51" s="34"/>
      <c r="I51" s="97">
        <v>233351.6448103383</v>
      </c>
      <c r="J51" s="97" t="s">
        <v>412</v>
      </c>
      <c r="K51" s="261">
        <v>4170894.555059467</v>
      </c>
      <c r="L51" s="219">
        <v>2441715.1652965401</v>
      </c>
      <c r="M51" s="319">
        <v>3404583.4189995527</v>
      </c>
      <c r="N51" s="319">
        <v>17061587.781780448</v>
      </c>
      <c r="O51" s="319">
        <v>3459569.5207051733</v>
      </c>
      <c r="P51" s="319">
        <v>3698626.1996272444</v>
      </c>
      <c r="Q51" s="229">
        <v>2107917.1683608103</v>
      </c>
      <c r="R51" s="219">
        <v>1056024.2259356745</v>
      </c>
      <c r="S51" s="319"/>
      <c r="T51" s="319"/>
      <c r="U51" s="319"/>
      <c r="V51" s="319"/>
      <c r="W51" s="326">
        <f>SUM(tblPiNAnalysis56[[#This Row],[CCCM]:[WASH]])</f>
        <v>37400918.03576491</v>
      </c>
    </row>
    <row r="52" spans="1:23" x14ac:dyDescent="0.55000000000000004">
      <c r="A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2" s="316" t="s">
        <v>342</v>
      </c>
      <c r="C52" s="218" t="s">
        <v>343</v>
      </c>
      <c r="D52" s="218" t="s">
        <v>344</v>
      </c>
      <c r="E52" s="105" t="s">
        <v>345</v>
      </c>
      <c r="F52" s="100"/>
      <c r="G52" s="34"/>
      <c r="H52" s="34"/>
      <c r="I52" s="97">
        <v>6074.719927136859</v>
      </c>
      <c r="J52" s="97" t="s">
        <v>412</v>
      </c>
      <c r="K52" s="261">
        <v>12065.446897087704</v>
      </c>
      <c r="L52" s="219">
        <v>18498.542731079495</v>
      </c>
      <c r="M52" s="319">
        <v>132040.50581111485</v>
      </c>
      <c r="N52" s="319">
        <v>427067.29595467361</v>
      </c>
      <c r="O52" s="319">
        <v>70362.293272114053</v>
      </c>
      <c r="P52" s="319">
        <v>48917.824983234088</v>
      </c>
      <c r="Q52" s="229">
        <v>202785.826</v>
      </c>
      <c r="R52" s="219">
        <v>135248.13943126609</v>
      </c>
      <c r="S52" s="319"/>
      <c r="T52" s="319"/>
      <c r="U52" s="319"/>
      <c r="V52" s="319"/>
      <c r="W52" s="326">
        <f>SUM(tblPiNAnalysis56[[#This Row],[CCCM]:[WASH]])</f>
        <v>1046985.8750805699</v>
      </c>
    </row>
    <row r="53" spans="1:23" x14ac:dyDescent="0.55000000000000004">
      <c r="A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3" s="316" t="s">
        <v>342</v>
      </c>
      <c r="C53" s="218" t="s">
        <v>343</v>
      </c>
      <c r="D53" s="218" t="s">
        <v>346</v>
      </c>
      <c r="E53" s="105" t="s">
        <v>347</v>
      </c>
      <c r="F53" s="100"/>
      <c r="G53" s="34"/>
      <c r="H53" s="34"/>
      <c r="I53" s="97">
        <v>30713.015967447398</v>
      </c>
      <c r="J53" s="97" t="s">
        <v>412</v>
      </c>
      <c r="K53" s="261">
        <v>317431.30983469763</v>
      </c>
      <c r="L53" s="219">
        <v>398035.28144730802</v>
      </c>
      <c r="M53" s="319">
        <v>393649.81446109939</v>
      </c>
      <c r="N53" s="319">
        <v>1875208.5883128429</v>
      </c>
      <c r="O53" s="319">
        <v>246555.61888023352</v>
      </c>
      <c r="P53" s="319">
        <v>811022.40744459035</v>
      </c>
      <c r="Q53" s="229">
        <v>361696.27781972336</v>
      </c>
      <c r="R53" s="219">
        <v>771694.18966652197</v>
      </c>
      <c r="S53" s="319"/>
      <c r="T53" s="319"/>
      <c r="U53" s="319"/>
      <c r="V53" s="319"/>
      <c r="W53" s="326">
        <f>SUM(tblPiNAnalysis56[[#This Row],[CCCM]:[WASH]])</f>
        <v>5175293.4878670173</v>
      </c>
    </row>
    <row r="54" spans="1:23" x14ac:dyDescent="0.55000000000000004">
      <c r="A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4" s="316" t="s">
        <v>342</v>
      </c>
      <c r="C54" s="218" t="s">
        <v>343</v>
      </c>
      <c r="D54" s="218" t="s">
        <v>348</v>
      </c>
      <c r="E54" s="105" t="s">
        <v>349</v>
      </c>
      <c r="F54" s="100"/>
      <c r="G54" s="34"/>
      <c r="H54" s="34"/>
      <c r="I54" s="97">
        <v>4270.8268474169781</v>
      </c>
      <c r="J54" s="97" t="s">
        <v>412</v>
      </c>
      <c r="K54" s="261">
        <v>0</v>
      </c>
      <c r="L54" s="219">
        <v>55916.129353474033</v>
      </c>
      <c r="M54" s="319">
        <v>49882.005550919639</v>
      </c>
      <c r="N54" s="319">
        <v>352322.25014287082</v>
      </c>
      <c r="O54" s="319">
        <v>33821.752957228404</v>
      </c>
      <c r="P54" s="319">
        <v>86734.135087039962</v>
      </c>
      <c r="Q54" s="229">
        <v>62870.013138750786</v>
      </c>
      <c r="R54" s="219">
        <v>9911.3665657537167</v>
      </c>
      <c r="S54" s="319"/>
      <c r="T54" s="319"/>
      <c r="U54" s="319"/>
      <c r="V54" s="319"/>
      <c r="W54" s="326">
        <f>SUM(tblPiNAnalysis56[[#This Row],[CCCM]:[WASH]])</f>
        <v>651457.65279603738</v>
      </c>
    </row>
    <row r="55" spans="1:23" x14ac:dyDescent="0.55000000000000004">
      <c r="A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5" s="316" t="s">
        <v>342</v>
      </c>
      <c r="C55" s="218" t="s">
        <v>343</v>
      </c>
      <c r="D55" s="218" t="s">
        <v>350</v>
      </c>
      <c r="E55" s="105" t="s">
        <v>351</v>
      </c>
      <c r="F55" s="100"/>
      <c r="G55" s="34"/>
      <c r="H55" s="34"/>
      <c r="I55" s="97">
        <v>17587.64076058444</v>
      </c>
      <c r="J55" s="97" t="s">
        <v>412</v>
      </c>
      <c r="K55" s="261">
        <v>252334.96289331565</v>
      </c>
      <c r="L55" s="219">
        <v>0</v>
      </c>
      <c r="M55" s="319">
        <v>237422.58208400029</v>
      </c>
      <c r="N55" s="319">
        <v>1494009.3547491725</v>
      </c>
      <c r="O55" s="319">
        <v>254620.36174782834</v>
      </c>
      <c r="P55" s="319">
        <v>317510.6870326717</v>
      </c>
      <c r="Q55" s="229">
        <v>161815.15389202797</v>
      </c>
      <c r="R55" s="219">
        <v>364064.16374409787</v>
      </c>
      <c r="S55" s="319"/>
      <c r="T55" s="319"/>
      <c r="U55" s="319"/>
      <c r="V55" s="319"/>
      <c r="W55" s="326">
        <f>SUM(tblPiNAnalysis56[[#This Row],[CCCM]:[WASH]])</f>
        <v>3081777.2661431148</v>
      </c>
    </row>
    <row r="56" spans="1:23" x14ac:dyDescent="0.55000000000000004">
      <c r="A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6" s="316" t="s">
        <v>342</v>
      </c>
      <c r="C56" s="218" t="s">
        <v>343</v>
      </c>
      <c r="D56" s="218" t="s">
        <v>352</v>
      </c>
      <c r="E56" s="105" t="s">
        <v>353</v>
      </c>
      <c r="F56" s="100"/>
      <c r="G56" s="34"/>
      <c r="H56" s="34"/>
      <c r="I56" s="97">
        <v>10736.997624544605</v>
      </c>
      <c r="J56" s="97" t="s">
        <v>412</v>
      </c>
      <c r="K56" s="261">
        <v>117678.86889152772</v>
      </c>
      <c r="L56" s="219">
        <v>140527.63946263836</v>
      </c>
      <c r="M56" s="319">
        <v>116221.71597054943</v>
      </c>
      <c r="N56" s="319">
        <v>624726.9607383156</v>
      </c>
      <c r="O56" s="319">
        <v>111371.46471615713</v>
      </c>
      <c r="P56" s="319">
        <v>227590.50388898613</v>
      </c>
      <c r="Q56" s="229">
        <v>0</v>
      </c>
      <c r="R56" s="219">
        <v>49390.189072905174</v>
      </c>
      <c r="S56" s="319"/>
      <c r="T56" s="319"/>
      <c r="U56" s="319"/>
      <c r="V56" s="319"/>
      <c r="W56" s="326">
        <f>SUM(tblPiNAnalysis56[[#This Row],[CCCM]:[WASH]])</f>
        <v>1387507.3427410794</v>
      </c>
    </row>
    <row r="57" spans="1:23" x14ac:dyDescent="0.55000000000000004">
      <c r="A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7" s="316" t="s">
        <v>342</v>
      </c>
      <c r="C57" s="218" t="s">
        <v>343</v>
      </c>
      <c r="D57" s="218" t="s">
        <v>354</v>
      </c>
      <c r="E57" s="105" t="s">
        <v>355</v>
      </c>
      <c r="F57" s="100"/>
      <c r="G57" s="34"/>
      <c r="H57" s="34"/>
      <c r="I57" s="97">
        <v>541.05925656197849</v>
      </c>
      <c r="J57" s="97" t="s">
        <v>412</v>
      </c>
      <c r="K57" s="261">
        <v>0</v>
      </c>
      <c r="L57" s="219">
        <v>0</v>
      </c>
      <c r="M57" s="319">
        <v>0</v>
      </c>
      <c r="N57" s="319">
        <v>0</v>
      </c>
      <c r="O57" s="319">
        <v>0</v>
      </c>
      <c r="P57" s="319">
        <v>0</v>
      </c>
      <c r="Q57" s="229">
        <v>0</v>
      </c>
      <c r="R57" s="219">
        <v>0</v>
      </c>
      <c r="S57" s="319"/>
      <c r="T57" s="319"/>
      <c r="U57" s="319"/>
      <c r="V57" s="319"/>
      <c r="W57" s="326">
        <f>SUM(tblPiNAnalysis56[[#This Row],[CCCM]:[WASH]])</f>
        <v>0</v>
      </c>
    </row>
    <row r="58" spans="1:23" x14ac:dyDescent="0.55000000000000004">
      <c r="A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8" s="316" t="s">
        <v>342</v>
      </c>
      <c r="C58" s="218" t="s">
        <v>343</v>
      </c>
      <c r="D58" s="218" t="s">
        <v>356</v>
      </c>
      <c r="E58" s="105" t="s">
        <v>357</v>
      </c>
      <c r="F58" s="100"/>
      <c r="G58" s="34"/>
      <c r="H58" s="34"/>
      <c r="I58" s="97">
        <v>107560.86765914821</v>
      </c>
      <c r="J58" s="97" t="s">
        <v>412</v>
      </c>
      <c r="K58" s="261">
        <v>1209561.0514330424</v>
      </c>
      <c r="L58" s="219">
        <v>114523.23959837783</v>
      </c>
      <c r="M58" s="319">
        <v>1518919.7242339603</v>
      </c>
      <c r="N58" s="319">
        <v>7754883.8231277596</v>
      </c>
      <c r="O58" s="319">
        <v>1703950.021421988</v>
      </c>
      <c r="P58" s="319">
        <v>1676905.0063660592</v>
      </c>
      <c r="Q58" s="229">
        <v>1261625.7537549289</v>
      </c>
      <c r="R58" s="219">
        <v>1855274.3766676546</v>
      </c>
      <c r="S58" s="319"/>
      <c r="T58" s="319"/>
      <c r="U58" s="319"/>
      <c r="V58" s="319"/>
      <c r="W58" s="326">
        <f>SUM(tblPiNAnalysis56[[#This Row],[CCCM]:[WASH]])</f>
        <v>17095642.996603772</v>
      </c>
    </row>
    <row r="59" spans="1:23" x14ac:dyDescent="0.55000000000000004">
      <c r="A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9" s="316" t="s">
        <v>342</v>
      </c>
      <c r="C59" s="218" t="s">
        <v>343</v>
      </c>
      <c r="D59" s="218" t="s">
        <v>358</v>
      </c>
      <c r="E59" s="105" t="s">
        <v>359</v>
      </c>
      <c r="F59" s="100"/>
      <c r="G59" s="34"/>
      <c r="H59" s="34"/>
      <c r="I59" s="97">
        <v>19743.531183340554</v>
      </c>
      <c r="J59" s="97" t="s">
        <v>412</v>
      </c>
      <c r="K59" s="261">
        <v>0</v>
      </c>
      <c r="L59" s="219">
        <v>20175.835542130975</v>
      </c>
      <c r="M59" s="319">
        <v>357835.74328844826</v>
      </c>
      <c r="N59" s="319">
        <v>133470.88906866912</v>
      </c>
      <c r="O59" s="319">
        <v>88784.019583865898</v>
      </c>
      <c r="P59" s="319">
        <v>150199.30590378129</v>
      </c>
      <c r="Q59" s="229">
        <v>202785.826</v>
      </c>
      <c r="R59" s="219">
        <v>180682.76312614206</v>
      </c>
      <c r="S59" s="319"/>
      <c r="T59" s="319"/>
      <c r="U59" s="319"/>
      <c r="V59" s="319"/>
      <c r="W59" s="326">
        <f>SUM(tblPiNAnalysis56[[#This Row],[CCCM]:[WASH]])</f>
        <v>1133934.3825130376</v>
      </c>
    </row>
    <row r="60" spans="1:23" x14ac:dyDescent="0.55000000000000004">
      <c r="A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0" s="316" t="s">
        <v>342</v>
      </c>
      <c r="C60" s="218" t="s">
        <v>343</v>
      </c>
      <c r="D60" s="218" t="s">
        <v>360</v>
      </c>
      <c r="E60" s="105" t="s">
        <v>361</v>
      </c>
      <c r="F60" s="100"/>
      <c r="G60" s="34"/>
      <c r="H60" s="34"/>
      <c r="I60" s="97">
        <v>33846.254411291047</v>
      </c>
      <c r="J60" s="97" t="s">
        <v>412</v>
      </c>
      <c r="K60" s="261">
        <v>0</v>
      </c>
      <c r="L60" s="219">
        <v>0</v>
      </c>
      <c r="M60" s="319">
        <v>0</v>
      </c>
      <c r="N60" s="319">
        <v>0</v>
      </c>
      <c r="O60" s="319">
        <v>0</v>
      </c>
      <c r="P60" s="319">
        <v>0</v>
      </c>
      <c r="Q60" s="229">
        <v>0</v>
      </c>
      <c r="R60" s="219">
        <v>0</v>
      </c>
      <c r="S60" s="319"/>
      <c r="T60" s="319"/>
      <c r="U60" s="319"/>
      <c r="V60" s="319"/>
      <c r="W60" s="326">
        <f>SUM(tblPiNAnalysis56[[#This Row],[CCCM]:[WASH]])</f>
        <v>0</v>
      </c>
    </row>
    <row r="61" spans="1:23" x14ac:dyDescent="0.55000000000000004">
      <c r="A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1" s="316" t="s">
        <v>342</v>
      </c>
      <c r="C61" s="218" t="s">
        <v>343</v>
      </c>
      <c r="D61" s="218" t="s">
        <v>362</v>
      </c>
      <c r="E61" s="105" t="s">
        <v>363</v>
      </c>
      <c r="F61" s="100"/>
      <c r="G61" s="34"/>
      <c r="H61" s="34"/>
      <c r="I61" s="97">
        <v>17038.14092740557</v>
      </c>
      <c r="J61" s="97" t="s">
        <v>412</v>
      </c>
      <c r="K61" s="261">
        <v>40435.551763212847</v>
      </c>
      <c r="L61" s="219">
        <v>53551.701580856599</v>
      </c>
      <c r="M61" s="319">
        <v>276552.46446474246</v>
      </c>
      <c r="N61" s="319">
        <v>1312697.253869032</v>
      </c>
      <c r="O61" s="319">
        <v>242836.64251847067</v>
      </c>
      <c r="P61" s="319">
        <v>312177.13439341862</v>
      </c>
      <c r="Q61" s="229">
        <v>202785.826</v>
      </c>
      <c r="R61" s="219">
        <v>428474.04155373888</v>
      </c>
      <c r="S61" s="319"/>
      <c r="T61" s="319"/>
      <c r="U61" s="319"/>
      <c r="V61" s="319"/>
      <c r="W61" s="326">
        <f>SUM(tblPiNAnalysis56[[#This Row],[CCCM]:[WASH]])</f>
        <v>2869510.616143472</v>
      </c>
    </row>
    <row r="62" spans="1:23" x14ac:dyDescent="0.55000000000000004">
      <c r="A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2" s="316" t="s">
        <v>342</v>
      </c>
      <c r="C62" s="218" t="s">
        <v>343</v>
      </c>
      <c r="D62" s="218" t="s">
        <v>364</v>
      </c>
      <c r="E62" s="105" t="s">
        <v>365</v>
      </c>
      <c r="F62" s="100"/>
      <c r="G62" s="34"/>
      <c r="H62" s="34"/>
      <c r="I62" s="97">
        <v>119449.90934019189</v>
      </c>
      <c r="J62" s="97" t="s">
        <v>412</v>
      </c>
      <c r="K62" s="261">
        <v>235480.02271782322</v>
      </c>
      <c r="L62" s="219">
        <v>831335.53403493355</v>
      </c>
      <c r="M62" s="319">
        <v>1084492.4608397</v>
      </c>
      <c r="N62" s="319">
        <v>1535659.7650472079</v>
      </c>
      <c r="O62" s="319">
        <v>920414.6538856288</v>
      </c>
      <c r="P62" s="319">
        <v>1302920.4168945444</v>
      </c>
      <c r="Q62" s="229">
        <v>586132.97751952009</v>
      </c>
      <c r="R62" s="219">
        <v>654049.69906416605</v>
      </c>
      <c r="S62" s="319"/>
      <c r="T62" s="319"/>
      <c r="U62" s="319"/>
      <c r="V62" s="319"/>
      <c r="W62" s="326">
        <f>SUM(tblPiNAnalysis56[[#This Row],[CCCM]:[WASH]])</f>
        <v>7150485.5300035244</v>
      </c>
    </row>
    <row r="63" spans="1:23" x14ac:dyDescent="0.55000000000000004">
      <c r="A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3" s="316" t="s">
        <v>342</v>
      </c>
      <c r="C63" s="218" t="s">
        <v>343</v>
      </c>
      <c r="D63" s="218" t="s">
        <v>366</v>
      </c>
      <c r="E63" s="105" t="s">
        <v>367</v>
      </c>
      <c r="F63" s="100"/>
      <c r="G63" s="34"/>
      <c r="H63" s="34"/>
      <c r="I63" s="97">
        <v>18966</v>
      </c>
      <c r="J63" s="97" t="s">
        <v>412</v>
      </c>
      <c r="K63" s="261">
        <v>386542.67880095507</v>
      </c>
      <c r="L63" s="219">
        <v>234129.20087999999</v>
      </c>
      <c r="M63" s="319">
        <v>231816.20339893666</v>
      </c>
      <c r="N63" s="319">
        <v>1539188.5687947494</v>
      </c>
      <c r="O63" s="319">
        <v>286664.64712257718</v>
      </c>
      <c r="P63" s="319">
        <v>383006.96511133877</v>
      </c>
      <c r="Q63" s="229">
        <v>186129.87005248002</v>
      </c>
      <c r="R63" s="219">
        <v>392596.20000000007</v>
      </c>
      <c r="S63" s="319"/>
      <c r="T63" s="319"/>
      <c r="U63" s="319"/>
      <c r="V63" s="319"/>
      <c r="W63" s="326">
        <f>SUM(tblPiNAnalysis56[[#This Row],[CCCM]:[WASH]])</f>
        <v>3640074.3341610376</v>
      </c>
    </row>
    <row r="64" spans="1:23" x14ac:dyDescent="0.55000000000000004">
      <c r="A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4" s="316" t="s">
        <v>368</v>
      </c>
      <c r="C64" s="218" t="s">
        <v>369</v>
      </c>
      <c r="D64" s="218" t="s">
        <v>370</v>
      </c>
      <c r="E64" s="105" t="s">
        <v>371</v>
      </c>
      <c r="F64" s="100"/>
      <c r="G64" s="34"/>
      <c r="H64" s="34"/>
      <c r="I64" s="97">
        <v>18326.432795999659</v>
      </c>
      <c r="J64" s="97" t="s">
        <v>412</v>
      </c>
      <c r="K64" s="261">
        <v>0</v>
      </c>
      <c r="L64" s="219">
        <v>65531.658391935583</v>
      </c>
      <c r="M64" s="319">
        <v>207698.35246897783</v>
      </c>
      <c r="N64" s="319">
        <v>105468.67815519239</v>
      </c>
      <c r="O64" s="319">
        <v>80407.343183696721</v>
      </c>
      <c r="P64" s="319">
        <v>159146.45240969519</v>
      </c>
      <c r="Q64" s="229">
        <v>105984.9451555062</v>
      </c>
      <c r="R64" s="219">
        <v>14050.265143599738</v>
      </c>
      <c r="S64" s="319"/>
      <c r="T64" s="319"/>
      <c r="U64" s="319"/>
      <c r="V64" s="319"/>
      <c r="W64" s="326">
        <f>SUM(tblPiNAnalysis56[[#This Row],[CCCM]:[WASH]])</f>
        <v>738287.69490860368</v>
      </c>
    </row>
    <row r="65" spans="1:23" x14ac:dyDescent="0.55000000000000004">
      <c r="A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5" s="316" t="s">
        <v>368</v>
      </c>
      <c r="C65" s="218" t="s">
        <v>369</v>
      </c>
      <c r="D65" s="218" t="s">
        <v>372</v>
      </c>
      <c r="E65" s="105" t="s">
        <v>373</v>
      </c>
      <c r="F65" s="100"/>
      <c r="G65" s="34"/>
      <c r="H65" s="34"/>
      <c r="I65" s="97">
        <v>24686.538616861621</v>
      </c>
      <c r="J65" s="97" t="s">
        <v>412</v>
      </c>
      <c r="K65" s="261">
        <v>21287.769060824507</v>
      </c>
      <c r="L65" s="219">
        <v>53369.940159543839</v>
      </c>
      <c r="M65" s="319">
        <v>250340.22588923475</v>
      </c>
      <c r="N65" s="319">
        <v>130821.4130544455</v>
      </c>
      <c r="O65" s="319">
        <v>114103.21715058218</v>
      </c>
      <c r="P65" s="319">
        <v>180999.4840316854</v>
      </c>
      <c r="Q65" s="229">
        <v>115629.10030490166</v>
      </c>
      <c r="R65" s="219">
        <v>64263.548481257509</v>
      </c>
      <c r="S65" s="319"/>
      <c r="T65" s="319"/>
      <c r="U65" s="319"/>
      <c r="V65" s="319"/>
      <c r="W65" s="326">
        <f>SUM(tblPiNAnalysis56[[#This Row],[CCCM]:[WASH]])</f>
        <v>930814.69813247526</v>
      </c>
    </row>
    <row r="66" spans="1:23" x14ac:dyDescent="0.55000000000000004">
      <c r="A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6" s="316" t="s">
        <v>368</v>
      </c>
      <c r="C66" s="218" t="s">
        <v>369</v>
      </c>
      <c r="D66" s="218" t="s">
        <v>374</v>
      </c>
      <c r="E66" s="105" t="s">
        <v>375</v>
      </c>
      <c r="F66" s="100"/>
      <c r="G66" s="34"/>
      <c r="H66" s="34"/>
      <c r="I66" s="97">
        <v>23538.621025019514</v>
      </c>
      <c r="J66" s="97" t="s">
        <v>412</v>
      </c>
      <c r="K66" s="261">
        <v>3913.117912568985</v>
      </c>
      <c r="L66" s="219">
        <v>292618.0981494633</v>
      </c>
      <c r="M66" s="319">
        <v>340614.07573491393</v>
      </c>
      <c r="N66" s="319">
        <v>1530501.2903847683</v>
      </c>
      <c r="O66" s="319">
        <v>183604.86993388788</v>
      </c>
      <c r="P66" s="319">
        <v>453458.84960643738</v>
      </c>
      <c r="Q66" s="229">
        <v>346507.47173374373</v>
      </c>
      <c r="R66" s="219">
        <v>97416.472013730454</v>
      </c>
      <c r="S66" s="319"/>
      <c r="T66" s="319"/>
      <c r="U66" s="319"/>
      <c r="V66" s="319"/>
      <c r="W66" s="326">
        <f>SUM(tblPiNAnalysis56[[#This Row],[CCCM]:[WASH]])</f>
        <v>3248634.2454695138</v>
      </c>
    </row>
    <row r="67" spans="1:23" x14ac:dyDescent="0.55000000000000004">
      <c r="A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7" s="316" t="s">
        <v>368</v>
      </c>
      <c r="C67" s="218" t="s">
        <v>369</v>
      </c>
      <c r="D67" s="218" t="s">
        <v>376</v>
      </c>
      <c r="E67" s="105" t="s">
        <v>377</v>
      </c>
      <c r="F67" s="100"/>
      <c r="G67" s="34"/>
      <c r="H67" s="34"/>
      <c r="I67" s="97">
        <v>35756.212335130236</v>
      </c>
      <c r="J67" s="97" t="s">
        <v>412</v>
      </c>
      <c r="K67" s="261">
        <v>0</v>
      </c>
      <c r="L67" s="219">
        <v>90065.858420199191</v>
      </c>
      <c r="M67" s="319">
        <v>392407.88361042703</v>
      </c>
      <c r="N67" s="319">
        <v>1006948.5856059816</v>
      </c>
      <c r="O67" s="319">
        <v>188969.59249355402</v>
      </c>
      <c r="P67" s="319">
        <v>336023.04726248671</v>
      </c>
      <c r="Q67" s="229">
        <v>202785.826</v>
      </c>
      <c r="R67" s="219">
        <v>119615.01433561507</v>
      </c>
      <c r="S67" s="319"/>
      <c r="T67" s="319"/>
      <c r="U67" s="319"/>
      <c r="V67" s="319"/>
      <c r="W67" s="326">
        <f>SUM(tblPiNAnalysis56[[#This Row],[CCCM]:[WASH]])</f>
        <v>2336815.807728264</v>
      </c>
    </row>
    <row r="68" spans="1:23" x14ac:dyDescent="0.55000000000000004">
      <c r="A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8" s="316" t="s">
        <v>368</v>
      </c>
      <c r="C68" s="218" t="s">
        <v>369</v>
      </c>
      <c r="D68" s="218" t="s">
        <v>378</v>
      </c>
      <c r="E68" s="105" t="s">
        <v>379</v>
      </c>
      <c r="F68" s="100"/>
      <c r="G68" s="34"/>
      <c r="H68" s="34"/>
      <c r="I68" s="97">
        <v>7457.5791677040434</v>
      </c>
      <c r="J68" s="97" t="s">
        <v>412</v>
      </c>
      <c r="K68" s="261">
        <v>0</v>
      </c>
      <c r="L68" s="219">
        <v>0</v>
      </c>
      <c r="M68" s="319">
        <v>0</v>
      </c>
      <c r="N68" s="319">
        <v>0</v>
      </c>
      <c r="O68" s="319">
        <v>0</v>
      </c>
      <c r="P68" s="319">
        <v>0</v>
      </c>
      <c r="Q68" s="229">
        <v>0</v>
      </c>
      <c r="R68" s="219">
        <v>0</v>
      </c>
      <c r="S68" s="319"/>
      <c r="T68" s="319"/>
      <c r="U68" s="319"/>
      <c r="V68" s="319"/>
      <c r="W68" s="326">
        <f>SUM(tblPiNAnalysis56[[#This Row],[CCCM]:[WASH]])</f>
        <v>0</v>
      </c>
    </row>
    <row r="69" spans="1:23" x14ac:dyDescent="0.55000000000000004">
      <c r="A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9" s="316" t="s">
        <v>368</v>
      </c>
      <c r="C69" s="218" t="s">
        <v>369</v>
      </c>
      <c r="D69" s="218" t="s">
        <v>380</v>
      </c>
      <c r="E69" s="105" t="s">
        <v>381</v>
      </c>
      <c r="F69" s="100"/>
      <c r="G69" s="34"/>
      <c r="H69" s="34"/>
      <c r="I69" s="97">
        <v>150879.3340223525</v>
      </c>
      <c r="J69" s="97" t="s">
        <v>412</v>
      </c>
      <c r="K69" s="261">
        <v>1374890.283239082</v>
      </c>
      <c r="L69" s="219">
        <v>704074.79111129127</v>
      </c>
      <c r="M69" s="319">
        <v>2199478.7911231541</v>
      </c>
      <c r="N69" s="319">
        <v>7863440.4330975059</v>
      </c>
      <c r="O69" s="319">
        <v>2136982.1083278828</v>
      </c>
      <c r="P69" s="319">
        <v>2393057.4478342123</v>
      </c>
      <c r="Q69" s="229">
        <v>1255384.7876202068</v>
      </c>
      <c r="R69" s="219">
        <v>533564.89588655718</v>
      </c>
      <c r="S69" s="319"/>
      <c r="T69" s="319"/>
      <c r="U69" s="319"/>
      <c r="V69" s="319"/>
      <c r="W69" s="326">
        <f>SUM(tblPiNAnalysis56[[#This Row],[CCCM]:[WASH]])</f>
        <v>18460873.538239889</v>
      </c>
    </row>
    <row r="70" spans="1:23" x14ac:dyDescent="0.55000000000000004">
      <c r="A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0" s="316" t="s">
        <v>382</v>
      </c>
      <c r="C70" s="218" t="s">
        <v>383</v>
      </c>
      <c r="D70" s="218" t="s">
        <v>384</v>
      </c>
      <c r="E70" s="105" t="s">
        <v>385</v>
      </c>
      <c r="F70" s="100"/>
      <c r="G70" s="34"/>
      <c r="H70" s="34"/>
      <c r="I70" s="97">
        <v>47398.331065600592</v>
      </c>
      <c r="J70" s="97" t="s">
        <v>412</v>
      </c>
      <c r="K70" s="261">
        <v>0</v>
      </c>
      <c r="L70" s="219">
        <v>0</v>
      </c>
      <c r="M70" s="319">
        <v>0</v>
      </c>
      <c r="N70" s="319">
        <v>0</v>
      </c>
      <c r="O70" s="319">
        <v>0</v>
      </c>
      <c r="P70" s="319">
        <v>0</v>
      </c>
      <c r="Q70" s="229">
        <v>0</v>
      </c>
      <c r="R70" s="219">
        <v>0</v>
      </c>
      <c r="S70" s="319"/>
      <c r="T70" s="319"/>
      <c r="U70" s="319"/>
      <c r="V70" s="319"/>
      <c r="W70" s="326">
        <f>SUM(tblPiNAnalysis56[[#This Row],[CCCM]:[WASH]])</f>
        <v>0</v>
      </c>
    </row>
    <row r="71" spans="1:23" x14ac:dyDescent="0.55000000000000004">
      <c r="A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1" s="316" t="s">
        <v>382</v>
      </c>
      <c r="C71" s="218" t="s">
        <v>383</v>
      </c>
      <c r="D71" s="218" t="s">
        <v>386</v>
      </c>
      <c r="E71" s="105" t="s">
        <v>387</v>
      </c>
      <c r="F71" s="100"/>
      <c r="G71" s="34"/>
      <c r="H71" s="34"/>
      <c r="I71" s="97">
        <v>7607.0241213008612</v>
      </c>
      <c r="J71" s="97" t="s">
        <v>412</v>
      </c>
      <c r="K71" s="261">
        <v>46539.608090371235</v>
      </c>
      <c r="L71" s="219">
        <v>19021.072846640163</v>
      </c>
      <c r="M71" s="319">
        <v>56271.394094992691</v>
      </c>
      <c r="N71" s="319">
        <v>35687.709481404454</v>
      </c>
      <c r="O71" s="319">
        <v>35969.333186443655</v>
      </c>
      <c r="P71" s="319">
        <v>71987.641118482919</v>
      </c>
      <c r="Q71" s="229">
        <v>202785.826</v>
      </c>
      <c r="R71" s="219">
        <v>4158.036950254268</v>
      </c>
      <c r="S71" s="319"/>
      <c r="T71" s="319"/>
      <c r="U71" s="319"/>
      <c r="V71" s="319"/>
      <c r="W71" s="326">
        <f>SUM(tblPiNAnalysis56[[#This Row],[CCCM]:[WASH]])</f>
        <v>472420.62176858942</v>
      </c>
    </row>
    <row r="72" spans="1:23" x14ac:dyDescent="0.55000000000000004">
      <c r="A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2" s="316" t="s">
        <v>382</v>
      </c>
      <c r="C72" s="218" t="s">
        <v>383</v>
      </c>
      <c r="D72" s="218" t="s">
        <v>388</v>
      </c>
      <c r="E72" s="105" t="s">
        <v>389</v>
      </c>
      <c r="F72" s="100"/>
      <c r="G72" s="34"/>
      <c r="H72" s="34"/>
      <c r="I72" s="97">
        <v>17868.652727011824</v>
      </c>
      <c r="J72" s="97" t="s">
        <v>412</v>
      </c>
      <c r="K72" s="261">
        <v>0</v>
      </c>
      <c r="L72" s="219">
        <v>0</v>
      </c>
      <c r="M72" s="319">
        <v>0</v>
      </c>
      <c r="N72" s="319">
        <v>0</v>
      </c>
      <c r="O72" s="319">
        <v>0</v>
      </c>
      <c r="P72" s="319">
        <v>0</v>
      </c>
      <c r="Q72" s="229">
        <v>0</v>
      </c>
      <c r="R72" s="219">
        <v>0</v>
      </c>
      <c r="S72" s="319"/>
      <c r="T72" s="319"/>
      <c r="U72" s="319"/>
      <c r="V72" s="319"/>
      <c r="W72" s="326">
        <f>SUM(tblPiNAnalysis56[[#This Row],[CCCM]:[WASH]])</f>
        <v>0</v>
      </c>
    </row>
    <row r="73" spans="1:23" x14ac:dyDescent="0.55000000000000004">
      <c r="A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3" s="316" t="s">
        <v>390</v>
      </c>
      <c r="C73" s="218" t="s">
        <v>391</v>
      </c>
      <c r="D73" s="218" t="s">
        <v>392</v>
      </c>
      <c r="E73" s="105" t="s">
        <v>393</v>
      </c>
      <c r="F73" s="100"/>
      <c r="G73" s="34"/>
      <c r="H73" s="34"/>
      <c r="I73" s="97">
        <v>41205.344743342968</v>
      </c>
      <c r="J73" s="97" t="s">
        <v>412</v>
      </c>
      <c r="K73" s="261">
        <v>231882.80755340433</v>
      </c>
      <c r="L73" s="219">
        <v>86103.708207971853</v>
      </c>
      <c r="M73" s="319">
        <v>406652.83253749704</v>
      </c>
      <c r="N73" s="319">
        <v>35817.911865617913</v>
      </c>
      <c r="O73" s="319">
        <v>132631.80545586866</v>
      </c>
      <c r="P73" s="319">
        <v>307560.15457985306</v>
      </c>
      <c r="Q73" s="229">
        <v>202785.826</v>
      </c>
      <c r="R73" s="219">
        <v>249606.03893909816</v>
      </c>
      <c r="S73" s="319"/>
      <c r="T73" s="319"/>
      <c r="U73" s="319"/>
      <c r="V73" s="319"/>
      <c r="W73" s="326">
        <f>SUM(tblPiNAnalysis56[[#This Row],[CCCM]:[WASH]])</f>
        <v>1653041.0851393112</v>
      </c>
    </row>
    <row r="74" spans="1:23" x14ac:dyDescent="0.55000000000000004">
      <c r="A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4" s="316" t="s">
        <v>390</v>
      </c>
      <c r="C74" s="218" t="s">
        <v>391</v>
      </c>
      <c r="D74" s="218" t="s">
        <v>394</v>
      </c>
      <c r="E74" s="105" t="s">
        <v>395</v>
      </c>
      <c r="F74" s="100"/>
      <c r="G74" s="34"/>
      <c r="H74" s="34"/>
      <c r="I74" s="97">
        <v>7434.8763775539119</v>
      </c>
      <c r="J74" s="97" t="s">
        <v>412</v>
      </c>
      <c r="K74" s="261">
        <v>0</v>
      </c>
      <c r="L74" s="219">
        <v>0</v>
      </c>
      <c r="M74" s="319">
        <v>0</v>
      </c>
      <c r="N74" s="319">
        <v>0</v>
      </c>
      <c r="O74" s="319">
        <v>0</v>
      </c>
      <c r="P74" s="319">
        <v>0</v>
      </c>
      <c r="Q74" s="229">
        <v>0</v>
      </c>
      <c r="R74" s="219">
        <v>0</v>
      </c>
      <c r="S74" s="319"/>
      <c r="T74" s="319"/>
      <c r="U74" s="319"/>
      <c r="V74" s="319"/>
      <c r="W74" s="326">
        <f>SUM(tblPiNAnalysis56[[#This Row],[CCCM]:[WASH]])</f>
        <v>0</v>
      </c>
    </row>
    <row r="75" spans="1:23" x14ac:dyDescent="0.55000000000000004">
      <c r="A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5" s="316" t="s">
        <v>390</v>
      </c>
      <c r="C75" s="218" t="s">
        <v>391</v>
      </c>
      <c r="D75" s="218" t="s">
        <v>396</v>
      </c>
      <c r="E75" s="105" t="s">
        <v>397</v>
      </c>
      <c r="F75" s="100"/>
      <c r="G75" s="34"/>
      <c r="H75" s="34"/>
      <c r="I75" s="97">
        <v>11522.074781291758</v>
      </c>
      <c r="J75" s="97" t="s">
        <v>412</v>
      </c>
      <c r="K75" s="261">
        <v>0</v>
      </c>
      <c r="L75" s="219">
        <v>0</v>
      </c>
      <c r="M75" s="319">
        <v>0</v>
      </c>
      <c r="N75" s="319">
        <v>0</v>
      </c>
      <c r="O75" s="319">
        <v>0</v>
      </c>
      <c r="P75" s="319">
        <v>0</v>
      </c>
      <c r="Q75" s="229">
        <v>0</v>
      </c>
      <c r="R75" s="219">
        <v>0</v>
      </c>
      <c r="S75" s="319"/>
      <c r="T75" s="319"/>
      <c r="U75" s="319"/>
      <c r="V75" s="319"/>
      <c r="W75" s="326">
        <f>SUM(tblPiNAnalysis56[[#This Row],[CCCM]:[WASH]])</f>
        <v>0</v>
      </c>
    </row>
    <row r="76" spans="1:23" x14ac:dyDescent="0.55000000000000004">
      <c r="A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6" s="316" t="s">
        <v>390</v>
      </c>
      <c r="C76" s="218" t="s">
        <v>391</v>
      </c>
      <c r="D76" s="218" t="s">
        <v>398</v>
      </c>
      <c r="E76" s="105" t="s">
        <v>399</v>
      </c>
      <c r="F76" s="100"/>
      <c r="G76" s="34"/>
      <c r="H76" s="34"/>
      <c r="I76" s="97">
        <v>17357.293062226148</v>
      </c>
      <c r="J76" s="97" t="s">
        <v>412</v>
      </c>
      <c r="K76" s="261">
        <v>0</v>
      </c>
      <c r="L76" s="219">
        <v>0</v>
      </c>
      <c r="M76" s="319">
        <v>0</v>
      </c>
      <c r="N76" s="319">
        <v>0</v>
      </c>
      <c r="O76" s="319">
        <v>0</v>
      </c>
      <c r="P76" s="319">
        <v>0</v>
      </c>
      <c r="Q76" s="229">
        <v>0</v>
      </c>
      <c r="R76" s="219">
        <v>0</v>
      </c>
      <c r="S76" s="319"/>
      <c r="T76" s="319"/>
      <c r="U76" s="319"/>
      <c r="V76" s="319"/>
      <c r="W76" s="326">
        <f>SUM(tblPiNAnalysis56[[#This Row],[CCCM]:[WASH]])</f>
        <v>0</v>
      </c>
    </row>
    <row r="77" spans="1:23" x14ac:dyDescent="0.55000000000000004">
      <c r="A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7" s="316" t="s">
        <v>390</v>
      </c>
      <c r="C77" s="218" t="s">
        <v>391</v>
      </c>
      <c r="D77" s="218" t="s">
        <v>400</v>
      </c>
      <c r="E77" s="105" t="s">
        <v>401</v>
      </c>
      <c r="F77" s="100"/>
      <c r="G77" s="34"/>
      <c r="H77" s="34"/>
      <c r="I77" s="97">
        <v>1326.2143950586142</v>
      </c>
      <c r="J77" s="97" t="s">
        <v>412</v>
      </c>
      <c r="K77" s="261">
        <v>0</v>
      </c>
      <c r="L77" s="219">
        <v>0</v>
      </c>
      <c r="M77" s="319">
        <v>0</v>
      </c>
      <c r="N77" s="319">
        <v>0</v>
      </c>
      <c r="O77" s="319">
        <v>0</v>
      </c>
      <c r="P77" s="319">
        <v>0</v>
      </c>
      <c r="Q77" s="229">
        <v>0</v>
      </c>
      <c r="R77" s="219">
        <v>0</v>
      </c>
      <c r="S77" s="319"/>
      <c r="T77" s="319"/>
      <c r="U77" s="319"/>
      <c r="V77" s="319"/>
      <c r="W77" s="326">
        <f>SUM(tblPiNAnalysis56[[#This Row],[CCCM]:[WASH]])</f>
        <v>0</v>
      </c>
    </row>
    <row r="78" spans="1:23" x14ac:dyDescent="0.55000000000000004">
      <c r="A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8" s="316" t="s">
        <v>390</v>
      </c>
      <c r="C78" s="218" t="s">
        <v>391</v>
      </c>
      <c r="D78" s="218" t="s">
        <v>402</v>
      </c>
      <c r="E78" s="105" t="s">
        <v>403</v>
      </c>
      <c r="F78" s="100"/>
      <c r="G78" s="34"/>
      <c r="H78" s="34"/>
      <c r="I78" s="97">
        <v>0</v>
      </c>
      <c r="J78" s="97" t="s">
        <v>412</v>
      </c>
      <c r="K78" s="261">
        <v>0</v>
      </c>
      <c r="L78" s="219">
        <v>0</v>
      </c>
      <c r="M78" s="319">
        <v>0</v>
      </c>
      <c r="N78" s="319">
        <v>0</v>
      </c>
      <c r="O78" s="319">
        <v>0</v>
      </c>
      <c r="P78" s="319">
        <v>0</v>
      </c>
      <c r="Q78" s="229">
        <v>0</v>
      </c>
      <c r="R78" s="219">
        <v>0</v>
      </c>
      <c r="S78" s="319"/>
      <c r="T78" s="319"/>
      <c r="U78" s="319"/>
      <c r="V78" s="319"/>
      <c r="W78" s="326">
        <f>SUM(tblPiNAnalysis56[[#This Row],[CCCM]:[WASH]])</f>
        <v>0</v>
      </c>
    </row>
    <row r="79" spans="1:23" x14ac:dyDescent="0.55000000000000004">
      <c r="A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9" s="316" t="s">
        <v>390</v>
      </c>
      <c r="C79" s="218" t="s">
        <v>391</v>
      </c>
      <c r="D79" s="218" t="s">
        <v>404</v>
      </c>
      <c r="E79" s="105" t="s">
        <v>405</v>
      </c>
      <c r="F79" s="100"/>
      <c r="G79" s="34"/>
      <c r="H79" s="34"/>
      <c r="I79" s="97">
        <v>36534.526328235108</v>
      </c>
      <c r="J79" s="97" t="s">
        <v>412</v>
      </c>
      <c r="K79" s="261">
        <v>71536.686839151764</v>
      </c>
      <c r="L79" s="219">
        <v>72813.077151204081</v>
      </c>
      <c r="M79" s="319">
        <v>325964.24000395875</v>
      </c>
      <c r="N79" s="319">
        <v>381540.11827328667</v>
      </c>
      <c r="O79" s="319">
        <v>360242.21961793443</v>
      </c>
      <c r="P79" s="319">
        <v>665935.35295455367</v>
      </c>
      <c r="Q79" s="229">
        <v>297685.53661457694</v>
      </c>
      <c r="R79" s="219">
        <v>276985.83479221218</v>
      </c>
      <c r="S79" s="319"/>
      <c r="T79" s="319"/>
      <c r="U79" s="319"/>
      <c r="V79" s="319"/>
      <c r="W79" s="326">
        <f>SUM(tblPiNAnalysis56[[#This Row],[CCCM]:[WASH]])</f>
        <v>2452703.0662468784</v>
      </c>
    </row>
    <row r="80" spans="1:23" x14ac:dyDescent="0.55000000000000004">
      <c r="A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0" s="316" t="s">
        <v>390</v>
      </c>
      <c r="C80" s="218" t="s">
        <v>391</v>
      </c>
      <c r="D80" s="218" t="s">
        <v>406</v>
      </c>
      <c r="E80" s="105" t="s">
        <v>407</v>
      </c>
      <c r="F80" s="100"/>
      <c r="G80" s="34"/>
      <c r="H80" s="34"/>
      <c r="I80" s="97">
        <v>2761.8509896481692</v>
      </c>
      <c r="J80" s="97" t="s">
        <v>412</v>
      </c>
      <c r="K80" s="261">
        <v>0</v>
      </c>
      <c r="L80" s="219">
        <v>0</v>
      </c>
      <c r="M80" s="319">
        <v>0</v>
      </c>
      <c r="N80" s="319">
        <v>0</v>
      </c>
      <c r="O80" s="319">
        <v>0</v>
      </c>
      <c r="P80" s="319">
        <v>0</v>
      </c>
      <c r="Q80" s="229">
        <v>0</v>
      </c>
      <c r="R80" s="219">
        <v>0</v>
      </c>
      <c r="S80" s="319"/>
      <c r="T80" s="319"/>
      <c r="U80" s="319"/>
      <c r="V80" s="319"/>
      <c r="W80" s="326">
        <f>SUM(tblPiNAnalysis56[[#This Row],[CCCM]:[WASH]])</f>
        <v>0</v>
      </c>
    </row>
    <row r="81" spans="1:23" x14ac:dyDescent="0.55000000000000004">
      <c r="A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1" s="316" t="s">
        <v>390</v>
      </c>
      <c r="C81" s="218" t="s">
        <v>391</v>
      </c>
      <c r="D81" s="218" t="s">
        <v>408</v>
      </c>
      <c r="E81" s="105" t="s">
        <v>409</v>
      </c>
      <c r="F81" s="100"/>
      <c r="G81" s="34"/>
      <c r="H81" s="34"/>
      <c r="I81" s="97">
        <v>24855.8360229996</v>
      </c>
      <c r="J81" s="97" t="s">
        <v>412</v>
      </c>
      <c r="K81" s="261">
        <v>460076.68624131393</v>
      </c>
      <c r="L81" s="219">
        <v>190197.40407638543</v>
      </c>
      <c r="M81" s="319">
        <v>179183.63724066</v>
      </c>
      <c r="N81" s="319">
        <v>208657.34890218623</v>
      </c>
      <c r="O81" s="319">
        <v>275721.19530061894</v>
      </c>
      <c r="P81" s="319">
        <v>484938.76859255933</v>
      </c>
      <c r="Q81" s="229">
        <v>355136.23401292408</v>
      </c>
      <c r="R81" s="219">
        <v>373447.42891407688</v>
      </c>
      <c r="S81" s="319"/>
      <c r="T81" s="319"/>
      <c r="U81" s="319"/>
      <c r="V81" s="319"/>
      <c r="W81" s="326">
        <f>SUM(tblPiNAnalysis56[[#This Row],[CCCM]:[WASH]])</f>
        <v>2527358.7032807246</v>
      </c>
    </row>
    <row r="82" spans="1:23" x14ac:dyDescent="0.55000000000000004">
      <c r="A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2" s="316" t="s">
        <v>390</v>
      </c>
      <c r="C82" s="218" t="s">
        <v>391</v>
      </c>
      <c r="D82" s="218" t="s">
        <v>410</v>
      </c>
      <c r="E82" s="105" t="s">
        <v>411</v>
      </c>
      <c r="F82" s="100"/>
      <c r="G82" s="34"/>
      <c r="H82" s="34"/>
      <c r="I82" s="97">
        <v>10973.797642312536</v>
      </c>
      <c r="J82" s="97" t="s">
        <v>412</v>
      </c>
      <c r="K82" s="261">
        <v>0</v>
      </c>
      <c r="L82" s="219">
        <v>0</v>
      </c>
      <c r="M82" s="319">
        <v>0</v>
      </c>
      <c r="N82" s="319">
        <v>0</v>
      </c>
      <c r="O82" s="319">
        <v>0</v>
      </c>
      <c r="P82" s="319">
        <v>0</v>
      </c>
      <c r="Q82" s="229">
        <v>0</v>
      </c>
      <c r="R82" s="219">
        <v>0</v>
      </c>
      <c r="S82" s="319"/>
      <c r="T82" s="319"/>
      <c r="U82" s="319"/>
      <c r="V82" s="319"/>
      <c r="W82" s="326">
        <f>SUM(tblPiNAnalysis56[[#This Row],[CCCM]:[WASH]])</f>
        <v>0</v>
      </c>
    </row>
    <row r="83" spans="1:23" ht="27.6" x14ac:dyDescent="0.55000000000000004">
      <c r="A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3" s="316" t="s">
        <v>233</v>
      </c>
      <c r="C83" s="218" t="s">
        <v>234</v>
      </c>
      <c r="D83" s="218" t="s">
        <v>233</v>
      </c>
      <c r="E83" s="105" t="s">
        <v>235</v>
      </c>
      <c r="F83" s="100"/>
      <c r="G83" s="34"/>
      <c r="H83" s="34"/>
      <c r="I83" s="97">
        <v>14516.802522734295</v>
      </c>
      <c r="J83" s="97" t="s">
        <v>413</v>
      </c>
      <c r="K83" s="261">
        <v>0</v>
      </c>
      <c r="L83" s="319">
        <v>14596.354600558878</v>
      </c>
      <c r="M83" s="319">
        <v>202930.2417754975</v>
      </c>
      <c r="N83" s="319">
        <v>790120.78715376812</v>
      </c>
      <c r="O83" s="319">
        <v>185313.83906196116</v>
      </c>
      <c r="P83" s="319">
        <v>50112.021015616556</v>
      </c>
      <c r="Q83" s="320">
        <v>4665.2628381280365</v>
      </c>
      <c r="R83" s="319">
        <v>43281.577891855952</v>
      </c>
      <c r="S83" s="319"/>
      <c r="T83" s="319"/>
      <c r="U83" s="319"/>
      <c r="V83" s="319"/>
      <c r="W83" s="326">
        <f>SUM(tblPiNAnalysis56[[#This Row],[CCCM]:[WASH]])</f>
        <v>1291020.0843373863</v>
      </c>
    </row>
    <row r="84" spans="1:23" x14ac:dyDescent="0.55000000000000004">
      <c r="A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4" s="316" t="s">
        <v>236</v>
      </c>
      <c r="C84" s="218" t="s">
        <v>237</v>
      </c>
      <c r="D84" s="218" t="s">
        <v>238</v>
      </c>
      <c r="E84" s="105" t="s">
        <v>239</v>
      </c>
      <c r="F84" s="100"/>
      <c r="G84" s="34"/>
      <c r="H84" s="34"/>
      <c r="I84" s="97">
        <v>310546.09109739598</v>
      </c>
      <c r="J84" s="97" t="s">
        <v>413</v>
      </c>
      <c r="K84" s="261">
        <v>0</v>
      </c>
      <c r="L84" s="319">
        <v>0</v>
      </c>
      <c r="M84" s="319">
        <v>0</v>
      </c>
      <c r="N84" s="319">
        <v>0</v>
      </c>
      <c r="O84" s="319">
        <v>0</v>
      </c>
      <c r="P84" s="319">
        <v>0</v>
      </c>
      <c r="Q84" s="320">
        <v>0</v>
      </c>
      <c r="R84" s="319">
        <v>0</v>
      </c>
      <c r="S84" s="319"/>
      <c r="T84" s="319"/>
      <c r="U84" s="319"/>
      <c r="V84" s="319"/>
      <c r="W84" s="326">
        <f>SUM(tblPiNAnalysis56[[#This Row],[CCCM]:[WASH]])</f>
        <v>0</v>
      </c>
    </row>
    <row r="85" spans="1:23" x14ac:dyDescent="0.55000000000000004">
      <c r="A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5" s="316" t="s">
        <v>236</v>
      </c>
      <c r="C85" s="218" t="s">
        <v>237</v>
      </c>
      <c r="D85" s="218" t="s">
        <v>240</v>
      </c>
      <c r="E85" s="105" t="s">
        <v>241</v>
      </c>
      <c r="F85" s="100"/>
      <c r="G85" s="34"/>
      <c r="H85" s="34"/>
      <c r="I85" s="97">
        <v>165087.87496325735</v>
      </c>
      <c r="J85" s="97" t="s">
        <v>413</v>
      </c>
      <c r="K85" s="261">
        <v>0</v>
      </c>
      <c r="L85" s="319">
        <v>0</v>
      </c>
      <c r="M85" s="319">
        <v>0</v>
      </c>
      <c r="N85" s="319">
        <v>0</v>
      </c>
      <c r="O85" s="319">
        <v>0</v>
      </c>
      <c r="P85" s="319">
        <v>0</v>
      </c>
      <c r="Q85" s="320">
        <v>0</v>
      </c>
      <c r="R85" s="319">
        <v>0</v>
      </c>
      <c r="S85" s="319"/>
      <c r="T85" s="319"/>
      <c r="U85" s="319"/>
      <c r="V85" s="319"/>
      <c r="W85" s="326">
        <f>SUM(tblPiNAnalysis56[[#This Row],[CCCM]:[WASH]])</f>
        <v>0</v>
      </c>
    </row>
    <row r="86" spans="1:23" x14ac:dyDescent="0.55000000000000004">
      <c r="A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6" s="316" t="s">
        <v>236</v>
      </c>
      <c r="C86" s="218" t="s">
        <v>237</v>
      </c>
      <c r="D86" s="218" t="s">
        <v>242</v>
      </c>
      <c r="E86" s="105" t="s">
        <v>243</v>
      </c>
      <c r="F86" s="100"/>
      <c r="G86" s="34"/>
      <c r="H86" s="34"/>
      <c r="I86" s="97">
        <v>81323.353354623177</v>
      </c>
      <c r="J86" s="97" t="s">
        <v>413</v>
      </c>
      <c r="K86" s="261">
        <v>0</v>
      </c>
      <c r="L86" s="319">
        <v>0</v>
      </c>
      <c r="M86" s="319">
        <v>0</v>
      </c>
      <c r="N86" s="319">
        <v>0</v>
      </c>
      <c r="O86" s="319">
        <v>0</v>
      </c>
      <c r="P86" s="319">
        <v>0</v>
      </c>
      <c r="Q86" s="320">
        <v>0</v>
      </c>
      <c r="R86" s="319">
        <v>0</v>
      </c>
      <c r="S86" s="319"/>
      <c r="T86" s="319"/>
      <c r="U86" s="319"/>
      <c r="V86" s="319"/>
      <c r="W86" s="326">
        <f>SUM(tblPiNAnalysis56[[#This Row],[CCCM]:[WASH]])</f>
        <v>0</v>
      </c>
    </row>
    <row r="87" spans="1:23" x14ac:dyDescent="0.55000000000000004">
      <c r="A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7" s="316" t="s">
        <v>236</v>
      </c>
      <c r="C87" s="218" t="s">
        <v>237</v>
      </c>
      <c r="D87" s="218" t="s">
        <v>244</v>
      </c>
      <c r="E87" s="105" t="s">
        <v>245</v>
      </c>
      <c r="F87" s="100"/>
      <c r="G87" s="34"/>
      <c r="H87" s="34"/>
      <c r="I87" s="97">
        <v>76038.235545987191</v>
      </c>
      <c r="J87" s="97" t="s">
        <v>413</v>
      </c>
      <c r="K87" s="261">
        <v>0</v>
      </c>
      <c r="L87" s="319">
        <v>0</v>
      </c>
      <c r="M87" s="319">
        <v>0</v>
      </c>
      <c r="N87" s="319">
        <v>0</v>
      </c>
      <c r="O87" s="319">
        <v>0</v>
      </c>
      <c r="P87" s="319">
        <v>0</v>
      </c>
      <c r="Q87" s="320">
        <v>0</v>
      </c>
      <c r="R87" s="319">
        <v>0</v>
      </c>
      <c r="S87" s="319"/>
      <c r="T87" s="319"/>
      <c r="U87" s="319"/>
      <c r="V87" s="319"/>
      <c r="W87" s="326">
        <f>SUM(tblPiNAnalysis56[[#This Row],[CCCM]:[WASH]])</f>
        <v>0</v>
      </c>
    </row>
    <row r="88" spans="1:23" x14ac:dyDescent="0.55000000000000004">
      <c r="A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8" s="316" t="s">
        <v>236</v>
      </c>
      <c r="C88" s="218" t="s">
        <v>237</v>
      </c>
      <c r="D88" s="218" t="s">
        <v>246</v>
      </c>
      <c r="E88" s="105" t="s">
        <v>247</v>
      </c>
      <c r="F88" s="100"/>
      <c r="G88" s="34"/>
      <c r="H88" s="34"/>
      <c r="I88" s="97">
        <v>198861.49864411939</v>
      </c>
      <c r="J88" s="97" t="s">
        <v>413</v>
      </c>
      <c r="K88" s="261">
        <v>0</v>
      </c>
      <c r="L88" s="319">
        <v>0</v>
      </c>
      <c r="M88" s="319">
        <v>0</v>
      </c>
      <c r="N88" s="319">
        <v>0</v>
      </c>
      <c r="O88" s="319">
        <v>0</v>
      </c>
      <c r="P88" s="319">
        <v>0</v>
      </c>
      <c r="Q88" s="320">
        <v>0</v>
      </c>
      <c r="R88" s="319">
        <v>0</v>
      </c>
      <c r="S88" s="319"/>
      <c r="T88" s="319"/>
      <c r="U88" s="319"/>
      <c r="V88" s="319"/>
      <c r="W88" s="326">
        <f>SUM(tblPiNAnalysis56[[#This Row],[CCCM]:[WASH]])</f>
        <v>0</v>
      </c>
    </row>
    <row r="89" spans="1:23" x14ac:dyDescent="0.55000000000000004">
      <c r="A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9" s="316" t="s">
        <v>236</v>
      </c>
      <c r="C89" s="218" t="s">
        <v>237</v>
      </c>
      <c r="D89" s="218" t="s">
        <v>248</v>
      </c>
      <c r="E89" s="105" t="s">
        <v>249</v>
      </c>
      <c r="F89" s="100"/>
      <c r="G89" s="34"/>
      <c r="H89" s="34"/>
      <c r="I89" s="97">
        <v>194205.26881302349</v>
      </c>
      <c r="J89" s="97" t="s">
        <v>413</v>
      </c>
      <c r="K89" s="261">
        <v>0</v>
      </c>
      <c r="L89" s="319">
        <v>0</v>
      </c>
      <c r="M89" s="319">
        <v>0</v>
      </c>
      <c r="N89" s="319">
        <v>0</v>
      </c>
      <c r="O89" s="319">
        <v>0</v>
      </c>
      <c r="P89" s="319">
        <v>0</v>
      </c>
      <c r="Q89" s="320">
        <v>0</v>
      </c>
      <c r="R89" s="319">
        <v>0</v>
      </c>
      <c r="S89" s="319"/>
      <c r="T89" s="319"/>
      <c r="U89" s="319"/>
      <c r="V89" s="319"/>
      <c r="W89" s="326">
        <f>SUM(tblPiNAnalysis56[[#This Row],[CCCM]:[WASH]])</f>
        <v>0</v>
      </c>
    </row>
    <row r="90" spans="1:23" x14ac:dyDescent="0.55000000000000004">
      <c r="A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0" s="316" t="s">
        <v>250</v>
      </c>
      <c r="C90" s="218" t="s">
        <v>251</v>
      </c>
      <c r="D90" s="218" t="s">
        <v>252</v>
      </c>
      <c r="E90" s="105" t="s">
        <v>253</v>
      </c>
      <c r="F90" s="100"/>
      <c r="G90" s="34"/>
      <c r="H90" s="34"/>
      <c r="I90" s="97">
        <v>80977.342990929319</v>
      </c>
      <c r="J90" s="97" t="s">
        <v>413</v>
      </c>
      <c r="K90" s="261">
        <v>0</v>
      </c>
      <c r="L90" s="319">
        <v>0</v>
      </c>
      <c r="M90" s="319">
        <v>0</v>
      </c>
      <c r="N90" s="319">
        <v>0</v>
      </c>
      <c r="O90" s="319">
        <v>0</v>
      </c>
      <c r="P90" s="319">
        <v>0</v>
      </c>
      <c r="Q90" s="320">
        <v>0</v>
      </c>
      <c r="R90" s="319">
        <v>0</v>
      </c>
      <c r="S90" s="319"/>
      <c r="T90" s="319"/>
      <c r="U90" s="319"/>
      <c r="V90" s="319"/>
      <c r="W90" s="326">
        <f>SUM(tblPiNAnalysis56[[#This Row],[CCCM]:[WASH]])</f>
        <v>0</v>
      </c>
    </row>
    <row r="91" spans="1:23" x14ac:dyDescent="0.55000000000000004">
      <c r="A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1" s="316" t="s">
        <v>250</v>
      </c>
      <c r="C91" s="218" t="s">
        <v>251</v>
      </c>
      <c r="D91" s="218" t="s">
        <v>254</v>
      </c>
      <c r="E91" s="105" t="s">
        <v>255</v>
      </c>
      <c r="F91" s="100"/>
      <c r="G91" s="34"/>
      <c r="H91" s="34"/>
      <c r="I91" s="97">
        <v>79454.880620653479</v>
      </c>
      <c r="J91" s="97" t="s">
        <v>413</v>
      </c>
      <c r="K91" s="261">
        <v>0</v>
      </c>
      <c r="L91" s="319">
        <v>0</v>
      </c>
      <c r="M91" s="319">
        <v>0</v>
      </c>
      <c r="N91" s="319">
        <v>0</v>
      </c>
      <c r="O91" s="319">
        <v>0</v>
      </c>
      <c r="P91" s="319">
        <v>0</v>
      </c>
      <c r="Q91" s="320">
        <v>0</v>
      </c>
      <c r="R91" s="319">
        <v>0</v>
      </c>
      <c r="S91" s="319"/>
      <c r="T91" s="319"/>
      <c r="U91" s="319"/>
      <c r="V91" s="319"/>
      <c r="W91" s="326">
        <f>SUM(tblPiNAnalysis56[[#This Row],[CCCM]:[WASH]])</f>
        <v>0</v>
      </c>
    </row>
    <row r="92" spans="1:23" x14ac:dyDescent="0.55000000000000004">
      <c r="A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2" s="316" t="s">
        <v>250</v>
      </c>
      <c r="C92" s="218" t="s">
        <v>251</v>
      </c>
      <c r="D92" s="218" t="s">
        <v>256</v>
      </c>
      <c r="E92" s="105" t="s">
        <v>257</v>
      </c>
      <c r="F92" s="100"/>
      <c r="G92" s="34"/>
      <c r="H92" s="34"/>
      <c r="I92" s="97">
        <v>135919.18209910189</v>
      </c>
      <c r="J92" s="97" t="s">
        <v>413</v>
      </c>
      <c r="K92" s="261">
        <v>0</v>
      </c>
      <c r="L92" s="319">
        <v>352867.94379840448</v>
      </c>
      <c r="M92" s="319">
        <v>1961000.2064207245</v>
      </c>
      <c r="N92" s="319">
        <v>8656657.4376972727</v>
      </c>
      <c r="O92" s="319">
        <v>961394.06677480065</v>
      </c>
      <c r="P92" s="319">
        <v>1533996.8269797501</v>
      </c>
      <c r="Q92" s="320">
        <v>0</v>
      </c>
      <c r="R92" s="319">
        <v>2102104.8154931883</v>
      </c>
      <c r="S92" s="319"/>
      <c r="T92" s="319"/>
      <c r="U92" s="319"/>
      <c r="V92" s="319"/>
      <c r="W92" s="326">
        <f>SUM(tblPiNAnalysis56[[#This Row],[CCCM]:[WASH]])</f>
        <v>15568021.297164142</v>
      </c>
    </row>
    <row r="93" spans="1:23" x14ac:dyDescent="0.55000000000000004">
      <c r="A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3" s="316" t="s">
        <v>250</v>
      </c>
      <c r="C93" s="218" t="s">
        <v>251</v>
      </c>
      <c r="D93" s="218" t="s">
        <v>258</v>
      </c>
      <c r="E93" s="105" t="s">
        <v>259</v>
      </c>
      <c r="F93" s="100"/>
      <c r="G93" s="34"/>
      <c r="H93" s="34"/>
      <c r="I93" s="97">
        <v>121484.03458105327</v>
      </c>
      <c r="J93" s="97" t="s">
        <v>413</v>
      </c>
      <c r="K93" s="261">
        <v>0</v>
      </c>
      <c r="L93" s="319">
        <v>174961.30660363295</v>
      </c>
      <c r="M93" s="319">
        <v>1305240.5653339364</v>
      </c>
      <c r="N93" s="319">
        <v>3848710.7257555942</v>
      </c>
      <c r="O93" s="319">
        <v>394198.999658635</v>
      </c>
      <c r="P93" s="319">
        <v>444671.66780985286</v>
      </c>
      <c r="Q93" s="320">
        <v>0</v>
      </c>
      <c r="R93" s="319">
        <v>391145.66663157823</v>
      </c>
      <c r="S93" s="319"/>
      <c r="T93" s="319"/>
      <c r="U93" s="319"/>
      <c r="V93" s="319"/>
      <c r="W93" s="326">
        <f>SUM(tblPiNAnalysis56[[#This Row],[CCCM]:[WASH]])</f>
        <v>6558928.9317932306</v>
      </c>
    </row>
    <row r="94" spans="1:23" x14ac:dyDescent="0.55000000000000004">
      <c r="A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4" s="316" t="s">
        <v>250</v>
      </c>
      <c r="C94" s="218" t="s">
        <v>251</v>
      </c>
      <c r="D94" s="218" t="s">
        <v>260</v>
      </c>
      <c r="E94" s="105" t="s">
        <v>261</v>
      </c>
      <c r="F94" s="100"/>
      <c r="G94" s="34"/>
      <c r="H94" s="34"/>
      <c r="I94" s="97">
        <v>79271.088602523028</v>
      </c>
      <c r="J94" s="97" t="s">
        <v>413</v>
      </c>
      <c r="K94" s="261">
        <v>0</v>
      </c>
      <c r="L94" s="319">
        <v>74809.540510421648</v>
      </c>
      <c r="M94" s="319">
        <v>1120328.7675128456</v>
      </c>
      <c r="N94" s="319">
        <v>320651.87421089882</v>
      </c>
      <c r="O94" s="319">
        <v>453522.65532136138</v>
      </c>
      <c r="P94" s="319">
        <v>244618.95621499652</v>
      </c>
      <c r="Q94" s="320">
        <v>0</v>
      </c>
      <c r="R94" s="319">
        <v>978441.33397396584</v>
      </c>
      <c r="S94" s="319"/>
      <c r="T94" s="319"/>
      <c r="U94" s="319"/>
      <c r="V94" s="319"/>
      <c r="W94" s="326">
        <f>SUM(tblPiNAnalysis56[[#This Row],[CCCM]:[WASH]])</f>
        <v>3192373.1277444893</v>
      </c>
    </row>
    <row r="95" spans="1:23" x14ac:dyDescent="0.55000000000000004">
      <c r="A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5" s="316" t="s">
        <v>250</v>
      </c>
      <c r="C95" s="218" t="s">
        <v>251</v>
      </c>
      <c r="D95" s="218" t="s">
        <v>262</v>
      </c>
      <c r="E95" s="105" t="s">
        <v>263</v>
      </c>
      <c r="F95" s="100"/>
      <c r="G95" s="34"/>
      <c r="H95" s="34"/>
      <c r="I95" s="97">
        <v>107170.91979145796</v>
      </c>
      <c r="J95" s="97" t="s">
        <v>413</v>
      </c>
      <c r="K95" s="261">
        <v>0</v>
      </c>
      <c r="L95" s="319">
        <v>21771.558013795104</v>
      </c>
      <c r="M95" s="319">
        <v>1082609.3627949306</v>
      </c>
      <c r="N95" s="319">
        <v>3282735.6691714833</v>
      </c>
      <c r="O95" s="319">
        <v>404889.30586827319</v>
      </c>
      <c r="P95" s="319">
        <v>399859.45189653867</v>
      </c>
      <c r="Q95" s="320">
        <v>0</v>
      </c>
      <c r="R95" s="319">
        <v>81608.61425202158</v>
      </c>
      <c r="S95" s="319"/>
      <c r="T95" s="319"/>
      <c r="U95" s="319"/>
      <c r="V95" s="319"/>
      <c r="W95" s="326">
        <f>SUM(tblPiNAnalysis56[[#This Row],[CCCM]:[WASH]])</f>
        <v>5273473.9619970433</v>
      </c>
    </row>
    <row r="96" spans="1:23" x14ac:dyDescent="0.55000000000000004">
      <c r="A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6" s="316" t="s">
        <v>250</v>
      </c>
      <c r="C96" s="218" t="s">
        <v>251</v>
      </c>
      <c r="D96" s="218" t="s">
        <v>264</v>
      </c>
      <c r="E96" s="105" t="s">
        <v>265</v>
      </c>
      <c r="F96" s="100"/>
      <c r="G96" s="34"/>
      <c r="H96" s="34"/>
      <c r="I96" s="97">
        <v>159337.28264572358</v>
      </c>
      <c r="J96" s="97" t="s">
        <v>413</v>
      </c>
      <c r="K96" s="261">
        <v>0</v>
      </c>
      <c r="L96" s="319">
        <v>0</v>
      </c>
      <c r="M96" s="319">
        <v>0</v>
      </c>
      <c r="N96" s="319">
        <v>0</v>
      </c>
      <c r="O96" s="319">
        <v>0</v>
      </c>
      <c r="P96" s="319">
        <v>886490.43069106876</v>
      </c>
      <c r="Q96" s="320">
        <v>0</v>
      </c>
      <c r="R96" s="319">
        <v>0</v>
      </c>
      <c r="S96" s="319"/>
      <c r="T96" s="319"/>
      <c r="U96" s="319"/>
      <c r="V96" s="319"/>
      <c r="W96" s="326">
        <f>SUM(tblPiNAnalysis56[[#This Row],[CCCM]:[WASH]])</f>
        <v>886490.43069106876</v>
      </c>
    </row>
    <row r="97" spans="1:23" x14ac:dyDescent="0.55000000000000004">
      <c r="A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7" s="316" t="s">
        <v>250</v>
      </c>
      <c r="C97" s="218" t="s">
        <v>251</v>
      </c>
      <c r="D97" s="218" t="s">
        <v>266</v>
      </c>
      <c r="E97" s="105" t="s">
        <v>267</v>
      </c>
      <c r="F97" s="100"/>
      <c r="G97" s="34"/>
      <c r="H97" s="34"/>
      <c r="I97" s="97">
        <v>47474.399116158442</v>
      </c>
      <c r="J97" s="97" t="s">
        <v>413</v>
      </c>
      <c r="K97" s="261">
        <v>0</v>
      </c>
      <c r="L97" s="319">
        <v>0</v>
      </c>
      <c r="M97" s="319">
        <v>0</v>
      </c>
      <c r="N97" s="319">
        <v>0</v>
      </c>
      <c r="O97" s="319">
        <v>0</v>
      </c>
      <c r="P97" s="319">
        <v>0</v>
      </c>
      <c r="Q97" s="320">
        <v>0</v>
      </c>
      <c r="R97" s="319">
        <v>0</v>
      </c>
      <c r="S97" s="319"/>
      <c r="T97" s="319"/>
      <c r="U97" s="319"/>
      <c r="V97" s="319"/>
      <c r="W97" s="326">
        <f>SUM(tblPiNAnalysis56[[#This Row],[CCCM]:[WASH]])</f>
        <v>0</v>
      </c>
    </row>
    <row r="98" spans="1:23" x14ac:dyDescent="0.55000000000000004">
      <c r="A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8" s="316" t="s">
        <v>268</v>
      </c>
      <c r="C98" s="218" t="s">
        <v>269</v>
      </c>
      <c r="D98" s="218" t="s">
        <v>270</v>
      </c>
      <c r="E98" s="105" t="s">
        <v>271</v>
      </c>
      <c r="F98" s="100"/>
      <c r="G98" s="34"/>
      <c r="H98" s="34"/>
      <c r="I98" s="97">
        <v>146807.46329287597</v>
      </c>
      <c r="J98" s="97" t="s">
        <v>413</v>
      </c>
      <c r="K98" s="261">
        <v>0</v>
      </c>
      <c r="L98" s="319">
        <v>330088.4774420578</v>
      </c>
      <c r="M98" s="319">
        <v>3671847.7503267811</v>
      </c>
      <c r="N98" s="319">
        <v>11235729.679344501</v>
      </c>
      <c r="O98" s="319">
        <v>1842482.9128216691</v>
      </c>
      <c r="P98" s="319">
        <v>1497228.9714161279</v>
      </c>
      <c r="Q98" s="320">
        <v>103668.65484835395</v>
      </c>
      <c r="R98" s="319">
        <v>694073.06256798585</v>
      </c>
      <c r="S98" s="319"/>
      <c r="T98" s="319"/>
      <c r="U98" s="319"/>
      <c r="V98" s="319"/>
      <c r="W98" s="326">
        <f>SUM(tblPiNAnalysis56[[#This Row],[CCCM]:[WASH]])</f>
        <v>19375119.508767478</v>
      </c>
    </row>
    <row r="99" spans="1:23" x14ac:dyDescent="0.55000000000000004">
      <c r="A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9" s="316" t="s">
        <v>268</v>
      </c>
      <c r="C99" s="218" t="s">
        <v>269</v>
      </c>
      <c r="D99" s="218" t="s">
        <v>272</v>
      </c>
      <c r="E99" s="105" t="s">
        <v>273</v>
      </c>
      <c r="F99" s="100"/>
      <c r="G99" s="34"/>
      <c r="H99" s="34"/>
      <c r="I99" s="97">
        <v>126785.47631993188</v>
      </c>
      <c r="J99" s="97" t="s">
        <v>413</v>
      </c>
      <c r="K99" s="261">
        <v>0</v>
      </c>
      <c r="L99" s="319">
        <v>199181.40329594776</v>
      </c>
      <c r="M99" s="319">
        <v>1581475.969423769</v>
      </c>
      <c r="N99" s="319">
        <v>8566326.0951508731</v>
      </c>
      <c r="O99" s="319">
        <v>1334656.551403753</v>
      </c>
      <c r="P99" s="319">
        <v>1075164.6738615686</v>
      </c>
      <c r="Q99" s="320">
        <v>56939.925111444027</v>
      </c>
      <c r="R99" s="319">
        <v>2422537.8385830182</v>
      </c>
      <c r="S99" s="319"/>
      <c r="T99" s="319"/>
      <c r="U99" s="319"/>
      <c r="V99" s="319"/>
      <c r="W99" s="326">
        <f>SUM(tblPiNAnalysis56[[#This Row],[CCCM]:[WASH]])</f>
        <v>15236282.456830375</v>
      </c>
    </row>
    <row r="100" spans="1:23" x14ac:dyDescent="0.55000000000000004">
      <c r="A1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0" s="316" t="s">
        <v>268</v>
      </c>
      <c r="C100" s="218" t="s">
        <v>269</v>
      </c>
      <c r="D100" s="218" t="s">
        <v>274</v>
      </c>
      <c r="E100" s="105" t="s">
        <v>275</v>
      </c>
      <c r="F100" s="100"/>
      <c r="G100" s="34"/>
      <c r="H100" s="34"/>
      <c r="I100" s="97">
        <v>191777.77641387403</v>
      </c>
      <c r="J100" s="97" t="s">
        <v>413</v>
      </c>
      <c r="K100" s="261">
        <v>0</v>
      </c>
      <c r="L100" s="319">
        <v>0</v>
      </c>
      <c r="M100" s="319">
        <v>0</v>
      </c>
      <c r="N100" s="319">
        <v>0</v>
      </c>
      <c r="O100" s="319">
        <v>0</v>
      </c>
      <c r="P100" s="319">
        <v>0</v>
      </c>
      <c r="Q100" s="320">
        <v>0</v>
      </c>
      <c r="R100" s="319">
        <v>0</v>
      </c>
      <c r="S100" s="319"/>
      <c r="T100" s="319"/>
      <c r="U100" s="319"/>
      <c r="V100" s="319"/>
      <c r="W100" s="326">
        <f>SUM(tblPiNAnalysis56[[#This Row],[CCCM]:[WASH]])</f>
        <v>0</v>
      </c>
    </row>
    <row r="101" spans="1:23" x14ac:dyDescent="0.55000000000000004">
      <c r="A1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1" s="316" t="s">
        <v>268</v>
      </c>
      <c r="C101" s="218" t="s">
        <v>269</v>
      </c>
      <c r="D101" s="218" t="s">
        <v>276</v>
      </c>
      <c r="E101" s="105" t="s">
        <v>277</v>
      </c>
      <c r="F101" s="100"/>
      <c r="G101" s="34"/>
      <c r="H101" s="34"/>
      <c r="I101" s="97">
        <v>32762.733973342118</v>
      </c>
      <c r="J101" s="97" t="s">
        <v>413</v>
      </c>
      <c r="K101" s="261">
        <v>0</v>
      </c>
      <c r="L101" s="319">
        <v>52336.010317366039</v>
      </c>
      <c r="M101" s="319">
        <v>671944.32131893106</v>
      </c>
      <c r="N101" s="319">
        <v>2651485.8802366811</v>
      </c>
      <c r="O101" s="319">
        <v>565846.37042418832</v>
      </c>
      <c r="P101" s="319">
        <v>312715.04158406175</v>
      </c>
      <c r="Q101" s="320">
        <v>25991.768952184746</v>
      </c>
      <c r="R101" s="319">
        <v>834478.96864693996</v>
      </c>
      <c r="S101" s="319"/>
      <c r="T101" s="319"/>
      <c r="U101" s="319"/>
      <c r="V101" s="319"/>
      <c r="W101" s="326">
        <f>SUM(tblPiNAnalysis56[[#This Row],[CCCM]:[WASH]])</f>
        <v>5114798.3614803525</v>
      </c>
    </row>
    <row r="102" spans="1:23" x14ac:dyDescent="0.55000000000000004">
      <c r="A1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2" s="316" t="s">
        <v>268</v>
      </c>
      <c r="C102" s="218" t="s">
        <v>269</v>
      </c>
      <c r="D102" s="218" t="s">
        <v>278</v>
      </c>
      <c r="E102" s="105" t="s">
        <v>279</v>
      </c>
      <c r="F102" s="100"/>
      <c r="G102" s="34"/>
      <c r="H102" s="34"/>
      <c r="I102" s="97">
        <v>95901.718428606313</v>
      </c>
      <c r="J102" s="97" t="s">
        <v>413</v>
      </c>
      <c r="K102" s="261">
        <v>0</v>
      </c>
      <c r="L102" s="319">
        <v>123059.55066009276</v>
      </c>
      <c r="M102" s="319">
        <v>2182796.7967119361</v>
      </c>
      <c r="N102" s="319">
        <v>6109210.170734603</v>
      </c>
      <c r="O102" s="319">
        <v>1495565.1640514901</v>
      </c>
      <c r="P102" s="319">
        <v>770848.78185549635</v>
      </c>
      <c r="Q102" s="320">
        <v>92616.574456902978</v>
      </c>
      <c r="R102" s="319">
        <v>324053.09054209309</v>
      </c>
      <c r="S102" s="319"/>
      <c r="T102" s="319"/>
      <c r="U102" s="319"/>
      <c r="V102" s="319"/>
      <c r="W102" s="326">
        <f>SUM(tblPiNAnalysis56[[#This Row],[CCCM]:[WASH]])</f>
        <v>11098150.129012613</v>
      </c>
    </row>
    <row r="103" spans="1:23" x14ac:dyDescent="0.55000000000000004">
      <c r="A1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3" s="316" t="s">
        <v>268</v>
      </c>
      <c r="C103" s="218" t="s">
        <v>269</v>
      </c>
      <c r="D103" s="218" t="s">
        <v>280</v>
      </c>
      <c r="E103" s="105" t="s">
        <v>281</v>
      </c>
      <c r="F103" s="100"/>
      <c r="G103" s="34"/>
      <c r="H103" s="34"/>
      <c r="I103" s="97">
        <v>57313.644275077953</v>
      </c>
      <c r="J103" s="97" t="s">
        <v>413</v>
      </c>
      <c r="K103" s="261">
        <v>0</v>
      </c>
      <c r="L103" s="319">
        <v>199725.57884965243</v>
      </c>
      <c r="M103" s="319">
        <v>992870.40561905794</v>
      </c>
      <c r="N103" s="319">
        <v>4814828.4130901899</v>
      </c>
      <c r="O103" s="319">
        <v>875175.94663378305</v>
      </c>
      <c r="P103" s="319">
        <v>434863.7633199069</v>
      </c>
      <c r="Q103" s="320">
        <v>31478.416932619733</v>
      </c>
      <c r="R103" s="319">
        <v>916443.40301885828</v>
      </c>
      <c r="S103" s="319"/>
      <c r="T103" s="319"/>
      <c r="U103" s="319"/>
      <c r="V103" s="319"/>
      <c r="W103" s="326">
        <f>SUM(tblPiNAnalysis56[[#This Row],[CCCM]:[WASH]])</f>
        <v>8265385.9274640689</v>
      </c>
    </row>
    <row r="104" spans="1:23" x14ac:dyDescent="0.55000000000000004">
      <c r="A1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4" s="316" t="s">
        <v>268</v>
      </c>
      <c r="C104" s="218" t="s">
        <v>269</v>
      </c>
      <c r="D104" s="218" t="s">
        <v>282</v>
      </c>
      <c r="E104" s="105" t="s">
        <v>283</v>
      </c>
      <c r="F104" s="100"/>
      <c r="G104" s="34"/>
      <c r="H104" s="34"/>
      <c r="I104" s="97">
        <v>65001.764922770279</v>
      </c>
      <c r="J104" s="97" t="s">
        <v>413</v>
      </c>
      <c r="K104" s="261">
        <v>0</v>
      </c>
      <c r="L104" s="319">
        <v>171709.47864215705</v>
      </c>
      <c r="M104" s="319">
        <v>1462584.6146296528</v>
      </c>
      <c r="N104" s="319">
        <v>4531268.316276839</v>
      </c>
      <c r="O104" s="319">
        <v>1074400.6501034712</v>
      </c>
      <c r="P104" s="319">
        <v>480895.88730898598</v>
      </c>
      <c r="Q104" s="320">
        <v>48853.958057745251</v>
      </c>
      <c r="R104" s="319">
        <v>671537.78086571477</v>
      </c>
      <c r="S104" s="319"/>
      <c r="T104" s="319"/>
      <c r="U104" s="319"/>
      <c r="V104" s="319"/>
      <c r="W104" s="326">
        <f>SUM(tblPiNAnalysis56[[#This Row],[CCCM]:[WASH]])</f>
        <v>8441250.6858845651</v>
      </c>
    </row>
    <row r="105" spans="1:23" x14ac:dyDescent="0.55000000000000004">
      <c r="A1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5" s="316" t="s">
        <v>268</v>
      </c>
      <c r="C105" s="218" t="s">
        <v>269</v>
      </c>
      <c r="D105" s="218" t="s">
        <v>284</v>
      </c>
      <c r="E105" s="105" t="s">
        <v>285</v>
      </c>
      <c r="F105" s="100"/>
      <c r="G105" s="34"/>
      <c r="H105" s="34"/>
      <c r="I105" s="97">
        <v>146214.98577625639</v>
      </c>
      <c r="J105" s="97" t="s">
        <v>413</v>
      </c>
      <c r="K105" s="261">
        <v>0</v>
      </c>
      <c r="L105" s="319">
        <v>477642.77498907474</v>
      </c>
      <c r="M105" s="319">
        <v>4236330.7616512869</v>
      </c>
      <c r="N105" s="319">
        <v>11205456.013499618</v>
      </c>
      <c r="O105" s="319">
        <v>2087978.4472370897</v>
      </c>
      <c r="P105" s="319">
        <v>1221500.0059314806</v>
      </c>
      <c r="Q105" s="320">
        <v>78855.254397953438</v>
      </c>
      <c r="R105" s="319">
        <v>2648837.9028157862</v>
      </c>
      <c r="S105" s="319"/>
      <c r="T105" s="319"/>
      <c r="U105" s="319"/>
      <c r="V105" s="319"/>
      <c r="W105" s="326">
        <f>SUM(tblPiNAnalysis56[[#This Row],[CCCM]:[WASH]])</f>
        <v>21956601.16052229</v>
      </c>
    </row>
    <row r="106" spans="1:23" x14ac:dyDescent="0.55000000000000004">
      <c r="A1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6" s="316" t="s">
        <v>268</v>
      </c>
      <c r="C106" s="218" t="s">
        <v>269</v>
      </c>
      <c r="D106" s="218" t="s">
        <v>286</v>
      </c>
      <c r="E106" s="105" t="s">
        <v>287</v>
      </c>
      <c r="F106" s="100"/>
      <c r="G106" s="34"/>
      <c r="H106" s="34"/>
      <c r="I106" s="97">
        <v>50788.148876183637</v>
      </c>
      <c r="J106" s="97" t="s">
        <v>413</v>
      </c>
      <c r="K106" s="261">
        <v>0</v>
      </c>
      <c r="L106" s="319">
        <v>24782.86953925628</v>
      </c>
      <c r="M106" s="319">
        <v>471112.00170945696</v>
      </c>
      <c r="N106" s="319">
        <v>332824.67587552551</v>
      </c>
      <c r="O106" s="319">
        <v>376492.77629946981</v>
      </c>
      <c r="P106" s="319">
        <v>215415.27840993885</v>
      </c>
      <c r="Q106" s="320">
        <v>17835.191033892595</v>
      </c>
      <c r="R106" s="319">
        <v>825.87916529573943</v>
      </c>
      <c r="S106" s="319"/>
      <c r="T106" s="319"/>
      <c r="U106" s="319"/>
      <c r="V106" s="319"/>
      <c r="W106" s="326">
        <f>SUM(tblPiNAnalysis56[[#This Row],[CCCM]:[WASH]])</f>
        <v>1439288.6720328357</v>
      </c>
    </row>
    <row r="107" spans="1:23" x14ac:dyDescent="0.55000000000000004">
      <c r="A1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7" s="316" t="s">
        <v>268</v>
      </c>
      <c r="C107" s="218" t="s">
        <v>269</v>
      </c>
      <c r="D107" s="218" t="s">
        <v>288</v>
      </c>
      <c r="E107" s="105" t="s">
        <v>289</v>
      </c>
      <c r="F107" s="100"/>
      <c r="G107" s="34"/>
      <c r="H107" s="34"/>
      <c r="I107" s="97">
        <v>77537.996273544151</v>
      </c>
      <c r="J107" s="97" t="s">
        <v>413</v>
      </c>
      <c r="K107" s="261">
        <v>0</v>
      </c>
      <c r="L107" s="319">
        <v>246772.03925020027</v>
      </c>
      <c r="M107" s="319">
        <v>1518170.9788616516</v>
      </c>
      <c r="N107" s="319">
        <v>5185910.8821229469</v>
      </c>
      <c r="O107" s="319">
        <v>1013422.7543941144</v>
      </c>
      <c r="P107" s="319">
        <v>463645.72387643805</v>
      </c>
      <c r="Q107" s="320">
        <v>75410.209399060841</v>
      </c>
      <c r="R107" s="319">
        <v>713349.56571660622</v>
      </c>
      <c r="S107" s="319"/>
      <c r="T107" s="319"/>
      <c r="U107" s="319"/>
      <c r="V107" s="319"/>
      <c r="W107" s="326">
        <f>SUM(tblPiNAnalysis56[[#This Row],[CCCM]:[WASH]])</f>
        <v>9216682.1536210179</v>
      </c>
    </row>
    <row r="108" spans="1:23" x14ac:dyDescent="0.55000000000000004">
      <c r="A1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8" s="316" t="s">
        <v>268</v>
      </c>
      <c r="C108" s="218" t="s">
        <v>269</v>
      </c>
      <c r="D108" s="218" t="s">
        <v>290</v>
      </c>
      <c r="E108" s="105" t="s">
        <v>291</v>
      </c>
      <c r="F108" s="100"/>
      <c r="G108" s="34"/>
      <c r="H108" s="34"/>
      <c r="I108" s="97">
        <v>136551.06257292113</v>
      </c>
      <c r="J108" s="97" t="s">
        <v>413</v>
      </c>
      <c r="K108" s="261">
        <v>0</v>
      </c>
      <c r="L108" s="319">
        <v>381953.75005542132</v>
      </c>
      <c r="M108" s="319">
        <v>4117838.8893309389</v>
      </c>
      <c r="N108" s="319">
        <v>10352053.953937737</v>
      </c>
      <c r="O108" s="319">
        <v>1193789.7574302102</v>
      </c>
      <c r="P108" s="319">
        <v>1004651.0239945566</v>
      </c>
      <c r="Q108" s="320">
        <v>30177.784828615571</v>
      </c>
      <c r="R108" s="319">
        <v>2166483.7566546327</v>
      </c>
      <c r="S108" s="319"/>
      <c r="T108" s="319"/>
      <c r="U108" s="319"/>
      <c r="V108" s="319"/>
      <c r="W108" s="326">
        <f>SUM(tblPiNAnalysis56[[#This Row],[CCCM]:[WASH]])</f>
        <v>19246948.916232113</v>
      </c>
    </row>
    <row r="109" spans="1:23" x14ac:dyDescent="0.55000000000000004">
      <c r="A1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9" s="316" t="s">
        <v>292</v>
      </c>
      <c r="C109" s="218" t="s">
        <v>293</v>
      </c>
      <c r="D109" s="218" t="s">
        <v>294</v>
      </c>
      <c r="E109" s="105" t="s">
        <v>295</v>
      </c>
      <c r="F109" s="100"/>
      <c r="G109" s="34"/>
      <c r="H109" s="34"/>
      <c r="I109" s="97">
        <v>73916.557684246116</v>
      </c>
      <c r="J109" s="97" t="s">
        <v>413</v>
      </c>
      <c r="K109" s="261">
        <v>0</v>
      </c>
      <c r="L109" s="319">
        <v>107603.71839929902</v>
      </c>
      <c r="M109" s="319">
        <v>1040093.0280232605</v>
      </c>
      <c r="N109" s="319">
        <v>2145566.6965814247</v>
      </c>
      <c r="O109" s="319">
        <v>329593.23846922477</v>
      </c>
      <c r="P109" s="319">
        <v>154272.79240379072</v>
      </c>
      <c r="Q109" s="320">
        <v>23560.902761853453</v>
      </c>
      <c r="R109" s="319">
        <v>510024.2480212982</v>
      </c>
      <c r="S109" s="319"/>
      <c r="T109" s="319"/>
      <c r="U109" s="319"/>
      <c r="V109" s="319"/>
      <c r="W109" s="326">
        <f>SUM(tblPiNAnalysis56[[#This Row],[CCCM]:[WASH]])</f>
        <v>4310714.6246601511</v>
      </c>
    </row>
    <row r="110" spans="1:23" x14ac:dyDescent="0.55000000000000004">
      <c r="A1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0" s="316" t="s">
        <v>292</v>
      </c>
      <c r="C110" s="218" t="s">
        <v>293</v>
      </c>
      <c r="D110" s="218" t="s">
        <v>296</v>
      </c>
      <c r="E110" s="105" t="s">
        <v>297</v>
      </c>
      <c r="F110" s="100"/>
      <c r="G110" s="34"/>
      <c r="H110" s="34"/>
      <c r="I110" s="97">
        <v>143892.97660154747</v>
      </c>
      <c r="J110" s="97" t="s">
        <v>413</v>
      </c>
      <c r="K110" s="261">
        <v>0</v>
      </c>
      <c r="L110" s="319">
        <v>0</v>
      </c>
      <c r="M110" s="319">
        <v>0</v>
      </c>
      <c r="N110" s="319">
        <v>0</v>
      </c>
      <c r="O110" s="319">
        <v>0</v>
      </c>
      <c r="P110" s="319">
        <v>0</v>
      </c>
      <c r="Q110" s="320">
        <v>0</v>
      </c>
      <c r="R110" s="319">
        <v>0</v>
      </c>
      <c r="S110" s="319"/>
      <c r="T110" s="319"/>
      <c r="U110" s="319"/>
      <c r="V110" s="319"/>
      <c r="W110" s="326">
        <f>SUM(tblPiNAnalysis56[[#This Row],[CCCM]:[WASH]])</f>
        <v>0</v>
      </c>
    </row>
    <row r="111" spans="1:23" x14ac:dyDescent="0.55000000000000004">
      <c r="A1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1" s="316" t="s">
        <v>292</v>
      </c>
      <c r="C111" s="218" t="s">
        <v>293</v>
      </c>
      <c r="D111" s="218" t="s">
        <v>298</v>
      </c>
      <c r="E111" s="105" t="s">
        <v>299</v>
      </c>
      <c r="F111" s="100"/>
      <c r="G111" s="34"/>
      <c r="H111" s="34"/>
      <c r="I111" s="97">
        <v>170865.34327385121</v>
      </c>
      <c r="J111" s="97" t="s">
        <v>413</v>
      </c>
      <c r="K111" s="261">
        <v>0</v>
      </c>
      <c r="L111" s="319">
        <v>0</v>
      </c>
      <c r="M111" s="319">
        <v>0</v>
      </c>
      <c r="N111" s="319">
        <v>0</v>
      </c>
      <c r="O111" s="319">
        <v>0</v>
      </c>
      <c r="P111" s="319">
        <v>0</v>
      </c>
      <c r="Q111" s="320">
        <v>0</v>
      </c>
      <c r="R111" s="319">
        <v>0</v>
      </c>
      <c r="S111" s="319"/>
      <c r="T111" s="319"/>
      <c r="U111" s="319"/>
      <c r="V111" s="319"/>
      <c r="W111" s="326">
        <f>SUM(tblPiNAnalysis56[[#This Row],[CCCM]:[WASH]])</f>
        <v>0</v>
      </c>
    </row>
    <row r="112" spans="1:23" x14ac:dyDescent="0.55000000000000004">
      <c r="A1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2" s="316" t="s">
        <v>292</v>
      </c>
      <c r="C112" s="218" t="s">
        <v>293</v>
      </c>
      <c r="D112" s="218" t="s">
        <v>300</v>
      </c>
      <c r="E112" s="105" t="s">
        <v>301</v>
      </c>
      <c r="F112" s="100"/>
      <c r="G112" s="34"/>
      <c r="H112" s="34"/>
      <c r="I112" s="97">
        <v>131576.89060543224</v>
      </c>
      <c r="J112" s="97" t="s">
        <v>413</v>
      </c>
      <c r="K112" s="261">
        <v>0</v>
      </c>
      <c r="L112" s="319">
        <v>0</v>
      </c>
      <c r="M112" s="319">
        <v>0</v>
      </c>
      <c r="N112" s="319">
        <v>0</v>
      </c>
      <c r="O112" s="319">
        <v>0</v>
      </c>
      <c r="P112" s="319">
        <v>0</v>
      </c>
      <c r="Q112" s="320">
        <v>0</v>
      </c>
      <c r="R112" s="319">
        <v>0</v>
      </c>
      <c r="S112" s="319"/>
      <c r="T112" s="319"/>
      <c r="U112" s="319"/>
      <c r="V112" s="319"/>
      <c r="W112" s="326">
        <f>SUM(tblPiNAnalysis56[[#This Row],[CCCM]:[WASH]])</f>
        <v>0</v>
      </c>
    </row>
    <row r="113" spans="1:23" x14ac:dyDescent="0.55000000000000004">
      <c r="A1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3" s="316" t="s">
        <v>292</v>
      </c>
      <c r="C113" s="218" t="s">
        <v>293</v>
      </c>
      <c r="D113" s="218" t="s">
        <v>302</v>
      </c>
      <c r="E113" s="105" t="s">
        <v>303</v>
      </c>
      <c r="F113" s="100"/>
      <c r="G113" s="34"/>
      <c r="H113" s="34"/>
      <c r="I113" s="97">
        <v>38561.747092505328</v>
      </c>
      <c r="J113" s="97" t="s">
        <v>413</v>
      </c>
      <c r="K113" s="261">
        <v>0</v>
      </c>
      <c r="L113" s="319">
        <v>39847.310904725848</v>
      </c>
      <c r="M113" s="319">
        <v>318376.18739767297</v>
      </c>
      <c r="N113" s="319">
        <v>1205747.2593112381</v>
      </c>
      <c r="O113" s="319">
        <v>241325.30126321723</v>
      </c>
      <c r="P113" s="319">
        <v>134716.24453762936</v>
      </c>
      <c r="Q113" s="320">
        <v>0</v>
      </c>
      <c r="R113" s="319">
        <v>12318.335876772535</v>
      </c>
      <c r="S113" s="319"/>
      <c r="T113" s="319"/>
      <c r="U113" s="319"/>
      <c r="V113" s="319"/>
      <c r="W113" s="326">
        <f>SUM(tblPiNAnalysis56[[#This Row],[CCCM]:[WASH]])</f>
        <v>1952330.6392912564</v>
      </c>
    </row>
    <row r="114" spans="1:23" x14ac:dyDescent="0.55000000000000004">
      <c r="A1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4" s="316" t="s">
        <v>292</v>
      </c>
      <c r="C114" s="218" t="s">
        <v>293</v>
      </c>
      <c r="D114" s="218" t="s">
        <v>304</v>
      </c>
      <c r="E114" s="105" t="s">
        <v>305</v>
      </c>
      <c r="F114" s="100"/>
      <c r="G114" s="34"/>
      <c r="H114" s="34"/>
      <c r="I114" s="97">
        <v>62742.537670413069</v>
      </c>
      <c r="J114" s="97" t="s">
        <v>413</v>
      </c>
      <c r="K114" s="261">
        <v>0</v>
      </c>
      <c r="L114" s="319">
        <v>0</v>
      </c>
      <c r="M114" s="319">
        <v>0</v>
      </c>
      <c r="N114" s="319">
        <v>0</v>
      </c>
      <c r="O114" s="319">
        <v>0</v>
      </c>
      <c r="P114" s="319">
        <v>0</v>
      </c>
      <c r="Q114" s="320">
        <v>0</v>
      </c>
      <c r="R114" s="319">
        <v>0</v>
      </c>
      <c r="S114" s="319"/>
      <c r="T114" s="319"/>
      <c r="U114" s="319"/>
      <c r="V114" s="319"/>
      <c r="W114" s="326">
        <f>SUM(tblPiNAnalysis56[[#This Row],[CCCM]:[WASH]])</f>
        <v>0</v>
      </c>
    </row>
    <row r="115" spans="1:23" x14ac:dyDescent="0.55000000000000004">
      <c r="A1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5" s="316" t="s">
        <v>292</v>
      </c>
      <c r="C115" s="218" t="s">
        <v>293</v>
      </c>
      <c r="D115" s="218" t="s">
        <v>306</v>
      </c>
      <c r="E115" s="105" t="s">
        <v>307</v>
      </c>
      <c r="F115" s="100"/>
      <c r="G115" s="34"/>
      <c r="H115" s="34"/>
      <c r="I115" s="97">
        <v>110327.5657380367</v>
      </c>
      <c r="J115" s="97" t="s">
        <v>413</v>
      </c>
      <c r="K115" s="261">
        <v>0</v>
      </c>
      <c r="L115" s="319">
        <v>69867.137554926507</v>
      </c>
      <c r="M115" s="319">
        <v>1027117.3929268061</v>
      </c>
      <c r="N115" s="319">
        <v>3645792.1140012667</v>
      </c>
      <c r="O115" s="319">
        <v>387399.66702622868</v>
      </c>
      <c r="P115" s="319">
        <v>231144.84057821083</v>
      </c>
      <c r="Q115" s="320">
        <v>0</v>
      </c>
      <c r="R115" s="319">
        <v>432320.60944756609</v>
      </c>
      <c r="S115" s="319"/>
      <c r="T115" s="319"/>
      <c r="U115" s="319"/>
      <c r="V115" s="319"/>
      <c r="W115" s="326">
        <f>SUM(tblPiNAnalysis56[[#This Row],[CCCM]:[WASH]])</f>
        <v>5793641.7615350038</v>
      </c>
    </row>
    <row r="116" spans="1:23" x14ac:dyDescent="0.55000000000000004">
      <c r="A1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6" s="316" t="s">
        <v>292</v>
      </c>
      <c r="C116" s="218" t="s">
        <v>293</v>
      </c>
      <c r="D116" s="218" t="s">
        <v>308</v>
      </c>
      <c r="E116" s="105" t="s">
        <v>309</v>
      </c>
      <c r="F116" s="100"/>
      <c r="G116" s="34"/>
      <c r="H116" s="34"/>
      <c r="I116" s="97">
        <v>128918.60101552917</v>
      </c>
      <c r="J116" s="97" t="s">
        <v>413</v>
      </c>
      <c r="K116" s="261">
        <v>0</v>
      </c>
      <c r="L116" s="319">
        <v>0</v>
      </c>
      <c r="M116" s="319">
        <v>0</v>
      </c>
      <c r="N116" s="319">
        <v>0</v>
      </c>
      <c r="O116" s="319">
        <v>0</v>
      </c>
      <c r="P116" s="319">
        <v>0</v>
      </c>
      <c r="Q116" s="320">
        <v>0</v>
      </c>
      <c r="R116" s="319">
        <v>0</v>
      </c>
      <c r="S116" s="319"/>
      <c r="T116" s="319"/>
      <c r="U116" s="319"/>
      <c r="V116" s="319"/>
      <c r="W116" s="326">
        <f>SUM(tblPiNAnalysis56[[#This Row],[CCCM]:[WASH]])</f>
        <v>0</v>
      </c>
    </row>
    <row r="117" spans="1:23" x14ac:dyDescent="0.55000000000000004">
      <c r="A1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7" s="316" t="s">
        <v>310</v>
      </c>
      <c r="C117" s="218" t="s">
        <v>311</v>
      </c>
      <c r="D117" s="218" t="s">
        <v>312</v>
      </c>
      <c r="E117" s="105" t="s">
        <v>313</v>
      </c>
      <c r="F117" s="100"/>
      <c r="G117" s="34"/>
      <c r="H117" s="34"/>
      <c r="I117" s="97">
        <v>53097.621318074722</v>
      </c>
      <c r="J117" s="97" t="s">
        <v>413</v>
      </c>
      <c r="K117" s="261">
        <v>0</v>
      </c>
      <c r="L117" s="319">
        <v>0</v>
      </c>
      <c r="M117" s="319">
        <v>0</v>
      </c>
      <c r="N117" s="319">
        <v>0</v>
      </c>
      <c r="O117" s="319">
        <v>0</v>
      </c>
      <c r="P117" s="319">
        <v>0</v>
      </c>
      <c r="Q117" s="320">
        <v>0</v>
      </c>
      <c r="R117" s="319">
        <v>0</v>
      </c>
      <c r="S117" s="319"/>
      <c r="T117" s="319"/>
      <c r="U117" s="319"/>
      <c r="V117" s="319"/>
      <c r="W117" s="326">
        <f>SUM(tblPiNAnalysis56[[#This Row],[CCCM]:[WASH]])</f>
        <v>0</v>
      </c>
    </row>
    <row r="118" spans="1:23" x14ac:dyDescent="0.55000000000000004">
      <c r="A1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8" s="316" t="s">
        <v>310</v>
      </c>
      <c r="C118" s="218" t="s">
        <v>311</v>
      </c>
      <c r="D118" s="218" t="s">
        <v>314</v>
      </c>
      <c r="E118" s="105" t="s">
        <v>315</v>
      </c>
      <c r="F118" s="100"/>
      <c r="G118" s="34"/>
      <c r="H118" s="34"/>
      <c r="I118" s="97">
        <v>211899.62896361714</v>
      </c>
      <c r="J118" s="97" t="s">
        <v>413</v>
      </c>
      <c r="K118" s="261">
        <v>0</v>
      </c>
      <c r="L118" s="319">
        <v>885906.96827234433</v>
      </c>
      <c r="M118" s="319">
        <v>3251368.414458876</v>
      </c>
      <c r="N118" s="319">
        <v>14713056.162625998</v>
      </c>
      <c r="O118" s="319">
        <v>2098626.7687153881</v>
      </c>
      <c r="P118" s="319">
        <v>908926.43767446734</v>
      </c>
      <c r="Q118" s="320">
        <v>178644.36066300049</v>
      </c>
      <c r="R118" s="319">
        <v>628766.36816549872</v>
      </c>
      <c r="S118" s="319"/>
      <c r="T118" s="319"/>
      <c r="U118" s="319"/>
      <c r="V118" s="319"/>
      <c r="W118" s="326">
        <f>SUM(tblPiNAnalysis56[[#This Row],[CCCM]:[WASH]])</f>
        <v>22665295.480575576</v>
      </c>
    </row>
    <row r="119" spans="1:23" x14ac:dyDescent="0.55000000000000004">
      <c r="A1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9" s="316" t="s">
        <v>310</v>
      </c>
      <c r="C119" s="218" t="s">
        <v>311</v>
      </c>
      <c r="D119" s="218" t="s">
        <v>316</v>
      </c>
      <c r="E119" s="105" t="s">
        <v>317</v>
      </c>
      <c r="F119" s="100"/>
      <c r="G119" s="34"/>
      <c r="H119" s="34"/>
      <c r="I119" s="97">
        <v>109801.05355905752</v>
      </c>
      <c r="J119" s="97" t="s">
        <v>413</v>
      </c>
      <c r="K119" s="261">
        <v>0</v>
      </c>
      <c r="L119" s="319">
        <v>218306.56887921391</v>
      </c>
      <c r="M119" s="319">
        <v>4968739.9061431028</v>
      </c>
      <c r="N119" s="319">
        <v>6954158.7539333496</v>
      </c>
      <c r="O119" s="319">
        <v>1177591.3017197356</v>
      </c>
      <c r="P119" s="319">
        <v>577723.14270441921</v>
      </c>
      <c r="Q119" s="320">
        <v>66049.556833217677</v>
      </c>
      <c r="R119" s="319">
        <v>122763.67793755737</v>
      </c>
      <c r="S119" s="319"/>
      <c r="T119" s="319"/>
      <c r="U119" s="319"/>
      <c r="V119" s="319"/>
      <c r="W119" s="326">
        <f>SUM(tblPiNAnalysis56[[#This Row],[CCCM]:[WASH]])</f>
        <v>14085332.908150598</v>
      </c>
    </row>
    <row r="120" spans="1:23" x14ac:dyDescent="0.55000000000000004">
      <c r="A1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0" s="316" t="s">
        <v>310</v>
      </c>
      <c r="C120" s="218" t="s">
        <v>311</v>
      </c>
      <c r="D120" s="218" t="s">
        <v>318</v>
      </c>
      <c r="E120" s="105" t="s">
        <v>319</v>
      </c>
      <c r="F120" s="100"/>
      <c r="G120" s="34"/>
      <c r="H120" s="34"/>
      <c r="I120" s="97">
        <v>105778.12989801918</v>
      </c>
      <c r="J120" s="97" t="s">
        <v>413</v>
      </c>
      <c r="K120" s="261">
        <v>0</v>
      </c>
      <c r="L120" s="319">
        <v>146664.02155685108</v>
      </c>
      <c r="M120" s="319">
        <v>2908702.5436799414</v>
      </c>
      <c r="N120" s="319">
        <v>7084091.4704765454</v>
      </c>
      <c r="O120" s="319">
        <v>909637.89278629445</v>
      </c>
      <c r="P120" s="319">
        <v>585690.26399861951</v>
      </c>
      <c r="Q120" s="320">
        <v>17835.191033892595</v>
      </c>
      <c r="R120" s="319">
        <v>684026.07867771969</v>
      </c>
      <c r="S120" s="319"/>
      <c r="T120" s="319"/>
      <c r="U120" s="319"/>
      <c r="V120" s="319"/>
      <c r="W120" s="326">
        <f>SUM(tblPiNAnalysis56[[#This Row],[CCCM]:[WASH]])</f>
        <v>12336647.462209864</v>
      </c>
    </row>
    <row r="121" spans="1:23" x14ac:dyDescent="0.55000000000000004">
      <c r="A1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1" s="316" t="s">
        <v>310</v>
      </c>
      <c r="C121" s="218" t="s">
        <v>311</v>
      </c>
      <c r="D121" s="218" t="s">
        <v>320</v>
      </c>
      <c r="E121" s="105" t="s">
        <v>321</v>
      </c>
      <c r="F121" s="100"/>
      <c r="G121" s="34"/>
      <c r="H121" s="34"/>
      <c r="I121" s="97">
        <v>138670.80517744401</v>
      </c>
      <c r="J121" s="97" t="s">
        <v>413</v>
      </c>
      <c r="K121" s="261">
        <v>0</v>
      </c>
      <c r="L121" s="319">
        <v>82558.163077289937</v>
      </c>
      <c r="M121" s="319">
        <v>2094506.5943092296</v>
      </c>
      <c r="N121" s="319">
        <v>910942.64390648517</v>
      </c>
      <c r="O121" s="319">
        <v>537931.02281578141</v>
      </c>
      <c r="P121" s="319">
        <v>423286.74040968035</v>
      </c>
      <c r="Q121" s="320">
        <v>17835.191033892595</v>
      </c>
      <c r="R121" s="319">
        <v>152209.91249213429</v>
      </c>
      <c r="S121" s="319"/>
      <c r="T121" s="319"/>
      <c r="U121" s="319"/>
      <c r="V121" s="319"/>
      <c r="W121" s="326">
        <f>SUM(tblPiNAnalysis56[[#This Row],[CCCM]:[WASH]])</f>
        <v>4219270.2680444941</v>
      </c>
    </row>
    <row r="122" spans="1:23" x14ac:dyDescent="0.55000000000000004">
      <c r="A1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2" s="316" t="s">
        <v>322</v>
      </c>
      <c r="C122" s="218" t="s">
        <v>323</v>
      </c>
      <c r="D122" s="218" t="s">
        <v>324</v>
      </c>
      <c r="E122" s="105" t="s">
        <v>325</v>
      </c>
      <c r="F122" s="100"/>
      <c r="G122" s="34"/>
      <c r="H122" s="34"/>
      <c r="I122" s="97">
        <v>39195.118555506007</v>
      </c>
      <c r="J122" s="97" t="s">
        <v>413</v>
      </c>
      <c r="K122" s="261">
        <v>0</v>
      </c>
      <c r="L122" s="319">
        <v>0</v>
      </c>
      <c r="M122" s="319">
        <v>0</v>
      </c>
      <c r="N122" s="319">
        <v>0</v>
      </c>
      <c r="O122" s="319">
        <v>0</v>
      </c>
      <c r="P122" s="319">
        <v>0</v>
      </c>
      <c r="Q122" s="320">
        <v>0</v>
      </c>
      <c r="R122" s="319">
        <v>0</v>
      </c>
      <c r="S122" s="319"/>
      <c r="T122" s="319"/>
      <c r="U122" s="319"/>
      <c r="V122" s="319"/>
      <c r="W122" s="326">
        <f>SUM(tblPiNAnalysis56[[#This Row],[CCCM]:[WASH]])</f>
        <v>0</v>
      </c>
    </row>
    <row r="123" spans="1:23" x14ac:dyDescent="0.55000000000000004">
      <c r="A1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3" s="316" t="s">
        <v>322</v>
      </c>
      <c r="C123" s="218" t="s">
        <v>323</v>
      </c>
      <c r="D123" s="218" t="s">
        <v>326</v>
      </c>
      <c r="E123" s="105" t="s">
        <v>327</v>
      </c>
      <c r="F123" s="100"/>
      <c r="G123" s="34"/>
      <c r="H123" s="34"/>
      <c r="I123" s="97">
        <v>37012.158261154211</v>
      </c>
      <c r="J123" s="97" t="s">
        <v>413</v>
      </c>
      <c r="K123" s="261">
        <v>0</v>
      </c>
      <c r="L123" s="319">
        <v>32042.988060002986</v>
      </c>
      <c r="M123" s="319">
        <v>795860.1717700517</v>
      </c>
      <c r="N123" s="319">
        <v>1316461.0711255819</v>
      </c>
      <c r="O123" s="319">
        <v>173379.42759915095</v>
      </c>
      <c r="P123" s="319">
        <v>83435.684526635596</v>
      </c>
      <c r="Q123" s="320">
        <v>17835.191033892595</v>
      </c>
      <c r="R123" s="319">
        <v>84602.482741391374</v>
      </c>
      <c r="S123" s="319"/>
      <c r="T123" s="319"/>
      <c r="U123" s="319"/>
      <c r="V123" s="319"/>
      <c r="W123" s="326">
        <f>SUM(tblPiNAnalysis56[[#This Row],[CCCM]:[WASH]])</f>
        <v>2503617.0168567076</v>
      </c>
    </row>
    <row r="124" spans="1:23" x14ac:dyDescent="0.55000000000000004">
      <c r="A1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4" s="316" t="s">
        <v>322</v>
      </c>
      <c r="C124" s="218" t="s">
        <v>323</v>
      </c>
      <c r="D124" s="218" t="s">
        <v>328</v>
      </c>
      <c r="E124" s="105" t="s">
        <v>329</v>
      </c>
      <c r="F124" s="100"/>
      <c r="G124" s="34"/>
      <c r="H124" s="34"/>
      <c r="I124" s="97">
        <v>52356.268586149592</v>
      </c>
      <c r="J124" s="97" t="s">
        <v>413</v>
      </c>
      <c r="K124" s="261">
        <v>0</v>
      </c>
      <c r="L124" s="319">
        <v>42419.222631310113</v>
      </c>
      <c r="M124" s="319">
        <v>891131.66807426023</v>
      </c>
      <c r="N124" s="319">
        <v>395156.50119203329</v>
      </c>
      <c r="O124" s="319">
        <v>244724.65316444272</v>
      </c>
      <c r="P124" s="319">
        <v>110708.07063683153</v>
      </c>
      <c r="Q124" s="320">
        <v>0</v>
      </c>
      <c r="R124" s="319">
        <v>167094.33095453633</v>
      </c>
      <c r="S124" s="319"/>
      <c r="T124" s="319"/>
      <c r="U124" s="319"/>
      <c r="V124" s="319"/>
      <c r="W124" s="326">
        <f>SUM(tblPiNAnalysis56[[#This Row],[CCCM]:[WASH]])</f>
        <v>1851234.4466534141</v>
      </c>
    </row>
    <row r="125" spans="1:23" x14ac:dyDescent="0.55000000000000004">
      <c r="A1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5" s="316" t="s">
        <v>322</v>
      </c>
      <c r="C125" s="218" t="s">
        <v>323</v>
      </c>
      <c r="D125" s="218" t="s">
        <v>330</v>
      </c>
      <c r="E125" s="105" t="s">
        <v>331</v>
      </c>
      <c r="F125" s="100"/>
      <c r="G125" s="34"/>
      <c r="H125" s="34"/>
      <c r="I125" s="97">
        <v>27460.602325830623</v>
      </c>
      <c r="J125" s="97" t="s">
        <v>413</v>
      </c>
      <c r="K125" s="261">
        <v>0</v>
      </c>
      <c r="L125" s="319">
        <v>40715.604399449527</v>
      </c>
      <c r="M125" s="319">
        <v>310116.00617895357</v>
      </c>
      <c r="N125" s="319">
        <v>1727055.4236535921</v>
      </c>
      <c r="O125" s="319">
        <v>357100.9787975268</v>
      </c>
      <c r="P125" s="319">
        <v>123827.71226151481</v>
      </c>
      <c r="Q125" s="320">
        <v>26142.493414190754</v>
      </c>
      <c r="R125" s="319">
        <v>82360.618241129341</v>
      </c>
      <c r="S125" s="319"/>
      <c r="T125" s="319"/>
      <c r="U125" s="319"/>
      <c r="V125" s="319"/>
      <c r="W125" s="326">
        <f>SUM(tblPiNAnalysis56[[#This Row],[CCCM]:[WASH]])</f>
        <v>2667318.836946357</v>
      </c>
    </row>
    <row r="126" spans="1:23" x14ac:dyDescent="0.55000000000000004">
      <c r="A1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6" s="316" t="s">
        <v>322</v>
      </c>
      <c r="C126" s="218" t="s">
        <v>323</v>
      </c>
      <c r="D126" s="218" t="s">
        <v>332</v>
      </c>
      <c r="E126" s="105" t="s">
        <v>333</v>
      </c>
      <c r="F126" s="100"/>
      <c r="G126" s="34"/>
      <c r="H126" s="34"/>
      <c r="I126" s="97">
        <v>32690.293010704088</v>
      </c>
      <c r="J126" s="97" t="s">
        <v>413</v>
      </c>
      <c r="K126" s="261">
        <v>0</v>
      </c>
      <c r="L126" s="319">
        <v>46039.793904987353</v>
      </c>
      <c r="M126" s="319">
        <v>657566.77010554168</v>
      </c>
      <c r="N126" s="319">
        <v>2135881.7628921112</v>
      </c>
      <c r="O126" s="319">
        <v>367848.00860099361</v>
      </c>
      <c r="P126" s="319">
        <v>147879.18646914803</v>
      </c>
      <c r="Q126" s="320">
        <v>19236.980117837407</v>
      </c>
      <c r="R126" s="319">
        <v>86790.710024097716</v>
      </c>
      <c r="S126" s="319"/>
      <c r="T126" s="319"/>
      <c r="U126" s="319"/>
      <c r="V126" s="319"/>
      <c r="W126" s="326">
        <f>SUM(tblPiNAnalysis56[[#This Row],[CCCM]:[WASH]])</f>
        <v>3461243.2121147169</v>
      </c>
    </row>
    <row r="127" spans="1:23" x14ac:dyDescent="0.55000000000000004">
      <c r="A1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7" s="316" t="s">
        <v>322</v>
      </c>
      <c r="C127" s="218" t="s">
        <v>323</v>
      </c>
      <c r="D127" s="218" t="s">
        <v>334</v>
      </c>
      <c r="E127" s="105" t="s">
        <v>335</v>
      </c>
      <c r="F127" s="100"/>
      <c r="G127" s="34"/>
      <c r="H127" s="34"/>
      <c r="I127" s="97">
        <v>95120.28021781116</v>
      </c>
      <c r="J127" s="97" t="s">
        <v>413</v>
      </c>
      <c r="K127" s="261">
        <v>0</v>
      </c>
      <c r="L127" s="319">
        <v>110609.11495085427</v>
      </c>
      <c r="M127" s="319">
        <v>2015782.2242293891</v>
      </c>
      <c r="N127" s="319">
        <v>609968.94837393821</v>
      </c>
      <c r="O127" s="319">
        <v>468288.72349658952</v>
      </c>
      <c r="P127" s="319">
        <v>211777.00770934855</v>
      </c>
      <c r="Q127" s="320">
        <v>17835.191033892595</v>
      </c>
      <c r="R127" s="319">
        <v>147539.1877267315</v>
      </c>
      <c r="S127" s="319"/>
      <c r="T127" s="319"/>
      <c r="U127" s="319"/>
      <c r="V127" s="319"/>
      <c r="W127" s="326">
        <f>SUM(tblPiNAnalysis56[[#This Row],[CCCM]:[WASH]])</f>
        <v>3581800.3975207433</v>
      </c>
    </row>
    <row r="128" spans="1:23" x14ac:dyDescent="0.55000000000000004">
      <c r="A1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8" s="316" t="s">
        <v>322</v>
      </c>
      <c r="C128" s="218" t="s">
        <v>323</v>
      </c>
      <c r="D128" s="218" t="s">
        <v>336</v>
      </c>
      <c r="E128" s="105" t="s">
        <v>337</v>
      </c>
      <c r="F128" s="100"/>
      <c r="G128" s="34"/>
      <c r="H128" s="34"/>
      <c r="I128" s="97">
        <v>46967.678081984632</v>
      </c>
      <c r="J128" s="97" t="s">
        <v>413</v>
      </c>
      <c r="K128" s="261">
        <v>0</v>
      </c>
      <c r="L128" s="319">
        <v>162648.67842683115</v>
      </c>
      <c r="M128" s="319">
        <v>945916.28176015569</v>
      </c>
      <c r="N128" s="319">
        <v>3002195.6846274599</v>
      </c>
      <c r="O128" s="319">
        <v>707531.89344741043</v>
      </c>
      <c r="P128" s="319">
        <v>360499.88092055143</v>
      </c>
      <c r="Q128" s="320">
        <v>32596.53699463098</v>
      </c>
      <c r="R128" s="319">
        <v>335746.41730149573</v>
      </c>
      <c r="S128" s="319"/>
      <c r="T128" s="319"/>
      <c r="U128" s="319"/>
      <c r="V128" s="319"/>
      <c r="W128" s="326">
        <f>SUM(tblPiNAnalysis56[[#This Row],[CCCM]:[WASH]])</f>
        <v>5547135.3734785356</v>
      </c>
    </row>
    <row r="129" spans="1:23" x14ac:dyDescent="0.55000000000000004">
      <c r="A1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9" s="316" t="s">
        <v>322</v>
      </c>
      <c r="C129" s="218" t="s">
        <v>323</v>
      </c>
      <c r="D129" s="218" t="s">
        <v>338</v>
      </c>
      <c r="E129" s="105" t="s">
        <v>339</v>
      </c>
      <c r="F129" s="100"/>
      <c r="G129" s="34"/>
      <c r="H129" s="34"/>
      <c r="I129" s="97">
        <v>96392.652760116689</v>
      </c>
      <c r="J129" s="97" t="s">
        <v>413</v>
      </c>
      <c r="K129" s="261">
        <v>0</v>
      </c>
      <c r="L129" s="319">
        <v>85667.659200476191</v>
      </c>
      <c r="M129" s="319">
        <v>1908463.9921845358</v>
      </c>
      <c r="N129" s="319">
        <v>1146467.9070826385</v>
      </c>
      <c r="O129" s="319">
        <v>1571025.4781824262</v>
      </c>
      <c r="P129" s="319">
        <v>617005.17485892843</v>
      </c>
      <c r="Q129" s="320">
        <v>0</v>
      </c>
      <c r="R129" s="319">
        <v>365667.36588003265</v>
      </c>
      <c r="S129" s="319"/>
      <c r="T129" s="319"/>
      <c r="U129" s="319"/>
      <c r="V129" s="319"/>
      <c r="W129" s="326">
        <f>SUM(tblPiNAnalysis56[[#This Row],[CCCM]:[WASH]])</f>
        <v>5694297.5773890382</v>
      </c>
    </row>
    <row r="130" spans="1:23" x14ac:dyDescent="0.55000000000000004">
      <c r="A1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0" s="316" t="s">
        <v>322</v>
      </c>
      <c r="C130" s="218" t="s">
        <v>323</v>
      </c>
      <c r="D130" s="218" t="s">
        <v>340</v>
      </c>
      <c r="E130" s="105" t="s">
        <v>341</v>
      </c>
      <c r="F130" s="100"/>
      <c r="G130" s="34"/>
      <c r="H130" s="34"/>
      <c r="I130" s="97">
        <v>128065.73135408323</v>
      </c>
      <c r="J130" s="97" t="s">
        <v>413</v>
      </c>
      <c r="K130" s="261">
        <v>0</v>
      </c>
      <c r="L130" s="319">
        <v>402011.3575666605</v>
      </c>
      <c r="M130" s="319">
        <v>2445640.8998009302</v>
      </c>
      <c r="N130" s="319">
        <v>9363571.0993659999</v>
      </c>
      <c r="O130" s="319">
        <v>1898646.5734985657</v>
      </c>
      <c r="P130" s="319">
        <v>493609.52970152372</v>
      </c>
      <c r="Q130" s="320">
        <v>96760.774800862855</v>
      </c>
      <c r="R130" s="319">
        <v>579556.72406766831</v>
      </c>
      <c r="S130" s="319"/>
      <c r="T130" s="319"/>
      <c r="U130" s="319"/>
      <c r="V130" s="319"/>
      <c r="W130" s="326">
        <f>SUM(tblPiNAnalysis56[[#This Row],[CCCM]:[WASH]])</f>
        <v>15279796.95880221</v>
      </c>
    </row>
    <row r="131" spans="1:23" x14ac:dyDescent="0.55000000000000004">
      <c r="A1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1" s="316" t="s">
        <v>342</v>
      </c>
      <c r="C131" s="218" t="s">
        <v>343</v>
      </c>
      <c r="D131" s="218" t="s">
        <v>344</v>
      </c>
      <c r="E131" s="105" t="s">
        <v>345</v>
      </c>
      <c r="F131" s="100"/>
      <c r="G131" s="34"/>
      <c r="H131" s="34"/>
      <c r="I131" s="97">
        <v>38631.891660273708</v>
      </c>
      <c r="J131" s="97" t="s">
        <v>413</v>
      </c>
      <c r="K131" s="261">
        <v>0</v>
      </c>
      <c r="L131" s="319">
        <v>35292.180078999714</v>
      </c>
      <c r="M131" s="319">
        <v>1099090.70603713</v>
      </c>
      <c r="N131" s="319">
        <v>2715914.1008732961</v>
      </c>
      <c r="O131" s="319">
        <v>447465.64833613206</v>
      </c>
      <c r="P131" s="319">
        <v>261941.86777030531</v>
      </c>
      <c r="Q131" s="320">
        <v>17835.191033892595</v>
      </c>
      <c r="R131" s="319">
        <v>860104.09244082845</v>
      </c>
      <c r="S131" s="319"/>
      <c r="T131" s="319"/>
      <c r="U131" s="319"/>
      <c r="V131" s="319"/>
      <c r="W131" s="326">
        <f>SUM(tblPiNAnalysis56[[#This Row],[CCCM]:[WASH]])</f>
        <v>5437643.7865705835</v>
      </c>
    </row>
    <row r="132" spans="1:23" x14ac:dyDescent="0.55000000000000004">
      <c r="A1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2" s="316" t="s">
        <v>342</v>
      </c>
      <c r="C132" s="218" t="s">
        <v>343</v>
      </c>
      <c r="D132" s="218" t="s">
        <v>346</v>
      </c>
      <c r="E132" s="105" t="s">
        <v>347</v>
      </c>
      <c r="F132" s="100"/>
      <c r="G132" s="34"/>
      <c r="H132" s="34"/>
      <c r="I132" s="97">
        <v>44904.26104030956</v>
      </c>
      <c r="J132" s="97" t="s">
        <v>413</v>
      </c>
      <c r="K132" s="261">
        <v>0</v>
      </c>
      <c r="L132" s="319">
        <v>174585.39597974066</v>
      </c>
      <c r="M132" s="319">
        <v>753323.96027936088</v>
      </c>
      <c r="N132" s="319">
        <v>2741666.7918213787</v>
      </c>
      <c r="O132" s="319">
        <v>360479.01915225823</v>
      </c>
      <c r="P132" s="319">
        <v>258333.99376618111</v>
      </c>
      <c r="Q132" s="320">
        <v>26870.709806521245</v>
      </c>
      <c r="R132" s="319">
        <v>1128262.9284210822</v>
      </c>
      <c r="S132" s="319"/>
      <c r="T132" s="319"/>
      <c r="U132" s="319"/>
      <c r="V132" s="319"/>
      <c r="W132" s="326">
        <f>SUM(tblPiNAnalysis56[[#This Row],[CCCM]:[WASH]])</f>
        <v>5443522.7992265224</v>
      </c>
    </row>
    <row r="133" spans="1:23" x14ac:dyDescent="0.55000000000000004">
      <c r="A1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3" s="316" t="s">
        <v>342</v>
      </c>
      <c r="C133" s="218" t="s">
        <v>343</v>
      </c>
      <c r="D133" s="218" t="s">
        <v>348</v>
      </c>
      <c r="E133" s="105" t="s">
        <v>349</v>
      </c>
      <c r="F133" s="100"/>
      <c r="G133" s="34"/>
      <c r="H133" s="34"/>
      <c r="I133" s="97">
        <v>45380.431986163101</v>
      </c>
      <c r="J133" s="97" t="s">
        <v>413</v>
      </c>
      <c r="K133" s="261">
        <v>0</v>
      </c>
      <c r="L133" s="319">
        <v>178244.04002163099</v>
      </c>
      <c r="M133" s="319">
        <v>693756.73031840182</v>
      </c>
      <c r="N133" s="319">
        <v>3743662.8739679428</v>
      </c>
      <c r="O133" s="319">
        <v>359379.0651233258</v>
      </c>
      <c r="P133" s="319">
        <v>394352.21618737275</v>
      </c>
      <c r="Q133" s="320">
        <v>45575.916923949648</v>
      </c>
      <c r="R133" s="319">
        <v>105314.9922477303</v>
      </c>
      <c r="S133" s="319"/>
      <c r="T133" s="319"/>
      <c r="U133" s="319"/>
      <c r="V133" s="319"/>
      <c r="W133" s="326">
        <f>SUM(tblPiNAnalysis56[[#This Row],[CCCM]:[WASH]])</f>
        <v>5520285.8347903546</v>
      </c>
    </row>
    <row r="134" spans="1:23" x14ac:dyDescent="0.55000000000000004">
      <c r="A1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4" s="316" t="s">
        <v>342</v>
      </c>
      <c r="C134" s="218" t="s">
        <v>343</v>
      </c>
      <c r="D134" s="218" t="s">
        <v>350</v>
      </c>
      <c r="E134" s="105" t="s">
        <v>351</v>
      </c>
      <c r="F134" s="100"/>
      <c r="G134" s="34"/>
      <c r="H134" s="34"/>
      <c r="I134" s="97">
        <v>117681.01108725299</v>
      </c>
      <c r="J134" s="97" t="s">
        <v>413</v>
      </c>
      <c r="K134" s="261">
        <v>0</v>
      </c>
      <c r="L134" s="319">
        <v>436989.27620390896</v>
      </c>
      <c r="M134" s="319">
        <v>2079349.3935779922</v>
      </c>
      <c r="N134" s="319">
        <v>9996595.5544599537</v>
      </c>
      <c r="O134" s="319">
        <v>1703695.3404824291</v>
      </c>
      <c r="P134" s="319">
        <v>914548.62701758987</v>
      </c>
      <c r="Q134" s="320">
        <v>40011.543769666016</v>
      </c>
      <c r="R134" s="319">
        <v>2435996.9295061361</v>
      </c>
      <c r="S134" s="319"/>
      <c r="T134" s="319"/>
      <c r="U134" s="319"/>
      <c r="V134" s="319"/>
      <c r="W134" s="326">
        <f>SUM(tblPiNAnalysis56[[#This Row],[CCCM]:[WASH]])</f>
        <v>17607186.665017676</v>
      </c>
    </row>
    <row r="135" spans="1:23" x14ac:dyDescent="0.55000000000000004">
      <c r="A1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5" s="316" t="s">
        <v>342</v>
      </c>
      <c r="C135" s="218" t="s">
        <v>343</v>
      </c>
      <c r="D135" s="218" t="s">
        <v>352</v>
      </c>
      <c r="E135" s="105" t="s">
        <v>353</v>
      </c>
      <c r="F135" s="100"/>
      <c r="G135" s="34"/>
      <c r="H135" s="34"/>
      <c r="I135" s="97">
        <v>54056.787582147139</v>
      </c>
      <c r="J135" s="97" t="s">
        <v>413</v>
      </c>
      <c r="K135" s="261">
        <v>0</v>
      </c>
      <c r="L135" s="319">
        <v>212251.31144167291</v>
      </c>
      <c r="M135" s="319">
        <v>765881.00971614372</v>
      </c>
      <c r="N135" s="319">
        <v>3145267.7735787281</v>
      </c>
      <c r="O135" s="319">
        <v>560713.88123542117</v>
      </c>
      <c r="P135" s="319">
        <v>534793.60690783139</v>
      </c>
      <c r="Q135" s="320">
        <v>0</v>
      </c>
      <c r="R135" s="319">
        <v>248661.2228778768</v>
      </c>
      <c r="S135" s="319"/>
      <c r="T135" s="319"/>
      <c r="U135" s="319"/>
      <c r="V135" s="319"/>
      <c r="W135" s="326">
        <f>SUM(tblPiNAnalysis56[[#This Row],[CCCM]:[WASH]])</f>
        <v>5467568.8057576735</v>
      </c>
    </row>
    <row r="136" spans="1:23" x14ac:dyDescent="0.55000000000000004">
      <c r="A1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6" s="316" t="s">
        <v>342</v>
      </c>
      <c r="C136" s="218" t="s">
        <v>343</v>
      </c>
      <c r="D136" s="218" t="s">
        <v>354</v>
      </c>
      <c r="E136" s="105" t="s">
        <v>355</v>
      </c>
      <c r="F136" s="100"/>
      <c r="G136" s="34"/>
      <c r="H136" s="34"/>
      <c r="I136" s="97">
        <v>75995.604930880276</v>
      </c>
      <c r="J136" s="97" t="s">
        <v>413</v>
      </c>
      <c r="K136" s="261">
        <v>0</v>
      </c>
      <c r="L136" s="319">
        <v>0</v>
      </c>
      <c r="M136" s="319">
        <v>0</v>
      </c>
      <c r="N136" s="319">
        <v>0</v>
      </c>
      <c r="O136" s="319">
        <v>0</v>
      </c>
      <c r="P136" s="319">
        <v>0</v>
      </c>
      <c r="Q136" s="320">
        <v>0</v>
      </c>
      <c r="R136" s="319">
        <v>0</v>
      </c>
      <c r="S136" s="319"/>
      <c r="T136" s="319"/>
      <c r="U136" s="319"/>
      <c r="V136" s="319"/>
      <c r="W136" s="326">
        <f>SUM(tblPiNAnalysis56[[#This Row],[CCCM]:[WASH]])</f>
        <v>0</v>
      </c>
    </row>
    <row r="137" spans="1:23" x14ac:dyDescent="0.55000000000000004">
      <c r="A1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7" s="316" t="s">
        <v>342</v>
      </c>
      <c r="C137" s="218" t="s">
        <v>343</v>
      </c>
      <c r="D137" s="218" t="s">
        <v>356</v>
      </c>
      <c r="E137" s="105" t="s">
        <v>357</v>
      </c>
      <c r="F137" s="100"/>
      <c r="G137" s="34"/>
      <c r="H137" s="34"/>
      <c r="I137" s="97">
        <v>123133.14998785798</v>
      </c>
      <c r="J137" s="97" t="s">
        <v>413</v>
      </c>
      <c r="K137" s="261">
        <v>0</v>
      </c>
      <c r="L137" s="319">
        <v>39331.052859993601</v>
      </c>
      <c r="M137" s="319">
        <v>2275947.0608082856</v>
      </c>
      <c r="N137" s="319">
        <v>8877608.4993805811</v>
      </c>
      <c r="O137" s="319">
        <v>1950641.8842254721</v>
      </c>
      <c r="P137" s="319">
        <v>482711.54074997519</v>
      </c>
      <c r="Q137" s="320">
        <v>76582.812797326304</v>
      </c>
      <c r="R137" s="319">
        <v>2123874.4448843091</v>
      </c>
      <c r="S137" s="319"/>
      <c r="T137" s="319"/>
      <c r="U137" s="319"/>
      <c r="V137" s="319"/>
      <c r="W137" s="326">
        <f>SUM(tblPiNAnalysis56[[#This Row],[CCCM]:[WASH]])</f>
        <v>15826697.295705944</v>
      </c>
    </row>
    <row r="138" spans="1:23" x14ac:dyDescent="0.55000000000000004">
      <c r="A1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8" s="316" t="s">
        <v>342</v>
      </c>
      <c r="C138" s="218" t="s">
        <v>343</v>
      </c>
      <c r="D138" s="218" t="s">
        <v>358</v>
      </c>
      <c r="E138" s="105" t="s">
        <v>359</v>
      </c>
      <c r="F138" s="100"/>
      <c r="G138" s="34"/>
      <c r="H138" s="34"/>
      <c r="I138" s="97">
        <v>55774.82852003994</v>
      </c>
      <c r="J138" s="97" t="s">
        <v>413</v>
      </c>
      <c r="K138" s="261">
        <v>0</v>
      </c>
      <c r="L138" s="319">
        <v>22798.429666125896</v>
      </c>
      <c r="M138" s="319">
        <v>1323133.8312959473</v>
      </c>
      <c r="N138" s="319">
        <v>377050.88725484686</v>
      </c>
      <c r="O138" s="319">
        <v>250811.9455241308</v>
      </c>
      <c r="P138" s="319">
        <v>213361.04281954549</v>
      </c>
      <c r="Q138" s="320">
        <v>0</v>
      </c>
      <c r="R138" s="319">
        <v>510422.88414905901</v>
      </c>
      <c r="S138" s="319"/>
      <c r="T138" s="319"/>
      <c r="U138" s="319"/>
      <c r="V138" s="319"/>
      <c r="W138" s="326">
        <f>SUM(tblPiNAnalysis56[[#This Row],[CCCM]:[WASH]])</f>
        <v>2697579.0207096552</v>
      </c>
    </row>
    <row r="139" spans="1:23" x14ac:dyDescent="0.55000000000000004">
      <c r="A1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9" s="316" t="s">
        <v>342</v>
      </c>
      <c r="C139" s="218" t="s">
        <v>343</v>
      </c>
      <c r="D139" s="218" t="s">
        <v>360</v>
      </c>
      <c r="E139" s="105" t="s">
        <v>361</v>
      </c>
      <c r="F139" s="100"/>
      <c r="G139" s="34"/>
      <c r="H139" s="34"/>
      <c r="I139" s="97">
        <v>84237.505871052446</v>
      </c>
      <c r="J139" s="97" t="s">
        <v>413</v>
      </c>
      <c r="K139" s="261">
        <v>0</v>
      </c>
      <c r="L139" s="319">
        <v>0</v>
      </c>
      <c r="M139" s="319">
        <v>0</v>
      </c>
      <c r="N139" s="319">
        <v>0</v>
      </c>
      <c r="O139" s="319">
        <v>0</v>
      </c>
      <c r="P139" s="319">
        <v>0</v>
      </c>
      <c r="Q139" s="320">
        <v>0</v>
      </c>
      <c r="R139" s="319">
        <v>0</v>
      </c>
      <c r="S139" s="319"/>
      <c r="T139" s="319"/>
      <c r="U139" s="319"/>
      <c r="V139" s="319"/>
      <c r="W139" s="326">
        <f>SUM(tblPiNAnalysis56[[#This Row],[CCCM]:[WASH]])</f>
        <v>0</v>
      </c>
    </row>
    <row r="140" spans="1:23" x14ac:dyDescent="0.55000000000000004">
      <c r="A1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0" s="316" t="s">
        <v>342</v>
      </c>
      <c r="C140" s="218" t="s">
        <v>343</v>
      </c>
      <c r="D140" s="218" t="s">
        <v>362</v>
      </c>
      <c r="E140" s="105" t="s">
        <v>363</v>
      </c>
      <c r="F140" s="100"/>
      <c r="G140" s="34"/>
      <c r="H140" s="34"/>
      <c r="I140" s="97">
        <v>39623.047823684894</v>
      </c>
      <c r="J140" s="97" t="s">
        <v>413</v>
      </c>
      <c r="K140" s="261">
        <v>0</v>
      </c>
      <c r="L140" s="319">
        <v>37361.147119606889</v>
      </c>
      <c r="M140" s="319">
        <v>841801.79396317736</v>
      </c>
      <c r="N140" s="319">
        <v>3052743.0363256549</v>
      </c>
      <c r="O140" s="319">
        <v>564728.74246366415</v>
      </c>
      <c r="P140" s="319">
        <v>310138.70703017473</v>
      </c>
      <c r="Q140" s="320">
        <v>17835.191033892595</v>
      </c>
      <c r="R140" s="319">
        <v>996437.78696438635</v>
      </c>
      <c r="S140" s="319"/>
      <c r="T140" s="319"/>
      <c r="U140" s="319"/>
      <c r="V140" s="319"/>
      <c r="W140" s="326">
        <f>SUM(tblPiNAnalysis56[[#This Row],[CCCM]:[WASH]])</f>
        <v>5821046.4049005564</v>
      </c>
    </row>
    <row r="141" spans="1:23" x14ac:dyDescent="0.55000000000000004">
      <c r="A1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1" s="316" t="s">
        <v>342</v>
      </c>
      <c r="C141" s="218" t="s">
        <v>343</v>
      </c>
      <c r="D141" s="218" t="s">
        <v>364</v>
      </c>
      <c r="E141" s="105" t="s">
        <v>365</v>
      </c>
      <c r="F141" s="100"/>
      <c r="G141" s="34"/>
      <c r="H141" s="34"/>
      <c r="I141" s="97">
        <v>208923.05518722511</v>
      </c>
      <c r="J141" s="97" t="s">
        <v>413</v>
      </c>
      <c r="K141" s="261">
        <v>0</v>
      </c>
      <c r="L141" s="319">
        <v>436212.53615595918</v>
      </c>
      <c r="M141" s="319">
        <v>2482754.1832423448</v>
      </c>
      <c r="N141" s="319">
        <v>2685935.3147604787</v>
      </c>
      <c r="O141" s="319">
        <v>1609845.0186447753</v>
      </c>
      <c r="P141" s="319">
        <v>1145943.5553290877</v>
      </c>
      <c r="Q141" s="320">
        <v>44863.477113888337</v>
      </c>
      <c r="R141" s="319">
        <v>1143961.1978574584</v>
      </c>
      <c r="S141" s="319"/>
      <c r="T141" s="319"/>
      <c r="U141" s="319"/>
      <c r="V141" s="319"/>
      <c r="W141" s="326">
        <f>SUM(tblPiNAnalysis56[[#This Row],[CCCM]:[WASH]])</f>
        <v>9549515.2831039913</v>
      </c>
    </row>
    <row r="142" spans="1:23" x14ac:dyDescent="0.55000000000000004">
      <c r="A1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2" s="316" t="s">
        <v>342</v>
      </c>
      <c r="C142" s="218" t="s">
        <v>343</v>
      </c>
      <c r="D142" s="218" t="s">
        <v>366</v>
      </c>
      <c r="E142" s="105" t="s">
        <v>367</v>
      </c>
      <c r="F142" s="100"/>
      <c r="G142" s="34"/>
      <c r="H142" s="34"/>
      <c r="I142" s="97">
        <v>68673.985334433135</v>
      </c>
      <c r="J142" s="97" t="s">
        <v>413</v>
      </c>
      <c r="K142" s="261">
        <v>0</v>
      </c>
      <c r="L142" s="319">
        <v>339103.34931130806</v>
      </c>
      <c r="M142" s="319">
        <v>1098669.163867675</v>
      </c>
      <c r="N142" s="319">
        <v>5573247.5588072203</v>
      </c>
      <c r="O142" s="319">
        <v>1037983.9593164774</v>
      </c>
      <c r="P142" s="319">
        <v>286983.86517833063</v>
      </c>
      <c r="Q142" s="320">
        <v>30397.956527279275</v>
      </c>
      <c r="R142" s="319">
        <v>1421551.496422766</v>
      </c>
      <c r="S142" s="319"/>
      <c r="T142" s="319"/>
      <c r="U142" s="319"/>
      <c r="V142" s="319"/>
      <c r="W142" s="326">
        <f>SUM(tblPiNAnalysis56[[#This Row],[CCCM]:[WASH]])</f>
        <v>9787937.3494310565</v>
      </c>
    </row>
    <row r="143" spans="1:23" x14ac:dyDescent="0.55000000000000004">
      <c r="A1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3" s="316" t="s">
        <v>368</v>
      </c>
      <c r="C143" s="218" t="s">
        <v>369</v>
      </c>
      <c r="D143" s="218" t="s">
        <v>370</v>
      </c>
      <c r="E143" s="105" t="s">
        <v>371</v>
      </c>
      <c r="F143" s="100"/>
      <c r="G143" s="34"/>
      <c r="H143" s="34"/>
      <c r="I143" s="97">
        <v>66451.811981503241</v>
      </c>
      <c r="J143" s="97" t="s">
        <v>413</v>
      </c>
      <c r="K143" s="261">
        <v>0</v>
      </c>
      <c r="L143" s="319">
        <v>47523.677856691866</v>
      </c>
      <c r="M143" s="319">
        <v>985754.07708262024</v>
      </c>
      <c r="N143" s="319">
        <v>382430.38613801455</v>
      </c>
      <c r="O143" s="319">
        <v>291557.75761999638</v>
      </c>
      <c r="P143" s="319">
        <v>148889.99614936195</v>
      </c>
      <c r="Q143" s="320">
        <v>13398.53976464263</v>
      </c>
      <c r="R143" s="319">
        <v>50946.389185819149</v>
      </c>
      <c r="S143" s="319"/>
      <c r="T143" s="319"/>
      <c r="U143" s="319"/>
      <c r="V143" s="319"/>
      <c r="W143" s="326">
        <f>SUM(tblPiNAnalysis56[[#This Row],[CCCM]:[WASH]])</f>
        <v>1920500.8237971466</v>
      </c>
    </row>
    <row r="144" spans="1:23" x14ac:dyDescent="0.55000000000000004">
      <c r="A1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4" s="316" t="s">
        <v>368</v>
      </c>
      <c r="C144" s="218" t="s">
        <v>369</v>
      </c>
      <c r="D144" s="218" t="s">
        <v>372</v>
      </c>
      <c r="E144" s="105" t="s">
        <v>373</v>
      </c>
      <c r="F144" s="100"/>
      <c r="G144" s="34"/>
      <c r="H144" s="34"/>
      <c r="I144" s="97">
        <v>175059.60932121321</v>
      </c>
      <c r="J144" s="97" t="s">
        <v>413</v>
      </c>
      <c r="K144" s="261">
        <v>0</v>
      </c>
      <c r="L144" s="319">
        <v>151384.86636510128</v>
      </c>
      <c r="M144" s="319">
        <v>2323608.9243651358</v>
      </c>
      <c r="N144" s="319">
        <v>927693.66396785458</v>
      </c>
      <c r="O144" s="319">
        <v>809139.9497793935</v>
      </c>
      <c r="P144" s="319">
        <v>633071.87953670381</v>
      </c>
      <c r="Q144" s="320">
        <v>31326.456404848675</v>
      </c>
      <c r="R144" s="319">
        <v>455711.99208299455</v>
      </c>
      <c r="S144" s="319"/>
      <c r="T144" s="319"/>
      <c r="U144" s="319"/>
      <c r="V144" s="319"/>
      <c r="W144" s="326">
        <f>SUM(tblPiNAnalysis56[[#This Row],[CCCM]:[WASH]])</f>
        <v>5331937.7325020321</v>
      </c>
    </row>
    <row r="145" spans="1:23" x14ac:dyDescent="0.55000000000000004">
      <c r="A1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5" s="316" t="s">
        <v>368</v>
      </c>
      <c r="C145" s="218" t="s">
        <v>369</v>
      </c>
      <c r="D145" s="218" t="s">
        <v>374</v>
      </c>
      <c r="E145" s="105" t="s">
        <v>375</v>
      </c>
      <c r="F145" s="100"/>
      <c r="G145" s="34"/>
      <c r="H145" s="34"/>
      <c r="I145" s="97">
        <v>118674.00478882086</v>
      </c>
      <c r="J145" s="97" t="s">
        <v>413</v>
      </c>
      <c r="K145" s="261">
        <v>0</v>
      </c>
      <c r="L145" s="319">
        <v>442585.3351074495</v>
      </c>
      <c r="M145" s="319">
        <v>2247728.3024760848</v>
      </c>
      <c r="N145" s="319">
        <v>7716285.3878041878</v>
      </c>
      <c r="O145" s="319">
        <v>925675.51814633026</v>
      </c>
      <c r="P145" s="319">
        <v>982000.52503587271</v>
      </c>
      <c r="Q145" s="320">
        <v>72052.074336069811</v>
      </c>
      <c r="R145" s="319">
        <v>491141.89204114169</v>
      </c>
      <c r="S145" s="319"/>
      <c r="T145" s="319"/>
      <c r="U145" s="319"/>
      <c r="V145" s="319"/>
      <c r="W145" s="326">
        <f>SUM(tblPiNAnalysis56[[#This Row],[CCCM]:[WASH]])</f>
        <v>12877469.034947138</v>
      </c>
    </row>
    <row r="146" spans="1:23" x14ac:dyDescent="0.55000000000000004">
      <c r="A1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6" s="316" t="s">
        <v>368</v>
      </c>
      <c r="C146" s="218" t="s">
        <v>369</v>
      </c>
      <c r="D146" s="218" t="s">
        <v>376</v>
      </c>
      <c r="E146" s="105" t="s">
        <v>377</v>
      </c>
      <c r="F146" s="100"/>
      <c r="G146" s="34"/>
      <c r="H146" s="34"/>
      <c r="I146" s="97">
        <v>176910.11306393327</v>
      </c>
      <c r="J146" s="97" t="s">
        <v>413</v>
      </c>
      <c r="K146" s="261">
        <v>0</v>
      </c>
      <c r="L146" s="319">
        <v>178246.63358610866</v>
      </c>
      <c r="M146" s="319">
        <v>2541239.0351444623</v>
      </c>
      <c r="N146" s="319">
        <v>4982054.2080767648</v>
      </c>
      <c r="O146" s="319">
        <v>934960.10316603561</v>
      </c>
      <c r="P146" s="319">
        <v>395967.22825361707</v>
      </c>
      <c r="Q146" s="320">
        <v>17835.191033892595</v>
      </c>
      <c r="R146" s="319">
        <v>591816.19999126741</v>
      </c>
      <c r="S146" s="319"/>
      <c r="T146" s="319"/>
      <c r="U146" s="319"/>
      <c r="V146" s="319"/>
      <c r="W146" s="326">
        <f>SUM(tblPiNAnalysis56[[#This Row],[CCCM]:[WASH]])</f>
        <v>9642118.5992521495</v>
      </c>
    </row>
    <row r="147" spans="1:23" x14ac:dyDescent="0.55000000000000004">
      <c r="A1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7" s="316" t="s">
        <v>368</v>
      </c>
      <c r="C147" s="218" t="s">
        <v>369</v>
      </c>
      <c r="D147" s="218" t="s">
        <v>378</v>
      </c>
      <c r="E147" s="105" t="s">
        <v>379</v>
      </c>
      <c r="F147" s="100"/>
      <c r="G147" s="34"/>
      <c r="H147" s="34"/>
      <c r="I147" s="97">
        <v>85516.790119838945</v>
      </c>
      <c r="J147" s="97" t="s">
        <v>413</v>
      </c>
      <c r="K147" s="261">
        <v>0</v>
      </c>
      <c r="L147" s="319">
        <v>0</v>
      </c>
      <c r="M147" s="319">
        <v>0</v>
      </c>
      <c r="N147" s="319">
        <v>0</v>
      </c>
      <c r="O147" s="319">
        <v>0</v>
      </c>
      <c r="P147" s="319">
        <v>0</v>
      </c>
      <c r="Q147" s="320">
        <v>0</v>
      </c>
      <c r="R147" s="319">
        <v>0</v>
      </c>
      <c r="S147" s="319"/>
      <c r="T147" s="319"/>
      <c r="U147" s="319"/>
      <c r="V147" s="319"/>
      <c r="W147" s="326">
        <f>SUM(tblPiNAnalysis56[[#This Row],[CCCM]:[WASH]])</f>
        <v>0</v>
      </c>
    </row>
    <row r="148" spans="1:23" x14ac:dyDescent="0.55000000000000004">
      <c r="A1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8" s="316" t="s">
        <v>368</v>
      </c>
      <c r="C148" s="218" t="s">
        <v>369</v>
      </c>
      <c r="D148" s="218" t="s">
        <v>380</v>
      </c>
      <c r="E148" s="105" t="s">
        <v>381</v>
      </c>
      <c r="F148" s="100"/>
      <c r="G148" s="34"/>
      <c r="H148" s="34"/>
      <c r="I148" s="97">
        <v>56495.39881084334</v>
      </c>
      <c r="J148" s="97" t="s">
        <v>413</v>
      </c>
      <c r="K148" s="261">
        <v>0</v>
      </c>
      <c r="L148" s="319">
        <v>79090.326798368696</v>
      </c>
      <c r="M148" s="319">
        <v>1077977.6095680597</v>
      </c>
      <c r="N148" s="319">
        <v>2944393.9832564462</v>
      </c>
      <c r="O148" s="319">
        <v>800173.57740812073</v>
      </c>
      <c r="P148" s="319">
        <v>394236.76178831991</v>
      </c>
      <c r="Q148" s="320">
        <v>17730.863626787755</v>
      </c>
      <c r="R148" s="319">
        <v>199788.53817124735</v>
      </c>
      <c r="S148" s="319"/>
      <c r="T148" s="319"/>
      <c r="U148" s="319"/>
      <c r="V148" s="319"/>
      <c r="W148" s="326">
        <f>SUM(tblPiNAnalysis56[[#This Row],[CCCM]:[WASH]])</f>
        <v>5513391.6606173506</v>
      </c>
    </row>
    <row r="149" spans="1:23" x14ac:dyDescent="0.55000000000000004">
      <c r="A1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9" s="316" t="s">
        <v>382</v>
      </c>
      <c r="C149" s="218" t="s">
        <v>383</v>
      </c>
      <c r="D149" s="218" t="s">
        <v>384</v>
      </c>
      <c r="E149" s="105" t="s">
        <v>385</v>
      </c>
      <c r="F149" s="100"/>
      <c r="G149" s="34"/>
      <c r="H149" s="34"/>
      <c r="I149" s="97">
        <v>178742.31540837008</v>
      </c>
      <c r="J149" s="97" t="s">
        <v>413</v>
      </c>
      <c r="K149" s="261">
        <v>0</v>
      </c>
      <c r="L149" s="319">
        <v>0</v>
      </c>
      <c r="M149" s="319">
        <v>0</v>
      </c>
      <c r="N149" s="319">
        <v>0</v>
      </c>
      <c r="O149" s="319">
        <v>0</v>
      </c>
      <c r="P149" s="319">
        <v>0</v>
      </c>
      <c r="Q149" s="320">
        <v>0</v>
      </c>
      <c r="R149" s="319">
        <v>0</v>
      </c>
      <c r="S149" s="319"/>
      <c r="T149" s="319"/>
      <c r="U149" s="319"/>
      <c r="V149" s="319"/>
      <c r="W149" s="326">
        <f>SUM(tblPiNAnalysis56[[#This Row],[CCCM]:[WASH]])</f>
        <v>0</v>
      </c>
    </row>
    <row r="150" spans="1:23" x14ac:dyDescent="0.55000000000000004">
      <c r="A1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0" s="316" t="s">
        <v>382</v>
      </c>
      <c r="C150" s="218" t="s">
        <v>383</v>
      </c>
      <c r="D150" s="218" t="s">
        <v>386</v>
      </c>
      <c r="E150" s="105" t="s">
        <v>387</v>
      </c>
      <c r="F150" s="100"/>
      <c r="G150" s="34"/>
      <c r="H150" s="34"/>
      <c r="I150" s="97">
        <v>37008.275019605207</v>
      </c>
      <c r="J150" s="97" t="s">
        <v>413</v>
      </c>
      <c r="K150" s="261">
        <v>0</v>
      </c>
      <c r="L150" s="319">
        <v>37015.110448001331</v>
      </c>
      <c r="M150" s="319">
        <v>358326.03631995397</v>
      </c>
      <c r="N150" s="319">
        <v>173621.18829218741</v>
      </c>
      <c r="O150" s="319">
        <v>174991.2914181847</v>
      </c>
      <c r="P150" s="319">
        <v>93068.528981231153</v>
      </c>
      <c r="Q150" s="320">
        <v>0</v>
      </c>
      <c r="R150" s="319">
        <v>20228.90588262989</v>
      </c>
      <c r="S150" s="319"/>
      <c r="T150" s="319"/>
      <c r="U150" s="319"/>
      <c r="V150" s="319"/>
      <c r="W150" s="326">
        <f>SUM(tblPiNAnalysis56[[#This Row],[CCCM]:[WASH]])</f>
        <v>857251.06134218851</v>
      </c>
    </row>
    <row r="151" spans="1:23" x14ac:dyDescent="0.55000000000000004">
      <c r="A1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1" s="316" t="s">
        <v>382</v>
      </c>
      <c r="C151" s="218" t="s">
        <v>383</v>
      </c>
      <c r="D151" s="218" t="s">
        <v>388</v>
      </c>
      <c r="E151" s="105" t="s">
        <v>389</v>
      </c>
      <c r="F151" s="100"/>
      <c r="G151" s="34"/>
      <c r="H151" s="34"/>
      <c r="I151" s="97">
        <v>225180.53774946873</v>
      </c>
      <c r="J151" s="97" t="s">
        <v>413</v>
      </c>
      <c r="K151" s="261">
        <v>0</v>
      </c>
      <c r="L151" s="319">
        <v>0</v>
      </c>
      <c r="M151" s="319">
        <v>0</v>
      </c>
      <c r="N151" s="319">
        <v>0</v>
      </c>
      <c r="O151" s="319">
        <v>0</v>
      </c>
      <c r="P151" s="319">
        <v>0</v>
      </c>
      <c r="Q151" s="320">
        <v>0</v>
      </c>
      <c r="R151" s="319">
        <v>0</v>
      </c>
      <c r="S151" s="319"/>
      <c r="T151" s="319"/>
      <c r="U151" s="319"/>
      <c r="V151" s="319"/>
      <c r="W151" s="326">
        <f>SUM(tblPiNAnalysis56[[#This Row],[CCCM]:[WASH]])</f>
        <v>0</v>
      </c>
    </row>
    <row r="152" spans="1:23" x14ac:dyDescent="0.55000000000000004">
      <c r="A1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2" s="316" t="s">
        <v>390</v>
      </c>
      <c r="C152" s="218" t="s">
        <v>391</v>
      </c>
      <c r="D152" s="218" t="s">
        <v>392</v>
      </c>
      <c r="E152" s="105" t="s">
        <v>393</v>
      </c>
      <c r="F152" s="100"/>
      <c r="G152" s="34"/>
      <c r="H152" s="34"/>
      <c r="I152" s="97">
        <v>73520.181474041485</v>
      </c>
      <c r="J152" s="97" t="s">
        <v>413</v>
      </c>
      <c r="K152" s="261">
        <v>0</v>
      </c>
      <c r="L152" s="319">
        <v>61451.836333059437</v>
      </c>
      <c r="M152" s="319">
        <v>949693.49114156456</v>
      </c>
      <c r="N152" s="319">
        <v>63907.71383624665</v>
      </c>
      <c r="O152" s="319">
        <v>236646.83470268972</v>
      </c>
      <c r="P152" s="319">
        <v>143292.26478983223</v>
      </c>
      <c r="Q152" s="320">
        <v>17835.191033892595</v>
      </c>
      <c r="R152" s="319">
        <v>445356.81946415256</v>
      </c>
      <c r="S152" s="319"/>
      <c r="T152" s="319"/>
      <c r="U152" s="319"/>
      <c r="V152" s="319"/>
      <c r="W152" s="326">
        <f>SUM(tblPiNAnalysis56[[#This Row],[CCCM]:[WASH]])</f>
        <v>1918184.151301438</v>
      </c>
    </row>
    <row r="153" spans="1:23" x14ac:dyDescent="0.55000000000000004">
      <c r="A1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3" s="316" t="s">
        <v>390</v>
      </c>
      <c r="C153" s="218" t="s">
        <v>391</v>
      </c>
      <c r="D153" s="218" t="s">
        <v>394</v>
      </c>
      <c r="E153" s="105" t="s">
        <v>395</v>
      </c>
      <c r="F153" s="100"/>
      <c r="G153" s="34"/>
      <c r="H153" s="34"/>
      <c r="I153" s="97">
        <v>47140.450098552225</v>
      </c>
      <c r="J153" s="97" t="s">
        <v>413</v>
      </c>
      <c r="K153" s="261">
        <v>0</v>
      </c>
      <c r="L153" s="319">
        <v>0</v>
      </c>
      <c r="M153" s="319">
        <v>0</v>
      </c>
      <c r="N153" s="319">
        <v>0</v>
      </c>
      <c r="O153" s="319">
        <v>0</v>
      </c>
      <c r="P153" s="319">
        <v>0</v>
      </c>
      <c r="Q153" s="320">
        <v>0</v>
      </c>
      <c r="R153" s="319">
        <v>0</v>
      </c>
      <c r="S153" s="319"/>
      <c r="T153" s="319"/>
      <c r="U153" s="319"/>
      <c r="V153" s="319"/>
      <c r="W153" s="326">
        <f>SUM(tblPiNAnalysis56[[#This Row],[CCCM]:[WASH]])</f>
        <v>0</v>
      </c>
    </row>
    <row r="154" spans="1:23" x14ac:dyDescent="0.55000000000000004">
      <c r="A1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4" s="316" t="s">
        <v>390</v>
      </c>
      <c r="C154" s="218" t="s">
        <v>391</v>
      </c>
      <c r="D154" s="218" t="s">
        <v>396</v>
      </c>
      <c r="E154" s="105" t="s">
        <v>397</v>
      </c>
      <c r="F154" s="100"/>
      <c r="G154" s="34"/>
      <c r="H154" s="34"/>
      <c r="I154" s="97">
        <v>80255.412925910496</v>
      </c>
      <c r="J154" s="97" t="s">
        <v>413</v>
      </c>
      <c r="K154" s="261">
        <v>0</v>
      </c>
      <c r="L154" s="319">
        <v>0</v>
      </c>
      <c r="M154" s="319">
        <v>0</v>
      </c>
      <c r="N154" s="319">
        <v>0</v>
      </c>
      <c r="O154" s="319">
        <v>0</v>
      </c>
      <c r="P154" s="319">
        <v>0</v>
      </c>
      <c r="Q154" s="320">
        <v>0</v>
      </c>
      <c r="R154" s="319">
        <v>0</v>
      </c>
      <c r="S154" s="319"/>
      <c r="T154" s="319"/>
      <c r="U154" s="319"/>
      <c r="V154" s="319"/>
      <c r="W154" s="326">
        <f>SUM(tblPiNAnalysis56[[#This Row],[CCCM]:[WASH]])</f>
        <v>0</v>
      </c>
    </row>
    <row r="155" spans="1:23" x14ac:dyDescent="0.55000000000000004">
      <c r="A1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5" s="316" t="s">
        <v>390</v>
      </c>
      <c r="C155" s="218" t="s">
        <v>391</v>
      </c>
      <c r="D155" s="218" t="s">
        <v>398</v>
      </c>
      <c r="E155" s="105" t="s">
        <v>399</v>
      </c>
      <c r="F155" s="100"/>
      <c r="G155" s="34"/>
      <c r="H155" s="34"/>
      <c r="I155" s="97">
        <v>64180.342035561967</v>
      </c>
      <c r="J155" s="97" t="s">
        <v>413</v>
      </c>
      <c r="K155" s="261">
        <v>0</v>
      </c>
      <c r="L155" s="319">
        <v>0</v>
      </c>
      <c r="M155" s="319">
        <v>0</v>
      </c>
      <c r="N155" s="319">
        <v>0</v>
      </c>
      <c r="O155" s="319">
        <v>0</v>
      </c>
      <c r="P155" s="319">
        <v>0</v>
      </c>
      <c r="Q155" s="320">
        <v>0</v>
      </c>
      <c r="R155" s="319">
        <v>0</v>
      </c>
      <c r="S155" s="319"/>
      <c r="T155" s="319"/>
      <c r="U155" s="319"/>
      <c r="V155" s="319"/>
      <c r="W155" s="326">
        <f>SUM(tblPiNAnalysis56[[#This Row],[CCCM]:[WASH]])</f>
        <v>0</v>
      </c>
    </row>
    <row r="156" spans="1:23" x14ac:dyDescent="0.55000000000000004">
      <c r="A1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6" s="316" t="s">
        <v>390</v>
      </c>
      <c r="C156" s="218" t="s">
        <v>391</v>
      </c>
      <c r="D156" s="218" t="s">
        <v>400</v>
      </c>
      <c r="E156" s="105" t="s">
        <v>401</v>
      </c>
      <c r="F156" s="100"/>
      <c r="G156" s="34"/>
      <c r="H156" s="34"/>
      <c r="I156" s="97">
        <v>37549.507730213714</v>
      </c>
      <c r="J156" s="97" t="s">
        <v>413</v>
      </c>
      <c r="K156" s="261">
        <v>0</v>
      </c>
      <c r="L156" s="319">
        <v>0</v>
      </c>
      <c r="M156" s="319">
        <v>0</v>
      </c>
      <c r="N156" s="319">
        <v>0</v>
      </c>
      <c r="O156" s="319">
        <v>0</v>
      </c>
      <c r="P156" s="319">
        <v>0</v>
      </c>
      <c r="Q156" s="320">
        <v>0</v>
      </c>
      <c r="R156" s="319">
        <v>0</v>
      </c>
      <c r="S156" s="319"/>
      <c r="T156" s="319"/>
      <c r="U156" s="319"/>
      <c r="V156" s="319"/>
      <c r="W156" s="326">
        <f>SUM(tblPiNAnalysis56[[#This Row],[CCCM]:[WASH]])</f>
        <v>0</v>
      </c>
    </row>
    <row r="157" spans="1:23" x14ac:dyDescent="0.55000000000000004">
      <c r="A1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7" s="316" t="s">
        <v>390</v>
      </c>
      <c r="C157" s="218" t="s">
        <v>391</v>
      </c>
      <c r="D157" s="218" t="s">
        <v>402</v>
      </c>
      <c r="E157" s="105" t="s">
        <v>403</v>
      </c>
      <c r="F157" s="100"/>
      <c r="G157" s="34"/>
      <c r="H157" s="34"/>
      <c r="I157" s="97">
        <v>57305.25569680793</v>
      </c>
      <c r="J157" s="97" t="s">
        <v>413</v>
      </c>
      <c r="K157" s="261">
        <v>0</v>
      </c>
      <c r="L157" s="319">
        <v>0</v>
      </c>
      <c r="M157" s="319">
        <v>0</v>
      </c>
      <c r="N157" s="319">
        <v>0</v>
      </c>
      <c r="O157" s="319">
        <v>0</v>
      </c>
      <c r="P157" s="319">
        <v>0</v>
      </c>
      <c r="Q157" s="320">
        <v>0</v>
      </c>
      <c r="R157" s="319">
        <v>0</v>
      </c>
      <c r="S157" s="319"/>
      <c r="T157" s="319"/>
      <c r="U157" s="319"/>
      <c r="V157" s="319"/>
      <c r="W157" s="326">
        <f>SUM(tblPiNAnalysis56[[#This Row],[CCCM]:[WASH]])</f>
        <v>0</v>
      </c>
    </row>
    <row r="158" spans="1:23" x14ac:dyDescent="0.55000000000000004">
      <c r="A1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8" s="316" t="s">
        <v>390</v>
      </c>
      <c r="C158" s="218" t="s">
        <v>391</v>
      </c>
      <c r="D158" s="218" t="s">
        <v>404</v>
      </c>
      <c r="E158" s="105" t="s">
        <v>405</v>
      </c>
      <c r="F158" s="100"/>
      <c r="G158" s="34"/>
      <c r="H158" s="34"/>
      <c r="I158" s="97">
        <v>20533.496005228379</v>
      </c>
      <c r="J158" s="97" t="s">
        <v>413</v>
      </c>
      <c r="K158" s="261">
        <v>0</v>
      </c>
      <c r="L158" s="319">
        <v>15271.312919460966</v>
      </c>
      <c r="M158" s="319">
        <v>239792.73254493726</v>
      </c>
      <c r="N158" s="319">
        <v>214436.95270641142</v>
      </c>
      <c r="O158" s="319">
        <v>202466.89695612082</v>
      </c>
      <c r="P158" s="319">
        <v>187577.54554625595</v>
      </c>
      <c r="Q158" s="320">
        <v>17835.191033892595</v>
      </c>
      <c r="R158" s="319">
        <v>155674.31971371296</v>
      </c>
      <c r="S158" s="319"/>
      <c r="T158" s="319"/>
      <c r="U158" s="319"/>
      <c r="V158" s="319"/>
      <c r="W158" s="326">
        <f>SUM(tblPiNAnalysis56[[#This Row],[CCCM]:[WASH]])</f>
        <v>1033054.9514207919</v>
      </c>
    </row>
    <row r="159" spans="1:23" x14ac:dyDescent="0.55000000000000004">
      <c r="A1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9" s="316" t="s">
        <v>390</v>
      </c>
      <c r="C159" s="218" t="s">
        <v>391</v>
      </c>
      <c r="D159" s="218" t="s">
        <v>406</v>
      </c>
      <c r="E159" s="105" t="s">
        <v>407</v>
      </c>
      <c r="F159" s="100"/>
      <c r="G159" s="34"/>
      <c r="H159" s="34"/>
      <c r="I159" s="97">
        <v>65499.917413585019</v>
      </c>
      <c r="J159" s="97" t="s">
        <v>413</v>
      </c>
      <c r="K159" s="261">
        <v>0</v>
      </c>
      <c r="L159" s="319">
        <v>0</v>
      </c>
      <c r="M159" s="319">
        <v>0</v>
      </c>
      <c r="N159" s="319">
        <v>0</v>
      </c>
      <c r="O159" s="319">
        <v>0</v>
      </c>
      <c r="P159" s="319">
        <v>0</v>
      </c>
      <c r="Q159" s="320">
        <v>0</v>
      </c>
      <c r="R159" s="319">
        <v>0</v>
      </c>
      <c r="S159" s="319"/>
      <c r="T159" s="319"/>
      <c r="U159" s="319"/>
      <c r="V159" s="319"/>
      <c r="W159" s="326">
        <f>SUM(tblPiNAnalysis56[[#This Row],[CCCM]:[WASH]])</f>
        <v>0</v>
      </c>
    </row>
    <row r="160" spans="1:23" x14ac:dyDescent="0.55000000000000004">
      <c r="A1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0" s="316" t="s">
        <v>390</v>
      </c>
      <c r="C160" s="218" t="s">
        <v>391</v>
      </c>
      <c r="D160" s="218" t="s">
        <v>408</v>
      </c>
      <c r="E160" s="105" t="s">
        <v>409</v>
      </c>
      <c r="F160" s="100"/>
      <c r="G160" s="34"/>
      <c r="H160" s="34"/>
      <c r="I160" s="97">
        <v>76119.104669093867</v>
      </c>
      <c r="J160" s="97" t="s">
        <v>413</v>
      </c>
      <c r="K160" s="261">
        <v>0</v>
      </c>
      <c r="L160" s="319">
        <v>174739.51906446269</v>
      </c>
      <c r="M160" s="319">
        <v>718241.15376998903</v>
      </c>
      <c r="N160" s="319">
        <v>638997.23857063067</v>
      </c>
      <c r="O160" s="319">
        <v>844375.16023018467</v>
      </c>
      <c r="P160" s="319">
        <v>653429.68899517402</v>
      </c>
      <c r="Q160" s="320">
        <v>73279.605483684965</v>
      </c>
      <c r="R160" s="319">
        <v>1143654.3073268998</v>
      </c>
      <c r="S160" s="319"/>
      <c r="T160" s="319"/>
      <c r="U160" s="319"/>
      <c r="V160" s="319"/>
      <c r="W160" s="326">
        <f>SUM(tblPiNAnalysis56[[#This Row],[CCCM]:[WASH]])</f>
        <v>4246716.6734410264</v>
      </c>
    </row>
    <row r="161" spans="1:23" x14ac:dyDescent="0.55000000000000004">
      <c r="A1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1" s="316" t="s">
        <v>390</v>
      </c>
      <c r="C161" s="218" t="s">
        <v>391</v>
      </c>
      <c r="D161" s="218" t="s">
        <v>410</v>
      </c>
      <c r="E161" s="105" t="s">
        <v>411</v>
      </c>
      <c r="F161" s="100"/>
      <c r="G161" s="34"/>
      <c r="H161" s="34"/>
      <c r="I161" s="97">
        <v>122615.70597189905</v>
      </c>
      <c r="J161" s="97" t="s">
        <v>413</v>
      </c>
      <c r="K161" s="261">
        <v>0</v>
      </c>
      <c r="L161" s="319">
        <v>0</v>
      </c>
      <c r="M161" s="319">
        <v>0</v>
      </c>
      <c r="N161" s="319">
        <v>0</v>
      </c>
      <c r="O161" s="319">
        <v>0</v>
      </c>
      <c r="P161" s="319">
        <v>0</v>
      </c>
      <c r="Q161" s="320">
        <v>0</v>
      </c>
      <c r="R161" s="319">
        <v>0</v>
      </c>
      <c r="S161" s="319"/>
      <c r="T161" s="319"/>
      <c r="U161" s="319"/>
      <c r="V161" s="319"/>
      <c r="W161" s="326">
        <f>SUM(tblPiNAnalysis56[[#This Row],[CCCM]:[WASH]])</f>
        <v>0</v>
      </c>
    </row>
    <row r="162" spans="1:23" ht="27.6" x14ac:dyDescent="0.55000000000000004">
      <c r="A1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2" s="316" t="s">
        <v>233</v>
      </c>
      <c r="C162" s="218" t="s">
        <v>234</v>
      </c>
      <c r="D162" s="218" t="s">
        <v>233</v>
      </c>
      <c r="E162" s="105" t="s">
        <v>235</v>
      </c>
      <c r="F162" s="100"/>
      <c r="G162" s="34"/>
      <c r="H162" s="34"/>
      <c r="I162" s="97">
        <v>19107.704392085096</v>
      </c>
      <c r="J162" s="97" t="s">
        <v>414</v>
      </c>
      <c r="K162" s="318">
        <v>101904.11230648399</v>
      </c>
      <c r="L162" s="319">
        <v>83355.449640032035</v>
      </c>
      <c r="M162" s="319">
        <v>204069.30068897043</v>
      </c>
      <c r="N162" s="319">
        <v>1039994.4761480532</v>
      </c>
      <c r="O162" s="319">
        <v>243918.86925602678</v>
      </c>
      <c r="P162" s="319">
        <v>251736.90400604249</v>
      </c>
      <c r="Q162" s="320">
        <v>60365.776254389944</v>
      </c>
      <c r="R162" s="319">
        <v>56969.266798624085</v>
      </c>
      <c r="S162" s="319"/>
      <c r="T162" s="319"/>
      <c r="U162" s="319"/>
      <c r="V162" s="319"/>
      <c r="W162" s="326">
        <f>SUM(tblPiNAnalysis56[[#This Row],[CCCM]:[WASH]])</f>
        <v>2042314.1550986229</v>
      </c>
    </row>
    <row r="163" spans="1:23" x14ac:dyDescent="0.55000000000000004">
      <c r="A1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3" s="316" t="s">
        <v>236</v>
      </c>
      <c r="C163" s="218" t="s">
        <v>237</v>
      </c>
      <c r="D163" s="218" t="s">
        <v>238</v>
      </c>
      <c r="E163" s="105" t="s">
        <v>239</v>
      </c>
      <c r="F163" s="100"/>
      <c r="G163" s="34"/>
      <c r="H163" s="34"/>
      <c r="I163" s="97">
        <v>58949.896431430854</v>
      </c>
      <c r="J163" s="97" t="s">
        <v>414</v>
      </c>
      <c r="K163" s="318">
        <v>0</v>
      </c>
      <c r="L163" s="319">
        <v>0</v>
      </c>
      <c r="M163" s="319">
        <v>0</v>
      </c>
      <c r="N163" s="319">
        <v>0</v>
      </c>
      <c r="O163" s="319">
        <v>0</v>
      </c>
      <c r="P163" s="319">
        <v>0</v>
      </c>
      <c r="Q163" s="320">
        <v>0</v>
      </c>
      <c r="R163" s="319">
        <v>0</v>
      </c>
      <c r="S163" s="319"/>
      <c r="T163" s="319"/>
      <c r="U163" s="319"/>
      <c r="V163" s="319"/>
      <c r="W163" s="326">
        <f>SUM(tblPiNAnalysis56[[#This Row],[CCCM]:[WASH]])</f>
        <v>0</v>
      </c>
    </row>
    <row r="164" spans="1:23" x14ac:dyDescent="0.55000000000000004">
      <c r="A1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4" s="316" t="s">
        <v>236</v>
      </c>
      <c r="C164" s="218" t="s">
        <v>237</v>
      </c>
      <c r="D164" s="218" t="s">
        <v>240</v>
      </c>
      <c r="E164" s="105" t="s">
        <v>241</v>
      </c>
      <c r="F164" s="100"/>
      <c r="G164" s="34"/>
      <c r="H164" s="34"/>
      <c r="I164" s="97">
        <v>15480.714285714301</v>
      </c>
      <c r="J164" s="97" t="s">
        <v>414</v>
      </c>
      <c r="K164" s="318">
        <v>0</v>
      </c>
      <c r="L164" s="319">
        <v>0</v>
      </c>
      <c r="M164" s="319">
        <v>0</v>
      </c>
      <c r="N164" s="319">
        <v>0</v>
      </c>
      <c r="O164" s="319">
        <v>0</v>
      </c>
      <c r="P164" s="319">
        <v>0</v>
      </c>
      <c r="Q164" s="320">
        <v>0</v>
      </c>
      <c r="R164" s="319">
        <v>0</v>
      </c>
      <c r="S164" s="319"/>
      <c r="T164" s="319"/>
      <c r="U164" s="319"/>
      <c r="V164" s="319"/>
      <c r="W164" s="326">
        <f>SUM(tblPiNAnalysis56[[#This Row],[CCCM]:[WASH]])</f>
        <v>0</v>
      </c>
    </row>
    <row r="165" spans="1:23" x14ac:dyDescent="0.55000000000000004">
      <c r="A1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5" s="316" t="s">
        <v>236</v>
      </c>
      <c r="C165" s="218" t="s">
        <v>237</v>
      </c>
      <c r="D165" s="218" t="s">
        <v>242</v>
      </c>
      <c r="E165" s="105" t="s">
        <v>243</v>
      </c>
      <c r="F165" s="100"/>
      <c r="G165" s="34"/>
      <c r="H165" s="34"/>
      <c r="I165" s="97">
        <v>7168.4285714285697</v>
      </c>
      <c r="J165" s="97" t="s">
        <v>414</v>
      </c>
      <c r="K165" s="318">
        <v>0</v>
      </c>
      <c r="L165" s="319">
        <v>0</v>
      </c>
      <c r="M165" s="319">
        <v>0</v>
      </c>
      <c r="N165" s="319">
        <v>0</v>
      </c>
      <c r="O165" s="319">
        <v>0</v>
      </c>
      <c r="P165" s="319">
        <v>0</v>
      </c>
      <c r="Q165" s="320">
        <v>0</v>
      </c>
      <c r="R165" s="319">
        <v>0</v>
      </c>
      <c r="S165" s="319"/>
      <c r="T165" s="319"/>
      <c r="U165" s="319"/>
      <c r="V165" s="319"/>
      <c r="W165" s="326">
        <f>SUM(tblPiNAnalysis56[[#This Row],[CCCM]:[WASH]])</f>
        <v>0</v>
      </c>
    </row>
    <row r="166" spans="1:23" x14ac:dyDescent="0.55000000000000004">
      <c r="A1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6" s="316" t="s">
        <v>236</v>
      </c>
      <c r="C166" s="218" t="s">
        <v>237</v>
      </c>
      <c r="D166" s="218" t="s">
        <v>244</v>
      </c>
      <c r="E166" s="105" t="s">
        <v>245</v>
      </c>
      <c r="F166" s="100"/>
      <c r="G166" s="34"/>
      <c r="H166" s="34"/>
      <c r="I166" s="97">
        <v>12810</v>
      </c>
      <c r="J166" s="97" t="s">
        <v>414</v>
      </c>
      <c r="K166" s="318">
        <v>0</v>
      </c>
      <c r="L166" s="319">
        <v>0</v>
      </c>
      <c r="M166" s="319">
        <v>0</v>
      </c>
      <c r="N166" s="319">
        <v>0</v>
      </c>
      <c r="O166" s="319">
        <v>0</v>
      </c>
      <c r="P166" s="319">
        <v>0</v>
      </c>
      <c r="Q166" s="320">
        <v>0</v>
      </c>
      <c r="R166" s="319">
        <v>0</v>
      </c>
      <c r="S166" s="319"/>
      <c r="T166" s="319"/>
      <c r="U166" s="319"/>
      <c r="V166" s="319"/>
      <c r="W166" s="326">
        <f>SUM(tblPiNAnalysis56[[#This Row],[CCCM]:[WASH]])</f>
        <v>0</v>
      </c>
    </row>
    <row r="167" spans="1:23" x14ac:dyDescent="0.55000000000000004">
      <c r="A1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7" s="316" t="s">
        <v>236</v>
      </c>
      <c r="C167" s="218" t="s">
        <v>237</v>
      </c>
      <c r="D167" s="218" t="s">
        <v>246</v>
      </c>
      <c r="E167" s="105" t="s">
        <v>247</v>
      </c>
      <c r="F167" s="100"/>
      <c r="G167" s="34"/>
      <c r="H167" s="34"/>
      <c r="I167" s="97">
        <v>1080</v>
      </c>
      <c r="J167" s="97" t="s">
        <v>414</v>
      </c>
      <c r="K167" s="318">
        <v>0</v>
      </c>
      <c r="L167" s="319">
        <v>0</v>
      </c>
      <c r="M167" s="319">
        <v>0</v>
      </c>
      <c r="N167" s="319">
        <v>0</v>
      </c>
      <c r="O167" s="319">
        <v>0</v>
      </c>
      <c r="P167" s="319">
        <v>0</v>
      </c>
      <c r="Q167" s="320">
        <v>0</v>
      </c>
      <c r="R167" s="319">
        <v>0</v>
      </c>
      <c r="S167" s="319"/>
      <c r="T167" s="319"/>
      <c r="U167" s="319"/>
      <c r="V167" s="319"/>
      <c r="W167" s="326">
        <f>SUM(tblPiNAnalysis56[[#This Row],[CCCM]:[WASH]])</f>
        <v>0</v>
      </c>
    </row>
    <row r="168" spans="1:23" x14ac:dyDescent="0.55000000000000004">
      <c r="A1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8" s="316" t="s">
        <v>236</v>
      </c>
      <c r="C168" s="218" t="s">
        <v>237</v>
      </c>
      <c r="D168" s="218" t="s">
        <v>248</v>
      </c>
      <c r="E168" s="105" t="s">
        <v>249</v>
      </c>
      <c r="F168" s="100"/>
      <c r="G168" s="34"/>
      <c r="H168" s="34"/>
      <c r="I168" s="97">
        <v>29744.714285714301</v>
      </c>
      <c r="J168" s="97" t="s">
        <v>414</v>
      </c>
      <c r="K168" s="318">
        <v>0</v>
      </c>
      <c r="L168" s="319">
        <v>0</v>
      </c>
      <c r="M168" s="319">
        <v>0</v>
      </c>
      <c r="N168" s="319">
        <v>0</v>
      </c>
      <c r="O168" s="319">
        <v>0</v>
      </c>
      <c r="P168" s="319">
        <v>0</v>
      </c>
      <c r="Q168" s="320">
        <v>0</v>
      </c>
      <c r="R168" s="319">
        <v>0</v>
      </c>
      <c r="S168" s="319"/>
      <c r="T168" s="319"/>
      <c r="U168" s="319"/>
      <c r="V168" s="319"/>
      <c r="W168" s="326">
        <f>SUM(tblPiNAnalysis56[[#This Row],[CCCM]:[WASH]])</f>
        <v>0</v>
      </c>
    </row>
    <row r="169" spans="1:23" x14ac:dyDescent="0.55000000000000004">
      <c r="A1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9" s="316" t="s">
        <v>250</v>
      </c>
      <c r="C169" s="218" t="s">
        <v>251</v>
      </c>
      <c r="D169" s="218" t="s">
        <v>252</v>
      </c>
      <c r="E169" s="105" t="s">
        <v>253</v>
      </c>
      <c r="F169" s="100"/>
      <c r="G169" s="34"/>
      <c r="H169" s="34"/>
      <c r="I169" s="97">
        <v>2130</v>
      </c>
      <c r="J169" s="97" t="s">
        <v>414</v>
      </c>
      <c r="K169" s="318">
        <v>0</v>
      </c>
      <c r="L169" s="319">
        <v>0</v>
      </c>
      <c r="M169" s="319">
        <v>0</v>
      </c>
      <c r="N169" s="319">
        <v>0</v>
      </c>
      <c r="O169" s="319">
        <v>0</v>
      </c>
      <c r="P169" s="319">
        <v>0</v>
      </c>
      <c r="Q169" s="320">
        <v>0</v>
      </c>
      <c r="R169" s="319">
        <v>0</v>
      </c>
      <c r="S169" s="319"/>
      <c r="T169" s="319"/>
      <c r="U169" s="319"/>
      <c r="V169" s="319"/>
      <c r="W169" s="326">
        <f>SUM(tblPiNAnalysis56[[#This Row],[CCCM]:[WASH]])</f>
        <v>0</v>
      </c>
    </row>
    <row r="170" spans="1:23" x14ac:dyDescent="0.55000000000000004">
      <c r="A1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0" s="316" t="s">
        <v>250</v>
      </c>
      <c r="C170" s="218" t="s">
        <v>251</v>
      </c>
      <c r="D170" s="218" t="s">
        <v>254</v>
      </c>
      <c r="E170" s="105" t="s">
        <v>255</v>
      </c>
      <c r="F170" s="100"/>
      <c r="G170" s="34"/>
      <c r="H170" s="34"/>
      <c r="I170" s="97">
        <v>3437.4285714285702</v>
      </c>
      <c r="J170" s="97" t="s">
        <v>414</v>
      </c>
      <c r="K170" s="318">
        <v>0</v>
      </c>
      <c r="L170" s="319">
        <v>0</v>
      </c>
      <c r="M170" s="319">
        <v>0</v>
      </c>
      <c r="N170" s="319">
        <v>0</v>
      </c>
      <c r="O170" s="319">
        <v>0</v>
      </c>
      <c r="P170" s="319">
        <v>0</v>
      </c>
      <c r="Q170" s="320">
        <v>0</v>
      </c>
      <c r="R170" s="319">
        <v>0</v>
      </c>
      <c r="S170" s="319"/>
      <c r="T170" s="319"/>
      <c r="U170" s="319"/>
      <c r="V170" s="319"/>
      <c r="W170" s="326">
        <f>SUM(tblPiNAnalysis56[[#This Row],[CCCM]:[WASH]])</f>
        <v>0</v>
      </c>
    </row>
    <row r="171" spans="1:23" x14ac:dyDescent="0.55000000000000004">
      <c r="A1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1" s="316" t="s">
        <v>250</v>
      </c>
      <c r="C171" s="218" t="s">
        <v>251</v>
      </c>
      <c r="D171" s="218" t="s">
        <v>256</v>
      </c>
      <c r="E171" s="105" t="s">
        <v>257</v>
      </c>
      <c r="F171" s="100"/>
      <c r="G171" s="34"/>
      <c r="H171" s="34"/>
      <c r="I171" s="97">
        <v>3548.7142857142862</v>
      </c>
      <c r="J171" s="97" t="s">
        <v>414</v>
      </c>
      <c r="K171" s="318">
        <v>0</v>
      </c>
      <c r="L171" s="319">
        <v>23032.575200000007</v>
      </c>
      <c r="M171" s="319">
        <v>39116.616324907562</v>
      </c>
      <c r="N171" s="319">
        <v>226016.69198754049</v>
      </c>
      <c r="O171" s="319">
        <v>25101.040237846115</v>
      </c>
      <c r="P171" s="319">
        <v>70889.607048770122</v>
      </c>
      <c r="Q171" s="320">
        <v>0</v>
      </c>
      <c r="R171" s="319">
        <v>54883.860199882431</v>
      </c>
      <c r="S171" s="319"/>
      <c r="T171" s="319"/>
      <c r="U171" s="319"/>
      <c r="V171" s="319"/>
      <c r="W171" s="326">
        <f>SUM(tblPiNAnalysis56[[#This Row],[CCCM]:[WASH]])</f>
        <v>439040.39099894668</v>
      </c>
    </row>
    <row r="172" spans="1:23" x14ac:dyDescent="0.55000000000000004">
      <c r="A1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2" s="316" t="s">
        <v>250</v>
      </c>
      <c r="C172" s="218" t="s">
        <v>251</v>
      </c>
      <c r="D172" s="218" t="s">
        <v>258</v>
      </c>
      <c r="E172" s="105" t="s">
        <v>259</v>
      </c>
      <c r="F172" s="100"/>
      <c r="G172" s="34"/>
      <c r="H172" s="34"/>
      <c r="I172" s="97">
        <v>3</v>
      </c>
      <c r="J172" s="97" t="s">
        <v>414</v>
      </c>
      <c r="K172" s="318">
        <v>0</v>
      </c>
      <c r="L172" s="319">
        <v>10.801500000000001</v>
      </c>
      <c r="M172" s="319">
        <v>24.625551711895117</v>
      </c>
      <c r="N172" s="319">
        <v>95.042383281757779</v>
      </c>
      <c r="O172" s="319">
        <v>9.7345877839353836</v>
      </c>
      <c r="P172" s="319">
        <v>43.412249127194457</v>
      </c>
      <c r="Q172" s="320">
        <v>0</v>
      </c>
      <c r="R172" s="319">
        <v>9.659186937126508</v>
      </c>
      <c r="S172" s="319"/>
      <c r="T172" s="319"/>
      <c r="U172" s="319"/>
      <c r="V172" s="319"/>
      <c r="W172" s="326">
        <f>SUM(tblPiNAnalysis56[[#This Row],[CCCM]:[WASH]])</f>
        <v>193.27545884190926</v>
      </c>
    </row>
    <row r="173" spans="1:23" x14ac:dyDescent="0.55000000000000004">
      <c r="A1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3" s="316" t="s">
        <v>250</v>
      </c>
      <c r="C173" s="218" t="s">
        <v>251</v>
      </c>
      <c r="D173" s="218" t="s">
        <v>260</v>
      </c>
      <c r="E173" s="105" t="s">
        <v>261</v>
      </c>
      <c r="F173" s="100"/>
      <c r="G173" s="34"/>
      <c r="H173" s="34"/>
      <c r="I173" s="97">
        <v>9189.5714285714294</v>
      </c>
      <c r="J173" s="97" t="s">
        <v>414</v>
      </c>
      <c r="K173" s="318">
        <v>0</v>
      </c>
      <c r="L173" s="319">
        <v>21680.90624774286</v>
      </c>
      <c r="M173" s="319">
        <v>99224.582887994664</v>
      </c>
      <c r="N173" s="319">
        <v>37171.853619184054</v>
      </c>
      <c r="O173" s="319">
        <v>52575.017058847137</v>
      </c>
      <c r="P173" s="319">
        <v>93527.715812414637</v>
      </c>
      <c r="Q173" s="320">
        <v>0</v>
      </c>
      <c r="R173" s="319">
        <v>113426.68160273369</v>
      </c>
      <c r="S173" s="319"/>
      <c r="T173" s="319"/>
      <c r="U173" s="319"/>
      <c r="V173" s="319"/>
      <c r="W173" s="326">
        <f>SUM(tblPiNAnalysis56[[#This Row],[CCCM]:[WASH]])</f>
        <v>417606.75722891703</v>
      </c>
    </row>
    <row r="174" spans="1:23" x14ac:dyDescent="0.55000000000000004">
      <c r="A1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4" s="316" t="s">
        <v>250</v>
      </c>
      <c r="C174" s="218" t="s">
        <v>251</v>
      </c>
      <c r="D174" s="218" t="s">
        <v>262</v>
      </c>
      <c r="E174" s="105" t="s">
        <v>263</v>
      </c>
      <c r="F174" s="100"/>
      <c r="G174" s="34"/>
      <c r="H174" s="34"/>
      <c r="I174" s="97">
        <v>5555.8571428571404</v>
      </c>
      <c r="J174" s="97" t="s">
        <v>414</v>
      </c>
      <c r="K174" s="318">
        <v>0</v>
      </c>
      <c r="L174" s="319">
        <v>2821.6531671428561</v>
      </c>
      <c r="M174" s="319">
        <v>42878.466950783404</v>
      </c>
      <c r="N174" s="319">
        <v>170180.59051063578</v>
      </c>
      <c r="O174" s="319">
        <v>20989.902358326231</v>
      </c>
      <c r="P174" s="319">
        <v>83769.192714311139</v>
      </c>
      <c r="Q174" s="320">
        <v>0</v>
      </c>
      <c r="R174" s="319">
        <v>4230.6793978538362</v>
      </c>
      <c r="S174" s="319"/>
      <c r="T174" s="319"/>
      <c r="U174" s="319"/>
      <c r="V174" s="319"/>
      <c r="W174" s="326">
        <f>SUM(tblPiNAnalysis56[[#This Row],[CCCM]:[WASH]])</f>
        <v>324870.48509905324</v>
      </c>
    </row>
    <row r="175" spans="1:23" x14ac:dyDescent="0.55000000000000004">
      <c r="A1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5" s="316" t="s">
        <v>250</v>
      </c>
      <c r="C175" s="218" t="s">
        <v>251</v>
      </c>
      <c r="D175" s="218" t="s">
        <v>264</v>
      </c>
      <c r="E175" s="105" t="s">
        <v>265</v>
      </c>
      <c r="F175" s="100"/>
      <c r="G175" s="34"/>
      <c r="H175" s="34"/>
      <c r="I175" s="97">
        <v>33159.142857142899</v>
      </c>
      <c r="J175" s="97" t="s">
        <v>414</v>
      </c>
      <c r="K175" s="318">
        <v>0</v>
      </c>
      <c r="L175" s="319">
        <v>0</v>
      </c>
      <c r="M175" s="319">
        <v>0</v>
      </c>
      <c r="N175" s="319">
        <v>0</v>
      </c>
      <c r="O175" s="319">
        <v>0</v>
      </c>
      <c r="P175" s="319">
        <v>351632.3970902373</v>
      </c>
      <c r="Q175" s="320">
        <v>0</v>
      </c>
      <c r="R175" s="319">
        <v>0</v>
      </c>
      <c r="S175" s="319"/>
      <c r="T175" s="319"/>
      <c r="U175" s="319"/>
      <c r="V175" s="319"/>
      <c r="W175" s="326">
        <f>SUM(tblPiNAnalysis56[[#This Row],[CCCM]:[WASH]])</f>
        <v>351632.3970902373</v>
      </c>
    </row>
    <row r="176" spans="1:23" x14ac:dyDescent="0.55000000000000004">
      <c r="A1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6" s="316" t="s">
        <v>250</v>
      </c>
      <c r="C176" s="218" t="s">
        <v>251</v>
      </c>
      <c r="D176" s="218" t="s">
        <v>266</v>
      </c>
      <c r="E176" s="105" t="s">
        <v>267</v>
      </c>
      <c r="F176" s="100"/>
      <c r="G176" s="34"/>
      <c r="H176" s="34"/>
      <c r="I176" s="97">
        <v>9209.5714285714294</v>
      </c>
      <c r="J176" s="97" t="s">
        <v>414</v>
      </c>
      <c r="K176" s="318">
        <v>0</v>
      </c>
      <c r="L176" s="319">
        <v>0</v>
      </c>
      <c r="M176" s="319">
        <v>0</v>
      </c>
      <c r="N176" s="319">
        <v>0</v>
      </c>
      <c r="O176" s="319">
        <v>0</v>
      </c>
      <c r="P176" s="319">
        <v>0</v>
      </c>
      <c r="Q176" s="320">
        <v>0</v>
      </c>
      <c r="R176" s="319">
        <v>0</v>
      </c>
      <c r="S176" s="319"/>
      <c r="T176" s="319"/>
      <c r="U176" s="319"/>
      <c r="V176" s="319"/>
      <c r="W176" s="326">
        <f>SUM(tblPiNAnalysis56[[#This Row],[CCCM]:[WASH]])</f>
        <v>0</v>
      </c>
    </row>
    <row r="177" spans="1:23" x14ac:dyDescent="0.55000000000000004">
      <c r="A1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7" s="316" t="s">
        <v>268</v>
      </c>
      <c r="C177" s="218" t="s">
        <v>269</v>
      </c>
      <c r="D177" s="218" t="s">
        <v>270</v>
      </c>
      <c r="E177" s="105" t="s">
        <v>271</v>
      </c>
      <c r="F177" s="100"/>
      <c r="G177" s="34"/>
      <c r="H177" s="34"/>
      <c r="I177" s="97">
        <v>6904.2601395402035</v>
      </c>
      <c r="J177" s="97" t="s">
        <v>414</v>
      </c>
      <c r="K177" s="318">
        <v>140709.19827279309</v>
      </c>
      <c r="L177" s="319">
        <v>51746.159361988153</v>
      </c>
      <c r="M177" s="319">
        <v>131931.05513986244</v>
      </c>
      <c r="N177" s="319">
        <v>528409.10689253407</v>
      </c>
      <c r="O177" s="319">
        <v>86650.780876178236</v>
      </c>
      <c r="P177" s="319">
        <v>137107.45068312209</v>
      </c>
      <c r="Q177" s="320">
        <v>104698.54820443509</v>
      </c>
      <c r="R177" s="319">
        <v>32641.807659715072</v>
      </c>
      <c r="S177" s="319"/>
      <c r="T177" s="319"/>
      <c r="U177" s="319"/>
      <c r="V177" s="319"/>
      <c r="W177" s="326">
        <f>SUM(tblPiNAnalysis56[[#This Row],[CCCM]:[WASH]])</f>
        <v>1213894.1070906282</v>
      </c>
    </row>
    <row r="178" spans="1:23" x14ac:dyDescent="0.55000000000000004">
      <c r="A1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8" s="316" t="s">
        <v>268</v>
      </c>
      <c r="C178" s="218" t="s">
        <v>269</v>
      </c>
      <c r="D178" s="218" t="s">
        <v>272</v>
      </c>
      <c r="E178" s="105" t="s">
        <v>273</v>
      </c>
      <c r="F178" s="100"/>
      <c r="G178" s="34"/>
      <c r="H178" s="34"/>
      <c r="I178" s="97">
        <v>19402.803122498015</v>
      </c>
      <c r="J178" s="97" t="s">
        <v>414</v>
      </c>
      <c r="K178" s="318">
        <v>0</v>
      </c>
      <c r="L178" s="319">
        <v>101606.73672279785</v>
      </c>
      <c r="M178" s="319">
        <v>184905.96695317587</v>
      </c>
      <c r="N178" s="319">
        <v>1310960.3996589603</v>
      </c>
      <c r="O178" s="319">
        <v>204251.14180817304</v>
      </c>
      <c r="P178" s="319">
        <v>315990.91705171706</v>
      </c>
      <c r="Q178" s="320">
        <v>180550.65896751778</v>
      </c>
      <c r="R178" s="319">
        <v>370736.66561158543</v>
      </c>
      <c r="S178" s="319"/>
      <c r="T178" s="319"/>
      <c r="U178" s="319"/>
      <c r="V178" s="319"/>
      <c r="W178" s="326">
        <f>SUM(tblPiNAnalysis56[[#This Row],[CCCM]:[WASH]])</f>
        <v>2669002.4867739277</v>
      </c>
    </row>
    <row r="179" spans="1:23" x14ac:dyDescent="0.55000000000000004">
      <c r="A1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9" s="316" t="s">
        <v>268</v>
      </c>
      <c r="C179" s="218" t="s">
        <v>269</v>
      </c>
      <c r="D179" s="218" t="s">
        <v>274</v>
      </c>
      <c r="E179" s="105" t="s">
        <v>275</v>
      </c>
      <c r="F179" s="100"/>
      <c r="G179" s="34"/>
      <c r="H179" s="34"/>
      <c r="I179" s="97">
        <v>16703</v>
      </c>
      <c r="J179" s="97" t="s">
        <v>414</v>
      </c>
      <c r="K179" s="318">
        <v>0</v>
      </c>
      <c r="L179" s="319">
        <v>0</v>
      </c>
      <c r="M179" s="319">
        <v>0</v>
      </c>
      <c r="N179" s="319">
        <v>0</v>
      </c>
      <c r="O179" s="319">
        <v>0</v>
      </c>
      <c r="P179" s="319">
        <v>0</v>
      </c>
      <c r="Q179" s="320">
        <v>0</v>
      </c>
      <c r="R179" s="319">
        <v>0</v>
      </c>
      <c r="S179" s="319"/>
      <c r="T179" s="319"/>
      <c r="U179" s="319"/>
      <c r="V179" s="319"/>
      <c r="W179" s="326">
        <f>SUM(tblPiNAnalysis56[[#This Row],[CCCM]:[WASH]])</f>
        <v>0</v>
      </c>
    </row>
    <row r="180" spans="1:23" x14ac:dyDescent="0.55000000000000004">
      <c r="A1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0" s="316" t="s">
        <v>268</v>
      </c>
      <c r="C180" s="218" t="s">
        <v>269</v>
      </c>
      <c r="D180" s="218" t="s">
        <v>276</v>
      </c>
      <c r="E180" s="105" t="s">
        <v>277</v>
      </c>
      <c r="F180" s="100"/>
      <c r="G180" s="34"/>
      <c r="H180" s="34"/>
      <c r="I180" s="97">
        <v>1206</v>
      </c>
      <c r="J180" s="97" t="s">
        <v>414</v>
      </c>
      <c r="K180" s="318">
        <v>0</v>
      </c>
      <c r="L180" s="319">
        <v>7457.2238159999997</v>
      </c>
      <c r="M180" s="319">
        <v>18897.041591763289</v>
      </c>
      <c r="N180" s="319">
        <v>97601.49974563437</v>
      </c>
      <c r="O180" s="319">
        <v>20828.869876574547</v>
      </c>
      <c r="P180" s="319">
        <v>27020.954076703045</v>
      </c>
      <c r="Q180" s="320">
        <v>0</v>
      </c>
      <c r="R180" s="319">
        <v>30717.26666666667</v>
      </c>
      <c r="S180" s="319"/>
      <c r="T180" s="319"/>
      <c r="U180" s="319"/>
      <c r="V180" s="319"/>
      <c r="W180" s="326">
        <f>SUM(tblPiNAnalysis56[[#This Row],[CCCM]:[WASH]])</f>
        <v>202522.85577334193</v>
      </c>
    </row>
    <row r="181" spans="1:23" x14ac:dyDescent="0.55000000000000004">
      <c r="A1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1" s="316" t="s">
        <v>268</v>
      </c>
      <c r="C181" s="218" t="s">
        <v>269</v>
      </c>
      <c r="D181" s="218" t="s">
        <v>278</v>
      </c>
      <c r="E181" s="105" t="s">
        <v>279</v>
      </c>
      <c r="F181" s="100"/>
      <c r="G181" s="34"/>
      <c r="H181" s="34"/>
      <c r="I181" s="97">
        <v>9262.1428571428605</v>
      </c>
      <c r="J181" s="97" t="s">
        <v>414</v>
      </c>
      <c r="K181" s="318">
        <v>0</v>
      </c>
      <c r="L181" s="319">
        <v>33721.424471428589</v>
      </c>
      <c r="M181" s="319">
        <v>161061.50476931487</v>
      </c>
      <c r="N181" s="319">
        <v>590024.64473854087</v>
      </c>
      <c r="O181" s="319">
        <v>144440.98008445359</v>
      </c>
      <c r="P181" s="319">
        <v>151657.33954749888</v>
      </c>
      <c r="Q181" s="320">
        <v>140454.28341428578</v>
      </c>
      <c r="R181" s="319">
        <v>31296.895061728399</v>
      </c>
      <c r="S181" s="319"/>
      <c r="T181" s="319"/>
      <c r="U181" s="319"/>
      <c r="V181" s="319"/>
      <c r="W181" s="326">
        <f>SUM(tblPiNAnalysis56[[#This Row],[CCCM]:[WASH]])</f>
        <v>1252657.0720872511</v>
      </c>
    </row>
    <row r="182" spans="1:23" x14ac:dyDescent="0.55000000000000004">
      <c r="A1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2" s="316" t="s">
        <v>268</v>
      </c>
      <c r="C182" s="218" t="s">
        <v>269</v>
      </c>
      <c r="D182" s="218" t="s">
        <v>280</v>
      </c>
      <c r="E182" s="105" t="s">
        <v>281</v>
      </c>
      <c r="F182" s="100"/>
      <c r="G182" s="34"/>
      <c r="H182" s="34"/>
      <c r="I182" s="97">
        <v>33686.173990621071</v>
      </c>
      <c r="J182" s="97" t="s">
        <v>414</v>
      </c>
      <c r="K182" s="318">
        <v>0</v>
      </c>
      <c r="L182" s="319">
        <v>478747.90475470666</v>
      </c>
      <c r="M182" s="319">
        <v>445840.57290091633</v>
      </c>
      <c r="N182" s="319">
        <v>2829922.08417062</v>
      </c>
      <c r="O182" s="319">
        <v>514385.87763178878</v>
      </c>
      <c r="P182" s="319">
        <v>545969.53444879572</v>
      </c>
      <c r="Q182" s="320">
        <v>510828.59569293476</v>
      </c>
      <c r="R182" s="319">
        <v>538640.8824133029</v>
      </c>
      <c r="S182" s="319"/>
      <c r="T182" s="319"/>
      <c r="U182" s="319"/>
      <c r="V182" s="319"/>
      <c r="W182" s="326">
        <f>SUM(tblPiNAnalysis56[[#This Row],[CCCM]:[WASH]])</f>
        <v>5864335.4520130651</v>
      </c>
    </row>
    <row r="183" spans="1:23" x14ac:dyDescent="0.55000000000000004">
      <c r="A1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3" s="316" t="s">
        <v>268</v>
      </c>
      <c r="C183" s="218" t="s">
        <v>269</v>
      </c>
      <c r="D183" s="218" t="s">
        <v>282</v>
      </c>
      <c r="E183" s="105" t="s">
        <v>283</v>
      </c>
      <c r="F183" s="100"/>
      <c r="G183" s="34"/>
      <c r="H183" s="34"/>
      <c r="I183" s="97">
        <v>13146.5714285714</v>
      </c>
      <c r="J183" s="97" t="s">
        <v>414</v>
      </c>
      <c r="K183" s="318">
        <v>0</v>
      </c>
      <c r="L183" s="319">
        <v>86820.370516628391</v>
      </c>
      <c r="M183" s="319">
        <v>225996.50133906654</v>
      </c>
      <c r="N183" s="319">
        <v>916446.54037829349</v>
      </c>
      <c r="O183" s="319">
        <v>217296.9442640614</v>
      </c>
      <c r="P183" s="319">
        <v>188207.50938465726</v>
      </c>
      <c r="Q183" s="320">
        <v>143538.53686354257</v>
      </c>
      <c r="R183" s="319">
        <v>135818.14914756001</v>
      </c>
      <c r="S183" s="319"/>
      <c r="T183" s="319"/>
      <c r="U183" s="319"/>
      <c r="V183" s="319"/>
      <c r="W183" s="326">
        <f>SUM(tblPiNAnalysis56[[#This Row],[CCCM]:[WASH]])</f>
        <v>1914124.5518938093</v>
      </c>
    </row>
    <row r="184" spans="1:23" x14ac:dyDescent="0.55000000000000004">
      <c r="A1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4" s="316" t="s">
        <v>268</v>
      </c>
      <c r="C184" s="218" t="s">
        <v>269</v>
      </c>
      <c r="D184" s="218" t="s">
        <v>284</v>
      </c>
      <c r="E184" s="105" t="s">
        <v>285</v>
      </c>
      <c r="F184" s="100"/>
      <c r="G184" s="34"/>
      <c r="H184" s="34"/>
      <c r="I184" s="97">
        <v>4238</v>
      </c>
      <c r="J184" s="97" t="s">
        <v>414</v>
      </c>
      <c r="K184" s="318">
        <v>0</v>
      </c>
      <c r="L184" s="319">
        <v>46147.802375999992</v>
      </c>
      <c r="M184" s="319">
        <v>93810.680415812152</v>
      </c>
      <c r="N184" s="319">
        <v>324786.97264232812</v>
      </c>
      <c r="O184" s="319">
        <v>60519.464625408713</v>
      </c>
      <c r="P184" s="319">
        <v>74281.420733730323</v>
      </c>
      <c r="Q184" s="320">
        <v>36723.698811428578</v>
      </c>
      <c r="R184" s="319">
        <v>76775.81728395063</v>
      </c>
      <c r="S184" s="319"/>
      <c r="T184" s="319"/>
      <c r="U184" s="319"/>
      <c r="V184" s="319"/>
      <c r="W184" s="326">
        <f>SUM(tblPiNAnalysis56[[#This Row],[CCCM]:[WASH]])</f>
        <v>713045.8568886586</v>
      </c>
    </row>
    <row r="185" spans="1:23" x14ac:dyDescent="0.55000000000000004">
      <c r="A1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5" s="316" t="s">
        <v>268</v>
      </c>
      <c r="C185" s="218" t="s">
        <v>269</v>
      </c>
      <c r="D185" s="218" t="s">
        <v>286</v>
      </c>
      <c r="E185" s="105" t="s">
        <v>287</v>
      </c>
      <c r="F185" s="100"/>
      <c r="G185" s="34"/>
      <c r="H185" s="34"/>
      <c r="I185" s="97">
        <v>2811.1428571428601</v>
      </c>
      <c r="J185" s="97" t="s">
        <v>414</v>
      </c>
      <c r="K185" s="318">
        <v>0</v>
      </c>
      <c r="L185" s="319">
        <v>3429.3525274285753</v>
      </c>
      <c r="M185" s="319">
        <v>19922.235013838312</v>
      </c>
      <c r="N185" s="319">
        <v>18421.969120184163</v>
      </c>
      <c r="O185" s="319">
        <v>20839.014657540487</v>
      </c>
      <c r="P185" s="319">
        <v>24729.467882561959</v>
      </c>
      <c r="Q185" s="320">
        <v>94899.710614576907</v>
      </c>
      <c r="R185" s="319">
        <v>45.712717784698313</v>
      </c>
      <c r="S185" s="319"/>
      <c r="T185" s="319"/>
      <c r="U185" s="319"/>
      <c r="V185" s="319"/>
      <c r="W185" s="326">
        <f>SUM(tblPiNAnalysis56[[#This Row],[CCCM]:[WASH]])</f>
        <v>182287.46253391507</v>
      </c>
    </row>
    <row r="186" spans="1:23" x14ac:dyDescent="0.55000000000000004">
      <c r="A1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6" s="316" t="s">
        <v>268</v>
      </c>
      <c r="C186" s="218" t="s">
        <v>269</v>
      </c>
      <c r="D186" s="218" t="s">
        <v>288</v>
      </c>
      <c r="E186" s="105" t="s">
        <v>289</v>
      </c>
      <c r="F186" s="100"/>
      <c r="G186" s="34"/>
      <c r="H186" s="34"/>
      <c r="I186" s="97">
        <v>5169</v>
      </c>
      <c r="J186" s="97" t="s">
        <v>414</v>
      </c>
      <c r="K186" s="318">
        <v>0</v>
      </c>
      <c r="L186" s="319">
        <v>63837.150000000009</v>
      </c>
      <c r="M186" s="319">
        <v>77322.520460898755</v>
      </c>
      <c r="N186" s="319">
        <v>345714.03231939935</v>
      </c>
      <c r="O186" s="319">
        <v>67558.906203647988</v>
      </c>
      <c r="P186" s="319">
        <v>127864.96631403401</v>
      </c>
      <c r="Q186" s="320">
        <v>78384.473460000008</v>
      </c>
      <c r="R186" s="319">
        <v>47554.8</v>
      </c>
      <c r="S186" s="319"/>
      <c r="T186" s="319"/>
      <c r="U186" s="319"/>
      <c r="V186" s="319"/>
      <c r="W186" s="326">
        <f>SUM(tblPiNAnalysis56[[#This Row],[CCCM]:[WASH]])</f>
        <v>808236.84875798016</v>
      </c>
    </row>
    <row r="187" spans="1:23" x14ac:dyDescent="0.55000000000000004">
      <c r="A1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7" s="316" t="s">
        <v>268</v>
      </c>
      <c r="C187" s="218" t="s">
        <v>269</v>
      </c>
      <c r="D187" s="218" t="s">
        <v>290</v>
      </c>
      <c r="E187" s="105" t="s">
        <v>291</v>
      </c>
      <c r="F187" s="100"/>
      <c r="G187" s="34"/>
      <c r="H187" s="34"/>
      <c r="I187" s="97">
        <v>5651</v>
      </c>
      <c r="J187" s="97" t="s">
        <v>414</v>
      </c>
      <c r="K187" s="318">
        <v>0</v>
      </c>
      <c r="L187" s="319">
        <v>38444.973616000003</v>
      </c>
      <c r="M187" s="319">
        <v>130194.58833653122</v>
      </c>
      <c r="N187" s="319">
        <v>428407.18916018849</v>
      </c>
      <c r="O187" s="319">
        <v>49403.540273702056</v>
      </c>
      <c r="P187" s="319">
        <v>78416.443274736099</v>
      </c>
      <c r="Q187" s="320">
        <v>42846.842669999998</v>
      </c>
      <c r="R187" s="319">
        <v>89657.300925925927</v>
      </c>
      <c r="S187" s="319"/>
      <c r="T187" s="319"/>
      <c r="U187" s="319"/>
      <c r="V187" s="319"/>
      <c r="W187" s="326">
        <f>SUM(tblPiNAnalysis56[[#This Row],[CCCM]:[WASH]])</f>
        <v>857370.87825708382</v>
      </c>
    </row>
    <row r="188" spans="1:23" x14ac:dyDescent="0.55000000000000004">
      <c r="A1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8" s="316" t="s">
        <v>292</v>
      </c>
      <c r="C188" s="218" t="s">
        <v>293</v>
      </c>
      <c r="D188" s="218" t="s">
        <v>294</v>
      </c>
      <c r="E188" s="105" t="s">
        <v>295</v>
      </c>
      <c r="F188" s="100"/>
      <c r="G188" s="34"/>
      <c r="H188" s="34"/>
      <c r="I188" s="97">
        <v>3073.7142857142899</v>
      </c>
      <c r="J188" s="97" t="s">
        <v>414</v>
      </c>
      <c r="K188" s="318">
        <v>0</v>
      </c>
      <c r="L188" s="319">
        <v>11186.366654571444</v>
      </c>
      <c r="M188" s="319">
        <v>33043.596167529031</v>
      </c>
      <c r="N188" s="319">
        <v>89220.321032897744</v>
      </c>
      <c r="O188" s="319">
        <v>13705.663213989337</v>
      </c>
      <c r="P188" s="319">
        <v>7871.0608369280981</v>
      </c>
      <c r="Q188" s="320">
        <v>16646.731604081655</v>
      </c>
      <c r="R188" s="319">
        <v>21208.628571428606</v>
      </c>
      <c r="S188" s="319"/>
      <c r="T188" s="319"/>
      <c r="U188" s="319"/>
      <c r="V188" s="319"/>
      <c r="W188" s="326">
        <f>SUM(tblPiNAnalysis56[[#This Row],[CCCM]:[WASH]])</f>
        <v>192882.36808142596</v>
      </c>
    </row>
    <row r="189" spans="1:23" x14ac:dyDescent="0.55000000000000004">
      <c r="A1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9" s="316" t="s">
        <v>292</v>
      </c>
      <c r="C189" s="218" t="s">
        <v>293</v>
      </c>
      <c r="D189" s="218" t="s">
        <v>296</v>
      </c>
      <c r="E189" s="105" t="s">
        <v>297</v>
      </c>
      <c r="F189" s="100"/>
      <c r="G189" s="34"/>
      <c r="H189" s="34"/>
      <c r="I189" s="97">
        <v>1148</v>
      </c>
      <c r="J189" s="97" t="s">
        <v>414</v>
      </c>
      <c r="K189" s="318">
        <v>0</v>
      </c>
      <c r="L189" s="319">
        <v>0</v>
      </c>
      <c r="M189" s="319">
        <v>0</v>
      </c>
      <c r="N189" s="319">
        <v>0</v>
      </c>
      <c r="O189" s="319">
        <v>0</v>
      </c>
      <c r="P189" s="319">
        <v>0</v>
      </c>
      <c r="Q189" s="320">
        <v>0</v>
      </c>
      <c r="R189" s="319">
        <v>0</v>
      </c>
      <c r="S189" s="319"/>
      <c r="T189" s="319"/>
      <c r="U189" s="319"/>
      <c r="V189" s="319"/>
      <c r="W189" s="326">
        <f>SUM(tblPiNAnalysis56[[#This Row],[CCCM]:[WASH]])</f>
        <v>0</v>
      </c>
    </row>
    <row r="190" spans="1:23" x14ac:dyDescent="0.55000000000000004">
      <c r="A1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0" s="316" t="s">
        <v>292</v>
      </c>
      <c r="C190" s="218" t="s">
        <v>293</v>
      </c>
      <c r="D190" s="218" t="s">
        <v>298</v>
      </c>
      <c r="E190" s="105" t="s">
        <v>299</v>
      </c>
      <c r="F190" s="100"/>
      <c r="G190" s="34"/>
      <c r="H190" s="34"/>
      <c r="I190" s="97">
        <v>2881</v>
      </c>
      <c r="J190" s="97" t="s">
        <v>414</v>
      </c>
      <c r="K190" s="318">
        <v>0</v>
      </c>
      <c r="L190" s="319">
        <v>0</v>
      </c>
      <c r="M190" s="319">
        <v>0</v>
      </c>
      <c r="N190" s="319">
        <v>0</v>
      </c>
      <c r="O190" s="319">
        <v>0</v>
      </c>
      <c r="P190" s="319">
        <v>0</v>
      </c>
      <c r="Q190" s="320">
        <v>0</v>
      </c>
      <c r="R190" s="319">
        <v>0</v>
      </c>
      <c r="S190" s="319"/>
      <c r="T190" s="319"/>
      <c r="U190" s="319"/>
      <c r="V190" s="319"/>
      <c r="W190" s="326">
        <f>SUM(tblPiNAnalysis56[[#This Row],[CCCM]:[WASH]])</f>
        <v>0</v>
      </c>
    </row>
    <row r="191" spans="1:23" x14ac:dyDescent="0.55000000000000004">
      <c r="A1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1" s="316" t="s">
        <v>292</v>
      </c>
      <c r="C191" s="218" t="s">
        <v>293</v>
      </c>
      <c r="D191" s="218" t="s">
        <v>300</v>
      </c>
      <c r="E191" s="105" t="s">
        <v>301</v>
      </c>
      <c r="F191" s="100"/>
      <c r="G191" s="34"/>
      <c r="H191" s="34"/>
      <c r="I191" s="97">
        <v>6622</v>
      </c>
      <c r="J191" s="97" t="s">
        <v>414</v>
      </c>
      <c r="K191" s="318">
        <v>0</v>
      </c>
      <c r="L191" s="319">
        <v>0</v>
      </c>
      <c r="M191" s="319">
        <v>0</v>
      </c>
      <c r="N191" s="319">
        <v>0</v>
      </c>
      <c r="O191" s="319">
        <v>0</v>
      </c>
      <c r="P191" s="319">
        <v>0</v>
      </c>
      <c r="Q191" s="320">
        <v>0</v>
      </c>
      <c r="R191" s="319">
        <v>0</v>
      </c>
      <c r="S191" s="319"/>
      <c r="T191" s="319"/>
      <c r="U191" s="319"/>
      <c r="V191" s="319"/>
      <c r="W191" s="326">
        <f>SUM(tblPiNAnalysis56[[#This Row],[CCCM]:[WASH]])</f>
        <v>0</v>
      </c>
    </row>
    <row r="192" spans="1:23" x14ac:dyDescent="0.55000000000000004">
      <c r="A1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2" s="316" t="s">
        <v>292</v>
      </c>
      <c r="C192" s="218" t="s">
        <v>293</v>
      </c>
      <c r="D192" s="218" t="s">
        <v>302</v>
      </c>
      <c r="E192" s="105" t="s">
        <v>303</v>
      </c>
      <c r="F192" s="100"/>
      <c r="G192" s="34"/>
      <c r="H192" s="34"/>
      <c r="I192" s="97">
        <v>3719.2857142857101</v>
      </c>
      <c r="J192" s="97" t="s">
        <v>414</v>
      </c>
      <c r="K192" s="318">
        <v>0</v>
      </c>
      <c r="L192" s="319">
        <v>9608.1962939285604</v>
      </c>
      <c r="M192" s="319">
        <v>23460.473667732549</v>
      </c>
      <c r="N192" s="319">
        <v>116294.48597952722</v>
      </c>
      <c r="O192" s="319">
        <v>23275.857894374916</v>
      </c>
      <c r="P192" s="319">
        <v>14861.487511143076</v>
      </c>
      <c r="Q192" s="320">
        <v>0</v>
      </c>
      <c r="R192" s="319">
        <v>1188.1051587301574</v>
      </c>
      <c r="S192" s="319"/>
      <c r="T192" s="319"/>
      <c r="U192" s="319"/>
      <c r="V192" s="319"/>
      <c r="W192" s="326">
        <f>SUM(tblPiNAnalysis56[[#This Row],[CCCM]:[WASH]])</f>
        <v>188688.6065054365</v>
      </c>
    </row>
    <row r="193" spans="1:23" x14ac:dyDescent="0.55000000000000004">
      <c r="A1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3" s="316" t="s">
        <v>292</v>
      </c>
      <c r="C193" s="218" t="s">
        <v>293</v>
      </c>
      <c r="D193" s="218" t="s">
        <v>304</v>
      </c>
      <c r="E193" s="105" t="s">
        <v>305</v>
      </c>
      <c r="F193" s="100"/>
      <c r="G193" s="34"/>
      <c r="H193" s="34"/>
      <c r="I193" s="97">
        <v>2968</v>
      </c>
      <c r="J193" s="97" t="s">
        <v>414</v>
      </c>
      <c r="K193" s="318">
        <v>0</v>
      </c>
      <c r="L193" s="319">
        <v>0</v>
      </c>
      <c r="M193" s="319">
        <v>0</v>
      </c>
      <c r="N193" s="319">
        <v>0</v>
      </c>
      <c r="O193" s="319">
        <v>0</v>
      </c>
      <c r="P193" s="319">
        <v>0</v>
      </c>
      <c r="Q193" s="320">
        <v>0</v>
      </c>
      <c r="R193" s="319">
        <v>0</v>
      </c>
      <c r="S193" s="319"/>
      <c r="T193" s="319"/>
      <c r="U193" s="319"/>
      <c r="V193" s="319"/>
      <c r="W193" s="326">
        <f>SUM(tblPiNAnalysis56[[#This Row],[CCCM]:[WASH]])</f>
        <v>0</v>
      </c>
    </row>
    <row r="194" spans="1:23" x14ac:dyDescent="0.55000000000000004">
      <c r="A1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4" s="316" t="s">
        <v>292</v>
      </c>
      <c r="C194" s="218" t="s">
        <v>293</v>
      </c>
      <c r="D194" s="218" t="s">
        <v>306</v>
      </c>
      <c r="E194" s="105" t="s">
        <v>307</v>
      </c>
      <c r="F194" s="100"/>
      <c r="G194" s="34"/>
      <c r="H194" s="34"/>
      <c r="I194" s="97">
        <v>3047.871016813448</v>
      </c>
      <c r="J194" s="97" t="s">
        <v>414</v>
      </c>
      <c r="K194" s="318">
        <v>0</v>
      </c>
      <c r="L194" s="319">
        <v>4825.3131970436307</v>
      </c>
      <c r="M194" s="319">
        <v>21678.338339419304</v>
      </c>
      <c r="N194" s="319">
        <v>100717.3868403455</v>
      </c>
      <c r="O194" s="319">
        <v>10702.168666133703</v>
      </c>
      <c r="P194" s="319">
        <v>25823.300713673445</v>
      </c>
      <c r="Q194" s="320">
        <v>0</v>
      </c>
      <c r="R194" s="319">
        <v>11943.139021439365</v>
      </c>
      <c r="S194" s="319"/>
      <c r="T194" s="319"/>
      <c r="U194" s="319"/>
      <c r="V194" s="319"/>
      <c r="W194" s="326">
        <f>SUM(tblPiNAnalysis56[[#This Row],[CCCM]:[WASH]])</f>
        <v>175689.64677805494</v>
      </c>
    </row>
    <row r="195" spans="1:23" x14ac:dyDescent="0.55000000000000004">
      <c r="A1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5" s="316" t="s">
        <v>292</v>
      </c>
      <c r="C195" s="218" t="s">
        <v>293</v>
      </c>
      <c r="D195" s="218" t="s">
        <v>308</v>
      </c>
      <c r="E195" s="105" t="s">
        <v>309</v>
      </c>
      <c r="F195" s="100"/>
      <c r="G195" s="34"/>
      <c r="H195" s="34"/>
      <c r="I195" s="97">
        <v>5119.8571428571404</v>
      </c>
      <c r="J195" s="97" t="s">
        <v>414</v>
      </c>
      <c r="K195" s="318">
        <v>0</v>
      </c>
      <c r="L195" s="319">
        <v>0</v>
      </c>
      <c r="M195" s="319">
        <v>0</v>
      </c>
      <c r="N195" s="319">
        <v>0</v>
      </c>
      <c r="O195" s="319">
        <v>0</v>
      </c>
      <c r="P195" s="319">
        <v>0</v>
      </c>
      <c r="Q195" s="320">
        <v>0</v>
      </c>
      <c r="R195" s="319">
        <v>0</v>
      </c>
      <c r="S195" s="319"/>
      <c r="T195" s="319"/>
      <c r="U195" s="319"/>
      <c r="V195" s="319"/>
      <c r="W195" s="326">
        <f>SUM(tblPiNAnalysis56[[#This Row],[CCCM]:[WASH]])</f>
        <v>0</v>
      </c>
    </row>
    <row r="196" spans="1:23" x14ac:dyDescent="0.55000000000000004">
      <c r="A1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6" s="316" t="s">
        <v>310</v>
      </c>
      <c r="C196" s="218" t="s">
        <v>311</v>
      </c>
      <c r="D196" s="218" t="s">
        <v>312</v>
      </c>
      <c r="E196" s="105" t="s">
        <v>313</v>
      </c>
      <c r="F196" s="100"/>
      <c r="G196" s="34"/>
      <c r="H196" s="34"/>
      <c r="I196" s="97">
        <v>16513.487018186021</v>
      </c>
      <c r="J196" s="97" t="s">
        <v>414</v>
      </c>
      <c r="K196" s="318">
        <v>0</v>
      </c>
      <c r="L196" s="319">
        <v>0</v>
      </c>
      <c r="M196" s="319">
        <v>0</v>
      </c>
      <c r="N196" s="319">
        <v>0</v>
      </c>
      <c r="O196" s="319">
        <v>0</v>
      </c>
      <c r="P196" s="319">
        <v>0</v>
      </c>
      <c r="Q196" s="320">
        <v>0</v>
      </c>
      <c r="R196" s="319">
        <v>0</v>
      </c>
      <c r="S196" s="319"/>
      <c r="T196" s="319"/>
      <c r="U196" s="319"/>
      <c r="V196" s="319"/>
      <c r="W196" s="326">
        <f>SUM(tblPiNAnalysis56[[#This Row],[CCCM]:[WASH]])</f>
        <v>0</v>
      </c>
    </row>
    <row r="197" spans="1:23" x14ac:dyDescent="0.55000000000000004">
      <c r="A1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7" s="316" t="s">
        <v>310</v>
      </c>
      <c r="C197" s="218" t="s">
        <v>311</v>
      </c>
      <c r="D197" s="218" t="s">
        <v>314</v>
      </c>
      <c r="E197" s="105" t="s">
        <v>315</v>
      </c>
      <c r="F197" s="100"/>
      <c r="G197" s="34"/>
      <c r="H197" s="34"/>
      <c r="I197" s="97">
        <v>84624.371794578474</v>
      </c>
      <c r="J197" s="97" t="s">
        <v>414</v>
      </c>
      <c r="K197" s="318">
        <v>138936.06671866027</v>
      </c>
      <c r="L197" s="319">
        <v>1179321.251058897</v>
      </c>
      <c r="M197" s="319">
        <v>992029.9923199917</v>
      </c>
      <c r="N197" s="319">
        <v>5875815.5501742559</v>
      </c>
      <c r="O197" s="319">
        <v>838108.93300015468</v>
      </c>
      <c r="P197" s="319">
        <v>1430370.5628359099</v>
      </c>
      <c r="Q197" s="320">
        <v>1283272.7461793981</v>
      </c>
      <c r="R197" s="319">
        <v>251104.54025712272</v>
      </c>
      <c r="S197" s="319"/>
      <c r="T197" s="319"/>
      <c r="U197" s="319"/>
      <c r="V197" s="319"/>
      <c r="W197" s="326">
        <f>SUM(tblPiNAnalysis56[[#This Row],[CCCM]:[WASH]])</f>
        <v>11988959.642544389</v>
      </c>
    </row>
    <row r="198" spans="1:23" x14ac:dyDescent="0.55000000000000004">
      <c r="A1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8" s="316" t="s">
        <v>310</v>
      </c>
      <c r="C198" s="218" t="s">
        <v>311</v>
      </c>
      <c r="D198" s="218" t="s">
        <v>316</v>
      </c>
      <c r="E198" s="105" t="s">
        <v>317</v>
      </c>
      <c r="F198" s="100"/>
      <c r="G198" s="34"/>
      <c r="H198" s="34"/>
      <c r="I198" s="97">
        <v>62262.159201647075</v>
      </c>
      <c r="J198" s="97" t="s">
        <v>414</v>
      </c>
      <c r="K198" s="318">
        <v>0</v>
      </c>
      <c r="L198" s="319">
        <v>309474.2241934007</v>
      </c>
      <c r="M198" s="319">
        <v>2152570.0463768197</v>
      </c>
      <c r="N198" s="319">
        <v>3943322.2671041405</v>
      </c>
      <c r="O198" s="319">
        <v>667747.4826114804</v>
      </c>
      <c r="P198" s="319">
        <v>1238192.2137504548</v>
      </c>
      <c r="Q198" s="320">
        <v>738165.01280945283</v>
      </c>
      <c r="R198" s="319">
        <v>69612.552996285958</v>
      </c>
      <c r="S198" s="319"/>
      <c r="T198" s="319"/>
      <c r="U198" s="319"/>
      <c r="V198" s="319"/>
      <c r="W198" s="326">
        <f>SUM(tblPiNAnalysis56[[#This Row],[CCCM]:[WASH]])</f>
        <v>9119083.7998420335</v>
      </c>
    </row>
    <row r="199" spans="1:23" x14ac:dyDescent="0.55000000000000004">
      <c r="A1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9" s="316" t="s">
        <v>310</v>
      </c>
      <c r="C199" s="218" t="s">
        <v>311</v>
      </c>
      <c r="D199" s="218" t="s">
        <v>318</v>
      </c>
      <c r="E199" s="105" t="s">
        <v>319</v>
      </c>
      <c r="F199" s="100"/>
      <c r="G199" s="34"/>
      <c r="H199" s="34"/>
      <c r="I199" s="97">
        <v>8876.9955392885731</v>
      </c>
      <c r="J199" s="97" t="s">
        <v>414</v>
      </c>
      <c r="K199" s="318">
        <v>0</v>
      </c>
      <c r="L199" s="319">
        <v>30770.440600280221</v>
      </c>
      <c r="M199" s="319">
        <v>186493.10780136639</v>
      </c>
      <c r="N199" s="319">
        <v>594503.31031528406</v>
      </c>
      <c r="O199" s="319">
        <v>76337.627867090938</v>
      </c>
      <c r="P199" s="319">
        <v>195325.91428618884</v>
      </c>
      <c r="Q199" s="320">
        <v>94899.710614576907</v>
      </c>
      <c r="R199" s="319">
        <v>57404.082063402791</v>
      </c>
      <c r="S199" s="319"/>
      <c r="T199" s="319"/>
      <c r="U199" s="319"/>
      <c r="V199" s="319"/>
      <c r="W199" s="326">
        <f>SUM(tblPiNAnalysis56[[#This Row],[CCCM]:[WASH]])</f>
        <v>1235734.1935481902</v>
      </c>
    </row>
    <row r="200" spans="1:23" x14ac:dyDescent="0.55000000000000004">
      <c r="A2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0" s="316" t="s">
        <v>310</v>
      </c>
      <c r="C200" s="218" t="s">
        <v>311</v>
      </c>
      <c r="D200" s="218" t="s">
        <v>320</v>
      </c>
      <c r="E200" s="105" t="s">
        <v>321</v>
      </c>
      <c r="F200" s="100"/>
      <c r="G200" s="34"/>
      <c r="H200" s="34"/>
      <c r="I200" s="97">
        <v>46727.292920050364</v>
      </c>
      <c r="J200" s="97" t="s">
        <v>414</v>
      </c>
      <c r="K200" s="318">
        <v>0</v>
      </c>
      <c r="L200" s="319">
        <v>69548.155145516241</v>
      </c>
      <c r="M200" s="319">
        <v>539213.39819828607</v>
      </c>
      <c r="N200" s="319">
        <v>306956.34672861313</v>
      </c>
      <c r="O200" s="319">
        <v>181264.25704192783</v>
      </c>
      <c r="P200" s="319">
        <v>279940.29497010011</v>
      </c>
      <c r="Q200" s="320">
        <v>272627.53661457682</v>
      </c>
      <c r="R200" s="319">
        <v>51289.506520526622</v>
      </c>
      <c r="S200" s="319"/>
      <c r="T200" s="319"/>
      <c r="U200" s="319"/>
      <c r="V200" s="319"/>
      <c r="W200" s="326">
        <f>SUM(tblPiNAnalysis56[[#This Row],[CCCM]:[WASH]])</f>
        <v>1700839.4952195468</v>
      </c>
    </row>
    <row r="201" spans="1:23" x14ac:dyDescent="0.55000000000000004">
      <c r="A2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1" s="316" t="s">
        <v>322</v>
      </c>
      <c r="C201" s="218" t="s">
        <v>323</v>
      </c>
      <c r="D201" s="218" t="s">
        <v>324</v>
      </c>
      <c r="E201" s="105" t="s">
        <v>325</v>
      </c>
      <c r="F201" s="100"/>
      <c r="G201" s="34"/>
      <c r="H201" s="34"/>
      <c r="I201" s="97">
        <v>1708.2679972549467</v>
      </c>
      <c r="J201" s="97" t="s">
        <v>414</v>
      </c>
      <c r="K201" s="318">
        <v>0</v>
      </c>
      <c r="L201" s="319">
        <v>0</v>
      </c>
      <c r="M201" s="319">
        <v>0</v>
      </c>
      <c r="N201" s="319">
        <v>0</v>
      </c>
      <c r="O201" s="319">
        <v>0</v>
      </c>
      <c r="P201" s="319">
        <v>0</v>
      </c>
      <c r="Q201" s="320">
        <v>0</v>
      </c>
      <c r="R201" s="319">
        <v>0</v>
      </c>
      <c r="S201" s="319"/>
      <c r="T201" s="319"/>
      <c r="U201" s="319"/>
      <c r="V201" s="319"/>
      <c r="W201" s="326">
        <f>SUM(tblPiNAnalysis56[[#This Row],[CCCM]:[WASH]])</f>
        <v>0</v>
      </c>
    </row>
    <row r="202" spans="1:23" x14ac:dyDescent="0.55000000000000004">
      <c r="A2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2" s="316" t="s">
        <v>322</v>
      </c>
      <c r="C202" s="218" t="s">
        <v>323</v>
      </c>
      <c r="D202" s="218" t="s">
        <v>326</v>
      </c>
      <c r="E202" s="105" t="s">
        <v>327</v>
      </c>
      <c r="F202" s="100"/>
      <c r="G202" s="34"/>
      <c r="H202" s="34"/>
      <c r="I202" s="97">
        <v>1810</v>
      </c>
      <c r="J202" s="97" t="s">
        <v>414</v>
      </c>
      <c r="K202" s="318">
        <v>20258.537526529017</v>
      </c>
      <c r="L202" s="319">
        <v>3917.4835454999993</v>
      </c>
      <c r="M202" s="319">
        <v>29734.750191143761</v>
      </c>
      <c r="N202" s="319">
        <v>64378.697451916625</v>
      </c>
      <c r="O202" s="319">
        <v>8478.7480303148623</v>
      </c>
      <c r="P202" s="319">
        <v>15787.486901918652</v>
      </c>
      <c r="Q202" s="320">
        <v>61540</v>
      </c>
      <c r="R202" s="319">
        <v>4137.3024691358023</v>
      </c>
      <c r="S202" s="319"/>
      <c r="T202" s="319"/>
      <c r="U202" s="319"/>
      <c r="V202" s="319"/>
      <c r="W202" s="326">
        <f>SUM(tblPiNAnalysis56[[#This Row],[CCCM]:[WASH]])</f>
        <v>208233.00611645874</v>
      </c>
    </row>
    <row r="203" spans="1:23" x14ac:dyDescent="0.55000000000000004">
      <c r="A2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3" s="316" t="s">
        <v>322</v>
      </c>
      <c r="C203" s="218" t="s">
        <v>323</v>
      </c>
      <c r="D203" s="218" t="s">
        <v>328</v>
      </c>
      <c r="E203" s="105" t="s">
        <v>329</v>
      </c>
      <c r="F203" s="100"/>
      <c r="G203" s="34"/>
      <c r="H203" s="34"/>
      <c r="I203" s="97">
        <v>7417</v>
      </c>
      <c r="J203" s="97" t="s">
        <v>414</v>
      </c>
      <c r="K203" s="318">
        <v>0</v>
      </c>
      <c r="L203" s="319">
        <v>25336.842108299999</v>
      </c>
      <c r="M203" s="319">
        <v>96448.3557192507</v>
      </c>
      <c r="N203" s="319">
        <v>55979.462411816123</v>
      </c>
      <c r="O203" s="319">
        <v>34668.680590443131</v>
      </c>
      <c r="P203" s="319">
        <v>61781.915431727059</v>
      </c>
      <c r="Q203" s="320">
        <v>0</v>
      </c>
      <c r="R203" s="319">
        <v>23671.256301440328</v>
      </c>
      <c r="S203" s="319"/>
      <c r="T203" s="319"/>
      <c r="U203" s="319"/>
      <c r="V203" s="319"/>
      <c r="W203" s="326">
        <f>SUM(tblPiNAnalysis56[[#This Row],[CCCM]:[WASH]])</f>
        <v>297886.51256297738</v>
      </c>
    </row>
    <row r="204" spans="1:23" x14ac:dyDescent="0.55000000000000004">
      <c r="A2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4" s="316" t="s">
        <v>322</v>
      </c>
      <c r="C204" s="218" t="s">
        <v>323</v>
      </c>
      <c r="D204" s="218" t="s">
        <v>330</v>
      </c>
      <c r="E204" s="105" t="s">
        <v>331</v>
      </c>
      <c r="F204" s="100"/>
      <c r="G204" s="34"/>
      <c r="H204" s="34"/>
      <c r="I204" s="97">
        <v>5041.023996339929</v>
      </c>
      <c r="J204" s="97" t="s">
        <v>414</v>
      </c>
      <c r="K204" s="318">
        <v>8417.2796765155781</v>
      </c>
      <c r="L204" s="319">
        <v>18685.709836929109</v>
      </c>
      <c r="M204" s="319">
        <v>43493.68919987588</v>
      </c>
      <c r="N204" s="319">
        <v>317040.67268245691</v>
      </c>
      <c r="O204" s="319">
        <v>65554.082968584626</v>
      </c>
      <c r="P204" s="319">
        <v>88605.040658393904</v>
      </c>
      <c r="Q204" s="320">
        <v>69796.514713122015</v>
      </c>
      <c r="R204" s="319">
        <v>15119.182310010267</v>
      </c>
      <c r="S204" s="319"/>
      <c r="T204" s="319"/>
      <c r="U204" s="319"/>
      <c r="V204" s="319"/>
      <c r="W204" s="326">
        <f>SUM(tblPiNAnalysis56[[#This Row],[CCCM]:[WASH]])</f>
        <v>626712.17204588838</v>
      </c>
    </row>
    <row r="205" spans="1:23" x14ac:dyDescent="0.55000000000000004">
      <c r="A2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5" s="316" t="s">
        <v>322</v>
      </c>
      <c r="C205" s="218" t="s">
        <v>323</v>
      </c>
      <c r="D205" s="218" t="s">
        <v>332</v>
      </c>
      <c r="E205" s="105" t="s">
        <v>333</v>
      </c>
      <c r="F205" s="100"/>
      <c r="G205" s="34"/>
      <c r="H205" s="34"/>
      <c r="I205" s="97">
        <v>3069.1428571428601</v>
      </c>
      <c r="J205" s="97" t="s">
        <v>414</v>
      </c>
      <c r="K205" s="318">
        <v>13695.912693991448</v>
      </c>
      <c r="L205" s="319">
        <v>22691.848894857165</v>
      </c>
      <c r="M205" s="319">
        <v>47166.26722024077</v>
      </c>
      <c r="N205" s="319">
        <v>200528.21961967583</v>
      </c>
      <c r="O205" s="319">
        <v>34535.575675087792</v>
      </c>
      <c r="P205" s="319">
        <v>57259.077624171201</v>
      </c>
      <c r="Q205" s="320">
        <v>46541.525794285757</v>
      </c>
      <c r="R205" s="319">
        <v>8148.3848324515075</v>
      </c>
      <c r="S205" s="319"/>
      <c r="T205" s="319"/>
      <c r="U205" s="319"/>
      <c r="V205" s="319"/>
      <c r="W205" s="326">
        <f>SUM(tblPiNAnalysis56[[#This Row],[CCCM]:[WASH]])</f>
        <v>430566.81235476153</v>
      </c>
    </row>
    <row r="206" spans="1:23" x14ac:dyDescent="0.55000000000000004">
      <c r="A2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6" s="316" t="s">
        <v>322</v>
      </c>
      <c r="C206" s="218" t="s">
        <v>323</v>
      </c>
      <c r="D206" s="218" t="s">
        <v>334</v>
      </c>
      <c r="E206" s="105" t="s">
        <v>335</v>
      </c>
      <c r="F206" s="100"/>
      <c r="G206" s="34"/>
      <c r="H206" s="34"/>
      <c r="I206" s="97">
        <v>7050.3021159784967</v>
      </c>
      <c r="J206" s="97" t="s">
        <v>414</v>
      </c>
      <c r="K206" s="318">
        <v>0</v>
      </c>
      <c r="L206" s="319">
        <v>20495.831051980404</v>
      </c>
      <c r="M206" s="319">
        <v>114148.85939461112</v>
      </c>
      <c r="N206" s="319">
        <v>45210.814744810836</v>
      </c>
      <c r="O206" s="319">
        <v>34709.495920289119</v>
      </c>
      <c r="P206" s="319">
        <v>61443.728955898456</v>
      </c>
      <c r="Q206" s="320">
        <v>94899.710614576907</v>
      </c>
      <c r="R206" s="319">
        <v>10935.584346867265</v>
      </c>
      <c r="S206" s="319"/>
      <c r="T206" s="319"/>
      <c r="U206" s="319"/>
      <c r="V206" s="319"/>
      <c r="W206" s="326">
        <f>SUM(tblPiNAnalysis56[[#This Row],[CCCM]:[WASH]])</f>
        <v>381844.02502903412</v>
      </c>
    </row>
    <row r="207" spans="1:23" x14ac:dyDescent="0.55000000000000004">
      <c r="A2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7" s="316" t="s">
        <v>322</v>
      </c>
      <c r="C207" s="218" t="s">
        <v>323</v>
      </c>
      <c r="D207" s="218" t="s">
        <v>336</v>
      </c>
      <c r="E207" s="105" t="s">
        <v>337</v>
      </c>
      <c r="F207" s="100"/>
      <c r="G207" s="34"/>
      <c r="H207" s="34"/>
      <c r="I207" s="97">
        <v>3636</v>
      </c>
      <c r="J207" s="97" t="s">
        <v>414</v>
      </c>
      <c r="K207" s="318">
        <v>65605.867502914392</v>
      </c>
      <c r="L207" s="319">
        <v>26161.834464000007</v>
      </c>
      <c r="M207" s="319">
        <v>55946.2321765179</v>
      </c>
      <c r="N207" s="319">
        <v>232414.80003016122</v>
      </c>
      <c r="O207" s="319">
        <v>54773.539370717794</v>
      </c>
      <c r="P207" s="319">
        <v>54061.715459442355</v>
      </c>
      <c r="Q207" s="320">
        <v>55137.540240000002</v>
      </c>
      <c r="R207" s="319">
        <v>25991.788888888892</v>
      </c>
      <c r="S207" s="319"/>
      <c r="T207" s="319"/>
      <c r="U207" s="319"/>
      <c r="V207" s="319"/>
      <c r="W207" s="326">
        <f>SUM(tblPiNAnalysis56[[#This Row],[CCCM]:[WASH]])</f>
        <v>570093.31813264254</v>
      </c>
    </row>
    <row r="208" spans="1:23" x14ac:dyDescent="0.55000000000000004">
      <c r="A2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8" s="316" t="s">
        <v>322</v>
      </c>
      <c r="C208" s="218" t="s">
        <v>323</v>
      </c>
      <c r="D208" s="218" t="s">
        <v>338</v>
      </c>
      <c r="E208" s="105" t="s">
        <v>339</v>
      </c>
      <c r="F208" s="100"/>
      <c r="G208" s="34"/>
      <c r="H208" s="34"/>
      <c r="I208" s="97">
        <v>3515.9389111289033</v>
      </c>
      <c r="J208" s="97" t="s">
        <v>414</v>
      </c>
      <c r="K208" s="318">
        <v>0</v>
      </c>
      <c r="L208" s="319">
        <v>3579.4965388253804</v>
      </c>
      <c r="M208" s="319">
        <v>53183.23088445155</v>
      </c>
      <c r="N208" s="319">
        <v>41817.617935090064</v>
      </c>
      <c r="O208" s="319">
        <v>57303.429783830317</v>
      </c>
      <c r="P208" s="319">
        <v>24504.527310650625</v>
      </c>
      <c r="Q208" s="320">
        <v>0</v>
      </c>
      <c r="R208" s="319">
        <v>13337.781287409191</v>
      </c>
      <c r="S208" s="319"/>
      <c r="T208" s="319"/>
      <c r="U208" s="319"/>
      <c r="V208" s="319"/>
      <c r="W208" s="326">
        <f>SUM(tblPiNAnalysis56[[#This Row],[CCCM]:[WASH]])</f>
        <v>193726.08374025713</v>
      </c>
    </row>
    <row r="209" spans="1:23" x14ac:dyDescent="0.55000000000000004">
      <c r="A2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9" s="316" t="s">
        <v>322</v>
      </c>
      <c r="C209" s="218" t="s">
        <v>323</v>
      </c>
      <c r="D209" s="218" t="s">
        <v>340</v>
      </c>
      <c r="E209" s="105" t="s">
        <v>341</v>
      </c>
      <c r="F209" s="100"/>
      <c r="G209" s="34"/>
      <c r="H209" s="34"/>
      <c r="I209" s="97">
        <v>13224.062358458195</v>
      </c>
      <c r="J209" s="97" t="s">
        <v>414</v>
      </c>
      <c r="K209" s="318">
        <v>269515.99622818886</v>
      </c>
      <c r="L209" s="319">
        <v>138372.25631607795</v>
      </c>
      <c r="M209" s="319">
        <v>192938.10195345251</v>
      </c>
      <c r="N209" s="319">
        <v>966881.98167171085</v>
      </c>
      <c r="O209" s="319">
        <v>196054.17014484946</v>
      </c>
      <c r="P209" s="319">
        <v>177328.89270778603</v>
      </c>
      <c r="Q209" s="320">
        <v>200534.17778486197</v>
      </c>
      <c r="R209" s="319">
        <v>59845.004423115213</v>
      </c>
      <c r="S209" s="319"/>
      <c r="T209" s="319"/>
      <c r="U209" s="319"/>
      <c r="V209" s="319"/>
      <c r="W209" s="326">
        <f>SUM(tblPiNAnalysis56[[#This Row],[CCCM]:[WASH]])</f>
        <v>2201470.581230043</v>
      </c>
    </row>
    <row r="210" spans="1:23" x14ac:dyDescent="0.55000000000000004">
      <c r="A2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0" s="316" t="s">
        <v>342</v>
      </c>
      <c r="C210" s="218" t="s">
        <v>343</v>
      </c>
      <c r="D210" s="218" t="s">
        <v>344</v>
      </c>
      <c r="E210" s="105" t="s">
        <v>345</v>
      </c>
      <c r="F210" s="100"/>
      <c r="G210" s="34"/>
      <c r="H210" s="34"/>
      <c r="I210" s="97">
        <v>4961</v>
      </c>
      <c r="J210" s="97" t="s">
        <v>414</v>
      </c>
      <c r="K210" s="318">
        <v>0</v>
      </c>
      <c r="L210" s="319">
        <v>15107.078448000002</v>
      </c>
      <c r="M210" s="319">
        <v>107832.61733643098</v>
      </c>
      <c r="N210" s="319">
        <v>348770.12942878407</v>
      </c>
      <c r="O210" s="319">
        <v>57462.293094964218</v>
      </c>
      <c r="P210" s="319">
        <v>37845.889287440361</v>
      </c>
      <c r="Q210" s="320">
        <v>94899.710614576907</v>
      </c>
      <c r="R210" s="319">
        <v>110452.17355967079</v>
      </c>
      <c r="S210" s="319"/>
      <c r="T210" s="319"/>
      <c r="U210" s="319"/>
      <c r="V210" s="319"/>
      <c r="W210" s="326">
        <f>SUM(tblPiNAnalysis56[[#This Row],[CCCM]:[WASH]])</f>
        <v>772369.89176986739</v>
      </c>
    </row>
    <row r="211" spans="1:23" x14ac:dyDescent="0.55000000000000004">
      <c r="A2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1" s="316" t="s">
        <v>342</v>
      </c>
      <c r="C211" s="218" t="s">
        <v>343</v>
      </c>
      <c r="D211" s="218" t="s">
        <v>346</v>
      </c>
      <c r="E211" s="105" t="s">
        <v>347</v>
      </c>
      <c r="F211" s="100"/>
      <c r="G211" s="34"/>
      <c r="H211" s="34"/>
      <c r="I211" s="97">
        <v>14416.589191353083</v>
      </c>
      <c r="J211" s="97" t="s">
        <v>414</v>
      </c>
      <c r="K211" s="318">
        <v>122264.55394531949</v>
      </c>
      <c r="L211" s="319">
        <v>186836.45860023826</v>
      </c>
      <c r="M211" s="319">
        <v>184777.93474769898</v>
      </c>
      <c r="N211" s="319">
        <v>880216.77501345857</v>
      </c>
      <c r="O211" s="319">
        <v>115732.40068586999</v>
      </c>
      <c r="P211" s="319">
        <v>323025.08998803399</v>
      </c>
      <c r="Q211" s="320">
        <v>123566.72964321921</v>
      </c>
      <c r="R211" s="319">
        <v>362230.72737525706</v>
      </c>
      <c r="S211" s="319"/>
      <c r="T211" s="319"/>
      <c r="U211" s="319"/>
      <c r="V211" s="319"/>
      <c r="W211" s="326">
        <f>SUM(tblPiNAnalysis56[[#This Row],[CCCM]:[WASH]])</f>
        <v>2298650.6699990956</v>
      </c>
    </row>
    <row r="212" spans="1:23" x14ac:dyDescent="0.55000000000000004">
      <c r="A2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2" s="316" t="s">
        <v>342</v>
      </c>
      <c r="C212" s="218" t="s">
        <v>343</v>
      </c>
      <c r="D212" s="218" t="s">
        <v>348</v>
      </c>
      <c r="E212" s="105" t="s">
        <v>349</v>
      </c>
      <c r="F212" s="100"/>
      <c r="G212" s="34"/>
      <c r="H212" s="34"/>
      <c r="I212" s="97">
        <v>16232.649182202906</v>
      </c>
      <c r="J212" s="97" t="s">
        <v>414</v>
      </c>
      <c r="K212" s="318">
        <v>0</v>
      </c>
      <c r="L212" s="319">
        <v>212527.20933197855</v>
      </c>
      <c r="M212" s="319">
        <v>189592.58371771692</v>
      </c>
      <c r="N212" s="319">
        <v>1339113.8741933592</v>
      </c>
      <c r="O212" s="319">
        <v>128550.43533639651</v>
      </c>
      <c r="P212" s="319">
        <v>312161.66031618888</v>
      </c>
      <c r="Q212" s="320">
        <v>234051.30910458227</v>
      </c>
      <c r="R212" s="319">
        <v>37671.332068964861</v>
      </c>
      <c r="S212" s="319"/>
      <c r="T212" s="319"/>
      <c r="U212" s="319"/>
      <c r="V212" s="319"/>
      <c r="W212" s="326">
        <f>SUM(tblPiNAnalysis56[[#This Row],[CCCM]:[WASH]])</f>
        <v>2453668.4040691871</v>
      </c>
    </row>
    <row r="213" spans="1:23" x14ac:dyDescent="0.55000000000000004">
      <c r="A2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3" s="316" t="s">
        <v>342</v>
      </c>
      <c r="C213" s="218" t="s">
        <v>343</v>
      </c>
      <c r="D213" s="218" t="s">
        <v>350</v>
      </c>
      <c r="E213" s="105" t="s">
        <v>351</v>
      </c>
      <c r="F213" s="100"/>
      <c r="G213" s="34"/>
      <c r="H213" s="34"/>
      <c r="I213" s="97">
        <v>158050.00862404195</v>
      </c>
      <c r="J213" s="97" t="s">
        <v>414</v>
      </c>
      <c r="K213" s="318">
        <v>0</v>
      </c>
      <c r="L213" s="319">
        <v>1617932.4922329292</v>
      </c>
      <c r="M213" s="319">
        <v>2133580.14623626</v>
      </c>
      <c r="N213" s="319">
        <v>13425802.506251525</v>
      </c>
      <c r="O213" s="319">
        <v>2288126.6974868365</v>
      </c>
      <c r="P213" s="319">
        <v>2703758.7426389582</v>
      </c>
      <c r="Q213" s="320">
        <v>1034949.0292677314</v>
      </c>
      <c r="R213" s="319">
        <v>3271635.1785176676</v>
      </c>
      <c r="S213" s="319"/>
      <c r="T213" s="319"/>
      <c r="U213" s="319"/>
      <c r="V213" s="319"/>
      <c r="W213" s="326">
        <f>SUM(tblPiNAnalysis56[[#This Row],[CCCM]:[WASH]])</f>
        <v>26475784.792631909</v>
      </c>
    </row>
    <row r="214" spans="1:23" x14ac:dyDescent="0.55000000000000004">
      <c r="A2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4" s="316" t="s">
        <v>342</v>
      </c>
      <c r="C214" s="218" t="s">
        <v>343</v>
      </c>
      <c r="D214" s="218" t="s">
        <v>352</v>
      </c>
      <c r="E214" s="105" t="s">
        <v>353</v>
      </c>
      <c r="F214" s="100"/>
      <c r="G214" s="34"/>
      <c r="H214" s="34"/>
      <c r="I214" s="97">
        <v>25766.491604712341</v>
      </c>
      <c r="J214" s="97" t="s">
        <v>414</v>
      </c>
      <c r="K214" s="318">
        <v>0</v>
      </c>
      <c r="L214" s="319">
        <v>337236.1966595563</v>
      </c>
      <c r="M214" s="319">
        <v>278907.19301220268</v>
      </c>
      <c r="N214" s="319">
        <v>1499210.7246353235</v>
      </c>
      <c r="O214" s="319">
        <v>267267.63020356838</v>
      </c>
      <c r="P214" s="319">
        <v>516889.13157851214</v>
      </c>
      <c r="Q214" s="320">
        <v>0</v>
      </c>
      <c r="R214" s="319">
        <v>118525.86138167676</v>
      </c>
      <c r="S214" s="319"/>
      <c r="T214" s="319"/>
      <c r="U214" s="319"/>
      <c r="V214" s="319"/>
      <c r="W214" s="326">
        <f>SUM(tblPiNAnalysis56[[#This Row],[CCCM]:[WASH]])</f>
        <v>3018036.7374708396</v>
      </c>
    </row>
    <row r="215" spans="1:23" x14ac:dyDescent="0.55000000000000004">
      <c r="A2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5" s="316" t="s">
        <v>342</v>
      </c>
      <c r="C215" s="218" t="s">
        <v>343</v>
      </c>
      <c r="D215" s="218" t="s">
        <v>354</v>
      </c>
      <c r="E215" s="105" t="s">
        <v>355</v>
      </c>
      <c r="F215" s="100"/>
      <c r="G215" s="34"/>
      <c r="H215" s="34"/>
      <c r="I215" s="97">
        <v>43189.075569026623</v>
      </c>
      <c r="J215" s="97" t="s">
        <v>414</v>
      </c>
      <c r="K215" s="318">
        <v>0</v>
      </c>
      <c r="L215" s="319">
        <v>0</v>
      </c>
      <c r="M215" s="319">
        <v>0</v>
      </c>
      <c r="N215" s="319">
        <v>0</v>
      </c>
      <c r="O215" s="319">
        <v>0</v>
      </c>
      <c r="P215" s="319">
        <v>0</v>
      </c>
      <c r="Q215" s="320">
        <v>0</v>
      </c>
      <c r="R215" s="319">
        <v>0</v>
      </c>
      <c r="S215" s="319"/>
      <c r="T215" s="319"/>
      <c r="U215" s="319"/>
      <c r="V215" s="319"/>
      <c r="W215" s="326">
        <f>SUM(tblPiNAnalysis56[[#This Row],[CCCM]:[WASH]])</f>
        <v>0</v>
      </c>
    </row>
    <row r="216" spans="1:23" x14ac:dyDescent="0.55000000000000004">
      <c r="A2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6" s="316" t="s">
        <v>342</v>
      </c>
      <c r="C216" s="218" t="s">
        <v>343</v>
      </c>
      <c r="D216" s="218" t="s">
        <v>356</v>
      </c>
      <c r="E216" s="105" t="s">
        <v>357</v>
      </c>
      <c r="F216" s="100"/>
      <c r="G216" s="34"/>
      <c r="H216" s="34"/>
      <c r="I216" s="97">
        <v>12690.76710511266</v>
      </c>
      <c r="J216" s="97" t="s">
        <v>414</v>
      </c>
      <c r="K216" s="318">
        <v>190703.35577035413</v>
      </c>
      <c r="L216" s="319">
        <v>13512.235383519759</v>
      </c>
      <c r="M216" s="319">
        <v>179212.54161597183</v>
      </c>
      <c r="N216" s="319">
        <v>914974.25288898463</v>
      </c>
      <c r="O216" s="319">
        <v>201043.68206794575</v>
      </c>
      <c r="P216" s="319">
        <v>185352.47659667995</v>
      </c>
      <c r="Q216" s="320">
        <v>192447.10724274412</v>
      </c>
      <c r="R216" s="319">
        <v>218897.96487123953</v>
      </c>
      <c r="S216" s="319"/>
      <c r="T216" s="319"/>
      <c r="U216" s="319"/>
      <c r="V216" s="319"/>
      <c r="W216" s="326">
        <f>SUM(tblPiNAnalysis56[[#This Row],[CCCM]:[WASH]])</f>
        <v>2096143.61643744</v>
      </c>
    </row>
    <row r="217" spans="1:23" x14ac:dyDescent="0.55000000000000004">
      <c r="A2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7" s="316" t="s">
        <v>342</v>
      </c>
      <c r="C217" s="218" t="s">
        <v>343</v>
      </c>
      <c r="D217" s="218" t="s">
        <v>358</v>
      </c>
      <c r="E217" s="105" t="s">
        <v>359</v>
      </c>
      <c r="F217" s="100"/>
      <c r="G217" s="34"/>
      <c r="H217" s="34"/>
      <c r="I217" s="97">
        <v>24576.329269129605</v>
      </c>
      <c r="J217" s="97" t="s">
        <v>414</v>
      </c>
      <c r="K217" s="318">
        <v>0</v>
      </c>
      <c r="L217" s="319">
        <v>25114.452574806466</v>
      </c>
      <c r="M217" s="319">
        <v>445426.35102383274</v>
      </c>
      <c r="N217" s="319">
        <v>166141.7345830675</v>
      </c>
      <c r="O217" s="319">
        <v>110516.46632346509</v>
      </c>
      <c r="P217" s="319">
        <v>172412.41503244991</v>
      </c>
      <c r="Q217" s="320">
        <v>94899.710614576907</v>
      </c>
      <c r="R217" s="319">
        <v>224910.07503212462</v>
      </c>
      <c r="S217" s="319"/>
      <c r="T217" s="319"/>
      <c r="U217" s="319"/>
      <c r="V217" s="319"/>
      <c r="W217" s="326">
        <f>SUM(tblPiNAnalysis56[[#This Row],[CCCM]:[WASH]])</f>
        <v>1239421.2051843232</v>
      </c>
    </row>
    <row r="218" spans="1:23" x14ac:dyDescent="0.55000000000000004">
      <c r="A2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8" s="316" t="s">
        <v>342</v>
      </c>
      <c r="C218" s="218" t="s">
        <v>343</v>
      </c>
      <c r="D218" s="218" t="s">
        <v>360</v>
      </c>
      <c r="E218" s="105" t="s">
        <v>361</v>
      </c>
      <c r="F218" s="100"/>
      <c r="G218" s="34"/>
      <c r="H218" s="34"/>
      <c r="I218" s="97">
        <v>1622.427953791605</v>
      </c>
      <c r="J218" s="97" t="s">
        <v>414</v>
      </c>
      <c r="K218" s="318">
        <v>0</v>
      </c>
      <c r="L218" s="319">
        <v>0</v>
      </c>
      <c r="M218" s="319">
        <v>0</v>
      </c>
      <c r="N218" s="319">
        <v>0</v>
      </c>
      <c r="O218" s="319">
        <v>0</v>
      </c>
      <c r="P218" s="319">
        <v>0</v>
      </c>
      <c r="Q218" s="320">
        <v>0</v>
      </c>
      <c r="R218" s="319">
        <v>0</v>
      </c>
      <c r="S218" s="319"/>
      <c r="T218" s="319"/>
      <c r="U218" s="319"/>
      <c r="V218" s="319"/>
      <c r="W218" s="326">
        <f>SUM(tblPiNAnalysis56[[#This Row],[CCCM]:[WASH]])</f>
        <v>0</v>
      </c>
    </row>
    <row r="219" spans="1:23" x14ac:dyDescent="0.55000000000000004">
      <c r="A2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9" s="316" t="s">
        <v>342</v>
      </c>
      <c r="C219" s="218" t="s">
        <v>343</v>
      </c>
      <c r="D219" s="218" t="s">
        <v>362</v>
      </c>
      <c r="E219" s="105" t="s">
        <v>363</v>
      </c>
      <c r="F219" s="100"/>
      <c r="G219" s="34"/>
      <c r="H219" s="34"/>
      <c r="I219" s="97">
        <v>4756.8792176598463</v>
      </c>
      <c r="J219" s="97" t="s">
        <v>414</v>
      </c>
      <c r="K219" s="318">
        <v>0</v>
      </c>
      <c r="L219" s="319">
        <v>14951.101614059033</v>
      </c>
      <c r="M219" s="319">
        <v>77210.693138999894</v>
      </c>
      <c r="N219" s="319">
        <v>366491.99655138596</v>
      </c>
      <c r="O219" s="319">
        <v>67797.571519341975</v>
      </c>
      <c r="P219" s="319">
        <v>82911.315224077436</v>
      </c>
      <c r="Q219" s="320">
        <v>94899.710614576907</v>
      </c>
      <c r="R219" s="319">
        <v>119625.68406129871</v>
      </c>
      <c r="S219" s="319"/>
      <c r="T219" s="319"/>
      <c r="U219" s="319"/>
      <c r="V219" s="319"/>
      <c r="W219" s="326">
        <f>SUM(tblPiNAnalysis56[[#This Row],[CCCM]:[WASH]])</f>
        <v>823888.07272374001</v>
      </c>
    </row>
    <row r="220" spans="1:23" x14ac:dyDescent="0.55000000000000004">
      <c r="A2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0" s="316" t="s">
        <v>342</v>
      </c>
      <c r="C220" s="218" t="s">
        <v>343</v>
      </c>
      <c r="D220" s="218" t="s">
        <v>364</v>
      </c>
      <c r="E220" s="105" t="s">
        <v>365</v>
      </c>
      <c r="F220" s="100"/>
      <c r="G220" s="34"/>
      <c r="H220" s="34"/>
      <c r="I220" s="97">
        <v>235020.19206222118</v>
      </c>
      <c r="J220" s="97" t="s">
        <v>414</v>
      </c>
      <c r="K220" s="318">
        <v>214385.87147038101</v>
      </c>
      <c r="L220" s="319">
        <v>1635670.0306954407</v>
      </c>
      <c r="M220" s="319">
        <v>2133761.5729007274</v>
      </c>
      <c r="N220" s="319">
        <v>3021442.6692928658</v>
      </c>
      <c r="O220" s="319">
        <v>1810935.0599590484</v>
      </c>
      <c r="P220" s="319">
        <v>2417636.8895774959</v>
      </c>
      <c r="Q220" s="320">
        <v>791983.57762151619</v>
      </c>
      <c r="R220" s="319">
        <v>1286856.4467011869</v>
      </c>
      <c r="S220" s="319"/>
      <c r="T220" s="319"/>
      <c r="U220" s="319"/>
      <c r="V220" s="319"/>
      <c r="W220" s="326">
        <f>SUM(tblPiNAnalysis56[[#This Row],[CCCM]:[WASH]])</f>
        <v>13312672.118218664</v>
      </c>
    </row>
    <row r="221" spans="1:23" x14ac:dyDescent="0.55000000000000004">
      <c r="A2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1" s="316" t="s">
        <v>342</v>
      </c>
      <c r="C221" s="218" t="s">
        <v>343</v>
      </c>
      <c r="D221" s="218" t="s">
        <v>366</v>
      </c>
      <c r="E221" s="105" t="s">
        <v>367</v>
      </c>
      <c r="F221" s="100"/>
      <c r="G221" s="34"/>
      <c r="H221" s="34"/>
      <c r="I221" s="97">
        <v>44257.266075717678</v>
      </c>
      <c r="J221" s="97" t="s">
        <v>414</v>
      </c>
      <c r="K221" s="318">
        <v>0</v>
      </c>
      <c r="L221" s="319">
        <v>546341.78737959045</v>
      </c>
      <c r="M221" s="319">
        <v>540944.39494302589</v>
      </c>
      <c r="N221" s="319">
        <v>3591705.0527181434</v>
      </c>
      <c r="O221" s="319">
        <v>668933.54224431154</v>
      </c>
      <c r="P221" s="319">
        <v>738524.66738696629</v>
      </c>
      <c r="Q221" s="320">
        <v>383504.13156722777</v>
      </c>
      <c r="R221" s="319">
        <v>916125.40776735591</v>
      </c>
      <c r="S221" s="319"/>
      <c r="T221" s="319"/>
      <c r="U221" s="319"/>
      <c r="V221" s="319"/>
      <c r="W221" s="326">
        <f>SUM(tblPiNAnalysis56[[#This Row],[CCCM]:[WASH]])</f>
        <v>7386078.9840066209</v>
      </c>
    </row>
    <row r="222" spans="1:23" x14ac:dyDescent="0.55000000000000004">
      <c r="A2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2" s="316" t="s">
        <v>368</v>
      </c>
      <c r="C222" s="218" t="s">
        <v>369</v>
      </c>
      <c r="D222" s="218" t="s">
        <v>370</v>
      </c>
      <c r="E222" s="105" t="s">
        <v>371</v>
      </c>
      <c r="F222" s="100"/>
      <c r="G222" s="34"/>
      <c r="H222" s="34"/>
      <c r="I222" s="97">
        <v>34983.329520759507</v>
      </c>
      <c r="J222" s="97" t="s">
        <v>414</v>
      </c>
      <c r="K222" s="318">
        <v>0</v>
      </c>
      <c r="L222" s="319">
        <v>70427.578401286839</v>
      </c>
      <c r="M222" s="319">
        <v>396475.40720129356</v>
      </c>
      <c r="N222" s="319">
        <v>201329.17098997088</v>
      </c>
      <c r="O222" s="319">
        <v>153489.58598740879</v>
      </c>
      <c r="P222" s="319">
        <v>304239.71410793118</v>
      </c>
      <c r="Q222" s="320">
        <v>186979.19210613013</v>
      </c>
      <c r="R222" s="319">
        <v>26820.552632582287</v>
      </c>
      <c r="S222" s="319"/>
      <c r="T222" s="319"/>
      <c r="U222" s="319"/>
      <c r="V222" s="319"/>
      <c r="W222" s="326">
        <f>SUM(tblPiNAnalysis56[[#This Row],[CCCM]:[WASH]])</f>
        <v>1339761.2014266036</v>
      </c>
    </row>
    <row r="223" spans="1:23" x14ac:dyDescent="0.55000000000000004">
      <c r="A2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3" s="316" t="s">
        <v>368</v>
      </c>
      <c r="C223" s="218" t="s">
        <v>369</v>
      </c>
      <c r="D223" s="218" t="s">
        <v>372</v>
      </c>
      <c r="E223" s="105" t="s">
        <v>373</v>
      </c>
      <c r="F223" s="100"/>
      <c r="G223" s="34"/>
      <c r="H223" s="34"/>
      <c r="I223" s="97">
        <v>98408.747432231496</v>
      </c>
      <c r="J223" s="97" t="s">
        <v>414</v>
      </c>
      <c r="K223" s="318">
        <v>0</v>
      </c>
      <c r="L223" s="319">
        <v>212750.31883354206</v>
      </c>
      <c r="M223" s="319">
        <v>997939.34030243556</v>
      </c>
      <c r="N223" s="319">
        <v>521497.63058354659</v>
      </c>
      <c r="O223" s="319">
        <v>454853.34546282416</v>
      </c>
      <c r="P223" s="319">
        <v>685229.62558945187</v>
      </c>
      <c r="Q223" s="320">
        <v>439696.62737682159</v>
      </c>
      <c r="R223" s="319">
        <v>256175.86206563169</v>
      </c>
      <c r="S223" s="319"/>
      <c r="T223" s="319"/>
      <c r="U223" s="319"/>
      <c r="V223" s="319"/>
      <c r="W223" s="326">
        <f>SUM(tblPiNAnalysis56[[#This Row],[CCCM]:[WASH]])</f>
        <v>3568142.7502142536</v>
      </c>
    </row>
    <row r="224" spans="1:23" x14ac:dyDescent="0.55000000000000004">
      <c r="A2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4" s="316" t="s">
        <v>368</v>
      </c>
      <c r="C224" s="218" t="s">
        <v>369</v>
      </c>
      <c r="D224" s="218" t="s">
        <v>374</v>
      </c>
      <c r="E224" s="105" t="s">
        <v>375</v>
      </c>
      <c r="F224" s="100"/>
      <c r="G224" s="34"/>
      <c r="H224" s="34"/>
      <c r="I224" s="97">
        <v>17868.834713485074</v>
      </c>
      <c r="J224" s="97" t="s">
        <v>414</v>
      </c>
      <c r="K224" s="318">
        <v>0</v>
      </c>
      <c r="L224" s="319">
        <v>222134.69618502332</v>
      </c>
      <c r="M224" s="319">
        <v>258569.80380984821</v>
      </c>
      <c r="N224" s="319">
        <v>1161846.9305229138</v>
      </c>
      <c r="O224" s="319">
        <v>139379.66331809992</v>
      </c>
      <c r="P224" s="319">
        <v>330215.13486554491</v>
      </c>
      <c r="Q224" s="320">
        <v>184751.64886301607</v>
      </c>
      <c r="R224" s="319">
        <v>73951.606380593017</v>
      </c>
      <c r="S224" s="319"/>
      <c r="T224" s="319"/>
      <c r="U224" s="319"/>
      <c r="V224" s="319"/>
      <c r="W224" s="326">
        <f>SUM(tblPiNAnalysis56[[#This Row],[CCCM]:[WASH]])</f>
        <v>2370849.4839450391</v>
      </c>
    </row>
    <row r="225" spans="1:23" x14ac:dyDescent="0.55000000000000004">
      <c r="A2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5" s="316" t="s">
        <v>368</v>
      </c>
      <c r="C225" s="218" t="s">
        <v>369</v>
      </c>
      <c r="D225" s="218" t="s">
        <v>376</v>
      </c>
      <c r="E225" s="105" t="s">
        <v>377</v>
      </c>
      <c r="F225" s="100"/>
      <c r="G225" s="34"/>
      <c r="H225" s="34"/>
      <c r="I225" s="97">
        <v>13129.238762438523</v>
      </c>
      <c r="J225" s="97" t="s">
        <v>414</v>
      </c>
      <c r="K225" s="318">
        <v>0</v>
      </c>
      <c r="L225" s="319">
        <v>33071.068838602485</v>
      </c>
      <c r="M225" s="319">
        <v>144087.31964942109</v>
      </c>
      <c r="N225" s="319">
        <v>369739.06178903853</v>
      </c>
      <c r="O225" s="319">
        <v>69387.296267143742</v>
      </c>
      <c r="P225" s="319">
        <v>119579.57896707694</v>
      </c>
      <c r="Q225" s="320">
        <v>94899.710614576907</v>
      </c>
      <c r="R225" s="319">
        <v>43921.153282833497</v>
      </c>
      <c r="S225" s="319"/>
      <c r="T225" s="319"/>
      <c r="U225" s="319"/>
      <c r="V225" s="319"/>
      <c r="W225" s="326">
        <f>SUM(tblPiNAnalysis56[[#This Row],[CCCM]:[WASH]])</f>
        <v>874685.18940869323</v>
      </c>
    </row>
    <row r="226" spans="1:23" x14ac:dyDescent="0.55000000000000004">
      <c r="A2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6" s="316" t="s">
        <v>368</v>
      </c>
      <c r="C226" s="218" t="s">
        <v>369</v>
      </c>
      <c r="D226" s="218" t="s">
        <v>378</v>
      </c>
      <c r="E226" s="105" t="s">
        <v>379</v>
      </c>
      <c r="F226" s="100"/>
      <c r="G226" s="34"/>
      <c r="H226" s="34"/>
      <c r="I226" s="97">
        <v>8647.438167676999</v>
      </c>
      <c r="J226" s="97" t="s">
        <v>414</v>
      </c>
      <c r="K226" s="318">
        <v>0</v>
      </c>
      <c r="L226" s="319">
        <v>0</v>
      </c>
      <c r="M226" s="319">
        <v>0</v>
      </c>
      <c r="N226" s="319">
        <v>0</v>
      </c>
      <c r="O226" s="319">
        <v>0</v>
      </c>
      <c r="P226" s="319">
        <v>0</v>
      </c>
      <c r="Q226" s="320">
        <v>0</v>
      </c>
      <c r="R226" s="319">
        <v>0</v>
      </c>
      <c r="S226" s="319"/>
      <c r="T226" s="319"/>
      <c r="U226" s="319"/>
      <c r="V226" s="319"/>
      <c r="W226" s="326">
        <f>SUM(tblPiNAnalysis56[[#This Row],[CCCM]:[WASH]])</f>
        <v>0</v>
      </c>
    </row>
    <row r="227" spans="1:23" x14ac:dyDescent="0.55000000000000004">
      <c r="A2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7" s="316" t="s">
        <v>368</v>
      </c>
      <c r="C227" s="218" t="s">
        <v>369</v>
      </c>
      <c r="D227" s="218" t="s">
        <v>380</v>
      </c>
      <c r="E227" s="105" t="s">
        <v>381</v>
      </c>
      <c r="F227" s="100"/>
      <c r="G227" s="34"/>
      <c r="H227" s="34"/>
      <c r="I227" s="97">
        <v>79307.299107857689</v>
      </c>
      <c r="J227" s="97" t="s">
        <v>414</v>
      </c>
      <c r="K227" s="318">
        <v>366059.95222735178</v>
      </c>
      <c r="L227" s="319">
        <v>370085.60791163926</v>
      </c>
      <c r="M227" s="319">
        <v>1156120.7073140384</v>
      </c>
      <c r="N227" s="319">
        <v>4133291.1924975528</v>
      </c>
      <c r="O227" s="319">
        <v>1123270.3295747042</v>
      </c>
      <c r="P227" s="319">
        <v>683395.81375302642</v>
      </c>
      <c r="Q227" s="320">
        <v>684262.31015615992</v>
      </c>
      <c r="R227" s="319">
        <v>280459.81953538558</v>
      </c>
      <c r="S227" s="319"/>
      <c r="T227" s="319"/>
      <c r="U227" s="319"/>
      <c r="V227" s="319"/>
      <c r="W227" s="326">
        <f>SUM(tblPiNAnalysis56[[#This Row],[CCCM]:[WASH]])</f>
        <v>8796945.7329698578</v>
      </c>
    </row>
    <row r="228" spans="1:23" x14ac:dyDescent="0.55000000000000004">
      <c r="A2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8" s="316" t="s">
        <v>382</v>
      </c>
      <c r="C228" s="218" t="s">
        <v>383</v>
      </c>
      <c r="D228" s="218" t="s">
        <v>384</v>
      </c>
      <c r="E228" s="105" t="s">
        <v>385</v>
      </c>
      <c r="F228" s="100"/>
      <c r="G228" s="34"/>
      <c r="H228" s="34"/>
      <c r="I228" s="97">
        <v>20202.24984559073</v>
      </c>
      <c r="J228" s="97" t="s">
        <v>414</v>
      </c>
      <c r="K228" s="318">
        <v>0</v>
      </c>
      <c r="L228" s="319">
        <v>0</v>
      </c>
      <c r="M228" s="319">
        <v>0</v>
      </c>
      <c r="N228" s="319">
        <v>0</v>
      </c>
      <c r="O228" s="319">
        <v>0</v>
      </c>
      <c r="P228" s="319">
        <v>0</v>
      </c>
      <c r="Q228" s="320">
        <v>0</v>
      </c>
      <c r="R228" s="319">
        <v>0</v>
      </c>
      <c r="S228" s="319"/>
      <c r="T228" s="319"/>
      <c r="U228" s="319"/>
      <c r="V228" s="319"/>
      <c r="W228" s="326">
        <f>SUM(tblPiNAnalysis56[[#This Row],[CCCM]:[WASH]])</f>
        <v>0</v>
      </c>
    </row>
    <row r="229" spans="1:23" x14ac:dyDescent="0.55000000000000004">
      <c r="A2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9" s="316" t="s">
        <v>382</v>
      </c>
      <c r="C229" s="218" t="s">
        <v>383</v>
      </c>
      <c r="D229" s="218" t="s">
        <v>386</v>
      </c>
      <c r="E229" s="105" t="s">
        <v>387</v>
      </c>
      <c r="F229" s="100"/>
      <c r="G229" s="34"/>
      <c r="H229" s="34"/>
      <c r="I229" s="97">
        <v>28676.523493080207</v>
      </c>
      <c r="J229" s="97" t="s">
        <v>414</v>
      </c>
      <c r="K229" s="318">
        <v>28787.911726581726</v>
      </c>
      <c r="L229" s="319">
        <v>71704.550117423438</v>
      </c>
      <c r="M229" s="319">
        <v>212128.67594765595</v>
      </c>
      <c r="N229" s="319">
        <v>134533.48156107948</v>
      </c>
      <c r="O229" s="319">
        <v>135595.13046148862</v>
      </c>
      <c r="P229" s="319">
        <v>271488.60194116435</v>
      </c>
      <c r="Q229" s="320">
        <v>94899.710614576907</v>
      </c>
      <c r="R229" s="319">
        <v>15674.729353779339</v>
      </c>
      <c r="S229" s="319"/>
      <c r="T229" s="319"/>
      <c r="U229" s="319"/>
      <c r="V229" s="319"/>
      <c r="W229" s="326">
        <f>SUM(tblPiNAnalysis56[[#This Row],[CCCM]:[WASH]])</f>
        <v>964812.79172374983</v>
      </c>
    </row>
    <row r="230" spans="1:23" x14ac:dyDescent="0.55000000000000004">
      <c r="A2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0" s="316" t="s">
        <v>382</v>
      </c>
      <c r="C230" s="218" t="s">
        <v>383</v>
      </c>
      <c r="D230" s="218" t="s">
        <v>388</v>
      </c>
      <c r="E230" s="105" t="s">
        <v>389</v>
      </c>
      <c r="F230" s="100"/>
      <c r="G230" s="34"/>
      <c r="H230" s="34"/>
      <c r="I230" s="97">
        <v>47646.035148118463</v>
      </c>
      <c r="J230" s="97" t="s">
        <v>414</v>
      </c>
      <c r="K230" s="318">
        <v>0</v>
      </c>
      <c r="L230" s="319">
        <v>0</v>
      </c>
      <c r="M230" s="319">
        <v>0</v>
      </c>
      <c r="N230" s="319">
        <v>0</v>
      </c>
      <c r="O230" s="319">
        <v>0</v>
      </c>
      <c r="P230" s="319">
        <v>0</v>
      </c>
      <c r="Q230" s="320">
        <v>0</v>
      </c>
      <c r="R230" s="319">
        <v>0</v>
      </c>
      <c r="S230" s="319"/>
      <c r="T230" s="319"/>
      <c r="U230" s="319"/>
      <c r="V230" s="319"/>
      <c r="W230" s="326">
        <f>SUM(tblPiNAnalysis56[[#This Row],[CCCM]:[WASH]])</f>
        <v>0</v>
      </c>
    </row>
    <row r="231" spans="1:23" x14ac:dyDescent="0.55000000000000004">
      <c r="A2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1" s="316" t="s">
        <v>390</v>
      </c>
      <c r="C231" s="218" t="s">
        <v>391</v>
      </c>
      <c r="D231" s="218" t="s">
        <v>392</v>
      </c>
      <c r="E231" s="105" t="s">
        <v>393</v>
      </c>
      <c r="F231" s="100"/>
      <c r="G231" s="34"/>
      <c r="H231" s="34"/>
      <c r="I231" s="97">
        <v>3661</v>
      </c>
      <c r="J231" s="97" t="s">
        <v>414</v>
      </c>
      <c r="K231" s="318">
        <v>0</v>
      </c>
      <c r="L231" s="319">
        <v>7650.1162097499982</v>
      </c>
      <c r="M231" s="319">
        <v>36130.167802085831</v>
      </c>
      <c r="N231" s="319">
        <v>3182.3389940503316</v>
      </c>
      <c r="O231" s="319">
        <v>11784.030513478032</v>
      </c>
      <c r="P231" s="319">
        <v>21357.408324603159</v>
      </c>
      <c r="Q231" s="320">
        <v>94899.710614576907</v>
      </c>
      <c r="R231" s="319">
        <v>22176.92181069959</v>
      </c>
      <c r="S231" s="319"/>
      <c r="T231" s="319"/>
      <c r="U231" s="319"/>
      <c r="V231" s="319"/>
      <c r="W231" s="326">
        <f>SUM(tblPiNAnalysis56[[#This Row],[CCCM]:[WASH]])</f>
        <v>197180.69426924386</v>
      </c>
    </row>
    <row r="232" spans="1:23" x14ac:dyDescent="0.55000000000000004">
      <c r="A2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2" s="316" t="s">
        <v>390</v>
      </c>
      <c r="C232" s="218" t="s">
        <v>391</v>
      </c>
      <c r="D232" s="218" t="s">
        <v>394</v>
      </c>
      <c r="E232" s="105" t="s">
        <v>395</v>
      </c>
      <c r="F232" s="100"/>
      <c r="G232" s="34"/>
      <c r="H232" s="34"/>
      <c r="I232" s="97">
        <v>1463.1428571428601</v>
      </c>
      <c r="J232" s="97" t="s">
        <v>414</v>
      </c>
      <c r="K232" s="318">
        <v>0</v>
      </c>
      <c r="L232" s="319">
        <v>0</v>
      </c>
      <c r="M232" s="319">
        <v>0</v>
      </c>
      <c r="N232" s="319">
        <v>0</v>
      </c>
      <c r="O232" s="319">
        <v>0</v>
      </c>
      <c r="P232" s="319">
        <v>0</v>
      </c>
      <c r="Q232" s="320">
        <v>0</v>
      </c>
      <c r="R232" s="319">
        <v>0</v>
      </c>
      <c r="S232" s="319"/>
      <c r="T232" s="319"/>
      <c r="U232" s="319"/>
      <c r="V232" s="319"/>
      <c r="W232" s="326">
        <f>SUM(tblPiNAnalysis56[[#This Row],[CCCM]:[WASH]])</f>
        <v>0</v>
      </c>
    </row>
    <row r="233" spans="1:23" x14ac:dyDescent="0.55000000000000004">
      <c r="A2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3" s="316" t="s">
        <v>390</v>
      </c>
      <c r="C233" s="218" t="s">
        <v>391</v>
      </c>
      <c r="D233" s="218" t="s">
        <v>396</v>
      </c>
      <c r="E233" s="105" t="s">
        <v>397</v>
      </c>
      <c r="F233" s="100"/>
      <c r="G233" s="34"/>
      <c r="H233" s="34"/>
      <c r="I233" s="97">
        <v>688</v>
      </c>
      <c r="J233" s="97" t="s">
        <v>414</v>
      </c>
      <c r="K233" s="318">
        <v>0</v>
      </c>
      <c r="L233" s="319">
        <v>0</v>
      </c>
      <c r="M233" s="319">
        <v>0</v>
      </c>
      <c r="N233" s="319">
        <v>0</v>
      </c>
      <c r="O233" s="319">
        <v>0</v>
      </c>
      <c r="P233" s="319">
        <v>0</v>
      </c>
      <c r="Q233" s="320">
        <v>0</v>
      </c>
      <c r="R233" s="319">
        <v>0</v>
      </c>
      <c r="S233" s="319"/>
      <c r="T233" s="319"/>
      <c r="U233" s="319"/>
      <c r="V233" s="319"/>
      <c r="W233" s="326">
        <f>SUM(tblPiNAnalysis56[[#This Row],[CCCM]:[WASH]])</f>
        <v>0</v>
      </c>
    </row>
    <row r="234" spans="1:23" x14ac:dyDescent="0.55000000000000004">
      <c r="A2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4" s="316" t="s">
        <v>390</v>
      </c>
      <c r="C234" s="218" t="s">
        <v>391</v>
      </c>
      <c r="D234" s="218" t="s">
        <v>398</v>
      </c>
      <c r="E234" s="105" t="s">
        <v>399</v>
      </c>
      <c r="F234" s="100"/>
      <c r="G234" s="34"/>
      <c r="H234" s="34"/>
      <c r="I234" s="97">
        <v>5019</v>
      </c>
      <c r="J234" s="97" t="s">
        <v>414</v>
      </c>
      <c r="K234" s="318">
        <v>0</v>
      </c>
      <c r="L234" s="319">
        <v>0</v>
      </c>
      <c r="M234" s="319">
        <v>0</v>
      </c>
      <c r="N234" s="319">
        <v>0</v>
      </c>
      <c r="O234" s="319">
        <v>0</v>
      </c>
      <c r="P234" s="319">
        <v>0</v>
      </c>
      <c r="Q234" s="320">
        <v>0</v>
      </c>
      <c r="R234" s="319">
        <v>0</v>
      </c>
      <c r="S234" s="319"/>
      <c r="T234" s="319"/>
      <c r="U234" s="319"/>
      <c r="V234" s="319"/>
      <c r="W234" s="326">
        <f>SUM(tblPiNAnalysis56[[#This Row],[CCCM]:[WASH]])</f>
        <v>0</v>
      </c>
    </row>
    <row r="235" spans="1:23" x14ac:dyDescent="0.55000000000000004">
      <c r="A2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5" s="316" t="s">
        <v>390</v>
      </c>
      <c r="C235" s="218" t="s">
        <v>391</v>
      </c>
      <c r="D235" s="218" t="s">
        <v>400</v>
      </c>
      <c r="E235" s="105" t="s">
        <v>401</v>
      </c>
      <c r="F235" s="100"/>
      <c r="G235" s="34"/>
      <c r="H235" s="34"/>
      <c r="I235" s="97">
        <v>2319</v>
      </c>
      <c r="J235" s="97" t="s">
        <v>414</v>
      </c>
      <c r="K235" s="318">
        <v>0</v>
      </c>
      <c r="L235" s="319">
        <v>0</v>
      </c>
      <c r="M235" s="319">
        <v>0</v>
      </c>
      <c r="N235" s="319">
        <v>0</v>
      </c>
      <c r="O235" s="319">
        <v>0</v>
      </c>
      <c r="P235" s="319">
        <v>0</v>
      </c>
      <c r="Q235" s="320">
        <v>0</v>
      </c>
      <c r="R235" s="319">
        <v>0</v>
      </c>
      <c r="S235" s="319"/>
      <c r="T235" s="319"/>
      <c r="U235" s="319"/>
      <c r="V235" s="319"/>
      <c r="W235" s="326">
        <f>SUM(tblPiNAnalysis56[[#This Row],[CCCM]:[WASH]])</f>
        <v>0</v>
      </c>
    </row>
    <row r="236" spans="1:23" x14ac:dyDescent="0.55000000000000004">
      <c r="A2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6" s="316" t="s">
        <v>390</v>
      </c>
      <c r="C236" s="218" t="s">
        <v>391</v>
      </c>
      <c r="D236" s="218" t="s">
        <v>402</v>
      </c>
      <c r="E236" s="105" t="s">
        <v>403</v>
      </c>
      <c r="F236" s="100"/>
      <c r="G236" s="34"/>
      <c r="H236" s="34"/>
      <c r="I236" s="97">
        <v>4934</v>
      </c>
      <c r="J236" s="97" t="s">
        <v>414</v>
      </c>
      <c r="K236" s="318">
        <v>0</v>
      </c>
      <c r="L236" s="319">
        <v>0</v>
      </c>
      <c r="M236" s="319">
        <v>0</v>
      </c>
      <c r="N236" s="319">
        <v>0</v>
      </c>
      <c r="O236" s="319">
        <v>0</v>
      </c>
      <c r="P236" s="319">
        <v>0</v>
      </c>
      <c r="Q236" s="320">
        <v>0</v>
      </c>
      <c r="R236" s="319">
        <v>0</v>
      </c>
      <c r="S236" s="319"/>
      <c r="T236" s="319"/>
      <c r="U236" s="319"/>
      <c r="V236" s="319"/>
      <c r="W236" s="326">
        <f>SUM(tblPiNAnalysis56[[#This Row],[CCCM]:[WASH]])</f>
        <v>0</v>
      </c>
    </row>
    <row r="237" spans="1:23" x14ac:dyDescent="0.55000000000000004">
      <c r="A2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7" s="316" t="s">
        <v>390</v>
      </c>
      <c r="C237" s="218" t="s">
        <v>391</v>
      </c>
      <c r="D237" s="218" t="s">
        <v>404</v>
      </c>
      <c r="E237" s="105" t="s">
        <v>405</v>
      </c>
      <c r="F237" s="100"/>
      <c r="G237" s="34"/>
      <c r="H237" s="34"/>
      <c r="I237" s="97">
        <v>0</v>
      </c>
      <c r="J237" s="97" t="s">
        <v>414</v>
      </c>
      <c r="K237" s="318">
        <v>0</v>
      </c>
      <c r="L237" s="319">
        <v>0</v>
      </c>
      <c r="M237" s="319">
        <v>0</v>
      </c>
      <c r="N237" s="319">
        <v>0</v>
      </c>
      <c r="O237" s="319">
        <v>0</v>
      </c>
      <c r="P237" s="319">
        <v>0</v>
      </c>
      <c r="Q237" s="320">
        <v>0</v>
      </c>
      <c r="R237" s="319">
        <v>0</v>
      </c>
      <c r="S237" s="319"/>
      <c r="T237" s="319"/>
      <c r="U237" s="319"/>
      <c r="V237" s="319"/>
      <c r="W237" s="326">
        <f>SUM(tblPiNAnalysis56[[#This Row],[CCCM]:[WASH]])</f>
        <v>0</v>
      </c>
    </row>
    <row r="238" spans="1:23" x14ac:dyDescent="0.55000000000000004">
      <c r="A2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8" s="316" t="s">
        <v>390</v>
      </c>
      <c r="C238" s="218" t="s">
        <v>391</v>
      </c>
      <c r="D238" s="218" t="s">
        <v>406</v>
      </c>
      <c r="E238" s="105" t="s">
        <v>407</v>
      </c>
      <c r="F238" s="100"/>
      <c r="G238" s="34"/>
      <c r="H238" s="34"/>
      <c r="I238" s="97">
        <v>375</v>
      </c>
      <c r="J238" s="97" t="s">
        <v>414</v>
      </c>
      <c r="K238" s="318">
        <v>0</v>
      </c>
      <c r="L238" s="319">
        <v>0</v>
      </c>
      <c r="M238" s="319">
        <v>0</v>
      </c>
      <c r="N238" s="319">
        <v>0</v>
      </c>
      <c r="O238" s="319">
        <v>0</v>
      </c>
      <c r="P238" s="319">
        <v>0</v>
      </c>
      <c r="Q238" s="320">
        <v>0</v>
      </c>
      <c r="R238" s="319">
        <v>0</v>
      </c>
      <c r="S238" s="319"/>
      <c r="T238" s="319"/>
      <c r="U238" s="319"/>
      <c r="V238" s="319"/>
      <c r="W238" s="326">
        <f>SUM(tblPiNAnalysis56[[#This Row],[CCCM]:[WASH]])</f>
        <v>0</v>
      </c>
    </row>
    <row r="239" spans="1:23" x14ac:dyDescent="0.55000000000000004">
      <c r="A2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9" s="316" t="s">
        <v>390</v>
      </c>
      <c r="C239" s="218" t="s">
        <v>391</v>
      </c>
      <c r="D239" s="218" t="s">
        <v>408</v>
      </c>
      <c r="E239" s="105" t="s">
        <v>409</v>
      </c>
      <c r="F239" s="100"/>
      <c r="G239" s="34"/>
      <c r="H239" s="34"/>
      <c r="I239" s="97">
        <v>2118.1428571428601</v>
      </c>
      <c r="J239" s="97" t="s">
        <v>414</v>
      </c>
      <c r="K239" s="318">
        <v>0</v>
      </c>
      <c r="L239" s="319">
        <v>16208.075742000019</v>
      </c>
      <c r="M239" s="319">
        <v>15269.514209338548</v>
      </c>
      <c r="N239" s="319">
        <v>17781.179146763414</v>
      </c>
      <c r="O239" s="319">
        <v>23496.167252169475</v>
      </c>
      <c r="P239" s="319">
        <v>37824.492335280847</v>
      </c>
      <c r="Q239" s="320">
        <v>32120.238454285758</v>
      </c>
      <c r="R239" s="319">
        <v>31824.115806878352</v>
      </c>
      <c r="S239" s="319"/>
      <c r="T239" s="319"/>
      <c r="U239" s="319"/>
      <c r="V239" s="319"/>
      <c r="W239" s="326">
        <f>SUM(tblPiNAnalysis56[[#This Row],[CCCM]:[WASH]])</f>
        <v>174523.78294671638</v>
      </c>
    </row>
    <row r="240" spans="1:23" x14ac:dyDescent="0.55000000000000004">
      <c r="A2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0" s="316" t="s">
        <v>390</v>
      </c>
      <c r="C240" s="218" t="s">
        <v>391</v>
      </c>
      <c r="D240" s="218" t="s">
        <v>410</v>
      </c>
      <c r="E240" s="105" t="s">
        <v>411</v>
      </c>
      <c r="F240" s="100"/>
      <c r="G240" s="34"/>
      <c r="H240" s="34"/>
      <c r="I240" s="97">
        <v>7750</v>
      </c>
      <c r="J240" s="97" t="s">
        <v>414</v>
      </c>
      <c r="K240" s="318">
        <v>0</v>
      </c>
      <c r="L240" s="319">
        <v>0</v>
      </c>
      <c r="M240" s="319">
        <v>0</v>
      </c>
      <c r="N240" s="319">
        <v>0</v>
      </c>
      <c r="O240" s="319">
        <v>0</v>
      </c>
      <c r="P240" s="319">
        <v>0</v>
      </c>
      <c r="Q240" s="320">
        <v>0</v>
      </c>
      <c r="R240" s="319">
        <v>0</v>
      </c>
      <c r="S240" s="319"/>
      <c r="T240" s="319"/>
      <c r="U240" s="319"/>
      <c r="V240" s="319"/>
      <c r="W240" s="403">
        <f>SUM(tblPiNAnalysis56[[#This Row],[CCCM]:[WASH]])</f>
        <v>0</v>
      </c>
    </row>
  </sheetData>
  <mergeCells count="4">
    <mergeCell ref="B2:G2"/>
    <mergeCell ref="I2:J2"/>
    <mergeCell ref="K2:R2"/>
    <mergeCell ref="S2:V2"/>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3D7A-890A-48F6-A3C8-BD2C2A1D813B}">
  <sheetPr>
    <tabColor theme="9"/>
  </sheetPr>
  <dimension ref="A1:AJ240"/>
  <sheetViews>
    <sheetView workbookViewId="0">
      <selection activeCell="M1" sqref="M1"/>
    </sheetView>
  </sheetViews>
  <sheetFormatPr defaultColWidth="8.578125" defaultRowHeight="14.4" x14ac:dyDescent="0.55000000000000004"/>
  <cols>
    <col min="1" max="1" width="15.15625" style="66" bestFit="1" customWidth="1"/>
    <col min="2" max="2" width="20" style="103" bestFit="1" customWidth="1"/>
    <col min="3" max="3" width="13.83984375" style="103" customWidth="1"/>
    <col min="4" max="4" width="22.68359375" style="103" bestFit="1" customWidth="1"/>
    <col min="5" max="5" width="14.578125" style="103" customWidth="1"/>
    <col min="6" max="8" width="18.26171875" style="20" hidden="1" customWidth="1"/>
    <col min="9" max="9" width="12.15625" style="21" bestFit="1" customWidth="1"/>
    <col min="10" max="10" width="18" style="21" customWidth="1"/>
    <col min="11" max="11" width="12.15625" style="22" bestFit="1" customWidth="1"/>
    <col min="12" max="12" width="13.15625" style="21" bestFit="1" customWidth="1"/>
    <col min="13" max="13" width="12.83984375" style="21" bestFit="1" customWidth="1"/>
    <col min="14" max="14" width="16" style="21" bestFit="1" customWidth="1"/>
    <col min="15" max="15" width="12.83984375" style="21" bestFit="1" customWidth="1"/>
    <col min="16" max="16" width="14.83984375" style="21" bestFit="1" customWidth="1"/>
    <col min="17" max="17" width="12.83984375" style="21" bestFit="1" customWidth="1"/>
    <col min="18" max="18" width="12.15625" style="21" bestFit="1" customWidth="1"/>
    <col min="19" max="19" width="11.68359375" style="21" customWidth="1"/>
    <col min="20" max="20" width="12" style="21" customWidth="1"/>
    <col min="21" max="21" width="14.41796875" style="21" bestFit="1" customWidth="1"/>
    <col min="22" max="22" width="8.68359375" style="21" bestFit="1" customWidth="1"/>
    <col min="23" max="23" width="19.68359375" style="22" bestFit="1" customWidth="1"/>
    <col min="24" max="24" width="12.26171875" style="17" customWidth="1"/>
    <col min="25" max="25" width="25.15625" style="17" customWidth="1"/>
    <col min="26" max="26" width="25.83984375" style="17" customWidth="1"/>
    <col min="27" max="27" width="38.578125" style="17" customWidth="1"/>
    <col min="28" max="28" width="57.26171875" style="17" customWidth="1"/>
    <col min="29" max="29" width="25.41796875" style="17" customWidth="1"/>
    <col min="30" max="30" width="27.26171875" customWidth="1"/>
    <col min="31" max="31" width="22.15625" customWidth="1"/>
    <col min="32" max="32" width="16" style="17" customWidth="1"/>
    <col min="33" max="33" width="11.15625" customWidth="1"/>
    <col min="34" max="34" width="12.578125" style="24" customWidth="1"/>
    <col min="35" max="35" width="20" style="21" bestFit="1" customWidth="1"/>
    <col min="36" max="36" width="46.15625" style="17" customWidth="1"/>
  </cols>
  <sheetData>
    <row r="1" spans="1:36" ht="14.7" thickBot="1" x14ac:dyDescent="0.6">
      <c r="K1" s="21">
        <f>SUM(tblPiNAnalysis5613[CCCM])</f>
        <v>15941507</v>
      </c>
      <c r="L1" s="21">
        <f>SUM(tblPiNAnalysis5613[Education])</f>
        <v>43298147.532406956</v>
      </c>
      <c r="M1" s="21">
        <f>SUM(tblPiNAnalysis5613[Nutrition])</f>
        <v>97150883.488216966</v>
      </c>
      <c r="N1" s="21">
        <f>SUM(tblPiNAnalysis5613[Food Security])</f>
        <v>372452785.91601515</v>
      </c>
      <c r="O1" s="21">
        <f>SUM(tblPiNAnalysis5613[Health])</f>
        <v>98728437.396380484</v>
      </c>
      <c r="P1" s="21">
        <f>SUM(tblPiNAnalysis5613[Overarching Protection])</f>
        <v>69313780.730517179</v>
      </c>
      <c r="Q1" s="21">
        <f>SUM(tblPiNAnalysis5613[Shelter])</f>
        <v>45126217.605972186</v>
      </c>
      <c r="R1" s="21">
        <f>SUM(tblPiNAnalysis5613[WASH])</f>
        <v>78088032.559334204</v>
      </c>
      <c r="S1" s="21">
        <f>SUM(tblPiNAnalysis5613[CP])</f>
        <v>0</v>
      </c>
      <c r="T1" s="21">
        <f>SUM(tblPiNAnalysis5613[GBV])</f>
        <v>0</v>
      </c>
      <c r="U1" s="21">
        <f>SUM(tblPiNAnalysis5613[Mine Action])</f>
        <v>0</v>
      </c>
      <c r="V1" s="21">
        <f>SUM(tblPiNAnalysis5613[HLP])</f>
        <v>0</v>
      </c>
      <c r="W1" s="21">
        <f>SUM(tblPiNAnalysis5613[Total requirements])</f>
        <v>820099792.22884297</v>
      </c>
      <c r="X1"/>
      <c r="Y1"/>
      <c r="Z1"/>
      <c r="AA1"/>
      <c r="AB1"/>
      <c r="AC1"/>
      <c r="AF1"/>
      <c r="AH1"/>
      <c r="AI1"/>
      <c r="AJ1"/>
    </row>
    <row r="2" spans="1:36" ht="15" thickTop="1" thickBot="1" x14ac:dyDescent="0.6">
      <c r="A2" s="130"/>
      <c r="B2" s="784" t="s">
        <v>61</v>
      </c>
      <c r="C2" s="784"/>
      <c r="D2" s="784"/>
      <c r="E2" s="784"/>
      <c r="F2" s="784"/>
      <c r="G2" s="784"/>
      <c r="H2" s="310"/>
      <c r="I2" s="785" t="s">
        <v>62</v>
      </c>
      <c r="J2" s="785"/>
      <c r="K2" s="787" t="s">
        <v>432</v>
      </c>
      <c r="L2" s="787"/>
      <c r="M2" s="787"/>
      <c r="N2" s="787"/>
      <c r="O2" s="787"/>
      <c r="P2" s="787"/>
      <c r="Q2" s="787"/>
      <c r="R2" s="787"/>
      <c r="S2" s="796" t="s">
        <v>64</v>
      </c>
      <c r="T2" s="796"/>
      <c r="U2" s="796"/>
      <c r="V2" s="797"/>
      <c r="W2"/>
      <c r="X2"/>
      <c r="Y2"/>
      <c r="Z2"/>
      <c r="AA2"/>
      <c r="AB2"/>
      <c r="AC2"/>
      <c r="AF2"/>
      <c r="AH2"/>
      <c r="AI2"/>
      <c r="AJ2"/>
    </row>
    <row r="3" spans="1:36" ht="49.8" thickTop="1" thickBot="1" x14ac:dyDescent="0.6">
      <c r="A3" s="49" t="s">
        <v>74</v>
      </c>
      <c r="B3" s="128" t="s">
        <v>75</v>
      </c>
      <c r="C3" s="104" t="s">
        <v>76</v>
      </c>
      <c r="D3" s="104" t="s">
        <v>77</v>
      </c>
      <c r="E3" s="104" t="s">
        <v>78</v>
      </c>
      <c r="F3" s="48" t="s">
        <v>79</v>
      </c>
      <c r="G3" s="48" t="s">
        <v>80</v>
      </c>
      <c r="H3" s="48" t="s">
        <v>228</v>
      </c>
      <c r="I3" s="47" t="s">
        <v>431</v>
      </c>
      <c r="J3" s="49" t="s">
        <v>82</v>
      </c>
      <c r="K3" s="73" t="s">
        <v>83</v>
      </c>
      <c r="L3" s="81" t="s">
        <v>56</v>
      </c>
      <c r="M3" s="81" t="s">
        <v>84</v>
      </c>
      <c r="N3" s="81" t="s">
        <v>85</v>
      </c>
      <c r="O3" s="81" t="s">
        <v>86</v>
      </c>
      <c r="P3" s="81" t="s">
        <v>87</v>
      </c>
      <c r="Q3" s="81" t="s">
        <v>88</v>
      </c>
      <c r="R3" s="116" t="s">
        <v>89</v>
      </c>
      <c r="S3" s="147" t="s">
        <v>90</v>
      </c>
      <c r="T3" s="147" t="s">
        <v>91</v>
      </c>
      <c r="U3" s="147" t="s">
        <v>92</v>
      </c>
      <c r="V3" s="173" t="s">
        <v>93</v>
      </c>
      <c r="W3" s="404" t="s">
        <v>433</v>
      </c>
      <c r="X3" s="559" t="s">
        <v>475</v>
      </c>
      <c r="Y3"/>
      <c r="Z3"/>
      <c r="AA3"/>
      <c r="AB3"/>
      <c r="AC3"/>
      <c r="AF3"/>
      <c r="AH3"/>
      <c r="AI3"/>
      <c r="AJ3"/>
    </row>
    <row r="4" spans="1:36" s="244" customFormat="1" ht="27.9" thickTop="1" x14ac:dyDescent="0.55000000000000004">
      <c r="A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 s="259" t="s">
        <v>233</v>
      </c>
      <c r="C4" s="218" t="s">
        <v>234</v>
      </c>
      <c r="D4" s="260" t="s">
        <v>233</v>
      </c>
      <c r="E4" s="260" t="s">
        <v>235</v>
      </c>
      <c r="F4" s="100"/>
      <c r="G4" s="34"/>
      <c r="H4" s="34"/>
      <c r="I4" s="97">
        <v>122221.68957757292</v>
      </c>
      <c r="J4" s="226" t="s">
        <v>412</v>
      </c>
      <c r="K4" s="261">
        <v>460000</v>
      </c>
      <c r="L4" s="219">
        <v>1560526.5325264507</v>
      </c>
      <c r="M4" s="219">
        <v>1428129.5877911327</v>
      </c>
      <c r="N4" s="219">
        <v>7623542.9431720767</v>
      </c>
      <c r="O4" s="219">
        <v>2359791.6576424632</v>
      </c>
      <c r="P4" s="219">
        <v>2116084.6544472999</v>
      </c>
      <c r="Q4" s="229">
        <v>1810419.4605819227</v>
      </c>
      <c r="R4" s="219">
        <v>541321.37204881827</v>
      </c>
      <c r="S4" s="219"/>
      <c r="T4" s="219"/>
      <c r="U4" s="219"/>
      <c r="V4" s="219"/>
      <c r="W4" s="402">
        <f>SUM(tblPiNAnalysis5613[[#This Row],[CCCM]:[WASH]])</f>
        <v>17899816.208210163</v>
      </c>
      <c r="X4" s="402">
        <v>1</v>
      </c>
      <c r="Y4" s="279"/>
      <c r="Z4" s="279"/>
      <c r="AA4" s="279"/>
      <c r="AB4" s="279"/>
      <c r="AC4" s="279"/>
      <c r="AF4" s="279"/>
      <c r="AH4" s="281"/>
      <c r="AI4" s="282"/>
      <c r="AJ4" s="279"/>
    </row>
    <row r="5" spans="1:36" s="244" customFormat="1" x14ac:dyDescent="0.55000000000000004">
      <c r="A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 s="259" t="s">
        <v>236</v>
      </c>
      <c r="C5" s="218" t="s">
        <v>237</v>
      </c>
      <c r="D5" s="260" t="s">
        <v>238</v>
      </c>
      <c r="E5" s="260" t="s">
        <v>239</v>
      </c>
      <c r="F5" s="100"/>
      <c r="G5" s="34"/>
      <c r="H5" s="34"/>
      <c r="I5" s="97">
        <v>185655.53028576757</v>
      </c>
      <c r="J5" s="226" t="s">
        <v>412</v>
      </c>
      <c r="K5" s="261">
        <v>0</v>
      </c>
      <c r="L5" s="219">
        <v>0</v>
      </c>
      <c r="M5" s="219">
        <v>0</v>
      </c>
      <c r="N5" s="219">
        <v>0</v>
      </c>
      <c r="O5" s="219">
        <v>0</v>
      </c>
      <c r="P5" s="219"/>
      <c r="Q5" s="229">
        <v>0</v>
      </c>
      <c r="R5" s="219">
        <v>0</v>
      </c>
      <c r="S5" s="219"/>
      <c r="T5" s="219"/>
      <c r="U5" s="219"/>
      <c r="V5" s="219"/>
      <c r="W5" s="267">
        <f>SUM(tblPiNAnalysis5613[[#This Row],[CCCM]:[WASH]])</f>
        <v>0</v>
      </c>
      <c r="X5" s="267">
        <v>4</v>
      </c>
      <c r="Y5" s="279"/>
      <c r="Z5" s="279"/>
      <c r="AA5" s="279"/>
      <c r="AB5" s="279"/>
      <c r="AC5" s="279"/>
      <c r="AF5" s="279"/>
      <c r="AH5" s="281"/>
      <c r="AI5" s="282"/>
      <c r="AJ5" s="279"/>
    </row>
    <row r="6" spans="1:36" s="244" customFormat="1" x14ac:dyDescent="0.55000000000000004">
      <c r="A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 s="259" t="s">
        <v>236</v>
      </c>
      <c r="C6" s="218" t="s">
        <v>237</v>
      </c>
      <c r="D6" s="260" t="s">
        <v>240</v>
      </c>
      <c r="E6" s="105" t="s">
        <v>241</v>
      </c>
      <c r="F6" s="100"/>
      <c r="G6" s="34"/>
      <c r="H6" s="34"/>
      <c r="I6" s="97">
        <v>16311.747528959717</v>
      </c>
      <c r="J6" s="226" t="s">
        <v>412</v>
      </c>
      <c r="K6" s="261">
        <v>0</v>
      </c>
      <c r="L6" s="219">
        <v>0</v>
      </c>
      <c r="M6" s="219">
        <v>0</v>
      </c>
      <c r="N6" s="219">
        <v>0</v>
      </c>
      <c r="O6" s="219">
        <v>0</v>
      </c>
      <c r="P6" s="219"/>
      <c r="Q6" s="229">
        <v>0</v>
      </c>
      <c r="R6" s="219">
        <v>0</v>
      </c>
      <c r="S6" s="219"/>
      <c r="T6" s="219"/>
      <c r="U6" s="219"/>
      <c r="V6" s="219"/>
      <c r="W6" s="267">
        <f>SUM(tblPiNAnalysis5613[[#This Row],[CCCM]:[WASH]])</f>
        <v>0</v>
      </c>
      <c r="X6" s="267">
        <v>5</v>
      </c>
      <c r="Y6" s="279"/>
      <c r="Z6" s="279"/>
      <c r="AA6" s="279"/>
      <c r="AB6" s="279"/>
      <c r="AC6" s="279"/>
      <c r="AF6" s="279"/>
      <c r="AH6" s="281"/>
      <c r="AI6" s="282"/>
      <c r="AJ6" s="279"/>
    </row>
    <row r="7" spans="1:36" s="244" customFormat="1" x14ac:dyDescent="0.55000000000000004">
      <c r="A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 s="259" t="s">
        <v>236</v>
      </c>
      <c r="C7" s="218" t="s">
        <v>237</v>
      </c>
      <c r="D7" s="260" t="s">
        <v>242</v>
      </c>
      <c r="E7" s="105" t="s">
        <v>243</v>
      </c>
      <c r="F7" s="100"/>
      <c r="G7" s="34"/>
      <c r="H7" s="34"/>
      <c r="I7" s="97">
        <v>7434.8763775539119</v>
      </c>
      <c r="J7" s="226" t="s">
        <v>412</v>
      </c>
      <c r="K7" s="261">
        <v>0</v>
      </c>
      <c r="L7" s="219">
        <v>0</v>
      </c>
      <c r="M7" s="219">
        <v>0</v>
      </c>
      <c r="N7" s="219">
        <v>0</v>
      </c>
      <c r="O7" s="219">
        <v>0</v>
      </c>
      <c r="P7" s="219"/>
      <c r="Q7" s="229">
        <v>0</v>
      </c>
      <c r="R7" s="219">
        <v>0</v>
      </c>
      <c r="S7" s="219"/>
      <c r="T7" s="219"/>
      <c r="U7" s="219"/>
      <c r="V7" s="219"/>
      <c r="W7" s="267">
        <f>SUM(tblPiNAnalysis5613[[#This Row],[CCCM]:[WASH]])</f>
        <v>0</v>
      </c>
      <c r="X7" s="267">
        <v>5</v>
      </c>
      <c r="Y7" s="279"/>
      <c r="Z7" s="279"/>
      <c r="AA7" s="279"/>
      <c r="AB7" s="279"/>
      <c r="AC7" s="279"/>
      <c r="AF7" s="279"/>
      <c r="AH7" s="281"/>
      <c r="AI7" s="282"/>
      <c r="AJ7" s="279"/>
    </row>
    <row r="8" spans="1:36" x14ac:dyDescent="0.55000000000000004">
      <c r="A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 s="316" t="s">
        <v>236</v>
      </c>
      <c r="C8" s="218" t="s">
        <v>237</v>
      </c>
      <c r="D8" s="218" t="s">
        <v>244</v>
      </c>
      <c r="E8" s="105" t="s">
        <v>245</v>
      </c>
      <c r="F8" s="100"/>
      <c r="G8" s="34"/>
      <c r="H8" s="34"/>
      <c r="I8" s="97">
        <v>10995.852324765609</v>
      </c>
      <c r="J8" s="97" t="s">
        <v>412</v>
      </c>
      <c r="K8" s="261">
        <v>0</v>
      </c>
      <c r="L8" s="319">
        <v>0</v>
      </c>
      <c r="M8" s="319">
        <v>0</v>
      </c>
      <c r="N8" s="319">
        <v>0</v>
      </c>
      <c r="O8" s="319">
        <v>0</v>
      </c>
      <c r="P8" s="319"/>
      <c r="Q8" s="320">
        <v>0</v>
      </c>
      <c r="R8" s="319">
        <v>0</v>
      </c>
      <c r="S8" s="319"/>
      <c r="T8" s="319"/>
      <c r="U8" s="319"/>
      <c r="V8" s="319"/>
      <c r="W8" s="326">
        <f>SUM(tblPiNAnalysis5613[[#This Row],[CCCM]:[WASH]])</f>
        <v>0</v>
      </c>
      <c r="X8" s="326">
        <v>5</v>
      </c>
    </row>
    <row r="9" spans="1:36" x14ac:dyDescent="0.55000000000000004">
      <c r="A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 s="316" t="s">
        <v>236</v>
      </c>
      <c r="C9" s="218" t="s">
        <v>237</v>
      </c>
      <c r="D9" s="218" t="s">
        <v>246</v>
      </c>
      <c r="E9" s="105" t="s">
        <v>247</v>
      </c>
      <c r="F9" s="100"/>
      <c r="G9" s="34"/>
      <c r="H9" s="34"/>
      <c r="I9" s="97">
        <v>13333.613326350463</v>
      </c>
      <c r="J9" s="97" t="s">
        <v>412</v>
      </c>
      <c r="K9" s="261">
        <v>0</v>
      </c>
      <c r="L9" s="319">
        <v>0</v>
      </c>
      <c r="M9" s="319">
        <v>0</v>
      </c>
      <c r="N9" s="319">
        <v>0</v>
      </c>
      <c r="O9" s="319">
        <v>0</v>
      </c>
      <c r="P9" s="319"/>
      <c r="Q9" s="320">
        <v>0</v>
      </c>
      <c r="R9" s="319">
        <v>0</v>
      </c>
      <c r="S9" s="319"/>
      <c r="T9" s="319"/>
      <c r="U9" s="319"/>
      <c r="V9" s="319"/>
      <c r="W9" s="326">
        <f>SUM(tblPiNAnalysis5613[[#This Row],[CCCM]:[WASH]])</f>
        <v>0</v>
      </c>
      <c r="X9" s="326">
        <v>4</v>
      </c>
    </row>
    <row r="10" spans="1:36" x14ac:dyDescent="0.55000000000000004">
      <c r="A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 s="316" t="s">
        <v>236</v>
      </c>
      <c r="C10" s="218" t="s">
        <v>237</v>
      </c>
      <c r="D10" s="218" t="s">
        <v>248</v>
      </c>
      <c r="E10" s="105" t="s">
        <v>249</v>
      </c>
      <c r="F10" s="100"/>
      <c r="G10" s="34"/>
      <c r="H10" s="34"/>
      <c r="I10" s="97">
        <v>38535.006634969555</v>
      </c>
      <c r="J10" s="97" t="s">
        <v>412</v>
      </c>
      <c r="K10" s="261">
        <v>0</v>
      </c>
      <c r="L10" s="319">
        <v>0</v>
      </c>
      <c r="M10" s="319">
        <v>0</v>
      </c>
      <c r="N10" s="319">
        <v>0</v>
      </c>
      <c r="O10" s="319">
        <v>0</v>
      </c>
      <c r="P10" s="319"/>
      <c r="Q10" s="320">
        <v>0</v>
      </c>
      <c r="R10" s="319">
        <v>0</v>
      </c>
      <c r="S10" s="319"/>
      <c r="T10" s="319"/>
      <c r="U10" s="319"/>
      <c r="V10" s="319"/>
      <c r="W10" s="326">
        <f>SUM(tblPiNAnalysis5613[[#This Row],[CCCM]:[WASH]])</f>
        <v>0</v>
      </c>
      <c r="X10" s="326">
        <v>5</v>
      </c>
    </row>
    <row r="11" spans="1:36" x14ac:dyDescent="0.55000000000000004">
      <c r="A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 s="316" t="s">
        <v>250</v>
      </c>
      <c r="C11" s="218" t="s">
        <v>251</v>
      </c>
      <c r="D11" s="218" t="s">
        <v>252</v>
      </c>
      <c r="E11" s="105" t="s">
        <v>253</v>
      </c>
      <c r="F11" s="100"/>
      <c r="G11" s="34"/>
      <c r="H11" s="34"/>
      <c r="I11" s="97">
        <v>4566.5835894145539</v>
      </c>
      <c r="J11" s="97" t="s">
        <v>412</v>
      </c>
      <c r="K11" s="261">
        <v>0</v>
      </c>
      <c r="L11" s="319">
        <v>0</v>
      </c>
      <c r="M11" s="319">
        <v>0</v>
      </c>
      <c r="N11" s="319">
        <v>0</v>
      </c>
      <c r="O11" s="319">
        <v>0</v>
      </c>
      <c r="P11" s="319"/>
      <c r="Q11" s="320">
        <v>0</v>
      </c>
      <c r="R11" s="319">
        <v>0</v>
      </c>
      <c r="S11" s="319"/>
      <c r="T11" s="319"/>
      <c r="U11" s="319"/>
      <c r="V11" s="319"/>
      <c r="W11" s="326">
        <f>SUM(tblPiNAnalysis5613[[#This Row],[CCCM]:[WASH]])</f>
        <v>0</v>
      </c>
      <c r="X11" s="326">
        <v>4</v>
      </c>
    </row>
    <row r="12" spans="1:36" x14ac:dyDescent="0.55000000000000004">
      <c r="A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 s="316" t="s">
        <v>250</v>
      </c>
      <c r="C12" s="218" t="s">
        <v>251</v>
      </c>
      <c r="D12" s="218" t="s">
        <v>254</v>
      </c>
      <c r="E12" s="105" t="s">
        <v>255</v>
      </c>
      <c r="F12" s="100"/>
      <c r="G12" s="34"/>
      <c r="H12" s="34"/>
      <c r="I12" s="97">
        <v>6185.6711628854973</v>
      </c>
      <c r="J12" s="97" t="s">
        <v>412</v>
      </c>
      <c r="K12" s="261">
        <v>0</v>
      </c>
      <c r="L12" s="319">
        <v>0</v>
      </c>
      <c r="M12" s="319">
        <v>0</v>
      </c>
      <c r="N12" s="319">
        <v>0</v>
      </c>
      <c r="O12" s="319">
        <v>0</v>
      </c>
      <c r="P12" s="319"/>
      <c r="Q12" s="320">
        <v>0</v>
      </c>
      <c r="R12" s="319">
        <v>0</v>
      </c>
      <c r="S12" s="319"/>
      <c r="T12" s="319"/>
      <c r="U12" s="319"/>
      <c r="V12" s="319"/>
      <c r="W12" s="326">
        <f>SUM(tblPiNAnalysis5613[[#This Row],[CCCM]:[WASH]])</f>
        <v>0</v>
      </c>
      <c r="X12" s="326">
        <v>4</v>
      </c>
    </row>
    <row r="13" spans="1:36" x14ac:dyDescent="0.55000000000000004">
      <c r="A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 s="316" t="s">
        <v>250</v>
      </c>
      <c r="C13" s="218" t="s">
        <v>251</v>
      </c>
      <c r="D13" s="218" t="s">
        <v>256</v>
      </c>
      <c r="E13" s="105" t="s">
        <v>257</v>
      </c>
      <c r="F13" s="100"/>
      <c r="G13" s="34"/>
      <c r="H13" s="34"/>
      <c r="I13" s="97">
        <v>2159.7729564411493</v>
      </c>
      <c r="J13" s="97" t="s">
        <v>412</v>
      </c>
      <c r="K13" s="261">
        <v>0</v>
      </c>
      <c r="L13" s="319">
        <v>22133.353257608902</v>
      </c>
      <c r="M13" s="319">
        <v>25881.745623725972</v>
      </c>
      <c r="N13" s="319">
        <v>157638.95873173693</v>
      </c>
      <c r="O13" s="319">
        <v>23105.60146249719</v>
      </c>
      <c r="P13" s="319">
        <v>60586.762909093944</v>
      </c>
      <c r="Q13" s="320">
        <v>0</v>
      </c>
      <c r="R13" s="319">
        <v>49619.968945068023</v>
      </c>
      <c r="S13" s="319"/>
      <c r="T13" s="319"/>
      <c r="U13" s="319"/>
      <c r="V13" s="319"/>
      <c r="W13" s="326">
        <f>SUM(tblPiNAnalysis5613[[#This Row],[CCCM]:[WASH]])</f>
        <v>338966.39092973096</v>
      </c>
      <c r="X13" s="326">
        <v>2</v>
      </c>
    </row>
    <row r="14" spans="1:36" x14ac:dyDescent="0.55000000000000004">
      <c r="A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 s="316" t="s">
        <v>250</v>
      </c>
      <c r="C14" s="218" t="s">
        <v>251</v>
      </c>
      <c r="D14" s="218" t="s">
        <v>258</v>
      </c>
      <c r="E14" s="105" t="s">
        <v>259</v>
      </c>
      <c r="F14" s="100"/>
      <c r="G14" s="34"/>
      <c r="H14" s="34"/>
      <c r="I14" s="97">
        <v>8023.4115031633137</v>
      </c>
      <c r="J14" s="97" t="s">
        <v>412</v>
      </c>
      <c r="K14" s="261"/>
      <c r="L14" s="319"/>
      <c r="M14" s="319"/>
      <c r="N14" s="319"/>
      <c r="O14" s="319"/>
      <c r="P14" s="319"/>
      <c r="Q14" s="320"/>
      <c r="R14" s="319"/>
      <c r="S14" s="319"/>
      <c r="T14" s="319"/>
      <c r="U14" s="319"/>
      <c r="V14" s="319"/>
      <c r="W14" s="326">
        <f>SUM(tblPiNAnalysis5613[[#This Row],[CCCM]:[WASH]])</f>
        <v>0</v>
      </c>
      <c r="X14" s="326">
        <v>3</v>
      </c>
    </row>
    <row r="15" spans="1:36" x14ac:dyDescent="0.55000000000000004">
      <c r="A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 s="316" t="s">
        <v>250</v>
      </c>
      <c r="C15" s="218" t="s">
        <v>251</v>
      </c>
      <c r="D15" s="218" t="s">
        <v>260</v>
      </c>
      <c r="E15" s="105" t="s">
        <v>261</v>
      </c>
      <c r="F15" s="100"/>
      <c r="G15" s="34"/>
      <c r="H15" s="34"/>
      <c r="I15" s="97">
        <v>4829.7886557975189</v>
      </c>
      <c r="J15" s="97" t="s">
        <v>412</v>
      </c>
      <c r="K15" s="261"/>
      <c r="L15" s="319"/>
      <c r="M15" s="319"/>
      <c r="N15" s="319"/>
      <c r="O15" s="319"/>
      <c r="P15" s="319"/>
      <c r="Q15" s="320"/>
      <c r="R15" s="319"/>
      <c r="S15" s="319"/>
      <c r="T15" s="319"/>
      <c r="U15" s="319"/>
      <c r="V15" s="319"/>
      <c r="W15" s="326">
        <f>SUM(tblPiNAnalysis5613[[#This Row],[CCCM]:[WASH]])</f>
        <v>0</v>
      </c>
      <c r="X15" s="326">
        <v>3</v>
      </c>
    </row>
    <row r="16" spans="1:36" x14ac:dyDescent="0.55000000000000004">
      <c r="A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 s="316" t="s">
        <v>250</v>
      </c>
      <c r="C16" s="218" t="s">
        <v>251</v>
      </c>
      <c r="D16" s="218" t="s">
        <v>262</v>
      </c>
      <c r="E16" s="105" t="s">
        <v>263</v>
      </c>
      <c r="F16" s="100"/>
      <c r="G16" s="34"/>
      <c r="H16" s="34"/>
      <c r="I16" s="97">
        <v>21293.088674698796</v>
      </c>
      <c r="J16" s="97" t="s">
        <v>412</v>
      </c>
      <c r="K16" s="261"/>
      <c r="L16" s="319"/>
      <c r="M16" s="319"/>
      <c r="N16" s="319"/>
      <c r="O16" s="319"/>
      <c r="P16" s="319"/>
      <c r="Q16" s="320"/>
      <c r="R16" s="319"/>
      <c r="S16" s="319"/>
      <c r="T16" s="319"/>
      <c r="U16" s="319"/>
      <c r="V16" s="319"/>
      <c r="W16" s="326">
        <f>SUM(tblPiNAnalysis5613[[#This Row],[CCCM]:[WASH]])</f>
        <v>0</v>
      </c>
      <c r="X16" s="326">
        <v>3</v>
      </c>
    </row>
    <row r="17" spans="1:24" x14ac:dyDescent="0.55000000000000004">
      <c r="A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 s="316" t="s">
        <v>250</v>
      </c>
      <c r="C17" s="218" t="s">
        <v>251</v>
      </c>
      <c r="D17" s="218" t="s">
        <v>264</v>
      </c>
      <c r="E17" s="105" t="s">
        <v>265</v>
      </c>
      <c r="F17" s="100"/>
      <c r="G17" s="34"/>
      <c r="H17" s="34"/>
      <c r="I17" s="97">
        <v>40940.594481869215</v>
      </c>
      <c r="J17" s="97" t="s">
        <v>412</v>
      </c>
      <c r="K17" s="261">
        <v>0</v>
      </c>
      <c r="L17" s="319">
        <v>0</v>
      </c>
      <c r="M17" s="319">
        <v>0</v>
      </c>
      <c r="N17" s="319">
        <v>0</v>
      </c>
      <c r="O17" s="319">
        <v>0</v>
      </c>
      <c r="P17" s="319"/>
      <c r="Q17" s="320">
        <v>0</v>
      </c>
      <c r="R17" s="319">
        <v>0</v>
      </c>
      <c r="S17" s="319"/>
      <c r="T17" s="319"/>
      <c r="U17" s="319"/>
      <c r="V17" s="319"/>
      <c r="W17" s="326">
        <f>SUM(tblPiNAnalysis5613[[#This Row],[CCCM]:[WASH]])</f>
        <v>0</v>
      </c>
      <c r="X17" s="326">
        <v>4</v>
      </c>
    </row>
    <row r="18" spans="1:24" x14ac:dyDescent="0.55000000000000004">
      <c r="A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 s="316" t="s">
        <v>250</v>
      </c>
      <c r="C18" s="218" t="s">
        <v>251</v>
      </c>
      <c r="D18" s="218" t="s">
        <v>266</v>
      </c>
      <c r="E18" s="105" t="s">
        <v>267</v>
      </c>
      <c r="F18" s="100"/>
      <c r="G18" s="34"/>
      <c r="H18" s="34"/>
      <c r="I18" s="97">
        <v>2501.5236312386551</v>
      </c>
      <c r="J18" s="97" t="s">
        <v>412</v>
      </c>
      <c r="K18" s="261">
        <v>0</v>
      </c>
      <c r="L18" s="319">
        <v>0</v>
      </c>
      <c r="M18" s="319">
        <v>0</v>
      </c>
      <c r="N18" s="319">
        <v>0</v>
      </c>
      <c r="O18" s="319">
        <v>0</v>
      </c>
      <c r="P18" s="319"/>
      <c r="Q18" s="320">
        <v>0</v>
      </c>
      <c r="R18" s="319">
        <v>0</v>
      </c>
      <c r="S18" s="319"/>
      <c r="T18" s="319"/>
      <c r="U18" s="319"/>
      <c r="V18" s="319"/>
      <c r="W18" s="326">
        <f>SUM(tblPiNAnalysis5613[[#This Row],[CCCM]:[WASH]])</f>
        <v>0</v>
      </c>
      <c r="X18" s="326">
        <v>4</v>
      </c>
    </row>
    <row r="19" spans="1:24" x14ac:dyDescent="0.55000000000000004">
      <c r="A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 s="316" t="s">
        <v>268</v>
      </c>
      <c r="C19" s="218" t="s">
        <v>269</v>
      </c>
      <c r="D19" s="218" t="s">
        <v>270</v>
      </c>
      <c r="E19" s="105" t="s">
        <v>271</v>
      </c>
      <c r="F19" s="100"/>
      <c r="G19" s="34"/>
      <c r="H19" s="34"/>
      <c r="I19" s="97">
        <v>45687.987079478589</v>
      </c>
      <c r="J19" s="97" t="s">
        <v>412</v>
      </c>
      <c r="K19" s="261">
        <v>555519</v>
      </c>
      <c r="L19" s="319">
        <v>540667.98405958328</v>
      </c>
      <c r="M19" s="319">
        <v>927269.02697761636</v>
      </c>
      <c r="N19" s="319">
        <v>4007199.846992502</v>
      </c>
      <c r="O19" s="319">
        <v>867253.08409501438</v>
      </c>
      <c r="P19" s="319">
        <v>1053299.4480325351</v>
      </c>
      <c r="Q19" s="320">
        <v>966554.74888141372</v>
      </c>
      <c r="R19" s="319">
        <v>320873.50184985658</v>
      </c>
      <c r="S19" s="319"/>
      <c r="T19" s="319"/>
      <c r="U19" s="319"/>
      <c r="V19" s="319"/>
      <c r="W19" s="326">
        <f>SUM(tblPiNAnalysis5613[[#This Row],[CCCM]:[WASH]])</f>
        <v>9238636.6408885214</v>
      </c>
      <c r="X19" s="326">
        <v>1</v>
      </c>
    </row>
    <row r="20" spans="1:24" x14ac:dyDescent="0.55000000000000004">
      <c r="A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 s="316" t="s">
        <v>268</v>
      </c>
      <c r="C20" s="218" t="s">
        <v>269</v>
      </c>
      <c r="D20" s="218" t="s">
        <v>272</v>
      </c>
      <c r="E20" s="105" t="s">
        <v>273</v>
      </c>
      <c r="F20" s="100"/>
      <c r="G20" s="34"/>
      <c r="H20" s="34"/>
      <c r="I20" s="97">
        <v>21857.689382345037</v>
      </c>
      <c r="J20" s="97" t="s">
        <v>412</v>
      </c>
      <c r="K20" s="261">
        <v>0</v>
      </c>
      <c r="L20" s="319">
        <v>180729.86750413233</v>
      </c>
      <c r="M20" s="319">
        <v>227488.85594454402</v>
      </c>
      <c r="N20" s="319">
        <v>1692447.2871155436</v>
      </c>
      <c r="O20" s="319">
        <v>348010.8307171929</v>
      </c>
      <c r="P20" s="319">
        <v>445512.4489280773</v>
      </c>
      <c r="Q20" s="320">
        <v>330135.17770949594</v>
      </c>
      <c r="R20" s="319">
        <v>620411.85411473271</v>
      </c>
      <c r="S20" s="319"/>
      <c r="T20" s="319"/>
      <c r="U20" s="319"/>
      <c r="V20" s="319"/>
      <c r="W20" s="326">
        <f>SUM(tblPiNAnalysis5613[[#This Row],[CCCM]:[WASH]])</f>
        <v>3844736.3220337192</v>
      </c>
      <c r="X20" s="326">
        <v>2</v>
      </c>
    </row>
    <row r="21" spans="1:24" x14ac:dyDescent="0.55000000000000004">
      <c r="A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 s="316" t="s">
        <v>268</v>
      </c>
      <c r="C21" s="218" t="s">
        <v>269</v>
      </c>
      <c r="D21" s="218" t="s">
        <v>274</v>
      </c>
      <c r="E21" s="105" t="s">
        <v>275</v>
      </c>
      <c r="F21" s="100"/>
      <c r="G21" s="34"/>
      <c r="H21" s="34"/>
      <c r="I21" s="97">
        <v>95901.175542296638</v>
      </c>
      <c r="J21" s="97" t="s">
        <v>412</v>
      </c>
      <c r="K21" s="261">
        <v>0</v>
      </c>
      <c r="L21" s="319">
        <v>0</v>
      </c>
      <c r="M21" s="319">
        <v>0</v>
      </c>
      <c r="N21" s="319">
        <v>0</v>
      </c>
      <c r="O21" s="319">
        <v>0</v>
      </c>
      <c r="P21" s="319"/>
      <c r="Q21" s="320">
        <v>0</v>
      </c>
      <c r="R21" s="319">
        <v>0</v>
      </c>
      <c r="S21" s="319"/>
      <c r="T21" s="319"/>
      <c r="U21" s="319"/>
      <c r="V21" s="319"/>
      <c r="W21" s="326">
        <f>SUM(tblPiNAnalysis5613[[#This Row],[CCCM]:[WASH]])</f>
        <v>0</v>
      </c>
      <c r="X21" s="326">
        <v>4</v>
      </c>
    </row>
    <row r="22" spans="1:24" x14ac:dyDescent="0.55000000000000004">
      <c r="A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 s="316" t="s">
        <v>268</v>
      </c>
      <c r="C22" s="218" t="s">
        <v>269</v>
      </c>
      <c r="D22" s="218" t="s">
        <v>276</v>
      </c>
      <c r="E22" s="105" t="s">
        <v>277</v>
      </c>
      <c r="F22" s="100"/>
      <c r="G22" s="34"/>
      <c r="H22" s="34"/>
      <c r="I22" s="97">
        <v>69039.732902168529</v>
      </c>
      <c r="J22" s="97" t="s">
        <v>412</v>
      </c>
      <c r="K22" s="261">
        <v>54096</v>
      </c>
      <c r="L22" s="319">
        <v>674057.00503840006</v>
      </c>
      <c r="M22" s="319">
        <v>1140490.1612659728</v>
      </c>
      <c r="N22" s="319">
        <v>6403157.6812562076</v>
      </c>
      <c r="O22" s="319">
        <v>1803457.8467085427</v>
      </c>
      <c r="P22" s="319">
        <v>2917884.0715546277</v>
      </c>
      <c r="Q22" s="320">
        <v>1643145.6430716109</v>
      </c>
      <c r="R22" s="319">
        <v>2612216.3137274198</v>
      </c>
      <c r="S22" s="319"/>
      <c r="T22" s="319"/>
      <c r="U22" s="319"/>
      <c r="V22" s="319"/>
      <c r="W22" s="326">
        <f>SUM(tblPiNAnalysis5613[[#This Row],[CCCM]:[WASH]])</f>
        <v>17248504.722622782</v>
      </c>
      <c r="X22" s="326">
        <v>1</v>
      </c>
    </row>
    <row r="23" spans="1:24" x14ac:dyDescent="0.55000000000000004">
      <c r="A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 s="316" t="s">
        <v>268</v>
      </c>
      <c r="C23" s="218" t="s">
        <v>269</v>
      </c>
      <c r="D23" s="218" t="s">
        <v>278</v>
      </c>
      <c r="E23" s="105" t="s">
        <v>279</v>
      </c>
      <c r="F23" s="100"/>
      <c r="G23" s="34"/>
      <c r="H23" s="34"/>
      <c r="I23" s="97">
        <v>77068.443303189997</v>
      </c>
      <c r="J23" s="97" t="s">
        <v>412</v>
      </c>
      <c r="K23" s="261">
        <v>0</v>
      </c>
      <c r="L23" s="319">
        <v>480213.47022217687</v>
      </c>
      <c r="M23" s="319">
        <v>1404832.0239540504</v>
      </c>
      <c r="N23" s="319">
        <v>5626276.0442755539</v>
      </c>
      <c r="O23" s="319">
        <v>1817791.3497936276</v>
      </c>
      <c r="P23" s="319">
        <v>1536782.8201341012</v>
      </c>
      <c r="Q23" s="320">
        <v>1834228.950615922</v>
      </c>
      <c r="R23" s="319">
        <v>386848.69843237026</v>
      </c>
      <c r="S23" s="319"/>
      <c r="T23" s="319"/>
      <c r="U23" s="319"/>
      <c r="V23" s="319"/>
      <c r="W23" s="326">
        <f>SUM(tblPiNAnalysis5613[[#This Row],[CCCM]:[WASH]])</f>
        <v>13086973.357427804</v>
      </c>
      <c r="X23" s="326">
        <v>2</v>
      </c>
    </row>
    <row r="24" spans="1:24" x14ac:dyDescent="0.55000000000000004">
      <c r="A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 s="316" t="s">
        <v>268</v>
      </c>
      <c r="C24" s="218" t="s">
        <v>269</v>
      </c>
      <c r="D24" s="218" t="s">
        <v>280</v>
      </c>
      <c r="E24" s="105" t="s">
        <v>281</v>
      </c>
      <c r="F24" s="100"/>
      <c r="G24" s="34"/>
      <c r="H24" s="34"/>
      <c r="I24" s="97">
        <v>118740.98784317059</v>
      </c>
      <c r="J24" s="97" t="s">
        <v>412</v>
      </c>
      <c r="K24" s="261">
        <v>983043</v>
      </c>
      <c r="L24" s="319">
        <v>2664547.767200748</v>
      </c>
      <c r="M24" s="319">
        <v>1657916.0276396396</v>
      </c>
      <c r="N24" s="319">
        <v>11431660.428381916</v>
      </c>
      <c r="O24" s="319">
        <v>2742372.8518577213</v>
      </c>
      <c r="P24" s="319">
        <v>2334819.202903376</v>
      </c>
      <c r="Q24" s="320">
        <v>1779355.6919017339</v>
      </c>
      <c r="R24" s="319">
        <v>2820480.215994447</v>
      </c>
      <c r="S24" s="319"/>
      <c r="T24" s="319"/>
      <c r="U24" s="319"/>
      <c r="V24" s="319"/>
      <c r="W24" s="326">
        <f>SUM(tblPiNAnalysis5613[[#This Row],[CCCM]:[WASH]])</f>
        <v>26414195.185879581</v>
      </c>
      <c r="X24" s="326">
        <v>1</v>
      </c>
    </row>
    <row r="25" spans="1:24" x14ac:dyDescent="0.55000000000000004">
      <c r="A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5" s="316" t="s">
        <v>268</v>
      </c>
      <c r="C25" s="218" t="s">
        <v>269</v>
      </c>
      <c r="D25" s="218" t="s">
        <v>282</v>
      </c>
      <c r="E25" s="105" t="s">
        <v>283</v>
      </c>
      <c r="F25" s="100"/>
      <c r="G25" s="34"/>
      <c r="H25" s="34"/>
      <c r="I25" s="97">
        <v>53158.210520699089</v>
      </c>
      <c r="J25" s="97" t="s">
        <v>412</v>
      </c>
      <c r="K25" s="261">
        <v>171902</v>
      </c>
      <c r="L25" s="319">
        <v>554302.88123132708</v>
      </c>
      <c r="M25" s="319">
        <v>973404.29599626677</v>
      </c>
      <c r="N25" s="319">
        <v>4246692.1379061406</v>
      </c>
      <c r="O25" s="319">
        <v>1328923.4367078429</v>
      </c>
      <c r="P25" s="319">
        <v>857390.65423734579</v>
      </c>
      <c r="Q25" s="320">
        <v>1119184.7861165646</v>
      </c>
      <c r="R25" s="319">
        <v>815812.6399578416</v>
      </c>
      <c r="S25" s="319"/>
      <c r="T25" s="319"/>
      <c r="U25" s="319"/>
      <c r="V25" s="319"/>
      <c r="W25" s="326">
        <f>SUM(tblPiNAnalysis5613[[#This Row],[CCCM]:[WASH]])</f>
        <v>10067612.83215333</v>
      </c>
      <c r="X25" s="326">
        <v>2</v>
      </c>
    </row>
    <row r="26" spans="1:24" x14ac:dyDescent="0.55000000000000004">
      <c r="A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6" s="316" t="s">
        <v>268</v>
      </c>
      <c r="C26" s="218" t="s">
        <v>269</v>
      </c>
      <c r="D26" s="218" t="s">
        <v>284</v>
      </c>
      <c r="E26" s="105" t="s">
        <v>285</v>
      </c>
      <c r="F26" s="100"/>
      <c r="G26" s="34"/>
      <c r="H26" s="34"/>
      <c r="I26" s="97">
        <v>46710.303757716349</v>
      </c>
      <c r="J26" s="97" t="s">
        <v>412</v>
      </c>
      <c r="K26" s="261">
        <v>73324</v>
      </c>
      <c r="L26" s="319">
        <v>803101.46297931892</v>
      </c>
      <c r="M26" s="319">
        <v>1086959.4122390016</v>
      </c>
      <c r="N26" s="319">
        <v>4102383.6385182678</v>
      </c>
      <c r="O26" s="319">
        <v>1008870.2389290576</v>
      </c>
      <c r="P26" s="319">
        <v>874013.53483310947</v>
      </c>
      <c r="Q26" s="320">
        <v>778193.66060355422</v>
      </c>
      <c r="R26" s="319">
        <v>1257045.396804881</v>
      </c>
      <c r="S26" s="319"/>
      <c r="T26" s="319"/>
      <c r="U26" s="319"/>
      <c r="V26" s="319"/>
      <c r="W26" s="326">
        <f>SUM(tblPiNAnalysis5613[[#This Row],[CCCM]:[WASH]])</f>
        <v>9983891.3449071907</v>
      </c>
      <c r="X26" s="326">
        <v>1</v>
      </c>
    </row>
    <row r="27" spans="1:24" x14ac:dyDescent="0.55000000000000004">
      <c r="A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7" s="316" t="s">
        <v>268</v>
      </c>
      <c r="C27" s="218" t="s">
        <v>269</v>
      </c>
      <c r="D27" s="218" t="s">
        <v>286</v>
      </c>
      <c r="E27" s="105" t="s">
        <v>287</v>
      </c>
      <c r="F27" s="100"/>
      <c r="G27" s="34"/>
      <c r="H27" s="34"/>
      <c r="I27" s="97">
        <v>15457.341069804937</v>
      </c>
      <c r="J27" s="97" t="s">
        <v>412</v>
      </c>
      <c r="K27" s="261"/>
      <c r="L27" s="319"/>
      <c r="M27" s="319"/>
      <c r="N27" s="319"/>
      <c r="O27" s="319"/>
      <c r="P27" s="319"/>
      <c r="Q27" s="320"/>
      <c r="R27" s="319"/>
      <c r="S27" s="319"/>
      <c r="T27" s="319"/>
      <c r="U27" s="319"/>
      <c r="V27" s="319"/>
      <c r="W27" s="326">
        <f>SUM(tblPiNAnalysis5613[[#This Row],[CCCM]:[WASH]])</f>
        <v>0</v>
      </c>
      <c r="X27" s="326">
        <v>3</v>
      </c>
    </row>
    <row r="28" spans="1:24" x14ac:dyDescent="0.55000000000000004">
      <c r="A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8" s="316" t="s">
        <v>268</v>
      </c>
      <c r="C28" s="218" t="s">
        <v>269</v>
      </c>
      <c r="D28" s="218" t="s">
        <v>288</v>
      </c>
      <c r="E28" s="105" t="s">
        <v>289</v>
      </c>
      <c r="F28" s="100"/>
      <c r="G28" s="34"/>
      <c r="H28" s="34"/>
      <c r="I28" s="97">
        <v>25870.030094616061</v>
      </c>
      <c r="J28" s="97" t="s">
        <v>412</v>
      </c>
      <c r="K28" s="261">
        <v>0</v>
      </c>
      <c r="L28" s="319">
        <v>468648.53017901734</v>
      </c>
      <c r="M28" s="319">
        <v>411389.27182711946</v>
      </c>
      <c r="N28" s="319">
        <v>1982865.8174008573</v>
      </c>
      <c r="O28" s="319">
        <v>511400.92069561337</v>
      </c>
      <c r="P28" s="319">
        <v>886921.07681410573</v>
      </c>
      <c r="Q28" s="320">
        <v>615706.71625186224</v>
      </c>
      <c r="R28" s="319">
        <v>353557.07795975282</v>
      </c>
      <c r="S28" s="319"/>
      <c r="T28" s="319"/>
      <c r="U28" s="319"/>
      <c r="V28" s="319"/>
      <c r="W28" s="326">
        <f>SUM(tblPiNAnalysis5613[[#This Row],[CCCM]:[WASH]])</f>
        <v>5230489.4111283282</v>
      </c>
      <c r="X28" s="326">
        <v>2</v>
      </c>
    </row>
    <row r="29" spans="1:24" x14ac:dyDescent="0.55000000000000004">
      <c r="A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9" s="316" t="s">
        <v>268</v>
      </c>
      <c r="C29" s="218" t="s">
        <v>269</v>
      </c>
      <c r="D29" s="218" t="s">
        <v>290</v>
      </c>
      <c r="E29" s="105" t="s">
        <v>291</v>
      </c>
      <c r="F29" s="100"/>
      <c r="G29" s="34"/>
      <c r="H29" s="34"/>
      <c r="I29" s="97">
        <v>23976.103995536083</v>
      </c>
      <c r="J29" s="97" t="s">
        <v>412</v>
      </c>
      <c r="K29" s="261">
        <v>69000</v>
      </c>
      <c r="L29" s="319">
        <v>353435.58517483668</v>
      </c>
      <c r="M29" s="319">
        <v>585721.74981635087</v>
      </c>
      <c r="N29" s="319">
        <v>2083031.283978079</v>
      </c>
      <c r="O29" s="319">
        <v>317029.64347103116</v>
      </c>
      <c r="P29" s="319">
        <v>378654.56269309117</v>
      </c>
      <c r="Q29" s="320">
        <v>570631.27509375883</v>
      </c>
      <c r="R29" s="319">
        <v>565084.95103676652</v>
      </c>
      <c r="S29" s="319"/>
      <c r="T29" s="319"/>
      <c r="U29" s="319"/>
      <c r="V29" s="319"/>
      <c r="W29" s="326">
        <f>SUM(tblPiNAnalysis5613[[#This Row],[CCCM]:[WASH]])</f>
        <v>4922589.0512639135</v>
      </c>
      <c r="X29" s="326">
        <v>2</v>
      </c>
    </row>
    <row r="30" spans="1:24" x14ac:dyDescent="0.55000000000000004">
      <c r="A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0" s="316" t="s">
        <v>292</v>
      </c>
      <c r="C30" s="218" t="s">
        <v>293</v>
      </c>
      <c r="D30" s="218" t="s">
        <v>294</v>
      </c>
      <c r="E30" s="105" t="s">
        <v>295</v>
      </c>
      <c r="F30" s="100"/>
      <c r="G30" s="34"/>
      <c r="H30" s="34"/>
      <c r="I30" s="97">
        <v>48668.970941608946</v>
      </c>
      <c r="J30" s="97" t="s">
        <v>412</v>
      </c>
      <c r="K30" s="261"/>
      <c r="L30" s="319"/>
      <c r="M30" s="319"/>
      <c r="N30" s="319"/>
      <c r="O30" s="319"/>
      <c r="P30" s="319"/>
      <c r="Q30" s="320"/>
      <c r="R30" s="319"/>
      <c r="S30" s="319"/>
      <c r="T30" s="319"/>
      <c r="U30" s="319"/>
      <c r="V30" s="319"/>
      <c r="W30" s="326">
        <f>SUM(tblPiNAnalysis5613[[#This Row],[CCCM]:[WASH]])</f>
        <v>0</v>
      </c>
      <c r="X30" s="326">
        <v>3</v>
      </c>
    </row>
    <row r="31" spans="1:24" x14ac:dyDescent="0.55000000000000004">
      <c r="A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1" s="316" t="s">
        <v>292</v>
      </c>
      <c r="C31" s="218" t="s">
        <v>293</v>
      </c>
      <c r="D31" s="218" t="s">
        <v>296</v>
      </c>
      <c r="E31" s="105" t="s">
        <v>297</v>
      </c>
      <c r="F31" s="100"/>
      <c r="G31" s="34"/>
      <c r="H31" s="34"/>
      <c r="I31" s="97">
        <v>5443.7472474147844</v>
      </c>
      <c r="J31" s="97" t="s">
        <v>412</v>
      </c>
      <c r="K31" s="261">
        <v>0</v>
      </c>
      <c r="L31" s="319">
        <v>0</v>
      </c>
      <c r="M31" s="319">
        <v>0</v>
      </c>
      <c r="N31" s="319">
        <v>0</v>
      </c>
      <c r="O31" s="319">
        <v>0</v>
      </c>
      <c r="P31" s="319"/>
      <c r="Q31" s="320">
        <v>0</v>
      </c>
      <c r="R31" s="319">
        <v>0</v>
      </c>
      <c r="S31" s="319"/>
      <c r="T31" s="319"/>
      <c r="U31" s="319"/>
      <c r="V31" s="319"/>
      <c r="W31" s="326">
        <f>SUM(tblPiNAnalysis5613[[#This Row],[CCCM]:[WASH]])</f>
        <v>0</v>
      </c>
      <c r="X31" s="326">
        <v>5</v>
      </c>
    </row>
    <row r="32" spans="1:24" x14ac:dyDescent="0.55000000000000004">
      <c r="A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2" s="316" t="s">
        <v>292</v>
      </c>
      <c r="C32" s="218" t="s">
        <v>293</v>
      </c>
      <c r="D32" s="218" t="s">
        <v>298</v>
      </c>
      <c r="E32" s="105" t="s">
        <v>299</v>
      </c>
      <c r="F32" s="100"/>
      <c r="G32" s="34"/>
      <c r="H32" s="34"/>
      <c r="I32" s="97">
        <v>2921.2783873957369</v>
      </c>
      <c r="J32" s="97" t="s">
        <v>412</v>
      </c>
      <c r="K32" s="261">
        <v>0</v>
      </c>
      <c r="L32" s="319">
        <v>0</v>
      </c>
      <c r="M32" s="319">
        <v>0</v>
      </c>
      <c r="N32" s="319">
        <v>0</v>
      </c>
      <c r="O32" s="319">
        <v>0</v>
      </c>
      <c r="P32" s="319"/>
      <c r="Q32" s="320">
        <v>0</v>
      </c>
      <c r="R32" s="319">
        <v>0</v>
      </c>
      <c r="S32" s="319"/>
      <c r="T32" s="319"/>
      <c r="U32" s="319"/>
      <c r="V32" s="319"/>
      <c r="W32" s="326">
        <f>SUM(tblPiNAnalysis5613[[#This Row],[CCCM]:[WASH]])</f>
        <v>0</v>
      </c>
      <c r="X32" s="326">
        <v>4</v>
      </c>
    </row>
    <row r="33" spans="1:24" x14ac:dyDescent="0.55000000000000004">
      <c r="A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3" s="316" t="s">
        <v>292</v>
      </c>
      <c r="C33" s="218" t="s">
        <v>293</v>
      </c>
      <c r="D33" s="218" t="s">
        <v>300</v>
      </c>
      <c r="E33" s="105" t="s">
        <v>301</v>
      </c>
      <c r="F33" s="100"/>
      <c r="G33" s="34"/>
      <c r="H33" s="34"/>
      <c r="I33" s="97">
        <v>6808.1234044964567</v>
      </c>
      <c r="J33" s="97" t="s">
        <v>412</v>
      </c>
      <c r="K33" s="261">
        <v>0</v>
      </c>
      <c r="L33" s="319">
        <v>0</v>
      </c>
      <c r="M33" s="319">
        <v>0</v>
      </c>
      <c r="N33" s="319">
        <v>0</v>
      </c>
      <c r="O33" s="319">
        <v>0</v>
      </c>
      <c r="P33" s="319"/>
      <c r="Q33" s="320">
        <v>0</v>
      </c>
      <c r="R33" s="319">
        <v>0</v>
      </c>
      <c r="S33" s="319"/>
      <c r="T33" s="319"/>
      <c r="U33" s="319"/>
      <c r="V33" s="319"/>
      <c r="W33" s="326">
        <f>SUM(tblPiNAnalysis5613[[#This Row],[CCCM]:[WASH]])</f>
        <v>0</v>
      </c>
      <c r="X33" s="326">
        <v>4</v>
      </c>
    </row>
    <row r="34" spans="1:24" x14ac:dyDescent="0.55000000000000004">
      <c r="A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4" s="316" t="s">
        <v>292</v>
      </c>
      <c r="C34" s="218" t="s">
        <v>293</v>
      </c>
      <c r="D34" s="218" t="s">
        <v>302</v>
      </c>
      <c r="E34" s="105" t="s">
        <v>303</v>
      </c>
      <c r="F34" s="100"/>
      <c r="G34" s="34"/>
      <c r="H34" s="34"/>
      <c r="I34" s="97">
        <v>23157.383024277355</v>
      </c>
      <c r="J34" s="97" t="s">
        <v>412</v>
      </c>
      <c r="K34" s="261"/>
      <c r="L34" s="319"/>
      <c r="M34" s="319"/>
      <c r="N34" s="319"/>
      <c r="O34" s="319"/>
      <c r="P34" s="319"/>
      <c r="Q34" s="320"/>
      <c r="R34" s="319"/>
      <c r="S34" s="319"/>
      <c r="T34" s="319"/>
      <c r="U34" s="319"/>
      <c r="V34" s="319"/>
      <c r="W34" s="326">
        <f>SUM(tblPiNAnalysis5613[[#This Row],[CCCM]:[WASH]])</f>
        <v>0</v>
      </c>
      <c r="X34" s="326">
        <v>3</v>
      </c>
    </row>
    <row r="35" spans="1:24" x14ac:dyDescent="0.55000000000000004">
      <c r="A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5" s="316" t="s">
        <v>292</v>
      </c>
      <c r="C35" s="218" t="s">
        <v>293</v>
      </c>
      <c r="D35" s="218" t="s">
        <v>304</v>
      </c>
      <c r="E35" s="105" t="s">
        <v>305</v>
      </c>
      <c r="F35" s="100"/>
      <c r="G35" s="34"/>
      <c r="H35" s="34"/>
      <c r="I35" s="97">
        <v>9602.9953236523688</v>
      </c>
      <c r="J35" s="97" t="s">
        <v>412</v>
      </c>
      <c r="K35" s="261">
        <v>0</v>
      </c>
      <c r="L35" s="319">
        <v>0</v>
      </c>
      <c r="M35" s="319">
        <v>0</v>
      </c>
      <c r="N35" s="319">
        <v>0</v>
      </c>
      <c r="O35" s="319">
        <v>0</v>
      </c>
      <c r="P35" s="319"/>
      <c r="Q35" s="320">
        <v>0</v>
      </c>
      <c r="R35" s="319">
        <v>0</v>
      </c>
      <c r="S35" s="319"/>
      <c r="T35" s="319"/>
      <c r="U35" s="319"/>
      <c r="V35" s="319"/>
      <c r="W35" s="326">
        <f>SUM(tblPiNAnalysis5613[[#This Row],[CCCM]:[WASH]])</f>
        <v>0</v>
      </c>
      <c r="X35" s="326">
        <v>5</v>
      </c>
    </row>
    <row r="36" spans="1:24" x14ac:dyDescent="0.55000000000000004">
      <c r="A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6" s="316" t="s">
        <v>292</v>
      </c>
      <c r="C36" s="218" t="s">
        <v>293</v>
      </c>
      <c r="D36" s="218" t="s">
        <v>306</v>
      </c>
      <c r="E36" s="105" t="s">
        <v>307</v>
      </c>
      <c r="F36" s="100"/>
      <c r="G36" s="34"/>
      <c r="H36" s="34"/>
      <c r="I36" s="97">
        <v>23378.692739825943</v>
      </c>
      <c r="J36" s="97" t="s">
        <v>412</v>
      </c>
      <c r="K36" s="261"/>
      <c r="L36" s="319"/>
      <c r="M36" s="319"/>
      <c r="N36" s="319"/>
      <c r="O36" s="319"/>
      <c r="P36" s="319"/>
      <c r="Q36" s="320"/>
      <c r="R36" s="319"/>
      <c r="S36" s="319"/>
      <c r="T36" s="319"/>
      <c r="U36" s="319"/>
      <c r="V36" s="319"/>
      <c r="W36" s="326">
        <f>SUM(tblPiNAnalysis5613[[#This Row],[CCCM]:[WASH]])</f>
        <v>0</v>
      </c>
      <c r="X36" s="326">
        <v>3</v>
      </c>
    </row>
    <row r="37" spans="1:24" x14ac:dyDescent="0.55000000000000004">
      <c r="A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7" s="316" t="s">
        <v>292</v>
      </c>
      <c r="C37" s="218" t="s">
        <v>293</v>
      </c>
      <c r="D37" s="218" t="s">
        <v>308</v>
      </c>
      <c r="E37" s="105" t="s">
        <v>309</v>
      </c>
      <c r="F37" s="100"/>
      <c r="G37" s="34"/>
      <c r="H37" s="34"/>
      <c r="I37" s="97">
        <v>11657.898587687116</v>
      </c>
      <c r="J37" s="97" t="s">
        <v>412</v>
      </c>
      <c r="K37" s="261">
        <v>0</v>
      </c>
      <c r="L37" s="319">
        <v>0</v>
      </c>
      <c r="M37" s="319">
        <v>0</v>
      </c>
      <c r="N37" s="319">
        <v>0</v>
      </c>
      <c r="O37" s="319">
        <v>0</v>
      </c>
      <c r="P37" s="319"/>
      <c r="Q37" s="320">
        <v>0</v>
      </c>
      <c r="R37" s="319">
        <v>0</v>
      </c>
      <c r="S37" s="319"/>
      <c r="T37" s="319"/>
      <c r="U37" s="319"/>
      <c r="V37" s="319"/>
      <c r="W37" s="326">
        <f>SUM(tblPiNAnalysis5613[[#This Row],[CCCM]:[WASH]])</f>
        <v>0</v>
      </c>
      <c r="X37" s="326">
        <v>4</v>
      </c>
    </row>
    <row r="38" spans="1:24" x14ac:dyDescent="0.55000000000000004">
      <c r="A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8" s="316" t="s">
        <v>310</v>
      </c>
      <c r="C38" s="218" t="s">
        <v>311</v>
      </c>
      <c r="D38" s="218" t="s">
        <v>312</v>
      </c>
      <c r="E38" s="105" t="s">
        <v>313</v>
      </c>
      <c r="F38" s="100"/>
      <c r="G38" s="34"/>
      <c r="H38" s="34"/>
      <c r="I38" s="97">
        <v>8794.7895188948787</v>
      </c>
      <c r="J38" s="97" t="s">
        <v>412</v>
      </c>
      <c r="K38" s="261">
        <v>0</v>
      </c>
      <c r="L38" s="319">
        <v>0</v>
      </c>
      <c r="M38" s="319">
        <v>0</v>
      </c>
      <c r="N38" s="319">
        <v>0</v>
      </c>
      <c r="O38" s="319">
        <v>0</v>
      </c>
      <c r="P38" s="319"/>
      <c r="Q38" s="320">
        <v>0</v>
      </c>
      <c r="R38" s="319">
        <v>0</v>
      </c>
      <c r="S38" s="319"/>
      <c r="T38" s="319"/>
      <c r="U38" s="319"/>
      <c r="V38" s="319"/>
      <c r="W38" s="326">
        <f>SUM(tblPiNAnalysis5613[[#This Row],[CCCM]:[WASH]])</f>
        <v>0</v>
      </c>
      <c r="X38" s="326">
        <v>4</v>
      </c>
    </row>
    <row r="39" spans="1:24" x14ac:dyDescent="0.55000000000000004">
      <c r="A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39" s="316" t="s">
        <v>310</v>
      </c>
      <c r="C39" s="218" t="s">
        <v>311</v>
      </c>
      <c r="D39" s="218" t="s">
        <v>314</v>
      </c>
      <c r="E39" s="105" t="s">
        <v>315</v>
      </c>
      <c r="F39" s="100"/>
      <c r="G39" s="34"/>
      <c r="H39" s="34"/>
      <c r="I39" s="97">
        <v>56514.282244133567</v>
      </c>
      <c r="J39" s="97" t="s">
        <v>412</v>
      </c>
      <c r="K39" s="261">
        <v>582268</v>
      </c>
      <c r="L39" s="319">
        <v>1243547.9524423003</v>
      </c>
      <c r="M39" s="319">
        <v>717241.59797382529</v>
      </c>
      <c r="N39" s="319">
        <v>4496937.2154975217</v>
      </c>
      <c r="O39" s="319">
        <v>846548.26177958341</v>
      </c>
      <c r="P39" s="319">
        <v>1133921.084571243</v>
      </c>
      <c r="Q39" s="320">
        <v>1132665.1936087401</v>
      </c>
      <c r="R39" s="319">
        <v>249110.5373199489</v>
      </c>
      <c r="S39" s="319"/>
      <c r="T39" s="319"/>
      <c r="U39" s="319"/>
      <c r="V39" s="319"/>
      <c r="W39" s="326">
        <f>SUM(tblPiNAnalysis5613[[#This Row],[CCCM]:[WASH]])</f>
        <v>10402239.843193162</v>
      </c>
      <c r="X39" s="326">
        <v>2</v>
      </c>
    </row>
    <row r="40" spans="1:24" x14ac:dyDescent="0.55000000000000004">
      <c r="A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0" s="316" t="s">
        <v>310</v>
      </c>
      <c r="C40" s="218" t="s">
        <v>311</v>
      </c>
      <c r="D40" s="218" t="s">
        <v>316</v>
      </c>
      <c r="E40" s="105" t="s">
        <v>317</v>
      </c>
      <c r="F40" s="100"/>
      <c r="G40" s="34"/>
      <c r="H40" s="34"/>
      <c r="I40" s="97">
        <v>0</v>
      </c>
      <c r="J40" s="97" t="s">
        <v>412</v>
      </c>
      <c r="K40" s="261">
        <v>0</v>
      </c>
      <c r="L40" s="319">
        <v>0</v>
      </c>
      <c r="M40" s="319">
        <v>0</v>
      </c>
      <c r="N40" s="319">
        <v>0</v>
      </c>
      <c r="O40" s="319">
        <v>0</v>
      </c>
      <c r="P40" s="319">
        <v>0</v>
      </c>
      <c r="Q40" s="320">
        <v>0</v>
      </c>
      <c r="R40" s="319">
        <v>0</v>
      </c>
      <c r="S40" s="319"/>
      <c r="T40" s="319"/>
      <c r="U40" s="319"/>
      <c r="V40" s="319"/>
      <c r="W40" s="326">
        <f>SUM(tblPiNAnalysis5613[[#This Row],[CCCM]:[WASH]])</f>
        <v>0</v>
      </c>
      <c r="X40" s="326">
        <v>2</v>
      </c>
    </row>
    <row r="41" spans="1:24" x14ac:dyDescent="0.55000000000000004">
      <c r="A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1" s="316" t="s">
        <v>310</v>
      </c>
      <c r="C41" s="218" t="s">
        <v>311</v>
      </c>
      <c r="D41" s="218" t="s">
        <v>318</v>
      </c>
      <c r="E41" s="105" t="s">
        <v>319</v>
      </c>
      <c r="F41" s="100"/>
      <c r="G41" s="34"/>
      <c r="H41" s="34"/>
      <c r="I41" s="97">
        <v>8245.4682123487128</v>
      </c>
      <c r="J41" s="97" t="s">
        <v>412</v>
      </c>
      <c r="K41" s="261">
        <v>0</v>
      </c>
      <c r="L41" s="319">
        <v>45128.478209711044</v>
      </c>
      <c r="M41" s="319">
        <v>182855.02650779724</v>
      </c>
      <c r="N41" s="319">
        <v>632833.32136245409</v>
      </c>
      <c r="O41" s="319">
        <v>107244.85706876199</v>
      </c>
      <c r="P41" s="319">
        <v>196000.29726363881</v>
      </c>
      <c r="Q41" s="320">
        <v>152632.77824192171</v>
      </c>
      <c r="R41" s="319">
        <v>79207.60311259111</v>
      </c>
      <c r="S41" s="319"/>
      <c r="T41" s="319"/>
      <c r="U41" s="319"/>
      <c r="V41" s="319"/>
      <c r="W41" s="326">
        <f>SUM(tblPiNAnalysis5613[[#This Row],[CCCM]:[WASH]])</f>
        <v>1395902.361766876</v>
      </c>
      <c r="X41" s="326">
        <v>2</v>
      </c>
    </row>
    <row r="42" spans="1:24" x14ac:dyDescent="0.55000000000000004">
      <c r="A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2" s="316" t="s">
        <v>310</v>
      </c>
      <c r="C42" s="218" t="s">
        <v>311</v>
      </c>
      <c r="D42" s="218" t="s">
        <v>320</v>
      </c>
      <c r="E42" s="105" t="s">
        <v>321</v>
      </c>
      <c r="F42" s="100"/>
      <c r="G42" s="34"/>
      <c r="H42" s="34"/>
      <c r="I42" s="97">
        <v>736.57326854984808</v>
      </c>
      <c r="J42" s="97" t="s">
        <v>412</v>
      </c>
      <c r="K42" s="261"/>
      <c r="L42" s="319"/>
      <c r="M42" s="319"/>
      <c r="N42" s="319"/>
      <c r="O42" s="319"/>
      <c r="P42" s="319"/>
      <c r="Q42" s="320"/>
      <c r="R42" s="319"/>
      <c r="S42" s="319"/>
      <c r="T42" s="319"/>
      <c r="U42" s="319"/>
      <c r="V42" s="319"/>
      <c r="W42" s="326">
        <f>SUM(tblPiNAnalysis5613[[#This Row],[CCCM]:[WASH]])</f>
        <v>0</v>
      </c>
      <c r="X42" s="326">
        <v>3</v>
      </c>
    </row>
    <row r="43" spans="1:24" x14ac:dyDescent="0.55000000000000004">
      <c r="A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3" s="316" t="s">
        <v>322</v>
      </c>
      <c r="C43" s="218" t="s">
        <v>323</v>
      </c>
      <c r="D43" s="218" t="s">
        <v>324</v>
      </c>
      <c r="E43" s="105" t="s">
        <v>325</v>
      </c>
      <c r="F43" s="100"/>
      <c r="G43" s="34"/>
      <c r="H43" s="34"/>
      <c r="I43" s="97">
        <v>8191.9832367247782</v>
      </c>
      <c r="J43" s="97" t="s">
        <v>412</v>
      </c>
      <c r="K43" s="261">
        <v>0</v>
      </c>
      <c r="L43" s="319">
        <v>0</v>
      </c>
      <c r="M43" s="319">
        <v>0</v>
      </c>
      <c r="N43" s="319">
        <v>0</v>
      </c>
      <c r="O43" s="319">
        <v>0</v>
      </c>
      <c r="P43" s="319"/>
      <c r="Q43" s="320">
        <v>0</v>
      </c>
      <c r="R43" s="319">
        <v>0</v>
      </c>
      <c r="S43" s="319"/>
      <c r="T43" s="319"/>
      <c r="U43" s="319"/>
      <c r="V43" s="319"/>
      <c r="W43" s="326">
        <f>SUM(tblPiNAnalysis5613[[#This Row],[CCCM]:[WASH]])</f>
        <v>0</v>
      </c>
      <c r="X43" s="326">
        <v>4</v>
      </c>
    </row>
    <row r="44" spans="1:24" x14ac:dyDescent="0.55000000000000004">
      <c r="A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4" s="316" t="s">
        <v>322</v>
      </c>
      <c r="C44" s="218" t="s">
        <v>323</v>
      </c>
      <c r="D44" s="218" t="s">
        <v>326</v>
      </c>
      <c r="E44" s="105" t="s">
        <v>327</v>
      </c>
      <c r="F44" s="100"/>
      <c r="G44" s="34"/>
      <c r="H44" s="34"/>
      <c r="I44" s="97">
        <v>25939.727484978604</v>
      </c>
      <c r="J44" s="97" t="s">
        <v>412</v>
      </c>
      <c r="K44" s="261"/>
      <c r="L44" s="319"/>
      <c r="M44" s="319"/>
      <c r="N44" s="319"/>
      <c r="O44" s="319"/>
      <c r="P44" s="319"/>
      <c r="Q44" s="320"/>
      <c r="R44" s="319"/>
      <c r="S44" s="319"/>
      <c r="T44" s="319"/>
      <c r="U44" s="319"/>
      <c r="V44" s="319"/>
      <c r="W44" s="326">
        <f>SUM(tblPiNAnalysis5613[[#This Row],[CCCM]:[WASH]])</f>
        <v>0</v>
      </c>
      <c r="X44" s="326">
        <v>3</v>
      </c>
    </row>
    <row r="45" spans="1:24" x14ac:dyDescent="0.55000000000000004">
      <c r="A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5" s="316" t="s">
        <v>322</v>
      </c>
      <c r="C45" s="218" t="s">
        <v>323</v>
      </c>
      <c r="D45" s="218" t="s">
        <v>328</v>
      </c>
      <c r="E45" s="105" t="s">
        <v>329</v>
      </c>
      <c r="F45" s="100"/>
      <c r="G45" s="34"/>
      <c r="H45" s="34"/>
      <c r="I45" s="97">
        <v>31198.282244133567</v>
      </c>
      <c r="J45" s="97" t="s">
        <v>412</v>
      </c>
      <c r="K45" s="261"/>
      <c r="L45" s="319"/>
      <c r="M45" s="319"/>
      <c r="N45" s="319"/>
      <c r="O45" s="319"/>
      <c r="P45" s="319"/>
      <c r="Q45" s="320"/>
      <c r="R45" s="319"/>
      <c r="S45" s="319"/>
      <c r="T45" s="319"/>
      <c r="U45" s="319"/>
      <c r="V45" s="319"/>
      <c r="W45" s="326">
        <f>SUM(tblPiNAnalysis5613[[#This Row],[CCCM]:[WASH]])</f>
        <v>0</v>
      </c>
      <c r="X45" s="326">
        <v>3</v>
      </c>
    </row>
    <row r="46" spans="1:24" x14ac:dyDescent="0.55000000000000004">
      <c r="A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6" s="316" t="s">
        <v>322</v>
      </c>
      <c r="C46" s="218" t="s">
        <v>323</v>
      </c>
      <c r="D46" s="218" t="s">
        <v>330</v>
      </c>
      <c r="E46" s="105" t="s">
        <v>331</v>
      </c>
      <c r="F46" s="100"/>
      <c r="G46" s="34"/>
      <c r="H46" s="34"/>
      <c r="I46" s="97">
        <v>44969.201203905293</v>
      </c>
      <c r="J46" s="97" t="s">
        <v>412</v>
      </c>
      <c r="K46" s="261">
        <v>462668</v>
      </c>
      <c r="L46" s="319">
        <v>263192.59296213265</v>
      </c>
      <c r="M46" s="319">
        <v>420676.96777672315</v>
      </c>
      <c r="N46" s="319">
        <v>3241136.9325853111</v>
      </c>
      <c r="O46" s="319">
        <v>884473.14084958273</v>
      </c>
      <c r="P46" s="319">
        <v>866917.98984575295</v>
      </c>
      <c r="Q46" s="320">
        <v>917371.70455966797</v>
      </c>
      <c r="R46" s="319">
        <v>200354.67794615467</v>
      </c>
      <c r="S46" s="319"/>
      <c r="T46" s="319"/>
      <c r="U46" s="319"/>
      <c r="V46" s="319"/>
      <c r="W46" s="326">
        <f>SUM(tblPiNAnalysis5613[[#This Row],[CCCM]:[WASH]])</f>
        <v>7256792.0065253256</v>
      </c>
      <c r="X46" s="326">
        <v>2</v>
      </c>
    </row>
    <row r="47" spans="1:24" x14ac:dyDescent="0.55000000000000004">
      <c r="A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7" s="316" t="s">
        <v>322</v>
      </c>
      <c r="C47" s="218" t="s">
        <v>323</v>
      </c>
      <c r="D47" s="218" t="s">
        <v>332</v>
      </c>
      <c r="E47" s="105" t="s">
        <v>333</v>
      </c>
      <c r="F47" s="100"/>
      <c r="G47" s="34"/>
      <c r="H47" s="34"/>
      <c r="I47" s="97">
        <v>30389.775329136301</v>
      </c>
      <c r="J47" s="97" t="s">
        <v>412</v>
      </c>
      <c r="K47" s="261">
        <v>288489</v>
      </c>
      <c r="L47" s="319">
        <v>82665.051259303407</v>
      </c>
      <c r="M47" s="319">
        <v>504472.90277054626</v>
      </c>
      <c r="N47" s="319">
        <v>2275474.4422479519</v>
      </c>
      <c r="O47" s="319">
        <v>517208.41177040851</v>
      </c>
      <c r="P47" s="319">
        <v>625544.66195071628</v>
      </c>
      <c r="Q47" s="320">
        <v>723276.65283344407</v>
      </c>
      <c r="R47" s="319">
        <v>119855.14786444858</v>
      </c>
      <c r="S47" s="319"/>
      <c r="T47" s="319"/>
      <c r="U47" s="319"/>
      <c r="V47" s="319"/>
      <c r="W47" s="326">
        <f>SUM(tblPiNAnalysis5613[[#This Row],[CCCM]:[WASH]])</f>
        <v>5136986.2706968188</v>
      </c>
      <c r="X47" s="326">
        <v>2</v>
      </c>
    </row>
    <row r="48" spans="1:24" x14ac:dyDescent="0.55000000000000004">
      <c r="A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8" s="316" t="s">
        <v>322</v>
      </c>
      <c r="C48" s="218" t="s">
        <v>323</v>
      </c>
      <c r="D48" s="218" t="s">
        <v>334</v>
      </c>
      <c r="E48" s="105" t="s">
        <v>335</v>
      </c>
      <c r="F48" s="100"/>
      <c r="G48" s="34"/>
      <c r="H48" s="34"/>
      <c r="I48" s="97">
        <v>44141.695035855759</v>
      </c>
      <c r="J48" s="97" t="s">
        <v>412</v>
      </c>
      <c r="K48" s="261"/>
      <c r="L48" s="319"/>
      <c r="M48" s="319"/>
      <c r="N48" s="319"/>
      <c r="O48" s="319"/>
      <c r="P48" s="319"/>
      <c r="Q48" s="320"/>
      <c r="R48" s="319"/>
      <c r="S48" s="319"/>
      <c r="T48" s="319"/>
      <c r="U48" s="319"/>
      <c r="V48" s="319"/>
      <c r="W48" s="326">
        <f>SUM(tblPiNAnalysis5613[[#This Row],[CCCM]:[WASH]])</f>
        <v>0</v>
      </c>
      <c r="X48" s="326">
        <v>3</v>
      </c>
    </row>
    <row r="49" spans="1:24" x14ac:dyDescent="0.55000000000000004">
      <c r="A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49" s="316" t="s">
        <v>322</v>
      </c>
      <c r="C49" s="218" t="s">
        <v>323</v>
      </c>
      <c r="D49" s="218" t="s">
        <v>336</v>
      </c>
      <c r="E49" s="105" t="s">
        <v>337</v>
      </c>
      <c r="F49" s="100"/>
      <c r="G49" s="34"/>
      <c r="H49" s="34"/>
      <c r="I49" s="97">
        <v>63061.040191389133</v>
      </c>
      <c r="J49" s="97" t="s">
        <v>412</v>
      </c>
      <c r="K49" s="261">
        <v>634409</v>
      </c>
      <c r="L49" s="319">
        <v>748783.76430262532</v>
      </c>
      <c r="M49" s="319">
        <v>1036542.9613938975</v>
      </c>
      <c r="N49" s="319">
        <v>4619415.7008677945</v>
      </c>
      <c r="O49" s="319">
        <v>1436800.7796491252</v>
      </c>
      <c r="P49" s="319">
        <v>1047842.052967221</v>
      </c>
      <c r="Q49" s="320">
        <v>1286445.2199043385</v>
      </c>
      <c r="R49" s="319">
        <v>669650.50575665722</v>
      </c>
      <c r="S49" s="319"/>
      <c r="T49" s="319"/>
      <c r="U49" s="319"/>
      <c r="V49" s="319"/>
      <c r="W49" s="326">
        <f>SUM(tblPiNAnalysis5613[[#This Row],[CCCM]:[WASH]])</f>
        <v>11479889.98484166</v>
      </c>
      <c r="X49" s="326">
        <v>1</v>
      </c>
    </row>
    <row r="50" spans="1:24" x14ac:dyDescent="0.55000000000000004">
      <c r="A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0" s="316" t="s">
        <v>322</v>
      </c>
      <c r="C50" s="218" t="s">
        <v>323</v>
      </c>
      <c r="D50" s="218" t="s">
        <v>338</v>
      </c>
      <c r="E50" s="105" t="s">
        <v>339</v>
      </c>
      <c r="F50" s="100"/>
      <c r="G50" s="34"/>
      <c r="H50" s="34"/>
      <c r="I50" s="97">
        <v>12256.01658411525</v>
      </c>
      <c r="J50" s="97" t="s">
        <v>412</v>
      </c>
      <c r="K50" s="261">
        <v>0</v>
      </c>
      <c r="L50" s="319">
        <v>55510.930794101521</v>
      </c>
      <c r="M50" s="319">
        <v>197844.92481570772</v>
      </c>
      <c r="N50" s="319">
        <v>145769.7035220323</v>
      </c>
      <c r="O50" s="319">
        <v>302118.36801397579</v>
      </c>
      <c r="P50" s="319">
        <v>92371.514006734811</v>
      </c>
      <c r="Q50" s="320">
        <v>125011.36915797554</v>
      </c>
      <c r="R50" s="319">
        <v>69066.330978559767</v>
      </c>
      <c r="S50" s="319"/>
      <c r="T50" s="319"/>
      <c r="U50" s="319"/>
      <c r="V50" s="319"/>
      <c r="W50" s="326">
        <f>SUM(tblPiNAnalysis5613[[#This Row],[CCCM]:[WASH]])</f>
        <v>987693.14128908748</v>
      </c>
      <c r="X50" s="326">
        <v>2</v>
      </c>
    </row>
    <row r="51" spans="1:24" x14ac:dyDescent="0.55000000000000004">
      <c r="A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1" s="316" t="s">
        <v>322</v>
      </c>
      <c r="C51" s="218" t="s">
        <v>323</v>
      </c>
      <c r="D51" s="218" t="s">
        <v>340</v>
      </c>
      <c r="E51" s="105" t="s">
        <v>341</v>
      </c>
      <c r="F51" s="100"/>
      <c r="G51" s="34"/>
      <c r="H51" s="34"/>
      <c r="I51" s="97">
        <v>233351.6448103383</v>
      </c>
      <c r="J51" s="97" t="s">
        <v>412</v>
      </c>
      <c r="K51" s="261">
        <v>4706904</v>
      </c>
      <c r="L51" s="319">
        <v>3855339.7346787476</v>
      </c>
      <c r="M51" s="319">
        <v>3525827.18652038</v>
      </c>
      <c r="N51" s="319">
        <v>19552636.086024843</v>
      </c>
      <c r="O51" s="319">
        <v>5232515.896959071</v>
      </c>
      <c r="P51" s="319">
        <v>4353374.5992692476</v>
      </c>
      <c r="Q51" s="320">
        <v>3407994.7035255316</v>
      </c>
      <c r="R51" s="319">
        <v>1568731.6399769078</v>
      </c>
      <c r="S51" s="319"/>
      <c r="T51" s="319"/>
      <c r="U51" s="319"/>
      <c r="V51" s="319"/>
      <c r="W51" s="326">
        <f>SUM(tblPiNAnalysis5613[[#This Row],[CCCM]:[WASH]])</f>
        <v>46203323.846954733</v>
      </c>
      <c r="X51" s="326">
        <v>1</v>
      </c>
    </row>
    <row r="52" spans="1:24" x14ac:dyDescent="0.55000000000000004">
      <c r="A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2" s="316" t="s">
        <v>342</v>
      </c>
      <c r="C52" s="218" t="s">
        <v>343</v>
      </c>
      <c r="D52" s="218" t="s">
        <v>344</v>
      </c>
      <c r="E52" s="105" t="s">
        <v>345</v>
      </c>
      <c r="F52" s="100"/>
      <c r="G52" s="34"/>
      <c r="H52" s="34"/>
      <c r="I52" s="97">
        <v>6074.719927136859</v>
      </c>
      <c r="J52" s="97" t="s">
        <v>412</v>
      </c>
      <c r="K52" s="261">
        <v>13616</v>
      </c>
      <c r="L52" s="319">
        <v>29208.225364862359</v>
      </c>
      <c r="M52" s="319">
        <v>142548.21613870806</v>
      </c>
      <c r="N52" s="319">
        <v>489420.56639693875</v>
      </c>
      <c r="O52" s="319">
        <v>106421.28041924351</v>
      </c>
      <c r="P52" s="319">
        <v>53712.452624384066</v>
      </c>
      <c r="Q52" s="320">
        <v>72289.167132928618</v>
      </c>
      <c r="R52" s="319">
        <v>200912.09118412714</v>
      </c>
      <c r="S52" s="319"/>
      <c r="T52" s="319"/>
      <c r="U52" s="319"/>
      <c r="V52" s="319"/>
      <c r="W52" s="326">
        <f>SUM(tblPiNAnalysis5613[[#This Row],[CCCM]:[WASH]])</f>
        <v>1108127.9992611925</v>
      </c>
      <c r="X52" s="326">
        <v>2</v>
      </c>
    </row>
    <row r="53" spans="1:24" x14ac:dyDescent="0.55000000000000004">
      <c r="A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3" s="316" t="s">
        <v>342</v>
      </c>
      <c r="C53" s="218" t="s">
        <v>343</v>
      </c>
      <c r="D53" s="218" t="s">
        <v>346</v>
      </c>
      <c r="E53" s="105" t="s">
        <v>347</v>
      </c>
      <c r="F53" s="100"/>
      <c r="G53" s="34"/>
      <c r="H53" s="34"/>
      <c r="I53" s="97">
        <v>30713.015967447398</v>
      </c>
      <c r="J53" s="97" t="s">
        <v>412</v>
      </c>
      <c r="K53" s="261">
        <v>358225</v>
      </c>
      <c r="L53" s="319">
        <v>628476.76017996005</v>
      </c>
      <c r="M53" s="319">
        <v>411802.70538216276</v>
      </c>
      <c r="N53" s="319">
        <v>2148994.7331565148</v>
      </c>
      <c r="O53" s="319">
        <v>372909.45811444148</v>
      </c>
      <c r="P53" s="319">
        <v>863123.10606907611</v>
      </c>
      <c r="Q53" s="320">
        <v>584775.82402019855</v>
      </c>
      <c r="R53" s="319">
        <v>1146357.3107365</v>
      </c>
      <c r="S53" s="319"/>
      <c r="T53" s="319"/>
      <c r="U53" s="319"/>
      <c r="V53" s="319"/>
      <c r="W53" s="326">
        <f>SUM(tblPiNAnalysis5613[[#This Row],[CCCM]:[WASH]])</f>
        <v>6514664.8976588538</v>
      </c>
      <c r="X53" s="326">
        <v>1</v>
      </c>
    </row>
    <row r="54" spans="1:24" x14ac:dyDescent="0.55000000000000004">
      <c r="A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4" s="316" t="s">
        <v>342</v>
      </c>
      <c r="C54" s="218" t="s">
        <v>343</v>
      </c>
      <c r="D54" s="218" t="s">
        <v>348</v>
      </c>
      <c r="E54" s="105" t="s">
        <v>349</v>
      </c>
      <c r="F54" s="100"/>
      <c r="G54" s="34"/>
      <c r="H54" s="34"/>
      <c r="I54" s="97">
        <v>4270.8268474169781</v>
      </c>
      <c r="J54" s="97" t="s">
        <v>412</v>
      </c>
      <c r="K54" s="261">
        <v>0</v>
      </c>
      <c r="L54" s="319">
        <v>88288.625294958998</v>
      </c>
      <c r="M54" s="319">
        <v>53088.145178075531</v>
      </c>
      <c r="N54" s="319">
        <v>403762.71789934731</v>
      </c>
      <c r="O54" s="319">
        <v>51154.589885404952</v>
      </c>
      <c r="P54" s="319">
        <v>91693.437525361936</v>
      </c>
      <c r="Q54" s="320">
        <v>101645.67896852407</v>
      </c>
      <c r="R54" s="319">
        <v>14723.406854923998</v>
      </c>
      <c r="S54" s="319"/>
      <c r="T54" s="319"/>
      <c r="U54" s="319"/>
      <c r="V54" s="319"/>
      <c r="W54" s="326">
        <f>SUM(tblPiNAnalysis5613[[#This Row],[CCCM]:[WASH]])</f>
        <v>804356.60160659673</v>
      </c>
      <c r="X54" s="326">
        <v>2</v>
      </c>
    </row>
    <row r="55" spans="1:24" x14ac:dyDescent="0.55000000000000004">
      <c r="A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5" s="316" t="s">
        <v>342</v>
      </c>
      <c r="C55" s="218" t="s">
        <v>343</v>
      </c>
      <c r="D55" s="218" t="s">
        <v>350</v>
      </c>
      <c r="E55" s="105" t="s">
        <v>351</v>
      </c>
      <c r="F55" s="100"/>
      <c r="G55" s="34"/>
      <c r="H55" s="34"/>
      <c r="I55" s="97">
        <v>17587.64076058444</v>
      </c>
      <c r="J55" s="97" t="s">
        <v>412</v>
      </c>
      <c r="K55" s="261">
        <v>284763</v>
      </c>
      <c r="L55" s="319">
        <v>0</v>
      </c>
      <c r="M55" s="319">
        <v>252891.26026789818</v>
      </c>
      <c r="N55" s="319">
        <v>1712139.6166831476</v>
      </c>
      <c r="O55" s="319">
        <v>385107.18820976722</v>
      </c>
      <c r="P55" s="319">
        <v>351404.52954243182</v>
      </c>
      <c r="Q55" s="320">
        <v>261616.15631369353</v>
      </c>
      <c r="R55" s="319">
        <v>540819.95338797139</v>
      </c>
      <c r="S55" s="319"/>
      <c r="T55" s="319"/>
      <c r="U55" s="319"/>
      <c r="V55" s="319"/>
      <c r="W55" s="326">
        <f>SUM(tblPiNAnalysis5613[[#This Row],[CCCM]:[WASH]])</f>
        <v>3788741.7044049096</v>
      </c>
      <c r="X55" s="326">
        <v>1</v>
      </c>
    </row>
    <row r="56" spans="1:24" x14ac:dyDescent="0.55000000000000004">
      <c r="A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6" s="316" t="s">
        <v>342</v>
      </c>
      <c r="C56" s="218" t="s">
        <v>343</v>
      </c>
      <c r="D56" s="218" t="s">
        <v>352</v>
      </c>
      <c r="E56" s="105" t="s">
        <v>353</v>
      </c>
      <c r="F56" s="100"/>
      <c r="G56" s="34"/>
      <c r="H56" s="34"/>
      <c r="I56" s="97">
        <v>10736.997624544605</v>
      </c>
      <c r="J56" s="97" t="s">
        <v>412</v>
      </c>
      <c r="K56" s="261">
        <v>132802</v>
      </c>
      <c r="L56" s="319">
        <v>221885.74651995531</v>
      </c>
      <c r="M56" s="319">
        <v>122887.39927076321</v>
      </c>
      <c r="N56" s="319">
        <v>715939.33675443917</v>
      </c>
      <c r="O56" s="319">
        <v>168446.66832309371</v>
      </c>
      <c r="P56" s="319">
        <v>256913.54825073879</v>
      </c>
      <c r="Q56" s="320">
        <v>255540.54346416157</v>
      </c>
      <c r="R56" s="319">
        <v>73369.483767721453</v>
      </c>
      <c r="S56" s="319"/>
      <c r="T56" s="319"/>
      <c r="U56" s="319"/>
      <c r="V56" s="319"/>
      <c r="W56" s="326">
        <f>SUM(tblPiNAnalysis5613[[#This Row],[CCCM]:[WASH]])</f>
        <v>1947784.7263508732</v>
      </c>
      <c r="X56" s="326">
        <v>1</v>
      </c>
    </row>
    <row r="57" spans="1:24" x14ac:dyDescent="0.55000000000000004">
      <c r="A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7" s="316" t="s">
        <v>342</v>
      </c>
      <c r="C57" s="218" t="s">
        <v>343</v>
      </c>
      <c r="D57" s="218" t="s">
        <v>354</v>
      </c>
      <c r="E57" s="105" t="s">
        <v>355</v>
      </c>
      <c r="F57" s="100"/>
      <c r="G57" s="34"/>
      <c r="H57" s="34"/>
      <c r="I57" s="97">
        <v>541.05925656197849</v>
      </c>
      <c r="J57" s="97" t="s">
        <v>412</v>
      </c>
      <c r="K57" s="261">
        <v>0</v>
      </c>
      <c r="L57" s="319">
        <v>0</v>
      </c>
      <c r="M57" s="319">
        <v>0</v>
      </c>
      <c r="N57" s="319">
        <v>0</v>
      </c>
      <c r="O57" s="319">
        <v>0</v>
      </c>
      <c r="P57" s="319"/>
      <c r="Q57" s="320">
        <v>0</v>
      </c>
      <c r="R57" s="319">
        <v>0</v>
      </c>
      <c r="S57" s="319"/>
      <c r="T57" s="319"/>
      <c r="U57" s="319"/>
      <c r="V57" s="319"/>
      <c r="W57" s="326">
        <f>SUM(tblPiNAnalysis5613[[#This Row],[CCCM]:[WASH]])</f>
        <v>0</v>
      </c>
      <c r="X57" s="326">
        <v>4</v>
      </c>
    </row>
    <row r="58" spans="1:24" x14ac:dyDescent="0.55000000000000004">
      <c r="A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8" s="316" t="s">
        <v>342</v>
      </c>
      <c r="C58" s="218" t="s">
        <v>343</v>
      </c>
      <c r="D58" s="218" t="s">
        <v>356</v>
      </c>
      <c r="E58" s="105" t="s">
        <v>357</v>
      </c>
      <c r="F58" s="100"/>
      <c r="G58" s="34"/>
      <c r="H58" s="34"/>
      <c r="I58" s="97">
        <v>107560.86765914821</v>
      </c>
      <c r="J58" s="97" t="s">
        <v>412</v>
      </c>
      <c r="K58" s="261">
        <v>1365004</v>
      </c>
      <c r="L58" s="319">
        <v>180826.16778691235</v>
      </c>
      <c r="M58" s="319">
        <v>1603396.9502563477</v>
      </c>
      <c r="N58" s="319">
        <v>8887121.3761873264</v>
      </c>
      <c r="O58" s="319">
        <v>2577183.5256823925</v>
      </c>
      <c r="P58" s="319">
        <v>1802820.0961833822</v>
      </c>
      <c r="Q58" s="320">
        <v>2039745.1812453016</v>
      </c>
      <c r="R58" s="319">
        <v>2756023.5305570229</v>
      </c>
      <c r="S58" s="319"/>
      <c r="T58" s="319"/>
      <c r="U58" s="319"/>
      <c r="V58" s="319"/>
      <c r="W58" s="326">
        <f>SUM(tblPiNAnalysis5613[[#This Row],[CCCM]:[WASH]])</f>
        <v>21212120.827898685</v>
      </c>
      <c r="X58" s="326">
        <v>1</v>
      </c>
    </row>
    <row r="59" spans="1:24" x14ac:dyDescent="0.55000000000000004">
      <c r="A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59" s="316" t="s">
        <v>342</v>
      </c>
      <c r="C59" s="218" t="s">
        <v>343</v>
      </c>
      <c r="D59" s="218" t="s">
        <v>358</v>
      </c>
      <c r="E59" s="105" t="s">
        <v>359</v>
      </c>
      <c r="F59" s="100"/>
      <c r="G59" s="34"/>
      <c r="H59" s="34"/>
      <c r="I59" s="97">
        <v>19743.531183340554</v>
      </c>
      <c r="J59" s="97" t="s">
        <v>412</v>
      </c>
      <c r="K59" s="261"/>
      <c r="L59" s="319"/>
      <c r="M59" s="319"/>
      <c r="N59" s="319"/>
      <c r="O59" s="319"/>
      <c r="P59" s="319"/>
      <c r="Q59" s="320"/>
      <c r="R59" s="319"/>
      <c r="S59" s="319"/>
      <c r="T59" s="319"/>
      <c r="U59" s="319"/>
      <c r="V59" s="319"/>
      <c r="W59" s="326">
        <f>SUM(tblPiNAnalysis5613[[#This Row],[CCCM]:[WASH]])</f>
        <v>0</v>
      </c>
      <c r="X59" s="326">
        <v>3</v>
      </c>
    </row>
    <row r="60" spans="1:24" x14ac:dyDescent="0.55000000000000004">
      <c r="A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0" s="316" t="s">
        <v>342</v>
      </c>
      <c r="C60" s="218" t="s">
        <v>343</v>
      </c>
      <c r="D60" s="218" t="s">
        <v>360</v>
      </c>
      <c r="E60" s="105" t="s">
        <v>361</v>
      </c>
      <c r="F60" s="100"/>
      <c r="G60" s="34"/>
      <c r="H60" s="34"/>
      <c r="I60" s="97">
        <v>33846.254411291047</v>
      </c>
      <c r="J60" s="97" t="s">
        <v>412</v>
      </c>
      <c r="K60" s="261">
        <v>0</v>
      </c>
      <c r="L60" s="319">
        <v>0</v>
      </c>
      <c r="M60" s="319">
        <v>0</v>
      </c>
      <c r="N60" s="319">
        <v>0</v>
      </c>
      <c r="O60" s="319">
        <v>0</v>
      </c>
      <c r="P60" s="319"/>
      <c r="Q60" s="320">
        <v>0</v>
      </c>
      <c r="R60" s="319">
        <v>0</v>
      </c>
      <c r="S60" s="319"/>
      <c r="T60" s="319"/>
      <c r="U60" s="319"/>
      <c r="V60" s="319"/>
      <c r="W60" s="326">
        <f>SUM(tblPiNAnalysis5613[[#This Row],[CCCM]:[WASH]])</f>
        <v>0</v>
      </c>
      <c r="X60" s="326">
        <v>4</v>
      </c>
    </row>
    <row r="61" spans="1:24" x14ac:dyDescent="0.55000000000000004">
      <c r="A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1" s="316" t="s">
        <v>342</v>
      </c>
      <c r="C61" s="218" t="s">
        <v>343</v>
      </c>
      <c r="D61" s="218" t="s">
        <v>362</v>
      </c>
      <c r="E61" s="105" t="s">
        <v>363</v>
      </c>
      <c r="F61" s="100"/>
      <c r="G61" s="34"/>
      <c r="H61" s="34"/>
      <c r="I61" s="97">
        <v>17038.14092740557</v>
      </c>
      <c r="J61" s="97" t="s">
        <v>412</v>
      </c>
      <c r="K61" s="261">
        <v>45632</v>
      </c>
      <c r="L61" s="319">
        <v>84555.318285563058</v>
      </c>
      <c r="M61" s="319">
        <v>304301.14028088807</v>
      </c>
      <c r="N61" s="319">
        <v>1504354.7292503316</v>
      </c>
      <c r="O61" s="319">
        <v>367284.59559415525</v>
      </c>
      <c r="P61" s="319">
        <v>333542.54340254463</v>
      </c>
      <c r="Q61" s="320">
        <v>334984.66640751291</v>
      </c>
      <c r="R61" s="319">
        <v>636501.29361243814</v>
      </c>
      <c r="S61" s="319"/>
      <c r="T61" s="319"/>
      <c r="U61" s="319"/>
      <c r="V61" s="319"/>
      <c r="W61" s="326">
        <f>SUM(tblPiNAnalysis5613[[#This Row],[CCCM]:[WASH]])</f>
        <v>3611156.2868334339</v>
      </c>
      <c r="X61" s="326">
        <v>2</v>
      </c>
    </row>
    <row r="62" spans="1:24" x14ac:dyDescent="0.55000000000000004">
      <c r="A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2" s="316" t="s">
        <v>342</v>
      </c>
      <c r="C62" s="218" t="s">
        <v>343</v>
      </c>
      <c r="D62" s="218" t="s">
        <v>364</v>
      </c>
      <c r="E62" s="105" t="s">
        <v>365</v>
      </c>
      <c r="F62" s="100"/>
      <c r="G62" s="34"/>
      <c r="H62" s="34"/>
      <c r="I62" s="97">
        <v>119449.90934019189</v>
      </c>
      <c r="J62" s="97" t="s">
        <v>412</v>
      </c>
      <c r="K62" s="261">
        <v>265742</v>
      </c>
      <c r="L62" s="319">
        <v>1312635.0537393689</v>
      </c>
      <c r="M62" s="319">
        <v>1127094.7797871719</v>
      </c>
      <c r="N62" s="319">
        <v>1535659.6264867438</v>
      </c>
      <c r="O62" s="319">
        <v>1392105.0811168435</v>
      </c>
      <c r="P62" s="319">
        <v>1539536.5485607202</v>
      </c>
      <c r="Q62" s="320">
        <v>947635.94743218902</v>
      </c>
      <c r="R62" s="319">
        <v>971595.56745039148</v>
      </c>
      <c r="S62" s="319"/>
      <c r="T62" s="319"/>
      <c r="U62" s="319"/>
      <c r="V62" s="319"/>
      <c r="W62" s="326">
        <f>SUM(tblPiNAnalysis5613[[#This Row],[CCCM]:[WASH]])</f>
        <v>9092004.6045734286</v>
      </c>
      <c r="X62" s="326">
        <v>1</v>
      </c>
    </row>
    <row r="63" spans="1:24" x14ac:dyDescent="0.55000000000000004">
      <c r="A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3" s="316" t="s">
        <v>342</v>
      </c>
      <c r="C63" s="218" t="s">
        <v>343</v>
      </c>
      <c r="D63" s="218" t="s">
        <v>366</v>
      </c>
      <c r="E63" s="105" t="s">
        <v>367</v>
      </c>
      <c r="F63" s="100"/>
      <c r="G63" s="34"/>
      <c r="H63" s="34"/>
      <c r="I63" s="97">
        <v>18966</v>
      </c>
      <c r="J63" s="97" t="s">
        <v>412</v>
      </c>
      <c r="K63" s="261">
        <v>436218</v>
      </c>
      <c r="L63" s="319">
        <v>369677.68559999997</v>
      </c>
      <c r="M63" s="319">
        <v>248012.75157334778</v>
      </c>
      <c r="N63" s="319">
        <v>1763915.7487598527</v>
      </c>
      <c r="O63" s="319">
        <v>433573.40102224721</v>
      </c>
      <c r="P63" s="319">
        <v>412723.44291846792</v>
      </c>
      <c r="Q63" s="320">
        <v>300927.19999999995</v>
      </c>
      <c r="R63" s="319">
        <v>583204.50000000012</v>
      </c>
      <c r="S63" s="319"/>
      <c r="T63" s="319"/>
      <c r="U63" s="319"/>
      <c r="V63" s="319"/>
      <c r="W63" s="326">
        <f>SUM(tblPiNAnalysis5613[[#This Row],[CCCM]:[WASH]])</f>
        <v>4548252.7298739152</v>
      </c>
      <c r="X63" s="326">
        <v>1</v>
      </c>
    </row>
    <row r="64" spans="1:24" x14ac:dyDescent="0.55000000000000004">
      <c r="A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4" s="316" t="s">
        <v>368</v>
      </c>
      <c r="C64" s="218" t="s">
        <v>369</v>
      </c>
      <c r="D64" s="218" t="s">
        <v>370</v>
      </c>
      <c r="E64" s="105" t="s">
        <v>371</v>
      </c>
      <c r="F64" s="100"/>
      <c r="G64" s="34"/>
      <c r="H64" s="34"/>
      <c r="I64" s="97">
        <v>18326.432795999659</v>
      </c>
      <c r="J64" s="97" t="s">
        <v>412</v>
      </c>
      <c r="K64" s="261"/>
      <c r="L64" s="319"/>
      <c r="M64" s="319"/>
      <c r="N64" s="319"/>
      <c r="O64" s="319"/>
      <c r="P64" s="319"/>
      <c r="Q64" s="320"/>
      <c r="R64" s="319"/>
      <c r="S64" s="319"/>
      <c r="T64" s="319"/>
      <c r="U64" s="319"/>
      <c r="V64" s="319"/>
      <c r="W64" s="326">
        <f>SUM(tblPiNAnalysis5613[[#This Row],[CCCM]:[WASH]])</f>
        <v>0</v>
      </c>
      <c r="X64" s="326">
        <v>3</v>
      </c>
    </row>
    <row r="65" spans="1:24" x14ac:dyDescent="0.55000000000000004">
      <c r="A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5" s="316" t="s">
        <v>368</v>
      </c>
      <c r="C65" s="218" t="s">
        <v>369</v>
      </c>
      <c r="D65" s="218" t="s">
        <v>372</v>
      </c>
      <c r="E65" s="105" t="s">
        <v>373</v>
      </c>
      <c r="F65" s="100"/>
      <c r="G65" s="34"/>
      <c r="H65" s="34"/>
      <c r="I65" s="97">
        <v>24686.538616861621</v>
      </c>
      <c r="J65" s="97" t="s">
        <v>412</v>
      </c>
      <c r="K65" s="261"/>
      <c r="L65" s="319"/>
      <c r="M65" s="319"/>
      <c r="N65" s="319"/>
      <c r="O65" s="319"/>
      <c r="P65" s="319"/>
      <c r="Q65" s="320"/>
      <c r="R65" s="319"/>
      <c r="S65" s="319"/>
      <c r="T65" s="319"/>
      <c r="U65" s="319"/>
      <c r="V65" s="319"/>
      <c r="W65" s="326">
        <f>SUM(tblPiNAnalysis5613[[#This Row],[CCCM]:[WASH]])</f>
        <v>0</v>
      </c>
      <c r="X65" s="326">
        <v>3</v>
      </c>
    </row>
    <row r="66" spans="1:24" x14ac:dyDescent="0.55000000000000004">
      <c r="A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6" s="316" t="s">
        <v>368</v>
      </c>
      <c r="C66" s="218" t="s">
        <v>369</v>
      </c>
      <c r="D66" s="218" t="s">
        <v>374</v>
      </c>
      <c r="E66" s="105" t="s">
        <v>375</v>
      </c>
      <c r="F66" s="100"/>
      <c r="G66" s="34"/>
      <c r="H66" s="34"/>
      <c r="I66" s="97">
        <v>23538.621025019514</v>
      </c>
      <c r="J66" s="97" t="s">
        <v>412</v>
      </c>
      <c r="K66" s="261">
        <v>4416</v>
      </c>
      <c r="L66" s="319">
        <v>462028.57602546836</v>
      </c>
      <c r="M66" s="319">
        <v>365238.63921329338</v>
      </c>
      <c r="N66" s="319">
        <v>1753959.2114009312</v>
      </c>
      <c r="O66" s="319">
        <v>277697.96066776133</v>
      </c>
      <c r="P66" s="319">
        <v>493726.96714066906</v>
      </c>
      <c r="Q66" s="320">
        <v>560219.18039546441</v>
      </c>
      <c r="R66" s="319">
        <v>144712.87509286046</v>
      </c>
      <c r="S66" s="319"/>
      <c r="T66" s="319"/>
      <c r="U66" s="319"/>
      <c r="V66" s="319"/>
      <c r="W66" s="326">
        <f>SUM(tblPiNAnalysis5613[[#This Row],[CCCM]:[WASH]])</f>
        <v>4061999.4099364481</v>
      </c>
      <c r="X66" s="326">
        <v>2</v>
      </c>
    </row>
    <row r="67" spans="1:24" x14ac:dyDescent="0.55000000000000004">
      <c r="A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7" s="316" t="s">
        <v>368</v>
      </c>
      <c r="C67" s="218" t="s">
        <v>369</v>
      </c>
      <c r="D67" s="218" t="s">
        <v>376</v>
      </c>
      <c r="E67" s="105" t="s">
        <v>377</v>
      </c>
      <c r="F67" s="100"/>
      <c r="G67" s="34"/>
      <c r="H67" s="34"/>
      <c r="I67" s="97">
        <v>35756.212335130236</v>
      </c>
      <c r="J67" s="97" t="s">
        <v>412</v>
      </c>
      <c r="K67" s="261"/>
      <c r="L67" s="319"/>
      <c r="M67" s="319"/>
      <c r="N67" s="319"/>
      <c r="O67" s="319"/>
      <c r="P67" s="319"/>
      <c r="Q67" s="320"/>
      <c r="R67" s="319"/>
      <c r="S67" s="319"/>
      <c r="T67" s="319"/>
      <c r="U67" s="319"/>
      <c r="V67" s="319"/>
      <c r="W67" s="326">
        <f>SUM(tblPiNAnalysis5613[[#This Row],[CCCM]:[WASH]])</f>
        <v>0</v>
      </c>
      <c r="X67" s="326">
        <v>3</v>
      </c>
    </row>
    <row r="68" spans="1:24" x14ac:dyDescent="0.55000000000000004">
      <c r="A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8" s="316" t="s">
        <v>368</v>
      </c>
      <c r="C68" s="218" t="s">
        <v>369</v>
      </c>
      <c r="D68" s="218" t="s">
        <v>378</v>
      </c>
      <c r="E68" s="105" t="s">
        <v>379</v>
      </c>
      <c r="F68" s="100"/>
      <c r="G68" s="34"/>
      <c r="H68" s="34"/>
      <c r="I68" s="97">
        <v>7457.5791677040434</v>
      </c>
      <c r="J68" s="97" t="s">
        <v>412</v>
      </c>
      <c r="K68" s="261">
        <v>0</v>
      </c>
      <c r="L68" s="319">
        <v>0</v>
      </c>
      <c r="M68" s="319">
        <v>0</v>
      </c>
      <c r="N68" s="319">
        <v>0</v>
      </c>
      <c r="O68" s="319">
        <v>0</v>
      </c>
      <c r="P68" s="319"/>
      <c r="Q68" s="320">
        <v>0</v>
      </c>
      <c r="R68" s="319">
        <v>0</v>
      </c>
      <c r="S68" s="319"/>
      <c r="T68" s="319"/>
      <c r="U68" s="319"/>
      <c r="V68" s="319"/>
      <c r="W68" s="326">
        <f>SUM(tblPiNAnalysis5613[[#This Row],[CCCM]:[WASH]])</f>
        <v>0</v>
      </c>
      <c r="X68" s="326">
        <v>4</v>
      </c>
    </row>
    <row r="69" spans="1:24" x14ac:dyDescent="0.55000000000000004">
      <c r="A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69" s="316" t="s">
        <v>368</v>
      </c>
      <c r="C69" s="218" t="s">
        <v>369</v>
      </c>
      <c r="D69" s="218" t="s">
        <v>380</v>
      </c>
      <c r="E69" s="105" t="s">
        <v>381</v>
      </c>
      <c r="F69" s="100"/>
      <c r="G69" s="34"/>
      <c r="H69" s="34"/>
      <c r="I69" s="97">
        <v>150879.3340223525</v>
      </c>
      <c r="J69" s="97" t="s">
        <v>412</v>
      </c>
      <c r="K69" s="261">
        <v>1551580</v>
      </c>
      <c r="L69" s="319">
        <v>1111697.0385967758</v>
      </c>
      <c r="M69" s="319">
        <v>2363760.0497004618</v>
      </c>
      <c r="N69" s="319">
        <v>9011529.029530609</v>
      </c>
      <c r="O69" s="319">
        <v>3232134.1676820954</v>
      </c>
      <c r="P69" s="319">
        <v>2803385.2048225165</v>
      </c>
      <c r="Q69" s="320">
        <v>2029655.0411528638</v>
      </c>
      <c r="R69" s="319">
        <v>792614.51925176964</v>
      </c>
      <c r="S69" s="319"/>
      <c r="T69" s="319"/>
      <c r="U69" s="319"/>
      <c r="V69" s="319"/>
      <c r="W69" s="326">
        <f>SUM(tblPiNAnalysis5613[[#This Row],[CCCM]:[WASH]])</f>
        <v>22896355.050737098</v>
      </c>
      <c r="X69" s="326">
        <v>1</v>
      </c>
    </row>
    <row r="70" spans="1:24" x14ac:dyDescent="0.55000000000000004">
      <c r="A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0" s="316" t="s">
        <v>382</v>
      </c>
      <c r="C70" s="218" t="s">
        <v>383</v>
      </c>
      <c r="D70" s="218" t="s">
        <v>384</v>
      </c>
      <c r="E70" s="105" t="s">
        <v>385</v>
      </c>
      <c r="F70" s="100"/>
      <c r="G70" s="34"/>
      <c r="H70" s="34"/>
      <c r="I70" s="97">
        <v>47398.331065600592</v>
      </c>
      <c r="J70" s="97" t="s">
        <v>412</v>
      </c>
      <c r="K70" s="261">
        <v>0</v>
      </c>
      <c r="L70" s="319">
        <v>0</v>
      </c>
      <c r="M70" s="319">
        <v>0</v>
      </c>
      <c r="N70" s="319">
        <v>0</v>
      </c>
      <c r="O70" s="319">
        <v>0</v>
      </c>
      <c r="P70" s="319"/>
      <c r="Q70" s="320">
        <v>0</v>
      </c>
      <c r="R70" s="319">
        <v>0</v>
      </c>
      <c r="S70" s="319"/>
      <c r="T70" s="319"/>
      <c r="U70" s="319"/>
      <c r="V70" s="319"/>
      <c r="W70" s="326">
        <f>SUM(tblPiNAnalysis5613[[#This Row],[CCCM]:[WASH]])</f>
        <v>0</v>
      </c>
      <c r="X70" s="326">
        <v>4</v>
      </c>
    </row>
    <row r="71" spans="1:24" x14ac:dyDescent="0.55000000000000004">
      <c r="A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1" s="316" t="s">
        <v>382</v>
      </c>
      <c r="C71" s="218" t="s">
        <v>383</v>
      </c>
      <c r="D71" s="218" t="s">
        <v>386</v>
      </c>
      <c r="E71" s="105" t="s">
        <v>387</v>
      </c>
      <c r="F71" s="100"/>
      <c r="G71" s="34"/>
      <c r="H71" s="34"/>
      <c r="I71" s="97">
        <v>7607.0241213008612</v>
      </c>
      <c r="J71" s="97" t="s">
        <v>412</v>
      </c>
      <c r="K71" s="261"/>
      <c r="L71" s="319"/>
      <c r="M71" s="319"/>
      <c r="N71" s="319"/>
      <c r="O71" s="319"/>
      <c r="P71" s="319"/>
      <c r="Q71" s="320"/>
      <c r="R71" s="319"/>
      <c r="S71" s="319"/>
      <c r="T71" s="319"/>
      <c r="U71" s="319"/>
      <c r="V71" s="319"/>
      <c r="W71" s="326">
        <f>SUM(tblPiNAnalysis5613[[#This Row],[CCCM]:[WASH]])</f>
        <v>0</v>
      </c>
      <c r="X71" s="326">
        <v>3</v>
      </c>
    </row>
    <row r="72" spans="1:24" x14ac:dyDescent="0.55000000000000004">
      <c r="A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2" s="316" t="s">
        <v>382</v>
      </c>
      <c r="C72" s="218" t="s">
        <v>383</v>
      </c>
      <c r="D72" s="218" t="s">
        <v>388</v>
      </c>
      <c r="E72" s="105" t="s">
        <v>389</v>
      </c>
      <c r="F72" s="100"/>
      <c r="G72" s="34"/>
      <c r="H72" s="34"/>
      <c r="I72" s="97">
        <v>17868.652727011824</v>
      </c>
      <c r="J72" s="97" t="s">
        <v>412</v>
      </c>
      <c r="K72" s="261">
        <v>0</v>
      </c>
      <c r="L72" s="319">
        <v>0</v>
      </c>
      <c r="M72" s="319">
        <v>0</v>
      </c>
      <c r="N72" s="319">
        <v>0</v>
      </c>
      <c r="O72" s="319">
        <v>0</v>
      </c>
      <c r="P72" s="319"/>
      <c r="Q72" s="320">
        <v>0</v>
      </c>
      <c r="R72" s="319">
        <v>0</v>
      </c>
      <c r="S72" s="319"/>
      <c r="T72" s="319"/>
      <c r="U72" s="319"/>
      <c r="V72" s="319"/>
      <c r="W72" s="326">
        <f>SUM(tblPiNAnalysis5613[[#This Row],[CCCM]:[WASH]])</f>
        <v>0</v>
      </c>
      <c r="X72" s="326">
        <v>4</v>
      </c>
    </row>
    <row r="73" spans="1:24" x14ac:dyDescent="0.55000000000000004">
      <c r="A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3" s="316" t="s">
        <v>390</v>
      </c>
      <c r="C73" s="218" t="s">
        <v>391</v>
      </c>
      <c r="D73" s="218" t="s">
        <v>392</v>
      </c>
      <c r="E73" s="105" t="s">
        <v>393</v>
      </c>
      <c r="F73" s="100"/>
      <c r="G73" s="34"/>
      <c r="H73" s="34"/>
      <c r="I73" s="97">
        <v>41205.344743342968</v>
      </c>
      <c r="J73" s="97" t="s">
        <v>412</v>
      </c>
      <c r="K73" s="261"/>
      <c r="L73" s="319"/>
      <c r="M73" s="319"/>
      <c r="N73" s="319"/>
      <c r="O73" s="319"/>
      <c r="P73" s="319"/>
      <c r="Q73" s="320"/>
      <c r="R73" s="319"/>
      <c r="S73" s="319"/>
      <c r="T73" s="319"/>
      <c r="U73" s="319"/>
      <c r="V73" s="319"/>
      <c r="W73" s="326">
        <f>SUM(tblPiNAnalysis5613[[#This Row],[CCCM]:[WASH]])</f>
        <v>0</v>
      </c>
      <c r="X73" s="326">
        <v>3</v>
      </c>
    </row>
    <row r="74" spans="1:24" x14ac:dyDescent="0.55000000000000004">
      <c r="A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4" s="316" t="s">
        <v>390</v>
      </c>
      <c r="C74" s="218" t="s">
        <v>391</v>
      </c>
      <c r="D74" s="218" t="s">
        <v>394</v>
      </c>
      <c r="E74" s="105" t="s">
        <v>395</v>
      </c>
      <c r="F74" s="100"/>
      <c r="G74" s="34"/>
      <c r="H74" s="34"/>
      <c r="I74" s="97">
        <v>7434.8763775539119</v>
      </c>
      <c r="J74" s="97" t="s">
        <v>412</v>
      </c>
      <c r="K74" s="261">
        <v>0</v>
      </c>
      <c r="L74" s="319">
        <v>0</v>
      </c>
      <c r="M74" s="319">
        <v>0</v>
      </c>
      <c r="N74" s="319">
        <v>0</v>
      </c>
      <c r="O74" s="319">
        <v>0</v>
      </c>
      <c r="P74" s="319"/>
      <c r="Q74" s="320">
        <v>0</v>
      </c>
      <c r="R74" s="319">
        <v>0</v>
      </c>
      <c r="S74" s="319"/>
      <c r="T74" s="319"/>
      <c r="U74" s="319"/>
      <c r="V74" s="319"/>
      <c r="W74" s="326">
        <f>SUM(tblPiNAnalysis5613[[#This Row],[CCCM]:[WASH]])</f>
        <v>0</v>
      </c>
      <c r="X74" s="326">
        <v>5</v>
      </c>
    </row>
    <row r="75" spans="1:24" x14ac:dyDescent="0.55000000000000004">
      <c r="A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5" s="316" t="s">
        <v>390</v>
      </c>
      <c r="C75" s="218" t="s">
        <v>391</v>
      </c>
      <c r="D75" s="218" t="s">
        <v>396</v>
      </c>
      <c r="E75" s="105" t="s">
        <v>397</v>
      </c>
      <c r="F75" s="100"/>
      <c r="G75" s="34"/>
      <c r="H75" s="34"/>
      <c r="I75" s="97">
        <v>11522.074781291758</v>
      </c>
      <c r="J75" s="97" t="s">
        <v>412</v>
      </c>
      <c r="K75" s="261">
        <v>0</v>
      </c>
      <c r="L75" s="319">
        <v>0</v>
      </c>
      <c r="M75" s="319">
        <v>0</v>
      </c>
      <c r="N75" s="319">
        <v>0</v>
      </c>
      <c r="O75" s="319">
        <v>0</v>
      </c>
      <c r="P75" s="319"/>
      <c r="Q75" s="320">
        <v>0</v>
      </c>
      <c r="R75" s="319">
        <v>0</v>
      </c>
      <c r="S75" s="319"/>
      <c r="T75" s="319"/>
      <c r="U75" s="319"/>
      <c r="V75" s="319"/>
      <c r="W75" s="326">
        <f>SUM(tblPiNAnalysis5613[[#This Row],[CCCM]:[WASH]])</f>
        <v>0</v>
      </c>
      <c r="X75" s="326">
        <v>5</v>
      </c>
    </row>
    <row r="76" spans="1:24" x14ac:dyDescent="0.55000000000000004">
      <c r="A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6" s="316" t="s">
        <v>390</v>
      </c>
      <c r="C76" s="218" t="s">
        <v>391</v>
      </c>
      <c r="D76" s="218" t="s">
        <v>398</v>
      </c>
      <c r="E76" s="105" t="s">
        <v>399</v>
      </c>
      <c r="F76" s="100"/>
      <c r="G76" s="34"/>
      <c r="H76" s="34"/>
      <c r="I76" s="97">
        <v>17357.293062226148</v>
      </c>
      <c r="J76" s="97" t="s">
        <v>412</v>
      </c>
      <c r="K76" s="261">
        <v>0</v>
      </c>
      <c r="L76" s="319">
        <v>0</v>
      </c>
      <c r="M76" s="319">
        <v>0</v>
      </c>
      <c r="N76" s="319">
        <v>0</v>
      </c>
      <c r="O76" s="319">
        <v>0</v>
      </c>
      <c r="P76" s="319"/>
      <c r="Q76" s="320">
        <v>0</v>
      </c>
      <c r="R76" s="319">
        <v>0</v>
      </c>
      <c r="S76" s="319"/>
      <c r="T76" s="319"/>
      <c r="U76" s="319"/>
      <c r="V76" s="319"/>
      <c r="W76" s="326">
        <f>SUM(tblPiNAnalysis5613[[#This Row],[CCCM]:[WASH]])</f>
        <v>0</v>
      </c>
      <c r="X76" s="326">
        <v>5</v>
      </c>
    </row>
    <row r="77" spans="1:24" x14ac:dyDescent="0.55000000000000004">
      <c r="A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7" s="316" t="s">
        <v>390</v>
      </c>
      <c r="C77" s="218" t="s">
        <v>391</v>
      </c>
      <c r="D77" s="218" t="s">
        <v>400</v>
      </c>
      <c r="E77" s="105" t="s">
        <v>401</v>
      </c>
      <c r="F77" s="100"/>
      <c r="G77" s="34"/>
      <c r="H77" s="34"/>
      <c r="I77" s="97">
        <v>1326.2143950586142</v>
      </c>
      <c r="J77" s="97" t="s">
        <v>412</v>
      </c>
      <c r="K77" s="261">
        <v>0</v>
      </c>
      <c r="L77" s="319">
        <v>0</v>
      </c>
      <c r="M77" s="319">
        <v>0</v>
      </c>
      <c r="N77" s="319">
        <v>0</v>
      </c>
      <c r="O77" s="319">
        <v>0</v>
      </c>
      <c r="P77" s="319"/>
      <c r="Q77" s="320">
        <v>0</v>
      </c>
      <c r="R77" s="319">
        <v>0</v>
      </c>
      <c r="S77" s="319"/>
      <c r="T77" s="319"/>
      <c r="U77" s="319"/>
      <c r="V77" s="319"/>
      <c r="W77" s="326">
        <f>SUM(tblPiNAnalysis5613[[#This Row],[CCCM]:[WASH]])</f>
        <v>0</v>
      </c>
      <c r="X77" s="326">
        <v>5</v>
      </c>
    </row>
    <row r="78" spans="1:24" x14ac:dyDescent="0.55000000000000004">
      <c r="A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8" s="316" t="s">
        <v>390</v>
      </c>
      <c r="C78" s="218" t="s">
        <v>391</v>
      </c>
      <c r="D78" s="218" t="s">
        <v>402</v>
      </c>
      <c r="E78" s="105" t="s">
        <v>403</v>
      </c>
      <c r="F78" s="100"/>
      <c r="G78" s="34"/>
      <c r="H78" s="34"/>
      <c r="I78" s="97">
        <v>0</v>
      </c>
      <c r="J78" s="97" t="s">
        <v>412</v>
      </c>
      <c r="K78" s="261">
        <v>0</v>
      </c>
      <c r="L78" s="319">
        <v>0</v>
      </c>
      <c r="M78" s="319">
        <v>0</v>
      </c>
      <c r="N78" s="319">
        <v>0</v>
      </c>
      <c r="O78" s="319">
        <v>0</v>
      </c>
      <c r="P78" s="319"/>
      <c r="Q78" s="320">
        <v>0</v>
      </c>
      <c r="R78" s="319">
        <v>0</v>
      </c>
      <c r="S78" s="319"/>
      <c r="T78" s="319"/>
      <c r="U78" s="319"/>
      <c r="V78" s="319"/>
      <c r="W78" s="326">
        <f>SUM(tblPiNAnalysis5613[[#This Row],[CCCM]:[WASH]])</f>
        <v>0</v>
      </c>
      <c r="X78" s="326">
        <v>5</v>
      </c>
    </row>
    <row r="79" spans="1:24" x14ac:dyDescent="0.55000000000000004">
      <c r="A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79" s="316" t="s">
        <v>390</v>
      </c>
      <c r="C79" s="218" t="s">
        <v>391</v>
      </c>
      <c r="D79" s="218" t="s">
        <v>404</v>
      </c>
      <c r="E79" s="105" t="s">
        <v>405</v>
      </c>
      <c r="F79" s="100"/>
      <c r="G79" s="34"/>
      <c r="H79" s="34"/>
      <c r="I79" s="97">
        <v>36534.526328235108</v>
      </c>
      <c r="J79" s="97" t="s">
        <v>412</v>
      </c>
      <c r="K79" s="261">
        <v>80730</v>
      </c>
      <c r="L79" s="319">
        <v>114968.01655453275</v>
      </c>
      <c r="M79" s="319">
        <v>347924.38275037287</v>
      </c>
      <c r="N79" s="319">
        <v>381540.08384724183</v>
      </c>
      <c r="O79" s="319">
        <v>544857.71412463009</v>
      </c>
      <c r="P79" s="319">
        <v>750625.74945035041</v>
      </c>
      <c r="Q79" s="320">
        <v>232907.60534249881</v>
      </c>
      <c r="R79" s="319">
        <v>411464.46472756151</v>
      </c>
      <c r="S79" s="319"/>
      <c r="T79" s="319"/>
      <c r="U79" s="319"/>
      <c r="V79" s="319"/>
      <c r="W79" s="326">
        <f>SUM(tblPiNAnalysis5613[[#This Row],[CCCM]:[WASH]])</f>
        <v>2865018.0167971882</v>
      </c>
      <c r="X79" s="326">
        <v>2</v>
      </c>
    </row>
    <row r="80" spans="1:24" x14ac:dyDescent="0.55000000000000004">
      <c r="A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0" s="316" t="s">
        <v>390</v>
      </c>
      <c r="C80" s="218" t="s">
        <v>391</v>
      </c>
      <c r="D80" s="218" t="s">
        <v>406</v>
      </c>
      <c r="E80" s="105" t="s">
        <v>407</v>
      </c>
      <c r="F80" s="100"/>
      <c r="G80" s="34"/>
      <c r="H80" s="34"/>
      <c r="I80" s="97">
        <v>2761.8509896481692</v>
      </c>
      <c r="J80" s="97" t="s">
        <v>412</v>
      </c>
      <c r="K80" s="261">
        <v>0</v>
      </c>
      <c r="L80" s="319">
        <v>0</v>
      </c>
      <c r="M80" s="319">
        <v>0</v>
      </c>
      <c r="N80" s="319">
        <v>0</v>
      </c>
      <c r="O80" s="319">
        <v>0</v>
      </c>
      <c r="P80" s="319"/>
      <c r="Q80" s="320">
        <v>0</v>
      </c>
      <c r="R80" s="319">
        <v>0</v>
      </c>
      <c r="S80" s="319"/>
      <c r="T80" s="319"/>
      <c r="U80" s="319"/>
      <c r="V80" s="319"/>
      <c r="W80" s="326">
        <f>SUM(tblPiNAnalysis5613[[#This Row],[CCCM]:[WASH]])</f>
        <v>0</v>
      </c>
      <c r="X80" s="326">
        <v>5</v>
      </c>
    </row>
    <row r="81" spans="1:24" x14ac:dyDescent="0.55000000000000004">
      <c r="A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1" s="316" t="s">
        <v>390</v>
      </c>
      <c r="C81" s="218" t="s">
        <v>391</v>
      </c>
      <c r="D81" s="218" t="s">
        <v>408</v>
      </c>
      <c r="E81" s="105" t="s">
        <v>409</v>
      </c>
      <c r="F81" s="100"/>
      <c r="G81" s="34"/>
      <c r="H81" s="34"/>
      <c r="I81" s="97">
        <v>24855.8360229996</v>
      </c>
      <c r="J81" s="97" t="s">
        <v>412</v>
      </c>
      <c r="K81" s="261">
        <v>519202</v>
      </c>
      <c r="L81" s="319">
        <v>300311.69064692437</v>
      </c>
      <c r="M81" s="319">
        <v>193964.62335594799</v>
      </c>
      <c r="N81" s="319">
        <v>208657.3300759047</v>
      </c>
      <c r="O81" s="319">
        <v>417021.69270036032</v>
      </c>
      <c r="P81" s="319">
        <v>509781.00055399415</v>
      </c>
      <c r="Q81" s="320">
        <v>574169.81213129079</v>
      </c>
      <c r="R81" s="319">
        <v>554758.86179265042</v>
      </c>
      <c r="S81" s="319"/>
      <c r="T81" s="319"/>
      <c r="U81" s="319"/>
      <c r="V81" s="319"/>
      <c r="W81" s="326">
        <f>SUM(tblPiNAnalysis5613[[#This Row],[CCCM]:[WASH]])</f>
        <v>3277867.0112570724</v>
      </c>
      <c r="X81" s="326">
        <v>2</v>
      </c>
    </row>
    <row r="82" spans="1:24" x14ac:dyDescent="0.55000000000000004">
      <c r="A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2" s="316" t="s">
        <v>390</v>
      </c>
      <c r="C82" s="218" t="s">
        <v>391</v>
      </c>
      <c r="D82" s="218" t="s">
        <v>410</v>
      </c>
      <c r="E82" s="105" t="s">
        <v>411</v>
      </c>
      <c r="F82" s="100"/>
      <c r="G82" s="34"/>
      <c r="H82" s="34"/>
      <c r="I82" s="97">
        <v>10973.797642312536</v>
      </c>
      <c r="J82" s="97" t="s">
        <v>412</v>
      </c>
      <c r="K82" s="261">
        <v>0</v>
      </c>
      <c r="L82" s="319">
        <v>0</v>
      </c>
      <c r="M82" s="319">
        <v>0</v>
      </c>
      <c r="N82" s="319">
        <v>0</v>
      </c>
      <c r="O82" s="319">
        <v>0</v>
      </c>
      <c r="P82" s="319"/>
      <c r="Q82" s="320">
        <v>0</v>
      </c>
      <c r="R82" s="319">
        <v>0</v>
      </c>
      <c r="S82" s="319"/>
      <c r="T82" s="319"/>
      <c r="U82" s="319"/>
      <c r="V82" s="319"/>
      <c r="W82" s="326">
        <f>SUM(tblPiNAnalysis5613[[#This Row],[CCCM]:[WASH]])</f>
        <v>0</v>
      </c>
      <c r="X82" s="326">
        <v>5</v>
      </c>
    </row>
    <row r="83" spans="1:24" ht="27.6" x14ac:dyDescent="0.55000000000000004">
      <c r="A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3" s="316" t="s">
        <v>233</v>
      </c>
      <c r="C83" s="218" t="s">
        <v>234</v>
      </c>
      <c r="D83" s="218" t="s">
        <v>233</v>
      </c>
      <c r="E83" s="105" t="s">
        <v>235</v>
      </c>
      <c r="F83" s="100"/>
      <c r="G83" s="34"/>
      <c r="H83" s="34"/>
      <c r="I83" s="97">
        <v>14516.802522734295</v>
      </c>
      <c r="J83" s="97" t="s">
        <v>413</v>
      </c>
      <c r="K83" s="261">
        <v>0</v>
      </c>
      <c r="L83" s="319">
        <v>23046.875685092964</v>
      </c>
      <c r="M83" s="319">
        <v>222022.47736197765</v>
      </c>
      <c r="N83" s="319">
        <v>905481.40687723679</v>
      </c>
      <c r="O83" s="319">
        <v>280282.73547183379</v>
      </c>
      <c r="P83" s="319">
        <v>63790.883040680215</v>
      </c>
      <c r="Q83" s="320">
        <v>15550.876127093456</v>
      </c>
      <c r="R83" s="319">
        <v>64295.097592974416</v>
      </c>
      <c r="S83" s="319"/>
      <c r="T83" s="319"/>
      <c r="U83" s="319"/>
      <c r="V83" s="319"/>
      <c r="W83" s="326">
        <f>SUM(tblPiNAnalysis5613[[#This Row],[CCCM]:[WASH]])</f>
        <v>1574470.3521568894</v>
      </c>
      <c r="X83" s="326">
        <v>1</v>
      </c>
    </row>
    <row r="84" spans="1:24" x14ac:dyDescent="0.55000000000000004">
      <c r="A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4" s="316" t="s">
        <v>236</v>
      </c>
      <c r="C84" s="218" t="s">
        <v>237</v>
      </c>
      <c r="D84" s="218" t="s">
        <v>238</v>
      </c>
      <c r="E84" s="105" t="s">
        <v>239</v>
      </c>
      <c r="F84" s="100"/>
      <c r="G84" s="34"/>
      <c r="H84" s="34"/>
      <c r="I84" s="97">
        <v>310546.09109739598</v>
      </c>
      <c r="J84" s="97" t="s">
        <v>413</v>
      </c>
      <c r="K84" s="261">
        <v>0</v>
      </c>
      <c r="L84" s="319">
        <v>0</v>
      </c>
      <c r="M84" s="319">
        <v>0</v>
      </c>
      <c r="N84" s="319">
        <v>0</v>
      </c>
      <c r="O84" s="319">
        <v>0</v>
      </c>
      <c r="P84" s="319"/>
      <c r="Q84" s="320">
        <v>0</v>
      </c>
      <c r="R84" s="319">
        <v>0</v>
      </c>
      <c r="S84" s="319"/>
      <c r="T84" s="319"/>
      <c r="U84" s="319"/>
      <c r="V84" s="319"/>
      <c r="W84" s="326">
        <f>SUM(tblPiNAnalysis5613[[#This Row],[CCCM]:[WASH]])</f>
        <v>0</v>
      </c>
      <c r="X84" s="326">
        <v>4</v>
      </c>
    </row>
    <row r="85" spans="1:24" x14ac:dyDescent="0.55000000000000004">
      <c r="A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5" s="316" t="s">
        <v>236</v>
      </c>
      <c r="C85" s="218" t="s">
        <v>237</v>
      </c>
      <c r="D85" s="218" t="s">
        <v>240</v>
      </c>
      <c r="E85" s="105" t="s">
        <v>241</v>
      </c>
      <c r="F85" s="100"/>
      <c r="G85" s="34"/>
      <c r="H85" s="34"/>
      <c r="I85" s="97">
        <v>165087.87496325735</v>
      </c>
      <c r="J85" s="97" t="s">
        <v>413</v>
      </c>
      <c r="K85" s="261">
        <v>0</v>
      </c>
      <c r="L85" s="319">
        <v>0</v>
      </c>
      <c r="M85" s="319">
        <v>0</v>
      </c>
      <c r="N85" s="319">
        <v>0</v>
      </c>
      <c r="O85" s="319">
        <v>0</v>
      </c>
      <c r="P85" s="319"/>
      <c r="Q85" s="320">
        <v>0</v>
      </c>
      <c r="R85" s="319">
        <v>0</v>
      </c>
      <c r="S85" s="319"/>
      <c r="T85" s="319"/>
      <c r="U85" s="319"/>
      <c r="V85" s="319"/>
      <c r="W85" s="326">
        <f>SUM(tblPiNAnalysis5613[[#This Row],[CCCM]:[WASH]])</f>
        <v>0</v>
      </c>
      <c r="X85" s="326">
        <v>5</v>
      </c>
    </row>
    <row r="86" spans="1:24" x14ac:dyDescent="0.55000000000000004">
      <c r="A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6" s="316" t="s">
        <v>236</v>
      </c>
      <c r="C86" s="218" t="s">
        <v>237</v>
      </c>
      <c r="D86" s="218" t="s">
        <v>242</v>
      </c>
      <c r="E86" s="105" t="s">
        <v>243</v>
      </c>
      <c r="F86" s="100"/>
      <c r="G86" s="34"/>
      <c r="H86" s="34"/>
      <c r="I86" s="97">
        <v>81323.353354623177</v>
      </c>
      <c r="J86" s="97" t="s">
        <v>413</v>
      </c>
      <c r="K86" s="261">
        <v>0</v>
      </c>
      <c r="L86" s="319">
        <v>0</v>
      </c>
      <c r="M86" s="319">
        <v>0</v>
      </c>
      <c r="N86" s="319">
        <v>0</v>
      </c>
      <c r="O86" s="319">
        <v>0</v>
      </c>
      <c r="P86" s="319"/>
      <c r="Q86" s="320">
        <v>0</v>
      </c>
      <c r="R86" s="319">
        <v>0</v>
      </c>
      <c r="S86" s="319"/>
      <c r="T86" s="319"/>
      <c r="U86" s="319"/>
      <c r="V86" s="319"/>
      <c r="W86" s="326">
        <f>SUM(tblPiNAnalysis5613[[#This Row],[CCCM]:[WASH]])</f>
        <v>0</v>
      </c>
      <c r="X86" s="326">
        <v>5</v>
      </c>
    </row>
    <row r="87" spans="1:24" x14ac:dyDescent="0.55000000000000004">
      <c r="A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7" s="316" t="s">
        <v>236</v>
      </c>
      <c r="C87" s="218" t="s">
        <v>237</v>
      </c>
      <c r="D87" s="218" t="s">
        <v>244</v>
      </c>
      <c r="E87" s="105" t="s">
        <v>245</v>
      </c>
      <c r="F87" s="100"/>
      <c r="G87" s="34"/>
      <c r="H87" s="34"/>
      <c r="I87" s="97">
        <v>76038.235545987191</v>
      </c>
      <c r="J87" s="97" t="s">
        <v>413</v>
      </c>
      <c r="K87" s="261">
        <v>0</v>
      </c>
      <c r="L87" s="319">
        <v>0</v>
      </c>
      <c r="M87" s="319">
        <v>0</v>
      </c>
      <c r="N87" s="319">
        <v>0</v>
      </c>
      <c r="O87" s="319">
        <v>0</v>
      </c>
      <c r="P87" s="319"/>
      <c r="Q87" s="320">
        <v>0</v>
      </c>
      <c r="R87" s="319">
        <v>0</v>
      </c>
      <c r="S87" s="319"/>
      <c r="T87" s="319"/>
      <c r="U87" s="319"/>
      <c r="V87" s="319"/>
      <c r="W87" s="326">
        <f>SUM(tblPiNAnalysis5613[[#This Row],[CCCM]:[WASH]])</f>
        <v>0</v>
      </c>
      <c r="X87" s="326">
        <v>5</v>
      </c>
    </row>
    <row r="88" spans="1:24" x14ac:dyDescent="0.55000000000000004">
      <c r="A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8" s="316" t="s">
        <v>236</v>
      </c>
      <c r="C88" s="218" t="s">
        <v>237</v>
      </c>
      <c r="D88" s="218" t="s">
        <v>246</v>
      </c>
      <c r="E88" s="105" t="s">
        <v>247</v>
      </c>
      <c r="F88" s="100"/>
      <c r="G88" s="34"/>
      <c r="H88" s="34"/>
      <c r="I88" s="97">
        <v>198861.49864411939</v>
      </c>
      <c r="J88" s="97" t="s">
        <v>413</v>
      </c>
      <c r="K88" s="261">
        <v>0</v>
      </c>
      <c r="L88" s="319">
        <v>0</v>
      </c>
      <c r="M88" s="319">
        <v>0</v>
      </c>
      <c r="N88" s="319">
        <v>0</v>
      </c>
      <c r="O88" s="319">
        <v>0</v>
      </c>
      <c r="P88" s="319"/>
      <c r="Q88" s="320">
        <v>0</v>
      </c>
      <c r="R88" s="319">
        <v>0</v>
      </c>
      <c r="S88" s="319"/>
      <c r="T88" s="319"/>
      <c r="U88" s="319"/>
      <c r="V88" s="319"/>
      <c r="W88" s="326">
        <f>SUM(tblPiNAnalysis5613[[#This Row],[CCCM]:[WASH]])</f>
        <v>0</v>
      </c>
      <c r="X88" s="326">
        <v>4</v>
      </c>
    </row>
    <row r="89" spans="1:24" x14ac:dyDescent="0.55000000000000004">
      <c r="A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89" s="316" t="s">
        <v>236</v>
      </c>
      <c r="C89" s="218" t="s">
        <v>237</v>
      </c>
      <c r="D89" s="218" t="s">
        <v>248</v>
      </c>
      <c r="E89" s="105" t="s">
        <v>249</v>
      </c>
      <c r="F89" s="100"/>
      <c r="G89" s="34"/>
      <c r="H89" s="34"/>
      <c r="I89" s="97">
        <v>194205.26881302349</v>
      </c>
      <c r="J89" s="97" t="s">
        <v>413</v>
      </c>
      <c r="K89" s="261">
        <v>0</v>
      </c>
      <c r="L89" s="319">
        <v>0</v>
      </c>
      <c r="M89" s="319">
        <v>0</v>
      </c>
      <c r="N89" s="319">
        <v>0</v>
      </c>
      <c r="O89" s="319">
        <v>0</v>
      </c>
      <c r="P89" s="319"/>
      <c r="Q89" s="320">
        <v>0</v>
      </c>
      <c r="R89" s="319">
        <v>0</v>
      </c>
      <c r="S89" s="319"/>
      <c r="T89" s="319"/>
      <c r="U89" s="319"/>
      <c r="V89" s="319"/>
      <c r="W89" s="326">
        <f>SUM(tblPiNAnalysis5613[[#This Row],[CCCM]:[WASH]])</f>
        <v>0</v>
      </c>
      <c r="X89" s="326">
        <v>5</v>
      </c>
    </row>
    <row r="90" spans="1:24" x14ac:dyDescent="0.55000000000000004">
      <c r="A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0" s="316" t="s">
        <v>250</v>
      </c>
      <c r="C90" s="218" t="s">
        <v>251</v>
      </c>
      <c r="D90" s="218" t="s">
        <v>252</v>
      </c>
      <c r="E90" s="105" t="s">
        <v>253</v>
      </c>
      <c r="F90" s="100"/>
      <c r="G90" s="34"/>
      <c r="H90" s="34"/>
      <c r="I90" s="97">
        <v>80977.342990929319</v>
      </c>
      <c r="J90" s="97" t="s">
        <v>413</v>
      </c>
      <c r="K90" s="261">
        <v>0</v>
      </c>
      <c r="L90" s="319">
        <v>0</v>
      </c>
      <c r="M90" s="319">
        <v>0</v>
      </c>
      <c r="N90" s="319">
        <v>0</v>
      </c>
      <c r="O90" s="319">
        <v>0</v>
      </c>
      <c r="P90" s="319"/>
      <c r="Q90" s="320">
        <v>0</v>
      </c>
      <c r="R90" s="319">
        <v>0</v>
      </c>
      <c r="S90" s="319"/>
      <c r="T90" s="319"/>
      <c r="U90" s="319"/>
      <c r="V90" s="319"/>
      <c r="W90" s="326">
        <f>SUM(tblPiNAnalysis5613[[#This Row],[CCCM]:[WASH]])</f>
        <v>0</v>
      </c>
      <c r="X90" s="326">
        <v>4</v>
      </c>
    </row>
    <row r="91" spans="1:24" x14ac:dyDescent="0.55000000000000004">
      <c r="A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1" s="316" t="s">
        <v>250</v>
      </c>
      <c r="C91" s="218" t="s">
        <v>251</v>
      </c>
      <c r="D91" s="218" t="s">
        <v>254</v>
      </c>
      <c r="E91" s="105" t="s">
        <v>255</v>
      </c>
      <c r="F91" s="100"/>
      <c r="G91" s="34"/>
      <c r="H91" s="34"/>
      <c r="I91" s="97">
        <v>79454.880620653479</v>
      </c>
      <c r="J91" s="97" t="s">
        <v>413</v>
      </c>
      <c r="K91" s="261">
        <v>0</v>
      </c>
      <c r="L91" s="319">
        <v>0</v>
      </c>
      <c r="M91" s="319">
        <v>0</v>
      </c>
      <c r="N91" s="319">
        <v>0</v>
      </c>
      <c r="O91" s="319">
        <v>0</v>
      </c>
      <c r="P91" s="319"/>
      <c r="Q91" s="320">
        <v>0</v>
      </c>
      <c r="R91" s="319">
        <v>0</v>
      </c>
      <c r="S91" s="319"/>
      <c r="T91" s="319"/>
      <c r="U91" s="319"/>
      <c r="V91" s="319"/>
      <c r="W91" s="326">
        <f>SUM(tblPiNAnalysis5613[[#This Row],[CCCM]:[WASH]])</f>
        <v>0</v>
      </c>
      <c r="X91" s="326">
        <v>4</v>
      </c>
    </row>
    <row r="92" spans="1:24" x14ac:dyDescent="0.55000000000000004">
      <c r="A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2" s="316" t="s">
        <v>250</v>
      </c>
      <c r="C92" s="218" t="s">
        <v>251</v>
      </c>
      <c r="D92" s="218" t="s">
        <v>256</v>
      </c>
      <c r="E92" s="105" t="s">
        <v>257</v>
      </c>
      <c r="F92" s="100"/>
      <c r="G92" s="34"/>
      <c r="H92" s="34"/>
      <c r="I92" s="97">
        <v>135919.18209910189</v>
      </c>
      <c r="J92" s="97" t="s">
        <v>413</v>
      </c>
      <c r="K92" s="261">
        <v>0</v>
      </c>
      <c r="L92" s="319">
        <v>557159.91126063862</v>
      </c>
      <c r="M92" s="319">
        <v>2131929.6003666013</v>
      </c>
      <c r="N92" s="319">
        <v>9920560.5264534634</v>
      </c>
      <c r="O92" s="319">
        <v>1454085.4599204278</v>
      </c>
      <c r="P92" s="319">
        <v>1812233.4254806102</v>
      </c>
      <c r="Q92" s="320">
        <v>238764.69655408899</v>
      </c>
      <c r="R92" s="319">
        <v>3122691.9360587215</v>
      </c>
      <c r="S92" s="319"/>
      <c r="T92" s="319"/>
      <c r="U92" s="319"/>
      <c r="V92" s="319"/>
      <c r="W92" s="326">
        <f>SUM(tblPiNAnalysis5613[[#This Row],[CCCM]:[WASH]])</f>
        <v>19237425.556094553</v>
      </c>
      <c r="X92" s="326">
        <v>2</v>
      </c>
    </row>
    <row r="93" spans="1:24" x14ac:dyDescent="0.55000000000000004">
      <c r="A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3" s="316" t="s">
        <v>250</v>
      </c>
      <c r="C93" s="218" t="s">
        <v>251</v>
      </c>
      <c r="D93" s="218" t="s">
        <v>258</v>
      </c>
      <c r="E93" s="105" t="s">
        <v>259</v>
      </c>
      <c r="F93" s="100"/>
      <c r="G93" s="34"/>
      <c r="H93" s="34"/>
      <c r="I93" s="97">
        <v>121484.03458105327</v>
      </c>
      <c r="J93" s="97" t="s">
        <v>413</v>
      </c>
      <c r="K93" s="261"/>
      <c r="L93" s="319"/>
      <c r="M93" s="319"/>
      <c r="N93" s="319"/>
      <c r="O93" s="319"/>
      <c r="P93" s="319"/>
      <c r="Q93" s="320"/>
      <c r="R93" s="319"/>
      <c r="S93" s="319"/>
      <c r="T93" s="319"/>
      <c r="U93" s="319"/>
      <c r="V93" s="319"/>
      <c r="W93" s="326">
        <f>SUM(tblPiNAnalysis5613[[#This Row],[CCCM]:[WASH]])</f>
        <v>0</v>
      </c>
      <c r="X93" s="326">
        <v>3</v>
      </c>
    </row>
    <row r="94" spans="1:24" x14ac:dyDescent="0.55000000000000004">
      <c r="A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4" s="316" t="s">
        <v>250</v>
      </c>
      <c r="C94" s="218" t="s">
        <v>251</v>
      </c>
      <c r="D94" s="218" t="s">
        <v>260</v>
      </c>
      <c r="E94" s="105" t="s">
        <v>261</v>
      </c>
      <c r="F94" s="100"/>
      <c r="G94" s="34"/>
      <c r="H94" s="34"/>
      <c r="I94" s="97">
        <v>79271.088602523028</v>
      </c>
      <c r="J94" s="97" t="s">
        <v>413</v>
      </c>
      <c r="K94" s="261"/>
      <c r="L94" s="319"/>
      <c r="M94" s="319"/>
      <c r="N94" s="319"/>
      <c r="O94" s="319"/>
      <c r="P94" s="319"/>
      <c r="Q94" s="320"/>
      <c r="R94" s="319"/>
      <c r="S94" s="319"/>
      <c r="T94" s="319"/>
      <c r="U94" s="319"/>
      <c r="V94" s="319"/>
      <c r="W94" s="326">
        <f>SUM(tblPiNAnalysis5613[[#This Row],[CCCM]:[WASH]])</f>
        <v>0</v>
      </c>
      <c r="X94" s="326">
        <v>3</v>
      </c>
    </row>
    <row r="95" spans="1:24" x14ac:dyDescent="0.55000000000000004">
      <c r="A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5" s="316" t="s">
        <v>250</v>
      </c>
      <c r="C95" s="218" t="s">
        <v>251</v>
      </c>
      <c r="D95" s="218" t="s">
        <v>262</v>
      </c>
      <c r="E95" s="105" t="s">
        <v>263</v>
      </c>
      <c r="F95" s="100"/>
      <c r="G95" s="34"/>
      <c r="H95" s="34"/>
      <c r="I95" s="97">
        <v>107170.91979145796</v>
      </c>
      <c r="J95" s="97" t="s">
        <v>413</v>
      </c>
      <c r="K95" s="261"/>
      <c r="L95" s="319"/>
      <c r="M95" s="319"/>
      <c r="N95" s="319"/>
      <c r="O95" s="319"/>
      <c r="P95" s="319"/>
      <c r="Q95" s="320"/>
      <c r="R95" s="319"/>
      <c r="S95" s="319"/>
      <c r="T95" s="319"/>
      <c r="U95" s="319"/>
      <c r="V95" s="319"/>
      <c r="W95" s="326">
        <f>SUM(tblPiNAnalysis5613[[#This Row],[CCCM]:[WASH]])</f>
        <v>0</v>
      </c>
      <c r="X95" s="326">
        <v>3</v>
      </c>
    </row>
    <row r="96" spans="1:24" x14ac:dyDescent="0.55000000000000004">
      <c r="A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6" s="316" t="s">
        <v>250</v>
      </c>
      <c r="C96" s="218" t="s">
        <v>251</v>
      </c>
      <c r="D96" s="218" t="s">
        <v>264</v>
      </c>
      <c r="E96" s="105" t="s">
        <v>265</v>
      </c>
      <c r="F96" s="100"/>
      <c r="G96" s="34"/>
      <c r="H96" s="34"/>
      <c r="I96" s="97">
        <v>159337.28264572358</v>
      </c>
      <c r="J96" s="97" t="s">
        <v>413</v>
      </c>
      <c r="K96" s="261">
        <v>0</v>
      </c>
      <c r="L96" s="319">
        <v>0</v>
      </c>
      <c r="M96" s="319">
        <v>0</v>
      </c>
      <c r="N96" s="319">
        <v>0</v>
      </c>
      <c r="O96" s="319">
        <v>0</v>
      </c>
      <c r="P96" s="319"/>
      <c r="Q96" s="320">
        <v>0</v>
      </c>
      <c r="R96" s="319">
        <v>0</v>
      </c>
      <c r="S96" s="319"/>
      <c r="T96" s="319"/>
      <c r="U96" s="319"/>
      <c r="V96" s="319"/>
      <c r="W96" s="326">
        <f>SUM(tblPiNAnalysis5613[[#This Row],[CCCM]:[WASH]])</f>
        <v>0</v>
      </c>
      <c r="X96" s="326">
        <v>4</v>
      </c>
    </row>
    <row r="97" spans="1:24" x14ac:dyDescent="0.55000000000000004">
      <c r="A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7" s="316" t="s">
        <v>250</v>
      </c>
      <c r="C97" s="218" t="s">
        <v>251</v>
      </c>
      <c r="D97" s="218" t="s">
        <v>266</v>
      </c>
      <c r="E97" s="105" t="s">
        <v>267</v>
      </c>
      <c r="F97" s="100"/>
      <c r="G97" s="34"/>
      <c r="H97" s="34"/>
      <c r="I97" s="97">
        <v>47474.399116158442</v>
      </c>
      <c r="J97" s="97" t="s">
        <v>413</v>
      </c>
      <c r="K97" s="261">
        <v>0</v>
      </c>
      <c r="L97" s="319">
        <v>0</v>
      </c>
      <c r="M97" s="319">
        <v>0</v>
      </c>
      <c r="N97" s="319">
        <v>0</v>
      </c>
      <c r="O97" s="319">
        <v>0</v>
      </c>
      <c r="P97" s="319"/>
      <c r="Q97" s="320">
        <v>0</v>
      </c>
      <c r="R97" s="319">
        <v>0</v>
      </c>
      <c r="S97" s="319"/>
      <c r="T97" s="319"/>
      <c r="U97" s="319"/>
      <c r="V97" s="319"/>
      <c r="W97" s="326">
        <f>SUM(tblPiNAnalysis5613[[#This Row],[CCCM]:[WASH]])</f>
        <v>0</v>
      </c>
      <c r="X97" s="326">
        <v>4</v>
      </c>
    </row>
    <row r="98" spans="1:24" x14ac:dyDescent="0.55000000000000004">
      <c r="A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8" s="316" t="s">
        <v>268</v>
      </c>
      <c r="C98" s="218" t="s">
        <v>269</v>
      </c>
      <c r="D98" s="218" t="s">
        <v>270</v>
      </c>
      <c r="E98" s="105" t="s">
        <v>271</v>
      </c>
      <c r="F98" s="100"/>
      <c r="G98" s="34"/>
      <c r="H98" s="34"/>
      <c r="I98" s="97">
        <v>146807.46329287597</v>
      </c>
      <c r="J98" s="97" t="s">
        <v>413</v>
      </c>
      <c r="K98" s="261">
        <v>0</v>
      </c>
      <c r="L98" s="319">
        <v>521192.33280324918</v>
      </c>
      <c r="M98" s="319">
        <v>3899945.204776179</v>
      </c>
      <c r="N98" s="319">
        <v>12876182.166248409</v>
      </c>
      <c r="O98" s="319">
        <v>2786711.2001986089</v>
      </c>
      <c r="P98" s="319">
        <v>1666519.9443220072</v>
      </c>
      <c r="Q98" s="320">
        <v>345562.18282784655</v>
      </c>
      <c r="R98" s="319">
        <v>1031050.5639596891</v>
      </c>
      <c r="S98" s="319"/>
      <c r="T98" s="319"/>
      <c r="U98" s="319"/>
      <c r="V98" s="319"/>
      <c r="W98" s="326">
        <f>SUM(tblPiNAnalysis5613[[#This Row],[CCCM]:[WASH]])</f>
        <v>23127163.595135987</v>
      </c>
      <c r="X98" s="326">
        <v>1</v>
      </c>
    </row>
    <row r="99" spans="1:24" x14ac:dyDescent="0.55000000000000004">
      <c r="A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99" s="316" t="s">
        <v>268</v>
      </c>
      <c r="C99" s="218" t="s">
        <v>269</v>
      </c>
      <c r="D99" s="218" t="s">
        <v>272</v>
      </c>
      <c r="E99" s="105" t="s">
        <v>273</v>
      </c>
      <c r="F99" s="100"/>
      <c r="G99" s="34"/>
      <c r="H99" s="34"/>
      <c r="I99" s="97">
        <v>126785.47631993188</v>
      </c>
      <c r="J99" s="97" t="s">
        <v>413</v>
      </c>
      <c r="K99" s="261">
        <v>0</v>
      </c>
      <c r="L99" s="319">
        <v>314496.95257254911</v>
      </c>
      <c r="M99" s="319">
        <v>1727157.8255394835</v>
      </c>
      <c r="N99" s="319">
        <v>9817036.5444318242</v>
      </c>
      <c r="O99" s="319">
        <v>2018636.0124878262</v>
      </c>
      <c r="P99" s="319">
        <v>1169391.0371911305</v>
      </c>
      <c r="Q99" s="320">
        <v>189799.75037148013</v>
      </c>
      <c r="R99" s="319">
        <v>3598697.5138370916</v>
      </c>
      <c r="S99" s="319"/>
      <c r="T99" s="319"/>
      <c r="U99" s="319"/>
      <c r="V99" s="319"/>
      <c r="W99" s="326">
        <f>SUM(tblPiNAnalysis5613[[#This Row],[CCCM]:[WASH]])</f>
        <v>18835215.636431385</v>
      </c>
      <c r="X99" s="326">
        <v>2</v>
      </c>
    </row>
    <row r="100" spans="1:24" x14ac:dyDescent="0.55000000000000004">
      <c r="A1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0" s="316" t="s">
        <v>268</v>
      </c>
      <c r="C100" s="218" t="s">
        <v>269</v>
      </c>
      <c r="D100" s="218" t="s">
        <v>274</v>
      </c>
      <c r="E100" s="105" t="s">
        <v>275</v>
      </c>
      <c r="F100" s="100"/>
      <c r="G100" s="34"/>
      <c r="H100" s="34"/>
      <c r="I100" s="97">
        <v>191777.77641387403</v>
      </c>
      <c r="J100" s="97" t="s">
        <v>413</v>
      </c>
      <c r="K100" s="261">
        <v>0</v>
      </c>
      <c r="L100" s="319">
        <v>0</v>
      </c>
      <c r="M100" s="319">
        <v>0</v>
      </c>
      <c r="N100" s="319">
        <v>0</v>
      </c>
      <c r="O100" s="319">
        <v>0</v>
      </c>
      <c r="P100" s="319"/>
      <c r="Q100" s="320">
        <v>0</v>
      </c>
      <c r="R100" s="319">
        <v>0</v>
      </c>
      <c r="S100" s="319"/>
      <c r="T100" s="319"/>
      <c r="U100" s="319"/>
      <c r="V100" s="319"/>
      <c r="W100" s="326">
        <f>SUM(tblPiNAnalysis5613[[#This Row],[CCCM]:[WASH]])</f>
        <v>0</v>
      </c>
      <c r="X100" s="326">
        <v>4</v>
      </c>
    </row>
    <row r="101" spans="1:24" x14ac:dyDescent="0.55000000000000004">
      <c r="A1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1" s="316" t="s">
        <v>268</v>
      </c>
      <c r="C101" s="218" t="s">
        <v>269</v>
      </c>
      <c r="D101" s="218" t="s">
        <v>276</v>
      </c>
      <c r="E101" s="105" t="s">
        <v>277</v>
      </c>
      <c r="F101" s="100"/>
      <c r="G101" s="34"/>
      <c r="H101" s="34"/>
      <c r="I101" s="97">
        <v>32762.733973342118</v>
      </c>
      <c r="J101" s="97" t="s">
        <v>413</v>
      </c>
      <c r="K101" s="261">
        <v>0</v>
      </c>
      <c r="L101" s="319">
        <v>82635.805764262157</v>
      </c>
      <c r="M101" s="319">
        <v>708401.08456437232</v>
      </c>
      <c r="N101" s="319">
        <v>3038611.8671349897</v>
      </c>
      <c r="O101" s="319">
        <v>855829.05929800449</v>
      </c>
      <c r="P101" s="319">
        <v>611409.98369773873</v>
      </c>
      <c r="Q101" s="320">
        <v>86639.229840615822</v>
      </c>
      <c r="R101" s="319">
        <v>1239624.5548740774</v>
      </c>
      <c r="S101" s="319"/>
      <c r="T101" s="319"/>
      <c r="U101" s="319"/>
      <c r="V101" s="319"/>
      <c r="W101" s="326">
        <f>SUM(tblPiNAnalysis5613[[#This Row],[CCCM]:[WASH]])</f>
        <v>6623151.5851740604</v>
      </c>
      <c r="X101" s="326">
        <v>1</v>
      </c>
    </row>
    <row r="102" spans="1:24" x14ac:dyDescent="0.55000000000000004">
      <c r="A1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2" s="316" t="s">
        <v>268</v>
      </c>
      <c r="C102" s="218" t="s">
        <v>269</v>
      </c>
      <c r="D102" s="218" t="s">
        <v>278</v>
      </c>
      <c r="E102" s="105" t="s">
        <v>279</v>
      </c>
      <c r="F102" s="100"/>
      <c r="G102" s="34"/>
      <c r="H102" s="34"/>
      <c r="I102" s="97">
        <v>95901.718428606313</v>
      </c>
      <c r="J102" s="97" t="s">
        <v>413</v>
      </c>
      <c r="K102" s="261">
        <v>0</v>
      </c>
      <c r="L102" s="319">
        <v>194304.55367383067</v>
      </c>
      <c r="M102" s="319">
        <v>2288130.7757906634</v>
      </c>
      <c r="N102" s="319">
        <v>7001173.4748169417</v>
      </c>
      <c r="O102" s="319">
        <v>2262006.4285462075</v>
      </c>
      <c r="P102" s="319">
        <v>938682.94448466867</v>
      </c>
      <c r="Q102" s="320">
        <v>308721.91485634336</v>
      </c>
      <c r="R102" s="319">
        <v>481383.21421108034</v>
      </c>
      <c r="S102" s="319"/>
      <c r="T102" s="319"/>
      <c r="U102" s="319"/>
      <c r="V102" s="319"/>
      <c r="W102" s="326">
        <f>SUM(tblPiNAnalysis5613[[#This Row],[CCCM]:[WASH]])</f>
        <v>13474403.306379734</v>
      </c>
      <c r="X102" s="326">
        <v>2</v>
      </c>
    </row>
    <row r="103" spans="1:24" x14ac:dyDescent="0.55000000000000004">
      <c r="A1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3" s="316" t="s">
        <v>268</v>
      </c>
      <c r="C103" s="218" t="s">
        <v>269</v>
      </c>
      <c r="D103" s="218" t="s">
        <v>280</v>
      </c>
      <c r="E103" s="105" t="s">
        <v>281</v>
      </c>
      <c r="F103" s="100"/>
      <c r="G103" s="34"/>
      <c r="H103" s="34"/>
      <c r="I103" s="97">
        <v>57313.644275077953</v>
      </c>
      <c r="J103" s="97" t="s">
        <v>413</v>
      </c>
      <c r="K103" s="261">
        <v>0</v>
      </c>
      <c r="L103" s="319">
        <v>315356.17713103018</v>
      </c>
      <c r="M103" s="319">
        <v>1047433.6878313506</v>
      </c>
      <c r="N103" s="319">
        <v>5517809.2347616414</v>
      </c>
      <c r="O103" s="319">
        <v>1323682.6217800786</v>
      </c>
      <c r="P103" s="319">
        <v>501170.31286714203</v>
      </c>
      <c r="Q103" s="320">
        <v>104928.05644206579</v>
      </c>
      <c r="R103" s="319">
        <v>1361383.3160787388</v>
      </c>
      <c r="S103" s="319"/>
      <c r="T103" s="319"/>
      <c r="U103" s="319"/>
      <c r="V103" s="319"/>
      <c r="W103" s="326">
        <f>SUM(tblPiNAnalysis5613[[#This Row],[CCCM]:[WASH]])</f>
        <v>10171763.406892048</v>
      </c>
      <c r="X103" s="326">
        <v>1</v>
      </c>
    </row>
    <row r="104" spans="1:24" x14ac:dyDescent="0.55000000000000004">
      <c r="A1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4" s="316" t="s">
        <v>268</v>
      </c>
      <c r="C104" s="218" t="s">
        <v>269</v>
      </c>
      <c r="D104" s="218" t="s">
        <v>282</v>
      </c>
      <c r="E104" s="105" t="s">
        <v>283</v>
      </c>
      <c r="F104" s="100"/>
      <c r="G104" s="34"/>
      <c r="H104" s="34"/>
      <c r="I104" s="97">
        <v>65001.764922770279</v>
      </c>
      <c r="J104" s="97" t="s">
        <v>413</v>
      </c>
      <c r="K104" s="261">
        <v>0</v>
      </c>
      <c r="L104" s="319">
        <v>271120.22943498479</v>
      </c>
      <c r="M104" s="319">
        <v>1557954.2347531591</v>
      </c>
      <c r="N104" s="319">
        <v>5192847.5647250107</v>
      </c>
      <c r="O104" s="319">
        <v>1625005.205914655</v>
      </c>
      <c r="P104" s="319">
        <v>515203.97271632182</v>
      </c>
      <c r="Q104" s="320">
        <v>162846.52685915082</v>
      </c>
      <c r="R104" s="319">
        <v>997574.23969182256</v>
      </c>
      <c r="S104" s="319"/>
      <c r="T104" s="319"/>
      <c r="U104" s="319"/>
      <c r="V104" s="319"/>
      <c r="W104" s="326">
        <f>SUM(tblPiNAnalysis5613[[#This Row],[CCCM]:[WASH]])</f>
        <v>10322551.974095104</v>
      </c>
      <c r="X104" s="326">
        <v>2</v>
      </c>
    </row>
    <row r="105" spans="1:24" x14ac:dyDescent="0.55000000000000004">
      <c r="A1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5" s="316" t="s">
        <v>268</v>
      </c>
      <c r="C105" s="218" t="s">
        <v>269</v>
      </c>
      <c r="D105" s="218" t="s">
        <v>284</v>
      </c>
      <c r="E105" s="105" t="s">
        <v>285</v>
      </c>
      <c r="F105" s="100"/>
      <c r="G105" s="34"/>
      <c r="H105" s="34"/>
      <c r="I105" s="97">
        <v>146214.98577625639</v>
      </c>
      <c r="J105" s="97" t="s">
        <v>413</v>
      </c>
      <c r="K105" s="261">
        <v>0</v>
      </c>
      <c r="L105" s="319">
        <v>754172.80261432845</v>
      </c>
      <c r="M105" s="319">
        <v>4453476.4879214047</v>
      </c>
      <c r="N105" s="319">
        <v>12841491.429085517</v>
      </c>
      <c r="O105" s="319">
        <v>3158017.305993909</v>
      </c>
      <c r="P105" s="319">
        <v>1310684.5048258002</v>
      </c>
      <c r="Q105" s="320">
        <v>262850.84799317818</v>
      </c>
      <c r="R105" s="319">
        <v>3934867.8991104066</v>
      </c>
      <c r="S105" s="319"/>
      <c r="T105" s="319"/>
      <c r="U105" s="319"/>
      <c r="V105" s="319"/>
      <c r="W105" s="326">
        <f>SUM(tblPiNAnalysis5613[[#This Row],[CCCM]:[WASH]])</f>
        <v>26715561.277544539</v>
      </c>
      <c r="X105" s="326">
        <v>1</v>
      </c>
    </row>
    <row r="106" spans="1:24" x14ac:dyDescent="0.55000000000000004">
      <c r="A1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6" s="316" t="s">
        <v>268</v>
      </c>
      <c r="C106" s="218" t="s">
        <v>269</v>
      </c>
      <c r="D106" s="218" t="s">
        <v>286</v>
      </c>
      <c r="E106" s="105" t="s">
        <v>287</v>
      </c>
      <c r="F106" s="100"/>
      <c r="G106" s="34"/>
      <c r="H106" s="34"/>
      <c r="I106" s="97">
        <v>50788.148876183637</v>
      </c>
      <c r="J106" s="97" t="s">
        <v>413</v>
      </c>
      <c r="K106" s="261"/>
      <c r="L106" s="319"/>
      <c r="M106" s="319"/>
      <c r="N106" s="319"/>
      <c r="O106" s="319"/>
      <c r="P106" s="319"/>
      <c r="Q106" s="320"/>
      <c r="R106" s="319"/>
      <c r="S106" s="319"/>
      <c r="T106" s="319"/>
      <c r="U106" s="319"/>
      <c r="V106" s="319"/>
      <c r="W106" s="326">
        <f>SUM(tblPiNAnalysis5613[[#This Row],[CCCM]:[WASH]])</f>
        <v>0</v>
      </c>
      <c r="X106" s="326">
        <v>3</v>
      </c>
    </row>
    <row r="107" spans="1:24" x14ac:dyDescent="0.55000000000000004">
      <c r="A1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7" s="316" t="s">
        <v>268</v>
      </c>
      <c r="C107" s="218" t="s">
        <v>269</v>
      </c>
      <c r="D107" s="218" t="s">
        <v>288</v>
      </c>
      <c r="E107" s="105" t="s">
        <v>289</v>
      </c>
      <c r="F107" s="100"/>
      <c r="G107" s="34"/>
      <c r="H107" s="34"/>
      <c r="I107" s="97">
        <v>77537.996273544151</v>
      </c>
      <c r="J107" s="97" t="s">
        <v>413</v>
      </c>
      <c r="K107" s="261">
        <v>0</v>
      </c>
      <c r="L107" s="319">
        <v>389640.06197400042</v>
      </c>
      <c r="M107" s="319">
        <v>1613902.3105156599</v>
      </c>
      <c r="N107" s="319">
        <v>5943071.6469310522</v>
      </c>
      <c r="O107" s="319">
        <v>1532777.6016555894</v>
      </c>
      <c r="P107" s="319">
        <v>551025.86034382344</v>
      </c>
      <c r="Q107" s="320">
        <v>251367.36466353617</v>
      </c>
      <c r="R107" s="319">
        <v>1059685.9490717701</v>
      </c>
      <c r="S107" s="319"/>
      <c r="T107" s="319"/>
      <c r="U107" s="319"/>
      <c r="V107" s="319"/>
      <c r="W107" s="326">
        <f>SUM(tblPiNAnalysis5613[[#This Row],[CCCM]:[WASH]])</f>
        <v>11341470.79515543</v>
      </c>
      <c r="X107" s="326">
        <v>2</v>
      </c>
    </row>
    <row r="108" spans="1:24" x14ac:dyDescent="0.55000000000000004">
      <c r="A1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8" s="316" t="s">
        <v>268</v>
      </c>
      <c r="C108" s="218" t="s">
        <v>269</v>
      </c>
      <c r="D108" s="218" t="s">
        <v>290</v>
      </c>
      <c r="E108" s="105" t="s">
        <v>291</v>
      </c>
      <c r="F108" s="100"/>
      <c r="G108" s="34"/>
      <c r="H108" s="34"/>
      <c r="I108" s="97">
        <v>136551.06257292113</v>
      </c>
      <c r="J108" s="97" t="s">
        <v>413</v>
      </c>
      <c r="K108" s="261">
        <v>0</v>
      </c>
      <c r="L108" s="319">
        <v>603084.86850856</v>
      </c>
      <c r="M108" s="319">
        <v>4366308.9570231168</v>
      </c>
      <c r="N108" s="319">
        <v>11863484.378145862</v>
      </c>
      <c r="O108" s="319">
        <v>1805578.366324387</v>
      </c>
      <c r="P108" s="319">
        <v>1068639.2994076305</v>
      </c>
      <c r="Q108" s="320">
        <v>100592.61609538524</v>
      </c>
      <c r="R108" s="319">
        <v>3218327.3196681137</v>
      </c>
      <c r="S108" s="319"/>
      <c r="T108" s="319"/>
      <c r="U108" s="319"/>
      <c r="V108" s="319"/>
      <c r="W108" s="326">
        <f>SUM(tblPiNAnalysis5613[[#This Row],[CCCM]:[WASH]])</f>
        <v>23026015.805173058</v>
      </c>
      <c r="X108" s="326">
        <v>2</v>
      </c>
    </row>
    <row r="109" spans="1:24" x14ac:dyDescent="0.55000000000000004">
      <c r="A1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09" s="316" t="s">
        <v>292</v>
      </c>
      <c r="C109" s="218" t="s">
        <v>293</v>
      </c>
      <c r="D109" s="218" t="s">
        <v>294</v>
      </c>
      <c r="E109" s="105" t="s">
        <v>295</v>
      </c>
      <c r="F109" s="100"/>
      <c r="G109" s="34"/>
      <c r="H109" s="34"/>
      <c r="I109" s="97">
        <v>73916.557684246116</v>
      </c>
      <c r="J109" s="97" t="s">
        <v>413</v>
      </c>
      <c r="K109" s="261"/>
      <c r="L109" s="319"/>
      <c r="M109" s="319"/>
      <c r="N109" s="319"/>
      <c r="O109" s="319"/>
      <c r="P109" s="319"/>
      <c r="Q109" s="320"/>
      <c r="R109" s="319"/>
      <c r="S109" s="319"/>
      <c r="T109" s="319"/>
      <c r="U109" s="319"/>
      <c r="V109" s="319"/>
      <c r="W109" s="326">
        <f>SUM(tblPiNAnalysis5613[[#This Row],[CCCM]:[WASH]])</f>
        <v>0</v>
      </c>
      <c r="X109" s="326">
        <v>3</v>
      </c>
    </row>
    <row r="110" spans="1:24" x14ac:dyDescent="0.55000000000000004">
      <c r="A1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0" s="316" t="s">
        <v>292</v>
      </c>
      <c r="C110" s="218" t="s">
        <v>293</v>
      </c>
      <c r="D110" s="218" t="s">
        <v>296</v>
      </c>
      <c r="E110" s="105" t="s">
        <v>297</v>
      </c>
      <c r="F110" s="100"/>
      <c r="G110" s="34"/>
      <c r="H110" s="34"/>
      <c r="I110" s="97">
        <v>143892.97660154747</v>
      </c>
      <c r="J110" s="97" t="s">
        <v>413</v>
      </c>
      <c r="K110" s="261">
        <v>0</v>
      </c>
      <c r="L110" s="319">
        <v>0</v>
      </c>
      <c r="M110" s="319">
        <v>0</v>
      </c>
      <c r="N110" s="319">
        <v>0</v>
      </c>
      <c r="O110" s="319">
        <v>0</v>
      </c>
      <c r="P110" s="319"/>
      <c r="Q110" s="320">
        <v>0</v>
      </c>
      <c r="R110" s="319">
        <v>0</v>
      </c>
      <c r="S110" s="319"/>
      <c r="T110" s="319"/>
      <c r="U110" s="319"/>
      <c r="V110" s="319"/>
      <c r="W110" s="326">
        <f>SUM(tblPiNAnalysis5613[[#This Row],[CCCM]:[WASH]])</f>
        <v>0</v>
      </c>
      <c r="X110" s="326">
        <v>5</v>
      </c>
    </row>
    <row r="111" spans="1:24" x14ac:dyDescent="0.55000000000000004">
      <c r="A1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1" s="316" t="s">
        <v>292</v>
      </c>
      <c r="C111" s="218" t="s">
        <v>293</v>
      </c>
      <c r="D111" s="218" t="s">
        <v>298</v>
      </c>
      <c r="E111" s="105" t="s">
        <v>299</v>
      </c>
      <c r="F111" s="100"/>
      <c r="G111" s="34"/>
      <c r="H111" s="34"/>
      <c r="I111" s="97">
        <v>170865.34327385121</v>
      </c>
      <c r="J111" s="97" t="s">
        <v>413</v>
      </c>
      <c r="K111" s="261">
        <v>0</v>
      </c>
      <c r="L111" s="319">
        <v>0</v>
      </c>
      <c r="M111" s="319">
        <v>0</v>
      </c>
      <c r="N111" s="319">
        <v>0</v>
      </c>
      <c r="O111" s="319">
        <v>0</v>
      </c>
      <c r="P111" s="319"/>
      <c r="Q111" s="320">
        <v>0</v>
      </c>
      <c r="R111" s="319">
        <v>0</v>
      </c>
      <c r="S111" s="319"/>
      <c r="T111" s="319"/>
      <c r="U111" s="319"/>
      <c r="V111" s="319"/>
      <c r="W111" s="326">
        <f>SUM(tblPiNAnalysis5613[[#This Row],[CCCM]:[WASH]])</f>
        <v>0</v>
      </c>
      <c r="X111" s="326">
        <v>4</v>
      </c>
    </row>
    <row r="112" spans="1:24" x14ac:dyDescent="0.55000000000000004">
      <c r="A1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2" s="316" t="s">
        <v>292</v>
      </c>
      <c r="C112" s="218" t="s">
        <v>293</v>
      </c>
      <c r="D112" s="218" t="s">
        <v>300</v>
      </c>
      <c r="E112" s="105" t="s">
        <v>301</v>
      </c>
      <c r="F112" s="100"/>
      <c r="G112" s="34"/>
      <c r="H112" s="34"/>
      <c r="I112" s="97">
        <v>131576.89060543224</v>
      </c>
      <c r="J112" s="97" t="s">
        <v>413</v>
      </c>
      <c r="K112" s="261">
        <v>0</v>
      </c>
      <c r="L112" s="319">
        <v>0</v>
      </c>
      <c r="M112" s="319">
        <v>0</v>
      </c>
      <c r="N112" s="319">
        <v>0</v>
      </c>
      <c r="O112" s="319">
        <v>0</v>
      </c>
      <c r="P112" s="319"/>
      <c r="Q112" s="320">
        <v>0</v>
      </c>
      <c r="R112" s="319">
        <v>0</v>
      </c>
      <c r="S112" s="319"/>
      <c r="T112" s="319"/>
      <c r="U112" s="319"/>
      <c r="V112" s="319"/>
      <c r="W112" s="326">
        <f>SUM(tblPiNAnalysis5613[[#This Row],[CCCM]:[WASH]])</f>
        <v>0</v>
      </c>
      <c r="X112" s="326">
        <v>4</v>
      </c>
    </row>
    <row r="113" spans="1:24" x14ac:dyDescent="0.55000000000000004">
      <c r="A1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3" s="316" t="s">
        <v>292</v>
      </c>
      <c r="C113" s="218" t="s">
        <v>293</v>
      </c>
      <c r="D113" s="218" t="s">
        <v>302</v>
      </c>
      <c r="E113" s="105" t="s">
        <v>303</v>
      </c>
      <c r="F113" s="100"/>
      <c r="G113" s="34"/>
      <c r="H113" s="34"/>
      <c r="I113" s="97">
        <v>38561.747092505328</v>
      </c>
      <c r="J113" s="97" t="s">
        <v>413</v>
      </c>
      <c r="K113" s="261"/>
      <c r="L113" s="319"/>
      <c r="M113" s="319"/>
      <c r="N113" s="319"/>
      <c r="O113" s="319"/>
      <c r="P113" s="319"/>
      <c r="Q113" s="320"/>
      <c r="R113" s="319"/>
      <c r="S113" s="319"/>
      <c r="T113" s="319"/>
      <c r="U113" s="319"/>
      <c r="V113" s="319"/>
      <c r="W113" s="326">
        <f>SUM(tblPiNAnalysis5613[[#This Row],[CCCM]:[WASH]])</f>
        <v>0</v>
      </c>
      <c r="X113" s="326">
        <v>3</v>
      </c>
    </row>
    <row r="114" spans="1:24" x14ac:dyDescent="0.55000000000000004">
      <c r="A1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4" s="316" t="s">
        <v>292</v>
      </c>
      <c r="C114" s="218" t="s">
        <v>293</v>
      </c>
      <c r="D114" s="218" t="s">
        <v>304</v>
      </c>
      <c r="E114" s="105" t="s">
        <v>305</v>
      </c>
      <c r="F114" s="100"/>
      <c r="G114" s="34"/>
      <c r="H114" s="34"/>
      <c r="I114" s="97">
        <v>62742.537670413069</v>
      </c>
      <c r="J114" s="97" t="s">
        <v>413</v>
      </c>
      <c r="K114" s="261">
        <v>0</v>
      </c>
      <c r="L114" s="319">
        <v>0</v>
      </c>
      <c r="M114" s="319">
        <v>0</v>
      </c>
      <c r="N114" s="319">
        <v>0</v>
      </c>
      <c r="O114" s="319">
        <v>0</v>
      </c>
      <c r="P114" s="319"/>
      <c r="Q114" s="320">
        <v>0</v>
      </c>
      <c r="R114" s="319">
        <v>0</v>
      </c>
      <c r="S114" s="319"/>
      <c r="T114" s="319"/>
      <c r="U114" s="319"/>
      <c r="V114" s="319"/>
      <c r="W114" s="326">
        <f>SUM(tblPiNAnalysis5613[[#This Row],[CCCM]:[WASH]])</f>
        <v>0</v>
      </c>
      <c r="X114" s="326">
        <v>5</v>
      </c>
    </row>
    <row r="115" spans="1:24" x14ac:dyDescent="0.55000000000000004">
      <c r="A1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5" s="316" t="s">
        <v>292</v>
      </c>
      <c r="C115" s="218" t="s">
        <v>293</v>
      </c>
      <c r="D115" s="218" t="s">
        <v>306</v>
      </c>
      <c r="E115" s="105" t="s">
        <v>307</v>
      </c>
      <c r="F115" s="100"/>
      <c r="G115" s="34"/>
      <c r="H115" s="34"/>
      <c r="I115" s="97">
        <v>110327.5657380367</v>
      </c>
      <c r="J115" s="97" t="s">
        <v>413</v>
      </c>
      <c r="K115" s="261"/>
      <c r="L115" s="319"/>
      <c r="M115" s="319"/>
      <c r="N115" s="319"/>
      <c r="O115" s="319"/>
      <c r="P115" s="319"/>
      <c r="Q115" s="320"/>
      <c r="R115" s="319"/>
      <c r="S115" s="319"/>
      <c r="T115" s="319"/>
      <c r="U115" s="319"/>
      <c r="V115" s="319"/>
      <c r="W115" s="326">
        <f>SUM(tblPiNAnalysis5613[[#This Row],[CCCM]:[WASH]])</f>
        <v>0</v>
      </c>
      <c r="X115" s="326">
        <v>3</v>
      </c>
    </row>
    <row r="116" spans="1:24" x14ac:dyDescent="0.55000000000000004">
      <c r="A1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6" s="316" t="s">
        <v>292</v>
      </c>
      <c r="C116" s="218" t="s">
        <v>293</v>
      </c>
      <c r="D116" s="218" t="s">
        <v>308</v>
      </c>
      <c r="E116" s="105" t="s">
        <v>309</v>
      </c>
      <c r="F116" s="100"/>
      <c r="G116" s="34"/>
      <c r="H116" s="34"/>
      <c r="I116" s="97">
        <v>128918.60101552917</v>
      </c>
      <c r="J116" s="97" t="s">
        <v>413</v>
      </c>
      <c r="K116" s="261">
        <v>0</v>
      </c>
      <c r="L116" s="319">
        <v>0</v>
      </c>
      <c r="M116" s="319">
        <v>0</v>
      </c>
      <c r="N116" s="319">
        <v>0</v>
      </c>
      <c r="O116" s="319">
        <v>0</v>
      </c>
      <c r="P116" s="319"/>
      <c r="Q116" s="320">
        <v>0</v>
      </c>
      <c r="R116" s="319">
        <v>0</v>
      </c>
      <c r="S116" s="319"/>
      <c r="T116" s="319"/>
      <c r="U116" s="319"/>
      <c r="V116" s="319"/>
      <c r="W116" s="326">
        <f>SUM(tblPiNAnalysis5613[[#This Row],[CCCM]:[WASH]])</f>
        <v>0</v>
      </c>
      <c r="X116" s="326">
        <v>4</v>
      </c>
    </row>
    <row r="117" spans="1:24" x14ac:dyDescent="0.55000000000000004">
      <c r="A1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7" s="316" t="s">
        <v>310</v>
      </c>
      <c r="C117" s="218" t="s">
        <v>311</v>
      </c>
      <c r="D117" s="218" t="s">
        <v>312</v>
      </c>
      <c r="E117" s="105" t="s">
        <v>313</v>
      </c>
      <c r="F117" s="100"/>
      <c r="G117" s="34"/>
      <c r="H117" s="34"/>
      <c r="I117" s="97">
        <v>53097.621318074722</v>
      </c>
      <c r="J117" s="97" t="s">
        <v>413</v>
      </c>
      <c r="K117" s="261">
        <v>0</v>
      </c>
      <c r="L117" s="319">
        <v>0</v>
      </c>
      <c r="M117" s="319">
        <v>0</v>
      </c>
      <c r="N117" s="319">
        <v>0</v>
      </c>
      <c r="O117" s="319">
        <v>0</v>
      </c>
      <c r="P117" s="319"/>
      <c r="Q117" s="320">
        <v>0</v>
      </c>
      <c r="R117" s="319">
        <v>0</v>
      </c>
      <c r="S117" s="319"/>
      <c r="T117" s="319"/>
      <c r="U117" s="319"/>
      <c r="V117" s="319"/>
      <c r="W117" s="326">
        <f>SUM(tblPiNAnalysis5613[[#This Row],[CCCM]:[WASH]])</f>
        <v>0</v>
      </c>
      <c r="X117" s="326">
        <v>4</v>
      </c>
    </row>
    <row r="118" spans="1:24" x14ac:dyDescent="0.55000000000000004">
      <c r="A1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8" s="316" t="s">
        <v>310</v>
      </c>
      <c r="C118" s="218" t="s">
        <v>311</v>
      </c>
      <c r="D118" s="218" t="s">
        <v>314</v>
      </c>
      <c r="E118" s="105" t="s">
        <v>315</v>
      </c>
      <c r="F118" s="100"/>
      <c r="G118" s="34"/>
      <c r="H118" s="34"/>
      <c r="I118" s="97">
        <v>211899.62896361714</v>
      </c>
      <c r="J118" s="97" t="s">
        <v>413</v>
      </c>
      <c r="K118" s="261">
        <v>0</v>
      </c>
      <c r="L118" s="319">
        <v>1398800.4762194911</v>
      </c>
      <c r="M118" s="319">
        <v>3520011.5694801458</v>
      </c>
      <c r="N118" s="319">
        <v>16861212.592601255</v>
      </c>
      <c r="O118" s="319">
        <v>3174122.6367518725</v>
      </c>
      <c r="P118" s="319">
        <v>1033406.3407813221</v>
      </c>
      <c r="Q118" s="320">
        <v>595481.20221000165</v>
      </c>
      <c r="R118" s="319">
        <v>934036.99618787842</v>
      </c>
      <c r="S118" s="319"/>
      <c r="T118" s="319"/>
      <c r="U118" s="319"/>
      <c r="V118" s="319"/>
      <c r="W118" s="326">
        <f>SUM(tblPiNAnalysis5613[[#This Row],[CCCM]:[WASH]])</f>
        <v>27517071.814231966</v>
      </c>
      <c r="X118" s="326">
        <v>2</v>
      </c>
    </row>
    <row r="119" spans="1:24" x14ac:dyDescent="0.55000000000000004">
      <c r="A1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19" s="316" t="s">
        <v>310</v>
      </c>
      <c r="C119" s="218" t="s">
        <v>311</v>
      </c>
      <c r="D119" s="218" t="s">
        <v>316</v>
      </c>
      <c r="E119" s="105" t="s">
        <v>317</v>
      </c>
      <c r="F119" s="100"/>
      <c r="G119" s="34"/>
      <c r="H119" s="34"/>
      <c r="I119" s="97">
        <v>109801.05355905752</v>
      </c>
      <c r="J119" s="97" t="s">
        <v>413</v>
      </c>
      <c r="K119" s="261">
        <v>0</v>
      </c>
      <c r="L119" s="319">
        <v>344694.58244086406</v>
      </c>
      <c r="M119" s="319">
        <v>5095989.2319565415</v>
      </c>
      <c r="N119" s="319">
        <v>7969490.5557802906</v>
      </c>
      <c r="O119" s="319">
        <v>1781078.5907008669</v>
      </c>
      <c r="P119" s="319">
        <v>614120.01646681712</v>
      </c>
      <c r="Q119" s="320">
        <v>220165.18944405892</v>
      </c>
      <c r="R119" s="319">
        <v>182366.33316811058</v>
      </c>
      <c r="S119" s="319"/>
      <c r="T119" s="319"/>
      <c r="U119" s="319"/>
      <c r="V119" s="319"/>
      <c r="W119" s="326">
        <f>SUM(tblPiNAnalysis5613[[#This Row],[CCCM]:[WASH]])</f>
        <v>16207904.49995755</v>
      </c>
      <c r="X119" s="326">
        <v>2</v>
      </c>
    </row>
    <row r="120" spans="1:24" x14ac:dyDescent="0.55000000000000004">
      <c r="A1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0" s="316" t="s">
        <v>310</v>
      </c>
      <c r="C120" s="218" t="s">
        <v>311</v>
      </c>
      <c r="D120" s="218" t="s">
        <v>318</v>
      </c>
      <c r="E120" s="105" t="s">
        <v>319</v>
      </c>
      <c r="F120" s="100"/>
      <c r="G120" s="34"/>
      <c r="H120" s="34"/>
      <c r="I120" s="97">
        <v>105778.12989801918</v>
      </c>
      <c r="J120" s="97" t="s">
        <v>413</v>
      </c>
      <c r="K120" s="261">
        <v>0</v>
      </c>
      <c r="L120" s="319">
        <v>231574.77087923855</v>
      </c>
      <c r="M120" s="319">
        <v>3070393.9914102335</v>
      </c>
      <c r="N120" s="319">
        <v>8118389.8290482676</v>
      </c>
      <c r="O120" s="319">
        <v>1375805.4885136276</v>
      </c>
      <c r="P120" s="319">
        <v>622637.11895808752</v>
      </c>
      <c r="Q120" s="320">
        <v>140588.75082809458</v>
      </c>
      <c r="R120" s="319">
        <v>1016125.6965864676</v>
      </c>
      <c r="S120" s="319"/>
      <c r="T120" s="319"/>
      <c r="U120" s="319"/>
      <c r="V120" s="319"/>
      <c r="W120" s="326">
        <f>SUM(tblPiNAnalysis5613[[#This Row],[CCCM]:[WASH]])</f>
        <v>14575515.646224018</v>
      </c>
      <c r="X120" s="326">
        <v>2</v>
      </c>
    </row>
    <row r="121" spans="1:24" x14ac:dyDescent="0.55000000000000004">
      <c r="A1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1" s="316" t="s">
        <v>310</v>
      </c>
      <c r="C121" s="218" t="s">
        <v>311</v>
      </c>
      <c r="D121" s="218" t="s">
        <v>320</v>
      </c>
      <c r="E121" s="105" t="s">
        <v>321</v>
      </c>
      <c r="F121" s="100"/>
      <c r="G121" s="34"/>
      <c r="H121" s="34"/>
      <c r="I121" s="97">
        <v>138670.80517744401</v>
      </c>
      <c r="J121" s="97" t="s">
        <v>413</v>
      </c>
      <c r="K121" s="261"/>
      <c r="L121" s="319"/>
      <c r="M121" s="319"/>
      <c r="N121" s="319"/>
      <c r="O121" s="319"/>
      <c r="P121" s="319"/>
      <c r="Q121" s="320"/>
      <c r="R121" s="319"/>
      <c r="S121" s="319"/>
      <c r="T121" s="319"/>
      <c r="U121" s="319"/>
      <c r="V121" s="319"/>
      <c r="W121" s="326">
        <f>SUM(tblPiNAnalysis5613[[#This Row],[CCCM]:[WASH]])</f>
        <v>0</v>
      </c>
      <c r="X121" s="326">
        <v>3</v>
      </c>
    </row>
    <row r="122" spans="1:24" x14ac:dyDescent="0.55000000000000004">
      <c r="A1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2" s="316" t="s">
        <v>322</v>
      </c>
      <c r="C122" s="218" t="s">
        <v>323</v>
      </c>
      <c r="D122" s="218" t="s">
        <v>324</v>
      </c>
      <c r="E122" s="105" t="s">
        <v>325</v>
      </c>
      <c r="F122" s="100"/>
      <c r="G122" s="34"/>
      <c r="H122" s="34"/>
      <c r="I122" s="97">
        <v>39195.118555506007</v>
      </c>
      <c r="J122" s="97" t="s">
        <v>413</v>
      </c>
      <c r="K122" s="261">
        <v>0</v>
      </c>
      <c r="L122" s="319">
        <v>0</v>
      </c>
      <c r="M122" s="319">
        <v>0</v>
      </c>
      <c r="N122" s="319">
        <v>0</v>
      </c>
      <c r="O122" s="319">
        <v>0</v>
      </c>
      <c r="P122" s="319"/>
      <c r="Q122" s="320">
        <v>0</v>
      </c>
      <c r="R122" s="319">
        <v>0</v>
      </c>
      <c r="S122" s="319"/>
      <c r="T122" s="319"/>
      <c r="U122" s="319"/>
      <c r="V122" s="319"/>
      <c r="W122" s="326">
        <f>SUM(tblPiNAnalysis5613[[#This Row],[CCCM]:[WASH]])</f>
        <v>0</v>
      </c>
      <c r="X122" s="326">
        <v>4</v>
      </c>
    </row>
    <row r="123" spans="1:24" x14ac:dyDescent="0.55000000000000004">
      <c r="A1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3" s="316" t="s">
        <v>322</v>
      </c>
      <c r="C123" s="218" t="s">
        <v>323</v>
      </c>
      <c r="D123" s="218" t="s">
        <v>326</v>
      </c>
      <c r="E123" s="105" t="s">
        <v>327</v>
      </c>
      <c r="F123" s="100"/>
      <c r="G123" s="34"/>
      <c r="H123" s="34"/>
      <c r="I123" s="97">
        <v>37012.158261154211</v>
      </c>
      <c r="J123" s="97" t="s">
        <v>413</v>
      </c>
      <c r="K123" s="261"/>
      <c r="L123" s="319"/>
      <c r="M123" s="319"/>
      <c r="N123" s="319"/>
      <c r="O123" s="319"/>
      <c r="P123" s="319"/>
      <c r="Q123" s="320"/>
      <c r="R123" s="319"/>
      <c r="S123" s="319"/>
      <c r="T123" s="319"/>
      <c r="U123" s="319"/>
      <c r="V123" s="319"/>
      <c r="W123" s="326">
        <f>SUM(tblPiNAnalysis5613[[#This Row],[CCCM]:[WASH]])</f>
        <v>0</v>
      </c>
      <c r="X123" s="326">
        <v>3</v>
      </c>
    </row>
    <row r="124" spans="1:24" x14ac:dyDescent="0.55000000000000004">
      <c r="A1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4" s="316" t="s">
        <v>322</v>
      </c>
      <c r="C124" s="218" t="s">
        <v>323</v>
      </c>
      <c r="D124" s="218" t="s">
        <v>328</v>
      </c>
      <c r="E124" s="105" t="s">
        <v>329</v>
      </c>
      <c r="F124" s="100"/>
      <c r="G124" s="34"/>
      <c r="H124" s="34"/>
      <c r="I124" s="97">
        <v>52356.268586149592</v>
      </c>
      <c r="J124" s="97" t="s">
        <v>413</v>
      </c>
      <c r="K124" s="261"/>
      <c r="L124" s="319"/>
      <c r="M124" s="319"/>
      <c r="N124" s="319"/>
      <c r="O124" s="319"/>
      <c r="P124" s="319"/>
      <c r="Q124" s="320"/>
      <c r="R124" s="319"/>
      <c r="S124" s="319"/>
      <c r="T124" s="319"/>
      <c r="U124" s="319"/>
      <c r="V124" s="319"/>
      <c r="W124" s="326">
        <f>SUM(tblPiNAnalysis5613[[#This Row],[CCCM]:[WASH]])</f>
        <v>0</v>
      </c>
      <c r="X124" s="326">
        <v>3</v>
      </c>
    </row>
    <row r="125" spans="1:24" x14ac:dyDescent="0.55000000000000004">
      <c r="A1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5" s="316" t="s">
        <v>322</v>
      </c>
      <c r="C125" s="218" t="s">
        <v>323</v>
      </c>
      <c r="D125" s="218" t="s">
        <v>330</v>
      </c>
      <c r="E125" s="105" t="s">
        <v>331</v>
      </c>
      <c r="F125" s="100"/>
      <c r="G125" s="34"/>
      <c r="H125" s="34"/>
      <c r="I125" s="97">
        <v>27460.602325830623</v>
      </c>
      <c r="J125" s="97" t="s">
        <v>413</v>
      </c>
      <c r="K125" s="261">
        <v>0</v>
      </c>
      <c r="L125" s="319">
        <v>64287.796420183469</v>
      </c>
      <c r="M125" s="319">
        <v>336240.6852034856</v>
      </c>
      <c r="N125" s="319">
        <v>1979211.7717572069</v>
      </c>
      <c r="O125" s="319">
        <v>540106.66274942621</v>
      </c>
      <c r="P125" s="319">
        <v>133708.83921154871</v>
      </c>
      <c r="Q125" s="320">
        <v>87141.644713969188</v>
      </c>
      <c r="R125" s="319">
        <v>122347.29521327185</v>
      </c>
      <c r="S125" s="319"/>
      <c r="T125" s="319"/>
      <c r="U125" s="319"/>
      <c r="V125" s="319"/>
      <c r="W125" s="326">
        <f>SUM(tblPiNAnalysis5613[[#This Row],[CCCM]:[WASH]])</f>
        <v>3263044.695269092</v>
      </c>
      <c r="X125" s="326">
        <v>2</v>
      </c>
    </row>
    <row r="126" spans="1:24" x14ac:dyDescent="0.55000000000000004">
      <c r="A1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6" s="316" t="s">
        <v>322</v>
      </c>
      <c r="C126" s="218" t="s">
        <v>323</v>
      </c>
      <c r="D126" s="218" t="s">
        <v>332</v>
      </c>
      <c r="E126" s="105" t="s">
        <v>333</v>
      </c>
      <c r="F126" s="100"/>
      <c r="G126" s="34"/>
      <c r="H126" s="34"/>
      <c r="I126" s="97">
        <v>32690.293010704088</v>
      </c>
      <c r="J126" s="97" t="s">
        <v>413</v>
      </c>
      <c r="K126" s="261">
        <v>0</v>
      </c>
      <c r="L126" s="319">
        <v>72694.4114289274</v>
      </c>
      <c r="M126" s="319">
        <v>710290.17742305645</v>
      </c>
      <c r="N126" s="319">
        <v>2447728.7327667815</v>
      </c>
      <c r="O126" s="319">
        <v>556361.28748096526</v>
      </c>
      <c r="P126" s="319">
        <v>162671.60578721206</v>
      </c>
      <c r="Q126" s="320">
        <v>64123.26705945802</v>
      </c>
      <c r="R126" s="319">
        <v>128928.22865898574</v>
      </c>
      <c r="S126" s="319"/>
      <c r="T126" s="319"/>
      <c r="U126" s="319"/>
      <c r="V126" s="319"/>
      <c r="W126" s="326">
        <f>SUM(tblPiNAnalysis5613[[#This Row],[CCCM]:[WASH]])</f>
        <v>4142797.7106053866</v>
      </c>
      <c r="X126" s="326">
        <v>2</v>
      </c>
    </row>
    <row r="127" spans="1:24" x14ac:dyDescent="0.55000000000000004">
      <c r="A1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7" s="316" t="s">
        <v>322</v>
      </c>
      <c r="C127" s="218" t="s">
        <v>323</v>
      </c>
      <c r="D127" s="218" t="s">
        <v>334</v>
      </c>
      <c r="E127" s="105" t="s">
        <v>335</v>
      </c>
      <c r="F127" s="100"/>
      <c r="G127" s="34"/>
      <c r="H127" s="34"/>
      <c r="I127" s="97">
        <v>95120.28021781116</v>
      </c>
      <c r="J127" s="97" t="s">
        <v>413</v>
      </c>
      <c r="K127" s="261"/>
      <c r="L127" s="319"/>
      <c r="M127" s="319"/>
      <c r="N127" s="319"/>
      <c r="O127" s="319"/>
      <c r="P127" s="319"/>
      <c r="Q127" s="320"/>
      <c r="R127" s="319"/>
      <c r="S127" s="319"/>
      <c r="T127" s="319"/>
      <c r="U127" s="319"/>
      <c r="V127" s="319"/>
      <c r="W127" s="326">
        <f>SUM(tblPiNAnalysis5613[[#This Row],[CCCM]:[WASH]])</f>
        <v>0</v>
      </c>
      <c r="X127" s="326">
        <v>3</v>
      </c>
    </row>
    <row r="128" spans="1:24" x14ac:dyDescent="0.55000000000000004">
      <c r="A1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8" s="316" t="s">
        <v>322</v>
      </c>
      <c r="C128" s="218" t="s">
        <v>323</v>
      </c>
      <c r="D128" s="218" t="s">
        <v>336</v>
      </c>
      <c r="E128" s="105" t="s">
        <v>337</v>
      </c>
      <c r="F128" s="100"/>
      <c r="G128" s="34"/>
      <c r="H128" s="34"/>
      <c r="I128" s="97">
        <v>46967.678081984632</v>
      </c>
      <c r="J128" s="97" t="s">
        <v>413</v>
      </c>
      <c r="K128" s="261">
        <v>0</v>
      </c>
      <c r="L128" s="319">
        <v>256813.70277920706</v>
      </c>
      <c r="M128" s="319">
        <v>1010489.7414747424</v>
      </c>
      <c r="N128" s="319">
        <v>3440527.2876366209</v>
      </c>
      <c r="O128" s="319">
        <v>1070125.0135058721</v>
      </c>
      <c r="P128" s="319">
        <v>392871.49204501725</v>
      </c>
      <c r="Q128" s="320">
        <v>108655.12331543662</v>
      </c>
      <c r="R128" s="319">
        <v>498753.73584642477</v>
      </c>
      <c r="S128" s="319"/>
      <c r="T128" s="319"/>
      <c r="U128" s="319"/>
      <c r="V128" s="319"/>
      <c r="W128" s="326">
        <f>SUM(tblPiNAnalysis5613[[#This Row],[CCCM]:[WASH]])</f>
        <v>6778236.0966033209</v>
      </c>
      <c r="X128" s="326">
        <v>1</v>
      </c>
    </row>
    <row r="129" spans="1:24" x14ac:dyDescent="0.55000000000000004">
      <c r="A1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29" s="316" t="s">
        <v>322</v>
      </c>
      <c r="C129" s="218" t="s">
        <v>323</v>
      </c>
      <c r="D129" s="218" t="s">
        <v>338</v>
      </c>
      <c r="E129" s="105" t="s">
        <v>339</v>
      </c>
      <c r="F129" s="100"/>
      <c r="G129" s="34"/>
      <c r="H129" s="34"/>
      <c r="I129" s="97">
        <v>96392.652760116689</v>
      </c>
      <c r="J129" s="97" t="s">
        <v>413</v>
      </c>
      <c r="K129" s="261">
        <v>0</v>
      </c>
      <c r="L129" s="319">
        <v>135264.72505338347</v>
      </c>
      <c r="M129" s="319">
        <v>2036695.7067549685</v>
      </c>
      <c r="N129" s="319">
        <v>1146467.8036382368</v>
      </c>
      <c r="O129" s="319">
        <v>2376138.3432010589</v>
      </c>
      <c r="P129" s="319">
        <v>667102.47630894044</v>
      </c>
      <c r="Q129" s="320">
        <v>57657.086743551277</v>
      </c>
      <c r="R129" s="319">
        <v>543201.52177830925</v>
      </c>
      <c r="S129" s="319"/>
      <c r="T129" s="319"/>
      <c r="U129" s="319"/>
      <c r="V129" s="319"/>
      <c r="W129" s="326">
        <f>SUM(tblPiNAnalysis5613[[#This Row],[CCCM]:[WASH]])</f>
        <v>6962527.663478449</v>
      </c>
      <c r="X129" s="326">
        <v>2</v>
      </c>
    </row>
    <row r="130" spans="1:24" x14ac:dyDescent="0.55000000000000004">
      <c r="A1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0" s="316" t="s">
        <v>322</v>
      </c>
      <c r="C130" s="218" t="s">
        <v>323</v>
      </c>
      <c r="D130" s="218" t="s">
        <v>340</v>
      </c>
      <c r="E130" s="105" t="s">
        <v>341</v>
      </c>
      <c r="F130" s="100"/>
      <c r="G130" s="34"/>
      <c r="H130" s="34"/>
      <c r="I130" s="97">
        <v>128065.73135408323</v>
      </c>
      <c r="J130" s="97" t="s">
        <v>413</v>
      </c>
      <c r="K130" s="261">
        <v>0</v>
      </c>
      <c r="L130" s="319">
        <v>634754.77510525344</v>
      </c>
      <c r="M130" s="319">
        <v>2532734.8787706168</v>
      </c>
      <c r="N130" s="319">
        <v>10730683.481113708</v>
      </c>
      <c r="O130" s="319">
        <v>2871657.3894757577</v>
      </c>
      <c r="P130" s="319">
        <v>580990.63613847224</v>
      </c>
      <c r="Q130" s="320">
        <v>322535.91600287624</v>
      </c>
      <c r="R130" s="319">
        <v>860935.71328892745</v>
      </c>
      <c r="S130" s="319"/>
      <c r="T130" s="319"/>
      <c r="U130" s="319"/>
      <c r="V130" s="319"/>
      <c r="W130" s="326">
        <f>SUM(tblPiNAnalysis5613[[#This Row],[CCCM]:[WASH]])</f>
        <v>18534292.789895609</v>
      </c>
      <c r="X130" s="326">
        <v>1</v>
      </c>
    </row>
    <row r="131" spans="1:24" x14ac:dyDescent="0.55000000000000004">
      <c r="A1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1" s="316" t="s">
        <v>342</v>
      </c>
      <c r="C131" s="218" t="s">
        <v>343</v>
      </c>
      <c r="D131" s="218" t="s">
        <v>344</v>
      </c>
      <c r="E131" s="105" t="s">
        <v>345</v>
      </c>
      <c r="F131" s="100"/>
      <c r="G131" s="34"/>
      <c r="H131" s="34"/>
      <c r="I131" s="97">
        <v>38631.891660273708</v>
      </c>
      <c r="J131" s="97" t="s">
        <v>413</v>
      </c>
      <c r="K131" s="261">
        <v>0</v>
      </c>
      <c r="L131" s="319">
        <v>55724.494861578496</v>
      </c>
      <c r="M131" s="319">
        <v>1186555.7357402793</v>
      </c>
      <c r="N131" s="319">
        <v>3112446.7504903893</v>
      </c>
      <c r="O131" s="319">
        <v>676781.05736827641</v>
      </c>
      <c r="P131" s="319">
        <v>287615.81627509691</v>
      </c>
      <c r="Q131" s="320">
        <v>41792.682796114292</v>
      </c>
      <c r="R131" s="319">
        <v>1277690.8619592015</v>
      </c>
      <c r="S131" s="319"/>
      <c r="T131" s="319"/>
      <c r="U131" s="319"/>
      <c r="V131" s="319"/>
      <c r="W131" s="326">
        <f>SUM(tblPiNAnalysis5613[[#This Row],[CCCM]:[WASH]])</f>
        <v>6638607.3994909357</v>
      </c>
      <c r="X131" s="326">
        <v>2</v>
      </c>
    </row>
    <row r="132" spans="1:24" x14ac:dyDescent="0.55000000000000004">
      <c r="A1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2" s="316" t="s">
        <v>342</v>
      </c>
      <c r="C132" s="218" t="s">
        <v>343</v>
      </c>
      <c r="D132" s="218" t="s">
        <v>346</v>
      </c>
      <c r="E132" s="105" t="s">
        <v>347</v>
      </c>
      <c r="F132" s="100"/>
      <c r="G132" s="34"/>
      <c r="H132" s="34"/>
      <c r="I132" s="97">
        <v>44904.26104030956</v>
      </c>
      <c r="J132" s="97" t="s">
        <v>413</v>
      </c>
      <c r="K132" s="261">
        <v>0</v>
      </c>
      <c r="L132" s="319">
        <v>275661.15154695889</v>
      </c>
      <c r="M132" s="319">
        <v>788062.97748909995</v>
      </c>
      <c r="N132" s="319">
        <v>3141958.4639355987</v>
      </c>
      <c r="O132" s="319">
        <v>545215.86773892411</v>
      </c>
      <c r="P132" s="319">
        <v>274929.56674927543</v>
      </c>
      <c r="Q132" s="320">
        <v>89569.032688404157</v>
      </c>
      <c r="R132" s="319">
        <v>1676042.7559878395</v>
      </c>
      <c r="S132" s="319"/>
      <c r="T132" s="319"/>
      <c r="U132" s="319"/>
      <c r="V132" s="319"/>
      <c r="W132" s="326">
        <f>SUM(tblPiNAnalysis5613[[#This Row],[CCCM]:[WASH]])</f>
        <v>6791439.8161361013</v>
      </c>
      <c r="X132" s="326">
        <v>1</v>
      </c>
    </row>
    <row r="133" spans="1:24" x14ac:dyDescent="0.55000000000000004">
      <c r="A1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3" s="316" t="s">
        <v>342</v>
      </c>
      <c r="C133" s="218" t="s">
        <v>343</v>
      </c>
      <c r="D133" s="218" t="s">
        <v>348</v>
      </c>
      <c r="E133" s="105" t="s">
        <v>349</v>
      </c>
      <c r="F133" s="100"/>
      <c r="G133" s="34"/>
      <c r="H133" s="34"/>
      <c r="I133" s="97">
        <v>45380.431986163101</v>
      </c>
      <c r="J133" s="97" t="s">
        <v>413</v>
      </c>
      <c r="K133" s="261">
        <v>0</v>
      </c>
      <c r="L133" s="319">
        <v>281437.957928891</v>
      </c>
      <c r="M133" s="319">
        <v>738347.57866369106</v>
      </c>
      <c r="N133" s="319">
        <v>4290252.7339083077</v>
      </c>
      <c r="O133" s="319">
        <v>543552.21366061561</v>
      </c>
      <c r="P133" s="319">
        <v>416900.56932807225</v>
      </c>
      <c r="Q133" s="320">
        <v>151919.72307983218</v>
      </c>
      <c r="R133" s="319">
        <v>156446.1841361211</v>
      </c>
      <c r="S133" s="319"/>
      <c r="T133" s="319"/>
      <c r="U133" s="319"/>
      <c r="V133" s="319"/>
      <c r="W133" s="326">
        <f>SUM(tblPiNAnalysis5613[[#This Row],[CCCM]:[WASH]])</f>
        <v>6578856.9607055318</v>
      </c>
      <c r="X133" s="326">
        <v>2</v>
      </c>
    </row>
    <row r="134" spans="1:24" x14ac:dyDescent="0.55000000000000004">
      <c r="A1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4" s="316" t="s">
        <v>342</v>
      </c>
      <c r="C134" s="218" t="s">
        <v>343</v>
      </c>
      <c r="D134" s="218" t="s">
        <v>350</v>
      </c>
      <c r="E134" s="105" t="s">
        <v>351</v>
      </c>
      <c r="F134" s="100"/>
      <c r="G134" s="34"/>
      <c r="H134" s="34"/>
      <c r="I134" s="97">
        <v>117681.01108725299</v>
      </c>
      <c r="J134" s="97" t="s">
        <v>413</v>
      </c>
      <c r="K134" s="261">
        <v>0</v>
      </c>
      <c r="L134" s="319">
        <v>689983.0676903826</v>
      </c>
      <c r="M134" s="319">
        <v>2214824.2347612176</v>
      </c>
      <c r="N134" s="319">
        <v>11456131.266074324</v>
      </c>
      <c r="O134" s="319">
        <v>2576798.3268716969</v>
      </c>
      <c r="P134" s="319">
        <v>1012175.4736013772</v>
      </c>
      <c r="Q134" s="320">
        <v>133371.81256555338</v>
      </c>
      <c r="R134" s="319">
        <v>3618691.0909330281</v>
      </c>
      <c r="S134" s="319"/>
      <c r="T134" s="319"/>
      <c r="U134" s="319"/>
      <c r="V134" s="319"/>
      <c r="W134" s="326">
        <f>SUM(tblPiNAnalysis5613[[#This Row],[CCCM]:[WASH]])</f>
        <v>21701975.272497583</v>
      </c>
      <c r="X134" s="326">
        <v>1</v>
      </c>
    </row>
    <row r="135" spans="1:24" x14ac:dyDescent="0.55000000000000004">
      <c r="A1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5" s="316" t="s">
        <v>342</v>
      </c>
      <c r="C135" s="218" t="s">
        <v>343</v>
      </c>
      <c r="D135" s="218" t="s">
        <v>352</v>
      </c>
      <c r="E135" s="105" t="s">
        <v>353</v>
      </c>
      <c r="F135" s="100"/>
      <c r="G135" s="34"/>
      <c r="H135" s="34"/>
      <c r="I135" s="97">
        <v>54056.787582147139</v>
      </c>
      <c r="J135" s="97" t="s">
        <v>413</v>
      </c>
      <c r="K135" s="261">
        <v>0</v>
      </c>
      <c r="L135" s="319">
        <v>335133.64964474674</v>
      </c>
      <c r="M135" s="319">
        <v>809806.70995024976</v>
      </c>
      <c r="N135" s="319">
        <v>3604488.1448206049</v>
      </c>
      <c r="O135" s="319">
        <v>848066.29254032974</v>
      </c>
      <c r="P135" s="319">
        <v>603697.08219250012</v>
      </c>
      <c r="Q135" s="320">
        <v>101793.08923161248</v>
      </c>
      <c r="R135" s="319">
        <v>369388.0484780054</v>
      </c>
      <c r="S135" s="319"/>
      <c r="T135" s="319"/>
      <c r="U135" s="319"/>
      <c r="V135" s="319"/>
      <c r="W135" s="326">
        <f>SUM(tblPiNAnalysis5613[[#This Row],[CCCM]:[WASH]])</f>
        <v>6672373.0168580487</v>
      </c>
      <c r="X135" s="326">
        <v>1</v>
      </c>
    </row>
    <row r="136" spans="1:24" x14ac:dyDescent="0.55000000000000004">
      <c r="A1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6" s="316" t="s">
        <v>342</v>
      </c>
      <c r="C136" s="218" t="s">
        <v>343</v>
      </c>
      <c r="D136" s="218" t="s">
        <v>354</v>
      </c>
      <c r="E136" s="105" t="s">
        <v>355</v>
      </c>
      <c r="F136" s="100"/>
      <c r="G136" s="34"/>
      <c r="H136" s="34"/>
      <c r="I136" s="97">
        <v>75995.604930880276</v>
      </c>
      <c r="J136" s="97" t="s">
        <v>413</v>
      </c>
      <c r="K136" s="261">
        <v>0</v>
      </c>
      <c r="L136" s="319">
        <v>0</v>
      </c>
      <c r="M136" s="319">
        <v>0</v>
      </c>
      <c r="N136" s="319">
        <v>0</v>
      </c>
      <c r="O136" s="319">
        <v>0</v>
      </c>
      <c r="P136" s="319"/>
      <c r="Q136" s="320">
        <v>0</v>
      </c>
      <c r="R136" s="319">
        <v>0</v>
      </c>
      <c r="S136" s="319"/>
      <c r="T136" s="319"/>
      <c r="U136" s="319"/>
      <c r="V136" s="319"/>
      <c r="W136" s="326">
        <f>SUM(tblPiNAnalysis5613[[#This Row],[CCCM]:[WASH]])</f>
        <v>0</v>
      </c>
      <c r="X136" s="326">
        <v>4</v>
      </c>
    </row>
    <row r="137" spans="1:24" x14ac:dyDescent="0.55000000000000004">
      <c r="A1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7" s="316" t="s">
        <v>342</v>
      </c>
      <c r="C137" s="218" t="s">
        <v>343</v>
      </c>
      <c r="D137" s="218" t="s">
        <v>356</v>
      </c>
      <c r="E137" s="105" t="s">
        <v>357</v>
      </c>
      <c r="F137" s="100"/>
      <c r="G137" s="34"/>
      <c r="H137" s="34"/>
      <c r="I137" s="97">
        <v>123133.14998785798</v>
      </c>
      <c r="J137" s="97" t="s">
        <v>413</v>
      </c>
      <c r="K137" s="261">
        <v>0</v>
      </c>
      <c r="L137" s="319">
        <v>62101.662410516212</v>
      </c>
      <c r="M137" s="319">
        <v>2402527.610921199</v>
      </c>
      <c r="N137" s="319">
        <v>10173767.40435118</v>
      </c>
      <c r="O137" s="319">
        <v>2950299.0494619422</v>
      </c>
      <c r="P137" s="319">
        <v>518957.28322116402</v>
      </c>
      <c r="Q137" s="320">
        <v>255276.04265775435</v>
      </c>
      <c r="R137" s="319">
        <v>3155030.8782701693</v>
      </c>
      <c r="S137" s="319"/>
      <c r="T137" s="319"/>
      <c r="U137" s="319"/>
      <c r="V137" s="319"/>
      <c r="W137" s="326">
        <f>SUM(tblPiNAnalysis5613[[#This Row],[CCCM]:[WASH]])</f>
        <v>19517959.931293923</v>
      </c>
      <c r="X137" s="326">
        <v>1</v>
      </c>
    </row>
    <row r="138" spans="1:24" x14ac:dyDescent="0.55000000000000004">
      <c r="A1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8" s="316" t="s">
        <v>342</v>
      </c>
      <c r="C138" s="218" t="s">
        <v>343</v>
      </c>
      <c r="D138" s="218" t="s">
        <v>358</v>
      </c>
      <c r="E138" s="105" t="s">
        <v>359</v>
      </c>
      <c r="F138" s="100"/>
      <c r="G138" s="34"/>
      <c r="H138" s="34"/>
      <c r="I138" s="97">
        <v>55774.82852003994</v>
      </c>
      <c r="J138" s="97" t="s">
        <v>413</v>
      </c>
      <c r="K138" s="261"/>
      <c r="L138" s="319"/>
      <c r="M138" s="319"/>
      <c r="N138" s="319"/>
      <c r="O138" s="319"/>
      <c r="P138" s="319"/>
      <c r="Q138" s="320"/>
      <c r="R138" s="319"/>
      <c r="S138" s="319"/>
      <c r="T138" s="319"/>
      <c r="U138" s="319"/>
      <c r="V138" s="319"/>
      <c r="W138" s="326">
        <f>SUM(tblPiNAnalysis5613[[#This Row],[CCCM]:[WASH]])</f>
        <v>0</v>
      </c>
      <c r="X138" s="326">
        <v>3</v>
      </c>
    </row>
    <row r="139" spans="1:24" x14ac:dyDescent="0.55000000000000004">
      <c r="A1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39" s="316" t="s">
        <v>342</v>
      </c>
      <c r="C139" s="218" t="s">
        <v>343</v>
      </c>
      <c r="D139" s="218" t="s">
        <v>360</v>
      </c>
      <c r="E139" s="105" t="s">
        <v>361</v>
      </c>
      <c r="F139" s="100"/>
      <c r="G139" s="34"/>
      <c r="H139" s="34"/>
      <c r="I139" s="97">
        <v>84237.505871052446</v>
      </c>
      <c r="J139" s="97" t="s">
        <v>413</v>
      </c>
      <c r="K139" s="261">
        <v>0</v>
      </c>
      <c r="L139" s="319">
        <v>0</v>
      </c>
      <c r="M139" s="319">
        <v>0</v>
      </c>
      <c r="N139" s="319">
        <v>0</v>
      </c>
      <c r="O139" s="319">
        <v>0</v>
      </c>
      <c r="P139" s="319"/>
      <c r="Q139" s="320">
        <v>0</v>
      </c>
      <c r="R139" s="319">
        <v>0</v>
      </c>
      <c r="S139" s="319"/>
      <c r="T139" s="319"/>
      <c r="U139" s="319"/>
      <c r="V139" s="319"/>
      <c r="W139" s="326">
        <f>SUM(tblPiNAnalysis5613[[#This Row],[CCCM]:[WASH]])</f>
        <v>0</v>
      </c>
      <c r="X139" s="326">
        <v>4</v>
      </c>
    </row>
    <row r="140" spans="1:24" x14ac:dyDescent="0.55000000000000004">
      <c r="A1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0" s="316" t="s">
        <v>342</v>
      </c>
      <c r="C140" s="218" t="s">
        <v>343</v>
      </c>
      <c r="D140" s="218" t="s">
        <v>362</v>
      </c>
      <c r="E140" s="105" t="s">
        <v>363</v>
      </c>
      <c r="F140" s="100"/>
      <c r="G140" s="34"/>
      <c r="H140" s="34"/>
      <c r="I140" s="97">
        <v>39623.047823684894</v>
      </c>
      <c r="J140" s="97" t="s">
        <v>413</v>
      </c>
      <c r="K140" s="261">
        <v>0</v>
      </c>
      <c r="L140" s="319">
        <v>58991.284925695087</v>
      </c>
      <c r="M140" s="319">
        <v>926266.36428383703</v>
      </c>
      <c r="N140" s="319">
        <v>3498452.0690866783</v>
      </c>
      <c r="O140" s="319">
        <v>854138.67382220214</v>
      </c>
      <c r="P140" s="319">
        <v>331364.606031831</v>
      </c>
      <c r="Q140" s="320">
        <v>94703.007372648863</v>
      </c>
      <c r="R140" s="319">
        <v>1480215.5530992695</v>
      </c>
      <c r="S140" s="319"/>
      <c r="T140" s="319"/>
      <c r="U140" s="319"/>
      <c r="V140" s="319"/>
      <c r="W140" s="326">
        <f>SUM(tblPiNAnalysis5613[[#This Row],[CCCM]:[WASH]])</f>
        <v>7244131.5586221609</v>
      </c>
      <c r="X140" s="326">
        <v>2</v>
      </c>
    </row>
    <row r="141" spans="1:24" x14ac:dyDescent="0.55000000000000004">
      <c r="A14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1" s="316" t="s">
        <v>342</v>
      </c>
      <c r="C141" s="218" t="s">
        <v>343</v>
      </c>
      <c r="D141" s="218" t="s">
        <v>364</v>
      </c>
      <c r="E141" s="105" t="s">
        <v>365</v>
      </c>
      <c r="F141" s="100"/>
      <c r="G141" s="34"/>
      <c r="H141" s="34"/>
      <c r="I141" s="97">
        <v>208923.05518722511</v>
      </c>
      <c r="J141" s="97" t="s">
        <v>413</v>
      </c>
      <c r="K141" s="261">
        <v>0</v>
      </c>
      <c r="L141" s="319">
        <v>688756.63603572501</v>
      </c>
      <c r="M141" s="319">
        <v>2580284.6773693068</v>
      </c>
      <c r="N141" s="319">
        <v>2685935.0724122371</v>
      </c>
      <c r="O141" s="319">
        <v>2434851.9667794295</v>
      </c>
      <c r="P141" s="319">
        <v>1354051.9920792191</v>
      </c>
      <c r="Q141" s="320">
        <v>149544.92371296111</v>
      </c>
      <c r="R141" s="319">
        <v>1699362.6489911519</v>
      </c>
      <c r="S141" s="319"/>
      <c r="T141" s="319"/>
      <c r="U141" s="319"/>
      <c r="V141" s="319"/>
      <c r="W141" s="326">
        <f>SUM(tblPiNAnalysis5613[[#This Row],[CCCM]:[WASH]])</f>
        <v>11592787.917380031</v>
      </c>
      <c r="X141" s="326">
        <v>1</v>
      </c>
    </row>
    <row r="142" spans="1:24" x14ac:dyDescent="0.55000000000000004">
      <c r="A14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2" s="316" t="s">
        <v>342</v>
      </c>
      <c r="C142" s="218" t="s">
        <v>343</v>
      </c>
      <c r="D142" s="218" t="s">
        <v>366</v>
      </c>
      <c r="E142" s="105" t="s">
        <v>367</v>
      </c>
      <c r="F142" s="100"/>
      <c r="G142" s="34"/>
      <c r="H142" s="34"/>
      <c r="I142" s="97">
        <v>68673.985334433135</v>
      </c>
      <c r="J142" s="97" t="s">
        <v>413</v>
      </c>
      <c r="K142" s="261">
        <v>0</v>
      </c>
      <c r="L142" s="319">
        <v>535426.34101785487</v>
      </c>
      <c r="M142" s="319">
        <v>1175431.0458216283</v>
      </c>
      <c r="N142" s="319">
        <v>6386962.1565701654</v>
      </c>
      <c r="O142" s="319">
        <v>1569925.8348203152</v>
      </c>
      <c r="P142" s="319">
        <v>309250.16954722611</v>
      </c>
      <c r="Q142" s="320">
        <v>101326.52175759758</v>
      </c>
      <c r="R142" s="319">
        <v>2111725.0490338192</v>
      </c>
      <c r="S142" s="319"/>
      <c r="T142" s="319"/>
      <c r="U142" s="319"/>
      <c r="V142" s="319"/>
      <c r="W142" s="326">
        <f>SUM(tblPiNAnalysis5613[[#This Row],[CCCM]:[WASH]])</f>
        <v>12190047.118568607</v>
      </c>
      <c r="X142" s="326">
        <v>1</v>
      </c>
    </row>
    <row r="143" spans="1:24" x14ac:dyDescent="0.55000000000000004">
      <c r="A14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3" s="316" t="s">
        <v>368</v>
      </c>
      <c r="C143" s="218" t="s">
        <v>369</v>
      </c>
      <c r="D143" s="218" t="s">
        <v>370</v>
      </c>
      <c r="E143" s="105" t="s">
        <v>371</v>
      </c>
      <c r="F143" s="100"/>
      <c r="G143" s="34"/>
      <c r="H143" s="34"/>
      <c r="I143" s="97">
        <v>66451.811981503241</v>
      </c>
      <c r="J143" s="97" t="s">
        <v>413</v>
      </c>
      <c r="K143" s="261"/>
      <c r="L143" s="319"/>
      <c r="M143" s="319"/>
      <c r="N143" s="319"/>
      <c r="O143" s="319"/>
      <c r="P143" s="319"/>
      <c r="Q143" s="320"/>
      <c r="R143" s="319"/>
      <c r="S143" s="319"/>
      <c r="T143" s="319"/>
      <c r="U143" s="319"/>
      <c r="V143" s="319"/>
      <c r="W143" s="326">
        <f>SUM(tblPiNAnalysis5613[[#This Row],[CCCM]:[WASH]])</f>
        <v>0</v>
      </c>
      <c r="X143" s="326">
        <v>3</v>
      </c>
    </row>
    <row r="144" spans="1:24" x14ac:dyDescent="0.55000000000000004">
      <c r="A14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4" s="316" t="s">
        <v>368</v>
      </c>
      <c r="C144" s="218" t="s">
        <v>369</v>
      </c>
      <c r="D144" s="218" t="s">
        <v>372</v>
      </c>
      <c r="E144" s="105" t="s">
        <v>373</v>
      </c>
      <c r="F144" s="100"/>
      <c r="G144" s="34"/>
      <c r="H144" s="34"/>
      <c r="I144" s="97">
        <v>175059.60932121321</v>
      </c>
      <c r="J144" s="97" t="s">
        <v>413</v>
      </c>
      <c r="K144" s="261"/>
      <c r="L144" s="319"/>
      <c r="M144" s="319"/>
      <c r="N144" s="319"/>
      <c r="O144" s="319"/>
      <c r="P144" s="319"/>
      <c r="Q144" s="320"/>
      <c r="R144" s="319"/>
      <c r="S144" s="319"/>
      <c r="T144" s="319"/>
      <c r="U144" s="319"/>
      <c r="V144" s="319"/>
      <c r="W144" s="326">
        <f>SUM(tblPiNAnalysis5613[[#This Row],[CCCM]:[WASH]])</f>
        <v>0</v>
      </c>
      <c r="X144" s="326">
        <v>3</v>
      </c>
    </row>
    <row r="145" spans="1:24" x14ac:dyDescent="0.55000000000000004">
      <c r="A14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5" s="316" t="s">
        <v>368</v>
      </c>
      <c r="C145" s="218" t="s">
        <v>369</v>
      </c>
      <c r="D145" s="218" t="s">
        <v>374</v>
      </c>
      <c r="E145" s="105" t="s">
        <v>375</v>
      </c>
      <c r="F145" s="100"/>
      <c r="G145" s="34"/>
      <c r="H145" s="34"/>
      <c r="I145" s="97">
        <v>118674.00478882086</v>
      </c>
      <c r="J145" s="97" t="s">
        <v>413</v>
      </c>
      <c r="K145" s="261">
        <v>0</v>
      </c>
      <c r="L145" s="319">
        <v>698818.95016965712</v>
      </c>
      <c r="M145" s="319">
        <v>2410226.954791171</v>
      </c>
      <c r="N145" s="319">
        <v>8842886.9147409219</v>
      </c>
      <c r="O145" s="319">
        <v>1400062.0120908027</v>
      </c>
      <c r="P145" s="319">
        <v>1069204.2759278044</v>
      </c>
      <c r="Q145" s="320">
        <v>240173.5811202327</v>
      </c>
      <c r="R145" s="319">
        <v>729594.83962633368</v>
      </c>
      <c r="S145" s="319"/>
      <c r="T145" s="319"/>
      <c r="U145" s="319"/>
      <c r="V145" s="319"/>
      <c r="W145" s="326">
        <f>SUM(tblPiNAnalysis5613[[#This Row],[CCCM]:[WASH]])</f>
        <v>15390967.528466921</v>
      </c>
      <c r="X145" s="326">
        <v>2</v>
      </c>
    </row>
    <row r="146" spans="1:24" x14ac:dyDescent="0.55000000000000004">
      <c r="A14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6" s="316" t="s">
        <v>368</v>
      </c>
      <c r="C146" s="218" t="s">
        <v>369</v>
      </c>
      <c r="D146" s="218" t="s">
        <v>376</v>
      </c>
      <c r="E146" s="105" t="s">
        <v>377</v>
      </c>
      <c r="F146" s="100"/>
      <c r="G146" s="34"/>
      <c r="H146" s="34"/>
      <c r="I146" s="97">
        <v>176910.11306393327</v>
      </c>
      <c r="J146" s="97" t="s">
        <v>413</v>
      </c>
      <c r="K146" s="261"/>
      <c r="L146" s="319"/>
      <c r="M146" s="319"/>
      <c r="N146" s="319"/>
      <c r="O146" s="319"/>
      <c r="P146" s="319"/>
      <c r="Q146" s="320"/>
      <c r="R146" s="319"/>
      <c r="S146" s="319"/>
      <c r="T146" s="319"/>
      <c r="U146" s="319"/>
      <c r="V146" s="319"/>
      <c r="W146" s="326">
        <f>SUM(tblPiNAnalysis5613[[#This Row],[CCCM]:[WASH]])</f>
        <v>0</v>
      </c>
      <c r="X146" s="326">
        <v>3</v>
      </c>
    </row>
    <row r="147" spans="1:24" x14ac:dyDescent="0.55000000000000004">
      <c r="A14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7" s="316" t="s">
        <v>368</v>
      </c>
      <c r="C147" s="218" t="s">
        <v>369</v>
      </c>
      <c r="D147" s="218" t="s">
        <v>378</v>
      </c>
      <c r="E147" s="105" t="s">
        <v>379</v>
      </c>
      <c r="F147" s="100"/>
      <c r="G147" s="34"/>
      <c r="H147" s="34"/>
      <c r="I147" s="97">
        <v>85516.790119838945</v>
      </c>
      <c r="J147" s="97" t="s">
        <v>413</v>
      </c>
      <c r="K147" s="261">
        <v>0</v>
      </c>
      <c r="L147" s="319">
        <v>0</v>
      </c>
      <c r="M147" s="319">
        <v>0</v>
      </c>
      <c r="N147" s="319">
        <v>0</v>
      </c>
      <c r="O147" s="319">
        <v>0</v>
      </c>
      <c r="P147" s="319"/>
      <c r="Q147" s="320">
        <v>0</v>
      </c>
      <c r="R147" s="319">
        <v>0</v>
      </c>
      <c r="S147" s="319"/>
      <c r="T147" s="319"/>
      <c r="U147" s="319"/>
      <c r="V147" s="319"/>
      <c r="W147" s="326">
        <f>SUM(tblPiNAnalysis5613[[#This Row],[CCCM]:[WASH]])</f>
        <v>0</v>
      </c>
      <c r="X147" s="326">
        <v>4</v>
      </c>
    </row>
    <row r="148" spans="1:24" x14ac:dyDescent="0.55000000000000004">
      <c r="A14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8" s="316" t="s">
        <v>368</v>
      </c>
      <c r="C148" s="218" t="s">
        <v>369</v>
      </c>
      <c r="D148" s="218" t="s">
        <v>380</v>
      </c>
      <c r="E148" s="105" t="s">
        <v>381</v>
      </c>
      <c r="F148" s="100"/>
      <c r="G148" s="34"/>
      <c r="H148" s="34"/>
      <c r="I148" s="97">
        <v>56495.39881084334</v>
      </c>
      <c r="J148" s="97" t="s">
        <v>413</v>
      </c>
      <c r="K148" s="261">
        <v>0</v>
      </c>
      <c r="L148" s="319">
        <v>124879.46336584531</v>
      </c>
      <c r="M148" s="319">
        <v>1158492.8294159253</v>
      </c>
      <c r="N148" s="319">
        <v>3374285.3500625882</v>
      </c>
      <c r="O148" s="319">
        <v>1210243.3378072919</v>
      </c>
      <c r="P148" s="319">
        <v>461834.92427010118</v>
      </c>
      <c r="Q148" s="320">
        <v>59102.878755959195</v>
      </c>
      <c r="R148" s="319">
        <v>296787.32119641814</v>
      </c>
      <c r="S148" s="319"/>
      <c r="T148" s="319"/>
      <c r="U148" s="319"/>
      <c r="V148" s="319"/>
      <c r="W148" s="326">
        <f>SUM(tblPiNAnalysis5613[[#This Row],[CCCM]:[WASH]])</f>
        <v>6685626.1048741285</v>
      </c>
      <c r="X148" s="326">
        <v>1</v>
      </c>
    </row>
    <row r="149" spans="1:24" x14ac:dyDescent="0.55000000000000004">
      <c r="A14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49" s="316" t="s">
        <v>382</v>
      </c>
      <c r="C149" s="218" t="s">
        <v>383</v>
      </c>
      <c r="D149" s="218" t="s">
        <v>384</v>
      </c>
      <c r="E149" s="105" t="s">
        <v>385</v>
      </c>
      <c r="F149" s="100"/>
      <c r="G149" s="34"/>
      <c r="H149" s="34"/>
      <c r="I149" s="97">
        <v>178742.31540837008</v>
      </c>
      <c r="J149" s="97" t="s">
        <v>413</v>
      </c>
      <c r="K149" s="261">
        <v>0</v>
      </c>
      <c r="L149" s="319">
        <v>0</v>
      </c>
      <c r="M149" s="319">
        <v>0</v>
      </c>
      <c r="N149" s="319">
        <v>0</v>
      </c>
      <c r="O149" s="319">
        <v>0</v>
      </c>
      <c r="P149" s="319"/>
      <c r="Q149" s="320">
        <v>0</v>
      </c>
      <c r="R149" s="319">
        <v>0</v>
      </c>
      <c r="S149" s="319"/>
      <c r="T149" s="319"/>
      <c r="U149" s="319"/>
      <c r="V149" s="319"/>
      <c r="W149" s="326">
        <f>SUM(tblPiNAnalysis5613[[#This Row],[CCCM]:[WASH]])</f>
        <v>0</v>
      </c>
      <c r="X149" s="326">
        <v>4</v>
      </c>
    </row>
    <row r="150" spans="1:24" x14ac:dyDescent="0.55000000000000004">
      <c r="A15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0" s="316" t="s">
        <v>382</v>
      </c>
      <c r="C150" s="218" t="s">
        <v>383</v>
      </c>
      <c r="D150" s="218" t="s">
        <v>386</v>
      </c>
      <c r="E150" s="105" t="s">
        <v>387</v>
      </c>
      <c r="F150" s="100"/>
      <c r="G150" s="34"/>
      <c r="H150" s="34"/>
      <c r="I150" s="97">
        <v>37008.275019605207</v>
      </c>
      <c r="J150" s="97" t="s">
        <v>413</v>
      </c>
      <c r="K150" s="261"/>
      <c r="L150" s="319"/>
      <c r="M150" s="319"/>
      <c r="N150" s="319"/>
      <c r="O150" s="319"/>
      <c r="P150" s="319"/>
      <c r="Q150" s="320"/>
      <c r="R150" s="319"/>
      <c r="S150" s="319"/>
      <c r="T150" s="319"/>
      <c r="U150" s="319"/>
      <c r="V150" s="319"/>
      <c r="W150" s="326">
        <f>SUM(tblPiNAnalysis5613[[#This Row],[CCCM]:[WASH]])</f>
        <v>0</v>
      </c>
      <c r="X150" s="326">
        <v>3</v>
      </c>
    </row>
    <row r="151" spans="1:24" x14ac:dyDescent="0.55000000000000004">
      <c r="A15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1" s="316" t="s">
        <v>382</v>
      </c>
      <c r="C151" s="218" t="s">
        <v>383</v>
      </c>
      <c r="D151" s="218" t="s">
        <v>388</v>
      </c>
      <c r="E151" s="105" t="s">
        <v>389</v>
      </c>
      <c r="F151" s="100"/>
      <c r="G151" s="34"/>
      <c r="H151" s="34"/>
      <c r="I151" s="97">
        <v>225180.53774946873</v>
      </c>
      <c r="J151" s="97" t="s">
        <v>413</v>
      </c>
      <c r="K151" s="261">
        <v>0</v>
      </c>
      <c r="L151" s="319">
        <v>0</v>
      </c>
      <c r="M151" s="319"/>
      <c r="N151" s="319">
        <v>0</v>
      </c>
      <c r="O151" s="319">
        <v>0</v>
      </c>
      <c r="P151" s="319"/>
      <c r="Q151" s="320">
        <v>0</v>
      </c>
      <c r="R151" s="319">
        <v>0</v>
      </c>
      <c r="S151" s="319"/>
      <c r="T151" s="319"/>
      <c r="U151" s="319"/>
      <c r="V151" s="319"/>
      <c r="W151" s="326">
        <f>SUM(tblPiNAnalysis5613[[#This Row],[CCCM]:[WASH]])</f>
        <v>0</v>
      </c>
      <c r="X151" s="326">
        <v>4</v>
      </c>
    </row>
    <row r="152" spans="1:24" x14ac:dyDescent="0.55000000000000004">
      <c r="A15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2" s="316" t="s">
        <v>390</v>
      </c>
      <c r="C152" s="218" t="s">
        <v>391</v>
      </c>
      <c r="D152" s="218" t="s">
        <v>392</v>
      </c>
      <c r="E152" s="105" t="s">
        <v>393</v>
      </c>
      <c r="F152" s="100"/>
      <c r="G152" s="34"/>
      <c r="H152" s="34"/>
      <c r="I152" s="97">
        <v>73520.181474041485</v>
      </c>
      <c r="J152" s="97" t="s">
        <v>413</v>
      </c>
      <c r="K152" s="261"/>
      <c r="L152" s="319"/>
      <c r="M152" s="319"/>
      <c r="N152" s="319"/>
      <c r="O152" s="319"/>
      <c r="P152" s="319"/>
      <c r="Q152" s="320"/>
      <c r="R152" s="319"/>
      <c r="S152" s="319"/>
      <c r="T152" s="319"/>
      <c r="U152" s="319"/>
      <c r="V152" s="319"/>
      <c r="W152" s="326">
        <f>SUM(tblPiNAnalysis5613[[#This Row],[CCCM]:[WASH]])</f>
        <v>0</v>
      </c>
      <c r="X152" s="326">
        <v>3</v>
      </c>
    </row>
    <row r="153" spans="1:24" x14ac:dyDescent="0.55000000000000004">
      <c r="A15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3" s="316" t="s">
        <v>390</v>
      </c>
      <c r="C153" s="218" t="s">
        <v>391</v>
      </c>
      <c r="D153" s="218" t="s">
        <v>394</v>
      </c>
      <c r="E153" s="105" t="s">
        <v>395</v>
      </c>
      <c r="F153" s="100"/>
      <c r="G153" s="34"/>
      <c r="H153" s="34"/>
      <c r="I153" s="97">
        <v>47140.450098552225</v>
      </c>
      <c r="J153" s="97" t="s">
        <v>413</v>
      </c>
      <c r="K153" s="261">
        <v>0</v>
      </c>
      <c r="L153" s="319">
        <v>0</v>
      </c>
      <c r="M153" s="319">
        <v>0</v>
      </c>
      <c r="N153" s="319">
        <v>0</v>
      </c>
      <c r="O153" s="319">
        <v>0</v>
      </c>
      <c r="P153" s="319"/>
      <c r="Q153" s="320">
        <v>0</v>
      </c>
      <c r="R153" s="319">
        <v>0</v>
      </c>
      <c r="S153" s="319"/>
      <c r="T153" s="319"/>
      <c r="U153" s="319"/>
      <c r="V153" s="319"/>
      <c r="W153" s="326">
        <f>SUM(tblPiNAnalysis5613[[#This Row],[CCCM]:[WASH]])</f>
        <v>0</v>
      </c>
      <c r="X153" s="326">
        <v>5</v>
      </c>
    </row>
    <row r="154" spans="1:24" x14ac:dyDescent="0.55000000000000004">
      <c r="A15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4" s="316" t="s">
        <v>390</v>
      </c>
      <c r="C154" s="218" t="s">
        <v>391</v>
      </c>
      <c r="D154" s="218" t="s">
        <v>396</v>
      </c>
      <c r="E154" s="105" t="s">
        <v>397</v>
      </c>
      <c r="F154" s="100"/>
      <c r="G154" s="34"/>
      <c r="H154" s="34"/>
      <c r="I154" s="97">
        <v>80255.412925910496</v>
      </c>
      <c r="J154" s="97" t="s">
        <v>413</v>
      </c>
      <c r="K154" s="261">
        <v>0</v>
      </c>
      <c r="L154" s="319">
        <v>0</v>
      </c>
      <c r="M154" s="319">
        <v>0</v>
      </c>
      <c r="N154" s="319">
        <v>0</v>
      </c>
      <c r="O154" s="319">
        <v>0</v>
      </c>
      <c r="P154" s="319"/>
      <c r="Q154" s="320">
        <v>0</v>
      </c>
      <c r="R154" s="319">
        <v>0</v>
      </c>
      <c r="S154" s="319"/>
      <c r="T154" s="319"/>
      <c r="U154" s="319"/>
      <c r="V154" s="319"/>
      <c r="W154" s="326">
        <f>SUM(tblPiNAnalysis5613[[#This Row],[CCCM]:[WASH]])</f>
        <v>0</v>
      </c>
      <c r="X154" s="326">
        <v>5</v>
      </c>
    </row>
    <row r="155" spans="1:24" x14ac:dyDescent="0.55000000000000004">
      <c r="A15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5" s="316" t="s">
        <v>390</v>
      </c>
      <c r="C155" s="218" t="s">
        <v>391</v>
      </c>
      <c r="D155" s="218" t="s">
        <v>398</v>
      </c>
      <c r="E155" s="105" t="s">
        <v>399</v>
      </c>
      <c r="F155" s="100"/>
      <c r="G155" s="34"/>
      <c r="H155" s="34"/>
      <c r="I155" s="97">
        <v>64180.342035561967</v>
      </c>
      <c r="J155" s="97" t="s">
        <v>413</v>
      </c>
      <c r="K155" s="261">
        <v>0</v>
      </c>
      <c r="L155" s="319">
        <v>0</v>
      </c>
      <c r="M155" s="319">
        <v>0</v>
      </c>
      <c r="N155" s="319">
        <v>0</v>
      </c>
      <c r="O155" s="319">
        <v>0</v>
      </c>
      <c r="P155" s="319"/>
      <c r="Q155" s="320">
        <v>0</v>
      </c>
      <c r="R155" s="319">
        <v>0</v>
      </c>
      <c r="S155" s="319"/>
      <c r="T155" s="319"/>
      <c r="U155" s="319"/>
      <c r="V155" s="319"/>
      <c r="W155" s="326">
        <f>SUM(tblPiNAnalysis5613[[#This Row],[CCCM]:[WASH]])</f>
        <v>0</v>
      </c>
      <c r="X155" s="326">
        <v>5</v>
      </c>
    </row>
    <row r="156" spans="1:24" x14ac:dyDescent="0.55000000000000004">
      <c r="A15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6" s="316" t="s">
        <v>390</v>
      </c>
      <c r="C156" s="218" t="s">
        <v>391</v>
      </c>
      <c r="D156" s="218" t="s">
        <v>400</v>
      </c>
      <c r="E156" s="105" t="s">
        <v>401</v>
      </c>
      <c r="F156" s="100"/>
      <c r="G156" s="34"/>
      <c r="H156" s="34"/>
      <c r="I156" s="97">
        <v>37549.507730213714</v>
      </c>
      <c r="J156" s="97" t="s">
        <v>413</v>
      </c>
      <c r="K156" s="261">
        <v>0</v>
      </c>
      <c r="L156" s="319">
        <v>0</v>
      </c>
      <c r="M156" s="319">
        <v>0</v>
      </c>
      <c r="N156" s="319">
        <v>0</v>
      </c>
      <c r="O156" s="319">
        <v>0</v>
      </c>
      <c r="P156" s="319"/>
      <c r="Q156" s="320">
        <v>0</v>
      </c>
      <c r="R156" s="319">
        <v>0</v>
      </c>
      <c r="S156" s="319"/>
      <c r="T156" s="319"/>
      <c r="U156" s="319"/>
      <c r="V156" s="319"/>
      <c r="W156" s="326">
        <f>SUM(tblPiNAnalysis5613[[#This Row],[CCCM]:[WASH]])</f>
        <v>0</v>
      </c>
      <c r="X156" s="326">
        <v>5</v>
      </c>
    </row>
    <row r="157" spans="1:24" x14ac:dyDescent="0.55000000000000004">
      <c r="A15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7" s="316" t="s">
        <v>390</v>
      </c>
      <c r="C157" s="218" t="s">
        <v>391</v>
      </c>
      <c r="D157" s="218" t="s">
        <v>402</v>
      </c>
      <c r="E157" s="105" t="s">
        <v>403</v>
      </c>
      <c r="F157" s="100"/>
      <c r="G157" s="34"/>
      <c r="H157" s="34"/>
      <c r="I157" s="97">
        <v>57305.25569680793</v>
      </c>
      <c r="J157" s="97" t="s">
        <v>413</v>
      </c>
      <c r="K157" s="261">
        <v>0</v>
      </c>
      <c r="L157" s="319">
        <v>0</v>
      </c>
      <c r="M157" s="319">
        <v>0</v>
      </c>
      <c r="N157" s="319">
        <v>0</v>
      </c>
      <c r="O157" s="319">
        <v>0</v>
      </c>
      <c r="P157" s="319"/>
      <c r="Q157" s="320">
        <v>0</v>
      </c>
      <c r="R157" s="319">
        <v>0</v>
      </c>
      <c r="S157" s="319"/>
      <c r="T157" s="319"/>
      <c r="U157" s="319"/>
      <c r="V157" s="319"/>
      <c r="W157" s="326">
        <f>SUM(tblPiNAnalysis5613[[#This Row],[CCCM]:[WASH]])</f>
        <v>0</v>
      </c>
      <c r="X157" s="326">
        <v>5</v>
      </c>
    </row>
    <row r="158" spans="1:24" x14ac:dyDescent="0.55000000000000004">
      <c r="A15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8" s="316" t="s">
        <v>390</v>
      </c>
      <c r="C158" s="218" t="s">
        <v>391</v>
      </c>
      <c r="D158" s="218" t="s">
        <v>404</v>
      </c>
      <c r="E158" s="105" t="s">
        <v>405</v>
      </c>
      <c r="F158" s="100"/>
      <c r="G158" s="34"/>
      <c r="H158" s="34"/>
      <c r="I158" s="97">
        <v>20533.496005228379</v>
      </c>
      <c r="J158" s="97" t="s">
        <v>413</v>
      </c>
      <c r="K158" s="261">
        <v>0</v>
      </c>
      <c r="L158" s="319">
        <v>24112.599346517316</v>
      </c>
      <c r="M158" s="319">
        <v>255947.518837371</v>
      </c>
      <c r="N158" s="319">
        <v>214436.93335794506</v>
      </c>
      <c r="O158" s="319">
        <v>306226.32399505412</v>
      </c>
      <c r="P158" s="319">
        <v>211432.7390504592</v>
      </c>
      <c r="Q158" s="320">
        <v>14612.208785116009</v>
      </c>
      <c r="R158" s="319">
        <v>231255.33000950111</v>
      </c>
      <c r="S158" s="319"/>
      <c r="T158" s="319"/>
      <c r="U158" s="319"/>
      <c r="V158" s="319"/>
      <c r="W158" s="326">
        <f>SUM(tblPiNAnalysis5613[[#This Row],[CCCM]:[WASH]])</f>
        <v>1258023.6533819637</v>
      </c>
      <c r="X158" s="326">
        <v>2</v>
      </c>
    </row>
    <row r="159" spans="1:24" x14ac:dyDescent="0.55000000000000004">
      <c r="A15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59" s="316" t="s">
        <v>390</v>
      </c>
      <c r="C159" s="218" t="s">
        <v>391</v>
      </c>
      <c r="D159" s="218" t="s">
        <v>406</v>
      </c>
      <c r="E159" s="105" t="s">
        <v>407</v>
      </c>
      <c r="F159" s="100"/>
      <c r="G159" s="34"/>
      <c r="H159" s="34"/>
      <c r="I159" s="97">
        <v>65499.917413585019</v>
      </c>
      <c r="J159" s="97" t="s">
        <v>413</v>
      </c>
      <c r="K159" s="261">
        <v>0</v>
      </c>
      <c r="L159" s="319">
        <v>0</v>
      </c>
      <c r="M159" s="319">
        <v>0</v>
      </c>
      <c r="N159" s="319">
        <v>0</v>
      </c>
      <c r="O159" s="319">
        <v>0</v>
      </c>
      <c r="P159" s="319"/>
      <c r="Q159" s="320">
        <v>0</v>
      </c>
      <c r="R159" s="319">
        <v>0</v>
      </c>
      <c r="S159" s="319"/>
      <c r="T159" s="319"/>
      <c r="U159" s="319"/>
      <c r="V159" s="319"/>
      <c r="W159" s="326">
        <f>SUM(tblPiNAnalysis5613[[#This Row],[CCCM]:[WASH]])</f>
        <v>0</v>
      </c>
      <c r="X159" s="326">
        <v>5</v>
      </c>
    </row>
    <row r="160" spans="1:24" x14ac:dyDescent="0.55000000000000004">
      <c r="A16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0" s="316" t="s">
        <v>390</v>
      </c>
      <c r="C160" s="218" t="s">
        <v>391</v>
      </c>
      <c r="D160" s="218" t="s">
        <v>408</v>
      </c>
      <c r="E160" s="105" t="s">
        <v>409</v>
      </c>
      <c r="F160" s="100"/>
      <c r="G160" s="34"/>
      <c r="H160" s="34"/>
      <c r="I160" s="97">
        <v>76119.104669093867</v>
      </c>
      <c r="J160" s="97" t="s">
        <v>413</v>
      </c>
      <c r="K160" s="261">
        <v>0</v>
      </c>
      <c r="L160" s="319">
        <v>275904.50378599373</v>
      </c>
      <c r="M160" s="319">
        <v>777489.37913692906</v>
      </c>
      <c r="N160" s="319">
        <v>638997.18091657734</v>
      </c>
      <c r="O160" s="319">
        <v>1277097.1713270356</v>
      </c>
      <c r="P160" s="319">
        <v>686903.30041959858</v>
      </c>
      <c r="Q160" s="320">
        <v>244265.35161228321</v>
      </c>
      <c r="R160" s="319">
        <v>1698906.7608841625</v>
      </c>
      <c r="S160" s="319"/>
      <c r="T160" s="319"/>
      <c r="U160" s="319"/>
      <c r="V160" s="319"/>
      <c r="W160" s="326">
        <f>SUM(tblPiNAnalysis5613[[#This Row],[CCCM]:[WASH]])</f>
        <v>5599563.6480825804</v>
      </c>
      <c r="X160" s="326">
        <v>2</v>
      </c>
    </row>
    <row r="161" spans="1:24" x14ac:dyDescent="0.55000000000000004">
      <c r="A16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1" s="316" t="s">
        <v>390</v>
      </c>
      <c r="C161" s="218" t="s">
        <v>391</v>
      </c>
      <c r="D161" s="218" t="s">
        <v>410</v>
      </c>
      <c r="E161" s="105" t="s">
        <v>411</v>
      </c>
      <c r="F161" s="100"/>
      <c r="G161" s="34"/>
      <c r="H161" s="34"/>
      <c r="I161" s="97">
        <v>122615.70597189905</v>
      </c>
      <c r="J161" s="97" t="s">
        <v>413</v>
      </c>
      <c r="K161" s="261">
        <v>0</v>
      </c>
      <c r="L161" s="319">
        <v>0</v>
      </c>
      <c r="M161" s="319">
        <v>0</v>
      </c>
      <c r="N161" s="319">
        <v>0</v>
      </c>
      <c r="O161" s="319">
        <v>0</v>
      </c>
      <c r="P161" s="319"/>
      <c r="Q161" s="320">
        <v>0</v>
      </c>
      <c r="R161" s="319">
        <v>0</v>
      </c>
      <c r="S161" s="319"/>
      <c r="T161" s="319"/>
      <c r="U161" s="319"/>
      <c r="V161" s="319"/>
      <c r="W161" s="326">
        <f>SUM(tblPiNAnalysis5613[[#This Row],[CCCM]:[WASH]])</f>
        <v>0</v>
      </c>
      <c r="X161" s="326">
        <v>5</v>
      </c>
    </row>
    <row r="162" spans="1:24" ht="27.6" x14ac:dyDescent="0.55000000000000004">
      <c r="A16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2" s="316" t="s">
        <v>233</v>
      </c>
      <c r="C162" s="218" t="s">
        <v>234</v>
      </c>
      <c r="D162" s="218" t="s">
        <v>233</v>
      </c>
      <c r="E162" s="105" t="s">
        <v>235</v>
      </c>
      <c r="F162" s="100"/>
      <c r="G162" s="34"/>
      <c r="H162" s="34"/>
      <c r="I162" s="97">
        <v>19107.704392085096</v>
      </c>
      <c r="J162" s="97" t="s">
        <v>414</v>
      </c>
      <c r="K162" s="318">
        <v>115000</v>
      </c>
      <c r="L162" s="319">
        <v>131613.86785268216</v>
      </c>
      <c r="M162" s="319">
        <v>223268.70207258672</v>
      </c>
      <c r="N162" s="319">
        <v>1191837.5983997842</v>
      </c>
      <c r="O162" s="319">
        <v>368921.43756957597</v>
      </c>
      <c r="P162" s="319">
        <v>320452.43985406286</v>
      </c>
      <c r="Q162" s="320">
        <v>94742.367610755275</v>
      </c>
      <c r="R162" s="319">
        <v>84628.258650129967</v>
      </c>
      <c r="S162" s="319"/>
      <c r="T162" s="319"/>
      <c r="U162" s="319"/>
      <c r="V162" s="319"/>
      <c r="W162" s="326">
        <f>SUM(tblPiNAnalysis5613[[#This Row],[CCCM]:[WASH]])</f>
        <v>2530464.6720095775</v>
      </c>
      <c r="X162" s="326">
        <v>1</v>
      </c>
    </row>
    <row r="163" spans="1:24" x14ac:dyDescent="0.55000000000000004">
      <c r="A16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3" s="316" t="s">
        <v>236</v>
      </c>
      <c r="C163" s="218" t="s">
        <v>237</v>
      </c>
      <c r="D163" s="218" t="s">
        <v>238</v>
      </c>
      <c r="E163" s="105" t="s">
        <v>239</v>
      </c>
      <c r="F163" s="100"/>
      <c r="G163" s="34"/>
      <c r="H163" s="34"/>
      <c r="I163" s="97">
        <v>58949.896431430854</v>
      </c>
      <c r="J163" s="97" t="s">
        <v>414</v>
      </c>
      <c r="K163" s="318">
        <v>0</v>
      </c>
      <c r="L163" s="319">
        <v>0</v>
      </c>
      <c r="M163" s="319">
        <v>0</v>
      </c>
      <c r="N163" s="319">
        <v>0</v>
      </c>
      <c r="O163" s="319">
        <v>0</v>
      </c>
      <c r="P163" s="319"/>
      <c r="Q163" s="320">
        <v>0</v>
      </c>
      <c r="R163" s="319">
        <v>0</v>
      </c>
      <c r="S163" s="319"/>
      <c r="T163" s="319"/>
      <c r="U163" s="319"/>
      <c r="V163" s="319"/>
      <c r="W163" s="326">
        <f>SUM(tblPiNAnalysis5613[[#This Row],[CCCM]:[WASH]])</f>
        <v>0</v>
      </c>
      <c r="X163" s="326">
        <v>4</v>
      </c>
    </row>
    <row r="164" spans="1:24" x14ac:dyDescent="0.55000000000000004">
      <c r="A16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4" s="316" t="s">
        <v>236</v>
      </c>
      <c r="C164" s="218" t="s">
        <v>237</v>
      </c>
      <c r="D164" s="218" t="s">
        <v>240</v>
      </c>
      <c r="E164" s="105" t="s">
        <v>241</v>
      </c>
      <c r="F164" s="100"/>
      <c r="G164" s="34"/>
      <c r="H164" s="34"/>
      <c r="I164" s="97">
        <v>15480.714285714301</v>
      </c>
      <c r="J164" s="97" t="s">
        <v>414</v>
      </c>
      <c r="K164" s="318">
        <v>0</v>
      </c>
      <c r="L164" s="319">
        <v>0</v>
      </c>
      <c r="M164" s="319">
        <v>0</v>
      </c>
      <c r="N164" s="319">
        <v>0</v>
      </c>
      <c r="O164" s="319">
        <v>0</v>
      </c>
      <c r="P164" s="319"/>
      <c r="Q164" s="320">
        <v>0</v>
      </c>
      <c r="R164" s="319">
        <v>0</v>
      </c>
      <c r="S164" s="319"/>
      <c r="T164" s="319"/>
      <c r="U164" s="319"/>
      <c r="V164" s="319"/>
      <c r="W164" s="326">
        <f>SUM(tblPiNAnalysis5613[[#This Row],[CCCM]:[WASH]])</f>
        <v>0</v>
      </c>
      <c r="X164" s="326">
        <v>5</v>
      </c>
    </row>
    <row r="165" spans="1:24" x14ac:dyDescent="0.55000000000000004">
      <c r="A16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5" s="316" t="s">
        <v>236</v>
      </c>
      <c r="C165" s="218" t="s">
        <v>237</v>
      </c>
      <c r="D165" s="218" t="s">
        <v>242</v>
      </c>
      <c r="E165" s="105" t="s">
        <v>243</v>
      </c>
      <c r="F165" s="100"/>
      <c r="G165" s="34"/>
      <c r="H165" s="34"/>
      <c r="I165" s="97">
        <v>7168.4285714285697</v>
      </c>
      <c r="J165" s="97" t="s">
        <v>414</v>
      </c>
      <c r="K165" s="318">
        <v>0</v>
      </c>
      <c r="L165" s="319">
        <v>0</v>
      </c>
      <c r="M165" s="319">
        <v>0</v>
      </c>
      <c r="N165" s="319">
        <v>0</v>
      </c>
      <c r="O165" s="319">
        <v>0</v>
      </c>
      <c r="P165" s="319"/>
      <c r="Q165" s="320">
        <v>0</v>
      </c>
      <c r="R165" s="319">
        <v>0</v>
      </c>
      <c r="S165" s="319"/>
      <c r="T165" s="319"/>
      <c r="U165" s="319"/>
      <c r="V165" s="319"/>
      <c r="W165" s="326">
        <f>SUM(tblPiNAnalysis5613[[#This Row],[CCCM]:[WASH]])</f>
        <v>0</v>
      </c>
      <c r="X165" s="326">
        <v>5</v>
      </c>
    </row>
    <row r="166" spans="1:24" x14ac:dyDescent="0.55000000000000004">
      <c r="A16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6" s="316" t="s">
        <v>236</v>
      </c>
      <c r="C166" s="218" t="s">
        <v>237</v>
      </c>
      <c r="D166" s="218" t="s">
        <v>244</v>
      </c>
      <c r="E166" s="105" t="s">
        <v>245</v>
      </c>
      <c r="F166" s="100"/>
      <c r="G166" s="34"/>
      <c r="H166" s="34"/>
      <c r="I166" s="97">
        <v>12810</v>
      </c>
      <c r="J166" s="97" t="s">
        <v>414</v>
      </c>
      <c r="K166" s="318">
        <v>0</v>
      </c>
      <c r="L166" s="319">
        <v>0</v>
      </c>
      <c r="M166" s="319">
        <v>0</v>
      </c>
      <c r="N166" s="319">
        <v>0</v>
      </c>
      <c r="O166" s="319">
        <v>0</v>
      </c>
      <c r="P166" s="319"/>
      <c r="Q166" s="320">
        <v>0</v>
      </c>
      <c r="R166" s="319">
        <v>0</v>
      </c>
      <c r="S166" s="319"/>
      <c r="T166" s="319"/>
      <c r="U166" s="319"/>
      <c r="V166" s="319"/>
      <c r="W166" s="326">
        <f>SUM(tblPiNAnalysis5613[[#This Row],[CCCM]:[WASH]])</f>
        <v>0</v>
      </c>
      <c r="X166" s="326">
        <v>5</v>
      </c>
    </row>
    <row r="167" spans="1:24" x14ac:dyDescent="0.55000000000000004">
      <c r="A16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7" s="316" t="s">
        <v>236</v>
      </c>
      <c r="C167" s="218" t="s">
        <v>237</v>
      </c>
      <c r="D167" s="218" t="s">
        <v>246</v>
      </c>
      <c r="E167" s="105" t="s">
        <v>247</v>
      </c>
      <c r="F167" s="100"/>
      <c r="G167" s="34"/>
      <c r="H167" s="34"/>
      <c r="I167" s="97">
        <v>1080</v>
      </c>
      <c r="J167" s="97" t="s">
        <v>414</v>
      </c>
      <c r="K167" s="318">
        <v>0</v>
      </c>
      <c r="L167" s="319">
        <v>0</v>
      </c>
      <c r="M167" s="319">
        <v>0</v>
      </c>
      <c r="N167" s="319">
        <v>0</v>
      </c>
      <c r="O167" s="319">
        <v>0</v>
      </c>
      <c r="P167" s="319"/>
      <c r="Q167" s="320">
        <v>0</v>
      </c>
      <c r="R167" s="319">
        <v>0</v>
      </c>
      <c r="S167" s="319"/>
      <c r="T167" s="319"/>
      <c r="U167" s="319"/>
      <c r="V167" s="319"/>
      <c r="W167" s="326">
        <f>SUM(tblPiNAnalysis5613[[#This Row],[CCCM]:[WASH]])</f>
        <v>0</v>
      </c>
      <c r="X167" s="326">
        <v>4</v>
      </c>
    </row>
    <row r="168" spans="1:24" x14ac:dyDescent="0.55000000000000004">
      <c r="A16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8" s="316" t="s">
        <v>236</v>
      </c>
      <c r="C168" s="218" t="s">
        <v>237</v>
      </c>
      <c r="D168" s="218" t="s">
        <v>248</v>
      </c>
      <c r="E168" s="105" t="s">
        <v>249</v>
      </c>
      <c r="F168" s="100"/>
      <c r="G168" s="34"/>
      <c r="H168" s="34"/>
      <c r="I168" s="97">
        <v>29744.714285714301</v>
      </c>
      <c r="J168" s="97" t="s">
        <v>414</v>
      </c>
      <c r="K168" s="318">
        <v>0</v>
      </c>
      <c r="L168" s="319">
        <v>0</v>
      </c>
      <c r="M168" s="319">
        <v>0</v>
      </c>
      <c r="N168" s="319">
        <v>0</v>
      </c>
      <c r="O168" s="319">
        <v>0</v>
      </c>
      <c r="P168" s="319"/>
      <c r="Q168" s="320">
        <v>0</v>
      </c>
      <c r="R168" s="319">
        <v>0</v>
      </c>
      <c r="S168" s="319"/>
      <c r="T168" s="319"/>
      <c r="U168" s="319"/>
      <c r="V168" s="319"/>
      <c r="W168" s="326">
        <f>SUM(tblPiNAnalysis5613[[#This Row],[CCCM]:[WASH]])</f>
        <v>0</v>
      </c>
      <c r="X168" s="326">
        <v>5</v>
      </c>
    </row>
    <row r="169" spans="1:24" x14ac:dyDescent="0.55000000000000004">
      <c r="A16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69" s="316" t="s">
        <v>250</v>
      </c>
      <c r="C169" s="218" t="s">
        <v>251</v>
      </c>
      <c r="D169" s="218" t="s">
        <v>252</v>
      </c>
      <c r="E169" s="105" t="s">
        <v>253</v>
      </c>
      <c r="F169" s="100"/>
      <c r="G169" s="34"/>
      <c r="H169" s="34"/>
      <c r="I169" s="97">
        <v>2130</v>
      </c>
      <c r="J169" s="97" t="s">
        <v>414</v>
      </c>
      <c r="K169" s="318">
        <v>0</v>
      </c>
      <c r="L169" s="319">
        <v>0</v>
      </c>
      <c r="M169" s="319">
        <v>0</v>
      </c>
      <c r="N169" s="319">
        <v>0</v>
      </c>
      <c r="O169" s="319">
        <v>0</v>
      </c>
      <c r="P169" s="319"/>
      <c r="Q169" s="320">
        <v>0</v>
      </c>
      <c r="R169" s="319">
        <v>0</v>
      </c>
      <c r="S169" s="319"/>
      <c r="T169" s="319"/>
      <c r="U169" s="319"/>
      <c r="V169" s="319"/>
      <c r="W169" s="326">
        <f>SUM(tblPiNAnalysis5613[[#This Row],[CCCM]:[WASH]])</f>
        <v>0</v>
      </c>
      <c r="X169" s="326">
        <v>4</v>
      </c>
    </row>
    <row r="170" spans="1:24" x14ac:dyDescent="0.55000000000000004">
      <c r="A17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0" s="316" t="s">
        <v>250</v>
      </c>
      <c r="C170" s="218" t="s">
        <v>251</v>
      </c>
      <c r="D170" s="218" t="s">
        <v>254</v>
      </c>
      <c r="E170" s="105" t="s">
        <v>255</v>
      </c>
      <c r="F170" s="100"/>
      <c r="G170" s="34"/>
      <c r="H170" s="34"/>
      <c r="I170" s="97">
        <v>3437.4285714285702</v>
      </c>
      <c r="J170" s="97" t="s">
        <v>414</v>
      </c>
      <c r="K170" s="318">
        <v>0</v>
      </c>
      <c r="L170" s="319">
        <v>0</v>
      </c>
      <c r="M170" s="319">
        <v>0</v>
      </c>
      <c r="N170" s="319">
        <v>0</v>
      </c>
      <c r="O170" s="319">
        <v>0</v>
      </c>
      <c r="P170" s="319"/>
      <c r="Q170" s="320">
        <v>0</v>
      </c>
      <c r="R170" s="319">
        <v>0</v>
      </c>
      <c r="S170" s="319"/>
      <c r="T170" s="319"/>
      <c r="U170" s="319"/>
      <c r="V170" s="319"/>
      <c r="W170" s="326">
        <f>SUM(tblPiNAnalysis5613[[#This Row],[CCCM]:[WASH]])</f>
        <v>0</v>
      </c>
      <c r="X170" s="326">
        <v>4</v>
      </c>
    </row>
    <row r="171" spans="1:24" x14ac:dyDescent="0.55000000000000004">
      <c r="A17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1" s="316" t="s">
        <v>250</v>
      </c>
      <c r="C171" s="218" t="s">
        <v>251</v>
      </c>
      <c r="D171" s="218" t="s">
        <v>256</v>
      </c>
      <c r="E171" s="105" t="s">
        <v>257</v>
      </c>
      <c r="F171" s="100"/>
      <c r="G171" s="34"/>
      <c r="H171" s="34"/>
      <c r="I171" s="97">
        <v>3548.7142857142862</v>
      </c>
      <c r="J171" s="97" t="s">
        <v>414</v>
      </c>
      <c r="K171" s="318">
        <v>0</v>
      </c>
      <c r="L171" s="319">
        <v>36367.224000000009</v>
      </c>
      <c r="M171" s="319">
        <v>42526.192468621302</v>
      </c>
      <c r="N171" s="319">
        <v>259015.9410821769</v>
      </c>
      <c r="O171" s="319">
        <v>37964.721127490855</v>
      </c>
      <c r="P171" s="319">
        <v>83747.575714289909</v>
      </c>
      <c r="Q171" s="320">
        <v>0</v>
      </c>
      <c r="R171" s="319">
        <v>81530.372036057233</v>
      </c>
      <c r="S171" s="319"/>
      <c r="T171" s="319"/>
      <c r="U171" s="319"/>
      <c r="V171" s="319"/>
      <c r="W171" s="326">
        <f>SUM(tblPiNAnalysis5613[[#This Row],[CCCM]:[WASH]])</f>
        <v>541152.02642863616</v>
      </c>
      <c r="X171" s="326">
        <v>2</v>
      </c>
    </row>
    <row r="172" spans="1:24" x14ac:dyDescent="0.55000000000000004">
      <c r="A17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2" s="316" t="s">
        <v>250</v>
      </c>
      <c r="C172" s="218" t="s">
        <v>251</v>
      </c>
      <c r="D172" s="218" t="s">
        <v>258</v>
      </c>
      <c r="E172" s="105" t="s">
        <v>259</v>
      </c>
      <c r="F172" s="100"/>
      <c r="G172" s="34"/>
      <c r="H172" s="34"/>
      <c r="I172" s="97">
        <v>3</v>
      </c>
      <c r="J172" s="97" t="s">
        <v>414</v>
      </c>
      <c r="K172" s="318"/>
      <c r="L172" s="319"/>
      <c r="M172" s="319"/>
      <c r="N172" s="319"/>
      <c r="O172" s="319"/>
      <c r="P172" s="319"/>
      <c r="Q172" s="320"/>
      <c r="R172" s="319"/>
      <c r="S172" s="319"/>
      <c r="T172" s="319"/>
      <c r="U172" s="319"/>
      <c r="V172" s="319"/>
      <c r="W172" s="326">
        <f>SUM(tblPiNAnalysis5613[[#This Row],[CCCM]:[WASH]])</f>
        <v>0</v>
      </c>
      <c r="X172" s="326">
        <v>3</v>
      </c>
    </row>
    <row r="173" spans="1:24" x14ac:dyDescent="0.55000000000000004">
      <c r="A17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3" s="316" t="s">
        <v>250</v>
      </c>
      <c r="C173" s="218" t="s">
        <v>251</v>
      </c>
      <c r="D173" s="218" t="s">
        <v>260</v>
      </c>
      <c r="E173" s="105" t="s">
        <v>261</v>
      </c>
      <c r="F173" s="100"/>
      <c r="G173" s="34"/>
      <c r="H173" s="34"/>
      <c r="I173" s="97">
        <v>9189.5714285714294</v>
      </c>
      <c r="J173" s="97" t="s">
        <v>414</v>
      </c>
      <c r="K173" s="318"/>
      <c r="L173" s="319"/>
      <c r="M173" s="319"/>
      <c r="N173" s="319"/>
      <c r="O173" s="319"/>
      <c r="P173" s="319"/>
      <c r="Q173" s="320"/>
      <c r="R173" s="319"/>
      <c r="S173" s="319"/>
      <c r="T173" s="319"/>
      <c r="U173" s="319"/>
      <c r="V173" s="319"/>
      <c r="W173" s="326">
        <f>SUM(tblPiNAnalysis5613[[#This Row],[CCCM]:[WASH]])</f>
        <v>0</v>
      </c>
      <c r="X173" s="326">
        <v>3</v>
      </c>
    </row>
    <row r="174" spans="1:24" x14ac:dyDescent="0.55000000000000004">
      <c r="A17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4" s="316" t="s">
        <v>250</v>
      </c>
      <c r="C174" s="218" t="s">
        <v>251</v>
      </c>
      <c r="D174" s="218" t="s">
        <v>262</v>
      </c>
      <c r="E174" s="105" t="s">
        <v>263</v>
      </c>
      <c r="F174" s="100"/>
      <c r="G174" s="34"/>
      <c r="H174" s="34"/>
      <c r="I174" s="97">
        <v>5555.8571428571404</v>
      </c>
      <c r="J174" s="97" t="s">
        <v>414</v>
      </c>
      <c r="K174" s="318"/>
      <c r="L174" s="319"/>
      <c r="M174" s="319"/>
      <c r="N174" s="319"/>
      <c r="O174" s="319"/>
      <c r="P174" s="319"/>
      <c r="Q174" s="320"/>
      <c r="R174" s="319"/>
      <c r="S174" s="319"/>
      <c r="T174" s="319"/>
      <c r="U174" s="319"/>
      <c r="V174" s="319"/>
      <c r="W174" s="326">
        <f>SUM(tblPiNAnalysis5613[[#This Row],[CCCM]:[WASH]])</f>
        <v>0</v>
      </c>
      <c r="X174" s="326">
        <v>3</v>
      </c>
    </row>
    <row r="175" spans="1:24" x14ac:dyDescent="0.55000000000000004">
      <c r="A17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5" s="316" t="s">
        <v>250</v>
      </c>
      <c r="C175" s="218" t="s">
        <v>251</v>
      </c>
      <c r="D175" s="218" t="s">
        <v>264</v>
      </c>
      <c r="E175" s="105" t="s">
        <v>265</v>
      </c>
      <c r="F175" s="100"/>
      <c r="G175" s="34"/>
      <c r="H175" s="34"/>
      <c r="I175" s="97">
        <v>33159.142857142899</v>
      </c>
      <c r="J175" s="97" t="s">
        <v>414</v>
      </c>
      <c r="K175" s="318">
        <v>0</v>
      </c>
      <c r="L175" s="319">
        <v>0</v>
      </c>
      <c r="M175" s="319">
        <v>0</v>
      </c>
      <c r="N175" s="319">
        <v>0</v>
      </c>
      <c r="O175" s="319">
        <v>0</v>
      </c>
      <c r="P175" s="319"/>
      <c r="Q175" s="320">
        <v>0</v>
      </c>
      <c r="R175" s="319">
        <v>0</v>
      </c>
      <c r="S175" s="319"/>
      <c r="T175" s="319"/>
      <c r="U175" s="319"/>
      <c r="V175" s="319"/>
      <c r="W175" s="326">
        <f>SUM(tblPiNAnalysis5613[[#This Row],[CCCM]:[WASH]])</f>
        <v>0</v>
      </c>
      <c r="X175" s="326">
        <v>4</v>
      </c>
    </row>
    <row r="176" spans="1:24" x14ac:dyDescent="0.55000000000000004">
      <c r="A17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6" s="316" t="s">
        <v>250</v>
      </c>
      <c r="C176" s="218" t="s">
        <v>251</v>
      </c>
      <c r="D176" s="218" t="s">
        <v>266</v>
      </c>
      <c r="E176" s="105" t="s">
        <v>267</v>
      </c>
      <c r="F176" s="100"/>
      <c r="G176" s="34"/>
      <c r="H176" s="34"/>
      <c r="I176" s="97">
        <v>9209.5714285714294</v>
      </c>
      <c r="J176" s="97" t="s">
        <v>414</v>
      </c>
      <c r="K176" s="318">
        <v>0</v>
      </c>
      <c r="L176" s="319">
        <v>0</v>
      </c>
      <c r="M176" s="319">
        <v>0</v>
      </c>
      <c r="N176" s="319">
        <v>0</v>
      </c>
      <c r="O176" s="319">
        <v>0</v>
      </c>
      <c r="P176" s="319"/>
      <c r="Q176" s="320">
        <v>0</v>
      </c>
      <c r="R176" s="319">
        <v>0</v>
      </c>
      <c r="S176" s="319"/>
      <c r="T176" s="319"/>
      <c r="U176" s="319"/>
      <c r="V176" s="319"/>
      <c r="W176" s="326">
        <f>SUM(tblPiNAnalysis5613[[#This Row],[CCCM]:[WASH]])</f>
        <v>0</v>
      </c>
      <c r="X176" s="326">
        <v>4</v>
      </c>
    </row>
    <row r="177" spans="1:24" x14ac:dyDescent="0.55000000000000004">
      <c r="A17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7" s="316" t="s">
        <v>268</v>
      </c>
      <c r="C177" s="218" t="s">
        <v>269</v>
      </c>
      <c r="D177" s="218" t="s">
        <v>270</v>
      </c>
      <c r="E177" s="105" t="s">
        <v>271</v>
      </c>
      <c r="F177" s="100"/>
      <c r="G177" s="34"/>
      <c r="H177" s="34"/>
      <c r="I177" s="97">
        <v>6904.2601395402035</v>
      </c>
      <c r="J177" s="97" t="s">
        <v>414</v>
      </c>
      <c r="K177" s="318">
        <v>383111</v>
      </c>
      <c r="L177" s="319">
        <v>81704.462150507607</v>
      </c>
      <c r="M177" s="319">
        <v>140126.69392623304</v>
      </c>
      <c r="N177" s="319">
        <v>605558.52737904596</v>
      </c>
      <c r="O177" s="319">
        <v>131057.22712174366</v>
      </c>
      <c r="P177" s="319">
        <v>152610.12539882498</v>
      </c>
      <c r="Q177" s="320">
        <v>164321.39132105684</v>
      </c>
      <c r="R177" s="319">
        <v>48489.641813344853</v>
      </c>
      <c r="S177" s="319"/>
      <c r="T177" s="319"/>
      <c r="U177" s="319"/>
      <c r="V177" s="319"/>
      <c r="W177" s="326">
        <f>SUM(tblPiNAnalysis5613[[#This Row],[CCCM]:[WASH]])</f>
        <v>1706979.0691107567</v>
      </c>
      <c r="X177" s="326">
        <v>1</v>
      </c>
    </row>
    <row r="178" spans="1:24" x14ac:dyDescent="0.55000000000000004">
      <c r="A17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8" s="316" t="s">
        <v>268</v>
      </c>
      <c r="C178" s="218" t="s">
        <v>269</v>
      </c>
      <c r="D178" s="218" t="s">
        <v>272</v>
      </c>
      <c r="E178" s="105" t="s">
        <v>273</v>
      </c>
      <c r="F178" s="100"/>
      <c r="G178" s="34"/>
      <c r="H178" s="34"/>
      <c r="I178" s="97">
        <v>19402.803122498015</v>
      </c>
      <c r="J178" s="97" t="s">
        <v>414</v>
      </c>
      <c r="K178" s="318">
        <v>0</v>
      </c>
      <c r="L178" s="319">
        <v>160431.68956231241</v>
      </c>
      <c r="M178" s="319">
        <v>201939.07083424504</v>
      </c>
      <c r="N178" s="319">
        <v>1502364.7254147986</v>
      </c>
      <c r="O178" s="319">
        <v>308924.95152560523</v>
      </c>
      <c r="P178" s="319">
        <v>343684.04693480523</v>
      </c>
      <c r="Q178" s="320">
        <v>283369.12014811876</v>
      </c>
      <c r="R178" s="319">
        <v>550732.00326358702</v>
      </c>
      <c r="S178" s="319"/>
      <c r="T178" s="319"/>
      <c r="U178" s="319"/>
      <c r="V178" s="319"/>
      <c r="W178" s="326">
        <f>SUM(tblPiNAnalysis5613[[#This Row],[CCCM]:[WASH]])</f>
        <v>3351445.6076834723</v>
      </c>
      <c r="X178" s="326">
        <v>2</v>
      </c>
    </row>
    <row r="179" spans="1:24" x14ac:dyDescent="0.55000000000000004">
      <c r="A17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79" s="316" t="s">
        <v>268</v>
      </c>
      <c r="C179" s="218" t="s">
        <v>269</v>
      </c>
      <c r="D179" s="218" t="s">
        <v>274</v>
      </c>
      <c r="E179" s="105" t="s">
        <v>275</v>
      </c>
      <c r="F179" s="100"/>
      <c r="G179" s="34"/>
      <c r="H179" s="34"/>
      <c r="I179" s="97">
        <v>16703</v>
      </c>
      <c r="J179" s="97" t="s">
        <v>414</v>
      </c>
      <c r="K179" s="318">
        <v>0</v>
      </c>
      <c r="L179" s="319">
        <v>0</v>
      </c>
      <c r="M179" s="319">
        <v>0</v>
      </c>
      <c r="N179" s="319">
        <v>0</v>
      </c>
      <c r="O179" s="319">
        <v>0</v>
      </c>
      <c r="P179" s="319"/>
      <c r="Q179" s="320">
        <v>0</v>
      </c>
      <c r="R179" s="319">
        <v>0</v>
      </c>
      <c r="S179" s="319"/>
      <c r="T179" s="319"/>
      <c r="U179" s="319"/>
      <c r="V179" s="319"/>
      <c r="W179" s="326">
        <f>SUM(tblPiNAnalysis5613[[#This Row],[CCCM]:[WASH]])</f>
        <v>0</v>
      </c>
      <c r="X179" s="326">
        <v>4</v>
      </c>
    </row>
    <row r="180" spans="1:24" x14ac:dyDescent="0.55000000000000004">
      <c r="A18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0" s="316" t="s">
        <v>268</v>
      </c>
      <c r="C180" s="218" t="s">
        <v>269</v>
      </c>
      <c r="D180" s="218" t="s">
        <v>276</v>
      </c>
      <c r="E180" s="105" t="s">
        <v>277</v>
      </c>
      <c r="F180" s="100"/>
      <c r="G180" s="34"/>
      <c r="H180" s="34"/>
      <c r="I180" s="97">
        <v>1206</v>
      </c>
      <c r="J180" s="97" t="s">
        <v>414</v>
      </c>
      <c r="K180" s="318">
        <v>0</v>
      </c>
      <c r="L180" s="319">
        <v>11774.563919999999</v>
      </c>
      <c r="M180" s="319">
        <v>19922.312510041025</v>
      </c>
      <c r="N180" s="319">
        <v>111851.65178054206</v>
      </c>
      <c r="O180" s="319">
        <v>31503.165955356511</v>
      </c>
      <c r="P180" s="319">
        <v>52830.465102822156</v>
      </c>
      <c r="Q180" s="320">
        <v>0</v>
      </c>
      <c r="R180" s="319">
        <v>45630.722222222226</v>
      </c>
      <c r="S180" s="319"/>
      <c r="T180" s="319"/>
      <c r="U180" s="319"/>
      <c r="V180" s="319"/>
      <c r="W180" s="326">
        <f>SUM(tblPiNAnalysis5613[[#This Row],[CCCM]:[WASH]])</f>
        <v>273512.881490984</v>
      </c>
      <c r="X180" s="326">
        <v>1</v>
      </c>
    </row>
    <row r="181" spans="1:24" x14ac:dyDescent="0.55000000000000004">
      <c r="A18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1" s="316" t="s">
        <v>268</v>
      </c>
      <c r="C181" s="218" t="s">
        <v>269</v>
      </c>
      <c r="D181" s="218" t="s">
        <v>278</v>
      </c>
      <c r="E181" s="105" t="s">
        <v>279</v>
      </c>
      <c r="F181" s="100"/>
      <c r="G181" s="34"/>
      <c r="H181" s="34"/>
      <c r="I181" s="97">
        <v>9262.1428571428605</v>
      </c>
      <c r="J181" s="97" t="s">
        <v>414</v>
      </c>
      <c r="K181" s="318">
        <v>0</v>
      </c>
      <c r="L181" s="319">
        <v>53244.354428571452</v>
      </c>
      <c r="M181" s="319">
        <v>168833.75787107635</v>
      </c>
      <c r="N181" s="319">
        <v>676170.04109960829</v>
      </c>
      <c r="O181" s="319">
        <v>218463.51690316587</v>
      </c>
      <c r="P181" s="319">
        <v>184677.15249739337</v>
      </c>
      <c r="Q181" s="320">
        <v>220439.00000000006</v>
      </c>
      <c r="R181" s="319">
        <v>46491.764403292189</v>
      </c>
      <c r="S181" s="319"/>
      <c r="T181" s="319"/>
      <c r="U181" s="319"/>
      <c r="V181" s="319"/>
      <c r="W181" s="326">
        <f>SUM(tblPiNAnalysis5613[[#This Row],[CCCM]:[WASH]])</f>
        <v>1568319.5872031075</v>
      </c>
      <c r="X181" s="326">
        <v>2</v>
      </c>
    </row>
    <row r="182" spans="1:24" x14ac:dyDescent="0.55000000000000004">
      <c r="A18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2" s="316" t="s">
        <v>268</v>
      </c>
      <c r="C182" s="218" t="s">
        <v>269</v>
      </c>
      <c r="D182" s="218" t="s">
        <v>280</v>
      </c>
      <c r="E182" s="105" t="s">
        <v>281</v>
      </c>
      <c r="F182" s="100"/>
      <c r="G182" s="34"/>
      <c r="H182" s="34"/>
      <c r="I182" s="97">
        <v>33686.173990621071</v>
      </c>
      <c r="J182" s="97" t="s">
        <v>414</v>
      </c>
      <c r="K182" s="318">
        <v>0</v>
      </c>
      <c r="L182" s="319">
        <v>755917.74434953684</v>
      </c>
      <c r="M182" s="319">
        <v>470341.78158153489</v>
      </c>
      <c r="N182" s="319">
        <v>3243100.0380490734</v>
      </c>
      <c r="O182" s="319">
        <v>777996.29860623705</v>
      </c>
      <c r="P182" s="319">
        <v>629217.11458937998</v>
      </c>
      <c r="Q182" s="320">
        <v>801730.94097678142</v>
      </c>
      <c r="R182" s="319">
        <v>800154.93401976151</v>
      </c>
      <c r="S182" s="319"/>
      <c r="T182" s="319"/>
      <c r="U182" s="319"/>
      <c r="V182" s="319"/>
      <c r="W182" s="326">
        <f>SUM(tblPiNAnalysis5613[[#This Row],[CCCM]:[WASH]])</f>
        <v>7478458.8521723058</v>
      </c>
      <c r="X182" s="326">
        <v>1</v>
      </c>
    </row>
    <row r="183" spans="1:24" x14ac:dyDescent="0.55000000000000004">
      <c r="A18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3" s="316" t="s">
        <v>268</v>
      </c>
      <c r="C183" s="218" t="s">
        <v>269</v>
      </c>
      <c r="D183" s="218" t="s">
        <v>282</v>
      </c>
      <c r="E183" s="105" t="s">
        <v>283</v>
      </c>
      <c r="F183" s="100"/>
      <c r="G183" s="34"/>
      <c r="H183" s="34"/>
      <c r="I183" s="97">
        <v>13146.5714285714</v>
      </c>
      <c r="J183" s="97" t="s">
        <v>414</v>
      </c>
      <c r="K183" s="318">
        <v>0</v>
      </c>
      <c r="L183" s="319">
        <v>137084.79555257113</v>
      </c>
      <c r="M183" s="319">
        <v>240732.87984760563</v>
      </c>
      <c r="N183" s="319">
        <v>1050250.581787294</v>
      </c>
      <c r="O183" s="319">
        <v>328656.41474103718</v>
      </c>
      <c r="P183" s="319">
        <v>201634.61383007746</v>
      </c>
      <c r="Q183" s="320">
        <v>225279.64799999952</v>
      </c>
      <c r="R183" s="319">
        <v>201758.84474818694</v>
      </c>
      <c r="S183" s="319"/>
      <c r="T183" s="319"/>
      <c r="U183" s="319"/>
      <c r="V183" s="319"/>
      <c r="W183" s="326">
        <f>SUM(tblPiNAnalysis5613[[#This Row],[CCCM]:[WASH]])</f>
        <v>2385397.7785067717</v>
      </c>
      <c r="X183" s="326">
        <v>2</v>
      </c>
    </row>
    <row r="184" spans="1:24" x14ac:dyDescent="0.55000000000000004">
      <c r="A18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4" s="316" t="s">
        <v>268</v>
      </c>
      <c r="C184" s="218" t="s">
        <v>269</v>
      </c>
      <c r="D184" s="218" t="s">
        <v>284</v>
      </c>
      <c r="E184" s="105" t="s">
        <v>285</v>
      </c>
      <c r="F184" s="100"/>
      <c r="G184" s="34"/>
      <c r="H184" s="34"/>
      <c r="I184" s="97">
        <v>4238</v>
      </c>
      <c r="J184" s="97" t="s">
        <v>414</v>
      </c>
      <c r="K184" s="318">
        <v>0</v>
      </c>
      <c r="L184" s="319">
        <v>72864.951119999998</v>
      </c>
      <c r="M184" s="319">
        <v>98619.22570580391</v>
      </c>
      <c r="N184" s="319">
        <v>372206.99634539074</v>
      </c>
      <c r="O184" s="319">
        <v>91534.238243420463</v>
      </c>
      <c r="P184" s="319">
        <v>79704.876528349036</v>
      </c>
      <c r="Q184" s="320">
        <v>57636.800000000003</v>
      </c>
      <c r="R184" s="319">
        <v>114051.03292181072</v>
      </c>
      <c r="S184" s="319"/>
      <c r="T184" s="319"/>
      <c r="U184" s="319"/>
      <c r="V184" s="319"/>
      <c r="W184" s="326">
        <f>SUM(tblPiNAnalysis5613[[#This Row],[CCCM]:[WASH]])</f>
        <v>886618.12086477492</v>
      </c>
      <c r="X184" s="326">
        <v>1</v>
      </c>
    </row>
    <row r="185" spans="1:24" x14ac:dyDescent="0.55000000000000004">
      <c r="A18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5" s="316" t="s">
        <v>268</v>
      </c>
      <c r="C185" s="218" t="s">
        <v>269</v>
      </c>
      <c r="D185" s="218" t="s">
        <v>286</v>
      </c>
      <c r="E185" s="105" t="s">
        <v>287</v>
      </c>
      <c r="F185" s="100"/>
      <c r="G185" s="34"/>
      <c r="H185" s="34"/>
      <c r="I185" s="97">
        <v>2811.1428571428601</v>
      </c>
      <c r="J185" s="97" t="s">
        <v>414</v>
      </c>
      <c r="K185" s="318"/>
      <c r="L185" s="319"/>
      <c r="M185" s="319"/>
      <c r="N185" s="319"/>
      <c r="O185" s="319"/>
      <c r="P185" s="319"/>
      <c r="Q185" s="320"/>
      <c r="R185" s="319"/>
      <c r="S185" s="319"/>
      <c r="T185" s="319"/>
      <c r="U185" s="319"/>
      <c r="V185" s="319"/>
      <c r="W185" s="326">
        <f>SUM(tblPiNAnalysis5613[[#This Row],[CCCM]:[WASH]])</f>
        <v>0</v>
      </c>
      <c r="X185" s="326">
        <v>3</v>
      </c>
    </row>
    <row r="186" spans="1:24" x14ac:dyDescent="0.55000000000000004">
      <c r="A18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6" s="316" t="s">
        <v>268</v>
      </c>
      <c r="C186" s="218" t="s">
        <v>269</v>
      </c>
      <c r="D186" s="218" t="s">
        <v>288</v>
      </c>
      <c r="E186" s="105" t="s">
        <v>289</v>
      </c>
      <c r="F186" s="100"/>
      <c r="G186" s="34"/>
      <c r="H186" s="34"/>
      <c r="I186" s="97">
        <v>5169</v>
      </c>
      <c r="J186" s="97" t="s">
        <v>414</v>
      </c>
      <c r="K186" s="318">
        <v>0</v>
      </c>
      <c r="L186" s="319">
        <v>100795.50000000001</v>
      </c>
      <c r="M186" s="319">
        <v>82198.247868174323</v>
      </c>
      <c r="N186" s="319">
        <v>396189.46606011456</v>
      </c>
      <c r="O186" s="319">
        <v>102181.22473795511</v>
      </c>
      <c r="P186" s="319">
        <v>151962.80142939789</v>
      </c>
      <c r="Q186" s="320">
        <v>123022.2</v>
      </c>
      <c r="R186" s="319">
        <v>70643</v>
      </c>
      <c r="S186" s="319"/>
      <c r="T186" s="319"/>
      <c r="U186" s="319"/>
      <c r="V186" s="319"/>
      <c r="W186" s="326">
        <f>SUM(tblPiNAnalysis5613[[#This Row],[CCCM]:[WASH]])</f>
        <v>1026992.4400956419</v>
      </c>
      <c r="X186" s="326">
        <v>2</v>
      </c>
    </row>
    <row r="187" spans="1:24" x14ac:dyDescent="0.55000000000000004">
      <c r="A18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7" s="316" t="s">
        <v>268</v>
      </c>
      <c r="C187" s="218" t="s">
        <v>269</v>
      </c>
      <c r="D187" s="218" t="s">
        <v>290</v>
      </c>
      <c r="E187" s="105" t="s">
        <v>291</v>
      </c>
      <c r="F187" s="100"/>
      <c r="G187" s="34"/>
      <c r="H187" s="34"/>
      <c r="I187" s="97">
        <v>5651</v>
      </c>
      <c r="J187" s="97" t="s">
        <v>414</v>
      </c>
      <c r="K187" s="318">
        <v>0</v>
      </c>
      <c r="L187" s="319">
        <v>60702.589919999999</v>
      </c>
      <c r="M187" s="319">
        <v>138050.51933493637</v>
      </c>
      <c r="N187" s="319">
        <v>490955.902925334</v>
      </c>
      <c r="O187" s="319">
        <v>74721.669358305604</v>
      </c>
      <c r="P187" s="319">
        <v>83410.946688694385</v>
      </c>
      <c r="Q187" s="320">
        <v>67246.899999999994</v>
      </c>
      <c r="R187" s="319">
        <v>133186.57021604938</v>
      </c>
      <c r="S187" s="319"/>
      <c r="T187" s="319"/>
      <c r="U187" s="319"/>
      <c r="V187" s="319"/>
      <c r="W187" s="326">
        <f>SUM(tblPiNAnalysis5613[[#This Row],[CCCM]:[WASH]])</f>
        <v>1048275.0984433198</v>
      </c>
      <c r="X187" s="326">
        <v>2</v>
      </c>
    </row>
    <row r="188" spans="1:24" x14ac:dyDescent="0.55000000000000004">
      <c r="A18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8" s="316" t="s">
        <v>292</v>
      </c>
      <c r="C188" s="218" t="s">
        <v>293</v>
      </c>
      <c r="D188" s="218" t="s">
        <v>294</v>
      </c>
      <c r="E188" s="105" t="s">
        <v>295</v>
      </c>
      <c r="F188" s="100"/>
      <c r="G188" s="34"/>
      <c r="H188" s="34"/>
      <c r="I188" s="97">
        <v>3073.7142857142899</v>
      </c>
      <c r="J188" s="97" t="s">
        <v>414</v>
      </c>
      <c r="K188" s="318"/>
      <c r="L188" s="319"/>
      <c r="M188" s="319"/>
      <c r="N188" s="319"/>
      <c r="O188" s="319"/>
      <c r="P188" s="319"/>
      <c r="Q188" s="320"/>
      <c r="R188" s="319"/>
      <c r="S188" s="319"/>
      <c r="T188" s="319"/>
      <c r="U188" s="319"/>
      <c r="V188" s="319"/>
      <c r="W188" s="326">
        <f>SUM(tblPiNAnalysis5613[[#This Row],[CCCM]:[WASH]])</f>
        <v>0</v>
      </c>
      <c r="X188" s="326">
        <v>3</v>
      </c>
    </row>
    <row r="189" spans="1:24" x14ac:dyDescent="0.55000000000000004">
      <c r="A18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89" s="316" t="s">
        <v>292</v>
      </c>
      <c r="C189" s="218" t="s">
        <v>293</v>
      </c>
      <c r="D189" s="218" t="s">
        <v>296</v>
      </c>
      <c r="E189" s="105" t="s">
        <v>297</v>
      </c>
      <c r="F189" s="100"/>
      <c r="G189" s="34"/>
      <c r="H189" s="34"/>
      <c r="I189" s="97">
        <v>1148</v>
      </c>
      <c r="J189" s="97" t="s">
        <v>414</v>
      </c>
      <c r="K189" s="318">
        <v>0</v>
      </c>
      <c r="L189" s="319">
        <v>0</v>
      </c>
      <c r="M189" s="319">
        <v>0</v>
      </c>
      <c r="N189" s="319">
        <v>0</v>
      </c>
      <c r="O189" s="319">
        <v>0</v>
      </c>
      <c r="P189" s="319"/>
      <c r="Q189" s="320">
        <v>0</v>
      </c>
      <c r="R189" s="319">
        <v>0</v>
      </c>
      <c r="S189" s="319"/>
      <c r="T189" s="319"/>
      <c r="U189" s="319"/>
      <c r="V189" s="319"/>
      <c r="W189" s="326">
        <f>SUM(tblPiNAnalysis5613[[#This Row],[CCCM]:[WASH]])</f>
        <v>0</v>
      </c>
      <c r="X189" s="326">
        <v>5</v>
      </c>
    </row>
    <row r="190" spans="1:24" x14ac:dyDescent="0.55000000000000004">
      <c r="A19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0" s="316" t="s">
        <v>292</v>
      </c>
      <c r="C190" s="218" t="s">
        <v>293</v>
      </c>
      <c r="D190" s="218" t="s">
        <v>298</v>
      </c>
      <c r="E190" s="105" t="s">
        <v>299</v>
      </c>
      <c r="F190" s="100"/>
      <c r="G190" s="34"/>
      <c r="H190" s="34"/>
      <c r="I190" s="97">
        <v>2881</v>
      </c>
      <c r="J190" s="97" t="s">
        <v>414</v>
      </c>
      <c r="K190" s="318">
        <v>0</v>
      </c>
      <c r="L190" s="319">
        <v>0</v>
      </c>
      <c r="M190" s="319">
        <v>0</v>
      </c>
      <c r="N190" s="319">
        <v>0</v>
      </c>
      <c r="O190" s="319">
        <v>0</v>
      </c>
      <c r="P190" s="319"/>
      <c r="Q190" s="320">
        <v>0</v>
      </c>
      <c r="R190" s="319">
        <v>0</v>
      </c>
      <c r="S190" s="319"/>
      <c r="T190" s="319"/>
      <c r="U190" s="319"/>
      <c r="V190" s="319"/>
      <c r="W190" s="326">
        <f>SUM(tblPiNAnalysis5613[[#This Row],[CCCM]:[WASH]])</f>
        <v>0</v>
      </c>
      <c r="X190" s="326">
        <v>4</v>
      </c>
    </row>
    <row r="191" spans="1:24" x14ac:dyDescent="0.55000000000000004">
      <c r="A19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1" s="316" t="s">
        <v>292</v>
      </c>
      <c r="C191" s="218" t="s">
        <v>293</v>
      </c>
      <c r="D191" s="218" t="s">
        <v>300</v>
      </c>
      <c r="E191" s="105" t="s">
        <v>301</v>
      </c>
      <c r="F191" s="100"/>
      <c r="G191" s="34"/>
      <c r="H191" s="34"/>
      <c r="I191" s="97">
        <v>6622</v>
      </c>
      <c r="J191" s="97" t="s">
        <v>414</v>
      </c>
      <c r="K191" s="318">
        <v>0</v>
      </c>
      <c r="L191" s="319">
        <v>0</v>
      </c>
      <c r="M191" s="319">
        <v>0</v>
      </c>
      <c r="N191" s="319">
        <v>0</v>
      </c>
      <c r="O191" s="319">
        <v>0</v>
      </c>
      <c r="P191" s="319"/>
      <c r="Q191" s="320">
        <v>0</v>
      </c>
      <c r="R191" s="319">
        <v>0</v>
      </c>
      <c r="S191" s="319"/>
      <c r="T191" s="319"/>
      <c r="U191" s="319"/>
      <c r="V191" s="319"/>
      <c r="W191" s="326">
        <f>SUM(tblPiNAnalysis5613[[#This Row],[CCCM]:[WASH]])</f>
        <v>0</v>
      </c>
      <c r="X191" s="326">
        <v>4</v>
      </c>
    </row>
    <row r="192" spans="1:24" x14ac:dyDescent="0.55000000000000004">
      <c r="A19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2" s="316" t="s">
        <v>292</v>
      </c>
      <c r="C192" s="218" t="s">
        <v>293</v>
      </c>
      <c r="D192" s="218" t="s">
        <v>302</v>
      </c>
      <c r="E192" s="105" t="s">
        <v>303</v>
      </c>
      <c r="F192" s="100"/>
      <c r="G192" s="34"/>
      <c r="H192" s="34"/>
      <c r="I192" s="97">
        <v>3719.2857142857101</v>
      </c>
      <c r="J192" s="97" t="s">
        <v>414</v>
      </c>
      <c r="K192" s="318"/>
      <c r="L192" s="319"/>
      <c r="M192" s="319"/>
      <c r="N192" s="319"/>
      <c r="O192" s="319"/>
      <c r="P192" s="319"/>
      <c r="Q192" s="320"/>
      <c r="R192" s="319"/>
      <c r="S192" s="319"/>
      <c r="T192" s="319"/>
      <c r="U192" s="319"/>
      <c r="V192" s="319"/>
      <c r="W192" s="326">
        <f>SUM(tblPiNAnalysis5613[[#This Row],[CCCM]:[WASH]])</f>
        <v>0</v>
      </c>
      <c r="X192" s="326">
        <v>3</v>
      </c>
    </row>
    <row r="193" spans="1:24" x14ac:dyDescent="0.55000000000000004">
      <c r="A19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3" s="316" t="s">
        <v>292</v>
      </c>
      <c r="C193" s="218" t="s">
        <v>293</v>
      </c>
      <c r="D193" s="218" t="s">
        <v>304</v>
      </c>
      <c r="E193" s="105" t="s">
        <v>305</v>
      </c>
      <c r="F193" s="100"/>
      <c r="G193" s="34"/>
      <c r="H193" s="34"/>
      <c r="I193" s="97">
        <v>2968</v>
      </c>
      <c r="J193" s="97" t="s">
        <v>414</v>
      </c>
      <c r="K193" s="318">
        <v>0</v>
      </c>
      <c r="L193" s="319">
        <v>0</v>
      </c>
      <c r="M193" s="319">
        <v>0</v>
      </c>
      <c r="N193" s="319">
        <v>0</v>
      </c>
      <c r="O193" s="319">
        <v>0</v>
      </c>
      <c r="P193" s="319"/>
      <c r="Q193" s="320">
        <v>0</v>
      </c>
      <c r="R193" s="319">
        <v>0</v>
      </c>
      <c r="S193" s="319"/>
      <c r="T193" s="319"/>
      <c r="U193" s="319"/>
      <c r="V193" s="319"/>
      <c r="W193" s="326">
        <f>SUM(tblPiNAnalysis5613[[#This Row],[CCCM]:[WASH]])</f>
        <v>0</v>
      </c>
      <c r="X193" s="326">
        <v>5</v>
      </c>
    </row>
    <row r="194" spans="1:24" x14ac:dyDescent="0.55000000000000004">
      <c r="A19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4" s="316" t="s">
        <v>292</v>
      </c>
      <c r="C194" s="218" t="s">
        <v>293</v>
      </c>
      <c r="D194" s="218" t="s">
        <v>306</v>
      </c>
      <c r="E194" s="105" t="s">
        <v>307</v>
      </c>
      <c r="F194" s="100"/>
      <c r="G194" s="34"/>
      <c r="H194" s="34"/>
      <c r="I194" s="97">
        <v>3047.871016813448</v>
      </c>
      <c r="J194" s="97" t="s">
        <v>414</v>
      </c>
      <c r="K194" s="318"/>
      <c r="L194" s="319"/>
      <c r="M194" s="319"/>
      <c r="N194" s="319"/>
      <c r="O194" s="319"/>
      <c r="P194" s="319"/>
      <c r="Q194" s="320"/>
      <c r="R194" s="319"/>
      <c r="S194" s="319"/>
      <c r="T194" s="319"/>
      <c r="U194" s="319"/>
      <c r="V194" s="319"/>
      <c r="W194" s="326">
        <f>SUM(tblPiNAnalysis5613[[#This Row],[CCCM]:[WASH]])</f>
        <v>0</v>
      </c>
      <c r="X194" s="326">
        <v>3</v>
      </c>
    </row>
    <row r="195" spans="1:24" x14ac:dyDescent="0.55000000000000004">
      <c r="A19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5" s="316" t="s">
        <v>292</v>
      </c>
      <c r="C195" s="218" t="s">
        <v>293</v>
      </c>
      <c r="D195" s="218" t="s">
        <v>308</v>
      </c>
      <c r="E195" s="105" t="s">
        <v>309</v>
      </c>
      <c r="F195" s="100"/>
      <c r="G195" s="34"/>
      <c r="H195" s="34"/>
      <c r="I195" s="97">
        <v>5119.8571428571404</v>
      </c>
      <c r="J195" s="97" t="s">
        <v>414</v>
      </c>
      <c r="K195" s="318">
        <v>0</v>
      </c>
      <c r="L195" s="319">
        <v>0</v>
      </c>
      <c r="M195" s="319">
        <v>0</v>
      </c>
      <c r="N195" s="319">
        <v>0</v>
      </c>
      <c r="O195" s="319">
        <v>0</v>
      </c>
      <c r="P195" s="319"/>
      <c r="Q195" s="320">
        <v>0</v>
      </c>
      <c r="R195" s="319">
        <v>0</v>
      </c>
      <c r="S195" s="319"/>
      <c r="T195" s="319"/>
      <c r="U195" s="319"/>
      <c r="V195" s="319"/>
      <c r="W195" s="326">
        <f>SUM(tblPiNAnalysis5613[[#This Row],[CCCM]:[WASH]])</f>
        <v>0</v>
      </c>
      <c r="X195" s="326">
        <v>4</v>
      </c>
    </row>
    <row r="196" spans="1:24" x14ac:dyDescent="0.55000000000000004">
      <c r="A19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6" s="316" t="s">
        <v>310</v>
      </c>
      <c r="C196" s="218" t="s">
        <v>311</v>
      </c>
      <c r="D196" s="218" t="s">
        <v>312</v>
      </c>
      <c r="E196" s="105" t="s">
        <v>313</v>
      </c>
      <c r="F196" s="100"/>
      <c r="G196" s="34"/>
      <c r="H196" s="34"/>
      <c r="I196" s="97">
        <v>16513.487018186021</v>
      </c>
      <c r="J196" s="97" t="s">
        <v>414</v>
      </c>
      <c r="K196" s="318">
        <v>0</v>
      </c>
      <c r="L196" s="319">
        <v>0</v>
      </c>
      <c r="M196" s="319">
        <v>0</v>
      </c>
      <c r="N196" s="319">
        <v>0</v>
      </c>
      <c r="O196" s="319">
        <v>0</v>
      </c>
      <c r="P196" s="319"/>
      <c r="Q196" s="320">
        <v>0</v>
      </c>
      <c r="R196" s="319">
        <v>0</v>
      </c>
      <c r="S196" s="319"/>
      <c r="T196" s="319"/>
      <c r="U196" s="319"/>
      <c r="V196" s="319"/>
      <c r="W196" s="326">
        <f>SUM(tblPiNAnalysis5613[[#This Row],[CCCM]:[WASH]])</f>
        <v>0</v>
      </c>
      <c r="X196" s="326">
        <v>4</v>
      </c>
    </row>
    <row r="197" spans="1:24" x14ac:dyDescent="0.55000000000000004">
      <c r="A19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7" s="316" t="s">
        <v>310</v>
      </c>
      <c r="C197" s="218" t="s">
        <v>311</v>
      </c>
      <c r="D197" s="218" t="s">
        <v>314</v>
      </c>
      <c r="E197" s="105" t="s">
        <v>315</v>
      </c>
      <c r="F197" s="100"/>
      <c r="G197" s="34"/>
      <c r="H197" s="34"/>
      <c r="I197" s="97">
        <v>84624.371794578474</v>
      </c>
      <c r="J197" s="97" t="s">
        <v>414</v>
      </c>
      <c r="K197" s="318">
        <v>156791</v>
      </c>
      <c r="L197" s="319">
        <v>1862086.1858824687</v>
      </c>
      <c r="M197" s="319">
        <v>1073996.1164378957</v>
      </c>
      <c r="N197" s="319">
        <v>6733704.6804773239</v>
      </c>
      <c r="O197" s="319">
        <v>1267619.6529829593</v>
      </c>
      <c r="P197" s="319">
        <v>1626263.6315030146</v>
      </c>
      <c r="Q197" s="320">
        <v>2014060.0487109674</v>
      </c>
      <c r="R197" s="319">
        <v>373017.61415007361</v>
      </c>
      <c r="S197" s="319"/>
      <c r="T197" s="319"/>
      <c r="U197" s="319"/>
      <c r="V197" s="319"/>
      <c r="W197" s="326">
        <f>SUM(tblPiNAnalysis5613[[#This Row],[CCCM]:[WASH]])</f>
        <v>15107538.930144701</v>
      </c>
      <c r="X197" s="326">
        <v>2</v>
      </c>
    </row>
    <row r="198" spans="1:24" x14ac:dyDescent="0.55000000000000004">
      <c r="A19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8" s="316" t="s">
        <v>310</v>
      </c>
      <c r="C198" s="218" t="s">
        <v>311</v>
      </c>
      <c r="D198" s="218" t="s">
        <v>316</v>
      </c>
      <c r="E198" s="105" t="s">
        <v>317</v>
      </c>
      <c r="F198" s="100"/>
      <c r="G198" s="34"/>
      <c r="H198" s="34"/>
      <c r="I198" s="97">
        <v>62262.159201647075</v>
      </c>
      <c r="J198" s="97" t="s">
        <v>414</v>
      </c>
      <c r="K198" s="318">
        <v>0</v>
      </c>
      <c r="L198" s="319">
        <v>488643.51188431686</v>
      </c>
      <c r="M198" s="319">
        <v>2207697.3205633801</v>
      </c>
      <c r="N198" s="319">
        <v>4519061.2808931815</v>
      </c>
      <c r="O198" s="319">
        <v>1009952.0466369416</v>
      </c>
      <c r="P198" s="319">
        <v>1316198.999988057</v>
      </c>
      <c r="Q198" s="320">
        <v>1158528.9768539201</v>
      </c>
      <c r="R198" s="319">
        <v>103409.95191477262</v>
      </c>
      <c r="S198" s="319"/>
      <c r="T198" s="319"/>
      <c r="U198" s="319"/>
      <c r="V198" s="319"/>
      <c r="W198" s="326">
        <f>SUM(tblPiNAnalysis5613[[#This Row],[CCCM]:[WASH]])</f>
        <v>10803492.088734571</v>
      </c>
      <c r="X198" s="326">
        <v>2</v>
      </c>
    </row>
    <row r="199" spans="1:24" x14ac:dyDescent="0.55000000000000004">
      <c r="A19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199" s="316" t="s">
        <v>310</v>
      </c>
      <c r="C199" s="218" t="s">
        <v>311</v>
      </c>
      <c r="D199" s="218" t="s">
        <v>318</v>
      </c>
      <c r="E199" s="105" t="s">
        <v>319</v>
      </c>
      <c r="F199" s="100"/>
      <c r="G199" s="34"/>
      <c r="H199" s="34"/>
      <c r="I199" s="97">
        <v>8876.9955392885731</v>
      </c>
      <c r="J199" s="97" t="s">
        <v>414</v>
      </c>
      <c r="K199" s="318">
        <v>0</v>
      </c>
      <c r="L199" s="319">
        <v>48584.906210968773</v>
      </c>
      <c r="M199" s="319">
        <v>196860.04637253244</v>
      </c>
      <c r="N199" s="319">
        <v>681302.55628594488</v>
      </c>
      <c r="O199" s="319">
        <v>115458.83063199164</v>
      </c>
      <c r="P199" s="319">
        <v>207647.57757573653</v>
      </c>
      <c r="Q199" s="320">
        <v>136705.73130504403</v>
      </c>
      <c r="R199" s="319">
        <v>85274.179876793991</v>
      </c>
      <c r="S199" s="319"/>
      <c r="T199" s="319"/>
      <c r="U199" s="319"/>
      <c r="V199" s="319"/>
      <c r="W199" s="326">
        <f>SUM(tblPiNAnalysis5613[[#This Row],[CCCM]:[WASH]])</f>
        <v>1471833.8282590122</v>
      </c>
      <c r="X199" s="326">
        <v>2</v>
      </c>
    </row>
    <row r="200" spans="1:24" x14ac:dyDescent="0.55000000000000004">
      <c r="A20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0" s="316" t="s">
        <v>310</v>
      </c>
      <c r="C200" s="218" t="s">
        <v>311</v>
      </c>
      <c r="D200" s="218" t="s">
        <v>320</v>
      </c>
      <c r="E200" s="105" t="s">
        <v>321</v>
      </c>
      <c r="F200" s="100"/>
      <c r="G200" s="34"/>
      <c r="H200" s="34"/>
      <c r="I200" s="97">
        <v>46727.292920050364</v>
      </c>
      <c r="J200" s="97" t="s">
        <v>414</v>
      </c>
      <c r="K200" s="318"/>
      <c r="L200" s="319"/>
      <c r="M200" s="319"/>
      <c r="N200" s="319"/>
      <c r="O200" s="319"/>
      <c r="P200" s="319"/>
      <c r="Q200" s="320"/>
      <c r="R200" s="319"/>
      <c r="S200" s="319"/>
      <c r="T200" s="319"/>
      <c r="U200" s="319"/>
      <c r="V200" s="319"/>
      <c r="W200" s="326">
        <f>SUM(tblPiNAnalysis5613[[#This Row],[CCCM]:[WASH]])</f>
        <v>0</v>
      </c>
      <c r="X200" s="326">
        <v>3</v>
      </c>
    </row>
    <row r="201" spans="1:24" x14ac:dyDescent="0.55000000000000004">
      <c r="A20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1" s="316" t="s">
        <v>322</v>
      </c>
      <c r="C201" s="218" t="s">
        <v>323</v>
      </c>
      <c r="D201" s="218" t="s">
        <v>324</v>
      </c>
      <c r="E201" s="105" t="s">
        <v>325</v>
      </c>
      <c r="F201" s="100"/>
      <c r="G201" s="34"/>
      <c r="H201" s="34"/>
      <c r="I201" s="97">
        <v>1708.2679972549467</v>
      </c>
      <c r="J201" s="97" t="s">
        <v>414</v>
      </c>
      <c r="K201" s="318">
        <v>0</v>
      </c>
      <c r="L201" s="319">
        <v>0</v>
      </c>
      <c r="M201" s="319">
        <v>0</v>
      </c>
      <c r="N201" s="319">
        <v>0</v>
      </c>
      <c r="O201" s="319">
        <v>0</v>
      </c>
      <c r="P201" s="319"/>
      <c r="Q201" s="320">
        <v>0</v>
      </c>
      <c r="R201" s="319">
        <v>0</v>
      </c>
      <c r="S201" s="319"/>
      <c r="T201" s="319"/>
      <c r="U201" s="319"/>
      <c r="V201" s="319"/>
      <c r="W201" s="326">
        <f>SUM(tblPiNAnalysis5613[[#This Row],[CCCM]:[WASH]])</f>
        <v>0</v>
      </c>
      <c r="X201" s="326">
        <v>4</v>
      </c>
    </row>
    <row r="202" spans="1:24" x14ac:dyDescent="0.55000000000000004">
      <c r="A20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2" s="316" t="s">
        <v>322</v>
      </c>
      <c r="C202" s="218" t="s">
        <v>323</v>
      </c>
      <c r="D202" s="218" t="s">
        <v>326</v>
      </c>
      <c r="E202" s="105" t="s">
        <v>327</v>
      </c>
      <c r="F202" s="100"/>
      <c r="G202" s="34"/>
      <c r="H202" s="34"/>
      <c r="I202" s="97">
        <v>1810</v>
      </c>
      <c r="J202" s="97" t="s">
        <v>414</v>
      </c>
      <c r="K202" s="318"/>
      <c r="L202" s="319"/>
      <c r="M202" s="319"/>
      <c r="N202" s="319"/>
      <c r="O202" s="319"/>
      <c r="P202" s="319"/>
      <c r="Q202" s="320"/>
      <c r="R202" s="319"/>
      <c r="S202" s="319"/>
      <c r="T202" s="319"/>
      <c r="U202" s="319"/>
      <c r="V202" s="319"/>
      <c r="W202" s="326">
        <f>SUM(tblPiNAnalysis5613[[#This Row],[CCCM]:[WASH]])</f>
        <v>0</v>
      </c>
      <c r="X202" s="326">
        <v>3</v>
      </c>
    </row>
    <row r="203" spans="1:24" x14ac:dyDescent="0.55000000000000004">
      <c r="A20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3" s="316" t="s">
        <v>322</v>
      </c>
      <c r="C203" s="218" t="s">
        <v>323</v>
      </c>
      <c r="D203" s="218" t="s">
        <v>328</v>
      </c>
      <c r="E203" s="105" t="s">
        <v>329</v>
      </c>
      <c r="F203" s="100"/>
      <c r="G203" s="34"/>
      <c r="H203" s="34"/>
      <c r="I203" s="97">
        <v>7417</v>
      </c>
      <c r="J203" s="97" t="s">
        <v>414</v>
      </c>
      <c r="K203" s="318"/>
      <c r="L203" s="319"/>
      <c r="M203" s="319"/>
      <c r="N203" s="319"/>
      <c r="O203" s="319"/>
      <c r="P203" s="319"/>
      <c r="Q203" s="320"/>
      <c r="R203" s="319"/>
      <c r="S203" s="319"/>
      <c r="T203" s="319"/>
      <c r="U203" s="319"/>
      <c r="V203" s="319"/>
      <c r="W203" s="326">
        <f>SUM(tblPiNAnalysis5613[[#This Row],[CCCM]:[WASH]])</f>
        <v>0</v>
      </c>
      <c r="X203" s="326">
        <v>3</v>
      </c>
    </row>
    <row r="204" spans="1:24" x14ac:dyDescent="0.55000000000000004">
      <c r="A20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4" s="316" t="s">
        <v>322</v>
      </c>
      <c r="C204" s="218" t="s">
        <v>323</v>
      </c>
      <c r="D204" s="218" t="s">
        <v>330</v>
      </c>
      <c r="E204" s="105" t="s">
        <v>331</v>
      </c>
      <c r="F204" s="100"/>
      <c r="G204" s="34"/>
      <c r="H204" s="34"/>
      <c r="I204" s="97">
        <v>5041.023996339929</v>
      </c>
      <c r="J204" s="97" t="s">
        <v>414</v>
      </c>
      <c r="K204" s="318">
        <v>9499</v>
      </c>
      <c r="L204" s="319">
        <v>29503.752374098593</v>
      </c>
      <c r="M204" s="319">
        <v>47157.668637570008</v>
      </c>
      <c r="N204" s="319">
        <v>363329.75937244878</v>
      </c>
      <c r="O204" s="319">
        <v>99148.977695287307</v>
      </c>
      <c r="P204" s="319">
        <v>95675.490714916625</v>
      </c>
      <c r="Q204" s="320">
        <v>109543.64319003029</v>
      </c>
      <c r="R204" s="319">
        <v>22459.654880812352</v>
      </c>
      <c r="S204" s="319"/>
      <c r="T204" s="319"/>
      <c r="U204" s="319"/>
      <c r="V204" s="319"/>
      <c r="W204" s="326">
        <f>SUM(tblPiNAnalysis5613[[#This Row],[CCCM]:[WASH]])</f>
        <v>776317.94686516398</v>
      </c>
      <c r="X204" s="326">
        <v>2</v>
      </c>
    </row>
    <row r="205" spans="1:24" x14ac:dyDescent="0.55000000000000004">
      <c r="A20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5" s="316" t="s">
        <v>322</v>
      </c>
      <c r="C205" s="218" t="s">
        <v>323</v>
      </c>
      <c r="D205" s="218" t="s">
        <v>332</v>
      </c>
      <c r="E205" s="105" t="s">
        <v>333</v>
      </c>
      <c r="F205" s="100"/>
      <c r="G205" s="34"/>
      <c r="H205" s="34"/>
      <c r="I205" s="97">
        <v>3069.1428571428601</v>
      </c>
      <c r="J205" s="97" t="s">
        <v>414</v>
      </c>
      <c r="K205" s="318">
        <v>15456</v>
      </c>
      <c r="L205" s="319">
        <v>35829.235097142897</v>
      </c>
      <c r="M205" s="319">
        <v>50948.037272125192</v>
      </c>
      <c r="N205" s="319">
        <v>229806.11259540092</v>
      </c>
      <c r="O205" s="319">
        <v>52234.229619902457</v>
      </c>
      <c r="P205" s="319">
        <v>62986.72805426758</v>
      </c>
      <c r="Q205" s="320">
        <v>73045.600000000064</v>
      </c>
      <c r="R205" s="319">
        <v>12104.484714873615</v>
      </c>
      <c r="S205" s="319"/>
      <c r="T205" s="319"/>
      <c r="U205" s="319"/>
      <c r="V205" s="319"/>
      <c r="W205" s="326">
        <f>SUM(tblPiNAnalysis5613[[#This Row],[CCCM]:[WASH]])</f>
        <v>532410.42735371273</v>
      </c>
      <c r="X205" s="326">
        <v>2</v>
      </c>
    </row>
    <row r="206" spans="1:24" x14ac:dyDescent="0.55000000000000004">
      <c r="A20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6" s="316" t="s">
        <v>322</v>
      </c>
      <c r="C206" s="218" t="s">
        <v>323</v>
      </c>
      <c r="D206" s="218" t="s">
        <v>334</v>
      </c>
      <c r="E206" s="105" t="s">
        <v>335</v>
      </c>
      <c r="F206" s="100"/>
      <c r="G206" s="34"/>
      <c r="H206" s="34"/>
      <c r="I206" s="97">
        <v>7050.3021159784967</v>
      </c>
      <c r="J206" s="97" t="s">
        <v>414</v>
      </c>
      <c r="K206" s="318"/>
      <c r="L206" s="319"/>
      <c r="M206" s="319"/>
      <c r="N206" s="319"/>
      <c r="O206" s="319"/>
      <c r="P206" s="319"/>
      <c r="Q206" s="320"/>
      <c r="R206" s="319"/>
      <c r="S206" s="319"/>
      <c r="T206" s="319"/>
      <c r="U206" s="319"/>
      <c r="V206" s="319"/>
      <c r="W206" s="326">
        <f>SUM(tblPiNAnalysis5613[[#This Row],[CCCM]:[WASH]])</f>
        <v>0</v>
      </c>
      <c r="X206" s="326">
        <v>3</v>
      </c>
    </row>
    <row r="207" spans="1:24" x14ac:dyDescent="0.55000000000000004">
      <c r="A20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7" s="316" t="s">
        <v>322</v>
      </c>
      <c r="C207" s="218" t="s">
        <v>323</v>
      </c>
      <c r="D207" s="218" t="s">
        <v>336</v>
      </c>
      <c r="E207" s="105" t="s">
        <v>337</v>
      </c>
      <c r="F207" s="100"/>
      <c r="G207" s="34"/>
      <c r="H207" s="34"/>
      <c r="I207" s="97">
        <v>3636</v>
      </c>
      <c r="J207" s="97" t="s">
        <v>414</v>
      </c>
      <c r="K207" s="318">
        <v>74037</v>
      </c>
      <c r="L207" s="319">
        <v>41308.159680000012</v>
      </c>
      <c r="M207" s="319">
        <v>59765.430386015796</v>
      </c>
      <c r="N207" s="319">
        <v>266348.21495774807</v>
      </c>
      <c r="O207" s="319">
        <v>82843.664153791979</v>
      </c>
      <c r="P207" s="319">
        <v>58916.265827408424</v>
      </c>
      <c r="Q207" s="320">
        <v>86536.799999999988</v>
      </c>
      <c r="R207" s="319">
        <v>38610.990740740745</v>
      </c>
      <c r="S207" s="319"/>
      <c r="T207" s="319"/>
      <c r="U207" s="319"/>
      <c r="V207" s="319"/>
      <c r="W207" s="326">
        <f>SUM(tblPiNAnalysis5613[[#This Row],[CCCM]:[WASH]])</f>
        <v>708366.52574570512</v>
      </c>
      <c r="X207" s="326">
        <v>1</v>
      </c>
    </row>
    <row r="208" spans="1:24" x14ac:dyDescent="0.55000000000000004">
      <c r="A20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8" s="316" t="s">
        <v>322</v>
      </c>
      <c r="C208" s="218" t="s">
        <v>323</v>
      </c>
      <c r="D208" s="218" t="s">
        <v>338</v>
      </c>
      <c r="E208" s="105" t="s">
        <v>339</v>
      </c>
      <c r="F208" s="100"/>
      <c r="G208" s="34"/>
      <c r="H208" s="34"/>
      <c r="I208" s="97">
        <v>3515.9389111289033</v>
      </c>
      <c r="J208" s="97" t="s">
        <v>414</v>
      </c>
      <c r="K208" s="318">
        <v>0</v>
      </c>
      <c r="L208" s="319">
        <v>5651.8366402506008</v>
      </c>
      <c r="M208" s="319">
        <v>56756.668429323494</v>
      </c>
      <c r="N208" s="319">
        <v>41817.614161937381</v>
      </c>
      <c r="O208" s="319">
        <v>86670.062705678094</v>
      </c>
      <c r="P208" s="319">
        <v>26494.155180226266</v>
      </c>
      <c r="Q208" s="320">
        <v>20919.836521216974</v>
      </c>
      <c r="R208" s="319">
        <v>19813.370753035389</v>
      </c>
      <c r="S208" s="319"/>
      <c r="T208" s="319"/>
      <c r="U208" s="319"/>
      <c r="V208" s="319"/>
      <c r="W208" s="326">
        <f>SUM(tblPiNAnalysis5613[[#This Row],[CCCM]:[WASH]])</f>
        <v>258123.5443916682</v>
      </c>
      <c r="X208" s="326">
        <v>2</v>
      </c>
    </row>
    <row r="209" spans="1:24" x14ac:dyDescent="0.55000000000000004">
      <c r="A20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09" s="316" t="s">
        <v>322</v>
      </c>
      <c r="C209" s="218" t="s">
        <v>323</v>
      </c>
      <c r="D209" s="218" t="s">
        <v>340</v>
      </c>
      <c r="E209" s="105" t="s">
        <v>341</v>
      </c>
      <c r="F209" s="100"/>
      <c r="G209" s="34"/>
      <c r="H209" s="34"/>
      <c r="I209" s="97">
        <v>13224.062358458195</v>
      </c>
      <c r="J209" s="97" t="s">
        <v>414</v>
      </c>
      <c r="K209" s="318">
        <v>484495</v>
      </c>
      <c r="L209" s="319">
        <v>218482.50997275466</v>
      </c>
      <c r="M209" s="319">
        <v>199808.99906486124</v>
      </c>
      <c r="N209" s="319">
        <v>1108049.9521826261</v>
      </c>
      <c r="O209" s="319">
        <v>296527.22854921565</v>
      </c>
      <c r="P209" s="319">
        <v>208720.49662883455</v>
      </c>
      <c r="Q209" s="320">
        <v>314732.68413130502</v>
      </c>
      <c r="R209" s="319">
        <v>88900.187729989979</v>
      </c>
      <c r="S209" s="319"/>
      <c r="T209" s="319"/>
      <c r="U209" s="319"/>
      <c r="V209" s="319"/>
      <c r="W209" s="326">
        <f>SUM(tblPiNAnalysis5613[[#This Row],[CCCM]:[WASH]])</f>
        <v>2919717.0582595873</v>
      </c>
      <c r="X209" s="326">
        <v>1</v>
      </c>
    </row>
    <row r="210" spans="1:24" x14ac:dyDescent="0.55000000000000004">
      <c r="A21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0" s="316" t="s">
        <v>342</v>
      </c>
      <c r="C210" s="218" t="s">
        <v>343</v>
      </c>
      <c r="D210" s="218" t="s">
        <v>344</v>
      </c>
      <c r="E210" s="105" t="s">
        <v>345</v>
      </c>
      <c r="F210" s="100"/>
      <c r="G210" s="34"/>
      <c r="H210" s="34"/>
      <c r="I210" s="97">
        <v>4961</v>
      </c>
      <c r="J210" s="97" t="s">
        <v>414</v>
      </c>
      <c r="K210" s="318">
        <v>0</v>
      </c>
      <c r="L210" s="319">
        <v>23853.281760000002</v>
      </c>
      <c r="M210" s="319">
        <v>116413.87730568838</v>
      </c>
      <c r="N210" s="319">
        <v>399691.74859384622</v>
      </c>
      <c r="O210" s="319">
        <v>86910.339652268332</v>
      </c>
      <c r="P210" s="319">
        <v>41555.31314149878</v>
      </c>
      <c r="Q210" s="320">
        <v>46513.133333333331</v>
      </c>
      <c r="R210" s="319">
        <v>164077.50420096022</v>
      </c>
      <c r="S210" s="319"/>
      <c r="T210" s="319"/>
      <c r="U210" s="319"/>
      <c r="V210" s="319"/>
      <c r="W210" s="326">
        <f>SUM(tblPiNAnalysis5613[[#This Row],[CCCM]:[WASH]])</f>
        <v>879015.19798759534</v>
      </c>
      <c r="X210" s="326">
        <v>2</v>
      </c>
    </row>
    <row r="211" spans="1:24" x14ac:dyDescent="0.55000000000000004">
      <c r="A21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1" s="316" t="s">
        <v>342</v>
      </c>
      <c r="C211" s="218" t="s">
        <v>343</v>
      </c>
      <c r="D211" s="218" t="s">
        <v>346</v>
      </c>
      <c r="E211" s="105" t="s">
        <v>347</v>
      </c>
      <c r="F211" s="100"/>
      <c r="G211" s="34"/>
      <c r="H211" s="34"/>
      <c r="I211" s="97">
        <v>14416.589191353083</v>
      </c>
      <c r="J211" s="97" t="s">
        <v>414</v>
      </c>
      <c r="K211" s="318">
        <v>137977</v>
      </c>
      <c r="L211" s="319">
        <v>295004.93463195517</v>
      </c>
      <c r="M211" s="319">
        <v>193298.84234341641</v>
      </c>
      <c r="N211" s="319">
        <v>1008731.0954787292</v>
      </c>
      <c r="O211" s="319">
        <v>175042.47934830238</v>
      </c>
      <c r="P211" s="319">
        <v>343776.46838045376</v>
      </c>
      <c r="Q211" s="320">
        <v>193934.46503498452</v>
      </c>
      <c r="R211" s="319">
        <v>538096.37037628773</v>
      </c>
      <c r="S211" s="319"/>
      <c r="T211" s="319"/>
      <c r="U211" s="319"/>
      <c r="V211" s="319"/>
      <c r="W211" s="326">
        <f>SUM(tblPiNAnalysis5613[[#This Row],[CCCM]:[WASH]])</f>
        <v>2885861.6555941291</v>
      </c>
      <c r="X211" s="326">
        <v>1</v>
      </c>
    </row>
    <row r="212" spans="1:24" x14ac:dyDescent="0.55000000000000004">
      <c r="A21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2" s="316" t="s">
        <v>342</v>
      </c>
      <c r="C212" s="218" t="s">
        <v>343</v>
      </c>
      <c r="D212" s="218" t="s">
        <v>348</v>
      </c>
      <c r="E212" s="105" t="s">
        <v>349</v>
      </c>
      <c r="F212" s="100"/>
      <c r="G212" s="34"/>
      <c r="H212" s="34"/>
      <c r="I212" s="97">
        <v>16232.649182202906</v>
      </c>
      <c r="J212" s="97" t="s">
        <v>414</v>
      </c>
      <c r="K212" s="318">
        <v>0</v>
      </c>
      <c r="L212" s="319">
        <v>335569.27789259772</v>
      </c>
      <c r="M212" s="319">
        <v>201778.54715200062</v>
      </c>
      <c r="N212" s="319">
        <v>1534629.8940863982</v>
      </c>
      <c r="O212" s="319">
        <v>194429.44922280314</v>
      </c>
      <c r="P212" s="319">
        <v>330010.50473716739</v>
      </c>
      <c r="Q212" s="320">
        <v>367336.86772316217</v>
      </c>
      <c r="R212" s="319">
        <v>55961.036769114464</v>
      </c>
      <c r="S212" s="319"/>
      <c r="T212" s="319"/>
      <c r="U212" s="319"/>
      <c r="V212" s="319"/>
      <c r="W212" s="326">
        <f>SUM(tblPiNAnalysis5613[[#This Row],[CCCM]:[WASH]])</f>
        <v>3019715.5775832441</v>
      </c>
      <c r="X212" s="326">
        <v>2</v>
      </c>
    </row>
    <row r="213" spans="1:24" x14ac:dyDescent="0.55000000000000004">
      <c r="A21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3" s="316" t="s">
        <v>342</v>
      </c>
      <c r="C213" s="218" t="s">
        <v>343</v>
      </c>
      <c r="D213" s="218" t="s">
        <v>350</v>
      </c>
      <c r="E213" s="105" t="s">
        <v>351</v>
      </c>
      <c r="F213" s="100"/>
      <c r="G213" s="34"/>
      <c r="H213" s="34"/>
      <c r="I213" s="97">
        <v>158050.00862404195</v>
      </c>
      <c r="J213" s="97" t="s">
        <v>414</v>
      </c>
      <c r="K213" s="318">
        <v>0</v>
      </c>
      <c r="L213" s="319">
        <v>2554630.2508940985</v>
      </c>
      <c r="M213" s="319">
        <v>2272588.2573097288</v>
      </c>
      <c r="N213" s="319">
        <v>15386013.670962833</v>
      </c>
      <c r="O213" s="319">
        <v>3460736.7324752915</v>
      </c>
      <c r="P213" s="319">
        <v>2992381.3835454108</v>
      </c>
      <c r="Q213" s="320">
        <v>1624323.0431770855</v>
      </c>
      <c r="R213" s="319">
        <v>4860037.7651892882</v>
      </c>
      <c r="S213" s="319"/>
      <c r="T213" s="319"/>
      <c r="U213" s="319"/>
      <c r="V213" s="319"/>
      <c r="W213" s="326">
        <f>SUM(tblPiNAnalysis5613[[#This Row],[CCCM]:[WASH]])</f>
        <v>33150711.103553735</v>
      </c>
      <c r="X213" s="326">
        <v>1</v>
      </c>
    </row>
    <row r="214" spans="1:24" x14ac:dyDescent="0.55000000000000004">
      <c r="A21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4" s="316" t="s">
        <v>342</v>
      </c>
      <c r="C214" s="218" t="s">
        <v>343</v>
      </c>
      <c r="D214" s="218" t="s">
        <v>352</v>
      </c>
      <c r="E214" s="105" t="s">
        <v>353</v>
      </c>
      <c r="F214" s="100"/>
      <c r="G214" s="34"/>
      <c r="H214" s="34"/>
      <c r="I214" s="97">
        <v>25766.491604712341</v>
      </c>
      <c r="J214" s="97" t="s">
        <v>414</v>
      </c>
      <c r="K214" s="318">
        <v>0</v>
      </c>
      <c r="L214" s="319">
        <v>532478.20525193098</v>
      </c>
      <c r="M214" s="319">
        <v>294903.40338688035</v>
      </c>
      <c r="N214" s="319">
        <v>1718100.8653477272</v>
      </c>
      <c r="O214" s="319">
        <v>404235.8783117311</v>
      </c>
      <c r="P214" s="319">
        <v>583485.77193209075</v>
      </c>
      <c r="Q214" s="320">
        <v>465610.04644219083</v>
      </c>
      <c r="R214" s="319">
        <v>176071.02596553433</v>
      </c>
      <c r="S214" s="319"/>
      <c r="T214" s="319"/>
      <c r="U214" s="319"/>
      <c r="V214" s="319"/>
      <c r="W214" s="326">
        <f>SUM(tblPiNAnalysis5613[[#This Row],[CCCM]:[WASH]])</f>
        <v>4174885.1966380849</v>
      </c>
      <c r="X214" s="326">
        <v>1</v>
      </c>
    </row>
    <row r="215" spans="1:24" x14ac:dyDescent="0.55000000000000004">
      <c r="A21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5" s="316" t="s">
        <v>342</v>
      </c>
      <c r="C215" s="218" t="s">
        <v>343</v>
      </c>
      <c r="D215" s="218" t="s">
        <v>354</v>
      </c>
      <c r="E215" s="105" t="s">
        <v>355</v>
      </c>
      <c r="F215" s="100"/>
      <c r="G215" s="34"/>
      <c r="H215" s="34"/>
      <c r="I215" s="97">
        <v>43189.075569026623</v>
      </c>
      <c r="J215" s="97" t="s">
        <v>414</v>
      </c>
      <c r="K215" s="318">
        <v>0</v>
      </c>
      <c r="L215" s="319">
        <v>0</v>
      </c>
      <c r="M215" s="319">
        <v>0</v>
      </c>
      <c r="N215" s="319">
        <v>0</v>
      </c>
      <c r="O215" s="319">
        <v>0</v>
      </c>
      <c r="P215" s="319"/>
      <c r="Q215" s="320">
        <v>0</v>
      </c>
      <c r="R215" s="319">
        <v>0</v>
      </c>
      <c r="S215" s="319"/>
      <c r="T215" s="319"/>
      <c r="U215" s="319"/>
      <c r="V215" s="319"/>
      <c r="W215" s="326">
        <f>SUM(tblPiNAnalysis5613[[#This Row],[CCCM]:[WASH]])</f>
        <v>0</v>
      </c>
      <c r="X215" s="326">
        <v>4</v>
      </c>
    </row>
    <row r="216" spans="1:24" x14ac:dyDescent="0.55000000000000004">
      <c r="A21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6" s="316" t="s">
        <v>342</v>
      </c>
      <c r="C216" s="218" t="s">
        <v>343</v>
      </c>
      <c r="D216" s="218" t="s">
        <v>356</v>
      </c>
      <c r="E216" s="105" t="s">
        <v>357</v>
      </c>
      <c r="F216" s="100"/>
      <c r="G216" s="34"/>
      <c r="H216" s="34"/>
      <c r="I216" s="97">
        <v>12690.76710511266</v>
      </c>
      <c r="J216" s="97" t="s">
        <v>414</v>
      </c>
      <c r="K216" s="318">
        <v>215211</v>
      </c>
      <c r="L216" s="319">
        <v>21335.108500294358</v>
      </c>
      <c r="M216" s="319">
        <v>189179.74274095177</v>
      </c>
      <c r="N216" s="319">
        <v>1048563.386244395</v>
      </c>
      <c r="O216" s="319">
        <v>304073.74562291987</v>
      </c>
      <c r="P216" s="319">
        <v>199270.18430816825</v>
      </c>
      <c r="Q216" s="320">
        <v>302040.25710168126</v>
      </c>
      <c r="R216" s="319">
        <v>325174.51303336304</v>
      </c>
      <c r="S216" s="319"/>
      <c r="T216" s="319"/>
      <c r="U216" s="319"/>
      <c r="V216" s="319"/>
      <c r="W216" s="326">
        <f>SUM(tblPiNAnalysis5613[[#This Row],[CCCM]:[WASH]])</f>
        <v>2604847.9375517736</v>
      </c>
      <c r="X216" s="326">
        <v>1</v>
      </c>
    </row>
    <row r="217" spans="1:24" x14ac:dyDescent="0.55000000000000004">
      <c r="A21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7" s="316" t="s">
        <v>342</v>
      </c>
      <c r="C217" s="218" t="s">
        <v>343</v>
      </c>
      <c r="D217" s="218" t="s">
        <v>358</v>
      </c>
      <c r="E217" s="105" t="s">
        <v>359</v>
      </c>
      <c r="F217" s="100"/>
      <c r="G217" s="34"/>
      <c r="H217" s="34"/>
      <c r="I217" s="97">
        <v>24576.329269129605</v>
      </c>
      <c r="J217" s="97" t="s">
        <v>414</v>
      </c>
      <c r="K217" s="318"/>
      <c r="L217" s="319"/>
      <c r="M217" s="319"/>
      <c r="N217" s="319"/>
      <c r="O217" s="319"/>
      <c r="P217" s="319"/>
      <c r="Q217" s="320"/>
      <c r="R217" s="319"/>
      <c r="S217" s="319"/>
      <c r="T217" s="319"/>
      <c r="U217" s="319"/>
      <c r="V217" s="319"/>
      <c r="W217" s="326">
        <f>SUM(tblPiNAnalysis5613[[#This Row],[CCCM]:[WASH]])</f>
        <v>0</v>
      </c>
      <c r="X217" s="326">
        <v>3</v>
      </c>
    </row>
    <row r="218" spans="1:24" x14ac:dyDescent="0.55000000000000004">
      <c r="A21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8" s="316" t="s">
        <v>342</v>
      </c>
      <c r="C218" s="218" t="s">
        <v>343</v>
      </c>
      <c r="D218" s="218" t="s">
        <v>360</v>
      </c>
      <c r="E218" s="105" t="s">
        <v>361</v>
      </c>
      <c r="F218" s="100"/>
      <c r="G218" s="34"/>
      <c r="H218" s="34"/>
      <c r="I218" s="97">
        <v>1622.427953791605</v>
      </c>
      <c r="J218" s="97" t="s">
        <v>414</v>
      </c>
      <c r="K218" s="318">
        <v>0</v>
      </c>
      <c r="L218" s="319">
        <v>0</v>
      </c>
      <c r="M218" s="319">
        <v>0</v>
      </c>
      <c r="N218" s="319">
        <v>0</v>
      </c>
      <c r="O218" s="319">
        <v>0</v>
      </c>
      <c r="P218" s="319"/>
      <c r="Q218" s="320">
        <v>0</v>
      </c>
      <c r="R218" s="319">
        <v>0</v>
      </c>
      <c r="S218" s="319"/>
      <c r="T218" s="319"/>
      <c r="U218" s="319"/>
      <c r="V218" s="319"/>
      <c r="W218" s="326">
        <f>SUM(tblPiNAnalysis5613[[#This Row],[CCCM]:[WASH]])</f>
        <v>0</v>
      </c>
      <c r="X218" s="326">
        <v>4</v>
      </c>
    </row>
    <row r="219" spans="1:24" x14ac:dyDescent="0.55000000000000004">
      <c r="A21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19" s="316" t="s">
        <v>342</v>
      </c>
      <c r="C219" s="218" t="s">
        <v>343</v>
      </c>
      <c r="D219" s="218" t="s">
        <v>362</v>
      </c>
      <c r="E219" s="105" t="s">
        <v>363</v>
      </c>
      <c r="F219" s="100"/>
      <c r="G219" s="34"/>
      <c r="H219" s="34"/>
      <c r="I219" s="97">
        <v>4756.8792176598463</v>
      </c>
      <c r="J219" s="97" t="s">
        <v>414</v>
      </c>
      <c r="K219" s="318">
        <v>0</v>
      </c>
      <c r="L219" s="319">
        <v>23607.002548514261</v>
      </c>
      <c r="M219" s="319">
        <v>84957.847002194452</v>
      </c>
      <c r="N219" s="319">
        <v>420000.85443881061</v>
      </c>
      <c r="O219" s="319">
        <v>102542.20030180705</v>
      </c>
      <c r="P219" s="319">
        <v>88585.767213295054</v>
      </c>
      <c r="Q219" s="320">
        <v>84910.294035228231</v>
      </c>
      <c r="R219" s="319">
        <v>177704.82052584228</v>
      </c>
      <c r="S219" s="319"/>
      <c r="T219" s="319"/>
      <c r="U219" s="319"/>
      <c r="V219" s="319"/>
      <c r="W219" s="326">
        <f>SUM(tblPiNAnalysis5613[[#This Row],[CCCM]:[WASH]])</f>
        <v>982308.78606569185</v>
      </c>
      <c r="X219" s="326">
        <v>2</v>
      </c>
    </row>
    <row r="220" spans="1:24" x14ac:dyDescent="0.55000000000000004">
      <c r="A22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0" s="316" t="s">
        <v>342</v>
      </c>
      <c r="C220" s="218" t="s">
        <v>343</v>
      </c>
      <c r="D220" s="218" t="s">
        <v>364</v>
      </c>
      <c r="E220" s="105" t="s">
        <v>365</v>
      </c>
      <c r="F220" s="100"/>
      <c r="G220" s="34"/>
      <c r="H220" s="34"/>
      <c r="I220" s="97">
        <v>235020.19206222118</v>
      </c>
      <c r="J220" s="97" t="s">
        <v>414</v>
      </c>
      <c r="K220" s="318">
        <v>241937</v>
      </c>
      <c r="L220" s="319">
        <v>2582636.8905717484</v>
      </c>
      <c r="M220" s="319">
        <v>2217582.5254375404</v>
      </c>
      <c r="N220" s="319">
        <v>3021442.3966722582</v>
      </c>
      <c r="O220" s="319">
        <v>2738995.8296501539</v>
      </c>
      <c r="P220" s="319">
        <v>2856690.4811611888</v>
      </c>
      <c r="Q220" s="320">
        <v>1242995.682462414</v>
      </c>
      <c r="R220" s="319">
        <v>1911634.5766213285</v>
      </c>
      <c r="S220" s="319"/>
      <c r="T220" s="319"/>
      <c r="U220" s="319"/>
      <c r="V220" s="319"/>
      <c r="W220" s="326">
        <f>SUM(tblPiNAnalysis5613[[#This Row],[CCCM]:[WASH]])</f>
        <v>16813915.382576633</v>
      </c>
      <c r="X220" s="326">
        <v>1</v>
      </c>
    </row>
    <row r="221" spans="1:24" x14ac:dyDescent="0.55000000000000004">
      <c r="A22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1" s="316" t="s">
        <v>342</v>
      </c>
      <c r="C221" s="218" t="s">
        <v>343</v>
      </c>
      <c r="D221" s="218" t="s">
        <v>366</v>
      </c>
      <c r="E221" s="105" t="s">
        <v>367</v>
      </c>
      <c r="F221" s="100"/>
      <c r="G221" s="34"/>
      <c r="H221" s="34"/>
      <c r="I221" s="97">
        <v>44257.266075717678</v>
      </c>
      <c r="J221" s="97" t="s">
        <v>414</v>
      </c>
      <c r="K221" s="318">
        <v>0</v>
      </c>
      <c r="L221" s="319">
        <v>862644.92744145857</v>
      </c>
      <c r="M221" s="319">
        <v>578739.12984037341</v>
      </c>
      <c r="N221" s="319">
        <v>4116107.1722036046</v>
      </c>
      <c r="O221" s="319">
        <v>1011745.9333752735</v>
      </c>
      <c r="P221" s="319">
        <v>795824.80521094159</v>
      </c>
      <c r="Q221" s="320">
        <v>601898.8186297603</v>
      </c>
      <c r="R221" s="319">
        <v>1360910.9318283184</v>
      </c>
      <c r="S221" s="319"/>
      <c r="T221" s="319"/>
      <c r="U221" s="319"/>
      <c r="V221" s="319"/>
      <c r="W221" s="326">
        <f>SUM(tblPiNAnalysis5613[[#This Row],[CCCM]:[WASH]])</f>
        <v>9327871.718529731</v>
      </c>
      <c r="X221" s="326">
        <v>1</v>
      </c>
    </row>
    <row r="222" spans="1:24" x14ac:dyDescent="0.55000000000000004">
      <c r="A22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2" s="316" t="s">
        <v>368</v>
      </c>
      <c r="C222" s="218" t="s">
        <v>369</v>
      </c>
      <c r="D222" s="218" t="s">
        <v>370</v>
      </c>
      <c r="E222" s="105" t="s">
        <v>371</v>
      </c>
      <c r="F222" s="100"/>
      <c r="G222" s="34"/>
      <c r="H222" s="34"/>
      <c r="I222" s="97">
        <v>34983.329520759507</v>
      </c>
      <c r="J222" s="97" t="s">
        <v>414</v>
      </c>
      <c r="K222" s="318"/>
      <c r="L222" s="319"/>
      <c r="M222" s="319"/>
      <c r="N222" s="319"/>
      <c r="O222" s="319"/>
      <c r="P222" s="319"/>
      <c r="Q222" s="320"/>
      <c r="R222" s="319"/>
      <c r="S222" s="319"/>
      <c r="T222" s="319"/>
      <c r="U222" s="319"/>
      <c r="V222" s="319"/>
      <c r="W222" s="326">
        <f>SUM(tblPiNAnalysis5613[[#This Row],[CCCM]:[WASH]])</f>
        <v>0</v>
      </c>
      <c r="X222" s="326">
        <v>3</v>
      </c>
    </row>
    <row r="223" spans="1:24" x14ac:dyDescent="0.55000000000000004">
      <c r="A22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3" s="316" t="s">
        <v>368</v>
      </c>
      <c r="C223" s="218" t="s">
        <v>369</v>
      </c>
      <c r="D223" s="218" t="s">
        <v>372</v>
      </c>
      <c r="E223" s="105" t="s">
        <v>373</v>
      </c>
      <c r="F223" s="100"/>
      <c r="G223" s="34"/>
      <c r="H223" s="34"/>
      <c r="I223" s="97">
        <v>98408.747432231496</v>
      </c>
      <c r="J223" s="97" t="s">
        <v>414</v>
      </c>
      <c r="K223" s="318"/>
      <c r="L223" s="319"/>
      <c r="M223" s="319"/>
      <c r="N223" s="319"/>
      <c r="O223" s="319"/>
      <c r="P223" s="319"/>
      <c r="Q223" s="320"/>
      <c r="R223" s="319"/>
      <c r="S223" s="319"/>
      <c r="T223" s="319"/>
      <c r="U223" s="319"/>
      <c r="V223" s="319"/>
      <c r="W223" s="326">
        <f>SUM(tblPiNAnalysis5613[[#This Row],[CCCM]:[WASH]])</f>
        <v>0</v>
      </c>
      <c r="X223" s="326">
        <v>3</v>
      </c>
    </row>
    <row r="224" spans="1:24" x14ac:dyDescent="0.55000000000000004">
      <c r="A22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4" s="316" t="s">
        <v>368</v>
      </c>
      <c r="C224" s="218" t="s">
        <v>369</v>
      </c>
      <c r="D224" s="218" t="s">
        <v>374</v>
      </c>
      <c r="E224" s="105" t="s">
        <v>375</v>
      </c>
      <c r="F224" s="100"/>
      <c r="G224" s="34"/>
      <c r="H224" s="34"/>
      <c r="I224" s="97">
        <v>17868.834713485074</v>
      </c>
      <c r="J224" s="97" t="s">
        <v>414</v>
      </c>
      <c r="K224" s="318">
        <v>0</v>
      </c>
      <c r="L224" s="319">
        <v>350738.99397635262</v>
      </c>
      <c r="M224" s="319">
        <v>277263.00823415106</v>
      </c>
      <c r="N224" s="319">
        <v>1331480.1750452959</v>
      </c>
      <c r="O224" s="319">
        <v>210808.39672679987</v>
      </c>
      <c r="P224" s="319">
        <v>359538.94643938163</v>
      </c>
      <c r="Q224" s="320">
        <v>289962.45421428047</v>
      </c>
      <c r="R224" s="319">
        <v>109855.64715957659</v>
      </c>
      <c r="S224" s="319"/>
      <c r="T224" s="319"/>
      <c r="U224" s="319"/>
      <c r="V224" s="319"/>
      <c r="W224" s="326">
        <f>SUM(tblPiNAnalysis5613[[#This Row],[CCCM]:[WASH]])</f>
        <v>2929647.6217958378</v>
      </c>
      <c r="X224" s="326">
        <v>2</v>
      </c>
    </row>
    <row r="225" spans="1:24" x14ac:dyDescent="0.55000000000000004">
      <c r="A22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5" s="316" t="s">
        <v>368</v>
      </c>
      <c r="C225" s="218" t="s">
        <v>369</v>
      </c>
      <c r="D225" s="218" t="s">
        <v>376</v>
      </c>
      <c r="E225" s="105" t="s">
        <v>377</v>
      </c>
      <c r="F225" s="100"/>
      <c r="G225" s="34"/>
      <c r="H225" s="34"/>
      <c r="I225" s="97">
        <v>13129.238762438523</v>
      </c>
      <c r="J225" s="97" t="s">
        <v>414</v>
      </c>
      <c r="K225" s="318"/>
      <c r="L225" s="319"/>
      <c r="M225" s="319"/>
      <c r="N225" s="319"/>
      <c r="O225" s="319"/>
      <c r="P225" s="319"/>
      <c r="Q225" s="320"/>
      <c r="R225" s="319"/>
      <c r="S225" s="319"/>
      <c r="T225" s="319"/>
      <c r="U225" s="319"/>
      <c r="V225" s="319"/>
      <c r="W225" s="326">
        <f>SUM(tblPiNAnalysis5613[[#This Row],[CCCM]:[WASH]])</f>
        <v>0</v>
      </c>
      <c r="X225" s="326">
        <v>3</v>
      </c>
    </row>
    <row r="226" spans="1:24" x14ac:dyDescent="0.55000000000000004">
      <c r="A22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6" s="316" t="s">
        <v>368</v>
      </c>
      <c r="C226" s="218" t="s">
        <v>369</v>
      </c>
      <c r="D226" s="218" t="s">
        <v>378</v>
      </c>
      <c r="E226" s="105" t="s">
        <v>379</v>
      </c>
      <c r="F226" s="100"/>
      <c r="G226" s="34"/>
      <c r="H226" s="34"/>
      <c r="I226" s="97">
        <v>8647.438167676999</v>
      </c>
      <c r="J226" s="97" t="s">
        <v>414</v>
      </c>
      <c r="K226" s="318">
        <v>0</v>
      </c>
      <c r="L226" s="319">
        <v>0</v>
      </c>
      <c r="M226" s="319">
        <v>0</v>
      </c>
      <c r="N226" s="319">
        <v>0</v>
      </c>
      <c r="O226" s="319">
        <v>0</v>
      </c>
      <c r="P226" s="319"/>
      <c r="Q226" s="320">
        <v>0</v>
      </c>
      <c r="R226" s="319">
        <v>0</v>
      </c>
      <c r="S226" s="319"/>
      <c r="T226" s="319"/>
      <c r="U226" s="319"/>
      <c r="V226" s="319"/>
      <c r="W226" s="326">
        <f>SUM(tblPiNAnalysis5613[[#This Row],[CCCM]:[WASH]])</f>
        <v>0</v>
      </c>
      <c r="X226" s="326">
        <v>4</v>
      </c>
    </row>
    <row r="227" spans="1:24" x14ac:dyDescent="0.55000000000000004">
      <c r="A22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7" s="316" t="s">
        <v>368</v>
      </c>
      <c r="C227" s="218" t="s">
        <v>369</v>
      </c>
      <c r="D227" s="218" t="s">
        <v>380</v>
      </c>
      <c r="E227" s="105" t="s">
        <v>381</v>
      </c>
      <c r="F227" s="100"/>
      <c r="G227" s="34"/>
      <c r="H227" s="34"/>
      <c r="I227" s="97">
        <v>79307.299107857689</v>
      </c>
      <c r="J227" s="97" t="s">
        <v>414</v>
      </c>
      <c r="K227" s="318">
        <v>8441</v>
      </c>
      <c r="L227" s="319">
        <v>584345.69670258823</v>
      </c>
      <c r="M227" s="319">
        <v>1242472.5128560464</v>
      </c>
      <c r="N227" s="319">
        <v>4736765.5272010155</v>
      </c>
      <c r="O227" s="319">
        <v>1698919.4236177867</v>
      </c>
      <c r="P227" s="319">
        <v>800574.89428294078</v>
      </c>
      <c r="Q227" s="320">
        <v>1073930.2192984729</v>
      </c>
      <c r="R227" s="319">
        <v>416625.09423734812</v>
      </c>
      <c r="S227" s="319"/>
      <c r="T227" s="319"/>
      <c r="U227" s="319"/>
      <c r="V227" s="319"/>
      <c r="W227" s="326">
        <f>SUM(tblPiNAnalysis5613[[#This Row],[CCCM]:[WASH]])</f>
        <v>10562074.368196197</v>
      </c>
      <c r="X227" s="326">
        <v>1</v>
      </c>
    </row>
    <row r="228" spans="1:24" x14ac:dyDescent="0.55000000000000004">
      <c r="A22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8" s="316" t="s">
        <v>382</v>
      </c>
      <c r="C228" s="218" t="s">
        <v>383</v>
      </c>
      <c r="D228" s="218" t="s">
        <v>384</v>
      </c>
      <c r="E228" s="105" t="s">
        <v>385</v>
      </c>
      <c r="F228" s="100"/>
      <c r="G228" s="34"/>
      <c r="H228" s="34"/>
      <c r="I228" s="97">
        <v>20202.24984559073</v>
      </c>
      <c r="J228" s="97" t="s">
        <v>414</v>
      </c>
      <c r="K228" s="318">
        <v>0</v>
      </c>
      <c r="L228" s="319">
        <v>0</v>
      </c>
      <c r="M228" s="319">
        <v>0</v>
      </c>
      <c r="N228" s="319">
        <v>0</v>
      </c>
      <c r="O228" s="319">
        <v>0</v>
      </c>
      <c r="P228" s="319"/>
      <c r="Q228" s="320">
        <v>0</v>
      </c>
      <c r="R228" s="319">
        <v>0</v>
      </c>
      <c r="S228" s="319"/>
      <c r="T228" s="319"/>
      <c r="U228" s="319"/>
      <c r="V228" s="319"/>
      <c r="W228" s="326">
        <f>SUM(tblPiNAnalysis5613[[#This Row],[CCCM]:[WASH]])</f>
        <v>0</v>
      </c>
      <c r="X228" s="326">
        <v>4</v>
      </c>
    </row>
    <row r="229" spans="1:24" x14ac:dyDescent="0.55000000000000004">
      <c r="A22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29" s="316" t="s">
        <v>382</v>
      </c>
      <c r="C229" s="218" t="s">
        <v>383</v>
      </c>
      <c r="D229" s="218" t="s">
        <v>386</v>
      </c>
      <c r="E229" s="105" t="s">
        <v>387</v>
      </c>
      <c r="F229" s="100"/>
      <c r="G229" s="34"/>
      <c r="H229" s="34"/>
      <c r="I229" s="97">
        <v>28676.523493080207</v>
      </c>
      <c r="J229" s="97" t="s">
        <v>414</v>
      </c>
      <c r="K229" s="318"/>
      <c r="L229" s="319"/>
      <c r="M229" s="319"/>
      <c r="N229" s="319"/>
      <c r="O229" s="319"/>
      <c r="P229" s="319"/>
      <c r="Q229" s="320"/>
      <c r="R229" s="319"/>
      <c r="S229" s="319"/>
      <c r="T229" s="319"/>
      <c r="U229" s="319"/>
      <c r="V229" s="319"/>
      <c r="W229" s="326">
        <f>SUM(tblPiNAnalysis5613[[#This Row],[CCCM]:[WASH]])</f>
        <v>0</v>
      </c>
      <c r="X229" s="326">
        <v>3</v>
      </c>
    </row>
    <row r="230" spans="1:24" x14ac:dyDescent="0.55000000000000004">
      <c r="A23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0" s="316" t="s">
        <v>382</v>
      </c>
      <c r="C230" s="218" t="s">
        <v>383</v>
      </c>
      <c r="D230" s="218" t="s">
        <v>388</v>
      </c>
      <c r="E230" s="105" t="s">
        <v>389</v>
      </c>
      <c r="F230" s="100"/>
      <c r="G230" s="34"/>
      <c r="H230" s="34"/>
      <c r="I230" s="97">
        <v>47646.035148118463</v>
      </c>
      <c r="J230" s="97" t="s">
        <v>414</v>
      </c>
      <c r="K230" s="318">
        <v>0</v>
      </c>
      <c r="L230" s="319">
        <v>0</v>
      </c>
      <c r="M230" s="319"/>
      <c r="N230" s="319">
        <v>0</v>
      </c>
      <c r="O230" s="319">
        <v>0</v>
      </c>
      <c r="P230" s="319"/>
      <c r="Q230" s="320">
        <v>0</v>
      </c>
      <c r="R230" s="319">
        <v>0</v>
      </c>
      <c r="S230" s="319"/>
      <c r="T230" s="319"/>
      <c r="U230" s="319"/>
      <c r="V230" s="319"/>
      <c r="W230" s="326">
        <f>SUM(tblPiNAnalysis5613[[#This Row],[CCCM]:[WASH]])</f>
        <v>0</v>
      </c>
      <c r="X230" s="326">
        <v>4</v>
      </c>
    </row>
    <row r="231" spans="1:24" x14ac:dyDescent="0.55000000000000004">
      <c r="A231"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1" s="316" t="s">
        <v>390</v>
      </c>
      <c r="C231" s="218" t="s">
        <v>391</v>
      </c>
      <c r="D231" s="218" t="s">
        <v>392</v>
      </c>
      <c r="E231" s="105" t="s">
        <v>393</v>
      </c>
      <c r="F231" s="100"/>
      <c r="G231" s="34"/>
      <c r="H231" s="34"/>
      <c r="I231" s="97">
        <v>3661</v>
      </c>
      <c r="J231" s="97" t="s">
        <v>414</v>
      </c>
      <c r="K231" s="318"/>
      <c r="L231" s="319"/>
      <c r="M231" s="319"/>
      <c r="N231" s="319"/>
      <c r="O231" s="319"/>
      <c r="P231" s="319"/>
      <c r="Q231" s="320"/>
      <c r="R231" s="319"/>
      <c r="S231" s="319"/>
      <c r="T231" s="319"/>
      <c r="U231" s="319"/>
      <c r="V231" s="319"/>
      <c r="W231" s="326">
        <f>SUM(tblPiNAnalysis5613[[#This Row],[CCCM]:[WASH]])</f>
        <v>0</v>
      </c>
      <c r="X231" s="326">
        <v>3</v>
      </c>
    </row>
    <row r="232" spans="1:24" x14ac:dyDescent="0.55000000000000004">
      <c r="A232"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2" s="316" t="s">
        <v>390</v>
      </c>
      <c r="C232" s="218" t="s">
        <v>391</v>
      </c>
      <c r="D232" s="218" t="s">
        <v>394</v>
      </c>
      <c r="E232" s="105" t="s">
        <v>395</v>
      </c>
      <c r="F232" s="100"/>
      <c r="G232" s="34"/>
      <c r="H232" s="34"/>
      <c r="I232" s="97">
        <v>1463.1428571428601</v>
      </c>
      <c r="J232" s="97" t="s">
        <v>414</v>
      </c>
      <c r="K232" s="318">
        <v>0</v>
      </c>
      <c r="L232" s="319">
        <v>0</v>
      </c>
      <c r="M232" s="319">
        <v>0</v>
      </c>
      <c r="N232" s="319">
        <v>0</v>
      </c>
      <c r="O232" s="319">
        <v>0</v>
      </c>
      <c r="P232" s="319"/>
      <c r="Q232" s="320">
        <v>0</v>
      </c>
      <c r="R232" s="319">
        <v>0</v>
      </c>
      <c r="S232" s="319"/>
      <c r="T232" s="319"/>
      <c r="U232" s="319"/>
      <c r="V232" s="319"/>
      <c r="W232" s="326">
        <f>SUM(tblPiNAnalysis5613[[#This Row],[CCCM]:[WASH]])</f>
        <v>0</v>
      </c>
      <c r="X232" s="326">
        <v>5</v>
      </c>
    </row>
    <row r="233" spans="1:24" x14ac:dyDescent="0.55000000000000004">
      <c r="A233"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3" s="316" t="s">
        <v>390</v>
      </c>
      <c r="C233" s="218" t="s">
        <v>391</v>
      </c>
      <c r="D233" s="218" t="s">
        <v>396</v>
      </c>
      <c r="E233" s="105" t="s">
        <v>397</v>
      </c>
      <c r="F233" s="100"/>
      <c r="G233" s="34"/>
      <c r="H233" s="34"/>
      <c r="I233" s="97">
        <v>688</v>
      </c>
      <c r="J233" s="97" t="s">
        <v>414</v>
      </c>
      <c r="K233" s="318">
        <v>0</v>
      </c>
      <c r="L233" s="319">
        <v>0</v>
      </c>
      <c r="M233" s="319">
        <v>0</v>
      </c>
      <c r="N233" s="319">
        <v>0</v>
      </c>
      <c r="O233" s="319">
        <v>0</v>
      </c>
      <c r="P233" s="319"/>
      <c r="Q233" s="320">
        <v>0</v>
      </c>
      <c r="R233" s="319">
        <v>0</v>
      </c>
      <c r="S233" s="319"/>
      <c r="T233" s="319"/>
      <c r="U233" s="319"/>
      <c r="V233" s="319"/>
      <c r="W233" s="326">
        <f>SUM(tblPiNAnalysis5613[[#This Row],[CCCM]:[WASH]])</f>
        <v>0</v>
      </c>
      <c r="X233" s="326">
        <v>5</v>
      </c>
    </row>
    <row r="234" spans="1:24" x14ac:dyDescent="0.55000000000000004">
      <c r="A234"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4" s="316" t="s">
        <v>390</v>
      </c>
      <c r="C234" s="218" t="s">
        <v>391</v>
      </c>
      <c r="D234" s="218" t="s">
        <v>398</v>
      </c>
      <c r="E234" s="105" t="s">
        <v>399</v>
      </c>
      <c r="F234" s="100"/>
      <c r="G234" s="34"/>
      <c r="H234" s="34"/>
      <c r="I234" s="97">
        <v>5019</v>
      </c>
      <c r="J234" s="97" t="s">
        <v>414</v>
      </c>
      <c r="K234" s="318">
        <v>0</v>
      </c>
      <c r="L234" s="319">
        <v>0</v>
      </c>
      <c r="M234" s="319">
        <v>0</v>
      </c>
      <c r="N234" s="319">
        <v>0</v>
      </c>
      <c r="O234" s="319">
        <v>0</v>
      </c>
      <c r="P234" s="319"/>
      <c r="Q234" s="320">
        <v>0</v>
      </c>
      <c r="R234" s="319">
        <v>0</v>
      </c>
      <c r="S234" s="319"/>
      <c r="T234" s="319"/>
      <c r="U234" s="319"/>
      <c r="V234" s="319"/>
      <c r="W234" s="326">
        <f>SUM(tblPiNAnalysis5613[[#This Row],[CCCM]:[WASH]])</f>
        <v>0</v>
      </c>
      <c r="X234" s="326">
        <v>5</v>
      </c>
    </row>
    <row r="235" spans="1:24" x14ac:dyDescent="0.55000000000000004">
      <c r="A235"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5" s="316" t="s">
        <v>390</v>
      </c>
      <c r="C235" s="218" t="s">
        <v>391</v>
      </c>
      <c r="D235" s="218" t="s">
        <v>400</v>
      </c>
      <c r="E235" s="105" t="s">
        <v>401</v>
      </c>
      <c r="F235" s="100"/>
      <c r="G235" s="34"/>
      <c r="H235" s="34"/>
      <c r="I235" s="97">
        <v>2319</v>
      </c>
      <c r="J235" s="97" t="s">
        <v>414</v>
      </c>
      <c r="K235" s="318">
        <v>0</v>
      </c>
      <c r="L235" s="319">
        <v>0</v>
      </c>
      <c r="M235" s="319">
        <v>0</v>
      </c>
      <c r="N235" s="319">
        <v>0</v>
      </c>
      <c r="O235" s="319">
        <v>0</v>
      </c>
      <c r="P235" s="319"/>
      <c r="Q235" s="320">
        <v>0</v>
      </c>
      <c r="R235" s="319">
        <v>0</v>
      </c>
      <c r="S235" s="319"/>
      <c r="T235" s="319"/>
      <c r="U235" s="319"/>
      <c r="V235" s="319"/>
      <c r="W235" s="326">
        <f>SUM(tblPiNAnalysis5613[[#This Row],[CCCM]:[WASH]])</f>
        <v>0</v>
      </c>
      <c r="X235" s="326">
        <v>5</v>
      </c>
    </row>
    <row r="236" spans="1:24" x14ac:dyDescent="0.55000000000000004">
      <c r="A236"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6" s="316" t="s">
        <v>390</v>
      </c>
      <c r="C236" s="218" t="s">
        <v>391</v>
      </c>
      <c r="D236" s="218" t="s">
        <v>402</v>
      </c>
      <c r="E236" s="105" t="s">
        <v>403</v>
      </c>
      <c r="F236" s="100"/>
      <c r="G236" s="34"/>
      <c r="H236" s="34"/>
      <c r="I236" s="97">
        <v>4934</v>
      </c>
      <c r="J236" s="97" t="s">
        <v>414</v>
      </c>
      <c r="K236" s="318">
        <v>0</v>
      </c>
      <c r="L236" s="319">
        <v>0</v>
      </c>
      <c r="M236" s="319">
        <v>0</v>
      </c>
      <c r="N236" s="319">
        <v>0</v>
      </c>
      <c r="O236" s="319">
        <v>0</v>
      </c>
      <c r="P236" s="319"/>
      <c r="Q236" s="320">
        <v>0</v>
      </c>
      <c r="R236" s="319">
        <v>0</v>
      </c>
      <c r="S236" s="319"/>
      <c r="T236" s="319"/>
      <c r="U236" s="319"/>
      <c r="V236" s="319"/>
      <c r="W236" s="326">
        <f>SUM(tblPiNAnalysis5613[[#This Row],[CCCM]:[WASH]])</f>
        <v>0</v>
      </c>
      <c r="X236" s="326">
        <v>5</v>
      </c>
    </row>
    <row r="237" spans="1:24" x14ac:dyDescent="0.55000000000000004">
      <c r="A237"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7" s="316" t="s">
        <v>390</v>
      </c>
      <c r="C237" s="218" t="s">
        <v>391</v>
      </c>
      <c r="D237" s="218" t="s">
        <v>404</v>
      </c>
      <c r="E237" s="105" t="s">
        <v>405</v>
      </c>
      <c r="F237" s="100"/>
      <c r="G237" s="34"/>
      <c r="H237" s="34"/>
      <c r="I237" s="97">
        <v>0</v>
      </c>
      <c r="J237" s="97" t="s">
        <v>414</v>
      </c>
      <c r="K237" s="318">
        <v>0</v>
      </c>
      <c r="L237" s="319">
        <v>0</v>
      </c>
      <c r="M237" s="319">
        <v>0</v>
      </c>
      <c r="N237" s="319">
        <v>0</v>
      </c>
      <c r="O237" s="319">
        <v>0</v>
      </c>
      <c r="P237" s="319">
        <v>0</v>
      </c>
      <c r="Q237" s="320">
        <v>0</v>
      </c>
      <c r="R237" s="319">
        <v>0</v>
      </c>
      <c r="S237" s="319"/>
      <c r="T237" s="319"/>
      <c r="U237" s="319"/>
      <c r="V237" s="319"/>
      <c r="W237" s="326">
        <f>SUM(tblPiNAnalysis5613[[#This Row],[CCCM]:[WASH]])</f>
        <v>0</v>
      </c>
      <c r="X237" s="326">
        <v>2</v>
      </c>
    </row>
    <row r="238" spans="1:24" x14ac:dyDescent="0.55000000000000004">
      <c r="A238"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8" s="316" t="s">
        <v>390</v>
      </c>
      <c r="C238" s="218" t="s">
        <v>391</v>
      </c>
      <c r="D238" s="218" t="s">
        <v>406</v>
      </c>
      <c r="E238" s="105" t="s">
        <v>407</v>
      </c>
      <c r="F238" s="100"/>
      <c r="G238" s="34"/>
      <c r="H238" s="34"/>
      <c r="I238" s="97">
        <v>375</v>
      </c>
      <c r="J238" s="97" t="s">
        <v>414</v>
      </c>
      <c r="K238" s="318">
        <v>0</v>
      </c>
      <c r="L238" s="319">
        <v>0</v>
      </c>
      <c r="M238" s="319">
        <v>0</v>
      </c>
      <c r="N238" s="319">
        <v>0</v>
      </c>
      <c r="O238" s="319">
        <v>0</v>
      </c>
      <c r="P238" s="319"/>
      <c r="Q238" s="320">
        <v>0</v>
      </c>
      <c r="R238" s="319">
        <v>0</v>
      </c>
      <c r="S238" s="319"/>
      <c r="T238" s="319"/>
      <c r="U238" s="319"/>
      <c r="V238" s="319"/>
      <c r="W238" s="326">
        <f>SUM(tblPiNAnalysis5613[[#This Row],[CCCM]:[WASH]])</f>
        <v>0</v>
      </c>
      <c r="X238" s="326">
        <v>5</v>
      </c>
    </row>
    <row r="239" spans="1:24" x14ac:dyDescent="0.55000000000000004">
      <c r="A239"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39" s="316" t="s">
        <v>390</v>
      </c>
      <c r="C239" s="218" t="s">
        <v>391</v>
      </c>
      <c r="D239" s="218" t="s">
        <v>408</v>
      </c>
      <c r="E239" s="105" t="s">
        <v>409</v>
      </c>
      <c r="F239" s="100"/>
      <c r="G239" s="34"/>
      <c r="H239" s="34"/>
      <c r="I239" s="97">
        <v>2118.1428571428601</v>
      </c>
      <c r="J239" s="97" t="s">
        <v>414</v>
      </c>
      <c r="K239" s="318">
        <v>0</v>
      </c>
      <c r="L239" s="319">
        <v>25591.69854000003</v>
      </c>
      <c r="M239" s="319">
        <v>16529.107333973538</v>
      </c>
      <c r="N239" s="319">
        <v>17781.177542441848</v>
      </c>
      <c r="O239" s="319">
        <v>35537.389241285113</v>
      </c>
      <c r="P239" s="319">
        <v>39762.148949421426</v>
      </c>
      <c r="Q239" s="320">
        <v>50411.800000000061</v>
      </c>
      <c r="R239" s="319">
        <v>47274.954640652621</v>
      </c>
      <c r="S239" s="319"/>
      <c r="T239" s="319"/>
      <c r="U239" s="319"/>
      <c r="V239" s="319"/>
      <c r="W239" s="326">
        <f>SUM(tblPiNAnalysis5613[[#This Row],[CCCM]:[WASH]])</f>
        <v>232888.27624777466</v>
      </c>
      <c r="X239" s="326">
        <v>2</v>
      </c>
    </row>
    <row r="240" spans="1:24" x14ac:dyDescent="0.55000000000000004">
      <c r="A240" s="232" t="str">
        <f>IFERROR(_xlfn.CONCAT(IF([2]!tblPiNAnalysis[[#This Row],[Population Group]]="", "",[2]!tblPiNAnalysis[[#This Row],[Population Group]] ), IF([2]!tblPiNAnalysis[[#This Row],[Pocket of need]]&lt;&gt;"",[2]!tblPiNAnalysis[[#This Row],[Pocket of need]],), _xlfn.IFS([2]!tblPiNAnalysis[[#This Row],[Admin 3 P-Code]]&lt;&gt;"", [2]!tblPiNAnalysis[[#This Row],[Admin 3 P-Code]], [2]!tblPiNAnalysis[[#This Row],[Admin 2 P-Code]]&lt;&gt;"", [2]!tblPiNAnalysis[[#This Row],[Admin 2 P-Code]], [2]!tblPiNAnalysis[[#This Row],[Admin 1 P-Code]]&lt;&gt;"", [2]!tblPiNAnalysis[[#This Row],[Admin 1 P-Code]])),"")</f>
        <v/>
      </c>
      <c r="B240" s="316" t="s">
        <v>390</v>
      </c>
      <c r="C240" s="218" t="s">
        <v>391</v>
      </c>
      <c r="D240" s="218" t="s">
        <v>410</v>
      </c>
      <c r="E240" s="105" t="s">
        <v>411</v>
      </c>
      <c r="F240" s="100"/>
      <c r="G240" s="34"/>
      <c r="H240" s="34"/>
      <c r="I240" s="97">
        <v>7750</v>
      </c>
      <c r="J240" s="97" t="s">
        <v>414</v>
      </c>
      <c r="K240" s="318">
        <v>0</v>
      </c>
      <c r="L240" s="319">
        <v>0</v>
      </c>
      <c r="M240" s="319">
        <v>0</v>
      </c>
      <c r="N240" s="319">
        <v>0</v>
      </c>
      <c r="O240" s="319">
        <v>0</v>
      </c>
      <c r="P240" s="319"/>
      <c r="Q240" s="320">
        <v>0</v>
      </c>
      <c r="R240" s="319">
        <v>0</v>
      </c>
      <c r="S240" s="319"/>
      <c r="T240" s="319"/>
      <c r="U240" s="319"/>
      <c r="V240" s="319"/>
      <c r="W240" s="403">
        <f>SUM(tblPiNAnalysis5613[[#This Row],[CCCM]:[WASH]])</f>
        <v>0</v>
      </c>
      <c r="X240" s="403">
        <v>5</v>
      </c>
    </row>
  </sheetData>
  <mergeCells count="4">
    <mergeCell ref="B2:G2"/>
    <mergeCell ref="I2:J2"/>
    <mergeCell ref="K2:R2"/>
    <mergeCell ref="S2:V2"/>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35CB-0E16-FA46-A758-6DF56AD428E2}">
  <sheetPr codeName="Sheet8">
    <tabColor rgb="FF00B050"/>
  </sheetPr>
  <dimension ref="A2:AH27"/>
  <sheetViews>
    <sheetView showGridLines="0" workbookViewId="0">
      <selection activeCell="AO11" sqref="AO11"/>
    </sheetView>
  </sheetViews>
  <sheetFormatPr defaultColWidth="11.41796875" defaultRowHeight="14.4" x14ac:dyDescent="0.55000000000000004"/>
  <cols>
    <col min="1" max="1" width="4.26171875" customWidth="1"/>
    <col min="2" max="2" width="8.41796875" bestFit="1" customWidth="1"/>
    <col min="3" max="3" width="9.578125" bestFit="1" customWidth="1"/>
    <col min="4" max="15" width="4.26171875" customWidth="1"/>
    <col min="22" max="22" width="9.578125" customWidth="1"/>
    <col min="23" max="23" width="8.41796875" customWidth="1"/>
    <col min="24" max="35" width="5.26171875" customWidth="1"/>
  </cols>
  <sheetData>
    <row r="2" spans="1:34" x14ac:dyDescent="0.55000000000000004">
      <c r="B2" t="str" cm="1">
        <f t="array" ref="B2:M2">tblPiNAnalysis[[#Headers],[CCCM]:[HLP]]</f>
        <v>CCCM</v>
      </c>
      <c r="C2" t="str">
        <v>Education</v>
      </c>
      <c r="D2" t="str">
        <v>Nutrition</v>
      </c>
      <c r="E2" t="str">
        <v>Food Security</v>
      </c>
      <c r="F2" t="str">
        <v>Health</v>
      </c>
      <c r="G2" t="str">
        <v>Overarching Protection</v>
      </c>
      <c r="H2" t="str">
        <v>Shelter</v>
      </c>
      <c r="I2" t="str">
        <v>WASH</v>
      </c>
      <c r="J2" t="str">
        <v>CP</v>
      </c>
      <c r="K2" t="str">
        <v>GBV</v>
      </c>
      <c r="L2" t="str">
        <v>Mine Action</v>
      </c>
      <c r="M2" t="str">
        <v>HLP</v>
      </c>
    </row>
    <row r="3" spans="1:34" x14ac:dyDescent="0.55000000000000004">
      <c r="B3">
        <f>SUM(INDEX(tblPiNAnalysis[[CCCM]:[HLP]], 0, MATCH(B2, tblPiNAnalysis[[#Headers],[CCCM]:[HLP]], 0)))</f>
        <v>1359005.6654804838</v>
      </c>
      <c r="C3">
        <f>SUM(INDEX(tblPiNAnalysis[[CCCM]:[HLP]], 0, MATCH(C2, tblPiNAnalysis[[#Headers],[CCCM]:[HLP]], 0)))</f>
        <v>2435900.2640912938</v>
      </c>
      <c r="D3">
        <f>SUM(INDEX(tblPiNAnalysis[[CCCM]:[HLP]], 0, MATCH(D2, tblPiNAnalysis[[#Headers],[CCCM]:[HLP]], 0)))</f>
        <v>5250932.6034867046</v>
      </c>
      <c r="E3">
        <f>SUM(INDEX(tblPiNAnalysis[[CCCM]:[HLP]], 0, MATCH(E2, tblPiNAnalysis[[#Headers],[CCCM]:[HLP]], 0)))</f>
        <v>7650961.5530535178</v>
      </c>
      <c r="F3">
        <f>SUM(INDEX(tblPiNAnalysis[[CCCM]:[HLP]], 0, MATCH(F2, tblPiNAnalysis[[#Headers],[CCCM]:[HLP]], 0)))</f>
        <v>6269692.2333403639</v>
      </c>
      <c r="G3">
        <f>SUM(INDEX(tblPiNAnalysis[[CCCM]:[HLP]], 0, MATCH(G2, tblPiNAnalysis[[#Headers],[CCCM]:[HLP]], 0)))</f>
        <v>4867750</v>
      </c>
      <c r="H3">
        <f>SUM(INDEX(tblPiNAnalysis[[CCCM]:[HLP]], 0, MATCH(H2, tblPiNAnalysis[[#Headers],[CCCM]:[HLP]], 0)))</f>
        <v>6669355.3914749231</v>
      </c>
      <c r="I3">
        <f>SUM(INDEX(tblPiNAnalysis[[CCCM]:[HLP]], 0, MATCH(I2, tblPiNAnalysis[[#Headers],[CCCM]:[HLP]], 0)))</f>
        <v>6806494.7796443868</v>
      </c>
      <c r="J3">
        <f>SUM(INDEX(tblPiNAnalysis[[CCCM]:[HLP]], 0, MATCH(J2, tblPiNAnalysis[[#Headers],[CCCM]:[HLP]], 0)))</f>
        <v>2723959</v>
      </c>
      <c r="K3">
        <f>IF(K2="", "", SUM(INDEX(tblPiNAnalysis[[CCCM]:[HLP]], 0, MATCH(K2, tblPiNAnalysis[[#Headers],[CCCM]:[HLP]], 0))))</f>
        <v>2503282</v>
      </c>
      <c r="L3">
        <f>IF(L2="", "", SUM(INDEX(tblPiNAnalysis[[CCCM]:[HLP]], 0, MATCH(L2, tblPiNAnalysis[[#Headers],[CCCM]:[HLP]], 0))))</f>
        <v>1931007</v>
      </c>
      <c r="M3">
        <f>IF(M2="", "", SUM(INDEX(tblPiNAnalysis[[CCCM]:[HLP]], 0, MATCH(M2, tblPiNAnalysis[[#Headers],[CCCM]:[HLP]], 0))))</f>
        <v>1204613</v>
      </c>
      <c r="V3" t="s">
        <v>20</v>
      </c>
      <c r="W3" t="str" cm="1">
        <f t="array" ref="W3:AH3">tblSeverityAnalysis[[#Headers],[CCCM]:[HLP]]</f>
        <v>CCCM</v>
      </c>
      <c r="X3" t="str">
        <v>Education</v>
      </c>
      <c r="Y3" t="str">
        <v>Nutrition</v>
      </c>
      <c r="Z3" t="str">
        <v>Food Security</v>
      </c>
      <c r="AA3" t="str">
        <v>Health</v>
      </c>
      <c r="AB3" t="str">
        <v>Overarching Protection</v>
      </c>
      <c r="AC3" t="str">
        <v>Shelter</v>
      </c>
      <c r="AD3" t="str">
        <v>WASH</v>
      </c>
      <c r="AE3" t="str">
        <v>Child Protection (CP)</v>
      </c>
      <c r="AF3" t="str">
        <v>Gender-based Violence (GBV)</v>
      </c>
      <c r="AG3" t="str">
        <v>Mine Action</v>
      </c>
      <c r="AH3" t="str">
        <v>HLP</v>
      </c>
    </row>
    <row r="4" spans="1:34" x14ac:dyDescent="0.55000000000000004">
      <c r="A4" t="s">
        <v>81</v>
      </c>
      <c r="B4" t="s">
        <v>7</v>
      </c>
      <c r="C4" t="str" cm="1">
        <f t="array" ref="C4:N5">_xlfn._xlws.FILTER(B2:N3, B3:N3&gt;0)</f>
        <v>CCCM</v>
      </c>
      <c r="D4" t="str">
        <v>Education</v>
      </c>
      <c r="E4" t="str">
        <v>Nutrition</v>
      </c>
      <c r="F4" t="str">
        <v>Food Security</v>
      </c>
      <c r="G4" t="str">
        <v>Health</v>
      </c>
      <c r="H4" t="str">
        <v>Overarching Protection</v>
      </c>
      <c r="I4" t="str">
        <v>Shelter</v>
      </c>
      <c r="J4" t="str">
        <v>WASH</v>
      </c>
      <c r="K4" t="str">
        <v>CP</v>
      </c>
      <c r="L4" t="str">
        <v>GBV</v>
      </c>
      <c r="M4" t="str">
        <v>Mine Action</v>
      </c>
      <c r="N4" t="str">
        <v>HLP</v>
      </c>
      <c r="U4">
        <v>1</v>
      </c>
      <c r="V4">
        <f>COUNTIF(tblSeverityAnalysis[Preliminary Intersectoral Severity based on overlap of sectoral deprivations],'Preliminary results graph'!$U4 )</f>
        <v>0</v>
      </c>
      <c r="W4" cm="1">
        <f t="array" ref="W4">SUM(IF(INDEX(tblSeverityAnalysis[[CCCM]:[HLP]], 0, MATCH(W$3, tblSeverityAnalysis[[#Headers],[CCCM]:[HLP]], 0 ))=$U4, 1, 0))</f>
        <v>0</v>
      </c>
      <c r="X4" cm="1">
        <f t="array" ref="X4">SUM(IF(INDEX(tblSeverityAnalysis[[CCCM]:[HLP]], 0, MATCH(X$3, tblSeverityAnalysis[[#Headers],[CCCM]:[HLP]], 0 ))=$U4, 1, 0))</f>
        <v>0</v>
      </c>
      <c r="Y4" cm="1">
        <f t="array" ref="Y4">SUM(IF(INDEX(tblSeverityAnalysis[[CCCM]:[HLP]], 0, MATCH(Y$3, tblSeverityAnalysis[[#Headers],[CCCM]:[HLP]], 0 ))=$U4, 1, 0))</f>
        <v>0</v>
      </c>
      <c r="Z4" cm="1">
        <f t="array" ref="Z4">SUM(IF(INDEX(tblSeverityAnalysis[[CCCM]:[HLP]], 0, MATCH(Z$3, tblSeverityAnalysis[[#Headers],[CCCM]:[HLP]], 0 ))=$U4, 1, 0))</f>
        <v>0</v>
      </c>
      <c r="AA4" cm="1">
        <f t="array" ref="AA4">SUM(IF(INDEX(tblSeverityAnalysis[[CCCM]:[HLP]], 0, MATCH(AA$3, tblSeverityAnalysis[[#Headers],[CCCM]:[HLP]], 0 ))=$U4, 1, 0))</f>
        <v>0</v>
      </c>
      <c r="AB4" cm="1">
        <f t="array" ref="AB4">SUM(IF(INDEX(tblSeverityAnalysis[[CCCM]:[HLP]], 0, MATCH(AB$3, tblSeverityAnalysis[[#Headers],[CCCM]:[HLP]], 0 ))=$U4, 1, 0))</f>
        <v>0</v>
      </c>
      <c r="AC4" cm="1">
        <f t="array" ref="AC4">SUM(IF(INDEX(tblSeverityAnalysis[[CCCM]:[HLP]], 0, MATCH(AC$3, tblSeverityAnalysis[[#Headers],[CCCM]:[HLP]], 0 ))=$U4, 1, 0))</f>
        <v>0</v>
      </c>
      <c r="AD4" cm="1">
        <f t="array" ref="AD4">SUM(IF(INDEX(tblSeverityAnalysis[[CCCM]:[HLP]], 0, MATCH(AD$3, tblSeverityAnalysis[[#Headers],[CCCM]:[HLP]], 0 ))=$U4, 1, 0))</f>
        <v>0</v>
      </c>
      <c r="AE4" cm="1">
        <f t="array" ref="AE4">SUM(IF(INDEX(tblSeverityAnalysis[[CCCM]:[HLP]], 0, MATCH(AE$3, tblSeverityAnalysis[[#Headers],[CCCM]:[HLP]], 0 ))=$U4, 1, 0))</f>
        <v>0</v>
      </c>
      <c r="AF4" cm="1">
        <f t="array" ref="AF4">IF(AF$3="", "", SUM(IF(INDEX(tblSeverityAnalysis[[CCCM]:[HLP]], 0, MATCH(AF$3, tblSeverityAnalysis[[#Headers],[CCCM]:[HLP]], 0 ))=$U4, 1, 0)))</f>
        <v>0</v>
      </c>
      <c r="AG4" cm="1">
        <f t="array" ref="AG4">IF(AG$3="", "", SUM(IF(INDEX(tblSeverityAnalysis[[CCCM]:[HLP]], 0, MATCH(AG$3, tblSeverityAnalysis[[#Headers],[CCCM]:[HLP]], 0 ))=$U4, 1, 0)))</f>
        <v>0</v>
      </c>
      <c r="AH4" cm="1">
        <f t="array" ref="AH4">IF(AH$3="", "", SUM(IF(INDEX(tblSeverityAnalysis[[CCCM]:[HLP]], 0, MATCH(AH$3, tblSeverityAnalysis[[#Headers],[CCCM]:[HLP]], 0 ))=$U4, 1, 0)))</f>
        <v>0</v>
      </c>
    </row>
    <row r="5" spans="1:34" x14ac:dyDescent="0.55000000000000004">
      <c r="A5" s="110">
        <f>SUM(tblPiNAnalysis[Affected population projection 2026])</f>
        <v>11973648.15761549</v>
      </c>
      <c r="B5" s="110">
        <f>SUM(tblPiNAnalysis[Preliminary PiN])</f>
        <v>9266561.0112328324</v>
      </c>
      <c r="C5" s="110">
        <v>1359005.6654804838</v>
      </c>
      <c r="D5" s="110">
        <v>2435900.2640912938</v>
      </c>
      <c r="E5" s="110">
        <v>5250932.6034867046</v>
      </c>
      <c r="F5" s="110">
        <v>7650961.5530535178</v>
      </c>
      <c r="G5" s="110">
        <v>6269692.2333403639</v>
      </c>
      <c r="H5" s="110">
        <v>4867750</v>
      </c>
      <c r="I5" s="110">
        <v>6669355.3914749231</v>
      </c>
      <c r="J5" s="110">
        <v>6806494.7796443868</v>
      </c>
      <c r="K5" s="110">
        <v>2723959</v>
      </c>
      <c r="L5" s="110">
        <v>2503282</v>
      </c>
      <c r="M5" s="110">
        <v>1931007</v>
      </c>
      <c r="N5" s="110">
        <v>1204613</v>
      </c>
      <c r="U5">
        <v>2</v>
      </c>
      <c r="V5">
        <f>COUNTIF(tblSeverityAnalysis[Preliminary Intersectoral Severity based on overlap of sectoral deprivations],'Preliminary results graph'!$U5 )</f>
        <v>0</v>
      </c>
      <c r="W5" cm="1">
        <f t="array" ref="W5">SUM(IF(INDEX(tblSeverityAnalysis[[CCCM]:[HLP]], 0, MATCH(W$3, tblSeverityAnalysis[[#Headers],[CCCM]:[HLP]], 0 ))=$U5, 1, 0))</f>
        <v>41</v>
      </c>
      <c r="X5" cm="1">
        <f t="array" ref="X5">SUM(IF(INDEX(tblSeverityAnalysis[[CCCM]:[HLP]], 0, MATCH(X$3, tblSeverityAnalysis[[#Headers],[CCCM]:[HLP]], 0 ))=$U5, 1, 0))</f>
        <v>2</v>
      </c>
      <c r="Y5" cm="1">
        <f t="array" ref="Y5">SUM(IF(INDEX(tblSeverityAnalysis[[CCCM]:[HLP]], 0, MATCH(Y$3, tblSeverityAnalysis[[#Headers],[CCCM]:[HLP]], 0 ))=$U5, 1, 0))</f>
        <v>11</v>
      </c>
      <c r="Z5" cm="1">
        <f t="array" ref="Z5">SUM(IF(INDEX(tblSeverityAnalysis[[CCCM]:[HLP]], 0, MATCH(Z$3, tblSeverityAnalysis[[#Headers],[CCCM]:[HLP]], 0 ))=$U5, 1, 0))</f>
        <v>2</v>
      </c>
      <c r="AA5" cm="1">
        <f t="array" ref="AA5">SUM(IF(INDEX(tblSeverityAnalysis[[CCCM]:[HLP]], 0, MATCH(AA$3, tblSeverityAnalysis[[#Headers],[CCCM]:[HLP]], 0 ))=$U5, 1, 0))</f>
        <v>0</v>
      </c>
      <c r="AB5" cm="1">
        <f t="array" ref="AB5">SUM(IF(INDEX(tblSeverityAnalysis[[CCCM]:[HLP]], 0, MATCH(AB$3, tblSeverityAnalysis[[#Headers],[CCCM]:[HLP]], 0 ))=$U5, 1, 0))</f>
        <v>1</v>
      </c>
      <c r="AC5" cm="1">
        <f t="array" ref="AC5">SUM(IF(INDEX(tblSeverityAnalysis[[CCCM]:[HLP]], 0, MATCH(AC$3, tblSeverityAnalysis[[#Headers],[CCCM]:[HLP]], 0 ))=$U5, 1, 0))</f>
        <v>25</v>
      </c>
      <c r="AD5" cm="1">
        <f t="array" ref="AD5">SUM(IF(INDEX(tblSeverityAnalysis[[CCCM]:[HLP]], 0, MATCH(AD$3, tblSeverityAnalysis[[#Headers],[CCCM]:[HLP]], 0 ))=$U5, 1, 0))</f>
        <v>3</v>
      </c>
      <c r="AE5" cm="1">
        <f t="array" ref="AE5">SUM(IF(INDEX(tblSeverityAnalysis[[CCCM]:[HLP]], 0, MATCH(AE$3, tblSeverityAnalysis[[#Headers],[CCCM]:[HLP]], 0 ))=$U5, 1, 0))</f>
        <v>0</v>
      </c>
      <c r="AF5" cm="1">
        <f t="array" ref="AF5">IF(AF$3="", "", SUM(IF(INDEX(tblSeverityAnalysis[[CCCM]:[HLP]], 0, MATCH(AF$3, tblSeverityAnalysis[[#Headers],[CCCM]:[HLP]], 0 ))=$U5, 1, 0)))</f>
        <v>0</v>
      </c>
      <c r="AG5" cm="1">
        <f t="array" ref="AG5">IF(AG$3="", "", SUM(IF(INDEX(tblSeverityAnalysis[[CCCM]:[HLP]], 0, MATCH(AG$3, tblSeverityAnalysis[[#Headers],[CCCM]:[HLP]], 0 ))=$U5, 1, 0)))</f>
        <v>0</v>
      </c>
      <c r="AH5" cm="1">
        <f t="array" ref="AH5">IF(AH$3="", "", SUM(IF(INDEX(tblSeverityAnalysis[[CCCM]:[HLP]], 0, MATCH(AH$3, tblSeverityAnalysis[[#Headers],[CCCM]:[HLP]], 0 ))=$U5, 1, 0)))</f>
        <v>0</v>
      </c>
    </row>
    <row r="6" spans="1:34" x14ac:dyDescent="0.55000000000000004">
      <c r="U6">
        <v>3</v>
      </c>
      <c r="V6">
        <f>COUNTIF(tblSeverityAnalysis[Preliminary Intersectoral Severity based on overlap of sectoral deprivations],'Preliminary results graph'!$U6 )</f>
        <v>50</v>
      </c>
      <c r="W6" cm="1">
        <f t="array" ref="W6">SUM(IF(INDEX(tblSeverityAnalysis[[CCCM]:[HLP]], 0, MATCH(W$3, tblSeverityAnalysis[[#Headers],[CCCM]:[HLP]], 0 ))=$U6, 1, 0))</f>
        <v>25</v>
      </c>
      <c r="X6" cm="1">
        <f t="array" ref="X6">SUM(IF(INDEX(tblSeverityAnalysis[[CCCM]:[HLP]], 0, MATCH(X$3, tblSeverityAnalysis[[#Headers],[CCCM]:[HLP]], 0 ))=$U6, 1, 0))</f>
        <v>46</v>
      </c>
      <c r="Y6" cm="1">
        <f t="array" ref="Y6">SUM(IF(INDEX(tblSeverityAnalysis[[CCCM]:[HLP]], 0, MATCH(Y$3, tblSeverityAnalysis[[#Headers],[CCCM]:[HLP]], 0 ))=$U6, 1, 0))</f>
        <v>22</v>
      </c>
      <c r="Z6" cm="1">
        <f t="array" ref="Z6">SUM(IF(INDEX(tblSeverityAnalysis[[CCCM]:[HLP]], 0, MATCH(Z$3, tblSeverityAnalysis[[#Headers],[CCCM]:[HLP]], 0 ))=$U6, 1, 0))</f>
        <v>42</v>
      </c>
      <c r="AA6" cm="1">
        <f t="array" ref="AA6">SUM(IF(INDEX(tblSeverityAnalysis[[CCCM]:[HLP]], 0, MATCH(AA$3, tblSeverityAnalysis[[#Headers],[CCCM]:[HLP]], 0 ))=$U6, 1, 0))</f>
        <v>17</v>
      </c>
      <c r="AB6" cm="1">
        <f t="array" ref="AB6">SUM(IF(INDEX(tblSeverityAnalysis[[CCCM]:[HLP]], 0, MATCH(AB$3, tblSeverityAnalysis[[#Headers],[CCCM]:[HLP]], 0 ))=$U6, 1, 0))</f>
        <v>43</v>
      </c>
      <c r="AC6" cm="1">
        <f t="array" ref="AC6">SUM(IF(INDEX(tblSeverityAnalysis[[CCCM]:[HLP]], 0, MATCH(AC$3, tblSeverityAnalysis[[#Headers],[CCCM]:[HLP]], 0 ))=$U6, 1, 0))</f>
        <v>36</v>
      </c>
      <c r="AD6" cm="1">
        <f t="array" ref="AD6">SUM(IF(INDEX(tblSeverityAnalysis[[CCCM]:[HLP]], 0, MATCH(AD$3, tblSeverityAnalysis[[#Headers],[CCCM]:[HLP]], 0 ))=$U6, 1, 0))</f>
        <v>42</v>
      </c>
      <c r="AE6" cm="1">
        <f t="array" ref="AE6">SUM(IF(INDEX(tblSeverityAnalysis[[CCCM]:[HLP]], 0, MATCH(AE$3, tblSeverityAnalysis[[#Headers],[CCCM]:[HLP]], 0 ))=$U6, 1, 0))</f>
        <v>0</v>
      </c>
      <c r="AF6" cm="1">
        <f t="array" ref="AF6">IF(AF$3="", "", SUM(IF(INDEX(tblSeverityAnalysis[[CCCM]:[HLP]], 0, MATCH(AF$3, tblSeverityAnalysis[[#Headers],[CCCM]:[HLP]], 0 ))=$U6, 1, 0)))</f>
        <v>0</v>
      </c>
      <c r="AG6" cm="1">
        <f t="array" ref="AG6">IF(AG$3="", "", SUM(IF(INDEX(tblSeverityAnalysis[[CCCM]:[HLP]], 0, MATCH(AG$3, tblSeverityAnalysis[[#Headers],[CCCM]:[HLP]], 0 ))=$U6, 1, 0)))</f>
        <v>0</v>
      </c>
      <c r="AH6" cm="1">
        <f t="array" ref="AH6">IF(AH$3="", "", SUM(IF(INDEX(tblSeverityAnalysis[[CCCM]:[HLP]], 0, MATCH(AH$3, tblSeverityAnalysis[[#Headers],[CCCM]:[HLP]], 0 ))=$U6, 1, 0)))</f>
        <v>0</v>
      </c>
    </row>
    <row r="7" spans="1:34" x14ac:dyDescent="0.55000000000000004">
      <c r="A7" t="str">
        <f>"Total Sectoral and Overall PiN, from a total population of "&amp;TEXT('Preliminary results graph'!$A$5,"0,000")</f>
        <v>Total Sectoral and Overall PiN, from a total population of 11,973,648</v>
      </c>
      <c r="U7">
        <v>4</v>
      </c>
      <c r="V7">
        <f>COUNTIF(tblSeverityAnalysis[Preliminary Intersectoral Severity based on overlap of sectoral deprivations],'Preliminary results graph'!$U7 )</f>
        <v>24</v>
      </c>
      <c r="W7" cm="1">
        <f t="array" ref="W7">SUM(IF(INDEX(tblSeverityAnalysis[[CCCM]:[HLP]], 0, MATCH(W$3, tblSeverityAnalysis[[#Headers],[CCCM]:[HLP]], 0 ))=$U7, 1, 0))</f>
        <v>12</v>
      </c>
      <c r="X7" cm="1">
        <f t="array" ref="X7">SUM(IF(INDEX(tblSeverityAnalysis[[CCCM]:[HLP]], 0, MATCH(X$3, tblSeverityAnalysis[[#Headers],[CCCM]:[HLP]], 0 ))=$U7, 1, 0))</f>
        <v>25</v>
      </c>
      <c r="Y7" cm="1">
        <f t="array" ref="Y7">SUM(IF(INDEX(tblSeverityAnalysis[[CCCM]:[HLP]], 0, MATCH(Y$3, tblSeverityAnalysis[[#Headers],[CCCM]:[HLP]], 0 ))=$U7, 1, 0))</f>
        <v>41</v>
      </c>
      <c r="Z7" cm="1">
        <f t="array" ref="Z7">SUM(IF(INDEX(tblSeverityAnalysis[[CCCM]:[HLP]], 0, MATCH(Z$3, tblSeverityAnalysis[[#Headers],[CCCM]:[HLP]], 0 ))=$U7, 1, 0))</f>
        <v>35</v>
      </c>
      <c r="AA7" cm="1">
        <f t="array" ref="AA7">SUM(IF(INDEX(tblSeverityAnalysis[[CCCM]:[HLP]], 0, MATCH(AA$3, tblSeverityAnalysis[[#Headers],[CCCM]:[HLP]], 0 ))=$U7, 1, 0))</f>
        <v>11</v>
      </c>
      <c r="AB7" cm="1">
        <f t="array" ref="AB7">SUM(IF(INDEX(tblSeverityAnalysis[[CCCM]:[HLP]], 0, MATCH(AB$3, tblSeverityAnalysis[[#Headers],[CCCM]:[HLP]], 0 ))=$U7, 1, 0))</f>
        <v>35</v>
      </c>
      <c r="AC7" cm="1">
        <f t="array" ref="AC7">SUM(IF(INDEX(tblSeverityAnalysis[[CCCM]:[HLP]], 0, MATCH(AC$3, tblSeverityAnalysis[[#Headers],[CCCM]:[HLP]], 0 ))=$U7, 1, 0))</f>
        <v>14</v>
      </c>
      <c r="AD7" cm="1">
        <f t="array" ref="AD7">SUM(IF(INDEX(tblSeverityAnalysis[[CCCM]:[HLP]], 0, MATCH(AD$3, tblSeverityAnalysis[[#Headers],[CCCM]:[HLP]], 0 ))=$U7, 1, 0))</f>
        <v>23</v>
      </c>
      <c r="AE7" cm="1">
        <f t="array" ref="AE7">SUM(IF(INDEX(tblSeverityAnalysis[[CCCM]:[HLP]], 0, MATCH(AE$3, tblSeverityAnalysis[[#Headers],[CCCM]:[HLP]], 0 ))=$U7, 1, 0))</f>
        <v>0</v>
      </c>
      <c r="AF7" cm="1">
        <f t="array" ref="AF7">IF(AF$3="", "", SUM(IF(INDEX(tblSeverityAnalysis[[CCCM]:[HLP]], 0, MATCH(AF$3, tblSeverityAnalysis[[#Headers],[CCCM]:[HLP]], 0 ))=$U7, 1, 0)))</f>
        <v>0</v>
      </c>
      <c r="AG7" cm="1">
        <f t="array" ref="AG7">IF(AG$3="", "", SUM(IF(INDEX(tblSeverityAnalysis[[CCCM]:[HLP]], 0, MATCH(AG$3, tblSeverityAnalysis[[#Headers],[CCCM]:[HLP]], 0 ))=$U7, 1, 0)))</f>
        <v>0</v>
      </c>
      <c r="AH7" cm="1">
        <f t="array" ref="AH7">IF(AH$3="", "", SUM(IF(INDEX(tblSeverityAnalysis[[CCCM]:[HLP]], 0, MATCH(AH$3, tblSeverityAnalysis[[#Headers],[CCCM]:[HLP]], 0 ))=$U7, 1, 0)))</f>
        <v>0</v>
      </c>
    </row>
    <row r="8" spans="1:34" x14ac:dyDescent="0.55000000000000004">
      <c r="U8">
        <v>5</v>
      </c>
      <c r="V8">
        <f>COUNTIF(tblSeverityAnalysis[Preliminary Intersectoral Severity based on overlap of sectoral deprivations],'Preliminary results graph'!$U8 )</f>
        <v>5</v>
      </c>
      <c r="W8" cm="1">
        <f t="array" ref="W8">SUM(IF(INDEX(tblSeverityAnalysis[[CCCM]:[HLP]], 0, MATCH(W$3, tblSeverityAnalysis[[#Headers],[CCCM]:[HLP]], 0 ))=$U8, 1, 0))</f>
        <v>1</v>
      </c>
      <c r="X8" cm="1">
        <f t="array" ref="X8">SUM(IF(INDEX(tblSeverityAnalysis[[CCCM]:[HLP]], 0, MATCH(X$3, tblSeverityAnalysis[[#Headers],[CCCM]:[HLP]], 0 ))=$U8, 1, 0))</f>
        <v>6</v>
      </c>
      <c r="Y8" cm="1">
        <f t="array" ref="Y8">SUM(IF(INDEX(tblSeverityAnalysis[[CCCM]:[HLP]], 0, MATCH(Y$3, tblSeverityAnalysis[[#Headers],[CCCM]:[HLP]], 0 ))=$U8, 1, 0))</f>
        <v>5</v>
      </c>
      <c r="Z8" cm="1">
        <f t="array" ref="Z8">SUM(IF(INDEX(tblSeverityAnalysis[[CCCM]:[HLP]], 0, MATCH(Z$3, tblSeverityAnalysis[[#Headers],[CCCM]:[HLP]], 0 ))=$U8, 1, 0))</f>
        <v>0</v>
      </c>
      <c r="AA8" cm="1">
        <f t="array" ref="AA8">SUM(IF(INDEX(tblSeverityAnalysis[[CCCM]:[HLP]], 0, MATCH(AA$3, tblSeverityAnalysis[[#Headers],[CCCM]:[HLP]], 0 ))=$U8, 1, 0))</f>
        <v>0</v>
      </c>
      <c r="AB8" cm="1">
        <f t="array" ref="AB8">SUM(IF(INDEX(tblSeverityAnalysis[[CCCM]:[HLP]], 0, MATCH(AB$3, tblSeverityAnalysis[[#Headers],[CCCM]:[HLP]], 0 ))=$U8, 1, 0))</f>
        <v>0</v>
      </c>
      <c r="AC8" cm="1">
        <f t="array" ref="AC8">SUM(IF(INDEX(tblSeverityAnalysis[[CCCM]:[HLP]], 0, MATCH(AC$3, tblSeverityAnalysis[[#Headers],[CCCM]:[HLP]], 0 ))=$U8, 1, 0))</f>
        <v>4</v>
      </c>
      <c r="AD8" cm="1">
        <f t="array" ref="AD8">SUM(IF(INDEX(tblSeverityAnalysis[[CCCM]:[HLP]], 0, MATCH(AD$3, tblSeverityAnalysis[[#Headers],[CCCM]:[HLP]], 0 ))=$U8, 1, 0))</f>
        <v>11</v>
      </c>
      <c r="AE8" cm="1">
        <f t="array" ref="AE8">SUM(IF(INDEX(tblSeverityAnalysis[[CCCM]:[HLP]], 0, MATCH(AE$3, tblSeverityAnalysis[[#Headers],[CCCM]:[HLP]], 0 ))=$U8, 1, 0))</f>
        <v>0</v>
      </c>
      <c r="AF8" cm="1">
        <f t="array" ref="AF8">IF(AF$3="", "", SUM(IF(INDEX(tblSeverityAnalysis[[CCCM]:[HLP]], 0, MATCH(AF$3, tblSeverityAnalysis[[#Headers],[CCCM]:[HLP]], 0 ))=$U8, 1, 0)))</f>
        <v>0</v>
      </c>
      <c r="AG8" cm="1">
        <f t="array" ref="AG8">IF(AG$3="", "", SUM(IF(INDEX(tblSeverityAnalysis[[CCCM]:[HLP]], 0, MATCH(AG$3, tblSeverityAnalysis[[#Headers],[CCCM]:[HLP]], 0 ))=$U8, 1, 0)))</f>
        <v>0</v>
      </c>
      <c r="AH8" cm="1">
        <f t="array" ref="AH8">IF(AH$3="", "", SUM(IF(INDEX(tblSeverityAnalysis[[CCCM]:[HLP]], 0, MATCH(AH$3, tblSeverityAnalysis[[#Headers],[CCCM]:[HLP]], 0 ))=$U8, 1, 0)))</f>
        <v>0</v>
      </c>
    </row>
    <row r="9" spans="1:34" x14ac:dyDescent="0.55000000000000004">
      <c r="V9">
        <f t="shared" ref="V9:AH9" si="0">SUM(V4:V8)</f>
        <v>79</v>
      </c>
      <c r="W9">
        <f t="shared" si="0"/>
        <v>79</v>
      </c>
      <c r="X9">
        <f t="shared" si="0"/>
        <v>79</v>
      </c>
      <c r="Y9">
        <f t="shared" si="0"/>
        <v>79</v>
      </c>
      <c r="Z9">
        <f t="shared" si="0"/>
        <v>79</v>
      </c>
      <c r="AA9">
        <f t="shared" si="0"/>
        <v>28</v>
      </c>
      <c r="AB9">
        <f t="shared" si="0"/>
        <v>79</v>
      </c>
      <c r="AC9">
        <f t="shared" si="0"/>
        <v>79</v>
      </c>
      <c r="AD9">
        <f t="shared" si="0"/>
        <v>79</v>
      </c>
      <c r="AE9">
        <f t="shared" si="0"/>
        <v>0</v>
      </c>
      <c r="AF9">
        <f t="shared" si="0"/>
        <v>0</v>
      </c>
      <c r="AG9">
        <f t="shared" si="0"/>
        <v>0</v>
      </c>
      <c r="AH9">
        <f t="shared" si="0"/>
        <v>0</v>
      </c>
    </row>
    <row r="10" spans="1:34" x14ac:dyDescent="0.55000000000000004">
      <c r="V10" t="str" cm="1">
        <f t="array" ref="V10:AD16">_xlfn._xlws.FILTER(V3:AI9,V9:AI9&gt;0)</f>
        <v>Intersectoral Severity</v>
      </c>
      <c r="W10" t="str">
        <v>CCCM</v>
      </c>
      <c r="X10" t="str">
        <v>Education</v>
      </c>
      <c r="Y10" t="str">
        <v>Nutrition</v>
      </c>
      <c r="Z10" t="str">
        <v>Food Security</v>
      </c>
      <c r="AA10" t="str">
        <v>Health</v>
      </c>
      <c r="AB10" t="str">
        <v>Overarching Protection</v>
      </c>
      <c r="AC10" t="str">
        <v>Shelter</v>
      </c>
      <c r="AD10" t="str">
        <v>WASH</v>
      </c>
    </row>
    <row r="11" spans="1:34" x14ac:dyDescent="0.55000000000000004">
      <c r="U11">
        <v>1</v>
      </c>
      <c r="V11">
        <v>0</v>
      </c>
      <c r="W11">
        <v>0</v>
      </c>
      <c r="X11">
        <v>0</v>
      </c>
      <c r="Y11">
        <v>0</v>
      </c>
      <c r="Z11">
        <v>0</v>
      </c>
      <c r="AA11">
        <v>0</v>
      </c>
      <c r="AB11">
        <v>0</v>
      </c>
      <c r="AC11">
        <v>0</v>
      </c>
      <c r="AD11">
        <v>0</v>
      </c>
    </row>
    <row r="12" spans="1:34" x14ac:dyDescent="0.55000000000000004">
      <c r="U12">
        <v>2</v>
      </c>
      <c r="V12">
        <v>0</v>
      </c>
      <c r="W12">
        <v>41</v>
      </c>
      <c r="X12">
        <v>2</v>
      </c>
      <c r="Y12">
        <v>11</v>
      </c>
      <c r="Z12">
        <v>2</v>
      </c>
      <c r="AA12">
        <v>0</v>
      </c>
      <c r="AB12">
        <v>1</v>
      </c>
      <c r="AC12">
        <v>25</v>
      </c>
      <c r="AD12">
        <v>3</v>
      </c>
    </row>
    <row r="13" spans="1:34" x14ac:dyDescent="0.55000000000000004">
      <c r="U13">
        <v>3</v>
      </c>
      <c r="V13">
        <v>50</v>
      </c>
      <c r="W13">
        <v>25</v>
      </c>
      <c r="X13">
        <v>46</v>
      </c>
      <c r="Y13">
        <v>22</v>
      </c>
      <c r="Z13">
        <v>42</v>
      </c>
      <c r="AA13">
        <v>17</v>
      </c>
      <c r="AB13">
        <v>43</v>
      </c>
      <c r="AC13">
        <v>36</v>
      </c>
      <c r="AD13">
        <v>42</v>
      </c>
    </row>
    <row r="14" spans="1:34" x14ac:dyDescent="0.55000000000000004">
      <c r="U14">
        <v>4</v>
      </c>
      <c r="V14">
        <v>24</v>
      </c>
      <c r="W14">
        <v>12</v>
      </c>
      <c r="X14">
        <v>25</v>
      </c>
      <c r="Y14">
        <v>41</v>
      </c>
      <c r="Z14">
        <v>35</v>
      </c>
      <c r="AA14">
        <v>11</v>
      </c>
      <c r="AB14">
        <v>35</v>
      </c>
      <c r="AC14">
        <v>14</v>
      </c>
      <c r="AD14">
        <v>23</v>
      </c>
    </row>
    <row r="15" spans="1:34" x14ac:dyDescent="0.55000000000000004">
      <c r="U15">
        <v>5</v>
      </c>
      <c r="V15">
        <v>5</v>
      </c>
      <c r="W15">
        <v>1</v>
      </c>
      <c r="X15">
        <v>6</v>
      </c>
      <c r="Y15">
        <v>5</v>
      </c>
      <c r="Z15">
        <v>0</v>
      </c>
      <c r="AA15">
        <v>0</v>
      </c>
      <c r="AB15">
        <v>0</v>
      </c>
      <c r="AC15">
        <v>4</v>
      </c>
      <c r="AD15">
        <v>11</v>
      </c>
    </row>
    <row r="16" spans="1:34" x14ac:dyDescent="0.55000000000000004">
      <c r="V16">
        <v>79</v>
      </c>
      <c r="W16">
        <v>79</v>
      </c>
      <c r="X16">
        <v>79</v>
      </c>
      <c r="Y16">
        <v>79</v>
      </c>
      <c r="Z16">
        <v>79</v>
      </c>
      <c r="AA16">
        <v>28</v>
      </c>
      <c r="AB16">
        <v>79</v>
      </c>
      <c r="AC16">
        <v>79</v>
      </c>
      <c r="AD16">
        <v>79</v>
      </c>
    </row>
    <row r="26" spans="3:29" x14ac:dyDescent="0.55000000000000004">
      <c r="C26" t="str" cm="1">
        <f t="array" ref="C26:J26">tblPiNAnalysis[[#Headers],[CCCM]:[WASH]]</f>
        <v>CCCM</v>
      </c>
      <c r="D26" t="str">
        <v>Education</v>
      </c>
      <c r="E26" t="str">
        <v>Nutrition</v>
      </c>
      <c r="F26" t="str">
        <v>Food Security</v>
      </c>
      <c r="G26" t="str">
        <v>Health</v>
      </c>
      <c r="H26" t="str">
        <v>Overarching Protection</v>
      </c>
      <c r="I26" t="str">
        <v>Shelter</v>
      </c>
      <c r="J26" t="str">
        <v>WASH</v>
      </c>
      <c r="U26" t="str" cm="1">
        <f t="array" ref="U26:AB26">tblSeverityAnalysis[[#Headers],[CCCM]:[WASH]]</f>
        <v>CCCM</v>
      </c>
      <c r="V26" t="str">
        <v>Education</v>
      </c>
      <c r="W26" t="str">
        <v>Nutrition</v>
      </c>
      <c r="X26" t="str">
        <v>Food Security</v>
      </c>
      <c r="Y26" t="str">
        <v>Health</v>
      </c>
      <c r="Z26" t="str">
        <v>Overarching Protection</v>
      </c>
      <c r="AA26" t="str">
        <v>Shelter</v>
      </c>
      <c r="AB26" t="str">
        <v>WASH</v>
      </c>
    </row>
    <row r="27" spans="3:29" x14ac:dyDescent="0.55000000000000004">
      <c r="C27">
        <f>IF(C26="", "", COUNTIF(tblPiNAnalysis[Highest sector(s)], _xlfn.CONCAT("*", C26, "*")))</f>
        <v>9</v>
      </c>
      <c r="D27">
        <f>IF(D26="", "", COUNTIF(tblPiNAnalysis[Highest sector(s)], _xlfn.CONCAT("*", D26, "*")))</f>
        <v>3</v>
      </c>
      <c r="E27">
        <f>IF(E26="", "", COUNTIF(tblPiNAnalysis[Highest sector(s)], _xlfn.CONCAT("*", E26, "*")))</f>
        <v>6</v>
      </c>
      <c r="F27">
        <f>IF(F26="", "", COUNTIF(tblPiNAnalysis[Highest sector(s)], _xlfn.CONCAT("*", F26, "*")))</f>
        <v>49</v>
      </c>
      <c r="G27">
        <f>IF(G26="", "", COUNTIF(tblPiNAnalysis[Highest sector(s)], _xlfn.CONCAT("*", G26, "*")))</f>
        <v>16</v>
      </c>
      <c r="H27">
        <f>IF(H26="", "", COUNTIF(tblPiNAnalysis[Highest sector(s)], _xlfn.CONCAT("*", H26, "*")))</f>
        <v>25</v>
      </c>
      <c r="I27">
        <f>IF(I26="", "", COUNTIF(tblPiNAnalysis[Highest sector(s)], _xlfn.CONCAT("*", I26, "*")))</f>
        <v>84</v>
      </c>
      <c r="J27">
        <f>IF(J26="", "", COUNTIF(tblPiNAnalysis[Highest sector(s)], _xlfn.CONCAT("*", J26, "*")))</f>
        <v>66</v>
      </c>
      <c r="K27" t="str">
        <f>IF(K26="", "", COUNTIF(tblPiNAnalysis[Highest sector(s)], _xlfn.CONCAT("*", K26, "*")))</f>
        <v/>
      </c>
      <c r="L27" t="str">
        <f>IF(L26="", "", COUNTIF(tblPiNAnalysis[Highest sector(s)], _xlfn.CONCAT("*", L26, "*")))</f>
        <v/>
      </c>
      <c r="U27">
        <f>IF(U26="", "", COUNTIF(tblSeverityAnalysis[Sectors with Highest Severity], _xlfn.CONCAT("*", U26, "*")))</f>
        <v>9</v>
      </c>
      <c r="V27">
        <f>IF(V26="", "", COUNTIF(tblSeverityAnalysis[Sectors with Highest Severity], _xlfn.CONCAT("*", V26, "*")))</f>
        <v>28</v>
      </c>
      <c r="W27">
        <f>IF(W26="", "", COUNTIF(tblSeverityAnalysis[Sectors with Highest Severity], _xlfn.CONCAT("*", W26, "*")))</f>
        <v>37</v>
      </c>
      <c r="X27">
        <f>IF(X26="", "", COUNTIF(tblSeverityAnalysis[Sectors with Highest Severity], _xlfn.CONCAT("*", X26, "*")))</f>
        <v>24</v>
      </c>
      <c r="Y27">
        <f>IF(Y26="", "", COUNTIF(tblSeverityAnalysis[Sectors with Highest Severity], _xlfn.CONCAT("*", Y26, "*")))</f>
        <v>13</v>
      </c>
      <c r="Z27">
        <f>IF(Z26="", "", COUNTIF(tblSeverityAnalysis[Sectors with Highest Severity], _xlfn.CONCAT("*", Z26, "*")))</f>
        <v>26</v>
      </c>
      <c r="AA27">
        <f>IF(AA26="", "", COUNTIF(tblSeverityAnalysis[Sectors with Highest Severity], _xlfn.CONCAT("*", AA26, "*")))</f>
        <v>15</v>
      </c>
      <c r="AB27">
        <f>IF(AB26="", "", COUNTIF(tblSeverityAnalysis[Sectors with Highest Severity], _xlfn.CONCAT("*", AB26, "*")))</f>
        <v>37</v>
      </c>
      <c r="AC27" t="str">
        <f>IF(AC26="", "", COUNTIF(tblSeverityAnalysis[Sectors with Highest Severity], _xlfn.CONCAT("*", AC26, "*")))</f>
        <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C94CF-1B02-4D58-BB71-575A5A72DD63}">
  <sheetPr codeName="Sheet10">
    <tabColor rgb="FF00B050"/>
  </sheetPr>
  <dimension ref="A1:Y15"/>
  <sheetViews>
    <sheetView showGridLines="0" zoomScale="80" zoomScaleNormal="80" workbookViewId="0">
      <selection activeCell="AO11" sqref="AO11"/>
    </sheetView>
  </sheetViews>
  <sheetFormatPr defaultRowHeight="14.4" x14ac:dyDescent="0.55000000000000004"/>
  <cols>
    <col min="1" max="1" width="17.41796875" style="185" customWidth="1"/>
    <col min="2" max="8" width="12.83984375" style="2" customWidth="1"/>
    <col min="9" max="12" width="12.83984375" customWidth="1"/>
    <col min="14" max="14" width="15" customWidth="1"/>
    <col min="15" max="25" width="12.83984375" customWidth="1"/>
  </cols>
  <sheetData>
    <row r="1" spans="1:25" ht="52.5" customHeight="1" x14ac:dyDescent="0.55000000000000004">
      <c r="C1" s="836" t="s">
        <v>215</v>
      </c>
      <c r="D1" s="836"/>
      <c r="E1" s="836"/>
      <c r="F1" s="836"/>
      <c r="G1" s="836"/>
      <c r="M1" s="187"/>
      <c r="N1" s="185"/>
      <c r="O1" s="2"/>
      <c r="P1" s="836" t="s">
        <v>216</v>
      </c>
      <c r="Q1" s="836"/>
      <c r="R1" s="836"/>
      <c r="S1" s="836"/>
      <c r="T1" s="836"/>
      <c r="U1" s="2"/>
    </row>
    <row r="2" spans="1:25" ht="52.5" customHeight="1" x14ac:dyDescent="0.55000000000000004">
      <c r="C2" s="836"/>
      <c r="D2" s="836"/>
      <c r="E2" s="836"/>
      <c r="F2" s="836"/>
      <c r="G2" s="836"/>
      <c r="M2" s="187"/>
      <c r="N2" s="185"/>
      <c r="O2" s="2"/>
      <c r="P2" s="836"/>
      <c r="Q2" s="836"/>
      <c r="R2" s="836"/>
      <c r="S2" s="836"/>
      <c r="T2" s="836"/>
      <c r="U2" s="2"/>
    </row>
    <row r="3" spans="1:25" ht="50.25" customHeight="1" x14ac:dyDescent="0.55000000000000004">
      <c r="A3" s="182"/>
      <c r="B3" s="186" t="str" cm="1">
        <f t="array" ref="B3:I3">_xlfn.UNIQUE(tblPiNAnalysis[[#Headers],[CCCM]:[WASH]])</f>
        <v>CCCM</v>
      </c>
      <c r="C3" s="186" t="str">
        <v>Education</v>
      </c>
      <c r="D3" s="186" t="str">
        <v>Nutrition</v>
      </c>
      <c r="E3" s="186" t="str">
        <v>Food Security</v>
      </c>
      <c r="F3" s="186" t="str">
        <v>Health</v>
      </c>
      <c r="G3" s="186" t="str">
        <v>Overarching Protection</v>
      </c>
      <c r="H3" s="186" t="str">
        <v>Shelter</v>
      </c>
      <c r="I3" s="186" t="str">
        <v>WASH</v>
      </c>
      <c r="J3" s="186"/>
      <c r="K3" s="186"/>
      <c r="M3" s="187"/>
      <c r="N3" s="182"/>
      <c r="O3" s="186" t="str" cm="1">
        <f t="array" ref="O3:V3">_xlfn.UNIQUE(tblSeverityAnalysis[[#Headers],[CCCM]:[WASH]])</f>
        <v>CCCM</v>
      </c>
      <c r="P3" s="186" t="str">
        <v>Education</v>
      </c>
      <c r="Q3" s="186" t="str">
        <v>Nutrition</v>
      </c>
      <c r="R3" s="186" t="str">
        <v>Food Security</v>
      </c>
      <c r="S3" s="186" t="str">
        <v>Health</v>
      </c>
      <c r="T3" s="186" t="str">
        <v>Overarching Protection</v>
      </c>
      <c r="U3" s="186" t="str">
        <v>Shelter</v>
      </c>
      <c r="V3" s="186" t="str">
        <v>WASH</v>
      </c>
      <c r="W3" s="186"/>
      <c r="X3" s="186"/>
    </row>
    <row r="4" spans="1:25" ht="37.5" customHeight="1" x14ac:dyDescent="0.55000000000000004">
      <c r="A4" s="186" t="str" cm="1">
        <f t="array" ref="A4:A11">TRANSPOSE(tblPiNAnalysis[[#Headers],[CCCM]:[WASH]])</f>
        <v>CCCM</v>
      </c>
      <c r="B4" s="183" t="str">
        <f>IF(OR($A4=B$3,B$3="",$A4=""),"",CORREL(INDEX(tblPiNAnalysis[[CCCM]:[WASH]],0,MATCH(B$3,tblPiNAnalysis[[#Headers],[CCCM]:[WASH]],0)),INDEX(tblPiNAnalysis[[CCCM]:[WASH]],0,MATCH($A4,tblPiNAnalysis[[#Headers],[CCCM]:[WASH]],0))))</f>
        <v/>
      </c>
      <c r="C4" s="183"/>
      <c r="D4" s="183"/>
      <c r="E4" s="183"/>
      <c r="F4" s="183"/>
      <c r="G4" s="183"/>
      <c r="H4" s="183"/>
      <c r="I4" s="181"/>
      <c r="J4" s="181"/>
      <c r="K4" s="181"/>
      <c r="L4" s="181"/>
      <c r="M4" s="187"/>
      <c r="N4" s="186" t="str" cm="1">
        <f t="array" ref="N4:N11">TRANSPOSE(tblSeverityAnalysis[[#Headers],[CCCM]:[WASH]])</f>
        <v>CCCM</v>
      </c>
      <c r="O4" s="183" t="str">
        <f>IF(OR($N4=O$3,O$3="",$N4=""),"",CORREL(INDEX(tblSeverityAnalysis[[CCCM]:[WASH]],0,MATCH(O$3,tblSeverityAnalysis[[#Headers],[CCCM]:[WASH]],0)),INDEX(tblSeverityAnalysis[[CCCM]:[WASH]],0,MATCH($N4,tblSeverityAnalysis[[#Headers],[CCCM]:[WASH]],0))))</f>
        <v/>
      </c>
      <c r="P4" s="183"/>
      <c r="Q4" s="183"/>
      <c r="R4" s="183"/>
      <c r="S4" s="183"/>
      <c r="T4" s="183"/>
      <c r="U4" s="183"/>
      <c r="V4" s="181"/>
      <c r="W4" s="181"/>
      <c r="X4" s="181"/>
      <c r="Y4" s="181"/>
    </row>
    <row r="5" spans="1:25" ht="37.5" customHeight="1" x14ac:dyDescent="0.55000000000000004">
      <c r="A5" s="186" t="str">
        <v>Education</v>
      </c>
      <c r="B5" s="183">
        <f>IF(OR($A5=B$3,B$3="",$A5=""),"",CORREL(INDEX(tblPiNAnalysis[[CCCM]:[WASH]],0,MATCH(B$3,tblPiNAnalysis[[#Headers],[CCCM]:[WASH]],0)),INDEX(tblPiNAnalysis[[CCCM]:[WASH]],0,MATCH($A5,tblPiNAnalysis[[#Headers],[CCCM]:[WASH]],0))))</f>
        <v>0.69909871366652099</v>
      </c>
      <c r="C5" s="183" t="str">
        <f>IF(OR($A5=C$3,C$3="",$A5=""),"",CORREL(INDEX(tblPiNAnalysis[[CCCM]:[WASH]],0,MATCH(C$3,tblPiNAnalysis[[#Headers],[CCCM]:[WASH]],0)),INDEX(tblPiNAnalysis[[CCCM]:[WASH]],0,MATCH($A5,tblPiNAnalysis[[#Headers],[CCCM]:[WASH]],0))))</f>
        <v/>
      </c>
      <c r="D5" s="183"/>
      <c r="E5" s="183"/>
      <c r="F5" s="183"/>
      <c r="G5" s="183"/>
      <c r="H5" s="183"/>
      <c r="I5" s="181"/>
      <c r="J5" s="181"/>
      <c r="K5" s="181"/>
      <c r="L5" s="181"/>
      <c r="M5" s="187"/>
      <c r="N5" s="186" t="str">
        <v>Education</v>
      </c>
      <c r="O5" s="183">
        <f>IF(OR($N5=O$3,O$3="",$N5=""),"",CORREL(INDEX(tblSeverityAnalysis[[CCCM]:[WASH]],0,MATCH(O$3,tblSeverityAnalysis[[#Headers],[CCCM]:[WASH]],0)),INDEX(tblSeverityAnalysis[[CCCM]:[WASH]],0,MATCH($N5,tblSeverityAnalysis[[#Headers],[CCCM]:[WASH]],0))))</f>
        <v>0.46049175727226016</v>
      </c>
      <c r="P5" s="183" t="str">
        <f>IF(OR($N5=P$3,P$3="",$N5=""),"",CORREL(INDEX(tblSeverityAnalysis[[CCCM]:[WASH]],0,MATCH(P$3,tblSeverityAnalysis[[#Headers],[CCCM]:[WASH]],0)),INDEX(tblSeverityAnalysis[[CCCM]:[WASH]],0,MATCH($N5,tblSeverityAnalysis[[#Headers],[CCCM]:[WASH]],0))))</f>
        <v/>
      </c>
      <c r="Q5" s="183"/>
      <c r="R5" s="183"/>
      <c r="S5" s="183"/>
      <c r="T5" s="183"/>
      <c r="U5" s="183"/>
      <c r="V5" s="181"/>
      <c r="W5" s="181"/>
      <c r="X5" s="181"/>
      <c r="Y5" s="181"/>
    </row>
    <row r="6" spans="1:25" ht="37.5" customHeight="1" x14ac:dyDescent="0.55000000000000004">
      <c r="A6" s="186" t="str">
        <v>Nutrition</v>
      </c>
      <c r="B6" s="183">
        <f>IF(OR($A6=B$3,B$3="",$A6=""),"",CORREL(INDEX(tblPiNAnalysis[[CCCM]:[WASH]],0,MATCH(B$3,tblPiNAnalysis[[#Headers],[CCCM]:[WASH]],0)),INDEX(tblPiNAnalysis[[CCCM]:[WASH]],0,MATCH($A6,tblPiNAnalysis[[#Headers],[CCCM]:[WASH]],0))))</f>
        <v>0.7397123101572074</v>
      </c>
      <c r="C6" s="183">
        <f>IF(OR($A6=C$3,C$3="",$A6=""),"",CORREL(INDEX(tblPiNAnalysis[[CCCM]:[WASH]],0,MATCH(C$3,tblPiNAnalysis[[#Headers],[CCCM]:[WASH]],0)),INDEX(tblPiNAnalysis[[CCCM]:[WASH]],0,MATCH($A6,tblPiNAnalysis[[#Headers],[CCCM]:[WASH]],0))))</f>
        <v>0.8609238603619781</v>
      </c>
      <c r="D6" s="183" t="str">
        <f>IF(OR($A6=D$3,D$3="",$A6=""),"",CORREL(INDEX(tblPiNAnalysis[[CCCM]:[WASH]],0,MATCH(D$3,tblPiNAnalysis[[#Headers],[CCCM]:[WASH]],0)),INDEX(tblPiNAnalysis[[CCCM]:[WASH]],0,MATCH($A6,tblPiNAnalysis[[#Headers],[CCCM]:[WASH]],0))))</f>
        <v/>
      </c>
      <c r="E6" s="183"/>
      <c r="F6" s="183"/>
      <c r="G6" s="183"/>
      <c r="H6" s="183"/>
      <c r="I6" s="181"/>
      <c r="J6" s="181"/>
      <c r="K6" s="181"/>
      <c r="L6" s="181"/>
      <c r="M6" s="187"/>
      <c r="N6" s="186" t="str">
        <v>Nutrition</v>
      </c>
      <c r="O6" s="183">
        <f>IF(OR($N6=O$3,O$3="",$N6=""),"",CORREL(INDEX(tblSeverityAnalysis[[CCCM]:[WASH]],0,MATCH(O$3,tblSeverityAnalysis[[#Headers],[CCCM]:[WASH]],0)),INDEX(tblSeverityAnalysis[[CCCM]:[WASH]],0,MATCH($N6,tblSeverityAnalysis[[#Headers],[CCCM]:[WASH]],0))))</f>
        <v>0.35540949558957013</v>
      </c>
      <c r="P6" s="183">
        <f>IF(OR($N6=P$3,P$3="",$N6=""),"",CORREL(INDEX(tblSeverityAnalysis[[CCCM]:[WASH]],0,MATCH(P$3,tblSeverityAnalysis[[#Headers],[CCCM]:[WASH]],0)),INDEX(tblSeverityAnalysis[[CCCM]:[WASH]],0,MATCH($N6,tblSeverityAnalysis[[#Headers],[CCCM]:[WASH]],0))))</f>
        <v>0.26316810656237666</v>
      </c>
      <c r="Q6" s="183" t="str">
        <f>IF(OR($N6=Q$3,Q$3="",$N6=""),"",CORREL(INDEX(tblSeverityAnalysis[[CCCM]:[WASH]],0,MATCH(Q$3,tblSeverityAnalysis[[#Headers],[CCCM]:[WASH]],0)),INDEX(tblSeverityAnalysis[[CCCM]:[WASH]],0,MATCH($N6,tblSeverityAnalysis[[#Headers],[CCCM]:[WASH]],0))))</f>
        <v/>
      </c>
      <c r="R6" s="183"/>
      <c r="S6" s="183"/>
      <c r="T6" s="183"/>
      <c r="U6" s="183"/>
      <c r="V6" s="181"/>
      <c r="W6" s="181"/>
      <c r="X6" s="181"/>
      <c r="Y6" s="181"/>
    </row>
    <row r="7" spans="1:25" ht="37.5" customHeight="1" x14ac:dyDescent="0.55000000000000004">
      <c r="A7" s="186" t="str">
        <v>Food Security</v>
      </c>
      <c r="B7" s="183">
        <f>IF(OR($A7=B$3,B$3="",$A7=""),"",CORREL(INDEX(tblPiNAnalysis[[CCCM]:[WASH]],0,MATCH(B$3,tblPiNAnalysis[[#Headers],[CCCM]:[WASH]],0)),INDEX(tblPiNAnalysis[[CCCM]:[WASH]],0,MATCH($A7,tblPiNAnalysis[[#Headers],[CCCM]:[WASH]],0))))</f>
        <v>0.7744543895950935</v>
      </c>
      <c r="C7" s="183">
        <f>IF(OR($A7=C$3,C$3="",$A7=""),"",CORREL(INDEX(tblPiNAnalysis[[CCCM]:[WASH]],0,MATCH(C$3,tblPiNAnalysis[[#Headers],[CCCM]:[WASH]],0)),INDEX(tblPiNAnalysis[[CCCM]:[WASH]],0,MATCH($A7,tblPiNAnalysis[[#Headers],[CCCM]:[WASH]],0))))</f>
        <v>0.86249096362865563</v>
      </c>
      <c r="D7" s="183">
        <f>IF(OR($A7=D$3,D$3="",$A7=""),"",CORREL(INDEX(tblPiNAnalysis[[CCCM]:[WASH]],0,MATCH(D$3,tblPiNAnalysis[[#Headers],[CCCM]:[WASH]],0)),INDEX(tblPiNAnalysis[[CCCM]:[WASH]],0,MATCH($A7,tblPiNAnalysis[[#Headers],[CCCM]:[WASH]],0))))</f>
        <v>0.90835562897260291</v>
      </c>
      <c r="E7" s="183" t="str">
        <f>IF(OR($A7=E$3,E$3="",$A7=""),"",CORREL(INDEX(tblPiNAnalysis[[CCCM]:[WASH]],0,MATCH(E$3,tblPiNAnalysis[[#Headers],[CCCM]:[WASH]],0)),INDEX(tblPiNAnalysis[[CCCM]:[WASH]],0,MATCH($A7,tblPiNAnalysis[[#Headers],[CCCM]:[WASH]],0))))</f>
        <v/>
      </c>
      <c r="F7" s="183"/>
      <c r="G7" s="183"/>
      <c r="H7" s="183"/>
      <c r="I7" s="181"/>
      <c r="J7" s="181"/>
      <c r="K7" s="181"/>
      <c r="L7" s="181"/>
      <c r="M7" s="187"/>
      <c r="N7" s="186" t="str">
        <v>Food Security</v>
      </c>
      <c r="O7" s="183">
        <f>IF(OR($N7=O$3,O$3="",$N7=""),"",CORREL(INDEX(tblSeverityAnalysis[[CCCM]:[WASH]],0,MATCH(O$3,tblSeverityAnalysis[[#Headers],[CCCM]:[WASH]],0)),INDEX(tblSeverityAnalysis[[CCCM]:[WASH]],0,MATCH($N7,tblSeverityAnalysis[[#Headers],[CCCM]:[WASH]],0))))</f>
        <v>0.27861427308556841</v>
      </c>
      <c r="P7" s="183">
        <f>IF(OR($N7=P$3,P$3="",$N7=""),"",CORREL(INDEX(tblSeverityAnalysis[[CCCM]:[WASH]],0,MATCH(P$3,tblSeverityAnalysis[[#Headers],[CCCM]:[WASH]],0)),INDEX(tblSeverityAnalysis[[CCCM]:[WASH]],0,MATCH($N7,tblSeverityAnalysis[[#Headers],[CCCM]:[WASH]],0))))</f>
        <v>0.25708686267357767</v>
      </c>
      <c r="Q7" s="183">
        <f>IF(OR($N7=Q$3,Q$3="",$N7=""),"",CORREL(INDEX(tblSeverityAnalysis[[CCCM]:[WASH]],0,MATCH(Q$3,tblSeverityAnalysis[[#Headers],[CCCM]:[WASH]],0)),INDEX(tblSeverityAnalysis[[CCCM]:[WASH]],0,MATCH($N7,tblSeverityAnalysis[[#Headers],[CCCM]:[WASH]],0))))</f>
        <v>0.44117594543799021</v>
      </c>
      <c r="R7" s="183" t="str">
        <f>IF(OR($N7=R$3,R$3="",$N7=""),"",CORREL(INDEX(tblSeverityAnalysis[[CCCM]:[WASH]],0,MATCH(R$3,tblSeverityAnalysis[[#Headers],[CCCM]:[WASH]],0)),INDEX(tblSeverityAnalysis[[CCCM]:[WASH]],0,MATCH($N7,tblSeverityAnalysis[[#Headers],[CCCM]:[WASH]],0))))</f>
        <v/>
      </c>
      <c r="S7" s="183"/>
      <c r="T7" s="183"/>
      <c r="U7" s="183"/>
      <c r="V7" s="181"/>
      <c r="W7" s="181"/>
      <c r="X7" s="181"/>
      <c r="Y7" s="181"/>
    </row>
    <row r="8" spans="1:25" ht="37.5" customHeight="1" x14ac:dyDescent="0.55000000000000004">
      <c r="A8" s="186" t="str">
        <v>Health</v>
      </c>
      <c r="B8" s="183">
        <f>IF(OR($A8=B$3,B$3="",$A8=""),"",CORREL(INDEX(tblPiNAnalysis[[CCCM]:[WASH]],0,MATCH(B$3,tblPiNAnalysis[[#Headers],[CCCM]:[WASH]],0)),INDEX(tblPiNAnalysis[[CCCM]:[WASH]],0,MATCH($A8,tblPiNAnalysis[[#Headers],[CCCM]:[WASH]],0))))</f>
        <v>0.80350189998497656</v>
      </c>
      <c r="C8" s="183">
        <f>IF(OR($A8=C$3,C$3="",$A8=""),"",CORREL(INDEX(tblPiNAnalysis[[CCCM]:[WASH]],0,MATCH(C$3,tblPiNAnalysis[[#Headers],[CCCM]:[WASH]],0)),INDEX(tblPiNAnalysis[[CCCM]:[WASH]],0,MATCH($A8,tblPiNAnalysis[[#Headers],[CCCM]:[WASH]],0))))</f>
        <v>0.82839964579351322</v>
      </c>
      <c r="D8" s="183">
        <f>IF(OR($A8=D$3,D$3="",$A8=""),"",CORREL(INDEX(tblPiNAnalysis[[CCCM]:[WASH]],0,MATCH(D$3,tblPiNAnalysis[[#Headers],[CCCM]:[WASH]],0)),INDEX(tblPiNAnalysis[[CCCM]:[WASH]],0,MATCH($A8,tblPiNAnalysis[[#Headers],[CCCM]:[WASH]],0))))</f>
        <v>0.9365495177037374</v>
      </c>
      <c r="E8" s="183">
        <f>IF(OR($A8=E$3,E$3="",$A8=""),"",CORREL(INDEX(tblPiNAnalysis[[CCCM]:[WASH]],0,MATCH(E$3,tblPiNAnalysis[[#Headers],[CCCM]:[WASH]],0)),INDEX(tblPiNAnalysis[[CCCM]:[WASH]],0,MATCH($A8,tblPiNAnalysis[[#Headers],[CCCM]:[WASH]],0))))</f>
        <v>0.93028485399059979</v>
      </c>
      <c r="F8" s="183" t="str">
        <f>IF(OR($A8=F$3,F$3="",$A8=""),"",CORREL(INDEX(tblPiNAnalysis[[CCCM]:[WASH]],0,MATCH(F$3,tblPiNAnalysis[[#Headers],[CCCM]:[WASH]],0)),INDEX(tblPiNAnalysis[[CCCM]:[WASH]],0,MATCH($A8,tblPiNAnalysis[[#Headers],[CCCM]:[WASH]],0))))</f>
        <v/>
      </c>
      <c r="G8" s="183"/>
      <c r="H8" s="183"/>
      <c r="I8" s="181"/>
      <c r="J8" s="181"/>
      <c r="K8" s="181"/>
      <c r="L8" s="181"/>
      <c r="M8" s="187"/>
      <c r="N8" s="186" t="str">
        <v>Health</v>
      </c>
      <c r="O8" s="183">
        <f>IF(OR($N8=O$3,O$3="",$N8=""),"",CORREL(INDEX(tblSeverityAnalysis[[CCCM]:[WASH]],0,MATCH(O$3,tblSeverityAnalysis[[#Headers],[CCCM]:[WASH]],0)),INDEX(tblSeverityAnalysis[[CCCM]:[WASH]],0,MATCH($N8,tblSeverityAnalysis[[#Headers],[CCCM]:[WASH]],0))))</f>
        <v>0.18886778050700143</v>
      </c>
      <c r="P8" s="183">
        <f>IF(OR($N8=P$3,P$3="",$N8=""),"",CORREL(INDEX(tblSeverityAnalysis[[CCCM]:[WASH]],0,MATCH(P$3,tblSeverityAnalysis[[#Headers],[CCCM]:[WASH]],0)),INDEX(tblSeverityAnalysis[[CCCM]:[WASH]],0,MATCH($N8,tblSeverityAnalysis[[#Headers],[CCCM]:[WASH]],0))))</f>
        <v>0.22923010310744613</v>
      </c>
      <c r="Q8" s="183">
        <f>IF(OR($N8=Q$3,Q$3="",$N8=""),"",CORREL(INDEX(tblSeverityAnalysis[[CCCM]:[WASH]],0,MATCH(Q$3,tblSeverityAnalysis[[#Headers],[CCCM]:[WASH]],0)),INDEX(tblSeverityAnalysis[[CCCM]:[WASH]],0,MATCH($N8,tblSeverityAnalysis[[#Headers],[CCCM]:[WASH]],0))))</f>
        <v>0.34974748974771785</v>
      </c>
      <c r="R8" s="183">
        <f>IF(OR($N8=R$3,R$3="",$N8=""),"",CORREL(INDEX(tblSeverityAnalysis[[CCCM]:[WASH]],0,MATCH(R$3,tblSeverityAnalysis[[#Headers],[CCCM]:[WASH]],0)),INDEX(tblSeverityAnalysis[[CCCM]:[WASH]],0,MATCH($N8,tblSeverityAnalysis[[#Headers],[CCCM]:[WASH]],0))))</f>
        <v>0.54958065449691951</v>
      </c>
      <c r="S8" s="183" t="str">
        <f>IF(OR($N8=S$3,S$3="",$N8=""),"",CORREL(INDEX(tblSeverityAnalysis[[CCCM]:[WASH]],0,MATCH(S$3,tblSeverityAnalysis[[#Headers],[CCCM]:[WASH]],0)),INDEX(tblSeverityAnalysis[[CCCM]:[WASH]],0,MATCH($N8,tblSeverityAnalysis[[#Headers],[CCCM]:[WASH]],0))))</f>
        <v/>
      </c>
      <c r="T8" s="183"/>
      <c r="U8" s="183"/>
      <c r="V8" s="181"/>
      <c r="W8" s="181"/>
      <c r="X8" s="181"/>
      <c r="Y8" s="181"/>
    </row>
    <row r="9" spans="1:25" ht="37.5" customHeight="1" x14ac:dyDescent="0.55000000000000004">
      <c r="A9" s="186" t="str">
        <v>Overarching Protection</v>
      </c>
      <c r="B9" s="183">
        <f>IF(OR($A9=B$3,B$3="",$A9=""),"",CORREL(INDEX(tblPiNAnalysis[[CCCM]:[WASH]],0,MATCH(B$3,tblPiNAnalysis[[#Headers],[CCCM]:[WASH]],0)),INDEX(tblPiNAnalysis[[CCCM]:[WASH]],0,MATCH($A9,tblPiNAnalysis[[#Headers],[CCCM]:[WASH]],0))))</f>
        <v>0.76798989312303045</v>
      </c>
      <c r="C9" s="183">
        <f>IF(OR($A9=C$3,C$3="",$A9=""),"",CORREL(INDEX(tblPiNAnalysis[[CCCM]:[WASH]],0,MATCH(C$3,tblPiNAnalysis[[#Headers],[CCCM]:[WASH]],0)),INDEX(tblPiNAnalysis[[CCCM]:[WASH]],0,MATCH($A9,tblPiNAnalysis[[#Headers],[CCCM]:[WASH]],0))))</f>
        <v>0.68439818310704303</v>
      </c>
      <c r="D9" s="183">
        <f>IF(OR($A9=D$3,D$3="",$A9=""),"",CORREL(INDEX(tblPiNAnalysis[[CCCM]:[WASH]],0,MATCH(D$3,tblPiNAnalysis[[#Headers],[CCCM]:[WASH]],0)),INDEX(tblPiNAnalysis[[CCCM]:[WASH]],0,MATCH($A9,tblPiNAnalysis[[#Headers],[CCCM]:[WASH]],0))))</f>
        <v>0.685017740611642</v>
      </c>
      <c r="E9" s="183">
        <f>IF(OR($A9=E$3,E$3="",$A9=""),"",CORREL(INDEX(tblPiNAnalysis[[CCCM]:[WASH]],0,MATCH(E$3,tblPiNAnalysis[[#Headers],[CCCM]:[WASH]],0)),INDEX(tblPiNAnalysis[[CCCM]:[WASH]],0,MATCH($A9,tblPiNAnalysis[[#Headers],[CCCM]:[WASH]],0))))</f>
        <v>0.79843118259765988</v>
      </c>
      <c r="F9" s="183">
        <f>IF(OR($A9=F$3,F$3="",$A9=""),"",CORREL(INDEX(tblPiNAnalysis[[CCCM]:[WASH]],0,MATCH(F$3,tblPiNAnalysis[[#Headers],[CCCM]:[WASH]],0)),INDEX(tblPiNAnalysis[[CCCM]:[WASH]],0,MATCH($A9,tblPiNAnalysis[[#Headers],[CCCM]:[WASH]],0))))</f>
        <v>0.82577147279129204</v>
      </c>
      <c r="G9" s="183" t="str">
        <f>IF(OR($A9=G$3,G$3="",$A9=""),"",CORREL(INDEX(tblPiNAnalysis[[CCCM]:[WASH]],0,MATCH(G$3,tblPiNAnalysis[[#Headers],[CCCM]:[WASH]],0)),INDEX(tblPiNAnalysis[[CCCM]:[WASH]],0,MATCH($A9,tblPiNAnalysis[[#Headers],[CCCM]:[WASH]],0))))</f>
        <v/>
      </c>
      <c r="H9" s="183"/>
      <c r="I9" s="181"/>
      <c r="J9" s="181"/>
      <c r="K9" s="181"/>
      <c r="L9" s="181"/>
      <c r="M9" s="187"/>
      <c r="N9" s="186" t="str">
        <v>Overarching Protection</v>
      </c>
      <c r="O9" s="183">
        <f>IF(OR($N9=O$3,O$3="",$N9=""),"",CORREL(INDEX(tblSeverityAnalysis[[CCCM]:[WASH]],0,MATCH(O$3,tblSeverityAnalysis[[#Headers],[CCCM]:[WASH]],0)),INDEX(tblSeverityAnalysis[[CCCM]:[WASH]],0,MATCH($N9,tblSeverityAnalysis[[#Headers],[CCCM]:[WASH]],0))))</f>
        <v>0.14461245382052493</v>
      </c>
      <c r="P9" s="183">
        <f>IF(OR($N9=P$3,P$3="",$N9=""),"",CORREL(INDEX(tblSeverityAnalysis[[CCCM]:[WASH]],0,MATCH(P$3,tblSeverityAnalysis[[#Headers],[CCCM]:[WASH]],0)),INDEX(tblSeverityAnalysis[[CCCM]:[WASH]],0,MATCH($N9,tblSeverityAnalysis[[#Headers],[CCCM]:[WASH]],0))))</f>
        <v>0.39713532281925967</v>
      </c>
      <c r="Q9" s="183">
        <f>IF(OR($N9=Q$3,Q$3="",$N9=""),"",CORREL(INDEX(tblSeverityAnalysis[[CCCM]:[WASH]],0,MATCH(Q$3,tblSeverityAnalysis[[#Headers],[CCCM]:[WASH]],0)),INDEX(tblSeverityAnalysis[[CCCM]:[WASH]],0,MATCH($N9,tblSeverityAnalysis[[#Headers],[CCCM]:[WASH]],0))))</f>
        <v>0.17397006885736788</v>
      </c>
      <c r="R9" s="183">
        <f>IF(OR($N9=R$3,R$3="",$N9=""),"",CORREL(INDEX(tblSeverityAnalysis[[CCCM]:[WASH]],0,MATCH(R$3,tblSeverityAnalysis[[#Headers],[CCCM]:[WASH]],0)),INDEX(tblSeverityAnalysis[[CCCM]:[WASH]],0,MATCH($N9,tblSeverityAnalysis[[#Headers],[CCCM]:[WASH]],0))))</f>
        <v>0.12560484354083101</v>
      </c>
      <c r="S9" s="183">
        <f>IF(OR($N9=S$3,S$3="",$N9=""),"",CORREL(INDEX(tblSeverityAnalysis[[CCCM]:[WASH]],0,MATCH(S$3,tblSeverityAnalysis[[#Headers],[CCCM]:[WASH]],0)),INDEX(tblSeverityAnalysis[[CCCM]:[WASH]],0,MATCH($N9,tblSeverityAnalysis[[#Headers],[CCCM]:[WASH]],0))))</f>
        <v>0.19307856619796768</v>
      </c>
      <c r="T9" s="183" t="str">
        <f>IF(OR($N9=T$3,T$3="",$N9=""),"",CORREL(INDEX(tblSeverityAnalysis[[CCCM]:[WASH]],0,MATCH(T$3,tblSeverityAnalysis[[#Headers],[CCCM]:[WASH]],0)),INDEX(tblSeverityAnalysis[[CCCM]:[WASH]],0,MATCH($N9,tblSeverityAnalysis[[#Headers],[CCCM]:[WASH]],0))))</f>
        <v/>
      </c>
      <c r="U9" s="183"/>
      <c r="V9" s="181"/>
      <c r="W9" s="181"/>
      <c r="X9" s="181"/>
      <c r="Y9" s="181"/>
    </row>
    <row r="10" spans="1:25" ht="37.5" customHeight="1" x14ac:dyDescent="0.55000000000000004">
      <c r="A10" s="186" t="str">
        <v>Shelter</v>
      </c>
      <c r="B10" s="183">
        <f>IF(OR($A10=B$3,B$3="",$A10=""),"",CORREL(INDEX(tblPiNAnalysis[[CCCM]:[WASH]],0,MATCH(B$3,tblPiNAnalysis[[#Headers],[CCCM]:[WASH]],0)),INDEX(tblPiNAnalysis[[CCCM]:[WASH]],0,MATCH($A10,tblPiNAnalysis[[#Headers],[CCCM]:[WASH]],0))))</f>
        <v>0.79767830027367059</v>
      </c>
      <c r="C10" s="183">
        <f>IF(OR($A10=C$3,C$3="",$A10=""),"",CORREL(INDEX(tblPiNAnalysis[[CCCM]:[WASH]],0,MATCH(C$3,tblPiNAnalysis[[#Headers],[CCCM]:[WASH]],0)),INDEX(tblPiNAnalysis[[CCCM]:[WASH]],0,MATCH($A10,tblPiNAnalysis[[#Headers],[CCCM]:[WASH]],0))))</f>
        <v>0.82089491637666112</v>
      </c>
      <c r="D10" s="183">
        <f>IF(OR($A10=D$3,D$3="",$A10=""),"",CORREL(INDEX(tblPiNAnalysis[[CCCM]:[WASH]],0,MATCH(D$3,tblPiNAnalysis[[#Headers],[CCCM]:[WASH]],0)),INDEX(tblPiNAnalysis[[CCCM]:[WASH]],0,MATCH($A10,tblPiNAnalysis[[#Headers],[CCCM]:[WASH]],0))))</f>
        <v>0.82966251752085618</v>
      </c>
      <c r="E10" s="183">
        <f>IF(OR($A10=E$3,E$3="",$A10=""),"",CORREL(INDEX(tblPiNAnalysis[[CCCM]:[WASH]],0,MATCH(E$3,tblPiNAnalysis[[#Headers],[CCCM]:[WASH]],0)),INDEX(tblPiNAnalysis[[CCCM]:[WASH]],0,MATCH($A10,tblPiNAnalysis[[#Headers],[CCCM]:[WASH]],0))))</f>
        <v>0.8428361508384038</v>
      </c>
      <c r="F10" s="183">
        <f>IF(OR($A10=F$3,F$3="",$A10=""),"",CORREL(INDEX(tblPiNAnalysis[[CCCM]:[WASH]],0,MATCH(F$3,tblPiNAnalysis[[#Headers],[CCCM]:[WASH]],0)),INDEX(tblPiNAnalysis[[CCCM]:[WASH]],0,MATCH($A10,tblPiNAnalysis[[#Headers],[CCCM]:[WASH]],0))))</f>
        <v>0.85333593963590526</v>
      </c>
      <c r="G10" s="183">
        <f>IF(OR($A10=G$3,G$3="",$A10=""),"",CORREL(INDEX(tblPiNAnalysis[[CCCM]:[WASH]],0,MATCH(G$3,tblPiNAnalysis[[#Headers],[CCCM]:[WASH]],0)),INDEX(tblPiNAnalysis[[CCCM]:[WASH]],0,MATCH($A10,tblPiNAnalysis[[#Headers],[CCCM]:[WASH]],0))))</f>
        <v>0.7227175843508542</v>
      </c>
      <c r="H10" s="183" t="str">
        <f>IF(OR($A10=H$3,H$3="",$A10=""),"",CORREL(INDEX(tblPiNAnalysis[[CCCM]:[WASH]],0,MATCH(H$3,tblPiNAnalysis[[#Headers],[CCCM]:[WASH]],0)),INDEX(tblPiNAnalysis[[CCCM]:[WASH]],0,MATCH($A10,tblPiNAnalysis[[#Headers],[CCCM]:[WASH]],0))))</f>
        <v/>
      </c>
      <c r="I10" s="181"/>
      <c r="J10" s="181"/>
      <c r="K10" s="181"/>
      <c r="L10" s="181"/>
      <c r="M10" s="187"/>
      <c r="N10" s="186" t="str">
        <v>Shelter</v>
      </c>
      <c r="O10" s="183">
        <f>IF(OR($N10=O$3,O$3="",$N10=""),"",CORREL(INDEX(tblSeverityAnalysis[[CCCM]:[WASH]],0,MATCH(O$3,tblSeverityAnalysis[[#Headers],[CCCM]:[WASH]],0)),INDEX(tblSeverityAnalysis[[CCCM]:[WASH]],0,MATCH($N10,tblSeverityAnalysis[[#Headers],[CCCM]:[WASH]],0))))</f>
        <v>0.62443575337291768</v>
      </c>
      <c r="P10" s="183">
        <f>IF(OR($N10=P$3,P$3="",$N10=""),"",CORREL(INDEX(tblSeverityAnalysis[[CCCM]:[WASH]],0,MATCH(P$3,tblSeverityAnalysis[[#Headers],[CCCM]:[WASH]],0)),INDEX(tblSeverityAnalysis[[CCCM]:[WASH]],0,MATCH($N10,tblSeverityAnalysis[[#Headers],[CCCM]:[WASH]],0))))</f>
        <v>0.59652643418647477</v>
      </c>
      <c r="Q10" s="183">
        <f>IF(OR($N10=Q$3,Q$3="",$N10=""),"",CORREL(INDEX(tblSeverityAnalysis[[CCCM]:[WASH]],0,MATCH(Q$3,tblSeverityAnalysis[[#Headers],[CCCM]:[WASH]],0)),INDEX(tblSeverityAnalysis[[CCCM]:[WASH]],0,MATCH($N10,tblSeverityAnalysis[[#Headers],[CCCM]:[WASH]],0))))</f>
        <v>0.40378375369476638</v>
      </c>
      <c r="R10" s="183">
        <f>IF(OR($N10=R$3,R$3="",$N10=""),"",CORREL(INDEX(tblSeverityAnalysis[[CCCM]:[WASH]],0,MATCH(R$3,tblSeverityAnalysis[[#Headers],[CCCM]:[WASH]],0)),INDEX(tblSeverityAnalysis[[CCCM]:[WASH]],0,MATCH($N10,tblSeverityAnalysis[[#Headers],[CCCM]:[WASH]],0))))</f>
        <v>0.25922272668957358</v>
      </c>
      <c r="S10" s="183">
        <f>IF(OR($N10=S$3,S$3="",$N10=""),"",CORREL(INDEX(tblSeverityAnalysis[[CCCM]:[WASH]],0,MATCH(S$3,tblSeverityAnalysis[[#Headers],[CCCM]:[WASH]],0)),INDEX(tblSeverityAnalysis[[CCCM]:[WASH]],0,MATCH($N10,tblSeverityAnalysis[[#Headers],[CCCM]:[WASH]],0))))</f>
        <v>0.23228380188059353</v>
      </c>
      <c r="T10" s="183">
        <f>IF(OR($N10=T$3,T$3="",$N10=""),"",CORREL(INDEX(tblSeverityAnalysis[[CCCM]:[WASH]],0,MATCH(T$3,tblSeverityAnalysis[[#Headers],[CCCM]:[WASH]],0)),INDEX(tblSeverityAnalysis[[CCCM]:[WASH]],0,MATCH($N10,tblSeverityAnalysis[[#Headers],[CCCM]:[WASH]],0))))</f>
        <v>0.21290782605848474</v>
      </c>
      <c r="U10" s="183" t="str">
        <f>IF(OR($N10=U$3,U$3="",$N10=""),"",CORREL(INDEX(tblSeverityAnalysis[[CCCM]:[WASH]],0,MATCH(U$3,tblSeverityAnalysis[[#Headers],[CCCM]:[WASH]],0)),INDEX(tblSeverityAnalysis[[CCCM]:[WASH]],0,MATCH($N10,tblSeverityAnalysis[[#Headers],[CCCM]:[WASH]],0))))</f>
        <v/>
      </c>
      <c r="V10" s="181"/>
      <c r="W10" s="181"/>
      <c r="X10" s="181"/>
      <c r="Y10" s="181"/>
    </row>
    <row r="11" spans="1:25" ht="37.5" customHeight="1" x14ac:dyDescent="0.55000000000000004">
      <c r="A11" s="186" t="str">
        <v>WASH</v>
      </c>
      <c r="B11" s="183">
        <f>IF(OR($A11=B$3,B$3="",$A11=""),"",CORREL(INDEX(tblPiNAnalysis[[CCCM]:[WASH]],0,MATCH(B$3,tblPiNAnalysis[[#Headers],[CCCM]:[WASH]],0)),INDEX(tblPiNAnalysis[[CCCM]:[WASH]],0,MATCH($A11,tblPiNAnalysis[[#Headers],[CCCM]:[WASH]],0))))</f>
        <v>0.68745791280721036</v>
      </c>
      <c r="C11" s="183">
        <f>IF(OR($A11=C$3,C$3="",$A11=""),"",CORREL(INDEX(tblPiNAnalysis[[CCCM]:[WASH]],0,MATCH(C$3,tblPiNAnalysis[[#Headers],[CCCM]:[WASH]],0)),INDEX(tblPiNAnalysis[[CCCM]:[WASH]],0,MATCH($A11,tblPiNAnalysis[[#Headers],[CCCM]:[WASH]],0))))</f>
        <v>0.8161018456379785</v>
      </c>
      <c r="D11" s="183">
        <f>IF(OR($A11=D$3,D$3="",$A11=""),"",CORREL(INDEX(tblPiNAnalysis[[CCCM]:[WASH]],0,MATCH(D$3,tblPiNAnalysis[[#Headers],[CCCM]:[WASH]],0)),INDEX(tblPiNAnalysis[[CCCM]:[WASH]],0,MATCH($A11,tblPiNAnalysis[[#Headers],[CCCM]:[WASH]],0))))</f>
        <v>0.90879305289032275</v>
      </c>
      <c r="E11" s="183">
        <f>IF(OR($A11=E$3,E$3="",$A11=""),"",CORREL(INDEX(tblPiNAnalysis[[CCCM]:[WASH]],0,MATCH(E$3,tblPiNAnalysis[[#Headers],[CCCM]:[WASH]],0)),INDEX(tblPiNAnalysis[[CCCM]:[WASH]],0,MATCH($A11,tblPiNAnalysis[[#Headers],[CCCM]:[WASH]],0))))</f>
        <v>0.86889346374226772</v>
      </c>
      <c r="F11" s="183">
        <f>IF(OR($A11=F$3,F$3="",$A11=""),"",CORREL(INDEX(tblPiNAnalysis[[CCCM]:[WASH]],0,MATCH(F$3,tblPiNAnalysis[[#Headers],[CCCM]:[WASH]],0)),INDEX(tblPiNAnalysis[[CCCM]:[WASH]],0,MATCH($A11,tblPiNAnalysis[[#Headers],[CCCM]:[WASH]],0))))</f>
        <v>0.89704039210246933</v>
      </c>
      <c r="G11" s="183">
        <f>IF(OR($A11=G$3,G$3="",$A11=""),"",CORREL(INDEX(tblPiNAnalysis[[CCCM]:[WASH]],0,MATCH(G$3,tblPiNAnalysis[[#Headers],[CCCM]:[WASH]],0)),INDEX(tblPiNAnalysis[[CCCM]:[WASH]],0,MATCH($A11,tblPiNAnalysis[[#Headers],[CCCM]:[WASH]],0))))</f>
        <v>0.72006698807747327</v>
      </c>
      <c r="H11" s="183">
        <f>IF(OR($A11=H$3,H$3="",$A11=""),"",CORREL(INDEX(tblPiNAnalysis[[CCCM]:[WASH]],0,MATCH(H$3,tblPiNAnalysis[[#Headers],[CCCM]:[WASH]],0)),INDEX(tblPiNAnalysis[[CCCM]:[WASH]],0,MATCH($A11,tblPiNAnalysis[[#Headers],[CCCM]:[WASH]],0))))</f>
        <v>0.78210270031591911</v>
      </c>
      <c r="I11" s="181" t="str">
        <f>IF(OR($A11=I$3,I$3="",$A11=""),"",CORREL(INDEX(tblPiNAnalysis[[CCCM]:[WASH]],0,MATCH(I$3,tblPiNAnalysis[[#Headers],[CCCM]:[WASH]],0)),INDEX(tblPiNAnalysis[[CCCM]:[WASH]],0,MATCH($A11,tblPiNAnalysis[[#Headers],[CCCM]:[WASH]],0))))</f>
        <v/>
      </c>
      <c r="J11" s="181"/>
      <c r="K11" s="181"/>
      <c r="L11" s="181"/>
      <c r="M11" s="187"/>
      <c r="N11" s="186" t="str">
        <v>WASH</v>
      </c>
      <c r="O11" s="183">
        <f>IF(OR($N11=O$3,O$3="",$N11=""),"",CORREL(INDEX(tblSeverityAnalysis[[CCCM]:[WASH]],0,MATCH(O$3,tblSeverityAnalysis[[#Headers],[CCCM]:[WASH]],0)),INDEX(tblSeverityAnalysis[[CCCM]:[WASH]],0,MATCH($N11,tblSeverityAnalysis[[#Headers],[CCCM]:[WASH]],0))))</f>
        <v>0.23793116840686127</v>
      </c>
      <c r="P11" s="183">
        <f>IF(OR($N11=P$3,P$3="",$N11=""),"",CORREL(INDEX(tblSeverityAnalysis[[CCCM]:[WASH]],0,MATCH(P$3,tblSeverityAnalysis[[#Headers],[CCCM]:[WASH]],0)),INDEX(tblSeverityAnalysis[[CCCM]:[WASH]],0,MATCH($N11,tblSeverityAnalysis[[#Headers],[CCCM]:[WASH]],0))))</f>
        <v>0.22833618611804893</v>
      </c>
      <c r="Q11" s="183">
        <f>IF(OR($N11=Q$3,Q$3="",$N11=""),"",CORREL(INDEX(tblSeverityAnalysis[[CCCM]:[WASH]],0,MATCH(Q$3,tblSeverityAnalysis[[#Headers],[CCCM]:[WASH]],0)),INDEX(tblSeverityAnalysis[[CCCM]:[WASH]],0,MATCH($N11,tblSeverityAnalysis[[#Headers],[CCCM]:[WASH]],0))))</f>
        <v>0.17585450130819569</v>
      </c>
      <c r="R11" s="183">
        <f>IF(OR($N11=R$3,R$3="",$N11=""),"",CORREL(INDEX(tblSeverityAnalysis[[CCCM]:[WASH]],0,MATCH(R$3,tblSeverityAnalysis[[#Headers],[CCCM]:[WASH]],0)),INDEX(tblSeverityAnalysis[[CCCM]:[WASH]],0,MATCH($N11,tblSeverityAnalysis[[#Headers],[CCCM]:[WASH]],0))))</f>
        <v>0.16399758269798392</v>
      </c>
      <c r="S11" s="183">
        <f>IF(OR($N11=S$3,S$3="",$N11=""),"",CORREL(INDEX(tblSeverityAnalysis[[CCCM]:[WASH]],0,MATCH(S$3,tblSeverityAnalysis[[#Headers],[CCCM]:[WASH]],0)),INDEX(tblSeverityAnalysis[[CCCM]:[WASH]],0,MATCH($N11,tblSeverityAnalysis[[#Headers],[CCCM]:[WASH]],0))))</f>
        <v>0.14932307939604372</v>
      </c>
      <c r="T11" s="183">
        <f>IF(OR($N11=T$3,T$3="",$N11=""),"",CORREL(INDEX(tblSeverityAnalysis[[CCCM]:[WASH]],0,MATCH(T$3,tblSeverityAnalysis[[#Headers],[CCCM]:[WASH]],0)),INDEX(tblSeverityAnalysis[[CCCM]:[WASH]],0,MATCH($N11,tblSeverityAnalysis[[#Headers],[CCCM]:[WASH]],0))))</f>
        <v>0.21695064585530954</v>
      </c>
      <c r="U11" s="183">
        <f>IF(OR($N11=U$3,U$3="",$N11=""),"",CORREL(INDEX(tblSeverityAnalysis[[CCCM]:[WASH]],0,MATCH(U$3,tblSeverityAnalysis[[#Headers],[CCCM]:[WASH]],0)),INDEX(tblSeverityAnalysis[[CCCM]:[WASH]],0,MATCH($N11,tblSeverityAnalysis[[#Headers],[CCCM]:[WASH]],0))))</f>
        <v>0.34397747615584501</v>
      </c>
      <c r="V11" s="181" t="str">
        <f>IF(OR($A11=V$3,V$3="",$A11=""),"",CORREL(INDEX(tblPiNAnalysis[[CCCM]:[WASH]],0,MATCH(V$3,tblPiNAnalysis[[#Headers],[CCCM]:[WASH]],0)),INDEX(tblPiNAnalysis[[CCCM]:[WASH]],0,MATCH($A11,tblPiNAnalysis[[#Headers],[CCCM]:[WASH]],0))))</f>
        <v/>
      </c>
      <c r="W11" s="181"/>
      <c r="X11" s="181"/>
      <c r="Y11" s="181"/>
    </row>
    <row r="12" spans="1:25" ht="37.5" customHeight="1" x14ac:dyDescent="0.55000000000000004">
      <c r="A12" s="186"/>
      <c r="B12" s="183" t="str">
        <f>IF(OR($A12=B$3,B$3="",$A12=""),"",CORREL(INDEX(tblPiNAnalysis[[CCCM]:[WASH]],0,MATCH(B$3,tblPiNAnalysis[[#Headers],[CCCM]:[WASH]],0)),INDEX(tblPiNAnalysis[[CCCM]:[WASH]],0,MATCH($A12,tblPiNAnalysis[[#Headers],[CCCM]:[WASH]],0))))</f>
        <v/>
      </c>
      <c r="C12" s="183" t="str">
        <f>IF(OR($A12=C$3,C$3="",$A12=""),"",CORREL(INDEX(tblPiNAnalysis[[CCCM]:[WASH]],0,MATCH(C$3,tblPiNAnalysis[[#Headers],[CCCM]:[WASH]],0)),INDEX(tblPiNAnalysis[[CCCM]:[WASH]],0,MATCH($A12,tblPiNAnalysis[[#Headers],[CCCM]:[WASH]],0))))</f>
        <v/>
      </c>
      <c r="D12" s="183" t="str">
        <f>IF(OR($A12=D$3,D$3="",$A12=""),"",CORREL(INDEX(tblPiNAnalysis[[CCCM]:[WASH]],0,MATCH(D$3,tblPiNAnalysis[[#Headers],[CCCM]:[WASH]],0)),INDEX(tblPiNAnalysis[[CCCM]:[WASH]],0,MATCH($A12,tblPiNAnalysis[[#Headers],[CCCM]:[WASH]],0))))</f>
        <v/>
      </c>
      <c r="E12" s="183" t="str">
        <f>IF(OR($A12=E$3,E$3="",$A12=""),"",CORREL(INDEX(tblPiNAnalysis[[CCCM]:[WASH]],0,MATCH(E$3,tblPiNAnalysis[[#Headers],[CCCM]:[WASH]],0)),INDEX(tblPiNAnalysis[[CCCM]:[WASH]],0,MATCH($A12,tblPiNAnalysis[[#Headers],[CCCM]:[WASH]],0))))</f>
        <v/>
      </c>
      <c r="F12" s="183" t="str">
        <f>IF(OR($A12=F$3,F$3="",$A12=""),"",CORREL(INDEX(tblPiNAnalysis[[CCCM]:[WASH]],0,MATCH(F$3,tblPiNAnalysis[[#Headers],[CCCM]:[WASH]],0)),INDEX(tblPiNAnalysis[[CCCM]:[WASH]],0,MATCH($A12,tblPiNAnalysis[[#Headers],[CCCM]:[WASH]],0))))</f>
        <v/>
      </c>
      <c r="G12" s="183" t="str">
        <f>IF(OR($A12=G$3,G$3="",$A12=""),"",CORREL(INDEX(tblPiNAnalysis[[CCCM]:[WASH]],0,MATCH(G$3,tblPiNAnalysis[[#Headers],[CCCM]:[WASH]],0)),INDEX(tblPiNAnalysis[[CCCM]:[WASH]],0,MATCH($A12,tblPiNAnalysis[[#Headers],[CCCM]:[WASH]],0))))</f>
        <v/>
      </c>
      <c r="H12" s="183" t="str">
        <f>IF(OR($A12=H$3,H$3="",$A12=""),"",CORREL(INDEX(tblPiNAnalysis[[CCCM]:[WASH]],0,MATCH(H$3,tblPiNAnalysis[[#Headers],[CCCM]:[WASH]],0)),INDEX(tblPiNAnalysis[[CCCM]:[WASH]],0,MATCH($A12,tblPiNAnalysis[[#Headers],[CCCM]:[WASH]],0))))</f>
        <v/>
      </c>
      <c r="I12" s="181" t="str">
        <f>IF(OR($A12=I$3,I$3="",$A12=""),"",CORREL(INDEX(tblPiNAnalysis[[CCCM]:[WASH]],0,MATCH(I$3,tblPiNAnalysis[[#Headers],[CCCM]:[WASH]],0)),INDEX(tblPiNAnalysis[[CCCM]:[WASH]],0,MATCH($A12,tblPiNAnalysis[[#Headers],[CCCM]:[WASH]],0))))</f>
        <v/>
      </c>
      <c r="J12" s="181" t="str">
        <f>IF(OR($A12=J$3,J$3="",$A12=""),"",CORREL(INDEX(tblPiNAnalysis[[CCCM]:[WASH]],0,MATCH(J$3,tblPiNAnalysis[[#Headers],[CCCM]:[WASH]],0)),INDEX(tblPiNAnalysis[[CCCM]:[WASH]],0,MATCH($A12,tblPiNAnalysis[[#Headers],[CCCM]:[WASH]],0))))</f>
        <v/>
      </c>
      <c r="K12" s="181"/>
      <c r="L12" s="181"/>
      <c r="M12" s="187"/>
      <c r="N12" s="186"/>
      <c r="O12" s="183" t="str">
        <f>IF(OR($N12=O$3,O$3="",$N12=""),"",CORREL(INDEX(tblSeverityAnalysis[[CCCM]:[WASH]],0,MATCH(O$3,tblSeverityAnalysis[[#Headers],[CCCM]:[WASH]],0)),INDEX(tblSeverityAnalysis[[CCCM]:[WASH]],0,MATCH($N12,tblSeverityAnalysis[[#Headers],[CCCM]:[WASH]],0))))</f>
        <v/>
      </c>
      <c r="P12" s="183" t="str">
        <f>IF(OR($N12=P$3,P$3="",$N12=""),"",CORREL(INDEX(tblSeverityAnalysis[[CCCM]:[WASH]],0,MATCH(P$3,tblSeverityAnalysis[[#Headers],[CCCM]:[WASH]],0)),INDEX(tblSeverityAnalysis[[CCCM]:[WASH]],0,MATCH($N12,tblSeverityAnalysis[[#Headers],[CCCM]:[WASH]],0))))</f>
        <v/>
      </c>
      <c r="Q12" s="183" t="str">
        <f>IF(OR($N12=Q$3,Q$3="",$N12=""),"",CORREL(INDEX(tblSeverityAnalysis[[CCCM]:[WASH]],0,MATCH(Q$3,tblSeverityAnalysis[[#Headers],[CCCM]:[WASH]],0)),INDEX(tblSeverityAnalysis[[CCCM]:[WASH]],0,MATCH($N12,tblSeverityAnalysis[[#Headers],[CCCM]:[WASH]],0))))</f>
        <v/>
      </c>
      <c r="R12" s="183" t="str">
        <f>IF(OR($N12=R$3,R$3="",$N12=""),"",CORREL(INDEX(tblSeverityAnalysis[[CCCM]:[WASH]],0,MATCH(R$3,tblSeverityAnalysis[[#Headers],[CCCM]:[WASH]],0)),INDEX(tblSeverityAnalysis[[CCCM]:[WASH]],0,MATCH($N12,tblSeverityAnalysis[[#Headers],[CCCM]:[WASH]],0))))</f>
        <v/>
      </c>
      <c r="S12" s="183" t="str">
        <f>IF(OR($N12=S$3,S$3="",$N12=""),"",CORREL(INDEX(tblSeverityAnalysis[[CCCM]:[WASH]],0,MATCH(S$3,tblSeverityAnalysis[[#Headers],[CCCM]:[WASH]],0)),INDEX(tblSeverityAnalysis[[CCCM]:[WASH]],0,MATCH($N12,tblSeverityAnalysis[[#Headers],[CCCM]:[WASH]],0))))</f>
        <v/>
      </c>
      <c r="T12" s="183" t="str">
        <f>IF(OR($N12=T$3,T$3="",$N12=""),"",CORREL(INDEX(tblSeverityAnalysis[[CCCM]:[WASH]],0,MATCH(T$3,tblSeverityAnalysis[[#Headers],[CCCM]:[WASH]],0)),INDEX(tblSeverityAnalysis[[CCCM]:[WASH]],0,MATCH($N12,tblSeverityAnalysis[[#Headers],[CCCM]:[WASH]],0))))</f>
        <v/>
      </c>
      <c r="U12" s="183" t="str">
        <f>IF(OR($N12=U$3,U$3="",$N12=""),"",CORREL(INDEX(tblSeverityAnalysis[[CCCM]:[WASH]],0,MATCH(U$3,tblSeverityAnalysis[[#Headers],[CCCM]:[WASH]],0)),INDEX(tblSeverityAnalysis[[CCCM]:[WASH]],0,MATCH($N12,tblSeverityAnalysis[[#Headers],[CCCM]:[WASH]],0))))</f>
        <v/>
      </c>
      <c r="V12" s="181" t="str">
        <f>IF(OR($A12=V$3,V$3="",$A12=""),"",CORREL(INDEX(tblPiNAnalysis[[CCCM]:[WASH]],0,MATCH(V$3,tblPiNAnalysis[[#Headers],[CCCM]:[WASH]],0)),INDEX(tblPiNAnalysis[[CCCM]:[WASH]],0,MATCH($A12,tblPiNAnalysis[[#Headers],[CCCM]:[WASH]],0))))</f>
        <v/>
      </c>
      <c r="W12" s="181" t="str">
        <f>IF(OR($A12=W$3,W$3="",$A12=""),"",CORREL(INDEX(tblPiNAnalysis[[CCCM]:[WASH]],0,MATCH(W$3,tblPiNAnalysis[[#Headers],[CCCM]:[WASH]],0)),INDEX(tblPiNAnalysis[[CCCM]:[WASH]],0,MATCH($A12,tblPiNAnalysis[[#Headers],[CCCM]:[WASH]],0))))</f>
        <v/>
      </c>
      <c r="X12" s="181"/>
      <c r="Y12" s="181"/>
    </row>
    <row r="13" spans="1:25" ht="37.5" customHeight="1" x14ac:dyDescent="0.55000000000000004">
      <c r="A13" s="186"/>
      <c r="B13" s="183" t="str">
        <f>IF(OR($A13=B$3,B$3="",$A13=""),"",CORREL(INDEX(tblPiNAnalysis[[CCCM]:[WASH]],0,MATCH(B$3,tblPiNAnalysis[[#Headers],[CCCM]:[WASH]],0)),INDEX(tblPiNAnalysis[[CCCM]:[WASH]],0,MATCH($A13,tblPiNAnalysis[[#Headers],[CCCM]:[WASH]],0))))</f>
        <v/>
      </c>
      <c r="C13" s="183" t="str">
        <f>IF(OR($A13=C$3,C$3="",$A13=""),"",CORREL(INDEX(tblPiNAnalysis[[CCCM]:[WASH]],0,MATCH(C$3,tblPiNAnalysis[[#Headers],[CCCM]:[WASH]],0)),INDEX(tblPiNAnalysis[[CCCM]:[WASH]],0,MATCH($A13,tblPiNAnalysis[[#Headers],[CCCM]:[WASH]],0))))</f>
        <v/>
      </c>
      <c r="D13" s="183" t="str">
        <f>IF(OR($A13=D$3,D$3="",$A13=""),"",CORREL(INDEX(tblPiNAnalysis[[CCCM]:[WASH]],0,MATCH(D$3,tblPiNAnalysis[[#Headers],[CCCM]:[WASH]],0)),INDEX(tblPiNAnalysis[[CCCM]:[WASH]],0,MATCH($A13,tblPiNAnalysis[[#Headers],[CCCM]:[WASH]],0))))</f>
        <v/>
      </c>
      <c r="E13" s="183" t="str">
        <f>IF(OR($A13=E$3,E$3="",$A13=""),"",CORREL(INDEX(tblPiNAnalysis[[CCCM]:[WASH]],0,MATCH(E$3,tblPiNAnalysis[[#Headers],[CCCM]:[WASH]],0)),INDEX(tblPiNAnalysis[[CCCM]:[WASH]],0,MATCH($A13,tblPiNAnalysis[[#Headers],[CCCM]:[WASH]],0))))</f>
        <v/>
      </c>
      <c r="F13" s="183" t="str">
        <f>IF(OR($A13=F$3,F$3="",$A13=""),"",CORREL(INDEX(tblPiNAnalysis[[CCCM]:[WASH]],0,MATCH(F$3,tblPiNAnalysis[[#Headers],[CCCM]:[WASH]],0)),INDEX(tblPiNAnalysis[[CCCM]:[WASH]],0,MATCH($A13,tblPiNAnalysis[[#Headers],[CCCM]:[WASH]],0))))</f>
        <v/>
      </c>
      <c r="G13" s="183" t="str">
        <f>IF(OR($A13=G$3,G$3="",$A13=""),"",CORREL(INDEX(tblPiNAnalysis[[CCCM]:[WASH]],0,MATCH(G$3,tblPiNAnalysis[[#Headers],[CCCM]:[WASH]],0)),INDEX(tblPiNAnalysis[[CCCM]:[WASH]],0,MATCH($A13,tblPiNAnalysis[[#Headers],[CCCM]:[WASH]],0))))</f>
        <v/>
      </c>
      <c r="H13" s="183" t="str">
        <f>IF(OR($A13=H$3,H$3="",$A13=""),"",CORREL(INDEX(tblPiNAnalysis[[CCCM]:[WASH]],0,MATCH(H$3,tblPiNAnalysis[[#Headers],[CCCM]:[WASH]],0)),INDEX(tblPiNAnalysis[[CCCM]:[WASH]],0,MATCH($A13,tblPiNAnalysis[[#Headers],[CCCM]:[WASH]],0))))</f>
        <v/>
      </c>
      <c r="I13" s="181" t="str">
        <f>IF(OR($A13=I$3,I$3="",$A13=""),"",CORREL(INDEX(tblPiNAnalysis[[CCCM]:[WASH]],0,MATCH(I$3,tblPiNAnalysis[[#Headers],[CCCM]:[WASH]],0)),INDEX(tblPiNAnalysis[[CCCM]:[WASH]],0,MATCH($A13,tblPiNAnalysis[[#Headers],[CCCM]:[WASH]],0))))</f>
        <v/>
      </c>
      <c r="J13" s="181" t="str">
        <f>IF(OR($A13=J$3,J$3="",$A13=""),"",CORREL(INDEX(tblPiNAnalysis[[CCCM]:[WASH]],0,MATCH(J$3,tblPiNAnalysis[[#Headers],[CCCM]:[WASH]],0)),INDEX(tblPiNAnalysis[[CCCM]:[WASH]],0,MATCH($A13,tblPiNAnalysis[[#Headers],[CCCM]:[WASH]],0))))</f>
        <v/>
      </c>
      <c r="K13" s="181" t="str">
        <f>IF(OR($A13=K$3,K$3="",$A13=""),"",CORREL(INDEX(tblPiNAnalysis[[CCCM]:[WASH]],0,MATCH(K$3,tblPiNAnalysis[[#Headers],[CCCM]:[WASH]],0)),INDEX(tblPiNAnalysis[[CCCM]:[WASH]],0,MATCH($A13,tblPiNAnalysis[[#Headers],[CCCM]:[WASH]],0))))</f>
        <v/>
      </c>
      <c r="L13" s="181"/>
      <c r="M13" s="187"/>
      <c r="N13" s="186"/>
      <c r="O13" s="183" t="str">
        <f>IF(OR($N13=O$3,O$3="",$N13=""),"",CORREL(INDEX(tblSeverityAnalysis[[CCCM]:[WASH]],0,MATCH(O$3,tblSeverityAnalysis[[#Headers],[CCCM]:[WASH]],0)),INDEX(tblSeverityAnalysis[[CCCM]:[WASH]],0,MATCH($N13,tblSeverityAnalysis[[#Headers],[CCCM]:[WASH]],0))))</f>
        <v/>
      </c>
      <c r="P13" s="183" t="str">
        <f>IF(OR($N13=P$3,P$3="",$N13=""),"",CORREL(INDEX(tblSeverityAnalysis[[CCCM]:[WASH]],0,MATCH(P$3,tblSeverityAnalysis[[#Headers],[CCCM]:[WASH]],0)),INDEX(tblSeverityAnalysis[[CCCM]:[WASH]],0,MATCH($N13,tblSeverityAnalysis[[#Headers],[CCCM]:[WASH]],0))))</f>
        <v/>
      </c>
      <c r="Q13" s="183" t="str">
        <f>IF(OR($N13=Q$3,Q$3="",$N13=""),"",CORREL(INDEX(tblSeverityAnalysis[[CCCM]:[WASH]],0,MATCH(Q$3,tblSeverityAnalysis[[#Headers],[CCCM]:[WASH]],0)),INDEX(tblSeverityAnalysis[[CCCM]:[WASH]],0,MATCH($N13,tblSeverityAnalysis[[#Headers],[CCCM]:[WASH]],0))))</f>
        <v/>
      </c>
      <c r="R13" s="183" t="str">
        <f>IF(OR($N13=R$3,R$3="",$N13=""),"",CORREL(INDEX(tblSeverityAnalysis[[CCCM]:[WASH]],0,MATCH(R$3,tblSeverityAnalysis[[#Headers],[CCCM]:[WASH]],0)),INDEX(tblSeverityAnalysis[[CCCM]:[WASH]],0,MATCH($N13,tblSeverityAnalysis[[#Headers],[CCCM]:[WASH]],0))))</f>
        <v/>
      </c>
      <c r="S13" s="183" t="str">
        <f>IF(OR($N13=S$3,S$3="",$N13=""),"",CORREL(INDEX(tblSeverityAnalysis[[CCCM]:[WASH]],0,MATCH(S$3,tblSeverityAnalysis[[#Headers],[CCCM]:[WASH]],0)),INDEX(tblSeverityAnalysis[[CCCM]:[WASH]],0,MATCH($N13,tblSeverityAnalysis[[#Headers],[CCCM]:[WASH]],0))))</f>
        <v/>
      </c>
      <c r="T13" s="183" t="str">
        <f>IF(OR($N13=T$3,T$3="",$N13=""),"",CORREL(INDEX(tblSeverityAnalysis[[CCCM]:[WASH]],0,MATCH(T$3,tblSeverityAnalysis[[#Headers],[CCCM]:[WASH]],0)),INDEX(tblSeverityAnalysis[[CCCM]:[WASH]],0,MATCH($N13,tblSeverityAnalysis[[#Headers],[CCCM]:[WASH]],0))))</f>
        <v/>
      </c>
      <c r="U13" s="183" t="str">
        <f>IF(OR($N13=U$3,U$3="",$N13=""),"",CORREL(INDEX(tblSeverityAnalysis[[CCCM]:[WASH]],0,MATCH(U$3,tblSeverityAnalysis[[#Headers],[CCCM]:[WASH]],0)),INDEX(tblSeverityAnalysis[[CCCM]:[WASH]],0,MATCH($N13,tblSeverityAnalysis[[#Headers],[CCCM]:[WASH]],0))))</f>
        <v/>
      </c>
      <c r="V13" s="181" t="str">
        <f>IF(OR($A13=V$3,V$3="",$A13=""),"",CORREL(INDEX(tblPiNAnalysis[[CCCM]:[WASH]],0,MATCH(V$3,tblPiNAnalysis[[#Headers],[CCCM]:[WASH]],0)),INDEX(tblPiNAnalysis[[CCCM]:[WASH]],0,MATCH($A13,tblPiNAnalysis[[#Headers],[CCCM]:[WASH]],0))))</f>
        <v/>
      </c>
      <c r="W13" s="181" t="str">
        <f>IF(OR($A13=W$3,W$3="",$A13=""),"",CORREL(INDEX(tblPiNAnalysis[[CCCM]:[WASH]],0,MATCH(W$3,tblPiNAnalysis[[#Headers],[CCCM]:[WASH]],0)),INDEX(tblPiNAnalysis[[CCCM]:[WASH]],0,MATCH($A13,tblPiNAnalysis[[#Headers],[CCCM]:[WASH]],0))))</f>
        <v/>
      </c>
      <c r="X13" s="181" t="str">
        <f>IF(OR($A13=X$3,X$3="",$A13=""),"",CORREL(INDEX(tblPiNAnalysis[[CCCM]:[WASH]],0,MATCH(X$3,tblPiNAnalysis[[#Headers],[CCCM]:[WASH]],0)),INDEX(tblPiNAnalysis[[CCCM]:[WASH]],0,MATCH($A13,tblPiNAnalysis[[#Headers],[CCCM]:[WASH]],0))))</f>
        <v/>
      </c>
      <c r="Y13" s="181"/>
    </row>
    <row r="14" spans="1:25" ht="37.5" customHeight="1" x14ac:dyDescent="0.55000000000000004">
      <c r="A14" s="186"/>
      <c r="B14" s="183" t="str">
        <f>IF(OR($A14=B$3,B$3="",$A14=""),"",CORREL(INDEX(tblPiNAnalysis[[CCCM]:[WASH]],0,MATCH(B$3,tblPiNAnalysis[[#Headers],[CCCM]:[WASH]],0)),INDEX(tblPiNAnalysis[[CCCM]:[WASH]],0,MATCH($A14,tblPiNAnalysis[[#Headers],[CCCM]:[WASH]],0))))</f>
        <v/>
      </c>
      <c r="C14" s="183" t="str">
        <f>IF(OR($A14=C$3,C$3="",$A14=""),"",CORREL(INDEX(tblPiNAnalysis[[CCCM]:[WASH]],0,MATCH(C$3,tblPiNAnalysis[[#Headers],[CCCM]:[WASH]],0)),INDEX(tblPiNAnalysis[[CCCM]:[WASH]],0,MATCH($A14,tblPiNAnalysis[[#Headers],[CCCM]:[WASH]],0))))</f>
        <v/>
      </c>
      <c r="D14" s="183" t="str">
        <f>IF(OR($A14=D$3,D$3="",$A14=""),"",CORREL(INDEX(tblPiNAnalysis[[CCCM]:[WASH]],0,MATCH(D$3,tblPiNAnalysis[[#Headers],[CCCM]:[WASH]],0)),INDEX(tblPiNAnalysis[[CCCM]:[WASH]],0,MATCH($A14,tblPiNAnalysis[[#Headers],[CCCM]:[WASH]],0))))</f>
        <v/>
      </c>
      <c r="E14" s="183" t="str">
        <f>IF(OR($A14=E$3,E$3="",$A14=""),"",CORREL(INDEX(tblPiNAnalysis[[CCCM]:[WASH]],0,MATCH(E$3,tblPiNAnalysis[[#Headers],[CCCM]:[WASH]],0)),INDEX(tblPiNAnalysis[[CCCM]:[WASH]],0,MATCH($A14,tblPiNAnalysis[[#Headers],[CCCM]:[WASH]],0))))</f>
        <v/>
      </c>
      <c r="F14" s="183" t="str">
        <f>IF(OR($A14=F$3,F$3="",$A14=""),"",CORREL(INDEX(tblPiNAnalysis[[CCCM]:[WASH]],0,MATCH(F$3,tblPiNAnalysis[[#Headers],[CCCM]:[WASH]],0)),INDEX(tblPiNAnalysis[[CCCM]:[WASH]],0,MATCH($A14,tblPiNAnalysis[[#Headers],[CCCM]:[WASH]],0))))</f>
        <v/>
      </c>
      <c r="G14" s="183" t="str">
        <f>IF(OR($A14=G$3,G$3="",$A14=""),"",CORREL(INDEX(tblPiNAnalysis[[CCCM]:[WASH]],0,MATCH(G$3,tblPiNAnalysis[[#Headers],[CCCM]:[WASH]],0)),INDEX(tblPiNAnalysis[[CCCM]:[WASH]],0,MATCH($A14,tblPiNAnalysis[[#Headers],[CCCM]:[WASH]],0))))</f>
        <v/>
      </c>
      <c r="H14" s="183" t="str">
        <f>IF(OR($A14=H$3,H$3="",$A14=""),"",CORREL(INDEX(tblPiNAnalysis[[CCCM]:[WASH]],0,MATCH(H$3,tblPiNAnalysis[[#Headers],[CCCM]:[WASH]],0)),INDEX(tblPiNAnalysis[[CCCM]:[WASH]],0,MATCH($A14,tblPiNAnalysis[[#Headers],[CCCM]:[WASH]],0))))</f>
        <v/>
      </c>
      <c r="I14" s="181" t="str">
        <f>IF(OR($A14=I$3,I$3="",$A14=""),"",CORREL(INDEX(tblPiNAnalysis[[CCCM]:[WASH]],0,MATCH(I$3,tblPiNAnalysis[[#Headers],[CCCM]:[WASH]],0)),INDEX(tblPiNAnalysis[[CCCM]:[WASH]],0,MATCH($A14,tblPiNAnalysis[[#Headers],[CCCM]:[WASH]],0))))</f>
        <v/>
      </c>
      <c r="J14" s="181" t="str">
        <f>IF(OR($A14=J$3,J$3="",$A14=""),"",CORREL(INDEX(tblPiNAnalysis[[CCCM]:[WASH]],0,MATCH(J$3,tblPiNAnalysis[[#Headers],[CCCM]:[WASH]],0)),INDEX(tblPiNAnalysis[[CCCM]:[WASH]],0,MATCH($A14,tblPiNAnalysis[[#Headers],[CCCM]:[WASH]],0))))</f>
        <v/>
      </c>
      <c r="K14" s="181" t="str">
        <f>IF(OR($A14=K$3,K$3="",$A14=""),"",CORREL(INDEX(tblPiNAnalysis[[CCCM]:[WASH]],0,MATCH(K$3,tblPiNAnalysis[[#Headers],[CCCM]:[WASH]],0)),INDEX(tblPiNAnalysis[[CCCM]:[WASH]],0,MATCH($A14,tblPiNAnalysis[[#Headers],[CCCM]:[WASH]],0))))</f>
        <v/>
      </c>
      <c r="L14" s="181" t="str">
        <f>IF(OR($A14=L$3,L$3="",$A14=""),"",CORREL(INDEX(tblPiNAnalysis[[CCCM]:[WASH]],0,MATCH(L$3,tblPiNAnalysis[[#Headers],[CCCM]:[WASH]],0)),INDEX(tblPiNAnalysis[[CCCM]:[WASH]],0,MATCH($A14,tblPiNAnalysis[[#Headers],[CCCM]:[WASH]],0))))</f>
        <v/>
      </c>
      <c r="M14" s="187"/>
      <c r="N14" s="186"/>
      <c r="O14" s="183" t="str">
        <f>IF(OR($N14=O$3,O$3="",$N14=""),"",CORREL(INDEX(tblSeverityAnalysis[[CCCM]:[WASH]],0,MATCH(O$3,tblSeverityAnalysis[[#Headers],[CCCM]:[WASH]],0)),INDEX(tblSeverityAnalysis[[CCCM]:[WASH]],0,MATCH($N14,tblSeverityAnalysis[[#Headers],[CCCM]:[WASH]],0))))</f>
        <v/>
      </c>
      <c r="P14" s="183" t="str">
        <f>IF(OR($N14=P$3,P$3="",$N14=""),"",CORREL(INDEX(tblSeverityAnalysis[[CCCM]:[WASH]],0,MATCH(P$3,tblSeverityAnalysis[[#Headers],[CCCM]:[WASH]],0)),INDEX(tblSeverityAnalysis[[CCCM]:[WASH]],0,MATCH($N14,tblSeverityAnalysis[[#Headers],[CCCM]:[WASH]],0))))</f>
        <v/>
      </c>
      <c r="Q14" s="183" t="str">
        <f>IF(OR($N14=Q$3,Q$3="",$N14=""),"",CORREL(INDEX(tblSeverityAnalysis[[CCCM]:[WASH]],0,MATCH(Q$3,tblSeverityAnalysis[[#Headers],[CCCM]:[WASH]],0)),INDEX(tblSeverityAnalysis[[CCCM]:[WASH]],0,MATCH($N14,tblSeverityAnalysis[[#Headers],[CCCM]:[WASH]],0))))</f>
        <v/>
      </c>
      <c r="R14" s="183" t="str">
        <f>IF(OR($N14=R$3,R$3="",$N14=""),"",CORREL(INDEX(tblSeverityAnalysis[[CCCM]:[WASH]],0,MATCH(R$3,tblSeverityAnalysis[[#Headers],[CCCM]:[WASH]],0)),INDEX(tblSeverityAnalysis[[CCCM]:[WASH]],0,MATCH($N14,tblSeverityAnalysis[[#Headers],[CCCM]:[WASH]],0))))</f>
        <v/>
      </c>
      <c r="S14" s="183" t="str">
        <f>IF(OR($N14=S$3,S$3="",$N14=""),"",CORREL(INDEX(tblSeverityAnalysis[[CCCM]:[WASH]],0,MATCH(S$3,tblSeverityAnalysis[[#Headers],[CCCM]:[WASH]],0)),INDEX(tblSeverityAnalysis[[CCCM]:[WASH]],0,MATCH($N14,tblSeverityAnalysis[[#Headers],[CCCM]:[WASH]],0))))</f>
        <v/>
      </c>
      <c r="T14" s="183" t="str">
        <f>IF(OR($N14=T$3,T$3="",$N14=""),"",CORREL(INDEX(tblSeverityAnalysis[[CCCM]:[WASH]],0,MATCH(T$3,tblSeverityAnalysis[[#Headers],[CCCM]:[WASH]],0)),INDEX(tblSeverityAnalysis[[CCCM]:[WASH]],0,MATCH($N14,tblSeverityAnalysis[[#Headers],[CCCM]:[WASH]],0))))</f>
        <v/>
      </c>
      <c r="U14" s="183" t="str">
        <f>IF(OR($N14=U$3,U$3="",$N14=""),"",CORREL(INDEX(tblSeverityAnalysis[[CCCM]:[WASH]],0,MATCH(U$3,tblSeverityAnalysis[[#Headers],[CCCM]:[WASH]],0)),INDEX(tblSeverityAnalysis[[CCCM]:[WASH]],0,MATCH($N14,tblSeverityAnalysis[[#Headers],[CCCM]:[WASH]],0))))</f>
        <v/>
      </c>
      <c r="V14" s="181" t="str">
        <f>IF(OR($A14=V$3,V$3="",$A14=""),"",CORREL(INDEX(tblPiNAnalysis[[CCCM]:[WASH]],0,MATCH(V$3,tblPiNAnalysis[[#Headers],[CCCM]:[WASH]],0)),INDEX(tblPiNAnalysis[[CCCM]:[WASH]],0,MATCH($A14,tblPiNAnalysis[[#Headers],[CCCM]:[WASH]],0))))</f>
        <v/>
      </c>
      <c r="W14" s="181" t="str">
        <f>IF(OR($A14=W$3,W$3="",$A14=""),"",CORREL(INDEX(tblPiNAnalysis[[CCCM]:[WASH]],0,MATCH(W$3,tblPiNAnalysis[[#Headers],[CCCM]:[WASH]],0)),INDEX(tblPiNAnalysis[[CCCM]:[WASH]],0,MATCH($A14,tblPiNAnalysis[[#Headers],[CCCM]:[WASH]],0))))</f>
        <v/>
      </c>
      <c r="X14" s="181" t="str">
        <f>IF(OR($A14=X$3,X$3="",$A14=""),"",CORREL(INDEX(tblPiNAnalysis[[CCCM]:[WASH]],0,MATCH(X$3,tblPiNAnalysis[[#Headers],[CCCM]:[WASH]],0)),INDEX(tblPiNAnalysis[[CCCM]:[WASH]],0,MATCH($A14,tblPiNAnalysis[[#Headers],[CCCM]:[WASH]],0))))</f>
        <v/>
      </c>
      <c r="Y14" s="181" t="str">
        <f>IF(OR($A14=Y$3,Y$3="",$A14=""),"",CORREL(INDEX(tblPiNAnalysis[[CCCM]:[WASH]],0,MATCH(Y$3,tblPiNAnalysis[[#Headers],[CCCM]:[WASH]],0)),INDEX(tblPiNAnalysis[[CCCM]:[WASH]],0,MATCH($A14,tblPiNAnalysis[[#Headers],[CCCM]:[WASH]],0))))</f>
        <v/>
      </c>
    </row>
    <row r="15" spans="1:25" x14ac:dyDescent="0.55000000000000004">
      <c r="M15" s="187"/>
    </row>
  </sheetData>
  <mergeCells count="2">
    <mergeCell ref="C1:G2"/>
    <mergeCell ref="P1:T2"/>
  </mergeCells>
  <conditionalFormatting sqref="A4:A14">
    <cfRule type="notContainsBlanks" dxfId="17" priority="5">
      <formula>LEN(TRIM(A4))&gt;0</formula>
    </cfRule>
  </conditionalFormatting>
  <conditionalFormatting sqref="B3:L3">
    <cfRule type="notContainsBlanks" dxfId="16" priority="7">
      <formula>LEN(TRIM(B3))&gt;0</formula>
    </cfRule>
  </conditionalFormatting>
  <conditionalFormatting sqref="B4:L14">
    <cfRule type="notContainsBlanks" dxfId="15" priority="6">
      <formula>LEN(TRIM(B4))&gt;0</formula>
    </cfRule>
    <cfRule type="colorScale" priority="9">
      <colorScale>
        <cfvo type="min"/>
        <cfvo type="max"/>
        <color theme="8" tint="0.79998168889431442"/>
        <color theme="8" tint="-0.249977111117893"/>
      </colorScale>
    </cfRule>
  </conditionalFormatting>
  <conditionalFormatting sqref="N4:N14">
    <cfRule type="notContainsBlanks" dxfId="14" priority="1">
      <formula>LEN(TRIM(N4))&gt;0</formula>
    </cfRule>
  </conditionalFormatting>
  <conditionalFormatting sqref="O3:Y3">
    <cfRule type="notContainsBlanks" dxfId="13" priority="3">
      <formula>LEN(TRIM(O3))&gt;0</formula>
    </cfRule>
  </conditionalFormatting>
  <conditionalFormatting sqref="O4:Y14">
    <cfRule type="notContainsBlanks" dxfId="12"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1539-7FF3-4509-AEC1-89CC78F7589A}">
  <sheetPr codeName="Sheet11">
    <tabColor rgb="FF00B050"/>
  </sheetPr>
  <dimension ref="A1:Y15"/>
  <sheetViews>
    <sheetView showGridLines="0" zoomScale="80" zoomScaleNormal="80" workbookViewId="0">
      <selection activeCell="AO11" sqref="AO11"/>
    </sheetView>
  </sheetViews>
  <sheetFormatPr defaultRowHeight="14.4" x14ac:dyDescent="0.55000000000000004"/>
  <cols>
    <col min="1" max="1" width="17.41796875" style="185" customWidth="1"/>
    <col min="2" max="8" width="12.83984375" style="23" customWidth="1"/>
    <col min="9" max="12" width="12.83984375" customWidth="1"/>
    <col min="14" max="14" width="15" customWidth="1"/>
    <col min="15" max="25" width="12.83984375" customWidth="1"/>
  </cols>
  <sheetData>
    <row r="1" spans="1:25" ht="55.5" customHeight="1" x14ac:dyDescent="0.55000000000000004">
      <c r="A1" s="837" t="s">
        <v>217</v>
      </c>
      <c r="B1" s="837"/>
      <c r="C1" s="837"/>
      <c r="D1" s="837"/>
      <c r="E1" s="837"/>
      <c r="F1" s="837"/>
      <c r="G1" s="837"/>
      <c r="H1" s="837"/>
      <c r="I1" s="837"/>
      <c r="J1" s="837"/>
      <c r="K1" s="837"/>
      <c r="M1" s="187"/>
      <c r="N1" s="836" t="s">
        <v>218</v>
      </c>
      <c r="O1" s="836"/>
      <c r="P1" s="836"/>
      <c r="Q1" s="836"/>
      <c r="R1" s="836"/>
      <c r="S1" s="836"/>
      <c r="T1" s="836"/>
      <c r="U1" s="836"/>
      <c r="V1" s="836"/>
      <c r="W1" s="836"/>
      <c r="X1" s="836"/>
      <c r="Y1" s="836"/>
    </row>
    <row r="2" spans="1:25" ht="55.5" customHeight="1" x14ac:dyDescent="0.55000000000000004">
      <c r="A2" s="837"/>
      <c r="B2" s="837"/>
      <c r="C2" s="837"/>
      <c r="D2" s="837"/>
      <c r="E2" s="837"/>
      <c r="F2" s="837"/>
      <c r="G2" s="837"/>
      <c r="H2" s="837"/>
      <c r="I2" s="837"/>
      <c r="J2" s="837"/>
      <c r="K2" s="837"/>
      <c r="M2" s="187"/>
      <c r="N2" s="836"/>
      <c r="O2" s="836"/>
      <c r="P2" s="836"/>
      <c r="Q2" s="836"/>
      <c r="R2" s="836"/>
      <c r="S2" s="836"/>
      <c r="T2" s="836"/>
      <c r="U2" s="836"/>
      <c r="V2" s="836"/>
      <c r="W2" s="836"/>
      <c r="X2" s="836"/>
      <c r="Y2" s="836"/>
    </row>
    <row r="3" spans="1:25" ht="50.25" customHeight="1" x14ac:dyDescent="0.55000000000000004">
      <c r="A3" s="182"/>
      <c r="B3" s="189" t="str" cm="1">
        <f t="array" ref="B3:I3">_xlfn.UNIQUE(tblPiNAnalysis[[#Headers],[CCCM]:[WASH]])</f>
        <v>CCCM</v>
      </c>
      <c r="C3" s="189" t="str">
        <v>Education</v>
      </c>
      <c r="D3" s="189" t="str">
        <v>Nutrition</v>
      </c>
      <c r="E3" s="189" t="str">
        <v>Food Security</v>
      </c>
      <c r="F3" s="189" t="str">
        <v>Health</v>
      </c>
      <c r="G3" s="189" t="str">
        <v>Overarching Protection</v>
      </c>
      <c r="H3" s="189" t="str">
        <v>Shelter</v>
      </c>
      <c r="I3" s="186" t="str">
        <v>WASH</v>
      </c>
      <c r="J3" s="186"/>
      <c r="K3" s="186"/>
      <c r="M3" s="187"/>
      <c r="N3" s="182"/>
      <c r="O3" s="186" t="str" cm="1">
        <f t="array" ref="O3:V3">_xlfn.UNIQUE(tblSeverityAnalysis[[#Headers],[CCCM]:[WASH]])</f>
        <v>CCCM</v>
      </c>
      <c r="P3" s="186" t="str">
        <v>Education</v>
      </c>
      <c r="Q3" s="186" t="str">
        <v>Nutrition</v>
      </c>
      <c r="R3" s="186" t="str">
        <v>Food Security</v>
      </c>
      <c r="S3" s="186" t="str">
        <v>Health</v>
      </c>
      <c r="T3" s="186" t="str">
        <v>Overarching Protection</v>
      </c>
      <c r="U3" s="186" t="str">
        <v>Shelter</v>
      </c>
      <c r="V3" s="186" t="str">
        <v>WASH</v>
      </c>
      <c r="W3" s="186"/>
      <c r="X3" s="186"/>
    </row>
    <row r="4" spans="1:25" ht="37.5" customHeight="1" x14ac:dyDescent="0.55000000000000004">
      <c r="A4" s="186" t="str" cm="1">
        <f t="array" ref="A4:A11">TRANSPOSE(tblPiNAnalysis[[#Headers],[CCCM]:[WASH]])</f>
        <v>CCCM</v>
      </c>
      <c r="B4" s="189" t="str" cm="1">
        <f t="array" ref="B4">IF(OR($A4=B$3,B$3="",$A4=""),"",SUM(IF(ROUND(INDEX(tblPiNAnalysis[[CCCM%]:[WASH%]], 0, MATCH(_xlfn.CONCAT(B$3,"%"), tblPiNAnalysis[[#Headers],[CCCM%]:[WASH%]], 0)), 1)=ROUND(INDEX(tblPiNAnalysis[[CCCM%]:[WASH%]], 0, MATCH(_xlfn.CONCAT($A4,"%"), tblPiNAnalysis[[#Headers],[CCCM%]:[WASH%]], 0)), 1), 1, 0)))</f>
        <v/>
      </c>
      <c r="C4" s="189"/>
      <c r="D4" s="189"/>
      <c r="E4" s="189"/>
      <c r="F4" s="189"/>
      <c r="G4" s="189"/>
      <c r="H4" s="189"/>
      <c r="I4" s="189"/>
      <c r="J4" s="189"/>
      <c r="K4" s="189"/>
      <c r="L4" s="189"/>
      <c r="M4" s="187"/>
      <c r="N4" s="186" t="str" cm="1">
        <f t="array" ref="N4:N11">TRANSPOSE(tblSeverityAnalysis[[#Headers],[CCCM]:[WASH]])</f>
        <v>CCCM</v>
      </c>
      <c r="O4" s="189" t="str" cm="1">
        <f t="array" ref="O4">IF(OR($N4=O$3,O$3="",$N4=""),"",SUM(IF(INDEX(tblSeverityAnalysis[[CCCM]:[WASH]],0,MATCH(O$3,tblSeverityAnalysis[[#Headers],[CCCM]:[WASH]],0))=INDEX(tblSeverityAnalysis[[CCCM]:[WASH]],0,MATCH($N4,tblSeverityAnalysis[[#Headers],[CCCM]:[WASH]],0)), 1, 0)))</f>
        <v/>
      </c>
      <c r="P4" s="189"/>
      <c r="Q4" s="189"/>
      <c r="R4" s="189"/>
      <c r="S4" s="189"/>
      <c r="T4" s="189"/>
      <c r="U4" s="189"/>
      <c r="V4" s="189"/>
      <c r="W4" s="189"/>
      <c r="X4" s="189"/>
      <c r="Y4" s="189"/>
    </row>
    <row r="5" spans="1:25" ht="37.5" customHeight="1" x14ac:dyDescent="0.55000000000000004">
      <c r="A5" s="186" t="str">
        <v>Education</v>
      </c>
      <c r="B5" s="189" t="e" cm="1">
        <f t="array" ref="B5">IF(OR($A5=B$3,B$3="",$A5=""),"",SUM(IF(ROUND(INDEX(tblPiNAnalysis[[CCCM%]:[WASH%]], 0, MATCH(_xlfn.CONCAT(B$3,"%"), tblPiNAnalysis[[#Headers],[CCCM%]:[WASH%]], 0)), 1)=ROUND(INDEX(tblPiNAnalysis[[CCCM%]:[WASH%]], 0, MATCH(_xlfn.CONCAT($A5,"%"), tblPiNAnalysis[[#Headers],[CCCM%]:[WASH%]], 0)), 1), 1, 0)))</f>
        <v>#VALUE!</v>
      </c>
      <c r="C5" s="189" t="str" cm="1">
        <f t="array" ref="C5">IF(OR($A5=C$3,C$3="",$A5=""),"",SUM(IF(ROUND(INDEX(tblPiNAnalysis[[CCCM%]:[WASH%]], 0, MATCH(_xlfn.CONCAT(C$3,"%"), tblPiNAnalysis[[#Headers],[CCCM%]:[WASH%]], 0)), 1)=ROUND(INDEX(tblPiNAnalysis[[CCCM%]:[WASH%]], 0, MATCH(_xlfn.CONCAT($A5,"%"), tblPiNAnalysis[[#Headers],[CCCM%]:[WASH%]], 0)), 1), 1, 0)))</f>
        <v/>
      </c>
      <c r="D5" s="189"/>
      <c r="E5" s="189"/>
      <c r="F5" s="189"/>
      <c r="G5" s="189"/>
      <c r="H5" s="189"/>
      <c r="I5" s="189"/>
      <c r="J5" s="189"/>
      <c r="K5" s="189"/>
      <c r="L5" s="189"/>
      <c r="M5" s="187"/>
      <c r="N5" s="186" t="str">
        <v>Education</v>
      </c>
      <c r="O5" s="189" cm="1">
        <f t="array" ref="O5">IF(OR($N5=O$3,O$3="",$N5=""),"",SUM(IF(INDEX(tblSeverityAnalysis[[CCCM]:[WASH]],0,MATCH(O$3,tblSeverityAnalysis[[#Headers],[CCCM]:[WASH]],0))=INDEX(tblSeverityAnalysis[[CCCM]:[WASH]],0,MATCH($N5,tblSeverityAnalysis[[#Headers],[CCCM]:[WASH]],0)), 1, 0)))</f>
        <v>17</v>
      </c>
      <c r="P5" s="189" t="str" cm="1">
        <f t="array" ref="P5">IF(OR($N5=P$3,P$3="",$N5=""),"",SUM(IF(INDEX(tblSeverityAnalysis[[CCCM]:[WASH]],0,MATCH(P$3,tblSeverityAnalysis[[#Headers],[CCCM]:[WASH]],0))=INDEX(tblSeverityAnalysis[[CCCM]:[WASH]],0,MATCH($N5,tblSeverityAnalysis[[#Headers],[CCCM]:[WASH]],0)), 1, 0)))</f>
        <v/>
      </c>
      <c r="Q5" s="189"/>
      <c r="R5" s="189"/>
      <c r="S5" s="189"/>
      <c r="T5" s="189"/>
      <c r="U5" s="189"/>
      <c r="V5" s="189"/>
      <c r="W5" s="189"/>
      <c r="X5" s="189"/>
      <c r="Y5" s="189"/>
    </row>
    <row r="6" spans="1:25" ht="37.5" customHeight="1" x14ac:dyDescent="0.55000000000000004">
      <c r="A6" s="186" t="str">
        <v>Nutrition</v>
      </c>
      <c r="B6" s="189" t="e" cm="1">
        <f t="array" ref="B6">IF(OR($A6=B$3,B$3="",$A6=""),"",SUM(IF(ROUND(INDEX(tblPiNAnalysis[[CCCM%]:[WASH%]], 0, MATCH(_xlfn.CONCAT(B$3,"%"), tblPiNAnalysis[[#Headers],[CCCM%]:[WASH%]], 0)), 1)=ROUND(INDEX(tblPiNAnalysis[[CCCM%]:[WASH%]], 0, MATCH(_xlfn.CONCAT($A6,"%"), tblPiNAnalysis[[#Headers],[CCCM%]:[WASH%]], 0)), 1), 1, 0)))</f>
        <v>#VALUE!</v>
      </c>
      <c r="C6" s="189" t="e" cm="1">
        <f t="array" ref="C6">IF(OR($A6=C$3,C$3="",$A6=""),"",SUM(IF(ROUND(INDEX(tblPiNAnalysis[[CCCM%]:[WASH%]], 0, MATCH(_xlfn.CONCAT(C$3,"%"), tblPiNAnalysis[[#Headers],[CCCM%]:[WASH%]], 0)), 1)=ROUND(INDEX(tblPiNAnalysis[[CCCM%]:[WASH%]], 0, MATCH(_xlfn.CONCAT($A6,"%"), tblPiNAnalysis[[#Headers],[CCCM%]:[WASH%]], 0)), 1), 1, 0)))</f>
        <v>#VALUE!</v>
      </c>
      <c r="D6" s="189" t="str" cm="1">
        <f t="array" ref="D6">IF(OR($A6=D$3,D$3="",$A6=""),"",SUM(IF(ROUND(INDEX(tblPiNAnalysis[[CCCM%]:[WASH%]], 0, MATCH(_xlfn.CONCAT(D$3,"%"), tblPiNAnalysis[[#Headers],[CCCM%]:[WASH%]], 0)), 1)=ROUND(INDEX(tblPiNAnalysis[[CCCM%]:[WASH%]], 0, MATCH(_xlfn.CONCAT($A6,"%"), tblPiNAnalysis[[#Headers],[CCCM%]:[WASH%]], 0)), 1), 1, 0)))</f>
        <v/>
      </c>
      <c r="E6" s="189"/>
      <c r="F6" s="189"/>
      <c r="G6" s="189"/>
      <c r="H6" s="189"/>
      <c r="I6" s="189"/>
      <c r="J6" s="189"/>
      <c r="K6" s="189"/>
      <c r="L6" s="189"/>
      <c r="M6" s="187"/>
      <c r="N6" s="186" t="str">
        <v>Nutrition</v>
      </c>
      <c r="O6" s="189" cm="1">
        <f t="array" ref="O6">IF(OR($N6=O$3,O$3="",$N6=""),"",SUM(IF(INDEX(tblSeverityAnalysis[[CCCM]:[WASH]],0,MATCH(O$3,tblSeverityAnalysis[[#Headers],[CCCM]:[WASH]],0))=INDEX(tblSeverityAnalysis[[CCCM]:[WASH]],0,MATCH($N6,tblSeverityAnalysis[[#Headers],[CCCM]:[WASH]],0)), 1, 0)))</f>
        <v>23</v>
      </c>
      <c r="P6" s="189" cm="1">
        <f t="array" ref="P6">IF(OR($N6=P$3,P$3="",$N6=""),"",SUM(IF(INDEX(tblSeverityAnalysis[[CCCM]:[WASH]],0,MATCH(P$3,tblSeverityAnalysis[[#Headers],[CCCM]:[WASH]],0))=INDEX(tblSeverityAnalysis[[CCCM]:[WASH]],0,MATCH($N6,tblSeverityAnalysis[[#Headers],[CCCM]:[WASH]],0)), 1, 0)))</f>
        <v>32</v>
      </c>
      <c r="Q6" s="189" t="str" cm="1">
        <f t="array" ref="Q6">IF(OR($N6=Q$3,Q$3="",$N6=""),"",SUM(IF(INDEX(tblSeverityAnalysis[[CCCM]:[WASH]],0,MATCH(Q$3,tblSeverityAnalysis[[#Headers],[CCCM]:[WASH]],0))=INDEX(tblSeverityAnalysis[[CCCM]:[WASH]],0,MATCH($N6,tblSeverityAnalysis[[#Headers],[CCCM]:[WASH]],0)), 1, 0)))</f>
        <v/>
      </c>
      <c r="R6" s="189"/>
      <c r="S6" s="189"/>
      <c r="T6" s="189"/>
      <c r="U6" s="189"/>
      <c r="V6" s="189"/>
      <c r="W6" s="189"/>
      <c r="X6" s="189"/>
      <c r="Y6" s="189"/>
    </row>
    <row r="7" spans="1:25" ht="37.5" customHeight="1" x14ac:dyDescent="0.55000000000000004">
      <c r="A7" s="186" t="str">
        <v>Food Security</v>
      </c>
      <c r="B7" s="189" t="e" cm="1">
        <f t="array" ref="B7">IF(OR($A7=B$3,B$3="",$A7=""),"",SUM(IF(ROUND(INDEX(tblPiNAnalysis[[CCCM%]:[WASH%]], 0, MATCH(_xlfn.CONCAT(B$3,"%"), tblPiNAnalysis[[#Headers],[CCCM%]:[WASH%]], 0)), 1)=ROUND(INDEX(tblPiNAnalysis[[CCCM%]:[WASH%]], 0, MATCH(_xlfn.CONCAT($A7,"%"), tblPiNAnalysis[[#Headers],[CCCM%]:[WASH%]], 0)), 1), 1, 0)))</f>
        <v>#VALUE!</v>
      </c>
      <c r="C7" s="189" t="e" cm="1">
        <f t="array" ref="C7">IF(OR($A7=C$3,C$3="",$A7=""),"",SUM(IF(ROUND(INDEX(tblPiNAnalysis[[CCCM%]:[WASH%]], 0, MATCH(_xlfn.CONCAT(C$3,"%"), tblPiNAnalysis[[#Headers],[CCCM%]:[WASH%]], 0)), 1)=ROUND(INDEX(tblPiNAnalysis[[CCCM%]:[WASH%]], 0, MATCH(_xlfn.CONCAT($A7,"%"), tblPiNAnalysis[[#Headers],[CCCM%]:[WASH%]], 0)), 1), 1, 0)))</f>
        <v>#VALUE!</v>
      </c>
      <c r="D7" s="189" t="e" cm="1">
        <f t="array" ref="D7">IF(OR($A7=D$3,D$3="",$A7=""),"",SUM(IF(ROUND(INDEX(tblPiNAnalysis[[CCCM%]:[WASH%]], 0, MATCH(_xlfn.CONCAT(D$3,"%"), tblPiNAnalysis[[#Headers],[CCCM%]:[WASH%]], 0)), 1)=ROUND(INDEX(tblPiNAnalysis[[CCCM%]:[WASH%]], 0, MATCH(_xlfn.CONCAT($A7,"%"), tblPiNAnalysis[[#Headers],[CCCM%]:[WASH%]], 0)), 1), 1, 0)))</f>
        <v>#VALUE!</v>
      </c>
      <c r="E7" s="189" t="str" cm="1">
        <f t="array" ref="E7">IF(OR($A7=E$3,E$3="",$A7=""),"",SUM(IF(ROUND(INDEX(tblPiNAnalysis[[CCCM%]:[WASH%]], 0, MATCH(_xlfn.CONCAT(E$3,"%"), tblPiNAnalysis[[#Headers],[CCCM%]:[WASH%]], 0)), 1)=ROUND(INDEX(tblPiNAnalysis[[CCCM%]:[WASH%]], 0, MATCH(_xlfn.CONCAT($A7,"%"), tblPiNAnalysis[[#Headers],[CCCM%]:[WASH%]], 0)), 1), 1, 0)))</f>
        <v/>
      </c>
      <c r="F7" s="189"/>
      <c r="G7" s="189"/>
      <c r="H7" s="189"/>
      <c r="I7" s="189"/>
      <c r="J7" s="189"/>
      <c r="K7" s="189"/>
      <c r="L7" s="189"/>
      <c r="M7" s="187"/>
      <c r="N7" s="186" t="str">
        <v>Food Security</v>
      </c>
      <c r="O7" s="189" cm="1">
        <f t="array" ref="O7">IF(OR($N7=O$3,O$3="",$N7=""),"",SUM(IF(INDEX(tblSeverityAnalysis[[CCCM]:[WASH]],0,MATCH(O$3,tblSeverityAnalysis[[#Headers],[CCCM]:[WASH]],0))=INDEX(tblSeverityAnalysis[[CCCM]:[WASH]],0,MATCH($N7,tblSeverityAnalysis[[#Headers],[CCCM]:[WASH]],0)), 1, 0)))</f>
        <v>17</v>
      </c>
      <c r="P7" s="189" cm="1">
        <f t="array" ref="P7">IF(OR($N7=P$3,P$3="",$N7=""),"",SUM(IF(INDEX(tblSeverityAnalysis[[CCCM]:[WASH]],0,MATCH(P$3,tblSeverityAnalysis[[#Headers],[CCCM]:[WASH]],0))=INDEX(tblSeverityAnalysis[[CCCM]:[WASH]],0,MATCH($N7,tblSeverityAnalysis[[#Headers],[CCCM]:[WASH]],0)), 1, 0)))</f>
        <v>44</v>
      </c>
      <c r="Q7" s="189" cm="1">
        <f t="array" ref="Q7">IF(OR($N7=Q$3,Q$3="",$N7=""),"",SUM(IF(INDEX(tblSeverityAnalysis[[CCCM]:[WASH]],0,MATCH(Q$3,tblSeverityAnalysis[[#Headers],[CCCM]:[WASH]],0))=INDEX(tblSeverityAnalysis[[CCCM]:[WASH]],0,MATCH($N7,tblSeverityAnalysis[[#Headers],[CCCM]:[WASH]],0)), 1, 0)))</f>
        <v>37</v>
      </c>
      <c r="R7" s="189" t="str" cm="1">
        <f t="array" ref="R7">IF(OR($N7=R$3,R$3="",$N7=""),"",SUM(IF(INDEX(tblSeverityAnalysis[[CCCM]:[WASH]],0,MATCH(R$3,tblSeverityAnalysis[[#Headers],[CCCM]:[WASH]],0))=INDEX(tblSeverityAnalysis[[CCCM]:[WASH]],0,MATCH($N7,tblSeverityAnalysis[[#Headers],[CCCM]:[WASH]],0)), 1, 0)))</f>
        <v/>
      </c>
      <c r="S7" s="189"/>
      <c r="T7" s="189"/>
      <c r="U7" s="189"/>
      <c r="V7" s="189"/>
      <c r="W7" s="189"/>
      <c r="X7" s="189"/>
      <c r="Y7" s="189"/>
    </row>
    <row r="8" spans="1:25" ht="37.5" customHeight="1" x14ac:dyDescent="0.55000000000000004">
      <c r="A8" s="186" t="str">
        <v>Health</v>
      </c>
      <c r="B8" s="189" t="e" cm="1">
        <f t="array" ref="B8">IF(OR($A8=B$3,B$3="",$A8=""),"",SUM(IF(ROUND(INDEX(tblPiNAnalysis[[CCCM%]:[WASH%]], 0, MATCH(_xlfn.CONCAT(B$3,"%"), tblPiNAnalysis[[#Headers],[CCCM%]:[WASH%]], 0)), 1)=ROUND(INDEX(tblPiNAnalysis[[CCCM%]:[WASH%]], 0, MATCH(_xlfn.CONCAT($A8,"%"), tblPiNAnalysis[[#Headers],[CCCM%]:[WASH%]], 0)), 1), 1, 0)))</f>
        <v>#VALUE!</v>
      </c>
      <c r="C8" s="189" t="e" cm="1">
        <f t="array" ref="C8">IF(OR($A8=C$3,C$3="",$A8=""),"",SUM(IF(ROUND(INDEX(tblPiNAnalysis[[CCCM%]:[WASH%]], 0, MATCH(_xlfn.CONCAT(C$3,"%"), tblPiNAnalysis[[#Headers],[CCCM%]:[WASH%]], 0)), 1)=ROUND(INDEX(tblPiNAnalysis[[CCCM%]:[WASH%]], 0, MATCH(_xlfn.CONCAT($A8,"%"), tblPiNAnalysis[[#Headers],[CCCM%]:[WASH%]], 0)), 1), 1, 0)))</f>
        <v>#VALUE!</v>
      </c>
      <c r="D8" s="189" t="e" cm="1">
        <f t="array" ref="D8">IF(OR($A8=D$3,D$3="",$A8=""),"",SUM(IF(ROUND(INDEX(tblPiNAnalysis[[CCCM%]:[WASH%]], 0, MATCH(_xlfn.CONCAT(D$3,"%"), tblPiNAnalysis[[#Headers],[CCCM%]:[WASH%]], 0)), 1)=ROUND(INDEX(tblPiNAnalysis[[CCCM%]:[WASH%]], 0, MATCH(_xlfn.CONCAT($A8,"%"), tblPiNAnalysis[[#Headers],[CCCM%]:[WASH%]], 0)), 1), 1, 0)))</f>
        <v>#VALUE!</v>
      </c>
      <c r="E8" s="189" t="e" cm="1">
        <f t="array" ref="E8">IF(OR($A8=E$3,E$3="",$A8=""),"",SUM(IF(ROUND(INDEX(tblPiNAnalysis[[CCCM%]:[WASH%]], 0, MATCH(_xlfn.CONCAT(E$3,"%"), tblPiNAnalysis[[#Headers],[CCCM%]:[WASH%]], 0)), 1)=ROUND(INDEX(tblPiNAnalysis[[CCCM%]:[WASH%]], 0, MATCH(_xlfn.CONCAT($A8,"%"), tblPiNAnalysis[[#Headers],[CCCM%]:[WASH%]], 0)), 1), 1, 0)))</f>
        <v>#VALUE!</v>
      </c>
      <c r="F8" s="189" t="str" cm="1">
        <f t="array" ref="F8">IF(OR($A8=F$3,F$3="",$A8=""),"",SUM(IF(ROUND(INDEX(tblPiNAnalysis[[CCCM%]:[WASH%]], 0, MATCH(_xlfn.CONCAT(F$3,"%"), tblPiNAnalysis[[#Headers],[CCCM%]:[WASH%]], 0)), 1)=ROUND(INDEX(tblPiNAnalysis[[CCCM%]:[WASH%]], 0, MATCH(_xlfn.CONCAT($A8,"%"), tblPiNAnalysis[[#Headers],[CCCM%]:[WASH%]], 0)), 1), 1, 0)))</f>
        <v/>
      </c>
      <c r="G8" s="189"/>
      <c r="H8" s="189"/>
      <c r="I8" s="189"/>
      <c r="J8" s="189"/>
      <c r="K8" s="189"/>
      <c r="L8" s="189"/>
      <c r="M8" s="187"/>
      <c r="N8" s="186" t="str">
        <v>Health</v>
      </c>
      <c r="O8" s="189" cm="1">
        <f t="array" ref="O8">IF(OR($N8=O$3,O$3="",$N8=""),"",SUM(IF(INDEX(tblSeverityAnalysis[[CCCM]:[WASH]],0,MATCH(O$3,tblSeverityAnalysis[[#Headers],[CCCM]:[WASH]],0))=INDEX(tblSeverityAnalysis[[CCCM]:[WASH]],0,MATCH($N8,tblSeverityAnalysis[[#Headers],[CCCM]:[WASH]],0)), 1, 0)))</f>
        <v>9</v>
      </c>
      <c r="P8" s="189" cm="1">
        <f t="array" ref="P8">IF(OR($N8=P$3,P$3="",$N8=""),"",SUM(IF(INDEX(tblSeverityAnalysis[[CCCM]:[WASH]],0,MATCH(P$3,tblSeverityAnalysis[[#Headers],[CCCM]:[WASH]],0))=INDEX(tblSeverityAnalysis[[CCCM]:[WASH]],0,MATCH($N8,tblSeverityAnalysis[[#Headers],[CCCM]:[WASH]],0)), 1, 0)))</f>
        <v>14</v>
      </c>
      <c r="Q8" s="189" cm="1">
        <f t="array" ref="Q8">IF(OR($N8=Q$3,Q$3="",$N8=""),"",SUM(IF(INDEX(tblSeverityAnalysis[[CCCM]:[WASH]],0,MATCH(Q$3,tblSeverityAnalysis[[#Headers],[CCCM]:[WASH]],0))=INDEX(tblSeverityAnalysis[[CCCM]:[WASH]],0,MATCH($N8,tblSeverityAnalysis[[#Headers],[CCCM]:[WASH]],0)), 1, 0)))</f>
        <v>10</v>
      </c>
      <c r="R8" s="189" cm="1">
        <f t="array" ref="R8">IF(OR($N8=R$3,R$3="",$N8=""),"",SUM(IF(INDEX(tblSeverityAnalysis[[CCCM]:[WASH]],0,MATCH(R$3,tblSeverityAnalysis[[#Headers],[CCCM]:[WASH]],0))=INDEX(tblSeverityAnalysis[[CCCM]:[WASH]],0,MATCH($N8,tblSeverityAnalysis[[#Headers],[CCCM]:[WASH]],0)), 1, 0)))</f>
        <v>22</v>
      </c>
      <c r="S8" s="189" t="str" cm="1">
        <f t="array" ref="S8">IF(OR($N8=S$3,S$3="",$N8=""),"",SUM(IF(INDEX(tblSeverityAnalysis[[CCCM]:[WASH]],0,MATCH(S$3,tblSeverityAnalysis[[#Headers],[CCCM]:[WASH]],0))=INDEX(tblSeverityAnalysis[[CCCM]:[WASH]],0,MATCH($N8,tblSeverityAnalysis[[#Headers],[CCCM]:[WASH]],0)), 1, 0)))</f>
        <v/>
      </c>
      <c r="T8" s="189"/>
      <c r="U8" s="189"/>
      <c r="V8" s="189"/>
      <c r="W8" s="189"/>
      <c r="X8" s="189"/>
      <c r="Y8" s="189"/>
    </row>
    <row r="9" spans="1:25" ht="37.5" customHeight="1" x14ac:dyDescent="0.55000000000000004">
      <c r="A9" s="186" t="str">
        <v>Overarching Protection</v>
      </c>
      <c r="B9" s="189" t="e" cm="1">
        <f t="array" ref="B9">IF(OR($A9=B$3,B$3="",$A9=""),"",SUM(IF(ROUND(INDEX(tblPiNAnalysis[[CCCM%]:[WASH%]], 0, MATCH(_xlfn.CONCAT(B$3,"%"), tblPiNAnalysis[[#Headers],[CCCM%]:[WASH%]], 0)), 1)=ROUND(INDEX(tblPiNAnalysis[[CCCM%]:[WASH%]], 0, MATCH(_xlfn.CONCAT($A9,"%"), tblPiNAnalysis[[#Headers],[CCCM%]:[WASH%]], 0)), 1), 1, 0)))</f>
        <v>#VALUE!</v>
      </c>
      <c r="C9" s="189" t="e" cm="1">
        <f t="array" ref="C9">IF(OR($A9=C$3,C$3="",$A9=""),"",SUM(IF(ROUND(INDEX(tblPiNAnalysis[[CCCM%]:[WASH%]], 0, MATCH(_xlfn.CONCAT(C$3,"%"), tblPiNAnalysis[[#Headers],[CCCM%]:[WASH%]], 0)), 1)=ROUND(INDEX(tblPiNAnalysis[[CCCM%]:[WASH%]], 0, MATCH(_xlfn.CONCAT($A9,"%"), tblPiNAnalysis[[#Headers],[CCCM%]:[WASH%]], 0)), 1), 1, 0)))</f>
        <v>#VALUE!</v>
      </c>
      <c r="D9" s="189" t="e" cm="1">
        <f t="array" ref="D9">IF(OR($A9=D$3,D$3="",$A9=""),"",SUM(IF(ROUND(INDEX(tblPiNAnalysis[[CCCM%]:[WASH%]], 0, MATCH(_xlfn.CONCAT(D$3,"%"), tblPiNAnalysis[[#Headers],[CCCM%]:[WASH%]], 0)), 1)=ROUND(INDEX(tblPiNAnalysis[[CCCM%]:[WASH%]], 0, MATCH(_xlfn.CONCAT($A9,"%"), tblPiNAnalysis[[#Headers],[CCCM%]:[WASH%]], 0)), 1), 1, 0)))</f>
        <v>#VALUE!</v>
      </c>
      <c r="E9" s="189" t="e" cm="1">
        <f t="array" ref="E9">IF(OR($A9=E$3,E$3="",$A9=""),"",SUM(IF(ROUND(INDEX(tblPiNAnalysis[[CCCM%]:[WASH%]], 0, MATCH(_xlfn.CONCAT(E$3,"%"), tblPiNAnalysis[[#Headers],[CCCM%]:[WASH%]], 0)), 1)=ROUND(INDEX(tblPiNAnalysis[[CCCM%]:[WASH%]], 0, MATCH(_xlfn.CONCAT($A9,"%"), tblPiNAnalysis[[#Headers],[CCCM%]:[WASH%]], 0)), 1), 1, 0)))</f>
        <v>#VALUE!</v>
      </c>
      <c r="F9" s="189" t="e" cm="1">
        <f t="array" ref="F9">IF(OR($A9=F$3,F$3="",$A9=""),"",SUM(IF(ROUND(INDEX(tblPiNAnalysis[[CCCM%]:[WASH%]], 0, MATCH(_xlfn.CONCAT(F$3,"%"), tblPiNAnalysis[[#Headers],[CCCM%]:[WASH%]], 0)), 1)=ROUND(INDEX(tblPiNAnalysis[[CCCM%]:[WASH%]], 0, MATCH(_xlfn.CONCAT($A9,"%"), tblPiNAnalysis[[#Headers],[CCCM%]:[WASH%]], 0)), 1), 1, 0)))</f>
        <v>#VALUE!</v>
      </c>
      <c r="G9" s="189" t="str" cm="1">
        <f t="array" ref="G9">IF(OR($A9=G$3,G$3="",$A9=""),"",SUM(IF(ROUND(INDEX(tblPiNAnalysis[[CCCM%]:[WASH%]], 0, MATCH(_xlfn.CONCAT(G$3,"%"), tblPiNAnalysis[[#Headers],[CCCM%]:[WASH%]], 0)), 1)=ROUND(INDEX(tblPiNAnalysis[[CCCM%]:[WASH%]], 0, MATCH(_xlfn.CONCAT($A9,"%"), tblPiNAnalysis[[#Headers],[CCCM%]:[WASH%]], 0)), 1), 1, 0)))</f>
        <v/>
      </c>
      <c r="H9" s="189"/>
      <c r="I9" s="189"/>
      <c r="J9" s="189"/>
      <c r="K9" s="189"/>
      <c r="L9" s="189"/>
      <c r="M9" s="187"/>
      <c r="N9" s="186" t="str">
        <v>Overarching Protection</v>
      </c>
      <c r="O9" s="189" cm="1">
        <f t="array" ref="O9">IF(OR($N9=O$3,O$3="",$N9=""),"",SUM(IF(INDEX(tblSeverityAnalysis[[CCCM]:[WASH]],0,MATCH(O$3,tblSeverityAnalysis[[#Headers],[CCCM]:[WASH]],0))=INDEX(tblSeverityAnalysis[[CCCM]:[WASH]],0,MATCH($N9,tblSeverityAnalysis[[#Headers],[CCCM]:[WASH]],0)), 1, 0)))</f>
        <v>23</v>
      </c>
      <c r="P9" s="189" cm="1">
        <f t="array" ref="P9">IF(OR($N9=P$3,P$3="",$N9=""),"",SUM(IF(INDEX(tblSeverityAnalysis[[CCCM]:[WASH]],0,MATCH(P$3,tblSeverityAnalysis[[#Headers],[CCCM]:[WASH]],0))=INDEX(tblSeverityAnalysis[[CCCM]:[WASH]],0,MATCH($N9,tblSeverityAnalysis[[#Headers],[CCCM]:[WASH]],0)), 1, 0)))</f>
        <v>47</v>
      </c>
      <c r="Q9" s="189" cm="1">
        <f t="array" ref="Q9">IF(OR($N9=Q$3,Q$3="",$N9=""),"",SUM(IF(INDEX(tblSeverityAnalysis[[CCCM]:[WASH]],0,MATCH(Q$3,tblSeverityAnalysis[[#Headers],[CCCM]:[WASH]],0))=INDEX(tblSeverityAnalysis[[CCCM]:[WASH]],0,MATCH($N9,tblSeverityAnalysis[[#Headers],[CCCM]:[WASH]],0)), 1, 0)))</f>
        <v>32</v>
      </c>
      <c r="R9" s="189" cm="1">
        <f t="array" ref="R9">IF(OR($N9=R$3,R$3="",$N9=""),"",SUM(IF(INDEX(tblSeverityAnalysis[[CCCM]:[WASH]],0,MATCH(R$3,tblSeverityAnalysis[[#Headers],[CCCM]:[WASH]],0))=INDEX(tblSeverityAnalysis[[CCCM]:[WASH]],0,MATCH($N9,tblSeverityAnalysis[[#Headers],[CCCM]:[WASH]],0)), 1, 0)))</f>
        <v>40</v>
      </c>
      <c r="S9" s="189" cm="1">
        <f t="array" ref="S9">IF(OR($N9=S$3,S$3="",$N9=""),"",SUM(IF(INDEX(tblSeverityAnalysis[[CCCM]:[WASH]],0,MATCH(S$3,tblSeverityAnalysis[[#Headers],[CCCM]:[WASH]],0))=INDEX(tblSeverityAnalysis[[CCCM]:[WASH]],0,MATCH($N9,tblSeverityAnalysis[[#Headers],[CCCM]:[WASH]],0)), 1, 0)))</f>
        <v>18</v>
      </c>
      <c r="T9" s="189" t="str" cm="1">
        <f t="array" ref="T9">IF(OR($N9=T$3,T$3="",$N9=""),"",SUM(IF(INDEX(tblSeverityAnalysis[[CCCM]:[WASH]],0,MATCH(T$3,tblSeverityAnalysis[[#Headers],[CCCM]:[WASH]],0))=INDEX(tblSeverityAnalysis[[CCCM]:[WASH]],0,MATCH($N9,tblSeverityAnalysis[[#Headers],[CCCM]:[WASH]],0)), 1, 0)))</f>
        <v/>
      </c>
      <c r="U9" s="189"/>
      <c r="V9" s="189"/>
      <c r="W9" s="189"/>
      <c r="X9" s="189"/>
      <c r="Y9" s="189"/>
    </row>
    <row r="10" spans="1:25" ht="37.5" customHeight="1" x14ac:dyDescent="0.55000000000000004">
      <c r="A10" s="186" t="str">
        <v>Shelter</v>
      </c>
      <c r="B10" s="189" t="e" cm="1">
        <f t="array" ref="B10">IF(OR($A10=B$3,B$3="",$A10=""),"",SUM(IF(ROUND(INDEX(tblPiNAnalysis[[CCCM%]:[WASH%]], 0, MATCH(_xlfn.CONCAT(B$3,"%"), tblPiNAnalysis[[#Headers],[CCCM%]:[WASH%]], 0)), 1)=ROUND(INDEX(tblPiNAnalysis[[CCCM%]:[WASH%]], 0, MATCH(_xlfn.CONCAT($A10,"%"), tblPiNAnalysis[[#Headers],[CCCM%]:[WASH%]], 0)), 1), 1, 0)))</f>
        <v>#VALUE!</v>
      </c>
      <c r="C10" s="189" t="e" cm="1">
        <f t="array" ref="C10">IF(OR($A10=C$3,C$3="",$A10=""),"",SUM(IF(ROUND(INDEX(tblPiNAnalysis[[CCCM%]:[WASH%]], 0, MATCH(_xlfn.CONCAT(C$3,"%"), tblPiNAnalysis[[#Headers],[CCCM%]:[WASH%]], 0)), 1)=ROUND(INDEX(tblPiNAnalysis[[CCCM%]:[WASH%]], 0, MATCH(_xlfn.CONCAT($A10,"%"), tblPiNAnalysis[[#Headers],[CCCM%]:[WASH%]], 0)), 1), 1, 0)))</f>
        <v>#VALUE!</v>
      </c>
      <c r="D10" s="189" t="e" cm="1">
        <f t="array" ref="D10">IF(OR($A10=D$3,D$3="",$A10=""),"",SUM(IF(ROUND(INDEX(tblPiNAnalysis[[CCCM%]:[WASH%]], 0, MATCH(_xlfn.CONCAT(D$3,"%"), tblPiNAnalysis[[#Headers],[CCCM%]:[WASH%]], 0)), 1)=ROUND(INDEX(tblPiNAnalysis[[CCCM%]:[WASH%]], 0, MATCH(_xlfn.CONCAT($A10,"%"), tblPiNAnalysis[[#Headers],[CCCM%]:[WASH%]], 0)), 1), 1, 0)))</f>
        <v>#VALUE!</v>
      </c>
      <c r="E10" s="189" t="e" cm="1">
        <f t="array" ref="E10">IF(OR($A10=E$3,E$3="",$A10=""),"",SUM(IF(ROUND(INDEX(tblPiNAnalysis[[CCCM%]:[WASH%]], 0, MATCH(_xlfn.CONCAT(E$3,"%"), tblPiNAnalysis[[#Headers],[CCCM%]:[WASH%]], 0)), 1)=ROUND(INDEX(tblPiNAnalysis[[CCCM%]:[WASH%]], 0, MATCH(_xlfn.CONCAT($A10,"%"), tblPiNAnalysis[[#Headers],[CCCM%]:[WASH%]], 0)), 1), 1, 0)))</f>
        <v>#VALUE!</v>
      </c>
      <c r="F10" s="189" t="e" cm="1">
        <f t="array" ref="F10">IF(OR($A10=F$3,F$3="",$A10=""),"",SUM(IF(ROUND(INDEX(tblPiNAnalysis[[CCCM%]:[WASH%]], 0, MATCH(_xlfn.CONCAT(F$3,"%"), tblPiNAnalysis[[#Headers],[CCCM%]:[WASH%]], 0)), 1)=ROUND(INDEX(tblPiNAnalysis[[CCCM%]:[WASH%]], 0, MATCH(_xlfn.CONCAT($A10,"%"), tblPiNAnalysis[[#Headers],[CCCM%]:[WASH%]], 0)), 1), 1, 0)))</f>
        <v>#VALUE!</v>
      </c>
      <c r="G10" s="189" t="e" cm="1">
        <f t="array" ref="G10">IF(OR($A10=G$3,G$3="",$A10=""),"",SUM(IF(ROUND(INDEX(tblPiNAnalysis[[CCCM%]:[WASH%]], 0, MATCH(_xlfn.CONCAT(G$3,"%"), tblPiNAnalysis[[#Headers],[CCCM%]:[WASH%]], 0)), 1)=ROUND(INDEX(tblPiNAnalysis[[CCCM%]:[WASH%]], 0, MATCH(_xlfn.CONCAT($A10,"%"), tblPiNAnalysis[[#Headers],[CCCM%]:[WASH%]], 0)), 1), 1, 0)))</f>
        <v>#VALUE!</v>
      </c>
      <c r="H10" s="189" t="str" cm="1">
        <f t="array" ref="H10">IF(OR($A10=H$3,H$3="",$A10=""),"",SUM(IF(ROUND(INDEX(tblPiNAnalysis[[CCCM%]:[WASH%]], 0, MATCH(_xlfn.CONCAT(H$3,"%"), tblPiNAnalysis[[#Headers],[CCCM%]:[WASH%]], 0)), 1)=ROUND(INDEX(tblPiNAnalysis[[CCCM%]:[WASH%]], 0, MATCH(_xlfn.CONCAT($A10,"%"), tblPiNAnalysis[[#Headers],[CCCM%]:[WASH%]], 0)), 1), 1, 0)))</f>
        <v/>
      </c>
      <c r="I10" s="189"/>
      <c r="J10" s="189"/>
      <c r="K10" s="189"/>
      <c r="L10" s="189"/>
      <c r="M10" s="187"/>
      <c r="N10" s="186" t="str">
        <v>Shelter</v>
      </c>
      <c r="O10" s="189" cm="1">
        <f t="array" ref="O10">IF(OR($N10=O$3,O$3="",$N10=""),"",SUM(IF(INDEX(tblSeverityAnalysis[[CCCM]:[WASH]],0,MATCH(O$3,tblSeverityAnalysis[[#Headers],[CCCM]:[WASH]],0))=INDEX(tblSeverityAnalysis[[CCCM]:[WASH]],0,MATCH($N10,tblSeverityAnalysis[[#Headers],[CCCM]:[WASH]],0)), 1, 0)))</f>
        <v>45</v>
      </c>
      <c r="P10" s="189" cm="1">
        <f t="array" ref="P10">IF(OR($N10=P$3,P$3="",$N10=""),"",SUM(IF(INDEX(tblSeverityAnalysis[[CCCM]:[WASH]],0,MATCH(P$3,tblSeverityAnalysis[[#Headers],[CCCM]:[WASH]],0))=INDEX(tblSeverityAnalysis[[CCCM]:[WASH]],0,MATCH($N10,tblSeverityAnalysis[[#Headers],[CCCM]:[WASH]],0)), 1, 0)))</f>
        <v>35</v>
      </c>
      <c r="Q10" s="189" cm="1">
        <f t="array" ref="Q10">IF(OR($N10=Q$3,Q$3="",$N10=""),"",SUM(IF(INDEX(tblSeverityAnalysis[[CCCM]:[WASH]],0,MATCH(Q$3,tblSeverityAnalysis[[#Headers],[CCCM]:[WASH]],0))=INDEX(tblSeverityAnalysis[[CCCM]:[WASH]],0,MATCH($N10,tblSeverityAnalysis[[#Headers],[CCCM]:[WASH]],0)), 1, 0)))</f>
        <v>28</v>
      </c>
      <c r="R10" s="189" cm="1">
        <f t="array" ref="R10">IF(OR($N10=R$3,R$3="",$N10=""),"",SUM(IF(INDEX(tblSeverityAnalysis[[CCCM]:[WASH]],0,MATCH(R$3,tblSeverityAnalysis[[#Headers],[CCCM]:[WASH]],0))=INDEX(tblSeverityAnalysis[[CCCM]:[WASH]],0,MATCH($N10,tblSeverityAnalysis[[#Headers],[CCCM]:[WASH]],0)), 1, 0)))</f>
        <v>24</v>
      </c>
      <c r="S10" s="189" cm="1">
        <f t="array" ref="S10">IF(OR($N10=S$3,S$3="",$N10=""),"",SUM(IF(INDEX(tblSeverityAnalysis[[CCCM]:[WASH]],0,MATCH(S$3,tblSeverityAnalysis[[#Headers],[CCCM]:[WASH]],0))=INDEX(tblSeverityAnalysis[[CCCM]:[WASH]],0,MATCH($N10,tblSeverityAnalysis[[#Headers],[CCCM]:[WASH]],0)), 1, 0)))</f>
        <v>9</v>
      </c>
      <c r="T10" s="189" cm="1">
        <f t="array" ref="T10">IF(OR($N10=T$3,T$3="",$N10=""),"",SUM(IF(INDEX(tblSeverityAnalysis[[CCCM]:[WASH]],0,MATCH(T$3,tblSeverityAnalysis[[#Headers],[CCCM]:[WASH]],0))=INDEX(tblSeverityAnalysis[[CCCM]:[WASH]],0,MATCH($N10,tblSeverityAnalysis[[#Headers],[CCCM]:[WASH]],0)), 1, 0)))</f>
        <v>30</v>
      </c>
      <c r="U10" s="189" t="str" cm="1">
        <f t="array" ref="U10">IF(OR($N10=U$3,U$3="",$N10=""),"",SUM(IF(INDEX(tblSeverityAnalysis[[CCCM]:[WASH]],0,MATCH(U$3,tblSeverityAnalysis[[#Headers],[CCCM]:[WASH]],0))=INDEX(tblSeverityAnalysis[[CCCM]:[WASH]],0,MATCH($N10,tblSeverityAnalysis[[#Headers],[CCCM]:[WASH]],0)), 1, 0)))</f>
        <v/>
      </c>
      <c r="V10" s="189"/>
      <c r="W10" s="189"/>
      <c r="X10" s="189"/>
      <c r="Y10" s="189"/>
    </row>
    <row r="11" spans="1:25" ht="37.5" customHeight="1" x14ac:dyDescent="0.55000000000000004">
      <c r="A11" s="186" t="str">
        <v>WASH</v>
      </c>
      <c r="B11" s="189" t="e" cm="1">
        <f t="array" ref="B11">IF(OR($A11=B$3,B$3="",$A11=""),"",SUM(IF(ROUND(INDEX(tblPiNAnalysis[[CCCM%]:[WASH%]], 0, MATCH(_xlfn.CONCAT(B$3,"%"), tblPiNAnalysis[[#Headers],[CCCM%]:[WASH%]], 0)), 1)=ROUND(INDEX(tblPiNAnalysis[[CCCM%]:[WASH%]], 0, MATCH(_xlfn.CONCAT($A11,"%"), tblPiNAnalysis[[#Headers],[CCCM%]:[WASH%]], 0)), 1), 1, 0)))</f>
        <v>#VALUE!</v>
      </c>
      <c r="C11" s="189" t="e" cm="1">
        <f t="array" ref="C11">IF(OR($A11=C$3,C$3="",$A11=""),"",SUM(IF(ROUND(INDEX(tblPiNAnalysis[[CCCM%]:[WASH%]], 0, MATCH(_xlfn.CONCAT(C$3,"%"), tblPiNAnalysis[[#Headers],[CCCM%]:[WASH%]], 0)), 1)=ROUND(INDEX(tblPiNAnalysis[[CCCM%]:[WASH%]], 0, MATCH(_xlfn.CONCAT($A11,"%"), tblPiNAnalysis[[#Headers],[CCCM%]:[WASH%]], 0)), 1), 1, 0)))</f>
        <v>#VALUE!</v>
      </c>
      <c r="D11" s="189" t="e" cm="1">
        <f t="array" ref="D11">IF(OR($A11=D$3,D$3="",$A11=""),"",SUM(IF(ROUND(INDEX(tblPiNAnalysis[[CCCM%]:[WASH%]], 0, MATCH(_xlfn.CONCAT(D$3,"%"), tblPiNAnalysis[[#Headers],[CCCM%]:[WASH%]], 0)), 1)=ROUND(INDEX(tblPiNAnalysis[[CCCM%]:[WASH%]], 0, MATCH(_xlfn.CONCAT($A11,"%"), tblPiNAnalysis[[#Headers],[CCCM%]:[WASH%]], 0)), 1), 1, 0)))</f>
        <v>#VALUE!</v>
      </c>
      <c r="E11" s="189" t="e" cm="1">
        <f t="array" ref="E11">IF(OR($A11=E$3,E$3="",$A11=""),"",SUM(IF(ROUND(INDEX(tblPiNAnalysis[[CCCM%]:[WASH%]], 0, MATCH(_xlfn.CONCAT(E$3,"%"), tblPiNAnalysis[[#Headers],[CCCM%]:[WASH%]], 0)), 1)=ROUND(INDEX(tblPiNAnalysis[[CCCM%]:[WASH%]], 0, MATCH(_xlfn.CONCAT($A11,"%"), tblPiNAnalysis[[#Headers],[CCCM%]:[WASH%]], 0)), 1), 1, 0)))</f>
        <v>#VALUE!</v>
      </c>
      <c r="F11" s="189" t="e" cm="1">
        <f t="array" ref="F11">IF(OR($A11=F$3,F$3="",$A11=""),"",SUM(IF(ROUND(INDEX(tblPiNAnalysis[[CCCM%]:[WASH%]], 0, MATCH(_xlfn.CONCAT(F$3,"%"), tblPiNAnalysis[[#Headers],[CCCM%]:[WASH%]], 0)), 1)=ROUND(INDEX(tblPiNAnalysis[[CCCM%]:[WASH%]], 0, MATCH(_xlfn.CONCAT($A11,"%"), tblPiNAnalysis[[#Headers],[CCCM%]:[WASH%]], 0)), 1), 1, 0)))</f>
        <v>#VALUE!</v>
      </c>
      <c r="G11" s="189" t="e" cm="1">
        <f t="array" ref="G11">IF(OR($A11=G$3,G$3="",$A11=""),"",SUM(IF(ROUND(INDEX(tblPiNAnalysis[[CCCM%]:[WASH%]], 0, MATCH(_xlfn.CONCAT(G$3,"%"), tblPiNAnalysis[[#Headers],[CCCM%]:[WASH%]], 0)), 1)=ROUND(INDEX(tblPiNAnalysis[[CCCM%]:[WASH%]], 0, MATCH(_xlfn.CONCAT($A11,"%"), tblPiNAnalysis[[#Headers],[CCCM%]:[WASH%]], 0)), 1), 1, 0)))</f>
        <v>#VALUE!</v>
      </c>
      <c r="H11" s="189" t="e" cm="1">
        <f t="array" ref="H11">IF(OR($A11=H$3,H$3="",$A11=""),"",SUM(IF(ROUND(INDEX(tblPiNAnalysis[[CCCM%]:[WASH%]], 0, MATCH(_xlfn.CONCAT(H$3,"%"), tblPiNAnalysis[[#Headers],[CCCM%]:[WASH%]], 0)), 1)=ROUND(INDEX(tblPiNAnalysis[[CCCM%]:[WASH%]], 0, MATCH(_xlfn.CONCAT($A11,"%"), tblPiNAnalysis[[#Headers],[CCCM%]:[WASH%]], 0)), 1), 1, 0)))</f>
        <v>#VALUE!</v>
      </c>
      <c r="I11" s="189" t="str" cm="1">
        <f t="array" ref="I11">IF(OR($A11=I$3,I$3="",$A11=""),"",SUM(IF(ROUND(INDEX(tblPiNAnalysis[[CCCM%]:[WASH%]], 0, MATCH(_xlfn.CONCAT(I$3,"%"), tblPiNAnalysis[[#Headers],[CCCM%]:[WASH%]], 0)), 1)=ROUND(INDEX(tblPiNAnalysis[[CCCM%]:[WASH%]], 0, MATCH(_xlfn.CONCAT($A11,"%"), tblPiNAnalysis[[#Headers],[CCCM%]:[WASH%]], 0)), 1), 1, 0)))</f>
        <v/>
      </c>
      <c r="J11" s="189"/>
      <c r="K11" s="189"/>
      <c r="L11" s="189"/>
      <c r="M11" s="187"/>
      <c r="N11" s="186" t="str">
        <v>WASH</v>
      </c>
      <c r="O11" s="189" cm="1">
        <f t="array" ref="O11">IF(OR($N11=O$3,O$3="",$N11=""),"",SUM(IF(INDEX(tblSeverityAnalysis[[CCCM]:[WASH]],0,MATCH(O$3,tblSeverityAnalysis[[#Headers],[CCCM]:[WASH]],0))=INDEX(tblSeverityAnalysis[[CCCM]:[WASH]],0,MATCH($N11,tblSeverityAnalysis[[#Headers],[CCCM]:[WASH]],0)), 1, 0)))</f>
        <v>21</v>
      </c>
      <c r="P11" s="189" cm="1">
        <f t="array" ref="P11">IF(OR($N11=P$3,P$3="",$N11=""),"",SUM(IF(INDEX(tblSeverityAnalysis[[CCCM]:[WASH]],0,MATCH(P$3,tblSeverityAnalysis[[#Headers],[CCCM]:[WASH]],0))=INDEX(tblSeverityAnalysis[[CCCM]:[WASH]],0,MATCH($N11,tblSeverityAnalysis[[#Headers],[CCCM]:[WASH]],0)), 1, 0)))</f>
        <v>34</v>
      </c>
      <c r="Q11" s="189" cm="1">
        <f t="array" ref="Q11">IF(OR($N11=Q$3,Q$3="",$N11=""),"",SUM(IF(INDEX(tblSeverityAnalysis[[CCCM]:[WASH]],0,MATCH(Q$3,tblSeverityAnalysis[[#Headers],[CCCM]:[WASH]],0))=INDEX(tblSeverityAnalysis[[CCCM]:[WASH]],0,MATCH($N11,tblSeverityAnalysis[[#Headers],[CCCM]:[WASH]],0)), 1, 0)))</f>
        <v>24</v>
      </c>
      <c r="R11" s="189" cm="1">
        <f t="array" ref="R11">IF(OR($N11=R$3,R$3="",$N11=""),"",SUM(IF(INDEX(tblSeverityAnalysis[[CCCM]:[WASH]],0,MATCH(R$3,tblSeverityAnalysis[[#Headers],[CCCM]:[WASH]],0))=INDEX(tblSeverityAnalysis[[CCCM]:[WASH]],0,MATCH($N11,tblSeverityAnalysis[[#Headers],[CCCM]:[WASH]],0)), 1, 0)))</f>
        <v>33</v>
      </c>
      <c r="S11" s="189" cm="1">
        <f t="array" ref="S11">IF(OR($N11=S$3,S$3="",$N11=""),"",SUM(IF(INDEX(tblSeverityAnalysis[[CCCM]:[WASH]],0,MATCH(S$3,tblSeverityAnalysis[[#Headers],[CCCM]:[WASH]],0))=INDEX(tblSeverityAnalysis[[CCCM]:[WASH]],0,MATCH($N11,tblSeverityAnalysis[[#Headers],[CCCM]:[WASH]],0)), 1, 0)))</f>
        <v>11</v>
      </c>
      <c r="T11" s="189" cm="1">
        <f t="array" ref="T11">IF(OR($N11=T$3,T$3="",$N11=""),"",SUM(IF(INDEX(tblSeverityAnalysis[[CCCM]:[WASH]],0,MATCH(T$3,tblSeverityAnalysis[[#Headers],[CCCM]:[WASH]],0))=INDEX(tblSeverityAnalysis[[CCCM]:[WASH]],0,MATCH($N11,tblSeverityAnalysis[[#Headers],[CCCM]:[WASH]],0)), 1, 0)))</f>
        <v>35</v>
      </c>
      <c r="U11" s="189" cm="1">
        <f t="array" ref="U11">IF(OR($N11=U$3,U$3="",$N11=""),"",SUM(IF(INDEX(tblSeverityAnalysis[[CCCM]:[WASH]],0,MATCH(U$3,tblSeverityAnalysis[[#Headers],[CCCM]:[WASH]],0))=INDEX(tblSeverityAnalysis[[CCCM]:[WASH]],0,MATCH($N11,tblSeverityAnalysis[[#Headers],[CCCM]:[WASH]],0)), 1, 0)))</f>
        <v>27</v>
      </c>
      <c r="V11" s="189" t="str" cm="1">
        <f t="array" ref="V11">IF(OR($N11=V$3,V$3="",$N11=""),"",SUM(IF(INDEX(tblSeverityAnalysis[[CCCM]:[WASH]],0,MATCH(V$3,tblSeverityAnalysis[[#Headers],[CCCM]:[WASH]],0))=INDEX(tblSeverityAnalysis[[CCCM]:[WASH]],0,MATCH($N11,tblSeverityAnalysis[[#Headers],[CCCM]:[WASH]],0)), 1, 0)))</f>
        <v/>
      </c>
      <c r="W11" s="189"/>
      <c r="X11" s="189"/>
      <c r="Y11" s="189"/>
    </row>
    <row r="12" spans="1:25" ht="37.5" customHeight="1" x14ac:dyDescent="0.55000000000000004">
      <c r="A12" s="186"/>
      <c r="B12" s="189" t="str" cm="1">
        <f t="array" ref="B12">IF(OR($A12=B$3,B$3="",$A12=""),"",SUM(IF(ROUND(INDEX(tblPiNAnalysis[[CCCM%]:[WASH%]], 0, MATCH(_xlfn.CONCAT(B$3,"%"), tblPiNAnalysis[[#Headers],[CCCM%]:[WASH%]], 0)), 1)=ROUND(INDEX(tblPiNAnalysis[[CCCM%]:[WASH%]], 0, MATCH(_xlfn.CONCAT($A12,"%"), tblPiNAnalysis[[#Headers],[CCCM%]:[WASH%]], 0)), 1), 1, 0)))</f>
        <v/>
      </c>
      <c r="C12" s="189" t="str" cm="1">
        <f t="array" ref="C12">IF(OR($A12=C$3,C$3="",$A12=""),"",SUM(IF(ROUND(INDEX(tblPiNAnalysis[[CCCM%]:[WASH%]], 0, MATCH(_xlfn.CONCAT(C$3,"%"), tblPiNAnalysis[[#Headers],[CCCM%]:[WASH%]], 0)), 1)=ROUND(INDEX(tblPiNAnalysis[[CCCM%]:[WASH%]], 0, MATCH(_xlfn.CONCAT($A12,"%"), tblPiNAnalysis[[#Headers],[CCCM%]:[WASH%]], 0)), 1), 1, 0)))</f>
        <v/>
      </c>
      <c r="D12" s="189" t="str" cm="1">
        <f t="array" ref="D12">IF(OR($A12=D$3,D$3="",$A12=""),"",SUM(IF(ROUND(INDEX(tblPiNAnalysis[[CCCM%]:[WASH%]], 0, MATCH(_xlfn.CONCAT(D$3,"%"), tblPiNAnalysis[[#Headers],[CCCM%]:[WASH%]], 0)), 1)=ROUND(INDEX(tblPiNAnalysis[[CCCM%]:[WASH%]], 0, MATCH(_xlfn.CONCAT($A12,"%"), tblPiNAnalysis[[#Headers],[CCCM%]:[WASH%]], 0)), 1), 1, 0)))</f>
        <v/>
      </c>
      <c r="E12" s="189" t="str" cm="1">
        <f t="array" ref="E12">IF(OR($A12=E$3,E$3="",$A12=""),"",SUM(IF(ROUND(INDEX(tblPiNAnalysis[[CCCM%]:[WASH%]], 0, MATCH(_xlfn.CONCAT(E$3,"%"), tblPiNAnalysis[[#Headers],[CCCM%]:[WASH%]], 0)), 1)=ROUND(INDEX(tblPiNAnalysis[[CCCM%]:[WASH%]], 0, MATCH(_xlfn.CONCAT($A12,"%"), tblPiNAnalysis[[#Headers],[CCCM%]:[WASH%]], 0)), 1), 1, 0)))</f>
        <v/>
      </c>
      <c r="F12" s="189" t="str" cm="1">
        <f t="array" ref="F12">IF(OR($A12=F$3,F$3="",$A12=""),"",SUM(IF(ROUND(INDEX(tblPiNAnalysis[[CCCM%]:[WASH%]], 0, MATCH(_xlfn.CONCAT(F$3,"%"), tblPiNAnalysis[[#Headers],[CCCM%]:[WASH%]], 0)), 1)=ROUND(INDEX(tblPiNAnalysis[[CCCM%]:[WASH%]], 0, MATCH(_xlfn.CONCAT($A12,"%"), tblPiNAnalysis[[#Headers],[CCCM%]:[WASH%]], 0)), 1), 1, 0)))</f>
        <v/>
      </c>
      <c r="G12" s="189" t="str" cm="1">
        <f t="array" ref="G12">IF(OR($A12=G$3,G$3="",$A12=""),"",SUM(IF(ROUND(INDEX(tblPiNAnalysis[[CCCM%]:[WASH%]], 0, MATCH(_xlfn.CONCAT(G$3,"%"), tblPiNAnalysis[[#Headers],[CCCM%]:[WASH%]], 0)), 1)=ROUND(INDEX(tblPiNAnalysis[[CCCM%]:[WASH%]], 0, MATCH(_xlfn.CONCAT($A12,"%"), tblPiNAnalysis[[#Headers],[CCCM%]:[WASH%]], 0)), 1), 1, 0)))</f>
        <v/>
      </c>
      <c r="H12" s="189" t="str" cm="1">
        <f t="array" ref="H12">IF(OR($A12=H$3,H$3="",$A12=""),"",SUM(IF(ROUND(INDEX(tblPiNAnalysis[[CCCM%]:[WASH%]], 0, MATCH(_xlfn.CONCAT(H$3,"%"), tblPiNAnalysis[[#Headers],[CCCM%]:[WASH%]], 0)), 1)=ROUND(INDEX(tblPiNAnalysis[[CCCM%]:[WASH%]], 0, MATCH(_xlfn.CONCAT($A12,"%"), tblPiNAnalysis[[#Headers],[CCCM%]:[WASH%]], 0)), 1), 1, 0)))</f>
        <v/>
      </c>
      <c r="I12" s="189" t="str" cm="1">
        <f t="array" ref="I12">IF(OR($A12=I$3,I$3="",$A12=""),"",SUM(IF(ROUND(INDEX(tblPiNAnalysis[[CCCM%]:[WASH%]], 0, MATCH(_xlfn.CONCAT(I$3,"%"), tblPiNAnalysis[[#Headers],[CCCM%]:[WASH%]], 0)), 1)=ROUND(INDEX(tblPiNAnalysis[[CCCM%]:[WASH%]], 0, MATCH(_xlfn.CONCAT($A12,"%"), tblPiNAnalysis[[#Headers],[CCCM%]:[WASH%]], 0)), 1), 1, 0)))</f>
        <v/>
      </c>
      <c r="J12" s="189" t="str" cm="1">
        <f t="array" ref="J12">IF(OR($A12=J$3,J$3="",$A12=""),"",SUM(IF(ROUND(INDEX(tblPiNAnalysis[[CCCM%]:[WASH%]], 0, MATCH(_xlfn.CONCAT(J$3,"%"), tblPiNAnalysis[[#Headers],[CCCM%]:[WASH%]], 0)), 1)=ROUND(INDEX(tblPiNAnalysis[[CCCM%]:[WASH%]], 0, MATCH(_xlfn.CONCAT($A12,"%"), tblPiNAnalysis[[#Headers],[CCCM%]:[WASH%]], 0)), 1), 1, 0)))</f>
        <v/>
      </c>
      <c r="K12" s="189"/>
      <c r="L12" s="189"/>
      <c r="M12" s="187"/>
      <c r="N12" s="186"/>
      <c r="O12" s="189" t="str" cm="1">
        <f t="array" ref="O12">IF(OR($N12=O$3,O$3="",$N12=""),"",SUM(IF(INDEX(tblSeverityAnalysis[[CCCM]:[WASH]],0,MATCH(O$3,tblSeverityAnalysis[[#Headers],[CCCM]:[WASH]],0))=INDEX(tblSeverityAnalysis[[CCCM]:[WASH]],0,MATCH($N12,tblSeverityAnalysis[[#Headers],[CCCM]:[WASH]],0)), 1, 0)))</f>
        <v/>
      </c>
      <c r="P12" s="189" t="str" cm="1">
        <f t="array" ref="P12">IF(OR($N12=P$3,P$3="",$N12=""),"",SUM(IF(INDEX(tblSeverityAnalysis[[CCCM]:[WASH]],0,MATCH(P$3,tblSeverityAnalysis[[#Headers],[CCCM]:[WASH]],0))=INDEX(tblSeverityAnalysis[[CCCM]:[WASH]],0,MATCH($N12,tblSeverityAnalysis[[#Headers],[CCCM]:[WASH]],0)), 1, 0)))</f>
        <v/>
      </c>
      <c r="Q12" s="189" t="str" cm="1">
        <f t="array" ref="Q12">IF(OR($N12=Q$3,Q$3="",$N12=""),"",SUM(IF(INDEX(tblSeverityAnalysis[[CCCM]:[WASH]],0,MATCH(Q$3,tblSeverityAnalysis[[#Headers],[CCCM]:[WASH]],0))=INDEX(tblSeverityAnalysis[[CCCM]:[WASH]],0,MATCH($N12,tblSeverityAnalysis[[#Headers],[CCCM]:[WASH]],0)), 1, 0)))</f>
        <v/>
      </c>
      <c r="R12" s="189" t="str" cm="1">
        <f t="array" ref="R12">IF(OR($N12=R$3,R$3="",$N12=""),"",SUM(IF(INDEX(tblSeverityAnalysis[[CCCM]:[WASH]],0,MATCH(R$3,tblSeverityAnalysis[[#Headers],[CCCM]:[WASH]],0))=INDEX(tblSeverityAnalysis[[CCCM]:[WASH]],0,MATCH($N12,tblSeverityAnalysis[[#Headers],[CCCM]:[WASH]],0)), 1, 0)))</f>
        <v/>
      </c>
      <c r="S12" s="189" t="str" cm="1">
        <f t="array" ref="S12">IF(OR($N12=S$3,S$3="",$N12=""),"",SUM(IF(INDEX(tblSeverityAnalysis[[CCCM]:[WASH]],0,MATCH(S$3,tblSeverityAnalysis[[#Headers],[CCCM]:[WASH]],0))=INDEX(tblSeverityAnalysis[[CCCM]:[WASH]],0,MATCH($N12,tblSeverityAnalysis[[#Headers],[CCCM]:[WASH]],0)), 1, 0)))</f>
        <v/>
      </c>
      <c r="T12" s="189" t="str" cm="1">
        <f t="array" ref="T12">IF(OR($N12=T$3,T$3="",$N12=""),"",SUM(IF(INDEX(tblSeverityAnalysis[[CCCM]:[WASH]],0,MATCH(T$3,tblSeverityAnalysis[[#Headers],[CCCM]:[WASH]],0))=INDEX(tblSeverityAnalysis[[CCCM]:[WASH]],0,MATCH($N12,tblSeverityAnalysis[[#Headers],[CCCM]:[WASH]],0)), 1, 0)))</f>
        <v/>
      </c>
      <c r="U12" s="189" t="str" cm="1">
        <f t="array" ref="U12">IF(OR($N12=U$3,U$3="",$N12=""),"",SUM(IF(INDEX(tblSeverityAnalysis[[CCCM]:[WASH]],0,MATCH(U$3,tblSeverityAnalysis[[#Headers],[CCCM]:[WASH]],0))=INDEX(tblSeverityAnalysis[[CCCM]:[WASH]],0,MATCH($N12,tblSeverityAnalysis[[#Headers],[CCCM]:[WASH]],0)), 1, 0)))</f>
        <v/>
      </c>
      <c r="V12" s="189" t="str" cm="1">
        <f t="array" ref="V12">IF(OR($N12=V$3,V$3="",$N12=""),"",SUM(IF(INDEX(tblSeverityAnalysis[[CCCM]:[WASH]],0,MATCH(V$3,tblSeverityAnalysis[[#Headers],[CCCM]:[WASH]],0))=INDEX(tblSeverityAnalysis[[CCCM]:[WASH]],0,MATCH($N12,tblSeverityAnalysis[[#Headers],[CCCM]:[WASH]],0)), 1, 0)))</f>
        <v/>
      </c>
      <c r="W12" s="189" t="str" cm="1">
        <f t="array" ref="W12">IF(OR($N12=W$3,W$3="",$N12=""),"",SUM(IF(INDEX(tblSeverityAnalysis[[CCCM]:[WASH]],0,MATCH(W$3,tblSeverityAnalysis[[#Headers],[CCCM]:[WASH]],0))=INDEX(tblSeverityAnalysis[[CCCM]:[WASH]],0,MATCH($N12,tblSeverityAnalysis[[#Headers],[CCCM]:[WASH]],0)), 1, 0)))</f>
        <v/>
      </c>
      <c r="X12" s="189"/>
      <c r="Y12" s="189"/>
    </row>
    <row r="13" spans="1:25" ht="37.5" customHeight="1" x14ac:dyDescent="0.55000000000000004">
      <c r="A13" s="186"/>
      <c r="B13" s="189" t="str" cm="1">
        <f t="array" ref="B13">IF(OR($A13=B$3,B$3="",$A13=""),"",SUM(IF(ROUND(INDEX(tblPiNAnalysis[[CCCM%]:[WASH%]], 0, MATCH(_xlfn.CONCAT(B$3,"%"), tblPiNAnalysis[[#Headers],[CCCM%]:[WASH%]], 0)), 1)=ROUND(INDEX(tblPiNAnalysis[[CCCM%]:[WASH%]], 0, MATCH(_xlfn.CONCAT($A13,"%"), tblPiNAnalysis[[#Headers],[CCCM%]:[WASH%]], 0)), 1), 1, 0)))</f>
        <v/>
      </c>
      <c r="C13" s="189" t="str" cm="1">
        <f t="array" ref="C13">IF(OR($A13=C$3,C$3="",$A13=""),"",SUM(IF(ROUND(INDEX(tblPiNAnalysis[[CCCM%]:[WASH%]], 0, MATCH(_xlfn.CONCAT(C$3,"%"), tblPiNAnalysis[[#Headers],[CCCM%]:[WASH%]], 0)), 1)=ROUND(INDEX(tblPiNAnalysis[[CCCM%]:[WASH%]], 0, MATCH(_xlfn.CONCAT($A13,"%"), tblPiNAnalysis[[#Headers],[CCCM%]:[WASH%]], 0)), 1), 1, 0)))</f>
        <v/>
      </c>
      <c r="D13" s="189" t="str" cm="1">
        <f t="array" ref="D13">IF(OR($A13=D$3,D$3="",$A13=""),"",SUM(IF(ROUND(INDEX(tblPiNAnalysis[[CCCM%]:[WASH%]], 0, MATCH(_xlfn.CONCAT(D$3,"%"), tblPiNAnalysis[[#Headers],[CCCM%]:[WASH%]], 0)), 1)=ROUND(INDEX(tblPiNAnalysis[[CCCM%]:[WASH%]], 0, MATCH(_xlfn.CONCAT($A13,"%"), tblPiNAnalysis[[#Headers],[CCCM%]:[WASH%]], 0)), 1), 1, 0)))</f>
        <v/>
      </c>
      <c r="E13" s="189" t="str" cm="1">
        <f t="array" ref="E13">IF(OR($A13=E$3,E$3="",$A13=""),"",SUM(IF(ROUND(INDEX(tblPiNAnalysis[[CCCM%]:[WASH%]], 0, MATCH(_xlfn.CONCAT(E$3,"%"), tblPiNAnalysis[[#Headers],[CCCM%]:[WASH%]], 0)), 1)=ROUND(INDEX(tblPiNAnalysis[[CCCM%]:[WASH%]], 0, MATCH(_xlfn.CONCAT($A13,"%"), tblPiNAnalysis[[#Headers],[CCCM%]:[WASH%]], 0)), 1), 1, 0)))</f>
        <v/>
      </c>
      <c r="F13" s="189" t="str" cm="1">
        <f t="array" ref="F13">IF(OR($A13=F$3,F$3="",$A13=""),"",SUM(IF(ROUND(INDEX(tblPiNAnalysis[[CCCM%]:[WASH%]], 0, MATCH(_xlfn.CONCAT(F$3,"%"), tblPiNAnalysis[[#Headers],[CCCM%]:[WASH%]], 0)), 1)=ROUND(INDEX(tblPiNAnalysis[[CCCM%]:[WASH%]], 0, MATCH(_xlfn.CONCAT($A13,"%"), tblPiNAnalysis[[#Headers],[CCCM%]:[WASH%]], 0)), 1), 1, 0)))</f>
        <v/>
      </c>
      <c r="G13" s="189" t="str" cm="1">
        <f t="array" ref="G13">IF(OR($A13=G$3,G$3="",$A13=""),"",SUM(IF(ROUND(INDEX(tblPiNAnalysis[[CCCM%]:[WASH%]], 0, MATCH(_xlfn.CONCAT(G$3,"%"), tblPiNAnalysis[[#Headers],[CCCM%]:[WASH%]], 0)), 1)=ROUND(INDEX(tblPiNAnalysis[[CCCM%]:[WASH%]], 0, MATCH(_xlfn.CONCAT($A13,"%"), tblPiNAnalysis[[#Headers],[CCCM%]:[WASH%]], 0)), 1), 1, 0)))</f>
        <v/>
      </c>
      <c r="H13" s="189" t="str" cm="1">
        <f t="array" ref="H13">IF(OR($A13=H$3,H$3="",$A13=""),"",SUM(IF(ROUND(INDEX(tblPiNAnalysis[[CCCM%]:[WASH%]], 0, MATCH(_xlfn.CONCAT(H$3,"%"), tblPiNAnalysis[[#Headers],[CCCM%]:[WASH%]], 0)), 1)=ROUND(INDEX(tblPiNAnalysis[[CCCM%]:[WASH%]], 0, MATCH(_xlfn.CONCAT($A13,"%"), tblPiNAnalysis[[#Headers],[CCCM%]:[WASH%]], 0)), 1), 1, 0)))</f>
        <v/>
      </c>
      <c r="I13" s="189" t="str" cm="1">
        <f t="array" ref="I13">IF(OR($A13=I$3,I$3="",$A13=""),"",SUM(IF(ROUND(INDEX(tblPiNAnalysis[[CCCM%]:[WASH%]], 0, MATCH(_xlfn.CONCAT(I$3,"%"), tblPiNAnalysis[[#Headers],[CCCM%]:[WASH%]], 0)), 1)=ROUND(INDEX(tblPiNAnalysis[[CCCM%]:[WASH%]], 0, MATCH(_xlfn.CONCAT($A13,"%"), tblPiNAnalysis[[#Headers],[CCCM%]:[WASH%]], 0)), 1), 1, 0)))</f>
        <v/>
      </c>
      <c r="J13" s="189" t="str" cm="1">
        <f t="array" ref="J13">IF(OR($A13=J$3,J$3="",$A13=""),"",SUM(IF(ROUND(INDEX(tblPiNAnalysis[[CCCM%]:[WASH%]], 0, MATCH(_xlfn.CONCAT(J$3,"%"), tblPiNAnalysis[[#Headers],[CCCM%]:[WASH%]], 0)), 1)=ROUND(INDEX(tblPiNAnalysis[[CCCM%]:[WASH%]], 0, MATCH(_xlfn.CONCAT($A13,"%"), tblPiNAnalysis[[#Headers],[CCCM%]:[WASH%]], 0)), 1), 1, 0)))</f>
        <v/>
      </c>
      <c r="K13" s="189" t="str" cm="1">
        <f t="array" ref="K13">IF(OR($A13=K$3,K$3="",$A13=""),"",SUM(IF(ROUND(INDEX(tblPiNAnalysis[[CCCM%]:[WASH%]], 0, MATCH(_xlfn.CONCAT(K$3,"%"), tblPiNAnalysis[[#Headers],[CCCM%]:[WASH%]], 0)), 1)=ROUND(INDEX(tblPiNAnalysis[[CCCM%]:[WASH%]], 0, MATCH(_xlfn.CONCAT($A13,"%"), tblPiNAnalysis[[#Headers],[CCCM%]:[WASH%]], 0)), 1), 1, 0)))</f>
        <v/>
      </c>
      <c r="L13" s="189"/>
      <c r="M13" s="187"/>
      <c r="N13" s="186"/>
      <c r="O13" s="189" t="str" cm="1">
        <f t="array" ref="O13">IF(OR($N13=O$3,O$3="",$N13=""),"",SUM(IF(INDEX(tblSeverityAnalysis[[CCCM]:[WASH]],0,MATCH(O$3,tblSeverityAnalysis[[#Headers],[CCCM]:[WASH]],0))=INDEX(tblSeverityAnalysis[[CCCM]:[WASH]],0,MATCH($N13,tblSeverityAnalysis[[#Headers],[CCCM]:[WASH]],0)), 1, 0)))</f>
        <v/>
      </c>
      <c r="P13" s="189" t="str" cm="1">
        <f t="array" ref="P13">IF(OR($N13=P$3,P$3="",$N13=""),"",SUM(IF(INDEX(tblSeverityAnalysis[[CCCM]:[WASH]],0,MATCH(P$3,tblSeverityAnalysis[[#Headers],[CCCM]:[WASH]],0))=INDEX(tblSeverityAnalysis[[CCCM]:[WASH]],0,MATCH($N13,tblSeverityAnalysis[[#Headers],[CCCM]:[WASH]],0)), 1, 0)))</f>
        <v/>
      </c>
      <c r="Q13" s="189" t="str" cm="1">
        <f t="array" ref="Q13">IF(OR($N13=Q$3,Q$3="",$N13=""),"",SUM(IF(INDEX(tblSeverityAnalysis[[CCCM]:[WASH]],0,MATCH(Q$3,tblSeverityAnalysis[[#Headers],[CCCM]:[WASH]],0))=INDEX(tblSeverityAnalysis[[CCCM]:[WASH]],0,MATCH($N13,tblSeverityAnalysis[[#Headers],[CCCM]:[WASH]],0)), 1, 0)))</f>
        <v/>
      </c>
      <c r="R13" s="189" t="str" cm="1">
        <f t="array" ref="R13">IF(OR($N13=R$3,R$3="",$N13=""),"",SUM(IF(INDEX(tblSeverityAnalysis[[CCCM]:[WASH]],0,MATCH(R$3,tblSeverityAnalysis[[#Headers],[CCCM]:[WASH]],0))=INDEX(tblSeverityAnalysis[[CCCM]:[WASH]],0,MATCH($N13,tblSeverityAnalysis[[#Headers],[CCCM]:[WASH]],0)), 1, 0)))</f>
        <v/>
      </c>
      <c r="S13" s="189" t="str" cm="1">
        <f t="array" ref="S13">IF(OR($N13=S$3,S$3="",$N13=""),"",SUM(IF(INDEX(tblSeverityAnalysis[[CCCM]:[WASH]],0,MATCH(S$3,tblSeverityAnalysis[[#Headers],[CCCM]:[WASH]],0))=INDEX(tblSeverityAnalysis[[CCCM]:[WASH]],0,MATCH($N13,tblSeverityAnalysis[[#Headers],[CCCM]:[WASH]],0)), 1, 0)))</f>
        <v/>
      </c>
      <c r="T13" s="189" t="str" cm="1">
        <f t="array" ref="T13">IF(OR($N13=T$3,T$3="",$N13=""),"",SUM(IF(INDEX(tblSeverityAnalysis[[CCCM]:[WASH]],0,MATCH(T$3,tblSeverityAnalysis[[#Headers],[CCCM]:[WASH]],0))=INDEX(tblSeverityAnalysis[[CCCM]:[WASH]],0,MATCH($N13,tblSeverityAnalysis[[#Headers],[CCCM]:[WASH]],0)), 1, 0)))</f>
        <v/>
      </c>
      <c r="U13" s="189" t="str" cm="1">
        <f t="array" ref="U13">IF(OR($N13=U$3,U$3="",$N13=""),"",SUM(IF(INDEX(tblSeverityAnalysis[[CCCM]:[WASH]],0,MATCH(U$3,tblSeverityAnalysis[[#Headers],[CCCM]:[WASH]],0))=INDEX(tblSeverityAnalysis[[CCCM]:[WASH]],0,MATCH($N13,tblSeverityAnalysis[[#Headers],[CCCM]:[WASH]],0)), 1, 0)))</f>
        <v/>
      </c>
      <c r="V13" s="189" t="str" cm="1">
        <f t="array" ref="V13">IF(OR($N13=V$3,V$3="",$N13=""),"",SUM(IF(INDEX(tblSeverityAnalysis[[CCCM]:[WASH]],0,MATCH(V$3,tblSeverityAnalysis[[#Headers],[CCCM]:[WASH]],0))=INDEX(tblSeverityAnalysis[[CCCM]:[WASH]],0,MATCH($N13,tblSeverityAnalysis[[#Headers],[CCCM]:[WASH]],0)), 1, 0)))</f>
        <v/>
      </c>
      <c r="W13" s="189" t="str" cm="1">
        <f t="array" ref="W13">IF(OR($N13=W$3,W$3="",$N13=""),"",SUM(IF(INDEX(tblSeverityAnalysis[[CCCM]:[WASH]],0,MATCH(W$3,tblSeverityAnalysis[[#Headers],[CCCM]:[WASH]],0))=INDEX(tblSeverityAnalysis[[CCCM]:[WASH]],0,MATCH($N13,tblSeverityAnalysis[[#Headers],[CCCM]:[WASH]],0)), 1, 0)))</f>
        <v/>
      </c>
      <c r="X13" s="189" t="str" cm="1">
        <f t="array" ref="X13">IF(OR($N13=X$3,X$3="",$N13=""),"",SUM(IF(INDEX(tblSeverityAnalysis[[CCCM]:[WASH]],0,MATCH(X$3,tblSeverityAnalysis[[#Headers],[CCCM]:[WASH]],0))=INDEX(tblSeverityAnalysis[[CCCM]:[WASH]],0,MATCH($N13,tblSeverityAnalysis[[#Headers],[CCCM]:[WASH]],0)), 1, 0)))</f>
        <v/>
      </c>
      <c r="Y13" s="189"/>
    </row>
    <row r="14" spans="1:25" ht="37.5" customHeight="1" x14ac:dyDescent="0.55000000000000004">
      <c r="A14" s="186"/>
      <c r="B14" s="189" t="str" cm="1">
        <f t="array" ref="B14">IF(OR($A14=B$3,B$3="",$A14=""),"",SUM(IF(ROUND(INDEX(tblPiNAnalysis[[CCCM%]:[WASH%]], 0, MATCH(_xlfn.CONCAT(B$3,"%"), tblPiNAnalysis[[#Headers],[CCCM%]:[WASH%]], 0)), 1)=ROUND(INDEX(tblPiNAnalysis[[CCCM%]:[WASH%]], 0, MATCH(_xlfn.CONCAT($A14,"%"), tblPiNAnalysis[[#Headers],[CCCM%]:[WASH%]], 0)), 1), 1, 0)))</f>
        <v/>
      </c>
      <c r="C14" s="189" t="str" cm="1">
        <f t="array" ref="C14">IF(OR($A14=C$3,C$3="",$A14=""),"",SUM(IF(ROUND(INDEX(tblPiNAnalysis[[CCCM%]:[WASH%]], 0, MATCH(_xlfn.CONCAT(C$3,"%"), tblPiNAnalysis[[#Headers],[CCCM%]:[WASH%]], 0)), 1)=ROUND(INDEX(tblPiNAnalysis[[CCCM%]:[WASH%]], 0, MATCH(_xlfn.CONCAT($A14,"%"), tblPiNAnalysis[[#Headers],[CCCM%]:[WASH%]], 0)), 1), 1, 0)))</f>
        <v/>
      </c>
      <c r="D14" s="189" t="str" cm="1">
        <f t="array" ref="D14">IF(OR($A14=D$3,D$3="",$A14=""),"",SUM(IF(ROUND(INDEX(tblPiNAnalysis[[CCCM%]:[WASH%]], 0, MATCH(_xlfn.CONCAT(D$3,"%"), tblPiNAnalysis[[#Headers],[CCCM%]:[WASH%]], 0)), 1)=ROUND(INDEX(tblPiNAnalysis[[CCCM%]:[WASH%]], 0, MATCH(_xlfn.CONCAT($A14,"%"), tblPiNAnalysis[[#Headers],[CCCM%]:[WASH%]], 0)), 1), 1, 0)))</f>
        <v/>
      </c>
      <c r="E14" s="189" t="str" cm="1">
        <f t="array" ref="E14">IF(OR($A14=E$3,E$3="",$A14=""),"",SUM(IF(ROUND(INDEX(tblPiNAnalysis[[CCCM%]:[WASH%]], 0, MATCH(_xlfn.CONCAT(E$3,"%"), tblPiNAnalysis[[#Headers],[CCCM%]:[WASH%]], 0)), 1)=ROUND(INDEX(tblPiNAnalysis[[CCCM%]:[WASH%]], 0, MATCH(_xlfn.CONCAT($A14,"%"), tblPiNAnalysis[[#Headers],[CCCM%]:[WASH%]], 0)), 1), 1, 0)))</f>
        <v/>
      </c>
      <c r="F14" s="189" t="str" cm="1">
        <f t="array" ref="F14">IF(OR($A14=F$3,F$3="",$A14=""),"",SUM(IF(ROUND(INDEX(tblPiNAnalysis[[CCCM%]:[WASH%]], 0, MATCH(_xlfn.CONCAT(F$3,"%"), tblPiNAnalysis[[#Headers],[CCCM%]:[WASH%]], 0)), 1)=ROUND(INDEX(tblPiNAnalysis[[CCCM%]:[WASH%]], 0, MATCH(_xlfn.CONCAT($A14,"%"), tblPiNAnalysis[[#Headers],[CCCM%]:[WASH%]], 0)), 1), 1, 0)))</f>
        <v/>
      </c>
      <c r="G14" s="189" t="str" cm="1">
        <f t="array" ref="G14">IF(OR($A14=G$3,G$3="",$A14=""),"",SUM(IF(ROUND(INDEX(tblPiNAnalysis[[CCCM%]:[WASH%]], 0, MATCH(_xlfn.CONCAT(G$3,"%"), tblPiNAnalysis[[#Headers],[CCCM%]:[WASH%]], 0)), 1)=ROUND(INDEX(tblPiNAnalysis[[CCCM%]:[WASH%]], 0, MATCH(_xlfn.CONCAT($A14,"%"), tblPiNAnalysis[[#Headers],[CCCM%]:[WASH%]], 0)), 1), 1, 0)))</f>
        <v/>
      </c>
      <c r="H14" s="189" t="str" cm="1">
        <f t="array" ref="H14">IF(OR($A14=H$3,H$3="",$A14=""),"",SUM(IF(ROUND(INDEX(tblPiNAnalysis[[CCCM%]:[WASH%]], 0, MATCH(_xlfn.CONCAT(H$3,"%"), tblPiNAnalysis[[#Headers],[CCCM%]:[WASH%]], 0)), 1)=ROUND(INDEX(tblPiNAnalysis[[CCCM%]:[WASH%]], 0, MATCH(_xlfn.CONCAT($A14,"%"), tblPiNAnalysis[[#Headers],[CCCM%]:[WASH%]], 0)), 1), 1, 0)))</f>
        <v/>
      </c>
      <c r="I14" s="189" t="str" cm="1">
        <f t="array" ref="I14">IF(OR($A14=I$3,I$3="",$A14=""),"",SUM(IF(ROUND(INDEX(tblPiNAnalysis[[CCCM%]:[WASH%]], 0, MATCH(_xlfn.CONCAT(I$3,"%"), tblPiNAnalysis[[#Headers],[CCCM%]:[WASH%]], 0)), 1)=ROUND(INDEX(tblPiNAnalysis[[CCCM%]:[WASH%]], 0, MATCH(_xlfn.CONCAT($A14,"%"), tblPiNAnalysis[[#Headers],[CCCM%]:[WASH%]], 0)), 1), 1, 0)))</f>
        <v/>
      </c>
      <c r="J14" s="189" t="str" cm="1">
        <f t="array" ref="J14">IF(OR($A14=J$3,J$3="",$A14=""),"",SUM(IF(ROUND(INDEX(tblPiNAnalysis[[CCCM%]:[WASH%]], 0, MATCH(_xlfn.CONCAT(J$3,"%"), tblPiNAnalysis[[#Headers],[CCCM%]:[WASH%]], 0)), 1)=ROUND(INDEX(tblPiNAnalysis[[CCCM%]:[WASH%]], 0, MATCH(_xlfn.CONCAT($A14,"%"), tblPiNAnalysis[[#Headers],[CCCM%]:[WASH%]], 0)), 1), 1, 0)))</f>
        <v/>
      </c>
      <c r="K14" s="189" t="str" cm="1">
        <f t="array" ref="K14">IF(OR($A14=K$3,K$3="",$A14=""),"",SUM(IF(ROUND(INDEX(tblPiNAnalysis[[CCCM%]:[WASH%]], 0, MATCH(_xlfn.CONCAT(K$3,"%"), tblPiNAnalysis[[#Headers],[CCCM%]:[WASH%]], 0)), 1)=ROUND(INDEX(tblPiNAnalysis[[CCCM%]:[WASH%]], 0, MATCH(_xlfn.CONCAT($A14,"%"), tblPiNAnalysis[[#Headers],[CCCM%]:[WASH%]], 0)), 1), 1, 0)))</f>
        <v/>
      </c>
      <c r="L14" s="189" t="str" cm="1">
        <f t="array" ref="L14">IF(OR($A14=L$3,L$3="",$A14=""),"",SUM(IF(ROUND(INDEX(tblPiNAnalysis[[CCCM%]:[WASH%]], 0, MATCH(_xlfn.CONCAT(L$3,"%"), tblPiNAnalysis[[#Headers],[CCCM%]:[WASH%]], 0)), 1)=ROUND(INDEX(tblPiNAnalysis[[CCCM%]:[WASH%]], 0, MATCH(_xlfn.CONCAT($A14,"%"), tblPiNAnalysis[[#Headers],[CCCM%]:[WASH%]], 0)), 1), 1, 0)))</f>
        <v/>
      </c>
      <c r="M14" s="187"/>
      <c r="N14" s="186"/>
      <c r="O14" s="189" t="str" cm="1">
        <f t="array" ref="O14">IF(OR($N14=O$3,O$3="",$N14=""),"",SUM(IF(INDEX(tblSeverityAnalysis[[CCCM]:[WASH]],0,MATCH(O$3,tblSeverityAnalysis[[#Headers],[CCCM]:[WASH]],0))=INDEX(tblSeverityAnalysis[[CCCM]:[WASH]],0,MATCH($N14,tblSeverityAnalysis[[#Headers],[CCCM]:[WASH]],0)), 1, 0)))</f>
        <v/>
      </c>
      <c r="P14" s="189" t="str" cm="1">
        <f t="array" ref="P14">IF(OR($N14=P$3,P$3="",$N14=""),"",SUM(IF(INDEX(tblSeverityAnalysis[[CCCM]:[WASH]],0,MATCH(P$3,tblSeverityAnalysis[[#Headers],[CCCM]:[WASH]],0))=INDEX(tblSeverityAnalysis[[CCCM]:[WASH]],0,MATCH($N14,tblSeverityAnalysis[[#Headers],[CCCM]:[WASH]],0)), 1, 0)))</f>
        <v/>
      </c>
      <c r="Q14" s="189" t="str" cm="1">
        <f t="array" ref="Q14">IF(OR($N14=Q$3,Q$3="",$N14=""),"",SUM(IF(INDEX(tblSeverityAnalysis[[CCCM]:[WASH]],0,MATCH(Q$3,tblSeverityAnalysis[[#Headers],[CCCM]:[WASH]],0))=INDEX(tblSeverityAnalysis[[CCCM]:[WASH]],0,MATCH($N14,tblSeverityAnalysis[[#Headers],[CCCM]:[WASH]],0)), 1, 0)))</f>
        <v/>
      </c>
      <c r="R14" s="189" t="str" cm="1">
        <f t="array" ref="R14">IF(OR($N14=R$3,R$3="",$N14=""),"",SUM(IF(INDEX(tblSeverityAnalysis[[CCCM]:[WASH]],0,MATCH(R$3,tblSeverityAnalysis[[#Headers],[CCCM]:[WASH]],0))=INDEX(tblSeverityAnalysis[[CCCM]:[WASH]],0,MATCH($N14,tblSeverityAnalysis[[#Headers],[CCCM]:[WASH]],0)), 1, 0)))</f>
        <v/>
      </c>
      <c r="S14" s="189" t="str" cm="1">
        <f t="array" ref="S14">IF(OR($N14=S$3,S$3="",$N14=""),"",SUM(IF(INDEX(tblSeverityAnalysis[[CCCM]:[WASH]],0,MATCH(S$3,tblSeverityAnalysis[[#Headers],[CCCM]:[WASH]],0))=INDEX(tblSeverityAnalysis[[CCCM]:[WASH]],0,MATCH($N14,tblSeverityAnalysis[[#Headers],[CCCM]:[WASH]],0)), 1, 0)))</f>
        <v/>
      </c>
      <c r="T14" s="189" t="str" cm="1">
        <f t="array" ref="T14">IF(OR($N14=T$3,T$3="",$N14=""),"",SUM(IF(INDEX(tblSeverityAnalysis[[CCCM]:[WASH]],0,MATCH(T$3,tblSeverityAnalysis[[#Headers],[CCCM]:[WASH]],0))=INDEX(tblSeverityAnalysis[[CCCM]:[WASH]],0,MATCH($N14,tblSeverityAnalysis[[#Headers],[CCCM]:[WASH]],0)), 1, 0)))</f>
        <v/>
      </c>
      <c r="U14" s="189" t="str" cm="1">
        <f t="array" ref="U14">IF(OR($N14=U$3,U$3="",$N14=""),"",SUM(IF(INDEX(tblSeverityAnalysis[[CCCM]:[WASH]],0,MATCH(U$3,tblSeverityAnalysis[[#Headers],[CCCM]:[WASH]],0))=INDEX(tblSeverityAnalysis[[CCCM]:[WASH]],0,MATCH($N14,tblSeverityAnalysis[[#Headers],[CCCM]:[WASH]],0)), 1, 0)))</f>
        <v/>
      </c>
      <c r="V14" s="189" t="str" cm="1">
        <f t="array" ref="V14">IF(OR($N14=V$3,V$3="",$N14=""),"",SUM(IF(INDEX(tblSeverityAnalysis[[CCCM]:[WASH]],0,MATCH(V$3,tblSeverityAnalysis[[#Headers],[CCCM]:[WASH]],0))=INDEX(tblSeverityAnalysis[[CCCM]:[WASH]],0,MATCH($N14,tblSeverityAnalysis[[#Headers],[CCCM]:[WASH]],0)), 1, 0)))</f>
        <v/>
      </c>
      <c r="W14" s="189" t="str" cm="1">
        <f t="array" ref="W14">IF(OR($N14=W$3,W$3="",$N14=""),"",SUM(IF(INDEX(tblSeverityAnalysis[[CCCM]:[WASH]],0,MATCH(W$3,tblSeverityAnalysis[[#Headers],[CCCM]:[WASH]],0))=INDEX(tblSeverityAnalysis[[CCCM]:[WASH]],0,MATCH($N14,tblSeverityAnalysis[[#Headers],[CCCM]:[WASH]],0)), 1, 0)))</f>
        <v/>
      </c>
      <c r="X14" s="189" t="str" cm="1">
        <f t="array" ref="X14">IF(OR($N14=X$3,X$3="",$N14=""),"",SUM(IF(INDEX(tblSeverityAnalysis[[CCCM]:[WASH]],0,MATCH(X$3,tblSeverityAnalysis[[#Headers],[CCCM]:[WASH]],0))=INDEX(tblSeverityAnalysis[[CCCM]:[WASH]],0,MATCH($N14,tblSeverityAnalysis[[#Headers],[CCCM]:[WASH]],0)), 1, 0)))</f>
        <v/>
      </c>
      <c r="Y14" s="189" t="str" cm="1">
        <f t="array" ref="Y14">IF(OR($N14=Y$3,Y$3="",$N14=""),"",SUM(IF(INDEX(tblSeverityAnalysis[[CCCM]:[WASH]],0,MATCH(Y$3,tblSeverityAnalysis[[#Headers],[CCCM]:[WASH]],0))=INDEX(tblSeverityAnalysis[[CCCM]:[WASH]],0,MATCH($N14,tblSeverityAnalysis[[#Headers],[CCCM]:[WASH]],0)), 1, 0)))</f>
        <v/>
      </c>
    </row>
    <row r="15" spans="1:25" x14ac:dyDescent="0.55000000000000004">
      <c r="M15" s="187"/>
    </row>
  </sheetData>
  <mergeCells count="2">
    <mergeCell ref="A1:K2"/>
    <mergeCell ref="N1:Y2"/>
  </mergeCells>
  <conditionalFormatting sqref="A4:A14">
    <cfRule type="notContainsBlanks" dxfId="11" priority="5">
      <formula>LEN(TRIM(A4))&gt;0</formula>
    </cfRule>
  </conditionalFormatting>
  <conditionalFormatting sqref="B3:L3">
    <cfRule type="notContainsBlanks" dxfId="10" priority="7">
      <formula>LEN(TRIM(B3))&gt;0</formula>
    </cfRule>
  </conditionalFormatting>
  <conditionalFormatting sqref="B4:L14">
    <cfRule type="notContainsBlanks" dxfId="9" priority="6">
      <formula>LEN(TRIM(B4))&gt;0</formula>
    </cfRule>
    <cfRule type="colorScale" priority="8">
      <colorScale>
        <cfvo type="min"/>
        <cfvo type="max"/>
        <color theme="8" tint="0.79998168889431442"/>
        <color theme="8" tint="-0.249977111117893"/>
      </colorScale>
    </cfRule>
  </conditionalFormatting>
  <conditionalFormatting sqref="N4:N14">
    <cfRule type="notContainsBlanks" dxfId="8" priority="1">
      <formula>LEN(TRIM(N4))&gt;0</formula>
    </cfRule>
  </conditionalFormatting>
  <conditionalFormatting sqref="O3:Y3">
    <cfRule type="notContainsBlanks" dxfId="7" priority="3">
      <formula>LEN(TRIM(O3))&gt;0</formula>
    </cfRule>
  </conditionalFormatting>
  <conditionalFormatting sqref="O4:Y14">
    <cfRule type="notContainsBlanks" dxfId="6"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2386-F1C7-4825-8FAC-7D142765418D}">
  <sheetPr codeName="Sheet12">
    <tabColor rgb="FF00B050"/>
  </sheetPr>
  <dimension ref="A1:AA16"/>
  <sheetViews>
    <sheetView showGridLines="0" zoomScale="80" zoomScaleNormal="80" workbookViewId="0">
      <selection activeCell="AO11" sqref="AO11"/>
    </sheetView>
  </sheetViews>
  <sheetFormatPr defaultRowHeight="14.4" x14ac:dyDescent="0.55000000000000004"/>
  <cols>
    <col min="2" max="2" width="17.41796875" style="185" customWidth="1"/>
    <col min="3" max="9" width="12.83984375" style="23" customWidth="1"/>
    <col min="10" max="13" width="12.83984375" customWidth="1"/>
    <col min="14" max="14" width="2.578125" customWidth="1"/>
    <col min="16" max="16" width="15" customWidth="1"/>
    <col min="17" max="27" width="12.83984375" customWidth="1"/>
  </cols>
  <sheetData>
    <row r="1" spans="1:27" ht="55.5" customHeight="1" x14ac:dyDescent="0.55000000000000004">
      <c r="B1" s="837" t="s">
        <v>219</v>
      </c>
      <c r="C1" s="837"/>
      <c r="D1" s="837"/>
      <c r="E1" s="837"/>
      <c r="F1" s="837"/>
      <c r="G1" s="837"/>
      <c r="H1" s="837"/>
      <c r="I1" s="837"/>
      <c r="J1" s="837"/>
      <c r="K1" s="837"/>
      <c r="L1" s="837"/>
      <c r="N1" s="187"/>
      <c r="P1" s="836" t="s">
        <v>220</v>
      </c>
      <c r="Q1" s="836"/>
      <c r="R1" s="836"/>
      <c r="S1" s="836"/>
      <c r="T1" s="836"/>
      <c r="U1" s="836"/>
      <c r="V1" s="836"/>
      <c r="W1" s="836"/>
      <c r="X1" s="836"/>
      <c r="Y1" s="836"/>
      <c r="Z1" s="836"/>
      <c r="AA1" s="836"/>
    </row>
    <row r="2" spans="1:27" ht="55.5" customHeight="1" x14ac:dyDescent="0.55000000000000004">
      <c r="B2" s="837"/>
      <c r="C2" s="837"/>
      <c r="D2" s="837"/>
      <c r="E2" s="837"/>
      <c r="F2" s="837"/>
      <c r="G2" s="837"/>
      <c r="H2" s="837"/>
      <c r="I2" s="837"/>
      <c r="J2" s="837"/>
      <c r="K2" s="837"/>
      <c r="L2" s="837"/>
      <c r="N2" s="187"/>
      <c r="P2" s="836"/>
      <c r="Q2" s="836"/>
      <c r="R2" s="836"/>
      <c r="S2" s="836"/>
      <c r="T2" s="836"/>
      <c r="U2" s="836"/>
      <c r="V2" s="836"/>
      <c r="W2" s="836"/>
      <c r="X2" s="836"/>
      <c r="Y2" s="836"/>
      <c r="Z2" s="836"/>
      <c r="AA2" s="836"/>
    </row>
    <row r="3" spans="1:27" ht="24.75" customHeight="1" x14ac:dyDescent="0.55000000000000004">
      <c r="B3" s="188"/>
      <c r="C3" s="836" t="s">
        <v>221</v>
      </c>
      <c r="D3" s="836"/>
      <c r="E3" s="836"/>
      <c r="F3" s="836"/>
      <c r="G3" s="836"/>
      <c r="H3" s="836"/>
      <c r="I3" s="836"/>
      <c r="J3" s="836"/>
      <c r="K3" s="836"/>
      <c r="L3" s="836"/>
      <c r="M3" s="836"/>
      <c r="N3" s="187"/>
      <c r="P3" s="184"/>
      <c r="Q3" s="836" t="s">
        <v>221</v>
      </c>
      <c r="R3" s="836"/>
      <c r="S3" s="836"/>
      <c r="T3" s="836"/>
      <c r="U3" s="836"/>
      <c r="V3" s="836"/>
      <c r="W3" s="836"/>
      <c r="X3" s="836"/>
      <c r="Y3" s="836"/>
      <c r="Z3" s="836"/>
      <c r="AA3" s="836"/>
    </row>
    <row r="4" spans="1:27" ht="50.25" customHeight="1" x14ac:dyDescent="0.55000000000000004">
      <c r="B4" s="182"/>
      <c r="C4" s="189" t="str" cm="1">
        <f t="array" ref="C4:J4">_xlfn.UNIQUE(tblPiNAnalysis[[#Headers],[CCCM]:[WASH]])</f>
        <v>CCCM</v>
      </c>
      <c r="D4" s="189" t="str">
        <v>Education</v>
      </c>
      <c r="E4" s="189" t="str">
        <v>Nutrition</v>
      </c>
      <c r="F4" s="189" t="str">
        <v>Food Security</v>
      </c>
      <c r="G4" s="189" t="str">
        <v>Health</v>
      </c>
      <c r="H4" s="189" t="str">
        <v>Overarching Protection</v>
      </c>
      <c r="I4" s="189" t="str">
        <v>Shelter</v>
      </c>
      <c r="J4" s="186" t="str">
        <v>WASH</v>
      </c>
      <c r="K4" s="186"/>
      <c r="L4" s="186"/>
      <c r="N4" s="187"/>
      <c r="P4" s="182"/>
      <c r="Q4" s="186" t="str" cm="1">
        <f t="array" ref="Q4:X4">_xlfn.UNIQUE(tblSeverityAnalysis[[#Headers],[CCCM]:[WASH]])</f>
        <v>CCCM</v>
      </c>
      <c r="R4" s="186" t="str">
        <v>Education</v>
      </c>
      <c r="S4" s="186" t="str">
        <v>Nutrition</v>
      </c>
      <c r="T4" s="186" t="str">
        <v>Food Security</v>
      </c>
      <c r="U4" s="186" t="str">
        <v>Health</v>
      </c>
      <c r="V4" s="186" t="str">
        <v>Overarching Protection</v>
      </c>
      <c r="W4" s="186" t="str">
        <v>Shelter</v>
      </c>
      <c r="X4" s="186" t="str">
        <v>WASH</v>
      </c>
      <c r="Y4" s="186"/>
      <c r="Z4" s="186"/>
    </row>
    <row r="5" spans="1:27" ht="37.5" customHeight="1" x14ac:dyDescent="0.55000000000000004">
      <c r="A5" s="838" t="s">
        <v>222</v>
      </c>
      <c r="B5" s="186" t="str" cm="1">
        <f t="array" ref="B5:B12">TRANSPOSE(tblPiNAnalysis[[#Headers],[CCCM]:[WASH]])</f>
        <v>CCCM</v>
      </c>
      <c r="C5" s="189" t="str">
        <f>IF(OR($B5=C$4,C$4="",$B5=""),"", COUNTIFS(tblPiNAnalysis[Highest sector(s)], _xlfn.CONCAT("*", C$4, "*"), tblPiNAnalysis[2nd Highest sector(s)], _xlfn.CONCAT("*", $B5, "*")))</f>
        <v/>
      </c>
      <c r="D5" s="189">
        <f>IF(OR($B5=D$4,D$4="",$B5=""),"", COUNTIFS(tblPiNAnalysis[Highest sector(s)], _xlfn.CONCAT("*", D$4, "*"), tblPiNAnalysis[2nd Highest sector(s)], _xlfn.CONCAT("*", $B5, "*")))</f>
        <v>3</v>
      </c>
      <c r="E5" s="189">
        <f>IF(OR($B5=E$4,E$4="",$B5=""),"", COUNTIFS(tblPiNAnalysis[Highest sector(s)], _xlfn.CONCAT("*", E$4, "*"), tblPiNAnalysis[2nd Highest sector(s)], _xlfn.CONCAT("*", $B5, "*")))</f>
        <v>3</v>
      </c>
      <c r="F5" s="189">
        <f>IF(OR($B5=F$4,F$4="",$B5=""),"", COUNTIFS(tblPiNAnalysis[Highest sector(s)], _xlfn.CONCAT("*", F$4, "*"), tblPiNAnalysis[2nd Highest sector(s)], _xlfn.CONCAT("*", $B5, "*")))</f>
        <v>5</v>
      </c>
      <c r="G5" s="189">
        <f>IF(OR($B5=G$4,G$4="",$B5=""),"", COUNTIFS(tblPiNAnalysis[Highest sector(s)], _xlfn.CONCAT("*", G$4, "*"), tblPiNAnalysis[2nd Highest sector(s)], _xlfn.CONCAT("*", $B5, "*")))</f>
        <v>3</v>
      </c>
      <c r="H5" s="189">
        <f>IF(OR($B5=H$4,H$4="",$B5=""),"", COUNTIFS(tblPiNAnalysis[Highest sector(s)], _xlfn.CONCAT("*", H$4, "*"), tblPiNAnalysis[2nd Highest sector(s)], _xlfn.CONCAT("*", $B5, "*")))</f>
        <v>3</v>
      </c>
      <c r="I5" s="189">
        <f>IF(OR($B5=I$4,I$4="",$B5=""),"", COUNTIFS(tblPiNAnalysis[Highest sector(s)], _xlfn.CONCAT("*", I$4, "*"), tblPiNAnalysis[2nd Highest sector(s)], _xlfn.CONCAT("*", $B5, "*")))</f>
        <v>6</v>
      </c>
      <c r="J5" s="189">
        <f>IF(OR($B5=J$4,J$4="",$B5=""),"", COUNTIFS(tblPiNAnalysis[Highest sector(s)], _xlfn.CONCAT("*", J$4, "*"), tblPiNAnalysis[2nd Highest sector(s)], _xlfn.CONCAT("*", $B5, "*")))</f>
        <v>3</v>
      </c>
      <c r="K5" s="189" t="str">
        <f>IF(OR($B5=K$4,K$4="",$B5=""),"", COUNTIFS(tblPiNAnalysis[Highest sector(s)], _xlfn.CONCAT("*", K$4, "*"), tblPiNAnalysis[2nd Highest sector(s)], _xlfn.CONCAT("*", $B5, "*")))</f>
        <v/>
      </c>
      <c r="L5" s="189" t="str">
        <f>IF(OR($B5=L$4,L$4="",$B5=""),"", COUNTIFS(tblPiNAnalysis[Highest sector(s)], _xlfn.CONCAT("*", L$4, "*"), tblPiNAnalysis[2nd Highest sector(s)], _xlfn.CONCAT("*", $B5, "*")))</f>
        <v/>
      </c>
      <c r="M5" s="189" t="str">
        <f>IF(OR($B5=M$4,M$4="",$B5=""),"", COUNTIFS(tblPiNAnalysis[Highest sector(s)], _xlfn.CONCAT("*", M$4, "*"), tblPiNAnalysis[2nd Highest sector(s)], _xlfn.CONCAT("*", $B5, "*")))</f>
        <v/>
      </c>
      <c r="N5" s="839"/>
      <c r="O5" s="838" t="s">
        <v>222</v>
      </c>
      <c r="P5" s="186" t="str" cm="1">
        <f t="array" ref="P5:P12">TRANSPOSE(tblSeverityAnalysis[[#Headers],[CCCM]:[WASH]])</f>
        <v>CCCM</v>
      </c>
      <c r="Q5" s="189" t="str">
        <f>IF(OR($P5=Q$4,Q$4="",$P5=""),"", COUNTIFS(tblSeverityAnalysis[Sectors with Highest Severity], _xlfn.CONCAT("*", Q$4, "*"), tblSeverityAnalysis[Sectors with 2nd Highest Severity], _xlfn.CONCAT("*", $P5, "*")))</f>
        <v/>
      </c>
      <c r="R5" s="189">
        <f>IF(OR($P5=R$4,R$4="",$P5=""),"", COUNTIFS(tblSeverityAnalysis[Sectors with Highest Severity], _xlfn.CONCAT("*", R$4, "*"), tblSeverityAnalysis[Sectors with 2nd Highest Severity], _xlfn.CONCAT("*", $P5, "*")))</f>
        <v>9</v>
      </c>
      <c r="S5" s="189">
        <f>IF(OR($P5=S$4,S$4="",$P5=""),"", COUNTIFS(tblSeverityAnalysis[Sectors with Highest Severity], _xlfn.CONCAT("*", S$4, "*"), tblSeverityAnalysis[Sectors with 2nd Highest Severity], _xlfn.CONCAT("*", $P5, "*")))</f>
        <v>7</v>
      </c>
      <c r="T5" s="189">
        <f>IF(OR($P5=T$4,T$4="",$P5=""),"", COUNTIFS(tblSeverityAnalysis[Sectors with Highest Severity], _xlfn.CONCAT("*", T$4, "*"), tblSeverityAnalysis[Sectors with 2nd Highest Severity], _xlfn.CONCAT("*", $P5, "*")))</f>
        <v>6</v>
      </c>
      <c r="U5" s="189">
        <f>IF(OR($P5=U$4,U$4="",$P5=""),"", COUNTIFS(tblSeverityAnalysis[Sectors with Highest Severity], _xlfn.CONCAT("*", U$4, "*"), tblSeverityAnalysis[Sectors with 2nd Highest Severity], _xlfn.CONCAT("*", $P5, "*")))</f>
        <v>5</v>
      </c>
      <c r="V5" s="189">
        <f>IF(OR($P5=V$4,V$4="",$P5=""),"", COUNTIFS(tblSeverityAnalysis[Sectors with Highest Severity], _xlfn.CONCAT("*", V$4, "*"), tblSeverityAnalysis[Sectors with 2nd Highest Severity], _xlfn.CONCAT("*", $P5, "*")))</f>
        <v>4</v>
      </c>
      <c r="W5" s="189">
        <f>IF(OR($P5=W$4,W$4="",$P5=""),"", COUNTIFS(tblSeverityAnalysis[Sectors with Highest Severity], _xlfn.CONCAT("*", W$4, "*"), tblSeverityAnalysis[Sectors with 2nd Highest Severity], _xlfn.CONCAT("*", $P5, "*")))</f>
        <v>4</v>
      </c>
      <c r="X5" s="189">
        <f>IF(OR($P5=X$4,X$4="",$P5=""),"", COUNTIFS(tblSeverityAnalysis[Sectors with Highest Severity], _xlfn.CONCAT("*", X$4, "*"), tblSeverityAnalysis[Sectors with 2nd Highest Severity], _xlfn.CONCAT("*", $P5, "*")))</f>
        <v>7</v>
      </c>
      <c r="Y5" s="189" t="str">
        <f>IF(OR($P5=Y$4,Y$4="",$P5=""),"", COUNTIFS(tblSeverityAnalysis[Sectors with Highest Severity], _xlfn.CONCAT("*", Y$4, "*"), tblSeverityAnalysis[Sectors with 2nd Highest Severity], _xlfn.CONCAT("*", $P5, "*")))</f>
        <v/>
      </c>
      <c r="Z5" s="189" t="str">
        <f>IF(OR($P5=Z$4,Z$4="",$P5=""),"", COUNTIFS(tblSeverityAnalysis[Sectors with Highest Severity], _xlfn.CONCAT("*", Z$4, "*"), tblSeverityAnalysis[Sectors with 2nd Highest Severity], _xlfn.CONCAT("*", $P5, "*")))</f>
        <v/>
      </c>
      <c r="AA5" s="189" t="str">
        <f>IF(OR($P5=AA$4,AA$4="",$P5=""),"", COUNTIFS(tblSeverityAnalysis[Sectors with Highest Severity], _xlfn.CONCAT("*", AA$4, "*"), tblSeverityAnalysis[Sectors with 2nd Highest Severity], _xlfn.CONCAT("*", $P5, "*")))</f>
        <v/>
      </c>
    </row>
    <row r="6" spans="1:27" ht="37.5" customHeight="1" x14ac:dyDescent="0.55000000000000004">
      <c r="A6" s="838"/>
      <c r="B6" s="186" t="str">
        <v>Education</v>
      </c>
      <c r="C6" s="189">
        <f>IF(OR($B6=C$4,C$4="",$B6=""),"", COUNTIFS(tblPiNAnalysis[Highest sector(s)], _xlfn.CONCAT("*", C$4, "*"), tblPiNAnalysis[2nd Highest sector(s)], _xlfn.CONCAT("*", $B6, "*")))</f>
        <v>3</v>
      </c>
      <c r="D6" s="189" t="str">
        <f>IF(OR($B6=D$4,D$4="",$B6=""),"", COUNTIFS(tblPiNAnalysis[Highest sector(s)], _xlfn.CONCAT("*", D$4, "*"), tblPiNAnalysis[2nd Highest sector(s)], _xlfn.CONCAT("*", $B6, "*")))</f>
        <v/>
      </c>
      <c r="E6" s="189">
        <f>IF(OR($B6=E$4,E$4="",$B6=""),"", COUNTIFS(tblPiNAnalysis[Highest sector(s)], _xlfn.CONCAT("*", E$4, "*"), tblPiNAnalysis[2nd Highest sector(s)], _xlfn.CONCAT("*", $B6, "*")))</f>
        <v>3</v>
      </c>
      <c r="F6" s="189">
        <f>IF(OR($B6=F$4,F$4="",$B6=""),"", COUNTIFS(tblPiNAnalysis[Highest sector(s)], _xlfn.CONCAT("*", F$4, "*"), tblPiNAnalysis[2nd Highest sector(s)], _xlfn.CONCAT("*", $B6, "*")))</f>
        <v>3</v>
      </c>
      <c r="G6" s="189">
        <f>IF(OR($B6=G$4,G$4="",$B6=""),"", COUNTIFS(tblPiNAnalysis[Highest sector(s)], _xlfn.CONCAT("*", G$4, "*"), tblPiNAnalysis[2nd Highest sector(s)], _xlfn.CONCAT("*", $B6, "*")))</f>
        <v>3</v>
      </c>
      <c r="H6" s="189">
        <f>IF(OR($B6=H$4,H$4="",$B6=""),"", COUNTIFS(tblPiNAnalysis[Highest sector(s)], _xlfn.CONCAT("*", H$4, "*"), tblPiNAnalysis[2nd Highest sector(s)], _xlfn.CONCAT("*", $B6, "*")))</f>
        <v>3</v>
      </c>
      <c r="I6" s="189">
        <f>IF(OR($B6=I$4,I$4="",$B6=""),"", COUNTIFS(tblPiNAnalysis[Highest sector(s)], _xlfn.CONCAT("*", I$4, "*"), tblPiNAnalysis[2nd Highest sector(s)], _xlfn.CONCAT("*", $B6, "*")))</f>
        <v>3</v>
      </c>
      <c r="J6" s="189">
        <f>IF(OR($B6=J$4,J$4="",$B6=""),"", COUNTIFS(tblPiNAnalysis[Highest sector(s)], _xlfn.CONCAT("*", J$4, "*"), tblPiNAnalysis[2nd Highest sector(s)], _xlfn.CONCAT("*", $B6, "*")))</f>
        <v>3</v>
      </c>
      <c r="K6" s="189" t="str">
        <f>IF(OR($B6=K$4,K$4="",$B6=""),"", COUNTIFS(tblPiNAnalysis[Highest sector(s)], _xlfn.CONCAT("*", K$4, "*"), tblPiNAnalysis[2nd Highest sector(s)], _xlfn.CONCAT("*", $B6, "*")))</f>
        <v/>
      </c>
      <c r="L6" s="189" t="str">
        <f>IF(OR($B6=L$4,L$4="",$B6=""),"", COUNTIFS(tblPiNAnalysis[Highest sector(s)], _xlfn.CONCAT("*", L$4, "*"), tblPiNAnalysis[2nd Highest sector(s)], _xlfn.CONCAT("*", $B6, "*")))</f>
        <v/>
      </c>
      <c r="M6" s="189" t="str">
        <f>IF(OR($B6=M$4,M$4="",$B6=""),"", COUNTIFS(tblPiNAnalysis[Highest sector(s)], _xlfn.CONCAT("*", M$4, "*"), tblPiNAnalysis[2nd Highest sector(s)], _xlfn.CONCAT("*", $B6, "*")))</f>
        <v/>
      </c>
      <c r="N6" s="839"/>
      <c r="O6" s="838"/>
      <c r="P6" s="186" t="str">
        <v>Education</v>
      </c>
      <c r="Q6" s="189">
        <f>IF(OR($P6=Q$4,Q$4="",$P6=""),"", COUNTIFS(tblSeverityAnalysis[Sectors with Highest Severity], _xlfn.CONCAT("*", Q$4, "*"), tblSeverityAnalysis[Sectors with 2nd Highest Severity], _xlfn.CONCAT("*", $P6, "*")))</f>
        <v>2</v>
      </c>
      <c r="R6" s="189" t="str">
        <f>IF(OR($P6=R$4,R$4="",$P6=""),"", COUNTIFS(tblSeverityAnalysis[Sectors with Highest Severity], _xlfn.CONCAT("*", R$4, "*"), tblSeverityAnalysis[Sectors with 2nd Highest Severity], _xlfn.CONCAT("*", $P6, "*")))</f>
        <v/>
      </c>
      <c r="S6" s="189">
        <f>IF(OR($P6=S$4,S$4="",$P6=""),"", COUNTIFS(tblSeverityAnalysis[Sectors with Highest Severity], _xlfn.CONCAT("*", S$4, "*"), tblSeverityAnalysis[Sectors with 2nd Highest Severity], _xlfn.CONCAT("*", $P6, "*")))</f>
        <v>7</v>
      </c>
      <c r="T6" s="189">
        <f>IF(OR($P6=T$4,T$4="",$P6=""),"", COUNTIFS(tblSeverityAnalysis[Sectors with Highest Severity], _xlfn.CONCAT("*", T$4, "*"), tblSeverityAnalysis[Sectors with 2nd Highest Severity], _xlfn.CONCAT("*", $P6, "*")))</f>
        <v>4</v>
      </c>
      <c r="U6" s="189">
        <f>IF(OR($P6=U$4,U$4="",$P6=""),"", COUNTIFS(tblSeverityAnalysis[Sectors with Highest Severity], _xlfn.CONCAT("*", U$4, "*"), tblSeverityAnalysis[Sectors with 2nd Highest Severity], _xlfn.CONCAT("*", $P6, "*")))</f>
        <v>8</v>
      </c>
      <c r="V6" s="189">
        <f>IF(OR($P6=V$4,V$4="",$P6=""),"", COUNTIFS(tblSeverityAnalysis[Sectors with Highest Severity], _xlfn.CONCAT("*", V$4, "*"), tblSeverityAnalysis[Sectors with 2nd Highest Severity], _xlfn.CONCAT("*", $P6, "*")))</f>
        <v>4</v>
      </c>
      <c r="W6" s="189">
        <f>IF(OR($P6=W$4,W$4="",$P6=""),"", COUNTIFS(tblSeverityAnalysis[Sectors with Highest Severity], _xlfn.CONCAT("*", W$4, "*"), tblSeverityAnalysis[Sectors with 2nd Highest Severity], _xlfn.CONCAT("*", $P6, "*")))</f>
        <v>3</v>
      </c>
      <c r="X6" s="189">
        <f>IF(OR($P6=X$4,X$4="",$P6=""),"", COUNTIFS(tblSeverityAnalysis[Sectors with Highest Severity], _xlfn.CONCAT("*", X$4, "*"), tblSeverityAnalysis[Sectors with 2nd Highest Severity], _xlfn.CONCAT("*", $P6, "*")))</f>
        <v>10</v>
      </c>
      <c r="Y6" s="189" t="str">
        <f>IF(OR($P6=Y$4,Y$4="",$P6=""),"", COUNTIFS(tblSeverityAnalysis[Sectors with Highest Severity], _xlfn.CONCAT("*", Y$4, "*"), tblSeverityAnalysis[Sectors with 2nd Highest Severity], _xlfn.CONCAT("*", $P6, "*")))</f>
        <v/>
      </c>
      <c r="Z6" s="189" t="str">
        <f>IF(OR($P6=Z$4,Z$4="",$P6=""),"", COUNTIFS(tblSeverityAnalysis[Sectors with Highest Severity], _xlfn.CONCAT("*", Z$4, "*"), tblSeverityAnalysis[Sectors with 2nd Highest Severity], _xlfn.CONCAT("*", $P6, "*")))</f>
        <v/>
      </c>
      <c r="AA6" s="189" t="str">
        <f>IF(OR($P6=AA$4,AA$4="",$P6=""),"", COUNTIFS(tblSeverityAnalysis[Sectors with Highest Severity], _xlfn.CONCAT("*", AA$4, "*"), tblSeverityAnalysis[Sectors with 2nd Highest Severity], _xlfn.CONCAT("*", $P6, "*")))</f>
        <v/>
      </c>
    </row>
    <row r="7" spans="1:27" ht="37.5" customHeight="1" x14ac:dyDescent="0.55000000000000004">
      <c r="A7" s="838"/>
      <c r="B7" s="186" t="str">
        <v>Nutrition</v>
      </c>
      <c r="C7" s="189">
        <f>IF(OR($B7=C$4,C$4="",$B7=""),"", COUNTIFS(tblPiNAnalysis[Highest sector(s)], _xlfn.CONCAT("*", C$4, "*"), tblPiNAnalysis[2nd Highest sector(s)], _xlfn.CONCAT("*", $B7, "*")))</f>
        <v>3</v>
      </c>
      <c r="D7" s="189">
        <f>IF(OR($B7=D$4,D$4="",$B7=""),"", COUNTIFS(tblPiNAnalysis[Highest sector(s)], _xlfn.CONCAT("*", D$4, "*"), tblPiNAnalysis[2nd Highest sector(s)], _xlfn.CONCAT("*", $B7, "*")))</f>
        <v>3</v>
      </c>
      <c r="E7" s="189" t="str">
        <f>IF(OR($B7=E$4,E$4="",$B7=""),"", COUNTIFS(tblPiNAnalysis[Highest sector(s)], _xlfn.CONCAT("*", E$4, "*"), tblPiNAnalysis[2nd Highest sector(s)], _xlfn.CONCAT("*", $B7, "*")))</f>
        <v/>
      </c>
      <c r="F7" s="189">
        <f>IF(OR($B7=F$4,F$4="",$B7=""),"", COUNTIFS(tblPiNAnalysis[Highest sector(s)], _xlfn.CONCAT("*", F$4, "*"), tblPiNAnalysis[2nd Highest sector(s)], _xlfn.CONCAT("*", $B7, "*")))</f>
        <v>5</v>
      </c>
      <c r="G7" s="189">
        <f>IF(OR($B7=G$4,G$4="",$B7=""),"", COUNTIFS(tblPiNAnalysis[Highest sector(s)], _xlfn.CONCAT("*", G$4, "*"), tblPiNAnalysis[2nd Highest sector(s)], _xlfn.CONCAT("*", $B7, "*")))</f>
        <v>6</v>
      </c>
      <c r="H7" s="189">
        <f>IF(OR($B7=H$4,H$4="",$B7=""),"", COUNTIFS(tblPiNAnalysis[Highest sector(s)], _xlfn.CONCAT("*", H$4, "*"), tblPiNAnalysis[2nd Highest sector(s)], _xlfn.CONCAT("*", $B7, "*")))</f>
        <v>3</v>
      </c>
      <c r="I7" s="189">
        <f>IF(OR($B7=I$4,I$4="",$B7=""),"", COUNTIFS(tblPiNAnalysis[Highest sector(s)], _xlfn.CONCAT("*", I$4, "*"), tblPiNAnalysis[2nd Highest sector(s)], _xlfn.CONCAT("*", $B7, "*")))</f>
        <v>3</v>
      </c>
      <c r="J7" s="189">
        <f>IF(OR($B7=J$4,J$4="",$B7=""),"", COUNTIFS(tblPiNAnalysis[Highest sector(s)], _xlfn.CONCAT("*", J$4, "*"), tblPiNAnalysis[2nd Highest sector(s)], _xlfn.CONCAT("*", $B7, "*")))</f>
        <v>7</v>
      </c>
      <c r="K7" s="189" t="str">
        <f>IF(OR($B7=K$4,K$4="",$B7=""),"", COUNTIFS(tblPiNAnalysis[Highest sector(s)], _xlfn.CONCAT("*", K$4, "*"), tblPiNAnalysis[2nd Highest sector(s)], _xlfn.CONCAT("*", $B7, "*")))</f>
        <v/>
      </c>
      <c r="L7" s="189" t="str">
        <f>IF(OR($B7=L$4,L$4="",$B7=""),"", COUNTIFS(tblPiNAnalysis[Highest sector(s)], _xlfn.CONCAT("*", L$4, "*"), tblPiNAnalysis[2nd Highest sector(s)], _xlfn.CONCAT("*", $B7, "*")))</f>
        <v/>
      </c>
      <c r="M7" s="189" t="str">
        <f>IF(OR($B7=M$4,M$4="",$B7=""),"", COUNTIFS(tblPiNAnalysis[Highest sector(s)], _xlfn.CONCAT("*", M$4, "*"), tblPiNAnalysis[2nd Highest sector(s)], _xlfn.CONCAT("*", $B7, "*")))</f>
        <v/>
      </c>
      <c r="N7" s="839"/>
      <c r="O7" s="838"/>
      <c r="P7" s="186" t="str">
        <v>Nutrition</v>
      </c>
      <c r="Q7" s="189">
        <f>IF(OR($P7=Q$4,Q$4="",$P7=""),"", COUNTIFS(tblSeverityAnalysis[Sectors with Highest Severity], _xlfn.CONCAT("*", Q$4, "*"), tblSeverityAnalysis[Sectors with 2nd Highest Severity], _xlfn.CONCAT("*", $P7, "*")))</f>
        <v>2</v>
      </c>
      <c r="R7" s="189">
        <f>IF(OR($P7=R$4,R$4="",$P7=""),"", COUNTIFS(tblSeverityAnalysis[Sectors with Highest Severity], _xlfn.CONCAT("*", R$4, "*"), tblSeverityAnalysis[Sectors with 2nd Highest Severity], _xlfn.CONCAT("*", $P7, "*")))</f>
        <v>8</v>
      </c>
      <c r="S7" s="189" t="str">
        <f>IF(OR($P7=S$4,S$4="",$P7=""),"", COUNTIFS(tblSeverityAnalysis[Sectors with Highest Severity], _xlfn.CONCAT("*", S$4, "*"), tblSeverityAnalysis[Sectors with 2nd Highest Severity], _xlfn.CONCAT("*", $P7, "*")))</f>
        <v/>
      </c>
      <c r="T7" s="189">
        <f>IF(OR($P7=T$4,T$4="",$P7=""),"", COUNTIFS(tblSeverityAnalysis[Sectors with Highest Severity], _xlfn.CONCAT("*", T$4, "*"), tblSeverityAnalysis[Sectors with 2nd Highest Severity], _xlfn.CONCAT("*", $P7, "*")))</f>
        <v>4</v>
      </c>
      <c r="U7" s="189">
        <f>IF(OR($P7=U$4,U$4="",$P7=""),"", COUNTIFS(tblSeverityAnalysis[Sectors with Highest Severity], _xlfn.CONCAT("*", U$4, "*"), tblSeverityAnalysis[Sectors with 2nd Highest Severity], _xlfn.CONCAT("*", $P7, "*")))</f>
        <v>8</v>
      </c>
      <c r="V7" s="189">
        <f>IF(OR($P7=V$4,V$4="",$P7=""),"", COUNTIFS(tblSeverityAnalysis[Sectors with Highest Severity], _xlfn.CONCAT("*", V$4, "*"), tblSeverityAnalysis[Sectors with 2nd Highest Severity], _xlfn.CONCAT("*", $P7, "*")))</f>
        <v>6</v>
      </c>
      <c r="W7" s="189">
        <f>IF(OR($P7=W$4,W$4="",$P7=""),"", COUNTIFS(tblSeverityAnalysis[Sectors with Highest Severity], _xlfn.CONCAT("*", W$4, "*"), tblSeverityAnalysis[Sectors with 2nd Highest Severity], _xlfn.CONCAT("*", $P7, "*")))</f>
        <v>3</v>
      </c>
      <c r="X7" s="189">
        <f>IF(OR($P7=X$4,X$4="",$P7=""),"", COUNTIFS(tblSeverityAnalysis[Sectors with Highest Severity], _xlfn.CONCAT("*", X$4, "*"), tblSeverityAnalysis[Sectors with 2nd Highest Severity], _xlfn.CONCAT("*", $P7, "*")))</f>
        <v>16</v>
      </c>
      <c r="Y7" s="189" t="str">
        <f>IF(OR($P7=Y$4,Y$4="",$P7=""),"", COUNTIFS(tblSeverityAnalysis[Sectors with Highest Severity], _xlfn.CONCAT("*", Y$4, "*"), tblSeverityAnalysis[Sectors with 2nd Highest Severity], _xlfn.CONCAT("*", $P7, "*")))</f>
        <v/>
      </c>
      <c r="Z7" s="189" t="str">
        <f>IF(OR($P7=Z$4,Z$4="",$P7=""),"", COUNTIFS(tblSeverityAnalysis[Sectors with Highest Severity], _xlfn.CONCAT("*", Z$4, "*"), tblSeverityAnalysis[Sectors with 2nd Highest Severity], _xlfn.CONCAT("*", $P7, "*")))</f>
        <v/>
      </c>
      <c r="AA7" s="189" t="str">
        <f>IF(OR($P7=AA$4,AA$4="",$P7=""),"", COUNTIFS(tblSeverityAnalysis[Sectors with Highest Severity], _xlfn.CONCAT("*", AA$4, "*"), tblSeverityAnalysis[Sectors with 2nd Highest Severity], _xlfn.CONCAT("*", $P7, "*")))</f>
        <v/>
      </c>
    </row>
    <row r="8" spans="1:27" ht="37.5" customHeight="1" x14ac:dyDescent="0.55000000000000004">
      <c r="A8" s="838"/>
      <c r="B8" s="186" t="str">
        <v>Food Security</v>
      </c>
      <c r="C8" s="189">
        <f>IF(OR($B8=C$4,C$4="",$B8=""),"", COUNTIFS(tblPiNAnalysis[Highest sector(s)], _xlfn.CONCAT("*", C$4, "*"), tblPiNAnalysis[2nd Highest sector(s)], _xlfn.CONCAT("*", $B8, "*")))</f>
        <v>6</v>
      </c>
      <c r="D8" s="189">
        <f>IF(OR($B8=D$4,D$4="",$B8=""),"", COUNTIFS(tblPiNAnalysis[Highest sector(s)], _xlfn.CONCAT("*", D$4, "*"), tblPiNAnalysis[2nd Highest sector(s)], _xlfn.CONCAT("*", $B8, "*")))</f>
        <v>3</v>
      </c>
      <c r="E8" s="189">
        <f>IF(OR($B8=E$4,E$4="",$B8=""),"", COUNTIFS(tblPiNAnalysis[Highest sector(s)], _xlfn.CONCAT("*", E$4, "*"), tblPiNAnalysis[2nd Highest sector(s)], _xlfn.CONCAT("*", $B8, "*")))</f>
        <v>4</v>
      </c>
      <c r="F8" s="189" t="str">
        <f>IF(OR($B8=F$4,F$4="",$B8=""),"", COUNTIFS(tblPiNAnalysis[Highest sector(s)], _xlfn.CONCAT("*", F$4, "*"), tblPiNAnalysis[2nd Highest sector(s)], _xlfn.CONCAT("*", $B8, "*")))</f>
        <v/>
      </c>
      <c r="G8" s="189">
        <f>IF(OR($B8=G$4,G$4="",$B8=""),"", COUNTIFS(tblPiNAnalysis[Highest sector(s)], _xlfn.CONCAT("*", G$4, "*"), tblPiNAnalysis[2nd Highest sector(s)], _xlfn.CONCAT("*", $B8, "*")))</f>
        <v>9</v>
      </c>
      <c r="H8" s="189">
        <f>IF(OR($B8=H$4,H$4="",$B8=""),"", COUNTIFS(tblPiNAnalysis[Highest sector(s)], _xlfn.CONCAT("*", H$4, "*"), tblPiNAnalysis[2nd Highest sector(s)], _xlfn.CONCAT("*", $B8, "*")))</f>
        <v>13</v>
      </c>
      <c r="I8" s="189">
        <f>IF(OR($B8=I$4,I$4="",$B8=""),"", COUNTIFS(tblPiNAnalysis[Highest sector(s)], _xlfn.CONCAT("*", I$4, "*"), tblPiNAnalysis[2nd Highest sector(s)], _xlfn.CONCAT("*", $B8, "*")))</f>
        <v>46</v>
      </c>
      <c r="J8" s="189">
        <f>IF(OR($B8=J$4,J$4="",$B8=""),"", COUNTIFS(tblPiNAnalysis[Highest sector(s)], _xlfn.CONCAT("*", J$4, "*"), tblPiNAnalysis[2nd Highest sector(s)], _xlfn.CONCAT("*", $B8, "*")))</f>
        <v>35</v>
      </c>
      <c r="K8" s="189" t="str">
        <f>IF(OR($B8=K$4,K$4="",$B8=""),"", COUNTIFS(tblPiNAnalysis[Highest sector(s)], _xlfn.CONCAT("*", K$4, "*"), tblPiNAnalysis[2nd Highest sector(s)], _xlfn.CONCAT("*", $B8, "*")))</f>
        <v/>
      </c>
      <c r="L8" s="189" t="str">
        <f>IF(OR($B8=L$4,L$4="",$B8=""),"", COUNTIFS(tblPiNAnalysis[Highest sector(s)], _xlfn.CONCAT("*", L$4, "*"), tblPiNAnalysis[2nd Highest sector(s)], _xlfn.CONCAT("*", $B8, "*")))</f>
        <v/>
      </c>
      <c r="M8" s="189" t="str">
        <f>IF(OR($B8=M$4,M$4="",$B8=""),"", COUNTIFS(tblPiNAnalysis[Highest sector(s)], _xlfn.CONCAT("*", M$4, "*"), tblPiNAnalysis[2nd Highest sector(s)], _xlfn.CONCAT("*", $B8, "*")))</f>
        <v/>
      </c>
      <c r="N8" s="839"/>
      <c r="O8" s="838"/>
      <c r="P8" s="186" t="str">
        <v>Food Security</v>
      </c>
      <c r="Q8" s="189">
        <f>IF(OR($P8=Q$4,Q$4="",$P8=""),"", COUNTIFS(tblSeverityAnalysis[Sectors with Highest Severity], _xlfn.CONCAT("*", Q$4, "*"), tblSeverityAnalysis[Sectors with 2nd Highest Severity], _xlfn.CONCAT("*", $P8, "*")))</f>
        <v>3</v>
      </c>
      <c r="R8" s="189">
        <f>IF(OR($P8=R$4,R$4="",$P8=""),"", COUNTIFS(tblSeverityAnalysis[Sectors with Highest Severity], _xlfn.CONCAT("*", R$4, "*"), tblSeverityAnalysis[Sectors with 2nd Highest Severity], _xlfn.CONCAT("*", $P8, "*")))</f>
        <v>10</v>
      </c>
      <c r="S8" s="189">
        <f>IF(OR($P8=S$4,S$4="",$P8=""),"", COUNTIFS(tblSeverityAnalysis[Sectors with Highest Severity], _xlfn.CONCAT("*", S$4, "*"), tblSeverityAnalysis[Sectors with 2nd Highest Severity], _xlfn.CONCAT("*", $P8, "*")))</f>
        <v>9</v>
      </c>
      <c r="T8" s="189" t="str">
        <f>IF(OR($P8=T$4,T$4="",$P8=""),"", COUNTIFS(tblSeverityAnalysis[Sectors with Highest Severity], _xlfn.CONCAT("*", T$4, "*"), tblSeverityAnalysis[Sectors with 2nd Highest Severity], _xlfn.CONCAT("*", $P8, "*")))</f>
        <v/>
      </c>
      <c r="U8" s="189">
        <f>IF(OR($P8=U$4,U$4="",$P8=""),"", COUNTIFS(tblSeverityAnalysis[Sectors with Highest Severity], _xlfn.CONCAT("*", U$4, "*"), tblSeverityAnalysis[Sectors with 2nd Highest Severity], _xlfn.CONCAT("*", $P8, "*")))</f>
        <v>6</v>
      </c>
      <c r="V8" s="189">
        <f>IF(OR($P8=V$4,V$4="",$P8=""),"", COUNTIFS(tblSeverityAnalysis[Sectors with Highest Severity], _xlfn.CONCAT("*", V$4, "*"), tblSeverityAnalysis[Sectors with 2nd Highest Severity], _xlfn.CONCAT("*", $P8, "*")))</f>
        <v>7</v>
      </c>
      <c r="W8" s="189">
        <f>IF(OR($P8=W$4,W$4="",$P8=""),"", COUNTIFS(tblSeverityAnalysis[Sectors with Highest Severity], _xlfn.CONCAT("*", W$4, "*"), tblSeverityAnalysis[Sectors with 2nd Highest Severity], _xlfn.CONCAT("*", $P8, "*")))</f>
        <v>5</v>
      </c>
      <c r="X8" s="189">
        <f>IF(OR($P8=X$4,X$4="",$P8=""),"", COUNTIFS(tblSeverityAnalysis[Sectors with Highest Severity], _xlfn.CONCAT("*", X$4, "*"), tblSeverityAnalysis[Sectors with 2nd Highest Severity], _xlfn.CONCAT("*", $P8, "*")))</f>
        <v>14</v>
      </c>
      <c r="Y8" s="189" t="str">
        <f>IF(OR($P8=Y$4,Y$4="",$P8=""),"", COUNTIFS(tblSeverityAnalysis[Sectors with Highest Severity], _xlfn.CONCAT("*", Y$4, "*"), tblSeverityAnalysis[Sectors with 2nd Highest Severity], _xlfn.CONCAT("*", $P8, "*")))</f>
        <v/>
      </c>
      <c r="Z8" s="189" t="str">
        <f>IF(OR($P8=Z$4,Z$4="",$P8=""),"", COUNTIFS(tblSeverityAnalysis[Sectors with Highest Severity], _xlfn.CONCAT("*", Z$4, "*"), tblSeverityAnalysis[Sectors with 2nd Highest Severity], _xlfn.CONCAT("*", $P8, "*")))</f>
        <v/>
      </c>
      <c r="AA8" s="189" t="str">
        <f>IF(OR($P8=AA$4,AA$4="",$P8=""),"", COUNTIFS(tblSeverityAnalysis[Sectors with Highest Severity], _xlfn.CONCAT("*", AA$4, "*"), tblSeverityAnalysis[Sectors with 2nd Highest Severity], _xlfn.CONCAT("*", $P8, "*")))</f>
        <v/>
      </c>
    </row>
    <row r="9" spans="1:27" ht="37.5" customHeight="1" x14ac:dyDescent="0.55000000000000004">
      <c r="A9" s="838"/>
      <c r="B9" s="186" t="str">
        <v>Health</v>
      </c>
      <c r="C9" s="189">
        <f>IF(OR($B9=C$4,C$4="",$B9=""),"", COUNTIFS(tblPiNAnalysis[Highest sector(s)], _xlfn.CONCAT("*", C$4, "*"), tblPiNAnalysis[2nd Highest sector(s)], _xlfn.CONCAT("*", $B9, "*")))</f>
        <v>3</v>
      </c>
      <c r="D9" s="189">
        <f>IF(OR($B9=D$4,D$4="",$B9=""),"", COUNTIFS(tblPiNAnalysis[Highest sector(s)], _xlfn.CONCAT("*", D$4, "*"), tblPiNAnalysis[2nd Highest sector(s)], _xlfn.CONCAT("*", $B9, "*")))</f>
        <v>3</v>
      </c>
      <c r="E9" s="189">
        <f>IF(OR($B9=E$4,E$4="",$B9=""),"", COUNTIFS(tblPiNAnalysis[Highest sector(s)], _xlfn.CONCAT("*", E$4, "*"), tblPiNAnalysis[2nd Highest sector(s)], _xlfn.CONCAT("*", $B9, "*")))</f>
        <v>5</v>
      </c>
      <c r="F9" s="189">
        <f>IF(OR($B9=F$4,F$4="",$B9=""),"", COUNTIFS(tblPiNAnalysis[Highest sector(s)], _xlfn.CONCAT("*", F$4, "*"), tblPiNAnalysis[2nd Highest sector(s)], _xlfn.CONCAT("*", $B9, "*")))</f>
        <v>15</v>
      </c>
      <c r="G9" s="189" t="str">
        <f>IF(OR($B9=G$4,G$4="",$B9=""),"", COUNTIFS(tblPiNAnalysis[Highest sector(s)], _xlfn.CONCAT("*", G$4, "*"), tblPiNAnalysis[2nd Highest sector(s)], _xlfn.CONCAT("*", $B9, "*")))</f>
        <v/>
      </c>
      <c r="H9" s="189">
        <f>IF(OR($B9=H$4,H$4="",$B9=""),"", COUNTIFS(tblPiNAnalysis[Highest sector(s)], _xlfn.CONCAT("*", H$4, "*"), tblPiNAnalysis[2nd Highest sector(s)], _xlfn.CONCAT("*", $B9, "*")))</f>
        <v>8</v>
      </c>
      <c r="I9" s="189">
        <f>IF(OR($B9=I$4,I$4="",$B9=""),"", COUNTIFS(tblPiNAnalysis[Highest sector(s)], _xlfn.CONCAT("*", I$4, "*"), tblPiNAnalysis[2nd Highest sector(s)], _xlfn.CONCAT("*", $B9, "*")))</f>
        <v>6</v>
      </c>
      <c r="J9" s="189">
        <f>IF(OR($B9=J$4,J$4="",$B9=""),"", COUNTIFS(tblPiNAnalysis[Highest sector(s)], _xlfn.CONCAT("*", J$4, "*"), tblPiNAnalysis[2nd Highest sector(s)], _xlfn.CONCAT("*", $B9, "*")))</f>
        <v>6</v>
      </c>
      <c r="K9" s="189" t="str">
        <f>IF(OR($B9=K$4,K$4="",$B9=""),"", COUNTIFS(tblPiNAnalysis[Highest sector(s)], _xlfn.CONCAT("*", K$4, "*"), tblPiNAnalysis[2nd Highest sector(s)], _xlfn.CONCAT("*", $B9, "*")))</f>
        <v/>
      </c>
      <c r="L9" s="189" t="str">
        <f>IF(OR($B9=L$4,L$4="",$B9=""),"", COUNTIFS(tblPiNAnalysis[Highest sector(s)], _xlfn.CONCAT("*", L$4, "*"), tblPiNAnalysis[2nd Highest sector(s)], _xlfn.CONCAT("*", $B9, "*")))</f>
        <v/>
      </c>
      <c r="M9" s="189" t="str">
        <f>IF(OR($B9=M$4,M$4="",$B9=""),"", COUNTIFS(tblPiNAnalysis[Highest sector(s)], _xlfn.CONCAT("*", M$4, "*"), tblPiNAnalysis[2nd Highest sector(s)], _xlfn.CONCAT("*", $B9, "*")))</f>
        <v/>
      </c>
      <c r="N9" s="839"/>
      <c r="O9" s="838"/>
      <c r="P9" s="186" t="str">
        <v>Health</v>
      </c>
      <c r="Q9" s="189">
        <f>IF(OR($P9=Q$4,Q$4="",$P9=""),"", COUNTIFS(tblSeverityAnalysis[Sectors with Highest Severity], _xlfn.CONCAT("*", Q$4, "*"), tblSeverityAnalysis[Sectors with 2nd Highest Severity], _xlfn.CONCAT("*", $P9, "*")))</f>
        <v>6</v>
      </c>
      <c r="R9" s="189">
        <f>IF(OR($P9=R$4,R$4="",$P9=""),"", COUNTIFS(tblSeverityAnalysis[Sectors with Highest Severity], _xlfn.CONCAT("*", R$4, "*"), tblSeverityAnalysis[Sectors with 2nd Highest Severity], _xlfn.CONCAT("*", $P9, "*")))</f>
        <v>20</v>
      </c>
      <c r="S9" s="189">
        <f>IF(OR($P9=S$4,S$4="",$P9=""),"", COUNTIFS(tblSeverityAnalysis[Sectors with Highest Severity], _xlfn.CONCAT("*", S$4, "*"), tblSeverityAnalysis[Sectors with 2nd Highest Severity], _xlfn.CONCAT("*", $P9, "*")))</f>
        <v>33</v>
      </c>
      <c r="T9" s="189">
        <f>IF(OR($P9=T$4,T$4="",$P9=""),"", COUNTIFS(tblSeverityAnalysis[Sectors with Highest Severity], _xlfn.CONCAT("*", T$4, "*"), tblSeverityAnalysis[Sectors with 2nd Highest Severity], _xlfn.CONCAT("*", $P9, "*")))</f>
        <v>17</v>
      </c>
      <c r="U9" s="189" t="str">
        <f>IF(OR($P9=U$4,U$4="",$P9=""),"", COUNTIFS(tblSeverityAnalysis[Sectors with Highest Severity], _xlfn.CONCAT("*", U$4, "*"), tblSeverityAnalysis[Sectors with 2nd Highest Severity], _xlfn.CONCAT("*", $P9, "*")))</f>
        <v/>
      </c>
      <c r="V9" s="189">
        <f>IF(OR($P9=V$4,V$4="",$P9=""),"", COUNTIFS(tblSeverityAnalysis[Sectors with Highest Severity], _xlfn.CONCAT("*", V$4, "*"), tblSeverityAnalysis[Sectors with 2nd Highest Severity], _xlfn.CONCAT("*", $P9, "*")))</f>
        <v>19</v>
      </c>
      <c r="W9" s="189">
        <f>IF(OR($P9=W$4,W$4="",$P9=""),"", COUNTIFS(tblSeverityAnalysis[Sectors with Highest Severity], _xlfn.CONCAT("*", W$4, "*"), tblSeverityAnalysis[Sectors with 2nd Highest Severity], _xlfn.CONCAT("*", $P9, "*")))</f>
        <v>10</v>
      </c>
      <c r="X9" s="189">
        <f>IF(OR($P9=X$4,X$4="",$P9=""),"", COUNTIFS(tblSeverityAnalysis[Sectors with Highest Severity], _xlfn.CONCAT("*", X$4, "*"), tblSeverityAnalysis[Sectors with 2nd Highest Severity], _xlfn.CONCAT("*", $P9, "*")))</f>
        <v>24</v>
      </c>
      <c r="Y9" s="189" t="str">
        <f>IF(OR($P9=Y$4,Y$4="",$P9=""),"", COUNTIFS(tblSeverityAnalysis[Sectors with Highest Severity], _xlfn.CONCAT("*", Y$4, "*"), tblSeverityAnalysis[Sectors with 2nd Highest Severity], _xlfn.CONCAT("*", $P9, "*")))</f>
        <v/>
      </c>
      <c r="Z9" s="189" t="str">
        <f>IF(OR($P9=Z$4,Z$4="",$P9=""),"", COUNTIFS(tblSeverityAnalysis[Sectors with Highest Severity], _xlfn.CONCAT("*", Z$4, "*"), tblSeverityAnalysis[Sectors with 2nd Highest Severity], _xlfn.CONCAT("*", $P9, "*")))</f>
        <v/>
      </c>
      <c r="AA9" s="189" t="str">
        <f>IF(OR($P9=AA$4,AA$4="",$P9=""),"", COUNTIFS(tblSeverityAnalysis[Sectors with Highest Severity], _xlfn.CONCAT("*", AA$4, "*"), tblSeverityAnalysis[Sectors with 2nd Highest Severity], _xlfn.CONCAT("*", $P9, "*")))</f>
        <v/>
      </c>
    </row>
    <row r="10" spans="1:27" ht="37.5" customHeight="1" x14ac:dyDescent="0.55000000000000004">
      <c r="A10" s="838"/>
      <c r="B10" s="186" t="str">
        <v>Overarching Protection</v>
      </c>
      <c r="C10" s="189">
        <f>IF(OR($B10=C$4,C$4="",$B10=""),"", COUNTIFS(tblPiNAnalysis[Highest sector(s)], _xlfn.CONCAT("*", C$4, "*"), tblPiNAnalysis[2nd Highest sector(s)], _xlfn.CONCAT("*", $B10, "*")))</f>
        <v>4</v>
      </c>
      <c r="D10" s="189">
        <f>IF(OR($B10=D$4,D$4="",$B10=""),"", COUNTIFS(tblPiNAnalysis[Highest sector(s)], _xlfn.CONCAT("*", D$4, "*"), tblPiNAnalysis[2nd Highest sector(s)], _xlfn.CONCAT("*", $B10, "*")))</f>
        <v>3</v>
      </c>
      <c r="E10" s="189">
        <f>IF(OR($B10=E$4,E$4="",$B10=""),"", COUNTIFS(tblPiNAnalysis[Highest sector(s)], _xlfn.CONCAT("*", E$4, "*"), tblPiNAnalysis[2nd Highest sector(s)], _xlfn.CONCAT("*", $B10, "*")))</f>
        <v>3</v>
      </c>
      <c r="F10" s="189">
        <f>IF(OR($B10=F$4,F$4="",$B10=""),"", COUNTIFS(tblPiNAnalysis[Highest sector(s)], _xlfn.CONCAT("*", F$4, "*"), tblPiNAnalysis[2nd Highest sector(s)], _xlfn.CONCAT("*", $B10, "*")))</f>
        <v>11</v>
      </c>
      <c r="G10" s="189">
        <f>IF(OR($B10=G$4,G$4="",$B10=""),"", COUNTIFS(tblPiNAnalysis[Highest sector(s)], _xlfn.CONCAT("*", G$4, "*"), tblPiNAnalysis[2nd Highest sector(s)], _xlfn.CONCAT("*", $B10, "*")))</f>
        <v>6</v>
      </c>
      <c r="H10" s="189" t="str">
        <f>IF(OR($B10=H$4,H$4="",$B10=""),"", COUNTIFS(tblPiNAnalysis[Highest sector(s)], _xlfn.CONCAT("*", H$4, "*"), tblPiNAnalysis[2nd Highest sector(s)], _xlfn.CONCAT("*", $B10, "*")))</f>
        <v/>
      </c>
      <c r="I10" s="189">
        <f>IF(OR($B10=I$4,I$4="",$B10=""),"", COUNTIFS(tblPiNAnalysis[Highest sector(s)], _xlfn.CONCAT("*", I$4, "*"), tblPiNAnalysis[2nd Highest sector(s)], _xlfn.CONCAT("*", $B10, "*")))</f>
        <v>20</v>
      </c>
      <c r="J10" s="189">
        <f>IF(OR($B10=J$4,J$4="",$B10=""),"", COUNTIFS(tblPiNAnalysis[Highest sector(s)], _xlfn.CONCAT("*", J$4, "*"), tblPiNAnalysis[2nd Highest sector(s)], _xlfn.CONCAT("*", $B10, "*")))</f>
        <v>19</v>
      </c>
      <c r="K10" s="189" t="str">
        <f>IF(OR($B10=K$4,K$4="",$B10=""),"", COUNTIFS(tblPiNAnalysis[Highest sector(s)], _xlfn.CONCAT("*", K$4, "*"), tblPiNAnalysis[2nd Highest sector(s)], _xlfn.CONCAT("*", $B10, "*")))</f>
        <v/>
      </c>
      <c r="L10" s="189" t="str">
        <f>IF(OR($B10=L$4,L$4="",$B10=""),"", COUNTIFS(tblPiNAnalysis[Highest sector(s)], _xlfn.CONCAT("*", L$4, "*"), tblPiNAnalysis[2nd Highest sector(s)], _xlfn.CONCAT("*", $B10, "*")))</f>
        <v/>
      </c>
      <c r="M10" s="189" t="str">
        <f>IF(OR($B10=M$4,M$4="",$B10=""),"", COUNTIFS(tblPiNAnalysis[Highest sector(s)], _xlfn.CONCAT("*", M$4, "*"), tblPiNAnalysis[2nd Highest sector(s)], _xlfn.CONCAT("*", $B10, "*")))</f>
        <v/>
      </c>
      <c r="N10" s="839"/>
      <c r="O10" s="838"/>
      <c r="P10" s="186" t="str">
        <v>Overarching Protection</v>
      </c>
      <c r="Q10" s="189">
        <f>IF(OR($P10=Q$4,Q$4="",$P10=""),"", COUNTIFS(tblSeverityAnalysis[Sectors with Highest Severity], _xlfn.CONCAT("*", Q$4, "*"), tblSeverityAnalysis[Sectors with 2nd Highest Severity], _xlfn.CONCAT("*", $P10, "*")))</f>
        <v>2</v>
      </c>
      <c r="R10" s="189">
        <f>IF(OR($P10=R$4,R$4="",$P10=""),"", COUNTIFS(tblSeverityAnalysis[Sectors with Highest Severity], _xlfn.CONCAT("*", R$4, "*"), tblSeverityAnalysis[Sectors with 2nd Highest Severity], _xlfn.CONCAT("*", $P10, "*")))</f>
        <v>6</v>
      </c>
      <c r="S10" s="189">
        <f>IF(OR($P10=S$4,S$4="",$P10=""),"", COUNTIFS(tblSeverityAnalysis[Sectors with Highest Severity], _xlfn.CONCAT("*", S$4, "*"), tblSeverityAnalysis[Sectors with 2nd Highest Severity], _xlfn.CONCAT("*", $P10, "*")))</f>
        <v>7</v>
      </c>
      <c r="T10" s="189">
        <f>IF(OR($P10=T$4,T$4="",$P10=""),"", COUNTIFS(tblSeverityAnalysis[Sectors with Highest Severity], _xlfn.CONCAT("*", T$4, "*"), tblSeverityAnalysis[Sectors with 2nd Highest Severity], _xlfn.CONCAT("*", $P10, "*")))</f>
        <v>3</v>
      </c>
      <c r="U10" s="189">
        <f>IF(OR($P10=U$4,U$4="",$P10=""),"", COUNTIFS(tblSeverityAnalysis[Sectors with Highest Severity], _xlfn.CONCAT("*", U$4, "*"), tblSeverityAnalysis[Sectors with 2nd Highest Severity], _xlfn.CONCAT("*", $P10, "*")))</f>
        <v>4</v>
      </c>
      <c r="V10" s="189" t="str">
        <f>IF(OR($P10=V$4,V$4="",$P10=""),"", COUNTIFS(tblSeverityAnalysis[Sectors with Highest Severity], _xlfn.CONCAT("*", V$4, "*"), tblSeverityAnalysis[Sectors with 2nd Highest Severity], _xlfn.CONCAT("*", $P10, "*")))</f>
        <v/>
      </c>
      <c r="W10" s="189">
        <f>IF(OR($P10=W$4,W$4="",$P10=""),"", COUNTIFS(tblSeverityAnalysis[Sectors with Highest Severity], _xlfn.CONCAT("*", W$4, "*"), tblSeverityAnalysis[Sectors with 2nd Highest Severity], _xlfn.CONCAT("*", $P10, "*")))</f>
        <v>6</v>
      </c>
      <c r="X10" s="189">
        <f>IF(OR($P10=X$4,X$4="",$P10=""),"", COUNTIFS(tblSeverityAnalysis[Sectors with Highest Severity], _xlfn.CONCAT("*", X$4, "*"), tblSeverityAnalysis[Sectors with 2nd Highest Severity], _xlfn.CONCAT("*", $P10, "*")))</f>
        <v>13</v>
      </c>
      <c r="Y10" s="189" t="str">
        <f>IF(OR($P10=Y$4,Y$4="",$P10=""),"", COUNTIFS(tblSeverityAnalysis[Sectors with Highest Severity], _xlfn.CONCAT("*", Y$4, "*"), tblSeverityAnalysis[Sectors with 2nd Highest Severity], _xlfn.CONCAT("*", $P10, "*")))</f>
        <v/>
      </c>
      <c r="Z10" s="189" t="str">
        <f>IF(OR($P10=Z$4,Z$4="",$P10=""),"", COUNTIFS(tblSeverityAnalysis[Sectors with Highest Severity], _xlfn.CONCAT("*", Z$4, "*"), tblSeverityAnalysis[Sectors with 2nd Highest Severity], _xlfn.CONCAT("*", $P10, "*")))</f>
        <v/>
      </c>
      <c r="AA10" s="189" t="str">
        <f>IF(OR($P10=AA$4,AA$4="",$P10=""),"", COUNTIFS(tblSeverityAnalysis[Sectors with Highest Severity], _xlfn.CONCAT("*", AA$4, "*"), tblSeverityAnalysis[Sectors with 2nd Highest Severity], _xlfn.CONCAT("*", $P10, "*")))</f>
        <v/>
      </c>
    </row>
    <row r="11" spans="1:27" ht="37.5" customHeight="1" x14ac:dyDescent="0.55000000000000004">
      <c r="A11" s="838"/>
      <c r="B11" s="186" t="str">
        <v>Shelter</v>
      </c>
      <c r="C11" s="189">
        <f>IF(OR($B11=C$4,C$4="",$B11=""),"", COUNTIFS(tblPiNAnalysis[Highest sector(s)], _xlfn.CONCAT("*", C$4, "*"), tblPiNAnalysis[2nd Highest sector(s)], _xlfn.CONCAT("*", $B11, "*")))</f>
        <v>5</v>
      </c>
      <c r="D11" s="189">
        <f>IF(OR($B11=D$4,D$4="",$B11=""),"", COUNTIFS(tblPiNAnalysis[Highest sector(s)], _xlfn.CONCAT("*", D$4, "*"), tblPiNAnalysis[2nd Highest sector(s)], _xlfn.CONCAT("*", $B11, "*")))</f>
        <v>3</v>
      </c>
      <c r="E11" s="189">
        <f>IF(OR($B11=E$4,E$4="",$B11=""),"", COUNTIFS(tblPiNAnalysis[Highest sector(s)], _xlfn.CONCAT("*", E$4, "*"), tblPiNAnalysis[2nd Highest sector(s)], _xlfn.CONCAT("*", $B11, "*")))</f>
        <v>3</v>
      </c>
      <c r="F11" s="189">
        <f>IF(OR($B11=F$4,F$4="",$B11=""),"", COUNTIFS(tblPiNAnalysis[Highest sector(s)], _xlfn.CONCAT("*", F$4, "*"), tblPiNAnalysis[2nd Highest sector(s)], _xlfn.CONCAT("*", $B11, "*")))</f>
        <v>14</v>
      </c>
      <c r="G11" s="189">
        <f>IF(OR($B11=G$4,G$4="",$B11=""),"", COUNTIFS(tblPiNAnalysis[Highest sector(s)], _xlfn.CONCAT("*", G$4, "*"), tblPiNAnalysis[2nd Highest sector(s)], _xlfn.CONCAT("*", $B11, "*")))</f>
        <v>3</v>
      </c>
      <c r="H11" s="189">
        <f>IF(OR($B11=H$4,H$4="",$B11=""),"", COUNTIFS(tblPiNAnalysis[Highest sector(s)], _xlfn.CONCAT("*", H$4, "*"), tblPiNAnalysis[2nd Highest sector(s)], _xlfn.CONCAT("*", $B11, "*")))</f>
        <v>8</v>
      </c>
      <c r="I11" s="189" t="str">
        <f>IF(OR($B11=I$4,I$4="",$B11=""),"", COUNTIFS(tblPiNAnalysis[Highest sector(s)], _xlfn.CONCAT("*", I$4, "*"), tblPiNAnalysis[2nd Highest sector(s)], _xlfn.CONCAT("*", $B11, "*")))</f>
        <v/>
      </c>
      <c r="J11" s="189">
        <f>IF(OR($B11=J$4,J$4="",$B11=""),"", COUNTIFS(tblPiNAnalysis[Highest sector(s)], _xlfn.CONCAT("*", J$4, "*"), tblPiNAnalysis[2nd Highest sector(s)], _xlfn.CONCAT("*", $B11, "*")))</f>
        <v>11</v>
      </c>
      <c r="K11" s="189" t="str">
        <f>IF(OR($B11=K$4,K$4="",$B11=""),"", COUNTIFS(tblPiNAnalysis[Highest sector(s)], _xlfn.CONCAT("*", K$4, "*"), tblPiNAnalysis[2nd Highest sector(s)], _xlfn.CONCAT("*", $B11, "*")))</f>
        <v/>
      </c>
      <c r="L11" s="189" t="str">
        <f>IF(OR($B11=L$4,L$4="",$B11=""),"", COUNTIFS(tblPiNAnalysis[Highest sector(s)], _xlfn.CONCAT("*", L$4, "*"), tblPiNAnalysis[2nd Highest sector(s)], _xlfn.CONCAT("*", $B11, "*")))</f>
        <v/>
      </c>
      <c r="M11" s="189" t="str">
        <f>IF(OR($B11=M$4,M$4="",$B11=""),"", COUNTIFS(tblPiNAnalysis[Highest sector(s)], _xlfn.CONCAT("*", M$4, "*"), tblPiNAnalysis[2nd Highest sector(s)], _xlfn.CONCAT("*", $B11, "*")))</f>
        <v/>
      </c>
      <c r="N11" s="839"/>
      <c r="O11" s="838"/>
      <c r="P11" s="186" t="str">
        <v>Shelter</v>
      </c>
      <c r="Q11" s="189">
        <f>IF(OR($P11=Q$4,Q$4="",$P11=""),"", COUNTIFS(tblSeverityAnalysis[Sectors with Highest Severity], _xlfn.CONCAT("*", Q$4, "*"), tblSeverityAnalysis[Sectors with 2nd Highest Severity], _xlfn.CONCAT("*", $P11, "*")))</f>
        <v>1</v>
      </c>
      <c r="R11" s="189">
        <f>IF(OR($P11=R$4,R$4="",$P11=""),"", COUNTIFS(tblSeverityAnalysis[Sectors with Highest Severity], _xlfn.CONCAT("*", R$4, "*"), tblSeverityAnalysis[Sectors with 2nd Highest Severity], _xlfn.CONCAT("*", $P11, "*")))</f>
        <v>7</v>
      </c>
      <c r="S11" s="189">
        <f>IF(OR($P11=S$4,S$4="",$P11=""),"", COUNTIFS(tblSeverityAnalysis[Sectors with Highest Severity], _xlfn.CONCAT("*", S$4, "*"), tblSeverityAnalysis[Sectors with 2nd Highest Severity], _xlfn.CONCAT("*", $P11, "*")))</f>
        <v>5</v>
      </c>
      <c r="T11" s="189">
        <f>IF(OR($P11=T$4,T$4="",$P11=""),"", COUNTIFS(tblSeverityAnalysis[Sectors with Highest Severity], _xlfn.CONCAT("*", T$4, "*"), tblSeverityAnalysis[Sectors with 2nd Highest Severity], _xlfn.CONCAT("*", $P11, "*")))</f>
        <v>6</v>
      </c>
      <c r="U11" s="189">
        <f>IF(OR($P11=U$4,U$4="",$P11=""),"", COUNTIFS(tblSeverityAnalysis[Sectors with Highest Severity], _xlfn.CONCAT("*", U$4, "*"), tblSeverityAnalysis[Sectors with 2nd Highest Severity], _xlfn.CONCAT("*", $P11, "*")))</f>
        <v>4</v>
      </c>
      <c r="V11" s="189">
        <f>IF(OR($P11=V$4,V$4="",$P11=""),"", COUNTIFS(tblSeverityAnalysis[Sectors with Highest Severity], _xlfn.CONCAT("*", V$4, "*"), tblSeverityAnalysis[Sectors with 2nd Highest Severity], _xlfn.CONCAT("*", $P11, "*")))</f>
        <v>5</v>
      </c>
      <c r="W11" s="189" t="str">
        <f>IF(OR($P11=W$4,W$4="",$P11=""),"", COUNTIFS(tblSeverityAnalysis[Sectors with Highest Severity], _xlfn.CONCAT("*", W$4, "*"), tblSeverityAnalysis[Sectors with 2nd Highest Severity], _xlfn.CONCAT("*", $P11, "*")))</f>
        <v/>
      </c>
      <c r="X11" s="189">
        <f>IF(OR($P11=X$4,X$4="",$P11=""),"", COUNTIFS(tblSeverityAnalysis[Sectors with Highest Severity], _xlfn.CONCAT("*", X$4, "*"), tblSeverityAnalysis[Sectors with 2nd Highest Severity], _xlfn.CONCAT("*", $P11, "*")))</f>
        <v>8</v>
      </c>
      <c r="Y11" s="189" t="str">
        <f>IF(OR($P11=Y$4,Y$4="",$P11=""),"", COUNTIFS(tblSeverityAnalysis[Sectors with Highest Severity], _xlfn.CONCAT("*", Y$4, "*"), tblSeverityAnalysis[Sectors with 2nd Highest Severity], _xlfn.CONCAT("*", $P11, "*")))</f>
        <v/>
      </c>
      <c r="Z11" s="189" t="str">
        <f>IF(OR($P11=Z$4,Z$4="",$P11=""),"", COUNTIFS(tblSeverityAnalysis[Sectors with Highest Severity], _xlfn.CONCAT("*", Z$4, "*"), tblSeverityAnalysis[Sectors with 2nd Highest Severity], _xlfn.CONCAT("*", $P11, "*")))</f>
        <v/>
      </c>
      <c r="AA11" s="189" t="str">
        <f>IF(OR($P11=AA$4,AA$4="",$P11=""),"", COUNTIFS(tblSeverityAnalysis[Sectors with Highest Severity], _xlfn.CONCAT("*", AA$4, "*"), tblSeverityAnalysis[Sectors with 2nd Highest Severity], _xlfn.CONCAT("*", $P11, "*")))</f>
        <v/>
      </c>
    </row>
    <row r="12" spans="1:27" ht="37.5" customHeight="1" x14ac:dyDescent="0.55000000000000004">
      <c r="A12" s="838"/>
      <c r="B12" s="186" t="str">
        <v>WASH</v>
      </c>
      <c r="C12" s="189">
        <f>IF(OR($B12=C$4,C$4="",$B12=""),"", COUNTIFS(tblPiNAnalysis[Highest sector(s)], _xlfn.CONCAT("*", C$4, "*"), tblPiNAnalysis[2nd Highest sector(s)], _xlfn.CONCAT("*", $B12, "*")))</f>
        <v>3</v>
      </c>
      <c r="D12" s="189">
        <f>IF(OR($B12=D$4,D$4="",$B12=""),"", COUNTIFS(tblPiNAnalysis[Highest sector(s)], _xlfn.CONCAT("*", D$4, "*"), tblPiNAnalysis[2nd Highest sector(s)], _xlfn.CONCAT("*", $B12, "*")))</f>
        <v>3</v>
      </c>
      <c r="E12" s="189">
        <f>IF(OR($B12=E$4,E$4="",$B12=""),"", COUNTIFS(tblPiNAnalysis[Highest sector(s)], _xlfn.CONCAT("*", E$4, "*"), tblPiNAnalysis[2nd Highest sector(s)], _xlfn.CONCAT("*", $B12, "*")))</f>
        <v>3</v>
      </c>
      <c r="F12" s="189">
        <f>IF(OR($B12=F$4,F$4="",$B12=""),"", COUNTIFS(tblPiNAnalysis[Highest sector(s)], _xlfn.CONCAT("*", F$4, "*"), tblPiNAnalysis[2nd Highest sector(s)], _xlfn.CONCAT("*", $B12, "*")))</f>
        <v>14</v>
      </c>
      <c r="G12" s="189">
        <f>IF(OR($B12=G$4,G$4="",$B12=""),"", COUNTIFS(tblPiNAnalysis[Highest sector(s)], _xlfn.CONCAT("*", G$4, "*"), tblPiNAnalysis[2nd Highest sector(s)], _xlfn.CONCAT("*", $B12, "*")))</f>
        <v>4</v>
      </c>
      <c r="H12" s="189">
        <f>IF(OR($B12=H$4,H$4="",$B12=""),"", COUNTIFS(tblPiNAnalysis[Highest sector(s)], _xlfn.CONCAT("*", H$4, "*"), tblPiNAnalysis[2nd Highest sector(s)], _xlfn.CONCAT("*", $B12, "*")))</f>
        <v>5</v>
      </c>
      <c r="I12" s="189">
        <f>IF(OR($B12=I$4,I$4="",$B12=""),"", COUNTIFS(tblPiNAnalysis[Highest sector(s)], _xlfn.CONCAT("*", I$4, "*"), tblPiNAnalysis[2nd Highest sector(s)], _xlfn.CONCAT("*", $B12, "*")))</f>
        <v>18</v>
      </c>
      <c r="J12" s="189" t="str">
        <f>IF(OR($B12=J$4,J$4="",$B12=""),"", COUNTIFS(tblPiNAnalysis[Highest sector(s)], _xlfn.CONCAT("*", J$4, "*"), tblPiNAnalysis[2nd Highest sector(s)], _xlfn.CONCAT("*", $B12, "*")))</f>
        <v/>
      </c>
      <c r="K12" s="189" t="str">
        <f>IF(OR($B12=K$4,K$4="",$B12=""),"", COUNTIFS(tblPiNAnalysis[Highest sector(s)], _xlfn.CONCAT("*", K$4, "*"), tblPiNAnalysis[2nd Highest sector(s)], _xlfn.CONCAT("*", $B12, "*")))</f>
        <v/>
      </c>
      <c r="L12" s="189" t="str">
        <f>IF(OR($B12=L$4,L$4="",$B12=""),"", COUNTIFS(tblPiNAnalysis[Highest sector(s)], _xlfn.CONCAT("*", L$4, "*"), tblPiNAnalysis[2nd Highest sector(s)], _xlfn.CONCAT("*", $B12, "*")))</f>
        <v/>
      </c>
      <c r="M12" s="189" t="str">
        <f>IF(OR($B12=M$4,M$4="",$B12=""),"", COUNTIFS(tblPiNAnalysis[Highest sector(s)], _xlfn.CONCAT("*", M$4, "*"), tblPiNAnalysis[2nd Highest sector(s)], _xlfn.CONCAT("*", $B12, "*")))</f>
        <v/>
      </c>
      <c r="N12" s="839"/>
      <c r="O12" s="838"/>
      <c r="P12" s="186" t="str">
        <v>WASH</v>
      </c>
      <c r="Q12" s="189">
        <f>IF(OR($P12=Q$4,Q$4="",$P12=""),"", COUNTIFS(tblSeverityAnalysis[Sectors with Highest Severity], _xlfn.CONCAT("*", Q$4, "*"), tblSeverityAnalysis[Sectors with 2nd Highest Severity], _xlfn.CONCAT("*", $P12, "*")))</f>
        <v>3</v>
      </c>
      <c r="R12" s="189">
        <f>IF(OR($P12=R$4,R$4="",$P12=""),"", COUNTIFS(tblSeverityAnalysis[Sectors with Highest Severity], _xlfn.CONCAT("*", R$4, "*"), tblSeverityAnalysis[Sectors with 2nd Highest Severity], _xlfn.CONCAT("*", $P12, "*")))</f>
        <v>5</v>
      </c>
      <c r="S12" s="189">
        <f>IF(OR($P12=S$4,S$4="",$P12=""),"", COUNTIFS(tblSeverityAnalysis[Sectors with Highest Severity], _xlfn.CONCAT("*", S$4, "*"), tblSeverityAnalysis[Sectors with 2nd Highest Severity], _xlfn.CONCAT("*", $P12, "*")))</f>
        <v>5</v>
      </c>
      <c r="T12" s="189">
        <f>IF(OR($P12=T$4,T$4="",$P12=""),"", COUNTIFS(tblSeverityAnalysis[Sectors with Highest Severity], _xlfn.CONCAT("*", T$4, "*"), tblSeverityAnalysis[Sectors with 2nd Highest Severity], _xlfn.CONCAT("*", $P12, "*")))</f>
        <v>3</v>
      </c>
      <c r="U12" s="189">
        <f>IF(OR($P12=U$4,U$4="",$P12=""),"", COUNTIFS(tblSeverityAnalysis[Sectors with Highest Severity], _xlfn.CONCAT("*", U$4, "*"), tblSeverityAnalysis[Sectors with 2nd Highest Severity], _xlfn.CONCAT("*", $P12, "*")))</f>
        <v>5</v>
      </c>
      <c r="V12" s="189">
        <f>IF(OR($P12=V$4,V$4="",$P12=""),"", COUNTIFS(tblSeverityAnalysis[Sectors with Highest Severity], _xlfn.CONCAT("*", V$4, "*"), tblSeverityAnalysis[Sectors with 2nd Highest Severity], _xlfn.CONCAT("*", $P12, "*")))</f>
        <v>5</v>
      </c>
      <c r="W12" s="189">
        <f>IF(OR($P12=W$4,W$4="",$P12=""),"", COUNTIFS(tblSeverityAnalysis[Sectors with Highest Severity], _xlfn.CONCAT("*", W$4, "*"), tblSeverityAnalysis[Sectors with 2nd Highest Severity], _xlfn.CONCAT("*", $P12, "*")))</f>
        <v>3</v>
      </c>
      <c r="X12" s="189" t="str">
        <f>IF(OR($P12=X$4,X$4="",$P12=""),"", COUNTIFS(tblSeverityAnalysis[Sectors with Highest Severity], _xlfn.CONCAT("*", X$4, "*"), tblSeverityAnalysis[Sectors with 2nd Highest Severity], _xlfn.CONCAT("*", $P12, "*")))</f>
        <v/>
      </c>
      <c r="Y12" s="189" t="str">
        <f>IF(OR($P12=Y$4,Y$4="",$P12=""),"", COUNTIFS(tblSeverityAnalysis[Sectors with Highest Severity], _xlfn.CONCAT("*", Y$4, "*"), tblSeverityAnalysis[Sectors with 2nd Highest Severity], _xlfn.CONCAT("*", $P12, "*")))</f>
        <v/>
      </c>
      <c r="Z12" s="189" t="str">
        <f>IF(OR($P12=Z$4,Z$4="",$P12=""),"", COUNTIFS(tblSeverityAnalysis[Sectors with Highest Severity], _xlfn.CONCAT("*", Z$4, "*"), tblSeverityAnalysis[Sectors with 2nd Highest Severity], _xlfn.CONCAT("*", $P12, "*")))</f>
        <v/>
      </c>
      <c r="AA12" s="189" t="str">
        <f>IF(OR($P12=AA$4,AA$4="",$P12=""),"", COUNTIFS(tblSeverityAnalysis[Sectors with Highest Severity], _xlfn.CONCAT("*", AA$4, "*"), tblSeverityAnalysis[Sectors with 2nd Highest Severity], _xlfn.CONCAT("*", $P12, "*")))</f>
        <v/>
      </c>
    </row>
    <row r="13" spans="1:27" ht="37.5" customHeight="1" x14ac:dyDescent="0.55000000000000004">
      <c r="A13" s="838"/>
      <c r="B13" s="186"/>
      <c r="C13" s="189" t="str">
        <f>IF(OR($B13=C$4,C$4="",$B13=""),"", COUNTIFS(tblPiNAnalysis[Highest sector(s)], _xlfn.CONCAT("*", C$4, "*"), tblPiNAnalysis[2nd Highest sector(s)], _xlfn.CONCAT("*", $B13, "*")))</f>
        <v/>
      </c>
      <c r="D13" s="189" t="str">
        <f>IF(OR($B13=D$4,D$4="",$B13=""),"", COUNTIFS(tblPiNAnalysis[Highest sector(s)], _xlfn.CONCAT("*", D$4, "*"), tblPiNAnalysis[2nd Highest sector(s)], _xlfn.CONCAT("*", $B13, "*")))</f>
        <v/>
      </c>
      <c r="E13" s="189" t="str">
        <f>IF(OR($B13=E$4,E$4="",$B13=""),"", COUNTIFS(tblPiNAnalysis[Highest sector(s)], _xlfn.CONCAT("*", E$4, "*"), tblPiNAnalysis[2nd Highest sector(s)], _xlfn.CONCAT("*", $B13, "*")))</f>
        <v/>
      </c>
      <c r="F13" s="189" t="str">
        <f>IF(OR($B13=F$4,F$4="",$B13=""),"", COUNTIFS(tblPiNAnalysis[Highest sector(s)], _xlfn.CONCAT("*", F$4, "*"), tblPiNAnalysis[2nd Highest sector(s)], _xlfn.CONCAT("*", $B13, "*")))</f>
        <v/>
      </c>
      <c r="G13" s="189" t="str">
        <f>IF(OR($B13=G$4,G$4="",$B13=""),"", COUNTIFS(tblPiNAnalysis[Highest sector(s)], _xlfn.CONCAT("*", G$4, "*"), tblPiNAnalysis[2nd Highest sector(s)], _xlfn.CONCAT("*", $B13, "*")))</f>
        <v/>
      </c>
      <c r="H13" s="189" t="str">
        <f>IF(OR($B13=H$4,H$4="",$B13=""),"", COUNTIFS(tblPiNAnalysis[Highest sector(s)], _xlfn.CONCAT("*", H$4, "*"), tblPiNAnalysis[2nd Highest sector(s)], _xlfn.CONCAT("*", $B13, "*")))</f>
        <v/>
      </c>
      <c r="I13" s="189" t="str">
        <f>IF(OR($B13=I$4,I$4="",$B13=""),"", COUNTIFS(tblPiNAnalysis[Highest sector(s)], _xlfn.CONCAT("*", I$4, "*"), tblPiNAnalysis[2nd Highest sector(s)], _xlfn.CONCAT("*", $B13, "*")))</f>
        <v/>
      </c>
      <c r="J13" s="189" t="str">
        <f>IF(OR($B13=J$4,J$4="",$B13=""),"", COUNTIFS(tblPiNAnalysis[Highest sector(s)], _xlfn.CONCAT("*", J$4, "*"), tblPiNAnalysis[2nd Highest sector(s)], _xlfn.CONCAT("*", $B13, "*")))</f>
        <v/>
      </c>
      <c r="K13" s="189" t="str">
        <f>IF(OR($B13=K$4,K$4="",$B13=""),"", COUNTIFS(tblPiNAnalysis[Highest sector(s)], _xlfn.CONCAT("*", K$4, "*"), tblPiNAnalysis[2nd Highest sector(s)], _xlfn.CONCAT("*", $B13, "*")))</f>
        <v/>
      </c>
      <c r="L13" s="189" t="str">
        <f>IF(OR($B13=L$4,L$4="",$B13=""),"", COUNTIFS(tblPiNAnalysis[Highest sector(s)], _xlfn.CONCAT("*", L$4, "*"), tblPiNAnalysis[2nd Highest sector(s)], _xlfn.CONCAT("*", $B13, "*")))</f>
        <v/>
      </c>
      <c r="M13" s="189" t="str">
        <f>IF(OR($B13=M$4,M$4="",$B13=""),"", COUNTIFS(tblPiNAnalysis[Highest sector(s)], _xlfn.CONCAT("*", M$4, "*"), tblPiNAnalysis[2nd Highest sector(s)], _xlfn.CONCAT("*", $B13, "*")))</f>
        <v/>
      </c>
      <c r="N13" s="839"/>
      <c r="O13" s="838"/>
      <c r="P13" s="186"/>
      <c r="Q13" s="189" t="str">
        <f>IF(OR($P13=Q$4,Q$4="",$P13=""),"", COUNTIFS(tblSeverityAnalysis[Sectors with Highest Severity], _xlfn.CONCAT("*", Q$4, "*"), tblSeverityAnalysis[Sectors with 2nd Highest Severity], _xlfn.CONCAT("*", $P13, "*")))</f>
        <v/>
      </c>
      <c r="R13" s="189" t="str">
        <f>IF(OR($P13=R$4,R$4="",$P13=""),"", COUNTIFS(tblSeverityAnalysis[Sectors with Highest Severity], _xlfn.CONCAT("*", R$4, "*"), tblSeverityAnalysis[Sectors with 2nd Highest Severity], _xlfn.CONCAT("*", $P13, "*")))</f>
        <v/>
      </c>
      <c r="S13" s="189" t="str">
        <f>IF(OR($P13=S$4,S$4="",$P13=""),"", COUNTIFS(tblSeverityAnalysis[Sectors with Highest Severity], _xlfn.CONCAT("*", S$4, "*"), tblSeverityAnalysis[Sectors with 2nd Highest Severity], _xlfn.CONCAT("*", $P13, "*")))</f>
        <v/>
      </c>
      <c r="T13" s="189" t="str">
        <f>IF(OR($P13=T$4,T$4="",$P13=""),"", COUNTIFS(tblSeverityAnalysis[Sectors with Highest Severity], _xlfn.CONCAT("*", T$4, "*"), tblSeverityAnalysis[Sectors with 2nd Highest Severity], _xlfn.CONCAT("*", $P13, "*")))</f>
        <v/>
      </c>
      <c r="U13" s="189" t="str">
        <f>IF(OR($P13=U$4,U$4="",$P13=""),"", COUNTIFS(tblSeverityAnalysis[Sectors with Highest Severity], _xlfn.CONCAT("*", U$4, "*"), tblSeverityAnalysis[Sectors with 2nd Highest Severity], _xlfn.CONCAT("*", $P13, "*")))</f>
        <v/>
      </c>
      <c r="V13" s="189" t="str">
        <f>IF(OR($P13=V$4,V$4="",$P13=""),"", COUNTIFS(tblSeverityAnalysis[Sectors with Highest Severity], _xlfn.CONCAT("*", V$4, "*"), tblSeverityAnalysis[Sectors with 2nd Highest Severity], _xlfn.CONCAT("*", $P13, "*")))</f>
        <v/>
      </c>
      <c r="W13" s="189" t="str">
        <f>IF(OR($P13=W$4,W$4="",$P13=""),"", COUNTIFS(tblSeverityAnalysis[Sectors with Highest Severity], _xlfn.CONCAT("*", W$4, "*"), tblSeverityAnalysis[Sectors with 2nd Highest Severity], _xlfn.CONCAT("*", $P13, "*")))</f>
        <v/>
      </c>
      <c r="X13" s="189" t="str">
        <f>IF(OR($P13=X$4,X$4="",$P13=""),"", COUNTIFS(tblSeverityAnalysis[Sectors with Highest Severity], _xlfn.CONCAT("*", X$4, "*"), tblSeverityAnalysis[Sectors with 2nd Highest Severity], _xlfn.CONCAT("*", $P13, "*")))</f>
        <v/>
      </c>
      <c r="Y13" s="189" t="str">
        <f>IF(OR($P13=Y$4,Y$4="",$P13=""),"", COUNTIFS(tblSeverityAnalysis[Sectors with Highest Severity], _xlfn.CONCAT("*", Y$4, "*"), tblSeverityAnalysis[Sectors with 2nd Highest Severity], _xlfn.CONCAT("*", $P13, "*")))</f>
        <v/>
      </c>
      <c r="Z13" s="189" t="str">
        <f>IF(OR($P13=Z$4,Z$4="",$P13=""),"", COUNTIFS(tblSeverityAnalysis[Sectors with Highest Severity], _xlfn.CONCAT("*", Z$4, "*"), tblSeverityAnalysis[Sectors with 2nd Highest Severity], _xlfn.CONCAT("*", $P13, "*")))</f>
        <v/>
      </c>
      <c r="AA13" s="189" t="str">
        <f>IF(OR($P13=AA$4,AA$4="",$P13=""),"", COUNTIFS(tblSeverityAnalysis[Sectors with Highest Severity], _xlfn.CONCAT("*", AA$4, "*"), tblSeverityAnalysis[Sectors with 2nd Highest Severity], _xlfn.CONCAT("*", $P13, "*")))</f>
        <v/>
      </c>
    </row>
    <row r="14" spans="1:27" ht="37.5" customHeight="1" x14ac:dyDescent="0.55000000000000004">
      <c r="A14" s="838"/>
      <c r="B14" s="186"/>
      <c r="C14" s="189" t="str">
        <f>IF(OR($B14=C$4,C$4="",$B14=""),"", COUNTIFS(tblPiNAnalysis[Highest sector(s)], _xlfn.CONCAT("*", C$4, "*"), tblPiNAnalysis[2nd Highest sector(s)], _xlfn.CONCAT("*", $B14, "*")))</f>
        <v/>
      </c>
      <c r="D14" s="189" t="str">
        <f>IF(OR($B14=D$4,D$4="",$B14=""),"", COUNTIFS(tblPiNAnalysis[Highest sector(s)], _xlfn.CONCAT("*", D$4, "*"), tblPiNAnalysis[2nd Highest sector(s)], _xlfn.CONCAT("*", $B14, "*")))</f>
        <v/>
      </c>
      <c r="E14" s="189" t="str">
        <f>IF(OR($B14=E$4,E$4="",$B14=""),"", COUNTIFS(tblPiNAnalysis[Highest sector(s)], _xlfn.CONCAT("*", E$4, "*"), tblPiNAnalysis[2nd Highest sector(s)], _xlfn.CONCAT("*", $B14, "*")))</f>
        <v/>
      </c>
      <c r="F14" s="189" t="str">
        <f>IF(OR($B14=F$4,F$4="",$B14=""),"", COUNTIFS(tblPiNAnalysis[Highest sector(s)], _xlfn.CONCAT("*", F$4, "*"), tblPiNAnalysis[2nd Highest sector(s)], _xlfn.CONCAT("*", $B14, "*")))</f>
        <v/>
      </c>
      <c r="G14" s="189" t="str">
        <f>IF(OR($B14=G$4,G$4="",$B14=""),"", COUNTIFS(tblPiNAnalysis[Highest sector(s)], _xlfn.CONCAT("*", G$4, "*"), tblPiNAnalysis[2nd Highest sector(s)], _xlfn.CONCAT("*", $B14, "*")))</f>
        <v/>
      </c>
      <c r="H14" s="189" t="str">
        <f>IF(OR($B14=H$4,H$4="",$B14=""),"", COUNTIFS(tblPiNAnalysis[Highest sector(s)], _xlfn.CONCAT("*", H$4, "*"), tblPiNAnalysis[2nd Highest sector(s)], _xlfn.CONCAT("*", $B14, "*")))</f>
        <v/>
      </c>
      <c r="I14" s="189" t="str">
        <f>IF(OR($B14=I$4,I$4="",$B14=""),"", COUNTIFS(tblPiNAnalysis[Highest sector(s)], _xlfn.CONCAT("*", I$4, "*"), tblPiNAnalysis[2nd Highest sector(s)], _xlfn.CONCAT("*", $B14, "*")))</f>
        <v/>
      </c>
      <c r="J14" s="189" t="str">
        <f>IF(OR($B14=J$4,J$4="",$B14=""),"", COUNTIFS(tblPiNAnalysis[Highest sector(s)], _xlfn.CONCAT("*", J$4, "*"), tblPiNAnalysis[2nd Highest sector(s)], _xlfn.CONCAT("*", $B14, "*")))</f>
        <v/>
      </c>
      <c r="K14" s="189" t="str">
        <f>IF(OR($B14=K$4,K$4="",$B14=""),"", COUNTIFS(tblPiNAnalysis[Highest sector(s)], _xlfn.CONCAT("*", K$4, "*"), tblPiNAnalysis[2nd Highest sector(s)], _xlfn.CONCAT("*", $B14, "*")))</f>
        <v/>
      </c>
      <c r="L14" s="189" t="str">
        <f>IF(OR($B14=L$4,L$4="",$B14=""),"", COUNTIFS(tblPiNAnalysis[Highest sector(s)], _xlfn.CONCAT("*", L$4, "*"), tblPiNAnalysis[2nd Highest sector(s)], _xlfn.CONCAT("*", $B14, "*")))</f>
        <v/>
      </c>
      <c r="M14" s="189" t="str">
        <f>IF(OR($B14=M$4,M$4="",$B14=""),"", COUNTIFS(tblPiNAnalysis[Highest sector(s)], _xlfn.CONCAT("*", M$4, "*"), tblPiNAnalysis[2nd Highest sector(s)], _xlfn.CONCAT("*", $B14, "*")))</f>
        <v/>
      </c>
      <c r="N14" s="839"/>
      <c r="O14" s="838"/>
      <c r="P14" s="186"/>
      <c r="Q14" s="189" t="str">
        <f>IF(OR($P14=Q$4,Q$4="",$P14=""),"", COUNTIFS(tblSeverityAnalysis[Sectors with Highest Severity], _xlfn.CONCAT("*", Q$4, "*"), tblSeverityAnalysis[Sectors with 2nd Highest Severity], _xlfn.CONCAT("*", $P14, "*")))</f>
        <v/>
      </c>
      <c r="R14" s="189" t="str">
        <f>IF(OR($P14=R$4,R$4="",$P14=""),"", COUNTIFS(tblSeverityAnalysis[Sectors with Highest Severity], _xlfn.CONCAT("*", R$4, "*"), tblSeverityAnalysis[Sectors with 2nd Highest Severity], _xlfn.CONCAT("*", $P14, "*")))</f>
        <v/>
      </c>
      <c r="S14" s="189" t="str">
        <f>IF(OR($P14=S$4,S$4="",$P14=""),"", COUNTIFS(tblSeverityAnalysis[Sectors with Highest Severity], _xlfn.CONCAT("*", S$4, "*"), tblSeverityAnalysis[Sectors with 2nd Highest Severity], _xlfn.CONCAT("*", $P14, "*")))</f>
        <v/>
      </c>
      <c r="T14" s="189" t="str">
        <f>IF(OR($P14=T$4,T$4="",$P14=""),"", COUNTIFS(tblSeverityAnalysis[Sectors with Highest Severity], _xlfn.CONCAT("*", T$4, "*"), tblSeverityAnalysis[Sectors with 2nd Highest Severity], _xlfn.CONCAT("*", $P14, "*")))</f>
        <v/>
      </c>
      <c r="U14" s="189" t="str">
        <f>IF(OR($P14=U$4,U$4="",$P14=""),"", COUNTIFS(tblSeverityAnalysis[Sectors with Highest Severity], _xlfn.CONCAT("*", U$4, "*"), tblSeverityAnalysis[Sectors with 2nd Highest Severity], _xlfn.CONCAT("*", $P14, "*")))</f>
        <v/>
      </c>
      <c r="V14" s="189" t="str">
        <f>IF(OR($P14=V$4,V$4="",$P14=""),"", COUNTIFS(tblSeverityAnalysis[Sectors with Highest Severity], _xlfn.CONCAT("*", V$4, "*"), tblSeverityAnalysis[Sectors with 2nd Highest Severity], _xlfn.CONCAT("*", $P14, "*")))</f>
        <v/>
      </c>
      <c r="W14" s="189" t="str">
        <f>IF(OR($P14=W$4,W$4="",$P14=""),"", COUNTIFS(tblSeverityAnalysis[Sectors with Highest Severity], _xlfn.CONCAT("*", W$4, "*"), tblSeverityAnalysis[Sectors with 2nd Highest Severity], _xlfn.CONCAT("*", $P14, "*")))</f>
        <v/>
      </c>
      <c r="X14" s="189" t="str">
        <f>IF(OR($P14=X$4,X$4="",$P14=""),"", COUNTIFS(tblSeverityAnalysis[Sectors with Highest Severity], _xlfn.CONCAT("*", X$4, "*"), tblSeverityAnalysis[Sectors with 2nd Highest Severity], _xlfn.CONCAT("*", $P14, "*")))</f>
        <v/>
      </c>
      <c r="Y14" s="189" t="str">
        <f>IF(OR($P14=Y$4,Y$4="",$P14=""),"", COUNTIFS(tblSeverityAnalysis[Sectors with Highest Severity], _xlfn.CONCAT("*", Y$4, "*"), tblSeverityAnalysis[Sectors with 2nd Highest Severity], _xlfn.CONCAT("*", $P14, "*")))</f>
        <v/>
      </c>
      <c r="Z14" s="189" t="str">
        <f>IF(OR($P14=Z$4,Z$4="",$P14=""),"", COUNTIFS(tblSeverityAnalysis[Sectors with Highest Severity], _xlfn.CONCAT("*", Z$4, "*"), tblSeverityAnalysis[Sectors with 2nd Highest Severity], _xlfn.CONCAT("*", $P14, "*")))</f>
        <v/>
      </c>
      <c r="AA14" s="189" t="str">
        <f>IF(OR($P14=AA$4,AA$4="",$P14=""),"", COUNTIFS(tblSeverityAnalysis[Sectors with Highest Severity], _xlfn.CONCAT("*", AA$4, "*"), tblSeverityAnalysis[Sectors with 2nd Highest Severity], _xlfn.CONCAT("*", $P14, "*")))</f>
        <v/>
      </c>
    </row>
    <row r="15" spans="1:27" ht="37.5" customHeight="1" x14ac:dyDescent="0.55000000000000004">
      <c r="B15" s="186"/>
      <c r="C15" s="189" t="str">
        <f>IF(OR($B15=C$4,C$4="",$B15=""),"", COUNTIFS(tblPiNAnalysis[Highest sector(s)], _xlfn.CONCAT("*", C$4, "*"), tblPiNAnalysis[2nd Highest sector(s)], _xlfn.CONCAT("*", $B15, "*")))</f>
        <v/>
      </c>
      <c r="D15" s="189" t="str">
        <f>IF(OR($B15=D$4,D$4="",$B15=""),"", COUNTIFS(tblPiNAnalysis[Highest sector(s)], _xlfn.CONCAT("*", D$4, "*"), tblPiNAnalysis[2nd Highest sector(s)], _xlfn.CONCAT("*", $B15, "*")))</f>
        <v/>
      </c>
      <c r="E15" s="189" t="str">
        <f>IF(OR($B15=E$4,E$4="",$B15=""),"", COUNTIFS(tblPiNAnalysis[Highest sector(s)], _xlfn.CONCAT("*", E$4, "*"), tblPiNAnalysis[2nd Highest sector(s)], _xlfn.CONCAT("*", $B15, "*")))</f>
        <v/>
      </c>
      <c r="F15" s="189" t="str">
        <f>IF(OR($B15=F$4,F$4="",$B15=""),"", COUNTIFS(tblPiNAnalysis[Highest sector(s)], _xlfn.CONCAT("*", F$4, "*"), tblPiNAnalysis[2nd Highest sector(s)], _xlfn.CONCAT("*", $B15, "*")))</f>
        <v/>
      </c>
      <c r="G15" s="189" t="str">
        <f>IF(OR($B15=G$4,G$4="",$B15=""),"", COUNTIFS(tblPiNAnalysis[Highest sector(s)], _xlfn.CONCAT("*", G$4, "*"), tblPiNAnalysis[2nd Highest sector(s)], _xlfn.CONCAT("*", $B15, "*")))</f>
        <v/>
      </c>
      <c r="H15" s="189" t="str">
        <f>IF(OR($B15=H$4,H$4="",$B15=""),"", COUNTIFS(tblPiNAnalysis[Highest sector(s)], _xlfn.CONCAT("*", H$4, "*"), tblPiNAnalysis[2nd Highest sector(s)], _xlfn.CONCAT("*", $B15, "*")))</f>
        <v/>
      </c>
      <c r="I15" s="189" t="str">
        <f>IF(OR($B15=I$4,I$4="",$B15=""),"", COUNTIFS(tblPiNAnalysis[Highest sector(s)], _xlfn.CONCAT("*", I$4, "*"), tblPiNAnalysis[2nd Highest sector(s)], _xlfn.CONCAT("*", $B15, "*")))</f>
        <v/>
      </c>
      <c r="J15" s="189" t="str">
        <f>IF(OR($B15=J$4,J$4="",$B15=""),"", COUNTIFS(tblPiNAnalysis[Highest sector(s)], _xlfn.CONCAT("*", J$4, "*"), tblPiNAnalysis[2nd Highest sector(s)], _xlfn.CONCAT("*", $B15, "*")))</f>
        <v/>
      </c>
      <c r="K15" s="189" t="str">
        <f>IF(OR($B15=K$4,K$4="",$B15=""),"", COUNTIFS(tblPiNAnalysis[Highest sector(s)], _xlfn.CONCAT("*", K$4, "*"), tblPiNAnalysis[2nd Highest sector(s)], _xlfn.CONCAT("*", $B15, "*")))</f>
        <v/>
      </c>
      <c r="L15" s="189" t="str">
        <f>IF(OR($B15=L$4,L$4="",$B15=""),"", COUNTIFS(tblPiNAnalysis[Highest sector(s)], _xlfn.CONCAT("*", L$4, "*"), tblPiNAnalysis[2nd Highest sector(s)], _xlfn.CONCAT("*", $B15, "*")))</f>
        <v/>
      </c>
      <c r="M15" s="189" t="str">
        <f>IF(OR($B15=M$4,M$4="",$B15=""),"", COUNTIFS(tblPiNAnalysis[Highest sector(s)], _xlfn.CONCAT("*", M$4, "*"), tblPiNAnalysis[2nd Highest sector(s)], _xlfn.CONCAT("*", $B15, "*")))</f>
        <v/>
      </c>
      <c r="N15" s="187"/>
      <c r="P15" s="186"/>
      <c r="Q15" s="189" t="str">
        <f>IF(OR($P15=Q$4,Q$4="",$P15=""),"", COUNTIFS(tblSeverityAnalysis[Sectors with Highest Severity], _xlfn.CONCAT("*", Q$4, "*"), tblSeverityAnalysis[Sectors with 2nd Highest Severity], _xlfn.CONCAT("*", $P15, "*")))</f>
        <v/>
      </c>
      <c r="R15" s="189" t="str">
        <f>IF(OR($P15=R$4,R$4="",$P15=""),"", COUNTIFS(tblSeverityAnalysis[Sectors with Highest Severity], _xlfn.CONCAT("*", R$4, "*"), tblSeverityAnalysis[Sectors with 2nd Highest Severity], _xlfn.CONCAT("*", $P15, "*")))</f>
        <v/>
      </c>
      <c r="S15" s="189" t="str">
        <f>IF(OR($P15=S$4,S$4="",$P15=""),"", COUNTIFS(tblSeverityAnalysis[Sectors with Highest Severity], _xlfn.CONCAT("*", S$4, "*"), tblSeverityAnalysis[Sectors with 2nd Highest Severity], _xlfn.CONCAT("*", $P15, "*")))</f>
        <v/>
      </c>
      <c r="T15" s="189" t="str">
        <f>IF(OR($P15=T$4,T$4="",$P15=""),"", COUNTIFS(tblSeverityAnalysis[Sectors with Highest Severity], _xlfn.CONCAT("*", T$4, "*"), tblSeverityAnalysis[Sectors with 2nd Highest Severity], _xlfn.CONCAT("*", $P15, "*")))</f>
        <v/>
      </c>
      <c r="U15" s="189" t="str">
        <f>IF(OR($P15=U$4,U$4="",$P15=""),"", COUNTIFS(tblSeverityAnalysis[Sectors with Highest Severity], _xlfn.CONCAT("*", U$4, "*"), tblSeverityAnalysis[Sectors with 2nd Highest Severity], _xlfn.CONCAT("*", $P15, "*")))</f>
        <v/>
      </c>
      <c r="V15" s="189" t="str">
        <f>IF(OR($P15=V$4,V$4="",$P15=""),"", COUNTIFS(tblSeverityAnalysis[Sectors with Highest Severity], _xlfn.CONCAT("*", V$4, "*"), tblSeverityAnalysis[Sectors with 2nd Highest Severity], _xlfn.CONCAT("*", $P15, "*")))</f>
        <v/>
      </c>
      <c r="W15" s="189" t="str">
        <f>IF(OR($P15=W$4,W$4="",$P15=""),"", COUNTIFS(tblSeverityAnalysis[Sectors with Highest Severity], _xlfn.CONCAT("*", W$4, "*"), tblSeverityAnalysis[Sectors with 2nd Highest Severity], _xlfn.CONCAT("*", $P15, "*")))</f>
        <v/>
      </c>
      <c r="X15" s="189" t="str">
        <f>IF(OR($P15=X$4,X$4="",$P15=""),"", COUNTIFS(tblSeverityAnalysis[Sectors with Highest Severity], _xlfn.CONCAT("*", X$4, "*"), tblSeverityAnalysis[Sectors with 2nd Highest Severity], _xlfn.CONCAT("*", $P15, "*")))</f>
        <v/>
      </c>
      <c r="Y15" s="189" t="str">
        <f>IF(OR($P15=Y$4,Y$4="",$P15=""),"", COUNTIFS(tblSeverityAnalysis[Sectors with Highest Severity], _xlfn.CONCAT("*", Y$4, "*"), tblSeverityAnalysis[Sectors with 2nd Highest Severity], _xlfn.CONCAT("*", $P15, "*")))</f>
        <v/>
      </c>
      <c r="Z15" s="189" t="str">
        <f>IF(OR($P15=Z$4,Z$4="",$P15=""),"", COUNTIFS(tblSeverityAnalysis[Sectors with Highest Severity], _xlfn.CONCAT("*", Z$4, "*"), tblSeverityAnalysis[Sectors with 2nd Highest Severity], _xlfn.CONCAT("*", $P15, "*")))</f>
        <v/>
      </c>
      <c r="AA15" s="189" t="str">
        <f>IF(OR($P15=AA$4,AA$4="",$P15=""),"", COUNTIFS(tblSeverityAnalysis[Sectors with Highest Severity], _xlfn.CONCAT("*", AA$4, "*"), tblSeverityAnalysis[Sectors with 2nd Highest Severity], _xlfn.CONCAT("*", $P15, "*")))</f>
        <v/>
      </c>
    </row>
    <row r="16" spans="1:27" x14ac:dyDescent="0.55000000000000004">
      <c r="N16" s="187"/>
    </row>
  </sheetData>
  <mergeCells count="7">
    <mergeCell ref="A5:A14"/>
    <mergeCell ref="C3:M3"/>
    <mergeCell ref="B1:L2"/>
    <mergeCell ref="P1:AA2"/>
    <mergeCell ref="Q3:AA3"/>
    <mergeCell ref="N5:N14"/>
    <mergeCell ref="O5:O14"/>
  </mergeCells>
  <conditionalFormatting sqref="B5:B15">
    <cfRule type="notContainsBlanks" dxfId="5" priority="5">
      <formula>LEN(TRIM(B5))&gt;0</formula>
    </cfRule>
  </conditionalFormatting>
  <conditionalFormatting sqref="C4:M4">
    <cfRule type="notContainsBlanks" dxfId="4" priority="7">
      <formula>LEN(TRIM(C4))&gt;0</formula>
    </cfRule>
  </conditionalFormatting>
  <conditionalFormatting sqref="C5:M15">
    <cfRule type="notContainsBlanks" dxfId="3" priority="6">
      <formula>LEN(TRIM(C5))&gt;0</formula>
    </cfRule>
    <cfRule type="colorScale" priority="8">
      <colorScale>
        <cfvo type="min"/>
        <cfvo type="max"/>
        <color theme="8" tint="0.79998168889431442"/>
        <color theme="8" tint="-0.249977111117893"/>
      </colorScale>
    </cfRule>
  </conditionalFormatting>
  <conditionalFormatting sqref="P5:P15">
    <cfRule type="notContainsBlanks" dxfId="2" priority="1">
      <formula>LEN(TRIM(P5))&gt;0</formula>
    </cfRule>
  </conditionalFormatting>
  <conditionalFormatting sqref="Q4:AA4">
    <cfRule type="notContainsBlanks" dxfId="1" priority="3">
      <formula>LEN(TRIM(Q4))&gt;0</formula>
    </cfRule>
  </conditionalFormatting>
  <conditionalFormatting sqref="Q5:AA15">
    <cfRule type="notContainsBlanks" dxfId="0" priority="2">
      <formula>LEN(TRIM(Q5))&gt;0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0292b1bc-dc04-4c7a-906e-4a7c2dc29542">
      <Terms xmlns="http://schemas.microsoft.com/office/infopath/2007/PartnerControls"/>
    </lcf76f155ced4ddcb4097134ff3c332f>
    <SharedWithUsers xmlns="bd0faaa1-daec-4526-9aaa-a3949102b502">
      <UserInfo>
        <DisplayName>Veronique Durroux</DisplayName>
        <AccountId>803</AccountId>
        <AccountType/>
      </UserInfo>
      <UserInfo>
        <DisplayName>Elena Imberti</DisplayName>
        <AccountId>240</AccountId>
        <AccountType/>
      </UserInfo>
      <UserInfo>
        <DisplayName>Himshem Him</DisplayName>
        <AccountId>781</AccountId>
        <AccountType/>
      </UserInfo>
      <UserInfo>
        <DisplayName>Tamara Pulita</DisplayName>
        <AccountId>533</AccountId>
        <AccountType/>
      </UserInfo>
      <UserInfo>
        <DisplayName>Dario Alvarez</DisplayName>
        <AccountId>801</AccountId>
        <AccountType/>
      </UserInfo>
      <UserInfo>
        <DisplayName>Leila De Paiva Nazareth Andrade De Oliveira</DisplayName>
        <AccountId>485</AccountId>
        <AccountType/>
      </UserInfo>
      <UserInfo>
        <DisplayName>Ana Maria Pereira</DisplayName>
        <AccountId>201</AccountId>
        <AccountType/>
      </UserInfo>
    </SharedWithUsers>
    <MediaLengthInSeconds xmlns="0292b1bc-dc04-4c7a-906e-4a7c2dc29542" xsi:nil="true"/>
    <number xmlns="0292b1bc-dc04-4c7a-906e-4a7c2dc29542"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5D2420C65C3D64282C0DC1E7CB9D7DB" ma:contentTypeVersion="19" ma:contentTypeDescription="Create a new document." ma:contentTypeScope="" ma:versionID="883ec2ce05feacc4ec2d7df2db902288">
  <xsd:schema xmlns:xsd="http://www.w3.org/2001/XMLSchema" xmlns:xs="http://www.w3.org/2001/XMLSchema" xmlns:p="http://schemas.microsoft.com/office/2006/metadata/properties" xmlns:ns2="0292b1bc-dc04-4c7a-906e-4a7c2dc29542" xmlns:ns3="bd0faaa1-daec-4526-9aaa-a3949102b502" xmlns:ns4="985ec44e-1bab-4c0b-9df0-6ba128686fc9" targetNamespace="http://schemas.microsoft.com/office/2006/metadata/properties" ma:root="true" ma:fieldsID="a755c093cdb7230b58b97c76881b6b66" ns2:_="" ns3:_="" ns4:_="">
    <xsd:import namespace="0292b1bc-dc04-4c7a-906e-4a7c2dc29542"/>
    <xsd:import namespace="bd0faaa1-daec-4526-9aaa-a3949102b502"/>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Location" minOccurs="0"/>
                <xsd:element ref="ns2:MediaServiceObjectDetectorVersions" minOccurs="0"/>
                <xsd:element ref="ns2:numbe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2b1bc-dc04-4c7a-906e-4a7c2dc295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number" ma:index="25" nillable="true" ma:displayName="number" ma:format="Dropdown" ma:internalName="number" ma:percentage="FALSE">
      <xsd:simpleType>
        <xsd:restriction base="dms:Number"/>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0faaa1-daec-4526-9aaa-a3949102b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57b60393-6312-4664-b71c-b46f1aae1162}" ma:internalName="TaxCatchAll" ma:showField="CatchAllData" ma:web="bd0faaa1-daec-4526-9aaa-a3949102b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773FCC-826E-4CAD-9139-51980A25E697}">
  <ds:schemaRefs>
    <ds:schemaRef ds:uri="http://schemas.microsoft.com/sharepoint/v3/contenttype/forms"/>
  </ds:schemaRefs>
</ds:datastoreItem>
</file>

<file path=customXml/itemProps2.xml><?xml version="1.0" encoding="utf-8"?>
<ds:datastoreItem xmlns:ds="http://schemas.openxmlformats.org/officeDocument/2006/customXml" ds:itemID="{39BA3362-B553-4C18-82A9-9E38B32353F9}">
  <ds:schemaRefs>
    <ds:schemaRef ds:uri="http://schemas.microsoft.com/DataMashup"/>
  </ds:schemaRefs>
</ds:datastoreItem>
</file>

<file path=customXml/itemProps3.xml><?xml version="1.0" encoding="utf-8"?>
<ds:datastoreItem xmlns:ds="http://schemas.openxmlformats.org/officeDocument/2006/customXml" ds:itemID="{4DB33FB5-1F5A-4D1B-85FB-9C0BE1535D94}">
  <ds:schemaRefs>
    <ds:schemaRef ds:uri="http://schemas.microsoft.com/office/2006/metadata/properties"/>
    <ds:schemaRef ds:uri="http://schemas.microsoft.com/office/infopath/2007/PartnerControls"/>
    <ds:schemaRef ds:uri="985ec44e-1bab-4c0b-9df0-6ba128686fc9"/>
    <ds:schemaRef ds:uri="0292b1bc-dc04-4c7a-906e-4a7c2dc29542"/>
    <ds:schemaRef ds:uri="bd0faaa1-daec-4526-9aaa-a3949102b502"/>
    <ds:schemaRef ds:uri="1840ac51-71b3-4ca7-b29a-51e094fcbd50"/>
    <ds:schemaRef ds:uri="3bd395f5-4b1d-4ca2-be1f-14a7162cfbfe"/>
    <ds:schemaRef ds:uri="fc749cf6-2fa5-469f-9513-669a5055685c"/>
    <ds:schemaRef ds:uri="8687d7a2-52f3-4734-bf71-7070c2f04360"/>
  </ds:schemaRefs>
</ds:datastoreItem>
</file>

<file path=customXml/itemProps4.xml><?xml version="1.0" encoding="utf-8"?>
<ds:datastoreItem xmlns:ds="http://schemas.openxmlformats.org/officeDocument/2006/customXml" ds:itemID="{0C52472D-0D81-45E7-A1FD-C5A886FB18A0}"/>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8</vt:i4>
      </vt:variant>
    </vt:vector>
  </HeadingPairs>
  <TitlesOfParts>
    <vt:vector size="31" baseType="lpstr">
      <vt:lpstr>Read Me</vt:lpstr>
      <vt:lpstr>Thresholds</vt:lpstr>
      <vt:lpstr>COD</vt:lpstr>
      <vt:lpstr>Pivots-graphs</vt:lpstr>
      <vt:lpstr>Summary 2026</vt:lpstr>
      <vt:lpstr>County-SADD-PIN</vt:lpstr>
      <vt:lpstr>County-SADD-Target(1&amp;2)50% (3)</vt:lpstr>
      <vt:lpstr>Sectoral Target out of severity</vt:lpstr>
      <vt:lpstr>Sectoral Target out of priorit</vt:lpstr>
      <vt:lpstr>Target out of PiN</vt:lpstr>
      <vt:lpstr>WS - 3.1 Overall PiN</vt:lpstr>
      <vt:lpstr>Overall Target (1&amp;2) (3)50%</vt:lpstr>
      <vt:lpstr>Overa Target 1&amp;2</vt:lpstr>
      <vt:lpstr>PiN Historical Trend</vt:lpstr>
      <vt:lpstr>PiN Visuals</vt:lpstr>
      <vt:lpstr>WS - 3.2 Intersectoral Severity</vt:lpstr>
      <vt:lpstr>Reference Table Indicators</vt:lpstr>
      <vt:lpstr>Requirements  (1&amp;2)50% (3)</vt:lpstr>
      <vt:lpstr>Requirement 1&amp;2</vt:lpstr>
      <vt:lpstr>Preliminary results graph</vt:lpstr>
      <vt:lpstr>PiN &amp; Sev - Corr Coeff</vt:lpstr>
      <vt:lpstr>PiN &amp; Sev - value overlapping</vt:lpstr>
      <vt:lpstr>PiN &amp; Sev - 1st &amp; 2nd highest</vt:lpstr>
      <vt:lpstr>flag_pin_historical</vt:lpstr>
      <vt:lpstr>flag_pin_perc</vt:lpstr>
      <vt:lpstr>perc_1st_2nd</vt:lpstr>
      <vt:lpstr>perc_1st_3rd</vt:lpstr>
      <vt:lpstr>pin_perc</vt:lpstr>
      <vt:lpstr>sectors_sev_4</vt:lpstr>
      <vt:lpstr>sectors_sev_5</vt:lpstr>
      <vt:lpstr>zero_pin_thresh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Kashif NADEEM</dc:creator>
  <cp:keywords/>
  <dc:description/>
  <cp:lastModifiedBy>Ana Maria Pereira</cp:lastModifiedBy>
  <cp:revision/>
  <dcterms:created xsi:type="dcterms:W3CDTF">2021-12-15T14:13:54Z</dcterms:created>
  <dcterms:modified xsi:type="dcterms:W3CDTF">2025-12-11T14:15:48Z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0x010100F5D2420C65C3D64282C0DC1E7CB9D7DB</vt:lpwstr>
  </property>
  <property fmtid="{D5CDD505-2E9C-101B-9397-08002B2CF9AE}" pid="3" name="Order">
    <vt:r8>138800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